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927" firstSheet="23" activeTab="34"/>
  </bookViews>
  <sheets>
    <sheet name="Информация JSON" sheetId="1" state="hidden" r:id="rId2"/>
    <sheet name="Инструкция" sheetId="2" r:id="rId3"/>
    <sheet name="Пояснения" sheetId="3" state="hidden" r:id="rId4"/>
    <sheet name="Список листов" sheetId="4" r:id="rId5"/>
    <sheet name="Общие сведения" sheetId="5" r:id="rId6"/>
    <sheet name="Список территорий" sheetId="6" r:id="rId7"/>
    <sheet name="Перечень объектов" sheetId="7" r:id="rId8"/>
    <sheet name="Список объектов" sheetId="8" r:id="rId9"/>
    <sheet name="Сценарии" sheetId="9" r:id="rId10"/>
    <sheet name="ИИКА" sheetId="10" r:id="rId11"/>
    <sheet name="Баланс" sheetId="11" r:id="rId12"/>
    <sheet name="Условные метры" sheetId="12" r:id="rId13"/>
    <sheet name="Сырье и материалы" sheetId="13" r:id="rId14"/>
    <sheet name="ЭЭ" sheetId="14" r:id="rId15"/>
    <sheet name="Амортизация" sheetId="15" r:id="rId16"/>
    <sheet name="Аренда" sheetId="16" r:id="rId17"/>
    <sheet name="Амортизация (аналог)" sheetId="17" state="hidden" r:id="rId18"/>
    <sheet name="Покупка" sheetId="18" r:id="rId19"/>
    <sheet name="ФОТ" sheetId="19" state="hidden" r:id="rId20"/>
    <sheet name="Административные" sheetId="20" state="hidden" r:id="rId21"/>
    <sheet name="Сбытовые расходы ГО" sheetId="21" state="hidden" r:id="rId22"/>
    <sheet name="Налоги" sheetId="22" r:id="rId23"/>
    <sheet name="ИП + источники" sheetId="23" state="hidden" r:id="rId24"/>
    <sheet name="Экономия_корр" sheetId="24" r:id="rId25"/>
    <sheet name="Плата за негативное возд" sheetId="25" r:id="rId26"/>
    <sheet name="Корректировка НВВ" sheetId="26" r:id="rId27"/>
    <sheet name="ТМ" sheetId="27" r:id="rId28"/>
    <sheet name="Калькуляция (МЭОР)" sheetId="28" state="hidden" r:id="rId29"/>
    <sheet name="Калькуляция (МИ)" sheetId="29" state="hidden" r:id="rId30"/>
    <sheet name="Калькуляция (МИ корр)" sheetId="30" r:id="rId31"/>
    <sheet name="ДПР" sheetId="31" r:id="rId32"/>
    <sheet name="ДПР (концессии)" sheetId="32" r:id="rId33"/>
    <sheet name="ГО" sheetId="33" state="hidden" r:id="rId34"/>
    <sheet name="Калькуляция (МСА)" sheetId="34" state="hidden" r:id="rId35"/>
    <sheet name="Комментарии" sheetId="35" r:id="rId36"/>
    <sheet name="REESTR_MO" sheetId="36" state="hidden" r:id="rId37"/>
    <sheet name="REESTR_ORG" sheetId="37" state="hidden" r:id="rId38"/>
    <sheet name="REESTR_OBJECT" sheetId="38" state="hidden" r:id="rId39"/>
    <sheet name="REESTR_ROIV_OMS" sheetId="39" state="hidden" r:id="rId40"/>
    <sheet name="REESTR_TARIFF" sheetId="40" state="hidden" r:id="rId41"/>
    <sheet name="DICTIONARIES" sheetId="41" state="hidden" r:id="rId42"/>
    <sheet name="TEHSHEET" sheetId="42" state="hidden" r:id="rId43"/>
    <sheet name="REESTR_SEP_DIV" sheetId="43" state="hidden" r:id="rId44"/>
    <sheet name="REESTR_DOP" sheetId="44" state="hidden" r:id="rId45"/>
  </sheets>
  <definedNames>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Амортизация!$AB$181</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ЭЭ!$AE$25:$BB$93</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Амортизация!$BD$182</definedName>
    <definedName name="flag_end_Balance">Баланс!$BD$306</definedName>
    <definedName name="flag_end_CalcMeor">'Калькуляция (МЭОР)'!$AP$287</definedName>
    <definedName name="flag_end_CalcMiCorr">'Калькуляция (МИ корр)'!$BQ$464</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ЭЭ!$BD$99</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НВВ'!$AI$185</definedName>
    <definedName name="flag_end_ObjectList">'Список объектов'!$AI$40</definedName>
    <definedName name="flag_end_Objects">'Перечень объектов'!$AK$68</definedName>
    <definedName name="flag_end_Purchase">Покупка!$BD$122</definedName>
    <definedName name="flag_end_Reagents">'Сырье и материалы'!$BD$45</definedName>
    <definedName name="flag_end_Rent">Аренда!$BD$62</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Налоги!$BD$74</definedName>
    <definedName name="flag_end_TerritoryList">'Список территорий'!$AH$37</definedName>
    <definedName name="flag_end_TM">ТМ!$FX$202</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ЭЭ!$AB$93</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материалы'!$AB$40</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Покупка!$AB$121</definedName>
    <definedName name="Purchase_vis_flags">Покупка!$AI$17:$BB$17</definedName>
    <definedName name="Reagents_LOAD_1">'Сырье и материалы'!$AE$25:$BB$40</definedName>
    <definedName name="Reagents_LOAD_2">'Сырье и материалы'!$BC$24:$BC$40</definedName>
    <definedName name="Reagents_pIns_comm">'Сырье и материалы'!$AB$44</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Налоги!$AB$73</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Амортизация!$AC$176:$AC$181</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Баланс!$AC$302:$AC$305</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ЭЭ!$AC$95:$AC$98</definedName>
    <definedName name="wsEe_preload">ЭЭ!$AE$28:$AH$93</definedName>
    <definedName name="wsEE_preload_coms">ЭЭ!$BC$28:$BC$93</definedName>
    <definedName name="wsEE_preload_full">ЭЭ!$AE$28:$BB$93</definedName>
    <definedName name="wsEE_preload_json">ЭЭ!$AE$28:$BC$93</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корр)'!$AC$461:$AC$463</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НВВ'!$AC$182:$AC$184</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объектов'!$AH$28:$AH$40</definedName>
    <definedName name="wsObjects_json_coms">'Перечень объектов'!$AC$65:$AC$67</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Покупка!$AC$119:$AC$121</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материалы'!$AC$42:$AC$44</definedName>
    <definedName name="wsReagents_preload">'Сырье и материалы'!$AE$28:$AH$39</definedName>
    <definedName name="wsReagents_preload_coms">'Сырье и материалы'!$BC$28:$BC$39</definedName>
    <definedName name="wsReagents_preload_full">'Сырье и материалы'!$AE$28:$BB$39</definedName>
    <definedName name="wsReagents_preload_json">'Сырье и материалы'!$AE$28:$BC$39</definedName>
    <definedName name="wsRent_json_coms">Аренда!$AC$59:$AC$61</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Налоги!$AC$71:$AC$73</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 name="_xlnm._FilterDatabase" localSheetId="4">'Общие сведения'!#REF!</definedName>
    <definedName name="_xlnm._FilterDatabase" localSheetId="5">'Список территорий'!$AA$21:$AG$22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<sst xmlns="http://schemas.openxmlformats.org/spreadsheetml/2006/main" count="21778" uniqueCount="4432">
  <si>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</si>
  <si>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</si>
  <si>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</si>
  <si>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</si>
  <si>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</si>
  <si>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</si>
  <si>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</si>
  <si>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</si>
  <si>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</si>
  <si>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</si>
  <si>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</si>
  <si>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</si>
  <si>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</si>
  <si>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</si>
  <si>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</si>
  <si>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</si>
  <si>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</si>
  <si>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</si>
  <si>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</si>
  <si>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</si>
  <si>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</si>
  <si>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</si>
  <si>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</si>
  <si>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</si>
  <si>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</si>
  <si>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</si>
  <si>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</si>
  <si>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charset val="204"/>
        <color rgb="FFFF0000"/>
        <family val="2"/>
        <rFont val="Tahoma"/>
        <sz val="9"/>
        <u/>
      </rPr>
      <t>от 27.06.2013 N 543 (ред. от 17.08.2020)</t>
    </r>
    <r>
      <rPr>
        <charset val="204"/>
        <family val="2"/>
        <rFont val="Tahoma"/>
        <sz val="9"/>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</si>
  <si>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</si>
  <si>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</si>
  <si>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</si>
  <si>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</si>
  <si>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</si>
  <si>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</si>
  <si>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</si>
  <si>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</si>
  <si>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</si>
  <si>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</si>
  <si>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</si>
  <si>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</si>
  <si>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</si>
  <si>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</si>
  <si>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</si>
  <si>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</si>
  <si>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</si>
  <si>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</si>
  <si>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</si>
  <si>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</si>
  <si>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</si>
  <si>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</si>
  <si>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</si>
  <si>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</si>
  <si>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</si>
  <si>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</si>
  <si>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</si>
  <si>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</si>
  <si>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</si>
  <si>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</si>
  <si>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</si>
  <si>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</si>
  <si>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</si>
  <si>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</si>
  <si>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</si>
  <si>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</si>
  <si>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</si>
  <si>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</si>
  <si>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</si>
  <si>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</si>
  <si>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</si>
  <si>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</si>
  <si>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</si>
  <si>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</si>
  <si>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</si>
  <si>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</si>
  <si>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</si>
  <si>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</si>
  <si>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</si>
  <si>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</si>
  <si>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</si>
  <si>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</si>
  <si>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</si>
  <si>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</si>
  <si>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</si>
  <si>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</si>
  <si>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</si>
  <si>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</si>
  <si>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</si>
  <si>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</si>
  <si>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</si>
  <si>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</si>
  <si>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</si>
  <si>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</si>
  <si>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</si>
  <si>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</si>
  <si>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</si>
  <si>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</si>
  <si>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</si>
  <si>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</si>
  <si>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</si>
  <si>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</si>
  <si>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</si>
  <si>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</si>
  <si>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</si>
  <si>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</si>
  <si>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</si>
  <si>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</si>
  <si>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</si>
  <si>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</si>
  <si>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</si>
  <si>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</si>
  <si>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</si>
  <si>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Филиал АО "УК "Кузбассразрезуголь" "Талдинский угольный разрез"</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</si>
  <si>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</si>
  <si>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</si>
  <si>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Филиал акционерного общества "Угольная компания "Кузбассразрезуголь" "Талдинский угольный разрез"</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</si>
  <si>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</si>
  <si>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</si>
  <si>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</si>
  <si>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1034205040935</t>
  </si>
  <si>
    <t>ИНН</t>
  </si>
  <si>
    <t>4205049090</t>
  </si>
  <si>
    <t>КПП</t>
  </si>
  <si>
    <t>423802002</t>
  </si>
  <si>
    <t>Код по ОКПО</t>
  </si>
  <si>
    <t>14792950</t>
  </si>
  <si>
    <t>L2_7</t>
  </si>
  <si>
    <t>Организационно-правовая форма</t>
  </si>
  <si>
    <t>3 00 02 | Филиалы юридических лиц</t>
  </si>
  <si>
    <t>L2_8</t>
  </si>
  <si>
    <t>Юридический адрес</t>
  </si>
  <si>
    <t>Российская Федерация, 650054, г. Кемерово, Пионерский бульвар, 4 а</t>
  </si>
  <si>
    <t>L2_9</t>
  </si>
  <si>
    <t>Фактический адрес</t>
  </si>
  <si>
    <t>Российская Федерация, 654212, Кемеровская область, Новокузнецкий район, с. Красулино</t>
  </si>
  <si>
    <t>L2_10</t>
  </si>
  <si>
    <t>Телефон организации</t>
  </si>
  <si>
    <t>(3843) 790-216</t>
  </si>
  <si>
    <t>L2_11</t>
  </si>
  <si>
    <t>e-mail</t>
  </si>
  <si>
    <t>office@tld.kru.ru</t>
  </si>
  <si>
    <t>L2_12</t>
  </si>
  <si>
    <t>ФИО руководителя</t>
  </si>
  <si>
    <t>Барашкин Андрей Борисович</t>
  </si>
  <si>
    <t>L2_13</t>
  </si>
  <si>
    <t>Должность руководителя</t>
  </si>
  <si>
    <t>Директор</t>
  </si>
  <si>
    <t>L2_14</t>
  </si>
  <si>
    <t>Официальный сайт регулируемой организации в сети "Интернет"</t>
  </si>
  <si>
    <t>kru.kem.ru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</si>
  <si>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</si>
  <si>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</si>
  <si>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</si>
  <si>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</si>
  <si>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</si>
  <si>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</si>
  <si>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</si>
  <si>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</si>
  <si>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</si>
  <si>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</si>
  <si>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</si>
  <si>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</si>
  <si>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</si>
  <si>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</si>
  <si>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</si>
  <si>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</si>
  <si>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да</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</si>
  <si>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</si>
  <si>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</si>
  <si>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</si>
  <si>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</si>
  <si>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</si>
  <si>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</si>
  <si>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</si>
  <si>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</si>
  <si>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</si>
  <si>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</si>
  <si>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</si>
  <si>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</si>
  <si>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</si>
  <si>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</si>
  <si>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</si>
  <si>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</si>
  <si>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</si>
  <si>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</si>
  <si>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</si>
  <si>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</si>
  <si>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</si>
  <si>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</si>
  <si>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</si>
  <si>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</si>
  <si>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</si>
  <si>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</si>
  <si>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</si>
  <si>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</si>
  <si>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</si>
  <si>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</si>
  <si>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</si>
  <si>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</si>
  <si>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</si>
  <si>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</si>
  <si>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</si>
  <si>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</si>
  <si>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 xml:space="preserve">Об актуализации на 2020 год схем водоснабжения и водоотведения Калачевского сельского поселения Прокопьевского муниципального района на период 2013-2023гг. с перпективой до 2028 года.
</t>
  </si>
  <si>
    <t>постановление</t>
  </si>
  <si>
    <t>36-п</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</si>
  <si>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</si>
  <si>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</si>
  <si>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</si>
  <si>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</si>
  <si>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</si>
  <si>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</si>
  <si>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</si>
  <si>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</si>
  <si>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</si>
  <si>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</si>
  <si>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</si>
  <si>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</si>
  <si>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</si>
  <si>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</si>
  <si>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</si>
  <si>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</si>
  <si>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</si>
  <si>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</si>
  <si>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</si>
  <si>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</si>
  <si>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Фомичева Ксения Валерьевна</t>
  </si>
  <si>
    <t>L5_1</t>
  </si>
  <si>
    <t>Должность исполнителя</t>
  </si>
  <si>
    <t>Ведущий экономист ПЭО</t>
  </si>
  <si>
    <t>L5_2</t>
  </si>
  <si>
    <t>Контактный телефон исполнителя</t>
  </si>
  <si>
    <t>(3843)790-219</t>
  </si>
  <si>
    <t>L5_3</t>
  </si>
  <si>
    <t>e-mail исполнителя</t>
  </si>
  <si>
    <t>Fomicheva@tld.kru.ru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</si>
  <si>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</si>
  <si>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</si>
  <si>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</si>
  <si>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</si>
  <si>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</si>
  <si>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</si>
  <si>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</si>
  <si>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</si>
  <si>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</si>
  <si>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</si>
  <si>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</si>
  <si>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</si>
  <si>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</si>
  <si>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</si>
  <si>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</si>
  <si>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</si>
  <si>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</si>
  <si>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</si>
  <si>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</si>
  <si>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</si>
  <si>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251</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</si>
  <si>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</si>
  <si>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</si>
  <si>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</si>
  <si>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</si>
  <si>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</si>
  <si>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</si>
  <si>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</si>
  <si>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</si>
  <si>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</si>
  <si>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</si>
  <si>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</si>
  <si>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</si>
  <si>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</si>
  <si>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</si>
  <si>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</si>
  <si>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</si>
  <si>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</si>
  <si>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</si>
  <si>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ХВС.42.26520873.0006</t>
  </si>
  <si>
    <t>тариф на техническую воду</t>
  </si>
  <si>
    <t>одноставочный</t>
  </si>
  <si>
    <t>Производство (подъём / добыча) воды :: Транспортировка воды :: Сбыт (распределение) воды</t>
  </si>
  <si>
    <t>техническая вода</t>
  </si>
  <si>
    <t>Оказание услуг на территории: Прокопьевский муниципальный округ (ОКТМО: 32522000) - п Калачево</t>
  </si>
  <si>
    <t>2686</t>
  </si>
  <si>
    <t>2025-04-30</t>
  </si>
  <si>
    <t>ПСХ-1. Исправленное заявление № 5003 от 08.08.2025</t>
  </si>
  <si>
    <t>2</t>
  </si>
  <si>
    <t>Водоотведение</t>
  </si>
  <si>
    <t>ВО.42.26520873.0004</t>
  </si>
  <si>
    <t>тариф на водоотведение</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</si>
  <si>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</si>
  <si>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</si>
  <si>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</si>
  <si>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</si>
  <si>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</si>
  <si>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</si>
  <si>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</si>
  <si>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79-ВС и ВО</t>
  </si>
  <si>
    <t>L7_2</t>
  </si>
  <si>
    <t>ФИО уполномоченного по делу</t>
  </si>
  <si>
    <t>Вахнова Оксана Олеговна</t>
  </si>
  <si>
    <t>L7_3</t>
  </si>
  <si>
    <t>Должность уполномоченного по делу</t>
  </si>
  <si>
    <t>главный консультант</t>
  </si>
  <si>
    <t>L7_4</t>
  </si>
  <si>
    <t>Контактный телефон уполномоченного по делу</t>
  </si>
  <si>
    <t>8(3842)36-70-14</t>
  </si>
  <si>
    <t>L7_5</t>
  </si>
  <si>
    <t>e-mail уполномоченного по делу</t>
  </si>
  <si>
    <t>vakhnova-oo@recko.ako.ru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</si>
  <si>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</si>
  <si>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</si>
  <si>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</si>
  <si>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</si>
  <si>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</si>
  <si>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</si>
  <si>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</si>
  <si>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</si>
  <si>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</si>
  <si>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</si>
  <si>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</si>
  <si>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</si>
  <si>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</si>
  <si>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</si>
  <si>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</si>
  <si>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</si>
  <si>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</si>
  <si>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</si>
  <si>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</si>
  <si>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</si>
  <si>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</si>
  <si>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</si>
  <si>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</si>
  <si>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</si>
  <si>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</si>
  <si>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</si>
  <si>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</si>
  <si>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</si>
  <si>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</si>
  <si>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</si>
  <si>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</si>
  <si>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</si>
  <si>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</si>
  <si>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</si>
  <si>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</si>
  <si>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</si>
  <si>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</si>
  <si>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</si>
  <si>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</si>
  <si>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Прокопьевский муниципальный округ</t>
  </si>
  <si>
    <t>32522000</t>
  </si>
  <si>
    <t>муниципальный округ</t>
  </si>
  <si>
    <t>п. Калачево</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</si>
  <si>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</si>
  <si>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</si>
  <si>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</si>
  <si>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</si>
  <si>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</si>
  <si>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</si>
  <si>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</si>
  <si>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</si>
  <si>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</si>
  <si>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</si>
  <si>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</si>
  <si>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</si>
  <si>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</si>
  <si>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</si>
  <si>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</si>
  <si>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</si>
  <si>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</si>
  <si>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</si>
  <si>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</si>
  <si>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</si>
  <si>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</si>
  <si>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</si>
  <si>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</si>
  <si>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</si>
  <si>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</si>
  <si>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</si>
  <si>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</si>
  <si>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</si>
  <si>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</si>
  <si>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</si>
  <si>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</si>
  <si>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</si>
  <si>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</si>
  <si>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</si>
  <si>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</si>
  <si>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</si>
  <si>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</si>
  <si>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</si>
  <si>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</si>
  <si>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</si>
  <si>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</si>
  <si>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</si>
  <si>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</si>
  <si>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</si>
  <si>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</si>
  <si>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Промплощадка разреза «Талдинский» снабжается водой от трех скважин, расположенных в долине р.Кыргай. Подземная вода от скважин подается в существующие резервуары 2*2000 м3, откуда забирается насосной станцией второго подъема, обеззараживается бактерицидными лампами и подается потребителям.</t>
  </si>
  <si>
    <t>Сток хоз-бытовой канализации и ливневых вод «Талдинского угольного разреза» по системе бетонных монолитных лотков и перепускных труб под автодорогами направляется в насосную станцию для перекачивания стоков в аккумулирующие резервуары КНС, после очистки вода поступает в выпуски рек Кыргай и Черновой нарык.</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</si>
  <si>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</si>
  <si>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</si>
  <si>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</si>
  <si>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</si>
  <si>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</si>
  <si>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</si>
  <si>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</si>
  <si>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</si>
  <si>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</si>
  <si>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</si>
  <si>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</si>
  <si>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</si>
  <si>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</si>
  <si>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</si>
  <si>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</si>
  <si>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</si>
  <si>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</si>
  <si>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</si>
  <si>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</si>
  <si>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</si>
  <si>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</si>
  <si>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</si>
  <si>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ПСХ-1 ["Талдинский угольный разрез"]</t>
  </si>
  <si>
    <t>п Калачево, п. Колачево, -</t>
  </si>
  <si>
    <t>собственность</t>
  </si>
  <si>
    <t>акт приёма-передачи</t>
  </si>
  <si>
    <t>б/н</t>
  </si>
  <si>
    <t>31.12.2018</t>
  </si>
  <si>
    <t>п Калачево, п Калачево, -</t>
  </si>
  <si>
    <t>выписка из ЕГРН</t>
  </si>
  <si>
    <t>42:10:0107007:1704</t>
  </si>
  <si>
    <t>03.05.2018</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</si>
  <si>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</si>
  <si>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</si>
  <si>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</si>
  <si>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</si>
  <si>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</si>
  <si>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</si>
  <si>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</si>
  <si>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</si>
  <si>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</si>
  <si>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</si>
  <si>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</si>
  <si>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</si>
  <si>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</si>
  <si>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</si>
  <si>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</si>
  <si>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</si>
  <si>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</si>
  <si>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</si>
  <si>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</si>
  <si>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</si>
  <si>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</si>
  <si>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</si>
  <si>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</si>
  <si>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</si>
  <si>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</si>
  <si>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</si>
  <si>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</si>
  <si>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</si>
  <si>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</si>
  <si>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</si>
  <si>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</si>
  <si>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</si>
  <si>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</si>
  <si>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</si>
  <si>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</si>
  <si>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</si>
  <si>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</si>
  <si>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</si>
  <si>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</si>
  <si>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</si>
  <si>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</si>
  <si>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</si>
  <si>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</si>
  <si>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</si>
  <si>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</si>
  <si>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</si>
  <si>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</si>
  <si>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</si>
  <si>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</si>
  <si>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</si>
  <si>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</si>
  <si>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</si>
  <si>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</si>
  <si>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</si>
  <si>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</si>
  <si>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</si>
  <si>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</si>
  <si>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</si>
  <si>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</si>
  <si>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</si>
  <si>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</si>
  <si>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</si>
  <si>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</si>
  <si>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</si>
  <si>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</si>
  <si>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</si>
  <si>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</si>
  <si>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</si>
  <si>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</si>
  <si>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</si>
  <si>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</si>
  <si>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</si>
  <si>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</si>
  <si>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</si>
  <si>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</si>
  <si>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</si>
  <si>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</si>
  <si>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</si>
  <si>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</si>
  <si>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</si>
  <si>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</si>
  <si>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</si>
  <si>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</si>
  <si>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</si>
  <si>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</si>
  <si>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</si>
  <si>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</si>
  <si>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</si>
  <si>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</si>
  <si>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</si>
  <si>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</si>
  <si>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</si>
  <si>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</si>
  <si>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</si>
  <si>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</si>
  <si>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</si>
  <si>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</si>
  <si>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</si>
  <si>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</si>
  <si>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</si>
  <si>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</si>
  <si>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</si>
  <si>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</si>
  <si>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</si>
  <si>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</si>
  <si>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</si>
  <si>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</si>
  <si>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</si>
  <si>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</si>
  <si>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</si>
  <si>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</si>
  <si>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</si>
  <si>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</si>
  <si>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</si>
  <si>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</si>
  <si>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</si>
  <si>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</si>
  <si>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</si>
  <si>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</si>
  <si>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</si>
  <si>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</si>
  <si>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</si>
  <si>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</si>
  <si>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</si>
  <si>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</si>
  <si>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</si>
  <si>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</si>
  <si>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</si>
  <si>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</si>
  <si>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</si>
  <si>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</si>
  <si>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</si>
  <si>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</si>
  <si>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</si>
  <si>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</si>
  <si>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</si>
  <si>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</si>
  <si>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</si>
  <si>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</si>
  <si>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</si>
  <si>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</si>
  <si>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</si>
  <si>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</si>
  <si>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</si>
  <si>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</si>
  <si>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</si>
  <si>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</si>
  <si>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</si>
  <si>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</si>
  <si>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</si>
  <si>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</si>
  <si>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</si>
  <si>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</si>
  <si>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</si>
  <si>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</si>
  <si>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</si>
  <si>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</si>
  <si>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</si>
  <si>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</si>
  <si>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</si>
  <si>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</si>
  <si>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</si>
  <si>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</si>
  <si>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</si>
  <si>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</si>
  <si>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</si>
  <si>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</si>
  <si>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</si>
  <si>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</si>
  <si>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</si>
  <si>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</si>
  <si>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</si>
  <si>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</si>
  <si>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</si>
  <si>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</si>
  <si>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</si>
  <si>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</si>
  <si>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</si>
  <si>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</si>
  <si>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</si>
  <si>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</si>
  <si>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</si>
  <si>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</si>
  <si>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</si>
  <si>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</si>
  <si>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</si>
  <si>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</si>
  <si>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</si>
  <si>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</si>
  <si>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</si>
  <si>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</si>
  <si>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</si>
  <si>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</si>
  <si>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</si>
  <si>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</si>
  <si>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</si>
  <si>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</si>
  <si>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</si>
  <si>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</si>
  <si>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</si>
  <si>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</si>
  <si>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</si>
  <si>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</si>
  <si>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</si>
  <si>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</si>
  <si>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</si>
  <si>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</si>
  <si>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</si>
  <si>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</si>
  <si>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</si>
  <si>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</si>
  <si>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</si>
  <si>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</si>
  <si>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</si>
  <si>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</si>
  <si>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</si>
  <si>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</si>
  <si>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</si>
  <si>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</si>
  <si>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</si>
  <si>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</si>
  <si>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</si>
  <si>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</si>
  <si>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</si>
  <si>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</si>
  <si>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</si>
  <si>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</si>
  <si>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</si>
  <si>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</si>
  <si>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</si>
  <si>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</si>
  <si>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</si>
  <si>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</si>
  <si>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</si>
  <si>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</si>
  <si>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</si>
  <si>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</si>
  <si>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</si>
  <si>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</si>
  <si>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</si>
  <si>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</si>
  <si>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</si>
  <si>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</si>
  <si>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</si>
  <si>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</si>
  <si>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</si>
  <si>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</si>
  <si>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</si>
  <si>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</si>
  <si>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</si>
  <si>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</si>
  <si>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</si>
  <si>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</si>
  <si>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</si>
  <si>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</si>
  <si>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</si>
  <si>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</si>
  <si>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</si>
  <si>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</si>
  <si>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</si>
  <si>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</si>
  <si>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</si>
  <si>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</si>
  <si>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</si>
  <si>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</si>
  <si>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</si>
  <si>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</si>
  <si>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</si>
  <si>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</si>
  <si>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</si>
  <si>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</si>
  <si>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</si>
  <si>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</si>
  <si>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</si>
  <si>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</si>
  <si>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</si>
  <si>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</si>
  <si>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</si>
  <si>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</si>
  <si>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</si>
  <si>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</si>
  <si>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</si>
  <si>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</si>
  <si>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</si>
  <si>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</si>
  <si>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</si>
  <si>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</si>
  <si>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</si>
  <si>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</si>
  <si>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</si>
  <si>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</si>
  <si>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</si>
  <si>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</si>
  <si>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</si>
  <si>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</si>
  <si>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</si>
  <si>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</si>
  <si>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</si>
  <si>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</si>
  <si>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</si>
  <si>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</si>
  <si>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</si>
  <si>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</si>
  <si>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</si>
  <si>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</si>
  <si>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</si>
  <si>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</si>
  <si>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</si>
  <si>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</si>
  <si>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</si>
  <si>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</si>
  <si>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</si>
  <si>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</si>
  <si>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</si>
  <si>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</si>
  <si>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</si>
  <si>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</si>
  <si>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</si>
  <si>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</si>
  <si>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</si>
  <si>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</si>
  <si>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</si>
  <si>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</si>
  <si>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По факту 2024 года, подтвержденному 2-ТП (водхоз) и декларацией по водному налогу</t>
  </si>
  <si>
    <t>постановление РЭК Кузбасса № 168 от 12.10.2023</t>
  </si>
  <si>
    <t>Объем по прочим потребителям принят по расчету регулирующего органа в соответствии с п.4, 5 Методических указаний на основании данных о динамике фактических объемов за предыдущие 3 года. Объем на собственные нужды производства расчитан исходя из объема поднятой воды, предложенного организацией за минусом объема прочего потребителя</t>
  </si>
  <si>
    <t>Объем по прочим потребителям принят по расчету регулирующего органа в соответствии с п.5 Методических указаний на основании данных о динамике фактических объемов за предыдущие 3 года, объем на собственные нужды производства рассчитан исходя из объема принятых сточных вод, предложенного организацией за минусом объема прочего потребителя</t>
  </si>
  <si>
    <t>{                  _x000D_
         funcDyn: 'msg1',_x000D_
         blok: 'blok_1',_x000D_
         wsCross: 'Условные метры',_x000D_
         linkFormula: 'AB-AB',_x000D_
         levelDyn: ''_x000D_
}</t>
  </si>
  <si>
    <t>Согласно п. 4 Методических указаний № 1746-э, расчетный объем отпуска воды, объем принятых сточных вод, оказываемых услуг определяются в соответствии с Приложениями 1, 1.1  Методических указаний на очередной год и каждый год в течение долгосрочного периода регулирования (при установлении тарифов на долгосрочный период регулирования), исходя из фактического объема отпуска воды (приема сточных вод) за последний отчетный год и динамики отпуска воды (приема сточных вод) за последние 3 года, в том числе с учетом подключения (технологического присоединения) объектов потребителей к централизованным системам водоснабжения и (или) водоотведения и прекращения подачи воды (приема сточных вод) в отношении объектов потребителей, а также изменения порядка определения количества поданной воды (принятых сточных вод), включая переход от применения расчетных способов определения количества поданной воды (принятых сточных вод) к использованию приборов учета воды (сточных вод).</t>
  </si>
  <si>
    <t>Согласно п. 5 и п. 8 Методических указаний № 1746-э, объем принятых сточных вод определяется по формулам (1;1.1.). При расчете объема воды, отпускаемой (планируемой к отпуску) абонентас, принятых сточных вод на очередной год используются фактические объемы принятых сточных вод за предшествующие три года, определяемые органом регулирования с учетом представленной регулируемыми организациями информации в соответствии со Стандартами раскрытия информации организациями коммунального комплекса, утвержденными постановлением Правительства Российской Федерации от 30 декабря 2009 г. N 1140 (Собрание законодательства Российской Федерации, 2010, N 3, ст. 302; 2013, N 3, ст. 205; N 28, ст. 3835), Стандартами раскрытия информации в сфере водоснабжения и водоотведения, утвержденными постановлением Правительства Российской Федерации от 17 января 2013 г. N 6 (Собрание законодательства Российской Федерации, 2013, N 3, ст. 205).</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</si>
  <si>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</si>
  <si>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</si>
  <si>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</si>
  <si>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</si>
  <si>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</si>
  <si>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</si>
  <si>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</si>
  <si>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</si>
  <si>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</si>
  <si>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</si>
  <si>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</si>
  <si>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</si>
  <si>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</si>
  <si>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</si>
  <si>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</si>
  <si>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</si>
  <si>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</si>
  <si>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</si>
  <si>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</si>
  <si>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</si>
  <si>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</si>
  <si>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</si>
  <si>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</si>
  <si>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</si>
  <si>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</si>
  <si>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</si>
  <si>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</si>
  <si>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</si>
  <si>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</si>
  <si>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</si>
  <si>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</si>
  <si>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</si>
  <si>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</si>
  <si>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</si>
  <si>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</si>
  <si>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</si>
  <si>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</si>
  <si>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</si>
  <si>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</si>
  <si>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</si>
  <si>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</si>
  <si>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</si>
  <si>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</si>
  <si>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</si>
  <si>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</si>
  <si>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</si>
  <si>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</si>
  <si>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</si>
  <si>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</si>
  <si>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</si>
  <si>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</si>
  <si>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</si>
  <si>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</si>
  <si>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</si>
  <si>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</si>
  <si>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</si>
  <si>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</si>
  <si>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</si>
  <si>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</si>
  <si>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</si>
  <si>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</si>
  <si>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</si>
  <si>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</si>
  <si>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</si>
  <si>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</si>
  <si>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</si>
  <si>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</si>
  <si>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</si>
  <si>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</si>
  <si>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</si>
  <si>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</si>
  <si>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</si>
  <si>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</si>
  <si>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</si>
  <si>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</si>
  <si>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СН2</t>
  </si>
  <si>
    <t>Принят по предложению организации (с учетом тарифа Электросети), так как не превышают фактический тариф 2024 года (2,674), с учетом индексов Минэкономразвития России на 2025 год (109,8%), на 2026 год (104,0%). Поставщики АО "Энергопромышленная компания" и АО "Электросеть"</t>
  </si>
  <si>
    <t>Объем принят исходя из утвержденного удельного расхода энергии (1,339 кВт.ч/м3) на плановый объем поднятой воды (163933,00 м3)</t>
  </si>
  <si>
    <t>Объем принят исходя из утвержденного удельного расхода энергии (1,429 кВт.ч/м3) на плановый объем пропущенных сточных вод (136481,9 м3)</t>
  </si>
  <si>
    <t>{                  _x000D_
         funcDyn: 'msg1',_x000D_
         blok: 'blok_1',_x000D_
         wsCross: 'Амортизация',_x000D_
         linkFormula: 'AB-AB',_x000D_
         levelDyn: ''_x000D_
}</t>
  </si>
  <si>
    <t>Согласно ст. 20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в необходимую валовую выручку регулируемой организации включаются расходы на приобретение электрической энергии (мощности) в объеме, определенном исходя из удельных расходов на электрическую энергию в расчете на объем воды, в отношении которой осуществляется водоподготовка, и (или) на объем транспортируемой воды (объем сточных вод, подвергающихся очистке, и (или) объем транспортируемых сточных вод), и объема используемой мощности, а также исходя из плановых (расчетных) цен (тарифов) на электрическую энергию (мощность).</t>
  </si>
  <si>
    <t>В соответствии с п. 95 Методических указаний расходы на приобретение энергетических ресурсов, определяемые на основе фактических значений параметров расчета тарифов взамен прогнозных, определяются по формуле (39.1)</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</si>
  <si>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</si>
  <si>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</si>
  <si>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</si>
  <si>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</si>
  <si>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</si>
  <si>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</si>
  <si>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</si>
  <si>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</si>
  <si>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</si>
  <si>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</si>
  <si>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</si>
  <si>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</si>
  <si>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</si>
  <si>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</si>
  <si>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</si>
  <si>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</si>
  <si>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</si>
  <si>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</si>
  <si>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</si>
  <si>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</si>
  <si>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</si>
  <si>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</si>
  <si>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</si>
  <si>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</si>
  <si>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</si>
  <si>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</si>
  <si>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</si>
  <si>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</si>
  <si>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</si>
  <si>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</si>
  <si>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</si>
  <si>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</si>
  <si>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</si>
  <si>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</si>
  <si>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</si>
  <si>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</si>
  <si>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</si>
  <si>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</si>
  <si>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</si>
  <si>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</si>
  <si>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</si>
  <si>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</si>
  <si>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</si>
  <si>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</si>
  <si>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</si>
  <si>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</si>
  <si>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</si>
  <si>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</si>
  <si>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</si>
  <si>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</si>
  <si>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</si>
  <si>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</si>
  <si>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</si>
  <si>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</si>
  <si>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</si>
  <si>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</si>
  <si>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</si>
  <si>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</si>
  <si>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</si>
  <si>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</si>
  <si>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</si>
  <si>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</si>
  <si>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</si>
  <si>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</si>
  <si>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</si>
  <si>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</si>
  <si>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</si>
  <si>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</si>
  <si>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</si>
  <si>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</si>
  <si>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</si>
  <si>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</si>
  <si>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</si>
  <si>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</si>
  <si>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</si>
  <si>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</si>
  <si>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</si>
  <si>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</si>
  <si>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</si>
  <si>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</si>
  <si>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</si>
  <si>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</si>
  <si>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</si>
  <si>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</si>
  <si>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</si>
  <si>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</si>
  <si>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</si>
  <si>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</si>
  <si>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</si>
  <si>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</si>
  <si>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</si>
  <si>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</si>
  <si>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</si>
  <si>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</si>
  <si>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</si>
  <si>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</si>
  <si>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</si>
  <si>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</si>
  <si>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</si>
  <si>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По предложению организации (подтверждено бух. отчетностью), без учета установки водоподготовки для очистки питьевой воды (введена в эксплуатаци. 31.12.2016 без согласования с регулирующим органом), так как не доказана предприятием необходимость установки водоподготовки для очистки питьевой воды для нужд технического водоснабжения.</t>
  </si>
  <si>
    <t>По предложению организации (подтверждено бух. отчетностью), без учета очистных сооружений хоз-бытовых сточных вод , введенных в эксплуатацию в 2017 году и установки для очистки промышленных стоков, введенных в эксплуатацию в 2022 году. Согласно п. 10 Постановления правительства РФ № 641 от 29.07.2013 года «Об инвестиционных и производственных программах организаций, осуществляющих деятельность в сфере водоснабжения и водоотведения» мероприятия по строительству объектов централизованных систем водоснабжения и (или) водоотведения должны выполняться за счет инвестиционной программы. Организация в регулирующий орган за утверждением инвестиционной программы не обращалась).</t>
  </si>
  <si>
    <t>{                  _x000D_
         funcDyn: 'msg1',_x000D_
         blok: 'blok_1',_x000D_
         wsCross: 'Амортизация (аналог)',_x000D_
         linkFormula: 'AB-AB',_x000D_
         levelDyn: ''_x000D_
}</t>
  </si>
  <si>
    <t xml:space="preserve">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 </t>
  </si>
  <si>
    <t xml:space="preserve">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 </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</si>
  <si>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N 1 (Собрание законодательства Российской Федерации, 2002, N 1, ст. 52; 2020, N 1, ст. 104).</t>
  </si>
  <si>
    <t>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</si>
  <si>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</si>
  <si>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</si>
  <si>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</si>
  <si>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</si>
  <si>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</si>
  <si>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</si>
  <si>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</si>
  <si>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</si>
  <si>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</si>
  <si>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</si>
  <si>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</si>
  <si>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</si>
  <si>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</si>
  <si>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</si>
  <si>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</si>
  <si>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</si>
  <si>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</si>
  <si>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</si>
  <si>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</si>
  <si>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</si>
  <si>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</si>
  <si>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</si>
  <si>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</si>
  <si>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</si>
  <si>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</si>
  <si>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</si>
  <si>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</si>
  <si>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</si>
  <si>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</si>
  <si>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</si>
  <si>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</si>
  <si>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</si>
  <si>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</si>
  <si>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</si>
  <si>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</si>
  <si>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</si>
  <si>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</si>
  <si>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</si>
  <si>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</si>
  <si>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</si>
  <si>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</si>
  <si>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</si>
  <si>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</si>
  <si>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</si>
  <si>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</si>
  <si>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</si>
  <si>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</si>
  <si>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</si>
  <si>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</si>
  <si>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</si>
  <si>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</si>
  <si>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</si>
  <si>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</si>
  <si>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</si>
  <si>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</si>
  <si>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</si>
  <si>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</si>
  <si>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</si>
  <si>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</si>
  <si>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</si>
  <si>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</si>
  <si>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</si>
  <si>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</si>
  <si>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</si>
  <si>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</si>
  <si>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</si>
  <si>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</si>
  <si>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</si>
  <si>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</si>
  <si>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</si>
  <si>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</si>
  <si>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</si>
  <si>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</si>
  <si>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</si>
  <si>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</si>
  <si>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</si>
  <si>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</si>
  <si>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</si>
  <si>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</si>
  <si>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</si>
  <si>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</si>
  <si>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</si>
  <si>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</si>
  <si>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</si>
  <si>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</si>
  <si>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</si>
  <si>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</si>
  <si>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</si>
  <si>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</si>
  <si>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</si>
  <si>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</si>
  <si>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</si>
  <si>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</si>
  <si>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</si>
  <si>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</si>
  <si>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</si>
  <si>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</si>
  <si>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</si>
  <si>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</si>
  <si>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</si>
  <si>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</si>
  <si>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</si>
  <si>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</si>
  <si>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</si>
  <si>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</si>
  <si>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</si>
  <si>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</si>
  <si>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</si>
  <si>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</si>
  <si>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</si>
  <si>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</si>
  <si>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</si>
  <si>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</si>
  <si>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</si>
  <si>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</si>
  <si>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</si>
  <si>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</si>
  <si>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</si>
  <si>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</si>
  <si>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</si>
  <si>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</si>
  <si>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</si>
  <si>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</si>
  <si>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</si>
  <si>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</si>
  <si>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</si>
  <si>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</si>
  <si>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</si>
  <si>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</si>
  <si>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</si>
  <si>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</si>
  <si>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</si>
  <si>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</si>
  <si>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</si>
  <si>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</si>
  <si>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</si>
  <si>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</si>
  <si>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</si>
  <si>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</si>
  <si>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</si>
  <si>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</si>
  <si>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</si>
  <si>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</si>
  <si>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</si>
  <si>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</si>
  <si>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</si>
  <si>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</si>
  <si>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</si>
  <si>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</si>
  <si>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</si>
  <si>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</si>
  <si>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</si>
  <si>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</si>
  <si>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</si>
  <si>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</si>
  <si>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</si>
  <si>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</si>
  <si>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</si>
  <si>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</si>
  <si>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</si>
  <si>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</si>
  <si>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</si>
  <si>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</si>
  <si>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</si>
  <si>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</si>
  <si>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</si>
  <si>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</si>
  <si>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</si>
  <si>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</si>
  <si>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</si>
  <si>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</si>
  <si>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</si>
  <si>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</si>
  <si>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</si>
  <si>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</si>
  <si>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</si>
  <si>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</si>
  <si>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</si>
  <si>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</si>
  <si>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</si>
  <si>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</si>
  <si>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</si>
  <si>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</si>
  <si>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</si>
  <si>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</si>
  <si>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</si>
  <si>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</si>
  <si>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</si>
  <si>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</si>
  <si>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</si>
  <si>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</si>
  <si>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</si>
  <si>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</si>
  <si>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</si>
  <si>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</si>
  <si>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</si>
  <si>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</si>
  <si>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</si>
  <si>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</si>
  <si>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</si>
  <si>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</si>
  <si>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</si>
  <si>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</si>
  <si>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</si>
  <si>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</si>
  <si>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</si>
  <si>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</si>
  <si>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</si>
  <si>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</si>
  <si>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</si>
  <si>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</si>
  <si>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</si>
  <si>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</si>
  <si>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</si>
  <si>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</si>
  <si>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</si>
  <si>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</si>
  <si>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</si>
  <si>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</si>
  <si>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</si>
  <si>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</si>
  <si>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</si>
  <si>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</si>
  <si>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</si>
  <si>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</si>
  <si>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</si>
  <si>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</si>
  <si>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</si>
  <si>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По предложению организации, так как не превышает расчет регулятора (участок 42:10:01 07 003:25 по факту 2024 года в доле площади, относимой к тарифу (224,9 тыс. руб.))</t>
  </si>
  <si>
    <t>По предложению организации, так как не превышает расчет регулятора (271,8 тыс. руб.) исходя из объема поднятой воды и ставок водного налога в соответствии с Налоговым кодексом  РФ</t>
  </si>
  <si>
    <t>По предложению организации, так как не превышает расчет регулятор в соответствии с НК РФ (исходя из остаточной стоимости объектов) 34,6 тыс. руб.</t>
  </si>
  <si>
    <t>по факту 2024 года выпуск № 3 в р. Кыргай (по декларации 373,51 руб.)</t>
  </si>
  <si>
    <t>по расчету регулятора в соответствии с НК РФ (исходя из остаточной стоимости недвижимого имущества)</t>
  </si>
  <si>
    <t>{                  _x000D_
         funcDyn: 'msg1',_x000D_
         blok: 'blok_1',_x000D_
         wsCross: 'ИП + источники',_x000D_
         linkFormula: 'AB-AB',_x000D_
         levelDyn: ''_x000D_
}</t>
  </si>
  <si>
    <t>Согласно ст. 30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 размещение отходов и другие виды негативного воздействия на окружающую среду, размер которой определяется исходя из того, что указанные выбросы (сбросы) и размещение осуществляются в пределах установленных нормативов и (или) лимитов, в том числе в соответствии с планами снижения сбросов.</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</si>
  <si>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</si>
  <si>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</si>
  <si>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</si>
  <si>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</si>
  <si>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</si>
  <si>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</si>
  <si>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</si>
  <si>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</si>
  <si>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</si>
  <si>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</si>
  <si>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</si>
  <si>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</si>
  <si>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</si>
  <si>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</si>
  <si>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</si>
  <si>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</si>
  <si>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</si>
  <si>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</si>
  <si>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</si>
  <si>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</si>
  <si>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</si>
  <si>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</si>
  <si>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</si>
  <si>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</si>
  <si>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</si>
  <si>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</si>
  <si>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</si>
  <si>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</si>
  <si>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</si>
  <si>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</si>
  <si>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</si>
  <si>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</si>
  <si>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</si>
  <si>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</si>
  <si>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</si>
  <si>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</si>
  <si>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</si>
  <si>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</si>
  <si>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</si>
  <si>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</si>
  <si>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</si>
  <si>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</si>
  <si>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</si>
  <si>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</si>
  <si>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</si>
  <si>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</si>
  <si>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</si>
  <si>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</si>
  <si>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</si>
  <si>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</si>
  <si>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</si>
  <si>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</si>
  <si>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</si>
  <si>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</si>
  <si>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</si>
  <si>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</si>
  <si>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</si>
  <si>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</si>
  <si>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</si>
  <si>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</si>
  <si>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</si>
  <si>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</si>
  <si>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</si>
  <si>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</si>
  <si>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</si>
  <si>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</si>
  <si>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</si>
  <si>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</si>
  <si>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</si>
  <si>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</si>
  <si>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</si>
  <si>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</si>
  <si>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</si>
  <si>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</si>
  <si>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</si>
  <si>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</si>
  <si>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</si>
  <si>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</si>
  <si>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</si>
  <si>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</si>
  <si>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</si>
  <si>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</si>
  <si>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</si>
  <si>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</si>
  <si>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</si>
  <si>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</si>
  <si>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</si>
  <si>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</si>
  <si>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</si>
  <si>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</si>
  <si>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</si>
  <si>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</si>
  <si>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</si>
  <si>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</si>
  <si>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</si>
  <si>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</si>
  <si>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</si>
  <si>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</si>
  <si>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</si>
  <si>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</si>
  <si>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</si>
  <si>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</si>
  <si>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</si>
  <si>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</si>
  <si>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</si>
  <si>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</si>
  <si>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</si>
  <si>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</si>
  <si>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</si>
  <si>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</si>
  <si>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</si>
  <si>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</si>
  <si>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</si>
  <si>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</si>
  <si>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</si>
  <si>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</si>
  <si>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</si>
  <si>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</si>
  <si>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</si>
  <si>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</si>
  <si>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charset val="204"/>
        <family val="2"/>
        <rFont val="Tahoma"/>
        <sz val="9"/>
        <vertAlign val="superscript"/>
      </rPr>
      <t>K</t>
    </r>
    <r>
      <rPr>
        <b/>
        <charset val="204"/>
        <family val="2"/>
        <rFont val="Tahoma"/>
        <sz val="9"/>
        <vertAlign val="subscript"/>
      </rPr>
      <t>i-2</t>
    </r>
  </si>
  <si>
    <t>P_NVV_CORR_AMOUNT</t>
  </si>
  <si>
    <t>Товарная выручка</t>
  </si>
  <si>
    <r>
      <t>ТВ</t>
    </r>
    <r>
      <rPr>
        <b/>
        <charset val="204"/>
        <family val="2"/>
        <rFont val="Tahoma"/>
        <sz val="9"/>
        <vertAlign val="superscript"/>
      </rPr>
      <t>Ф</t>
    </r>
    <r>
      <rPr>
        <b/>
        <charset val="204"/>
        <family val="2"/>
        <rFont val="Tahoma"/>
        <sz val="9"/>
        <vertAlign val="subscript"/>
      </rPr>
      <t>i-2</t>
    </r>
  </si>
  <si>
    <t>P_GOODS_INCOME</t>
  </si>
  <si>
    <t>Скорректированная фактическая величина необходимой валовой выручки</t>
  </si>
  <si>
    <r>
      <t>HBB</t>
    </r>
    <r>
      <rPr>
        <b/>
        <charset val="204"/>
        <family val="2"/>
        <rFont val="Tahoma"/>
        <sz val="9"/>
        <vertAlign val="superscript"/>
      </rPr>
      <t>Ф</t>
    </r>
    <r>
      <rPr>
        <b/>
        <charset val="204"/>
        <family val="2"/>
        <rFont val="Tahoma"/>
        <sz val="9"/>
        <vertAlign val="subscript"/>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</si>
  <si>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</si>
  <si>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</si>
  <si>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</si>
  <si>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charset val="204"/>
        <family val="2"/>
        <rFont val="Tahoma"/>
        <sz val="9"/>
        <vertAlign val="superscript"/>
      </rPr>
      <t>Ф</t>
    </r>
    <r>
      <rPr>
        <charset val="204"/>
        <family val="2"/>
        <rFont val="Tahoma"/>
        <sz val="9"/>
        <vertAlign val="subscript"/>
      </rPr>
      <t>i-2</t>
    </r>
  </si>
  <si>
    <t>P_EXP_FROM_FACT</t>
  </si>
  <si>
    <t>фактические документально подтвержденные неподконтрольные расходы, в том числе:</t>
  </si>
  <si>
    <r>
      <t>Н Р</t>
    </r>
    <r>
      <rPr>
        <charset val="204"/>
        <family val="2"/>
        <rFont val="Tahoma"/>
        <sz val="9"/>
        <vertAlign val="superscript"/>
      </rPr>
      <t>Ф</t>
    </r>
    <r>
      <rPr>
        <charset val="204"/>
        <family val="2"/>
        <rFont val="Tahoma"/>
        <sz val="9"/>
        <vertAlign val="subscript"/>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</si>
  <si>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</si>
  <si>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</si>
  <si>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</si>
  <si>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</si>
  <si>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</si>
  <si>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</si>
  <si>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</si>
  <si>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</si>
  <si>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</si>
  <si>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</si>
  <si>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</si>
  <si>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</si>
  <si>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</si>
  <si>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</si>
  <si>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</si>
  <si>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</si>
  <si>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</si>
  <si>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</si>
  <si>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</si>
  <si>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</si>
  <si>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</si>
  <si>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</si>
  <si>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</si>
  <si>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</si>
  <si>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</si>
  <si>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</si>
  <si>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</si>
  <si>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</si>
  <si>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</si>
  <si>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</si>
  <si>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</si>
  <si>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</si>
  <si>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</si>
  <si>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</si>
  <si>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</si>
  <si>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</si>
  <si>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</si>
  <si>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</si>
  <si>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</si>
  <si>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</si>
  <si>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</si>
  <si>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</si>
  <si>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</si>
  <si>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</si>
  <si>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</si>
  <si>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</si>
  <si>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</si>
  <si>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</si>
  <si>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</si>
  <si>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</si>
  <si>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</si>
  <si>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</si>
  <si>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charset val="204"/>
        <family val="2"/>
        <rFont val="Tahoma"/>
        <sz val="9"/>
        <vertAlign val="superscript"/>
      </rPr>
      <t>Ф</t>
    </r>
    <r>
      <rPr>
        <charset val="204"/>
        <family val="2"/>
        <rFont val="Tahoma"/>
        <sz val="9"/>
        <vertAlign val="subscript"/>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</si>
  <si>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</si>
  <si>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</si>
  <si>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</si>
  <si>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</si>
  <si>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</si>
  <si>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</si>
  <si>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</si>
  <si>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</si>
  <si>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</si>
  <si>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</si>
  <si>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</si>
  <si>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</si>
  <si>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</si>
  <si>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</si>
  <si>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</si>
  <si>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</si>
  <si>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</si>
  <si>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</si>
  <si>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charset val="204"/>
        <family val="2"/>
        <rFont val="Tahoma"/>
        <sz val="9"/>
        <vertAlign val="superscript"/>
      </rPr>
      <t>Ф</t>
    </r>
    <r>
      <rPr>
        <charset val="204"/>
        <family val="2"/>
        <rFont val="Tahoma"/>
        <sz val="9"/>
        <vertAlign val="subscript"/>
      </rPr>
      <t>i-2</t>
    </r>
  </si>
  <si>
    <t>Нормативная прибыль</t>
  </si>
  <si>
    <t>l1_2_5</t>
  </si>
  <si>
    <t>величина нормативной прибыли</t>
  </si>
  <si>
    <r>
      <t>ПР</t>
    </r>
    <r>
      <rPr>
        <charset val="204"/>
        <family val="2"/>
        <rFont val="Tahoma"/>
        <sz val="9"/>
        <vertAlign val="subscript"/>
      </rPr>
      <t>i-2</t>
    </r>
  </si>
  <si>
    <t>P_NORM_INCOME</t>
  </si>
  <si>
    <t>РПП</t>
  </si>
  <si>
    <t>l1_2_6</t>
  </si>
  <si>
    <t>2.6</t>
  </si>
  <si>
    <t>расчетная предпринимательская прибыль гарантирующей организации</t>
  </si>
  <si>
    <r>
      <t>ПР</t>
    </r>
    <r>
      <rPr>
        <charset val="204"/>
        <family val="2"/>
        <rFont val="Tahoma"/>
        <sz val="9"/>
        <vertAlign val="superscript"/>
      </rPr>
      <t>ГО Ф</t>
    </r>
    <r>
      <rPr>
        <charset val="204"/>
        <family val="2"/>
        <rFont val="Tahoma"/>
        <sz val="9"/>
        <vertAlign val="subscript"/>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</si>
  <si>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</si>
  <si>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</si>
  <si>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</si>
  <si>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</si>
  <si>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</si>
  <si>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</si>
  <si>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</si>
  <si>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</si>
  <si>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charset val="204"/>
        <family val="2"/>
        <rFont val="Tahoma"/>
        <sz val="9"/>
        <vertAlign val="subscript"/>
      </rPr>
      <t>i-4</t>
    </r>
  </si>
  <si>
    <t>P_WATER_OBJ_IN</t>
  </si>
  <si>
    <t>l1_2_8</t>
  </si>
  <si>
    <t>2.7.2</t>
  </si>
  <si>
    <t>степень исполнения регулируемой организацией производственной программы</t>
  </si>
  <si>
    <r>
      <t>ΔЦП</t>
    </r>
    <r>
      <rPr>
        <charset val="204"/>
        <family val="2"/>
        <rFont val="Tahoma"/>
        <sz val="9"/>
        <vertAlign val="subscript"/>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</si>
  <si>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</si>
  <si>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</si>
  <si>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</si>
  <si>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</si>
  <si>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</si>
  <si>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</si>
  <si>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</si>
  <si>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</si>
  <si>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</si>
  <si>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</si>
  <si>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</si>
  <si>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</si>
  <si>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</si>
  <si>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</si>
  <si>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</si>
  <si>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</si>
  <si>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</si>
  <si>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</si>
  <si>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</si>
  <si>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</si>
  <si>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</si>
  <si>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</si>
  <si>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</si>
  <si>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</si>
  <si>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</si>
  <si>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</si>
  <si>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</si>
  <si>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</si>
  <si>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</si>
  <si>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</si>
  <si>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</si>
  <si>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charset val="204"/>
        <family val="2"/>
        <rFont val="Tahoma"/>
        <sz val="9"/>
        <vertAlign val="subscript"/>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</si>
  <si>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</si>
  <si>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</si>
  <si>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</si>
  <si>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charset val="204"/>
        <family val="2"/>
        <rFont val="Tahoma"/>
        <sz val="9"/>
        <vertAlign val="superscript"/>
      </rPr>
      <t>+</t>
    </r>
    <r>
      <rPr>
        <charset val="204"/>
        <family val="2"/>
        <rFont val="Tahoma"/>
        <sz val="9"/>
        <vertAlign val="subscript"/>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</si>
  <si>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</si>
  <si>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</si>
  <si>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</si>
  <si>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charset val="204"/>
        <family val="2"/>
        <rFont val="Tahoma"/>
        <sz val="9"/>
        <vertAlign val="superscript"/>
      </rPr>
      <t>-</t>
    </r>
    <r>
      <rPr>
        <charset val="204"/>
        <family val="2"/>
        <rFont val="Tahoma"/>
        <sz val="9"/>
        <vertAlign val="subscript"/>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</si>
  <si>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</si>
  <si>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</si>
  <si>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</si>
  <si>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charset val="204"/>
        <family val="2"/>
        <rFont val="Tahoma"/>
        <sz val="9"/>
        <vertAlign val="subscript"/>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</si>
  <si>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</si>
  <si>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</si>
  <si>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</si>
  <si>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charset val="204"/>
        <family val="2"/>
        <rFont val="Tahoma"/>
        <sz val="9"/>
        <vertAlign val="subscript"/>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</si>
  <si>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</si>
  <si>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</si>
  <si>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</si>
  <si>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</si>
  <si>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</si>
  <si>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</si>
  <si>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</si>
  <si>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</si>
  <si>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</si>
  <si>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</si>
  <si>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</si>
  <si>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</si>
  <si>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</si>
  <si>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</si>
  <si>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</si>
  <si>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По плану 2024 в доле 3,39773%, приходящейся на потребительский рынок</t>
  </si>
  <si>
    <t>По факту 2024 года (подробно на листе "Налоги"), в доле 3,39773%, приходящейся на потребительский рынок</t>
  </si>
  <si>
    <t>По факту 2024 года (подробно на листе "ЭЭ"), в доле 3,39773%, приходящейся на потребительский рынок</t>
  </si>
  <si>
    <t>По плану 2024 в доле 5,885%, приходящейся на потребительский рынок</t>
  </si>
  <si>
    <t>По факту 2024 года (подробно на листе "Налоги"), в доле 5,885%%, приходящейся на потребительский рынок</t>
  </si>
  <si>
    <t>По факту 2024 года (подробно на листе "ЭЭ"), в доле 5,885%, приходящейся на потребительский рынок</t>
  </si>
  <si>
    <t>По факту 2024 года (подробно на листе "Амортизация"), в доле 5,885%, приходящейся на потребительский рынок</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</si>
  <si>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</si>
  <si>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</si>
  <si>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</si>
  <si>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</si>
  <si>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</si>
  <si>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</si>
  <si>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</si>
  <si>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</si>
  <si>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</si>
  <si>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</si>
  <si>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</si>
  <si>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</si>
  <si>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</si>
  <si>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</si>
  <si>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</si>
  <si>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</si>
  <si>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</si>
  <si>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</si>
  <si>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</si>
  <si>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charset val="204"/>
        <family val="2"/>
        <rFont val="Tahoma"/>
        <sz val="9"/>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</si>
  <si>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</si>
  <si>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</si>
  <si>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</si>
  <si>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</si>
  <si>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</si>
  <si>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</si>
  <si>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</si>
  <si>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</si>
  <si>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</si>
  <si>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</si>
  <si>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</si>
  <si>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</si>
  <si>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</si>
  <si>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</si>
  <si>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</si>
  <si>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</si>
  <si>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</si>
  <si>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</si>
  <si>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</si>
  <si>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</si>
  <si>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</si>
  <si>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</si>
  <si>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</si>
  <si>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</si>
  <si>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</si>
  <si>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</si>
  <si>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</si>
  <si>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</si>
  <si>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</si>
  <si>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</si>
  <si>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</si>
  <si>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</si>
  <si>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</si>
  <si>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</si>
  <si>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</si>
  <si>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</si>
  <si>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</si>
  <si>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</si>
  <si>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</si>
  <si>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</si>
  <si>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</si>
  <si>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</si>
  <si>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</si>
  <si>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</si>
  <si>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</si>
  <si>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</si>
  <si>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</si>
  <si>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</si>
  <si>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</si>
  <si>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</si>
  <si>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</si>
  <si>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</si>
  <si>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</si>
  <si>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</si>
  <si>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</si>
  <si>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</si>
  <si>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</si>
  <si>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</si>
  <si>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</si>
  <si>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</si>
  <si>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</si>
  <si>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</si>
  <si>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</si>
  <si>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</si>
  <si>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</si>
  <si>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</si>
  <si>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</si>
  <si>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</si>
  <si>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</si>
  <si>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</si>
  <si>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</si>
  <si>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charset val="204"/>
        <family val="2"/>
        <rFont val="Tahoma"/>
        <sz val="9"/>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</si>
  <si>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</si>
  <si>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</si>
  <si>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</si>
  <si>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</si>
  <si>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</si>
  <si>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</si>
  <si>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</si>
  <si>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</si>
  <si>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</si>
  <si>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</si>
  <si>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</si>
  <si>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</si>
  <si>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</si>
  <si>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</si>
  <si>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</si>
  <si>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</si>
  <si>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</si>
  <si>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</si>
  <si>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</si>
  <si>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</si>
  <si>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</si>
  <si>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</si>
  <si>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</si>
  <si>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</si>
  <si>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</si>
  <si>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</si>
  <si>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</si>
  <si>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</si>
  <si>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</si>
  <si>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</si>
  <si>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</si>
  <si>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</si>
  <si>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</si>
  <si>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</si>
  <si>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</si>
  <si>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</si>
  <si>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</si>
  <si>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</si>
  <si>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</si>
  <si>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</si>
  <si>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</si>
  <si>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</si>
  <si>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</si>
  <si>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</si>
  <si>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</si>
  <si>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</si>
  <si>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</si>
  <si>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</si>
  <si>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</si>
  <si>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</si>
  <si>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</si>
  <si>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</si>
  <si>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</si>
  <si>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</si>
  <si>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</si>
  <si>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</si>
  <si>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</si>
  <si>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</si>
  <si>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</si>
  <si>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</si>
  <si>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</si>
  <si>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</si>
  <si>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</si>
  <si>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</si>
  <si>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</si>
  <si>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</si>
  <si>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</si>
  <si>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</si>
  <si>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</si>
  <si>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</si>
  <si>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</si>
  <si>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</si>
  <si>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</si>
  <si>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</si>
  <si>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</si>
  <si>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</si>
  <si>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</si>
  <si>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</si>
  <si>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</si>
  <si>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</si>
  <si>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</si>
  <si>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</si>
  <si>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</si>
  <si>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</si>
  <si>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</si>
  <si>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</si>
  <si>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</si>
  <si>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</si>
  <si>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</si>
  <si>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</si>
  <si>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</si>
  <si>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</si>
  <si>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</si>
  <si>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</si>
  <si>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</si>
  <si>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</si>
  <si>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</si>
  <si>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</si>
  <si>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</si>
  <si>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</si>
  <si>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</si>
  <si>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</si>
  <si>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</si>
  <si>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</si>
  <si>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</si>
  <si>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</si>
  <si>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</si>
  <si>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</si>
  <si>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</si>
  <si>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</si>
  <si>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</si>
  <si>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</si>
  <si>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</si>
  <si>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</si>
  <si>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</si>
  <si>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</si>
  <si>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</si>
  <si>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</si>
  <si>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</si>
  <si>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</si>
  <si>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</si>
  <si>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</si>
  <si>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</si>
  <si>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</si>
  <si>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</si>
  <si>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</si>
  <si>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</si>
  <si>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</si>
  <si>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</si>
  <si>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</si>
  <si>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</si>
  <si>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</si>
  <si>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</si>
  <si>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</si>
  <si>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</si>
  <si>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</si>
  <si>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</si>
  <si>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</si>
  <si>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</si>
  <si>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</si>
  <si>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</si>
  <si>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</si>
  <si>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</si>
  <si>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</si>
  <si>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</si>
  <si>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</si>
  <si>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</si>
  <si>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</si>
  <si>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</si>
  <si>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</si>
  <si>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</si>
  <si>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</si>
  <si>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</si>
  <si>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</si>
  <si>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</si>
  <si>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</si>
  <si>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</si>
  <si>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</si>
  <si>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</si>
  <si>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</si>
  <si>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</si>
  <si>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</si>
  <si>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</si>
  <si>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</si>
  <si>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</si>
  <si>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</si>
  <si>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</si>
  <si>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</si>
  <si>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</si>
  <si>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</si>
  <si>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</si>
  <si>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</si>
  <si>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</si>
  <si>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</si>
  <si>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</si>
  <si>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</si>
  <si>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</si>
  <si>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</si>
  <si>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</si>
  <si>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</si>
  <si>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</si>
  <si>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</si>
  <si>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</si>
  <si>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</si>
  <si>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</si>
  <si>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</si>
  <si>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</si>
  <si>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</si>
  <si>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</si>
  <si>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</si>
  <si>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</si>
  <si>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</si>
  <si>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</si>
  <si>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</si>
  <si>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</si>
  <si>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</si>
  <si>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</si>
  <si>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</si>
  <si>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</si>
  <si>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</si>
  <si>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</si>
  <si>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</si>
  <si>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</si>
  <si>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</si>
  <si>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</si>
  <si>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</si>
  <si>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</si>
  <si>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</si>
  <si>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</si>
  <si>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</si>
  <si>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</si>
  <si>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</si>
  <si>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</si>
  <si>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</si>
  <si>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</si>
  <si>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</si>
  <si>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</si>
  <si>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</si>
  <si>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</si>
  <si>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</si>
  <si>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</si>
  <si>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</si>
  <si>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</si>
  <si>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</si>
  <si>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</si>
  <si>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</si>
  <si>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</si>
  <si>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</si>
  <si>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</si>
  <si>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</si>
  <si>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</si>
  <si>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</si>
  <si>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</si>
  <si>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</si>
  <si>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</si>
  <si>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</si>
  <si>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</si>
  <si>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</si>
  <si>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</si>
  <si>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</si>
  <si>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</si>
  <si>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</si>
  <si>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</si>
  <si>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</si>
  <si>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</si>
  <si>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</si>
  <si>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</si>
  <si>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</si>
  <si>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</si>
  <si>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</si>
  <si>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</si>
  <si>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</si>
  <si>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</si>
  <si>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</si>
  <si>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</si>
  <si>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</si>
  <si>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</si>
  <si>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</si>
  <si>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</si>
  <si>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</si>
  <si>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</si>
  <si>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</si>
  <si>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</si>
  <si>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</si>
  <si>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</si>
  <si>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</si>
  <si>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</si>
  <si>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</si>
  <si>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</si>
  <si>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</si>
  <si>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</si>
  <si>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</si>
  <si>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</si>
  <si>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</si>
  <si>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</si>
  <si>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</si>
  <si>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</si>
  <si>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</si>
  <si>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</si>
  <si>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</si>
  <si>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</si>
  <si>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</si>
  <si>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</si>
  <si>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</si>
  <si>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</si>
  <si>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</si>
  <si>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</si>
  <si>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</si>
  <si>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</si>
  <si>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</si>
  <si>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</si>
  <si>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</si>
  <si>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</si>
  <si>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</si>
  <si>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</si>
  <si>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</si>
  <si>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</si>
  <si>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</si>
  <si>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</si>
  <si>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</si>
  <si>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</si>
  <si>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</si>
  <si>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</si>
  <si>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</si>
  <si>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</si>
  <si>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</si>
  <si>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</si>
  <si>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</si>
  <si>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</si>
  <si>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</si>
  <si>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</si>
  <si>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</si>
  <si>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</si>
  <si>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</si>
  <si>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</si>
  <si>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</si>
  <si>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</si>
  <si>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</si>
  <si>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</si>
  <si>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</si>
  <si>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</si>
  <si>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</si>
  <si>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</si>
  <si>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</si>
  <si>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</si>
  <si>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</si>
  <si>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</si>
  <si>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</si>
  <si>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</si>
  <si>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</si>
  <si>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</si>
  <si>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</si>
  <si>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</si>
  <si>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</si>
  <si>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</si>
  <si>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</si>
  <si>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</si>
  <si>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</si>
  <si>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</si>
  <si>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</si>
  <si>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</si>
  <si>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</si>
  <si>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</si>
  <si>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</si>
  <si>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</si>
  <si>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</si>
  <si>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</si>
  <si>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</si>
  <si>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</si>
  <si>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</si>
  <si>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</si>
  <si>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</si>
  <si>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</si>
  <si>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</si>
  <si>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</si>
  <si>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</si>
  <si>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</si>
  <si>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</si>
  <si>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</si>
  <si>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</si>
  <si>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</si>
  <si>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</si>
  <si>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</si>
  <si>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</si>
  <si>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</si>
  <si>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</si>
  <si>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</si>
  <si>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</si>
  <si>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</si>
  <si>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</si>
  <si>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</si>
  <si>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</si>
  <si>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</si>
  <si>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</si>
  <si>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</si>
  <si>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</si>
  <si>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</si>
  <si>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</si>
  <si>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</si>
  <si>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</si>
  <si>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</si>
  <si>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</si>
  <si>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</si>
  <si>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</si>
  <si>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</si>
  <si>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</si>
  <si>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</si>
  <si>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</si>
  <si>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</si>
  <si>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</si>
  <si>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</si>
  <si>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</si>
  <si>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</si>
  <si>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</si>
  <si>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</si>
  <si>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</si>
  <si>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</si>
  <si>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</si>
  <si>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</si>
  <si>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</si>
  <si>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</si>
  <si>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</si>
  <si>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</si>
  <si>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</si>
  <si>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</si>
  <si>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</si>
  <si>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</si>
  <si>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</si>
  <si>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</si>
  <si>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</si>
  <si>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</si>
  <si>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</si>
  <si>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</si>
  <si>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</si>
  <si>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</si>
  <si>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</si>
  <si>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</si>
  <si>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</si>
  <si>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</si>
  <si>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</si>
  <si>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</si>
  <si>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</si>
  <si>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</si>
  <si>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</si>
  <si>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</si>
  <si>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</si>
  <si>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</si>
  <si>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</si>
  <si>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</si>
  <si>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</si>
  <si>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</si>
  <si>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</si>
  <si>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</si>
  <si>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</si>
  <si>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</si>
  <si>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</si>
  <si>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</si>
  <si>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</si>
  <si>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</si>
  <si>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</si>
  <si>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</si>
  <si>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</si>
  <si>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</si>
  <si>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</si>
  <si>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</si>
  <si>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</si>
  <si>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</si>
  <si>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</si>
  <si>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</si>
  <si>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</si>
  <si>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</si>
  <si>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</si>
  <si>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</si>
  <si>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</si>
  <si>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</si>
  <si>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</si>
  <si>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</si>
  <si>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</si>
  <si>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</si>
  <si>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</si>
  <si>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</si>
  <si>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</si>
  <si>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</si>
  <si>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</si>
  <si>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</si>
  <si>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</si>
  <si>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</si>
  <si>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</si>
  <si>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</si>
  <si>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</si>
  <si>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</si>
  <si>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</si>
  <si>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</si>
  <si>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</si>
  <si>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</si>
  <si>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</si>
  <si>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</si>
  <si>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</si>
  <si>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</si>
  <si>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</si>
  <si>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</si>
  <si>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</si>
  <si>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</si>
  <si>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</si>
  <si>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</si>
  <si>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</si>
  <si>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</si>
  <si>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</si>
  <si>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</si>
  <si>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</si>
  <si>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</si>
  <si>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</si>
  <si>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</si>
  <si>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</si>
  <si>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</si>
  <si>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</si>
  <si>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</si>
  <si>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</si>
  <si>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</si>
  <si>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https://data-platform.ru/lk/files/Files/imenod/71be784a-837d-45fd-90eb-4b8ef1fc086a</t>
  </si>
  <si>
    <t>Согласно п. 95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Операционные расходы скорректированные или определяемые на основе фактических значений параметров расчета тарифов взамен прогнозных определяется по формуле 39.</t>
  </si>
  <si>
    <t>Рассчитаны исходя исходя из базового уровня операционных расходов 2024 года с применением коэффициентов индексации на 2025-2026 годы, рассчитанных в соответствии с Методическими указаниями (с учетом ИПЦ Минэкономразвития России на 2025 год 105,8%, на 2026 год 104,3% а также с учетом индекса эффективности операционных расходов 1%)</t>
  </si>
  <si>
    <t>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</si>
  <si>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п. 30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</si>
  <si>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Подробный расчет на листе "Налоги"</t>
  </si>
  <si>
    <t>https://portal.eias.ru/Portal/DownloadPage.aspx?type=12&amp;guid=c42606da-41ce-43c7-b33a-f9c04d952892</t>
  </si>
  <si>
    <t>Подробный расчет на листе "ЭЭ"</t>
  </si>
  <si>
    <t>Согласно ст. 28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t>
  </si>
  <si>
    <t>Подробный расчет на листе "Амортизация"</t>
  </si>
  <si>
    <t>https://data-platform.ru/lk/files/Files/imenod/cc6ff1c6-00c3-4945-b1ba-c43e600b3d1a</t>
  </si>
  <si>
    <t>Подробный расчет на листе "Корректировка НВВ"</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</si>
  <si>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Методических указаний, утвержденных Приказом ФСТ России от 27.12.2013 N 1746-э (ред. от 05.07.2022).</t>
  </si>
  <si>
    <t>Частичный возврат отрицательного сглаживания, оставшиеся 177,46 тыс. руб. будут возвращены в следующих периодах регулирования</t>
  </si>
  <si>
    <t>https://data-platform.ru/lk/files/Files/imenod/beb1f123-5375-4ad1-8b6c-14ef7c4b4c67</t>
  </si>
  <si>
    <t>Распределение НВВ по периодам произведено исходя из не превышения уровня тарифа в 1 полугодии 2026 года над тарифом декабря 2025 года (41,52 руб./м3) на основании положений п. 9 Основ ценообразования.</t>
  </si>
  <si>
    <t>https://data-platform.ru/lk/files/Files/imenod/0f2434a7-456e-4e33-9f02-db208f3453d7</t>
  </si>
  <si>
    <t>Общий объем сглаживания за 2024-2026 гг. составляет (-1524,46 тыс. руб.), будет возвращен в течении долгосрочного периода 2027-2028 гг.</t>
  </si>
  <si>
    <t>Распределение НВВ по периодам произведено исходя из не превышения уровня тарифа в 1 полугодии 2026 года над тарифом декабря 2025 года (34,89 руб./м3)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</si>
  <si>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</si>
  <si>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</si>
  <si>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</si>
  <si>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Частичный возврат отрицательного сглаживания, оставшиеся 347,54 тыс. руб. будут возвращены в следующих периодах регулирования</t>
  </si>
  <si>
    <t>Общий объем сглаживания за 2024-2026 гг. составляет (-1643,54 тыс. руб.), будет возвращен в течении долгосрочного периода 2027-2028 гг.</t>
  </si>
  <si>
    <t>{                  _x000D_
         funcDyn: 'msg1',_x000D_
         blok: 'blok_1',_x000D_
         wsCross: 'ДПР',_x000D_
         linkFormula: 'AB-AB',_x000D_
         levelDyn: ''_x000D_
}</t>
  </si>
  <si>
    <t>Прогнозные индексы, применяемые к статьям расходов, приняты согласно основных параметров прогноза социально-экономического развития Российской Федерации на 2023 - 2027 годы, определенных в базовом варианте Прогноза социально-экономического развития Российской Федерации на 2024 год и на плановый период 2025 и 2026 годов, опубликованном 30.09.2024 года на официальном сайте Министерства экономического развития Российской Федерации (одобренный прогноз Минэкономразвития России, действующий на момент регулирования тарифов).</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</si>
  <si>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</si>
  <si>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</si>
  <si>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</si>
  <si>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</si>
  <si>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</si>
  <si>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</si>
  <si>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</si>
  <si>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</si>
  <si>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</si>
  <si>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</si>
  <si>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</si>
  <si>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</si>
  <si>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</si>
  <si>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</si>
  <si>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</si>
  <si>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</si>
  <si>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</si>
  <si>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</si>
  <si>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</si>
  <si>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</si>
  <si>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</si>
  <si>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</si>
  <si>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</si>
  <si>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</si>
  <si>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</si>
  <si>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</si>
  <si>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</si>
  <si>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</si>
  <si>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</si>
  <si>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</si>
  <si>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</si>
  <si>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</si>
  <si>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</si>
  <si>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</si>
  <si>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</si>
  <si>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</si>
  <si>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</si>
  <si>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</si>
  <si>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</si>
  <si>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</si>
  <si>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</si>
  <si>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</si>
  <si>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</si>
  <si>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</si>
  <si>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</si>
  <si>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</si>
  <si>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</si>
  <si>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</si>
  <si>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</si>
  <si>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</si>
  <si>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</si>
  <si>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</si>
  <si>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</si>
  <si>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</si>
  <si>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</si>
  <si>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</si>
  <si>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</si>
  <si>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</si>
  <si>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</si>
  <si>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</si>
  <si>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</si>
  <si>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</si>
  <si>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</si>
  <si>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</si>
  <si>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</si>
  <si>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</si>
  <si>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</si>
  <si>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</si>
  <si>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</si>
  <si>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</si>
  <si>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</si>
  <si>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</si>
  <si>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</si>
  <si>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</si>
  <si>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</si>
  <si>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</si>
  <si>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</si>
  <si>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</si>
  <si>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</si>
  <si>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</si>
  <si>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</si>
  <si>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</si>
  <si>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</si>
  <si>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</si>
  <si>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</si>
  <si>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</si>
  <si>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</si>
  <si>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</si>
  <si>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</si>
  <si>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</si>
  <si>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</si>
  <si>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</si>
  <si>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</si>
  <si>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</si>
  <si>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</si>
  <si>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</si>
  <si>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</si>
  <si>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</si>
  <si>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</si>
  <si>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</si>
  <si>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</si>
  <si>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</si>
  <si>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</si>
  <si>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</si>
  <si>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</si>
  <si>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</si>
  <si>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</si>
  <si>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</si>
  <si>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</si>
  <si>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</si>
  <si>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</si>
  <si>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</si>
  <si>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</si>
  <si>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</si>
  <si>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</si>
  <si>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</si>
  <si>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</si>
  <si>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</si>
  <si>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</si>
  <si>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</si>
  <si>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</si>
  <si>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</si>
  <si>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</si>
  <si>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</si>
  <si>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</si>
  <si>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</si>
  <si>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</si>
  <si>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</si>
  <si>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</si>
  <si>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</si>
  <si>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</si>
  <si>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</si>
  <si>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</si>
  <si>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</si>
  <si>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</si>
  <si>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</si>
  <si>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</si>
  <si>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</si>
  <si>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</si>
  <si>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</si>
  <si>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</si>
  <si>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</si>
  <si>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</si>
  <si>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</si>
  <si>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</si>
  <si>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</si>
  <si>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</si>
  <si>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</si>
  <si>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</si>
  <si>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</si>
  <si>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</si>
  <si>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</si>
  <si>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</si>
  <si>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</si>
  <si>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</si>
  <si>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</si>
  <si>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</si>
  <si>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</si>
  <si>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</si>
  <si>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</si>
  <si>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</si>
  <si>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</si>
  <si>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</si>
  <si>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</si>
  <si>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</si>
  <si>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</si>
  <si>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</si>
  <si>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</si>
  <si>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</si>
  <si>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</si>
  <si>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</si>
  <si>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</si>
  <si>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</si>
  <si>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</si>
  <si>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</si>
  <si>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</si>
  <si>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</si>
  <si>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</si>
  <si>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</si>
  <si>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</si>
  <si>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</si>
  <si>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</si>
  <si>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</si>
  <si>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</si>
  <si>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</si>
  <si>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</si>
  <si>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</si>
  <si>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</si>
  <si>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</si>
  <si>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</si>
  <si>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</si>
  <si>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</si>
  <si>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</si>
  <si>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</si>
  <si>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</si>
  <si>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</si>
  <si>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</si>
  <si>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</si>
  <si>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</si>
  <si>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</si>
  <si>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</si>
  <si>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На 2026 год тарифы пересмотрены согласно подпункту «а» пункта 2 постановления Правительства Российской Федерации от 20.11.2025 года № 1834 «О внесении изменений в некоторые акты Правительства Российской Федерации»:
 8(2). Подлежащие регулированию тарифы в сферах холодного водоснабжения, горячего водоснабжения и водоотведения, за исключением тарифов на подключение (технологическое присоединение) к централизованной системе горячего водоснабжения, холодного водоснабжения и (или)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</si>
  <si>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</si>
  <si>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</si>
  <si>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</si>
  <si>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</si>
  <si>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</si>
  <si>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</si>
  <si>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</si>
  <si>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</si>
  <si>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</si>
  <si>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</si>
  <si>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</si>
  <si>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</si>
  <si>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</si>
  <si>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</si>
  <si>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</si>
  <si>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</si>
  <si>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</si>
  <si>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</si>
  <si>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</si>
  <si>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</si>
  <si>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</si>
  <si>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</si>
  <si>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</si>
  <si>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</si>
  <si>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</si>
  <si>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</si>
  <si>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</si>
  <si>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</si>
  <si>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</si>
  <si>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</si>
  <si>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</si>
  <si>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</si>
  <si>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</si>
  <si>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</si>
  <si>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</si>
  <si>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</si>
  <si>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</si>
  <si>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</si>
  <si>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</si>
  <si>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</si>
  <si>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</si>
  <si>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</si>
  <si>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</si>
  <si>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</si>
  <si>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</si>
  <si>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</si>
  <si>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</si>
  <si>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</si>
  <si>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</si>
  <si>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</si>
  <si>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</si>
  <si>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</si>
  <si>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</si>
  <si>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</si>
  <si>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</si>
  <si>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</si>
  <si>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</si>
  <si>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</si>
  <si>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</si>
  <si>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</si>
  <si>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</si>
  <si>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</si>
  <si>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</si>
  <si>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</si>
  <si>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</si>
  <si>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</si>
  <si>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</si>
  <si>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</si>
  <si>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</si>
  <si>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</si>
  <si>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</si>
  <si>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</si>
  <si>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</si>
  <si>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</si>
  <si>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</si>
  <si>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</si>
  <si>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</si>
  <si>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</si>
  <si>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</si>
  <si>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</si>
  <si>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</si>
  <si>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</si>
  <si>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</si>
  <si>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</si>
  <si>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</si>
  <si>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</si>
  <si>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</si>
  <si>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</si>
  <si>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</si>
  <si>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</si>
  <si>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</si>
  <si>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</si>
  <si>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</si>
  <si>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</si>
  <si>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</si>
  <si>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</si>
  <si>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</si>
  <si>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</si>
  <si>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</si>
  <si>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</si>
  <si>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</si>
  <si>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</si>
  <si>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</si>
  <si>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</si>
  <si>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</si>
  <si>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</si>
  <si>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</si>
  <si>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</si>
  <si>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</si>
  <si>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</si>
  <si>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</si>
  <si>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</si>
  <si>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</si>
  <si>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</si>
  <si>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</si>
  <si>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</si>
  <si>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</si>
  <si>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</si>
  <si>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</si>
  <si>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</si>
  <si>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</si>
  <si>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</si>
  <si>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</si>
  <si>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</si>
  <si>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</si>
  <si>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</si>
  <si>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</si>
  <si>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</si>
  <si>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</si>
  <si>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</si>
  <si>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</si>
  <si>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</si>
  <si>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</si>
  <si>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</si>
  <si>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</si>
  <si>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</si>
  <si>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</si>
  <si>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</si>
  <si>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</si>
  <si>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</si>
  <si>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</si>
  <si>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</si>
  <si>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</si>
  <si>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</si>
  <si>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</si>
  <si>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</si>
  <si>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</si>
  <si>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</si>
  <si>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</si>
  <si>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</si>
  <si>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</si>
  <si>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</si>
  <si>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</si>
  <si>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</si>
  <si>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</si>
  <si>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</si>
  <si>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</si>
  <si>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</si>
  <si>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</si>
  <si>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</si>
  <si>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</si>
  <si>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</si>
  <si>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</si>
  <si>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</si>
  <si>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</si>
  <si>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</si>
  <si>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</si>
  <si>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</si>
  <si>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</si>
  <si>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</si>
  <si>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</si>
  <si>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</si>
  <si>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</si>
  <si>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</si>
  <si>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</si>
  <si>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</si>
  <si>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</si>
  <si>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</si>
  <si>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</si>
  <si>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</si>
  <si>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</si>
  <si>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</si>
  <si>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</si>
  <si>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</si>
  <si>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</si>
  <si>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</si>
  <si>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</si>
  <si>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</si>
  <si>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</si>
  <si>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</si>
  <si>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</si>
  <si>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</si>
  <si>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</si>
  <si>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</si>
  <si>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</si>
  <si>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</si>
  <si>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</si>
  <si>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</si>
  <si>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</si>
  <si>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</si>
  <si>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</si>
  <si>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</si>
  <si>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</si>
  <si>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</si>
  <si>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</si>
  <si>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</si>
  <si>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</si>
  <si>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</si>
  <si>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</si>
  <si>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</si>
  <si>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</si>
  <si>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</si>
  <si>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</si>
  <si>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</si>
  <si>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</si>
  <si>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</si>
  <si>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</si>
  <si>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</si>
  <si>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</si>
  <si>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</si>
  <si>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</si>
  <si>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</si>
  <si>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</si>
  <si>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</si>
  <si>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</si>
  <si>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</si>
  <si>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</si>
  <si>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</si>
  <si>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</si>
  <si>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</si>
  <si>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</si>
  <si>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</si>
  <si>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</si>
  <si>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</si>
  <si>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</si>
  <si>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</si>
  <si>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</si>
  <si>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</si>
  <si>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</si>
  <si>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</si>
  <si>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</si>
  <si>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</si>
  <si>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</si>
  <si>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</si>
  <si>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</si>
  <si>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</si>
  <si>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</si>
  <si>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</si>
  <si>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</si>
  <si>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</si>
  <si>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</si>
  <si>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</si>
  <si>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</si>
  <si>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</si>
  <si>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</si>
  <si>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</si>
  <si>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</si>
  <si>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</si>
  <si>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</si>
  <si>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</si>
  <si>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</si>
  <si>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</si>
  <si>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</si>
  <si>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</si>
  <si>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</si>
  <si>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</si>
  <si>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</si>
  <si>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</si>
  <si>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</si>
  <si>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</si>
  <si>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</si>
  <si>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</si>
  <si>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</si>
  <si>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</si>
  <si>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</si>
  <si>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</si>
  <si>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</si>
  <si>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</si>
  <si>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</si>
  <si>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</si>
  <si>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</si>
  <si>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</si>
  <si>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</si>
  <si>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</si>
  <si>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</si>
  <si>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</si>
  <si>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</si>
  <si>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</si>
  <si>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</si>
  <si>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</si>
  <si>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</si>
  <si>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</si>
  <si>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</si>
  <si>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</si>
  <si>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</si>
  <si>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</si>
  <si>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</si>
  <si>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</si>
  <si>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</si>
  <si>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</si>
  <si>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</si>
  <si>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</si>
  <si>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</si>
  <si>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</si>
  <si>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</si>
  <si>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</si>
  <si>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</si>
  <si>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</si>
  <si>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</si>
  <si>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</si>
  <si>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</si>
  <si>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</si>
  <si>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</si>
  <si>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</si>
  <si>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</si>
  <si>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</si>
  <si>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</si>
  <si>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</si>
  <si>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</si>
  <si>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</si>
  <si>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</si>
  <si>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</si>
  <si>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</si>
  <si>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</si>
  <si>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</si>
  <si>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</si>
  <si>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</si>
  <si>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</si>
  <si>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</si>
  <si>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</si>
  <si>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</si>
  <si>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</si>
  <si>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</si>
  <si>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</si>
  <si>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</si>
  <si>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</si>
  <si>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</si>
  <si>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</si>
  <si>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</si>
  <si>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</si>
  <si>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</si>
  <si>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</si>
  <si>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</si>
  <si>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</si>
  <si>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</si>
  <si>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</si>
  <si>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</si>
  <si>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</si>
  <si>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</si>
  <si>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</si>
  <si>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</si>
  <si>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</si>
  <si>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</si>
  <si>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</si>
  <si>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</si>
  <si>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</si>
  <si>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</si>
  <si>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</si>
  <si>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</si>
  <si>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</si>
  <si>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</si>
  <si>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</si>
  <si>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</si>
  <si>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</si>
  <si>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</si>
  <si>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</si>
  <si>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</si>
  <si>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</si>
  <si>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</si>
  <si>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</si>
  <si>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</si>
  <si>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</si>
  <si>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</si>
  <si>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</si>
  <si>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</si>
  <si>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</si>
  <si>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</si>
  <si>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</si>
  <si>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</si>
  <si>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</si>
  <si>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</si>
  <si>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</si>
  <si>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</si>
  <si>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</si>
  <si>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</si>
  <si>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</si>
  <si>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</si>
  <si>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</si>
  <si>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</si>
  <si>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</si>
  <si>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</si>
  <si>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</si>
  <si>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</si>
  <si>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</si>
  <si>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</si>
  <si>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</si>
  <si>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</si>
  <si>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</si>
  <si>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</si>
  <si>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</si>
  <si>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</si>
  <si>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</si>
  <si>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</si>
  <si>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</si>
  <si>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</si>
  <si>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</si>
  <si>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</si>
  <si>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</si>
  <si>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</si>
  <si>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</si>
  <si>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</si>
  <si>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</si>
  <si>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</si>
  <si>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</si>
  <si>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</si>
  <si>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</si>
  <si>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</si>
  <si>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</si>
  <si>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</si>
  <si>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</si>
  <si>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</si>
  <si>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</si>
  <si>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</si>
  <si>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</si>
  <si>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</si>
  <si>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</si>
  <si>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</si>
  <si>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</si>
  <si>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</si>
  <si>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</si>
  <si>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</si>
  <si>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</si>
  <si>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</si>
  <si>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</si>
  <si>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</si>
  <si>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</si>
  <si>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</si>
  <si>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</si>
  <si>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</si>
  <si>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</si>
  <si>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</si>
  <si>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</si>
  <si>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</si>
  <si>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</si>
  <si>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</si>
  <si>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</si>
  <si>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</si>
  <si>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</si>
  <si>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</si>
  <si>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</si>
  <si>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</si>
  <si>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</si>
  <si>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</si>
  <si>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</si>
  <si>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</si>
  <si>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</si>
  <si>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</si>
  <si>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</si>
  <si>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</si>
  <si>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</si>
  <si>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</si>
  <si>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</si>
  <si>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</si>
  <si>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</si>
  <si>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</si>
  <si>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</si>
  <si>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</si>
  <si>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</si>
  <si>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</si>
  <si>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</si>
  <si>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</si>
  <si>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</si>
  <si>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</si>
  <si>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</si>
  <si>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</si>
  <si>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</si>
  <si>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</si>
  <si>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</si>
  <si>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</si>
  <si>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</si>
  <si>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</si>
  <si>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</si>
  <si>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</si>
  <si>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</si>
  <si>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</si>
  <si>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</si>
  <si>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</si>
  <si>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</si>
  <si>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</si>
  <si>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</si>
  <si>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</si>
  <si>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</si>
  <si>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</si>
  <si>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</si>
  <si>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</si>
  <si>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</si>
  <si>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</si>
  <si>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</si>
  <si>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</si>
  <si>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</si>
  <si>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</si>
  <si>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</si>
  <si>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</si>
  <si>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</si>
  <si>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</si>
  <si>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</si>
  <si>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</si>
  <si>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</si>
  <si>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</si>
  <si>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</si>
  <si>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</si>
  <si>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</si>
  <si>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</si>
  <si>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</si>
  <si>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</si>
  <si>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</si>
  <si>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</si>
  <si>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</si>
  <si>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</si>
  <si>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</si>
  <si>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</si>
  <si>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</si>
  <si>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</si>
  <si>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</si>
  <si>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</si>
  <si>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</si>
  <si>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</si>
  <si>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</si>
  <si>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</si>
  <si>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</si>
  <si>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</si>
  <si>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</si>
  <si>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</si>
  <si>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</si>
  <si>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</si>
  <si>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</si>
  <si>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</si>
  <si>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</si>
  <si>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</si>
  <si>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</si>
  <si>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</si>
  <si>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</si>
  <si>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</si>
  <si>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</si>
  <si>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</si>
  <si>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</si>
  <si>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</si>
  <si>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</si>
  <si>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</si>
  <si>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</si>
  <si>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</si>
  <si>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</si>
  <si>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</si>
  <si>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</si>
  <si>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</si>
  <si>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</si>
  <si>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</si>
  <si>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</si>
  <si>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</si>
  <si>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</si>
  <si>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</si>
  <si>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</si>
  <si>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</si>
  <si>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</si>
  <si>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</si>
  <si>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</si>
  <si>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</si>
  <si>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</si>
  <si>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</si>
  <si>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</si>
  <si>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</si>
  <si>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</si>
  <si>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</si>
  <si>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</si>
  <si>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</si>
  <si>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</si>
  <si>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</si>
  <si>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</si>
  <si>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</si>
  <si>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</si>
  <si>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</si>
  <si>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</si>
  <si>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</si>
  <si>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</si>
  <si>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</si>
  <si>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</si>
  <si>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</si>
  <si>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</si>
  <si>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</si>
  <si>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</si>
  <si>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</si>
  <si>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</si>
  <si>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</si>
  <si>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</si>
  <si>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</si>
  <si>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</si>
  <si>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</si>
  <si>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</si>
  <si>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</si>
  <si>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</si>
  <si>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</si>
  <si>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</si>
  <si>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</si>
  <si>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</si>
  <si>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</si>
  <si>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</si>
  <si>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</si>
  <si>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</si>
  <si>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</si>
  <si>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</si>
  <si>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</si>
  <si>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</si>
  <si>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</si>
  <si>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</si>
  <si>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</si>
  <si>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</si>
  <si>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</si>
  <si>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</si>
  <si>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</si>
  <si>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</si>
  <si>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</si>
  <si>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</si>
  <si>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</si>
  <si>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</si>
  <si>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</si>
  <si>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</si>
  <si>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</si>
  <si>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</si>
  <si>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</si>
  <si>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</si>
  <si>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</si>
  <si>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</si>
  <si>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</si>
  <si>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</si>
  <si>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</si>
  <si>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</si>
  <si>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</si>
  <si>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</si>
  <si>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</si>
  <si>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</si>
  <si>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</si>
  <si>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</si>
  <si>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</si>
  <si>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</si>
  <si>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</si>
  <si>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</si>
  <si>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</si>
  <si>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</si>
  <si>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</si>
  <si>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</si>
  <si>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</si>
  <si>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</si>
  <si>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</si>
  <si>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</si>
  <si>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</si>
  <si>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</si>
  <si>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</si>
  <si>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</si>
  <si>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</si>
  <si>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</si>
  <si>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</si>
  <si>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</si>
  <si>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</si>
  <si>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</si>
  <si>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</si>
  <si>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</si>
  <si>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</si>
  <si>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</si>
  <si>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</si>
  <si>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</si>
  <si>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</si>
  <si>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</si>
  <si>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</si>
  <si>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</si>
  <si>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</si>
  <si>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</si>
  <si>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</si>
  <si>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</si>
  <si>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</si>
  <si>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</si>
  <si>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</si>
  <si>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</si>
  <si>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</si>
  <si>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</si>
  <si>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</si>
  <si>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</si>
  <si>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</si>
  <si>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</si>
  <si>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</si>
  <si>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</si>
  <si>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</si>
  <si>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</si>
  <si>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</si>
  <si>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</si>
  <si>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</si>
  <si>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</si>
  <si>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</si>
  <si>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</si>
  <si>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</si>
  <si>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</si>
  <si>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</si>
  <si>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</si>
  <si>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</si>
  <si>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</si>
  <si>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</si>
  <si>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</si>
  <si>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</si>
  <si>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</si>
  <si>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</si>
  <si>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</si>
  <si>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</si>
  <si>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</si>
  <si>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</si>
  <si>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</si>
  <si>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</si>
  <si>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</si>
  <si>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</si>
  <si>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</si>
  <si>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</si>
  <si>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</si>
  <si>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</si>
  <si>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</si>
  <si>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</si>
  <si>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</si>
  <si>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</si>
  <si>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</si>
  <si>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</si>
  <si>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</si>
  <si>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</si>
  <si>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</si>
  <si>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</si>
  <si>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</si>
  <si>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</si>
  <si>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</si>
  <si>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</si>
  <si>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</si>
  <si>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</si>
  <si>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</si>
  <si>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</si>
  <si>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</si>
  <si>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</si>
  <si>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</si>
  <si>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</si>
  <si>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</si>
  <si>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</si>
  <si>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</si>
  <si>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</si>
  <si>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</si>
  <si>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</si>
  <si>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</si>
  <si>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</si>
  <si>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</si>
  <si>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</si>
  <si>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</si>
  <si>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</si>
  <si>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</si>
  <si>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</si>
  <si>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</si>
  <si>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</si>
  <si>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</si>
  <si>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</si>
  <si>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</si>
  <si>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</si>
  <si>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</si>
  <si>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</si>
  <si>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</si>
  <si>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</si>
  <si>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</si>
  <si>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</si>
  <si>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</si>
  <si>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</si>
  <si>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</si>
  <si>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</si>
  <si>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</si>
  <si>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</si>
  <si>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</si>
  <si>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</si>
  <si>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</si>
  <si>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</si>
  <si>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</si>
  <si>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</si>
  <si>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</si>
  <si>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</si>
  <si>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</si>
  <si>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</si>
  <si>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</si>
  <si>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</si>
  <si>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</si>
  <si>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</si>
  <si>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</si>
  <si>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</si>
  <si>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</si>
  <si>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</si>
  <si>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</si>
  <si>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</si>
  <si>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</si>
  <si>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</si>
  <si>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</si>
  <si>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</si>
  <si>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</si>
  <si>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</si>
  <si>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</si>
  <si>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</si>
  <si>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</si>
  <si>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</si>
  <si>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</si>
  <si>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</si>
  <si>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</si>
  <si>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</si>
  <si>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</si>
  <si>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</si>
  <si>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</si>
  <si>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</si>
  <si>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</si>
  <si>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</si>
  <si>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</si>
  <si>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</si>
  <si>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</si>
  <si>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</si>
  <si>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</si>
  <si>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</si>
  <si>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</si>
  <si>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</si>
  <si>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</si>
  <si>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</si>
  <si>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</si>
  <si>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</si>
  <si>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</si>
  <si>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</si>
  <si>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</si>
  <si>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</si>
  <si>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</si>
  <si>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</si>
  <si>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</si>
  <si>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</si>
  <si>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</si>
  <si>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</si>
  <si>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</si>
  <si>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</si>
  <si>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</si>
  <si>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</si>
  <si>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</si>
  <si>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</si>
  <si>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</si>
  <si>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</si>
  <si>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</si>
  <si>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</si>
  <si>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</si>
  <si>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</si>
  <si>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</si>
  <si>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</si>
  <si>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</si>
  <si>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</si>
  <si>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</si>
  <si>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</si>
  <si>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</si>
  <si>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</si>
  <si>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</si>
  <si>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</si>
  <si>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</si>
  <si>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</si>
  <si>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</si>
  <si>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</si>
  <si>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</si>
  <si>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</si>
  <si>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</si>
  <si>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</si>
  <si>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</si>
  <si>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</si>
  <si>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</si>
  <si>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</si>
  <si>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</si>
  <si>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</si>
  <si>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</si>
  <si>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</si>
  <si>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</si>
  <si>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</si>
  <si>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</si>
  <si>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</si>
  <si>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</si>
  <si>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</si>
  <si>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</si>
  <si>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</si>
  <si>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</si>
  <si>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</si>
  <si>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</si>
  <si>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</si>
  <si>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</si>
  <si>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</si>
  <si>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</si>
  <si>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</si>
  <si>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</si>
  <si>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</si>
  <si>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</si>
  <si>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</si>
  <si>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</si>
  <si>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</si>
  <si>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</si>
  <si>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</si>
  <si>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</si>
  <si>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</si>
  <si>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</si>
  <si>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</si>
  <si>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</si>
  <si>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</si>
  <si>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</si>
  <si>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</si>
  <si>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</si>
  <si>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</si>
  <si>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</si>
  <si>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</si>
  <si>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</si>
  <si>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</si>
  <si>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</si>
  <si>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</si>
  <si>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</si>
  <si>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</si>
  <si>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</si>
  <si>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</si>
  <si>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</si>
  <si>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</si>
  <si>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</si>
  <si>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</si>
  <si>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</si>
  <si>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</si>
  <si>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</si>
  <si>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</si>
  <si>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</si>
  <si>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</si>
  <si>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</si>
  <si>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</si>
  <si>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</si>
  <si>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</si>
  <si>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</si>
  <si>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</si>
  <si>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</si>
  <si>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</si>
  <si>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</si>
  <si>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</si>
  <si>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</si>
  <si>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</si>
  <si>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</si>
  <si>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</si>
  <si>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</si>
  <si>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</si>
  <si>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</si>
  <si>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</si>
  <si>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</si>
  <si>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</si>
  <si>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</si>
  <si>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</si>
  <si>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</si>
  <si>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</si>
  <si>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</si>
  <si>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</si>
  <si>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</si>
  <si>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</si>
  <si>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</si>
  <si>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</si>
  <si>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</si>
  <si>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</si>
  <si>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</si>
  <si>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</si>
  <si>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</si>
  <si>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</si>
  <si>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</si>
  <si>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</si>
  <si>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</si>
  <si>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</si>
  <si>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</si>
  <si>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</si>
  <si>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</si>
  <si>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</si>
  <si>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</si>
  <si>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</si>
  <si>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</si>
  <si>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</si>
  <si>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</si>
  <si>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</si>
  <si>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</si>
  <si>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</si>
  <si>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</si>
  <si>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</si>
  <si>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</si>
  <si>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</si>
  <si>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</si>
  <si>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</si>
  <si>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</si>
  <si>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</si>
  <si>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</si>
  <si>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</si>
  <si>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</si>
  <si>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</si>
  <si>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</si>
  <si>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</si>
  <si>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</si>
  <si>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</si>
  <si>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</si>
  <si>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</si>
  <si>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</si>
  <si>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</si>
  <si>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</si>
  <si>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</si>
  <si>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</si>
  <si>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</si>
  <si>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</si>
  <si>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</si>
  <si>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</si>
  <si>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</si>
  <si>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</si>
  <si>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</si>
  <si>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</si>
  <si>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</si>
  <si>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</si>
  <si>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</si>
  <si>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</si>
  <si>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</si>
  <si>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</si>
  <si>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</si>
  <si>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</si>
  <si>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</si>
  <si>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</si>
  <si>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</si>
  <si>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</si>
  <si>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</si>
  <si>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</si>
  <si>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</si>
  <si>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</si>
  <si>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</si>
  <si>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</si>
  <si>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</si>
  <si>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</si>
  <si>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</si>
  <si>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</si>
  <si>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</si>
  <si>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</si>
  <si>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</si>
  <si>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</si>
  <si>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</si>
  <si>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</si>
  <si>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</si>
  <si>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</si>
  <si>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</si>
  <si>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</si>
  <si>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</si>
  <si>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</si>
  <si>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</si>
  <si>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</si>
  <si>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</si>
  <si>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</si>
  <si>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</si>
  <si>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</si>
  <si>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</si>
  <si>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</si>
  <si>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</si>
  <si>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</si>
  <si>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</si>
  <si>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</si>
  <si>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</si>
  <si>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</si>
  <si>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</si>
  <si>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</si>
  <si>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</si>
  <si>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</si>
  <si>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</si>
  <si>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</si>
  <si>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</si>
  <si>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</si>
  <si>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</si>
  <si>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</si>
  <si>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</si>
  <si>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420202004</t>
  </si>
  <si>
    <t>14789675</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</si>
  <si>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</si>
  <si>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</si>
  <si>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</si>
  <si>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</si>
  <si>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</si>
  <si>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</si>
  <si>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</si>
  <si>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</si>
  <si>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</si>
  <si>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</si>
  <si>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</si>
  <si>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</si>
  <si>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</si>
  <si>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</si>
  <si>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</si>
  <si>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</si>
  <si>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</si>
  <si>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</si>
  <si>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</si>
  <si>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</si>
  <si>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</si>
  <si>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</si>
  <si>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</si>
  <si>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</si>
  <si>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</si>
  <si>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</si>
  <si>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</si>
  <si>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</si>
  <si>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</si>
  <si>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</si>
  <si>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</si>
  <si>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</si>
  <si>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</si>
  <si>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</si>
  <si>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</si>
  <si>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</si>
  <si>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</si>
  <si>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</si>
  <si>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</si>
  <si>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</si>
  <si>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</si>
  <si>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</si>
  <si>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</si>
  <si>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</si>
  <si>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</si>
  <si>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</si>
  <si>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</si>
  <si>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</si>
  <si>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</si>
  <si>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</si>
  <si>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</si>
  <si>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</si>
  <si>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</si>
  <si>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</si>
  <si>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</si>
  <si>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</si>
  <si>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</si>
  <si>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</si>
  <si>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</si>
  <si>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</si>
  <si>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</si>
  <si>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</si>
  <si>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</si>
  <si>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</si>
  <si>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</si>
  <si>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</si>
  <si>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</si>
  <si>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</si>
  <si>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</si>
  <si>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</si>
  <si>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</si>
  <si>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</si>
  <si>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</si>
  <si>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</si>
  <si>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</si>
  <si>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</si>
  <si>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</si>
  <si>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</si>
  <si>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</si>
  <si>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</si>
  <si>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</si>
  <si>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</si>
  <si>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</si>
  <si>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</si>
  <si>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</si>
  <si>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</si>
  <si>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</si>
  <si>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</si>
  <si>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</si>
  <si>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</si>
  <si>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</si>
  <si>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</si>
  <si>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</si>
  <si>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</si>
  <si>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</si>
  <si>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</si>
  <si>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</si>
  <si>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</si>
  <si>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</si>
  <si>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</si>
  <si>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</si>
  <si>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</si>
  <si>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</si>
  <si>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</si>
  <si>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</si>
  <si>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</si>
  <si>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</si>
  <si>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</si>
  <si>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</si>
  <si>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</si>
  <si>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</si>
  <si>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</si>
  <si>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</si>
  <si>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</si>
  <si>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</si>
  <si>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</si>
  <si>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</si>
  <si>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</si>
  <si>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</si>
  <si>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</si>
  <si>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</si>
  <si>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</si>
  <si>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</si>
  <si>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</si>
  <si>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</si>
  <si>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</si>
  <si>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</si>
  <si>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</si>
  <si>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</si>
  <si>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</si>
  <si>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</si>
  <si>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</si>
  <si>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</si>
  <si>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</si>
  <si>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</si>
  <si>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</si>
  <si>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</si>
  <si>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</si>
  <si>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</si>
  <si>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</si>
  <si>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</si>
  <si>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</si>
  <si>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</si>
  <si>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</si>
  <si>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</si>
  <si>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</si>
  <si>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</si>
  <si>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</si>
  <si>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</si>
  <si>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</si>
  <si>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</si>
  <si>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</si>
  <si>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</si>
  <si>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</si>
  <si>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</si>
  <si>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</si>
  <si>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</si>
  <si>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</si>
  <si>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</si>
  <si>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</si>
  <si>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</si>
  <si>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</si>
  <si>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</si>
  <si>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</si>
  <si>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</si>
  <si>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</si>
  <si>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</si>
  <si>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</si>
  <si>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</si>
  <si>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</si>
  <si>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</si>
  <si>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</si>
  <si>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</si>
  <si>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</si>
  <si>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</si>
  <si>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</si>
  <si>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</si>
  <si>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</si>
  <si>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</si>
  <si>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</si>
  <si>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</si>
  <si>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</si>
  <si>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</si>
  <si>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</si>
  <si>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</si>
  <si>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</si>
  <si>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</si>
  <si>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</si>
  <si>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</si>
  <si>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</si>
  <si>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</si>
  <si>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</si>
  <si>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</si>
  <si>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</si>
  <si>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</si>
  <si>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</si>
  <si>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</si>
  <si>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</si>
  <si>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</si>
  <si>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</si>
  <si>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</si>
  <si>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</si>
  <si>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</si>
  <si>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</si>
  <si>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</si>
  <si>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</si>
  <si>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</si>
  <si>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</si>
  <si>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</si>
  <si>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</si>
  <si>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</si>
  <si>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</si>
  <si>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</si>
  <si>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</si>
  <si>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</si>
  <si>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</si>
  <si>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</si>
  <si>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</si>
  <si>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</si>
  <si>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</si>
  <si>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</si>
  <si>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</si>
  <si>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</si>
  <si>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</si>
  <si>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</si>
  <si>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</si>
  <si>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</si>
  <si>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</si>
  <si>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</si>
  <si>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</si>
  <si>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</si>
  <si>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</si>
  <si>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</si>
  <si>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</si>
  <si>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</si>
  <si>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</si>
  <si>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</si>
  <si>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</si>
  <si>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</si>
  <si>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</si>
  <si>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</si>
  <si>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</si>
  <si>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</si>
  <si>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</si>
  <si>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</si>
  <si>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</si>
  <si>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</si>
  <si>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</si>
  <si>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</si>
  <si>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</si>
  <si>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</si>
  <si>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</si>
  <si>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</si>
  <si>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</si>
  <si>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</si>
  <si>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</si>
  <si>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</si>
  <si>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</si>
  <si>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</si>
  <si>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</si>
  <si>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</si>
  <si>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сетями</t>
  </si>
  <si>
    <t>п Калачево</t>
  </si>
  <si>
    <t>32522000176</t>
  </si>
  <si>
    <t>п. Колачево</t>
  </si>
  <si>
    <t>-</t>
  </si>
  <si>
    <t>33.3200000000</t>
  </si>
  <si>
    <t>9.6800000000</t>
  </si>
  <si>
    <t>водозабор</t>
  </si>
  <si>
    <t>техническая</t>
  </si>
  <si>
    <t>53.0000000000</t>
  </si>
  <si>
    <t>29.12.2018</t>
  </si>
  <si>
    <t>25.0000000000</t>
  </si>
  <si>
    <t>технологическая</t>
  </si>
  <si>
    <t>5.9000000000</t>
  </si>
  <si>
    <t>0.0000000000</t>
  </si>
  <si>
    <t>0.8200000000</t>
  </si>
  <si>
    <t>5.0800000000</t>
  </si>
  <si>
    <t>эксплуатируется</t>
  </si>
  <si>
    <t>частная собственность</t>
  </si>
  <si>
    <t>собственное имущество</t>
  </si>
  <si>
    <t>https://portal.eias.ru/Portal/DownloadPage.aspx?type=12&amp;guid=a522386b-f327-4144-a330-0ad39cdece6c</t>
  </si>
  <si>
    <t>sce:REESTR.VOTV.SOURCE.2025</t>
  </si>
  <si>
    <t>КНС с ОС и сетями</t>
  </si>
  <si>
    <t>21.1800000000</t>
  </si>
  <si>
    <t>низковольтная КНС</t>
  </si>
  <si>
    <t>26.0000000000</t>
  </si>
  <si>
    <t>30.01.2017</t>
  </si>
  <si>
    <t>16.6700000000</t>
  </si>
  <si>
    <t>10.0400000000</t>
  </si>
  <si>
    <t>напорная</t>
  </si>
  <si>
    <t>https://portal.eias.ru/Portal/DownloadPage.aspx?type=12&amp;guid=45063647-533a-4df8-af21-8508b4c4e8fa</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</si>
  <si>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</si>
  <si>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</si>
  <si>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</si>
  <si>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</si>
  <si>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</si>
  <si>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</si>
  <si>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</si>
  <si>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</si>
  <si>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</si>
  <si>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</si>
  <si>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</si>
  <si>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</si>
  <si>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</si>
  <si>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</si>
  <si>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</si>
  <si>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</si>
  <si>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</si>
  <si>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</si>
  <si>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</si>
  <si>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</si>
  <si>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</si>
  <si>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</si>
  <si>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</si>
  <si>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2024.0</t>
  </si>
  <si>
    <t>5.0</t>
  </si>
  <si>
    <t>Принят</t>
  </si>
  <si>
    <t>41.52</t>
  </si>
  <si>
    <t>45.67</t>
  </si>
  <si>
    <t>34.89</t>
  </si>
  <si>
    <t>38.38</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</si>
  <si>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</si>
  <si>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</si>
  <si>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</si>
  <si>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</si>
  <si>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</si>
  <si>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</si>
  <si>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</si>
  <si>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</si>
  <si>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</si>
  <si>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</si>
  <si>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</si>
  <si>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</si>
  <si>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</si>
  <si>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</si>
  <si>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</si>
  <si>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</si>
  <si>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</si>
  <si>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</si>
  <si>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</si>
  <si>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</si>
  <si>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</si>
  <si>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</si>
  <si>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</si>
  <si>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</si>
  <si>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</si>
  <si>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</si>
  <si>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</si>
  <si>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</si>
  <si>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</si>
  <si>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</si>
  <si>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</si>
  <si>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</si>
  <si>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</si>
  <si>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</si>
  <si>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</si>
  <si>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</si>
  <si>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</si>
  <si>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</si>
  <si>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</si>
  <si>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</si>
  <si>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</si>
  <si>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</si>
  <si>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</si>
  <si>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</si>
  <si>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</si>
  <si>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</si>
  <si>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</si>
  <si>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</si>
  <si>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</si>
  <si>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</si>
  <si>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</si>
  <si>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</si>
  <si>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</si>
  <si>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</si>
  <si>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</si>
  <si>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</si>
  <si>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</si>
  <si>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</si>
  <si>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</si>
  <si>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</si>
  <si>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</si>
  <si>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</si>
  <si>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</si>
  <si>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</si>
  <si>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</si>
  <si>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</si>
  <si>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</si>
  <si>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</si>
  <si>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</si>
  <si>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</si>
  <si>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</si>
  <si>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</si>
  <si>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</si>
  <si>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</si>
  <si>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</si>
  <si>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</si>
  <si>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</si>
  <si>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</si>
  <si>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</si>
  <si>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</si>
  <si>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</si>
  <si>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</si>
  <si>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</si>
  <si>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</si>
  <si>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</si>
  <si>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</si>
  <si>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</si>
  <si>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</si>
  <si>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</si>
  <si>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</si>
  <si>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</si>
  <si>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</si>
  <si>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</si>
  <si>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</si>
  <si>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</si>
  <si>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</si>
  <si>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</si>
  <si>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</si>
  <si>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</si>
  <si>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</si>
  <si>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</si>
  <si>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</si>
  <si>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</si>
  <si>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</si>
  <si>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</si>
  <si>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</si>
  <si>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</si>
  <si>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</si>
  <si>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</si>
  <si>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</si>
  <si>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</si>
  <si>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</si>
  <si>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</si>
  <si>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</si>
  <si>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</si>
  <si>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</si>
  <si>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</si>
  <si>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</si>
  <si>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</si>
  <si>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</si>
  <si>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</si>
  <si>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</si>
  <si>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</si>
  <si>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</si>
  <si>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</si>
  <si>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</si>
  <si>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</si>
  <si>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</si>
  <si>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</si>
  <si>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</si>
  <si>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</si>
  <si>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</si>
  <si>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</si>
  <si>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</si>
  <si>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</si>
  <si>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</si>
  <si>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</si>
  <si>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</si>
  <si>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</si>
  <si>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</si>
  <si>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</si>
  <si>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</si>
  <si>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</si>
  <si>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</si>
  <si>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</si>
  <si>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</si>
  <si>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</si>
  <si>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</si>
  <si>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</si>
  <si>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</si>
  <si>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</si>
  <si>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</si>
  <si>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</si>
  <si>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</si>
  <si>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</si>
  <si>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</si>
  <si>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</si>
  <si>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</si>
  <si>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</si>
  <si>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</si>
  <si>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питьевая вода</t>
  </si>
  <si>
    <t>тариф на питьевую воду</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</si>
  <si>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</si>
  <si>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</si>
  <si>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</si>
  <si>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</si>
  <si>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</si>
  <si>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</si>
  <si>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</si>
  <si>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</si>
  <si>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</si>
  <si>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</si>
  <si>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</si>
  <si>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</si>
  <si>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</si>
  <si>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</si>
  <si>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</si>
  <si>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</si>
  <si>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</si>
  <si>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</si>
  <si>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</si>
  <si>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</si>
  <si>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</si>
  <si>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</si>
  <si>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</si>
  <si>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</si>
  <si>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</si>
  <si>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</si>
  <si>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</si>
  <si>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</si>
  <si>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</si>
  <si>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</si>
  <si>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</si>
  <si>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</si>
  <si>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</si>
  <si>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</si>
  <si>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</si>
  <si>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</si>
  <si>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</si>
  <si>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</si>
  <si>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</si>
  <si>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</si>
  <si>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</si>
  <si>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</si>
  <si>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</si>
  <si>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</si>
  <si>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</si>
  <si>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</si>
  <si>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</si>
  <si>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</si>
  <si>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</si>
  <si>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</si>
  <si>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</si>
  <si>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</si>
  <si>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</si>
  <si>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</si>
  <si>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</si>
  <si>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</si>
  <si>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</si>
  <si>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</si>
  <si>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</si>
  <si>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</si>
  <si>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</si>
  <si>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</si>
  <si>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</si>
  <si>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</si>
  <si>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</si>
  <si>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</si>
  <si>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</si>
  <si>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</si>
  <si>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</si>
  <si>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</si>
  <si>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</si>
  <si>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</si>
  <si>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</si>
  <si>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</si>
  <si>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</si>
  <si>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</si>
  <si>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</si>
  <si>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</si>
  <si>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</si>
  <si>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</si>
  <si>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</si>
  <si>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</si>
  <si>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</si>
  <si>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</si>
  <si>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</si>
  <si>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</si>
  <si>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</si>
  <si>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</si>
  <si>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</si>
  <si>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</si>
  <si>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</si>
  <si>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</si>
  <si>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</si>
  <si>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</si>
  <si>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</si>
  <si>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</si>
  <si>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</si>
  <si>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</si>
  <si>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</si>
  <si>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</si>
  <si>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</si>
  <si>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</si>
  <si>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</si>
  <si>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</si>
  <si>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</si>
  <si>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</si>
  <si>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</si>
  <si>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</si>
  <si>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</si>
  <si>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</si>
  <si>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</si>
  <si>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</si>
  <si>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</si>
  <si>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</si>
  <si>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</si>
  <si>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</si>
  <si>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</si>
  <si>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</si>
  <si>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</si>
  <si>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</si>
  <si>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</si>
  <si>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</si>
  <si>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</si>
  <si>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</si>
  <si>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</si>
  <si>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</si>
  <si>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</si>
  <si>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</si>
  <si>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</si>
  <si>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</si>
  <si>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</si>
  <si>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</si>
  <si>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</si>
  <si>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</si>
  <si>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</si>
  <si>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</si>
  <si>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</si>
  <si>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</si>
  <si>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</si>
  <si>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</si>
  <si>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</si>
  <si>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</si>
  <si>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</si>
  <si>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</si>
  <si>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</si>
  <si>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</si>
  <si>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</si>
  <si>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</si>
  <si>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</si>
  <si>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</si>
  <si>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</si>
  <si>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</si>
  <si>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</si>
  <si>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</si>
  <si>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</si>
  <si>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</si>
  <si>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</si>
  <si>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</si>
  <si>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</si>
  <si>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</si>
  <si>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</si>
  <si>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</si>
  <si>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</si>
  <si>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</si>
  <si>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</si>
  <si>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</si>
  <si>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</si>
  <si>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</si>
  <si>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</si>
  <si>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</si>
  <si>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</si>
  <si>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</si>
  <si>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</si>
  <si>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</si>
  <si>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</si>
  <si>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</si>
  <si>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</si>
  <si>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</si>
  <si>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</si>
  <si>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</si>
  <si>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</si>
  <si>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</si>
  <si>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</si>
  <si>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</si>
  <si>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</si>
  <si>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</si>
  <si>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</si>
  <si>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</si>
  <si>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</si>
  <si>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</si>
  <si>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</si>
  <si>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</si>
  <si>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</si>
  <si>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</si>
  <si>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</si>
  <si>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</si>
  <si>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</si>
  <si>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</si>
  <si>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</si>
  <si>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</si>
  <si>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</si>
  <si>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</si>
  <si>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</si>
  <si>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</si>
  <si>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</si>
  <si>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</si>
  <si>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</si>
  <si>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</si>
  <si>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</si>
  <si>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</si>
  <si>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</si>
  <si>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</si>
  <si>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</si>
  <si>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</si>
  <si>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</si>
  <si>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</si>
  <si>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</si>
  <si>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</si>
  <si>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</si>
  <si>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</si>
  <si>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</si>
  <si>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</si>
  <si>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</si>
  <si>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</si>
  <si>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</si>
  <si>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</si>
  <si>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</si>
  <si>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</si>
  <si>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</si>
  <si>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</si>
  <si>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</si>
  <si>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</si>
  <si>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</si>
  <si>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</si>
  <si>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</si>
  <si>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</si>
  <si>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</si>
  <si>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</si>
  <si>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</si>
  <si>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</si>
  <si>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</si>
  <si>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</si>
  <si>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</si>
  <si>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</si>
  <si>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</si>
  <si>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</si>
  <si>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</si>
  <si>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</si>
  <si>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</si>
  <si>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</si>
  <si>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</si>
  <si>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</si>
  <si>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</si>
  <si>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</si>
  <si>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</si>
  <si>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</si>
  <si>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</si>
  <si>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</si>
  <si>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</si>
  <si>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</si>
  <si>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</si>
  <si>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</si>
  <si>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</si>
  <si>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</si>
  <si>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</si>
  <si>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</si>
  <si>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</si>
  <si>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</si>
  <si>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</si>
  <si>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</si>
  <si>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</si>
  <si>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</si>
  <si>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</si>
  <si>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</si>
  <si>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</si>
  <si>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</si>
  <si>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</si>
  <si>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</si>
  <si>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</si>
  <si>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</si>
  <si>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</si>
  <si>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</si>
  <si>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</si>
  <si>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</si>
  <si>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</si>
  <si>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</si>
  <si>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</si>
  <si>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</si>
  <si>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</si>
  <si>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</si>
  <si>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</si>
  <si>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</si>
  <si>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</si>
  <si>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</si>
  <si>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</si>
  <si>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</si>
  <si>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</si>
  <si>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</si>
  <si>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</si>
  <si>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</si>
  <si>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</si>
  <si>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</si>
  <si>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</si>
  <si>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</si>
  <si>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</si>
  <si>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</si>
  <si>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</si>
  <si>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</si>
  <si>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</si>
  <si>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</si>
  <si>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</si>
  <si>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</si>
  <si>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</si>
  <si>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</si>
  <si>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</si>
  <si>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</si>
  <si>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</si>
  <si>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</si>
  <si>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</si>
  <si>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</si>
  <si>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</si>
  <si>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</si>
  <si>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</si>
  <si>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</si>
  <si>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</si>
  <si>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</si>
  <si>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</si>
  <si>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</si>
  <si>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</si>
  <si>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</si>
  <si>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</si>
  <si>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</si>
  <si>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</si>
  <si>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</si>
  <si>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</si>
  <si>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</si>
  <si>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</si>
  <si>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</si>
  <si>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</si>
  <si>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</si>
  <si>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</si>
  <si>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</si>
  <si>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</si>
  <si>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</si>
  <si>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</si>
  <si>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</si>
  <si>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</si>
  <si>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</si>
  <si>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</si>
  <si>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</si>
  <si>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</si>
  <si>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</si>
  <si>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</si>
  <si>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</si>
  <si>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</si>
  <si>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</si>
  <si>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</si>
  <si>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</si>
  <si>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</si>
  <si>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</si>
  <si>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</si>
  <si>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</si>
  <si>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</si>
  <si>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</si>
  <si>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</si>
  <si>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</si>
  <si>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</si>
  <si>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</si>
  <si>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</si>
  <si>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</si>
  <si>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</si>
  <si>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</si>
  <si>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</si>
  <si>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</si>
  <si>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</si>
  <si>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</si>
  <si>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</si>
  <si>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</si>
  <si>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</si>
  <si>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</si>
  <si>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</si>
  <si>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</si>
  <si>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</si>
  <si>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</si>
  <si>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</si>
  <si>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</si>
  <si>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</si>
  <si>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</si>
  <si>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</si>
  <si>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</si>
  <si>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</si>
  <si>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</si>
  <si>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</si>
  <si>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</si>
  <si>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</si>
  <si>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</si>
  <si>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</si>
  <si>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</si>
  <si>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</si>
  <si>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</si>
  <si>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</si>
  <si>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</si>
  <si>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</si>
  <si>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</si>
  <si>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</si>
  <si>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</si>
  <si>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</si>
  <si>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</si>
  <si>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</si>
  <si>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</si>
  <si>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</si>
  <si>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</si>
  <si>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</si>
  <si>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</si>
  <si>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</si>
  <si>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</si>
  <si>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</si>
  <si>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</si>
  <si>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</si>
  <si>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</si>
  <si>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</si>
  <si>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</si>
  <si>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</si>
  <si>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</si>
  <si>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</si>
  <si>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</si>
  <si>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</si>
  <si>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</si>
  <si>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</si>
  <si>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</si>
  <si>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</si>
  <si>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</si>
  <si>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</si>
  <si>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</si>
  <si>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</si>
  <si>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</si>
  <si>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</si>
  <si>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</si>
  <si>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</si>
  <si>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</si>
  <si>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</si>
  <si>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</si>
  <si>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</si>
  <si>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</si>
  <si>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</si>
  <si>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</si>
  <si>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</si>
  <si>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</si>
  <si>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</si>
  <si>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</si>
  <si>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</si>
  <si>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</si>
  <si>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</si>
  <si>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</si>
  <si>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</si>
  <si>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</si>
  <si>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</si>
  <si>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</si>
  <si>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</si>
  <si>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</si>
  <si>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</si>
  <si>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</si>
  <si>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</si>
  <si>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</si>
  <si>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</si>
  <si>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</si>
  <si>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</si>
  <si>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</si>
  <si>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</si>
  <si>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</si>
  <si>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</si>
  <si>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</si>
  <si>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</si>
  <si>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</si>
  <si>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</si>
  <si>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</si>
  <si>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</si>
  <si>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</si>
  <si>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</si>
  <si>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</si>
  <si>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</si>
  <si>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</si>
  <si>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</si>
  <si>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</si>
  <si>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</si>
  <si>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</si>
  <si>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</si>
  <si>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</si>
  <si>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</si>
  <si>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</si>
  <si>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</si>
  <si>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</si>
  <si>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</si>
  <si>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</si>
  <si>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</si>
  <si>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</si>
  <si>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</si>
  <si>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</si>
  <si>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</si>
  <si>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</si>
  <si>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</si>
  <si>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</si>
  <si>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</si>
  <si>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</si>
  <si>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</si>
  <si>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</si>
  <si>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</si>
  <si>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</si>
  <si>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</si>
  <si>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</si>
  <si>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</si>
  <si>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</si>
  <si>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</si>
  <si>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</si>
  <si>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</si>
  <si>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</si>
  <si>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</si>
  <si>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</si>
  <si>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</si>
  <si>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</si>
  <si>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</si>
  <si>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</si>
  <si>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</si>
  <si>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</si>
  <si>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</si>
  <si>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</si>
  <si>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</si>
  <si>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</si>
  <si>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</si>
  <si>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</si>
  <si>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</si>
  <si>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</si>
  <si>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</si>
  <si>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</si>
  <si>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</si>
  <si>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</si>
  <si>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</si>
  <si>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</si>
  <si>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</si>
  <si>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</si>
  <si>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</si>
  <si>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</si>
  <si>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</si>
  <si>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</si>
  <si>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</si>
  <si>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</si>
  <si>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</si>
  <si>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</si>
  <si>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</si>
  <si>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</si>
  <si>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</si>
  <si>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</si>
  <si>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</si>
  <si>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</si>
  <si>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</si>
  <si>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</si>
  <si>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</si>
  <si>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</si>
  <si>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</si>
  <si>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</si>
  <si>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</si>
  <si>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</si>
  <si>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</si>
  <si>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</si>
  <si>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</si>
  <si>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</si>
  <si>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</si>
  <si>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</si>
  <si>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</si>
  <si>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</si>
  <si>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</si>
  <si>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водоотведение сточных вод через систему водоотведения цеха ВС и ВО</t>
  </si>
  <si>
    <t>Оказание услуг на территории: Прокопьевский муниципальный округ (ОКТМО: 32522000) - с Большая Талда</t>
  </si>
  <si>
    <t>техническая вода цеха ВС и ВО</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</si>
</sst>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0.000%"/>
    <numFmt numFmtId="174" formatCode="dd\.mm\.yyyy"/>
    <numFmt numFmtId="175" formatCode="0.0"/>
  </numFmts>
  <fonts count="82">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10"/>
      <color auto="1"/>
      <name val="Arial Cyr"/>
    </font>
    <font>
      <sz val="9"/>
      <color theme="1"/>
      <name val="Tahoma"/>
    </font>
    <font>
      <b/>
      <sz val="9"/>
      <color auto="1"/>
      <name val="Tahoma"/>
    </font>
    <font>
      <sz val="8"/>
      <color auto="1"/>
      <name val="Tahoma"/>
    </font>
    <font>
      <sz val="9"/>
      <color rgb="FFFFFFFF"/>
      <name val="Tahoma"/>
    </font>
    <font>
      <b/>
      <sz val="10"/>
      <color auto="1"/>
      <name val="Tahoma"/>
    </font>
    <font>
      <b/>
      <sz val="8"/>
      <color auto="1"/>
      <name val="Tahoma"/>
    </font>
    <font>
      <sz val="8"/>
      <color rgb="FF0070C0"/>
      <name val="Tahoma"/>
    </font>
    <font>
      <sz val="10"/>
      <color auto="1"/>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5"/>
      <name val="Tahoma"/>
    </font>
    <font>
      <b/>
      <sz val="9"/>
      <color theme="0"/>
      <name val="Tahoma"/>
    </font>
    <font>
      <u/>
      <sz val="10"/>
      <color rgb="FF000080"/>
      <name val="Tahoma"/>
    </font>
    <font>
      <sz val="12"/>
      <color theme="1"/>
      <name val="Tahoma"/>
    </font>
    <font>
      <sz val="16"/>
      <color auto="1"/>
      <name val="Tahoma"/>
    </font>
    <font>
      <b/>
      <sz val="16"/>
      <color auto="1"/>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color auto="1"/>
      <name val="Tahoma"/>
    </font>
    <font>
      <sz val="20"/>
      <color auto="1"/>
      <name val="Tahoma"/>
    </font>
    <font>
      <sz val="12"/>
      <color auto="1"/>
      <name val="Tahoma"/>
    </font>
    <font>
      <sz val="18"/>
      <color auto="1"/>
      <name val="Tahoma"/>
    </font>
    <font>
      <b/>
      <sz val="9"/>
      <color rgb="FFFF0000"/>
      <name val="Tahoma"/>
    </font>
    <font>
      <sz val="8"/>
      <color rgb="FFFF0000"/>
      <name val="Tahoma"/>
    </font>
    <font>
      <sz val="14"/>
      <color theme="0" tint="-0.15"/>
      <name val="Calibri"/>
      <scheme val="minor"/>
    </font>
    <font>
      <sz val="16"/>
      <color theme="0"/>
      <name val="Tahoma"/>
    </font>
    <font>
      <sz val="8"/>
      <color theme="0"/>
      <name val="Tahoma"/>
    </font>
    <font>
      <sz val="11"/>
      <color auto="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color auto="1"/>
      <name val="Calibri"/>
      <scheme val="minor"/>
    </font>
    <font>
      <sz val="11"/>
      <color auto="1"/>
      <name val="Tahoma"/>
    </font>
    <font>
      <b/>
      <sz val="11"/>
      <color rgb="FF000000"/>
      <name val="TT Commons"/>
      <scheme val="minor"/>
    </font>
    <font>
      <b/>
      <sz val="9"/>
      <color rgb="FFFFFFFF"/>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5"/>
      </patternFill>
    </fill>
    <fill>
      <patternFill patternType="solid">
        <fgColor theme="0" tint="-0.2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EAEBEE"/>
      </patternFill>
    </fill>
  </fills>
  <borders count="80">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style="thin">
        <color theme="0" tint="-0.25"/>
      </top>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right/>
      <top style="thin">
        <color rgb="FFBCBCBC"/>
      </top>
      <bottom style="thin">
        <color rgb="FFBCBCBC"/>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style="thin">
        <color theme="0" tint="-0.35"/>
      </left>
      <right style="thin">
        <color theme="0" tint="-0.35"/>
      </right>
      <top style="thin">
        <color theme="0" tint="-0.35"/>
      </top>
      <bottom style="thin">
        <color theme="0" tint="-0.35"/>
      </bottom>
    </border>
    <border>
      <left/>
      <right style="thin">
        <color theme="0" tint="-0.25"/>
      </right>
      <top style="thin">
        <color theme="0" tint="-0.25"/>
      </top>
      <bottom style="thin">
        <color theme="0" tint="-0.25"/>
      </bottom>
    </border>
    <border>
      <left/>
      <right/>
      <top style="thin">
        <color rgb="FFBCBCBC"/>
      </top>
      <bottom/>
    </border>
    <border>
      <left style="thin">
        <color rgb="FFBCBCBC"/>
      </left>
      <right style="thin">
        <color rgb="FFBCBCBC"/>
      </right>
      <top style="thin">
        <color rgb="FFBCBCBC"/>
      </top>
      <bottom/>
    </border>
    <border>
      <left/>
      <right style="thin">
        <color theme="0" tint="-0.35"/>
      </right>
      <top style="thin">
        <color theme="0" tint="-0.35"/>
      </top>
      <bottom style="thin">
        <color rgb="FFBCBCBC"/>
      </bottom>
    </border>
    <border>
      <left style="thin">
        <color theme="0" tint="-0.35"/>
      </left>
      <right style="thin">
        <color theme="0" tint="-0.25"/>
      </right>
      <top style="thin">
        <color theme="0" tint="-0.35"/>
      </top>
      <bottom style="thin">
        <color theme="0" tint="-0.35"/>
      </bottom>
    </border>
    <border>
      <left/>
      <right/>
      <top/>
      <bottom style="thin">
        <color theme="0" tint="-0.25"/>
      </bottom>
    </border>
    <border>
      <left/>
      <right style="thin">
        <color rgb="FFBCBCBC"/>
      </right>
      <top style="thin">
        <color rgb="FFBCBCBC"/>
      </top>
      <bottom style="thin">
        <color rgb="FFBCBCBC"/>
      </bottom>
    </border>
    <border>
      <left style="thin">
        <color rgb="FFBCBCBC"/>
      </left>
      <right/>
      <top style="thin">
        <color rgb="FFBCBCBC"/>
      </top>
      <bottom style="thin">
        <color rgb="FFBCBCBC"/>
      </bottom>
    </border>
    <border>
      <left style="thin">
        <color rgb="FFBCBCBC"/>
      </left>
      <right/>
      <top/>
      <bottom style="thin">
        <color rgb="FFBCBCBC"/>
      </bottom>
    </border>
    <border>
      <left/>
      <right/>
      <top/>
      <bottom style="thin">
        <color rgb="FFBCBCBC"/>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style="thin">
        <color theme="0" tint="-0.25"/>
      </left>
      <right/>
      <top style="thin">
        <color theme="0" tint="-0.25"/>
      </top>
      <bottom style="thin">
        <color theme="0" tint="-0.25"/>
      </bottom>
    </border>
    <border>
      <left/>
      <right/>
      <top style="thin">
        <color theme="0" tint="-0.25"/>
      </top>
      <bottom style="thin">
        <color theme="0" tint="-0.25"/>
      </bottom>
    </border>
    <border>
      <left style="thin">
        <color theme="0" tint="-0.35"/>
      </left>
      <right/>
      <top/>
      <bottom style="thin">
        <color theme="0" tint="-0.35"/>
      </bottom>
    </border>
    <border>
      <left style="thin">
        <color theme="0" tint="-0.35"/>
      </left>
      <right style="thin">
        <color theme="0" tint="-0.35"/>
      </right>
      <top/>
      <bottom style="thin">
        <color theme="0" tint="-0.35"/>
      </bottom>
    </border>
    <border>
      <left/>
      <right/>
      <top style="thin">
        <color theme="0" tint="-0.35"/>
      </top>
      <bottom style="thin">
        <color theme="0" tint="-0.35"/>
      </bottom>
    </border>
    <border>
      <left style="thin">
        <color rgb="FFBCBCBC"/>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BCBCBC"/>
      </left>
      <right/>
      <top/>
      <bottom/>
    </border>
    <border>
      <left style="thin">
        <color theme="0" tint="-0.25"/>
      </left>
      <right style="thin">
        <color theme="0" tint="-0.25"/>
      </right>
      <top/>
      <bottom style="thin">
        <color theme="0" tint="-0.25"/>
      </bottom>
    </border>
    <border>
      <left/>
      <right/>
      <top style="thin">
        <color theme="0" tint="-0.25"/>
      </top>
      <bottom/>
    </border>
    <border>
      <left/>
      <right style="thin">
        <color theme="0" tint="-0.25"/>
      </right>
      <top style="thin">
        <color theme="0" tint="-0.25"/>
      </top>
      <bottom/>
    </border>
    <border>
      <left/>
      <right style="thin">
        <color theme="0" tint="-0.25"/>
      </right>
      <top/>
      <bottom style="thin">
        <color theme="0" tint="-0.25"/>
      </bottom>
    </border>
    <border>
      <left style="thin">
        <color theme="0" tint="-0.25"/>
      </left>
      <right style="thin">
        <color theme="0" tint="-0.35"/>
      </right>
      <top style="thin">
        <color theme="0" tint="-0.35"/>
      </top>
      <bottom style="thin">
        <color theme="0" tint="-0.35"/>
      </bottom>
    </border>
    <border>
      <left/>
      <right style="thin">
        <color theme="0" tint="-0.25"/>
      </right>
      <top style="thin">
        <color rgb="FFBCBCBC"/>
      </top>
      <bottom style="thin">
        <color rgb="FFBCBCBC"/>
      </bottom>
    </border>
    <border>
      <left/>
      <right style="thin">
        <color theme="0" tint="-0.25"/>
      </right>
      <top/>
      <bottom/>
    </border>
    <border>
      <left style="thin">
        <color rgb="FFBCBCBC"/>
      </left>
      <right/>
      <top style="thin">
        <color rgb="FFBCBCBC"/>
      </top>
      <bottom/>
    </border>
    <border>
      <left/>
      <right/>
      <top style="thin">
        <color theme="0" tint="-0.15"/>
      </top>
      <bottom style="thin">
        <color rgb="FFBCBCBC"/>
      </bottom>
    </border>
    <border>
      <left style="thin">
        <color rgb="FFBCBCBC"/>
      </left>
      <right style="thin">
        <color theme="0" tint="-0.25"/>
      </right>
      <top style="thin">
        <color rgb="FFBCBCBC"/>
      </top>
      <bottom style="thin">
        <color rgb="FFBCBCBC"/>
      </bottom>
    </border>
    <border>
      <left/>
      <right/>
      <top style="thin">
        <color rgb="FF969696"/>
      </top>
      <bottom style="thin">
        <color rgb="FF969696"/>
      </bottom>
    </border>
    <border>
      <left style="thin">
        <color rgb="FFC0C0C0"/>
      </left>
      <right style="thin">
        <color rgb="FFC0C0C0"/>
      </right>
      <top style="thin">
        <color rgb="FFC0C0C0"/>
      </top>
      <bottom style="thin">
        <color rgb="FFC0C0C0"/>
      </bottom>
    </border>
    <border>
      <left/>
      <right/>
      <top style="thin">
        <color rgb="FFC0C0C0"/>
      </top>
      <bottom/>
    </border>
    <border>
      <left/>
      <right/>
      <top style="thin">
        <color rgb="FFC0C0C0"/>
      </top>
      <bottom style="thin">
        <color rgb="FFC0C0C0"/>
      </bottom>
    </border>
    <border>
      <left/>
      <right style="thin">
        <color rgb="FFBCBCBC"/>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theme="0" tint="-0.25"/>
      </left>
      <right style="thin">
        <color theme="0" tint="-0.25"/>
      </right>
      <top/>
      <bottom/>
    </border>
    <border>
      <left style="thin">
        <color theme="0" tint="-0.25"/>
      </left>
      <right/>
      <top/>
      <bottom/>
    </border>
    <border>
      <left style="thin">
        <color theme="0" tint="-0.25"/>
      </left>
      <right/>
      <top/>
      <bottom style="thin">
        <color theme="0" tint="-0.25"/>
      </bottom>
    </border>
    <border>
      <left/>
      <right style="thin">
        <color theme="0" tint="-0.25"/>
      </right>
      <top style="thin">
        <color theme="0" tint="-0.35"/>
      </top>
      <bottom style="thin">
        <color theme="0" tint="-0.35"/>
      </bottom>
    </border>
    <border>
      <left style="thin">
        <color theme="0" tint="-0.35"/>
      </left>
      <right/>
      <top style="thin">
        <color rgb="FFBCBCBC"/>
      </top>
      <bottom style="thin">
        <color rgb="FFBCBCBC"/>
      </bottom>
    </border>
    <border>
      <left style="thin">
        <color theme="0" tint="-0.35"/>
      </left>
      <right/>
      <top/>
      <bottom/>
    </border>
    <border>
      <left/>
      <right style="thin">
        <color theme="0" tint="-0.35"/>
      </right>
      <top/>
      <bottom/>
    </border>
    <border>
      <left style="thin">
        <color theme="0" tint="-0.35"/>
      </left>
      <right/>
      <top style="thin">
        <color rgb="FFBCBCBC"/>
      </top>
      <bottom/>
    </border>
    <border>
      <left/>
      <right style="thin">
        <color theme="0" tint="-0.35"/>
      </right>
      <top style="thin">
        <color rgb="FFBCBCBC"/>
      </top>
      <bottom/>
    </border>
    <border>
      <left style="thin">
        <color rgb="FFBCBCBC"/>
      </left>
      <right style="thin">
        <color rgb="FFBCBCBC"/>
      </right>
      <top/>
      <bottom/>
    </border>
    <border>
      <left style="thin">
        <color rgb="FFBCBCBC"/>
      </left>
      <right style="thin">
        <color rgb="FFBCBCBC"/>
      </right>
      <top/>
      <bottom style="thin">
        <color rgb="FFBCBCBC"/>
      </bottom>
    </border>
    <border>
      <left style="thin">
        <color rgb="FFBCBCBC"/>
      </left>
      <right/>
      <top style="thin">
        <color theme="0" tint="-0.25"/>
      </top>
      <bottom/>
    </border>
    <border>
      <left style="thin">
        <color theme="0" tint="-0.35"/>
      </left>
      <right/>
      <top style="thin">
        <color theme="0" tint="-0.35"/>
      </top>
      <bottom/>
    </border>
    <border>
      <left style="thin">
        <color rgb="FFBFBFBF"/>
      </left>
      <right style="thin">
        <color rgb="FFBFBFBF"/>
      </right>
      <top style="thin">
        <color rgb="FFBFBFBF"/>
      </top>
      <bottom style="thin">
        <color rgb="FFBFBFBF"/>
      </bottom>
    </border>
  </borders>
  <cellStyleXfs count="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49" fontId="19" fillId="0" borderId="0" applyFont="1" applyFill="0" applyBorder="0" applyNumberFormat="1">
      <alignment vertical="top"/>
    </xf>
    <xf numFmtId="0" fontId="20" fillId="0" borderId="0" applyFont="1" applyFill="0" applyBorder="0"/>
    <xf numFmtId="0" fontId="1" fillId="0" borderId="0" applyFont="1" applyFill="0" applyBorder="0"/>
    <xf numFmtId="0" fontId="19" fillId="0" borderId="0" applyFont="1" applyFill="0" applyBorder="0">
      <alignment horizontal="left" vertical="center"/>
    </xf>
  </cellStyleXfs>
  <cellXfs count="527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19" fillId="0" borderId="0" xfId="47" applyFont="1" applyNumberFormat="1">
      <alignment vertical="top"/>
    </xf>
    <xf numFmtId="0" fontId="20" fillId="0" borderId="0" xfId="48" applyFont="1"/>
    <xf numFmtId="0" fontId="1" fillId="0" borderId="0" xfId="49" applyFont="1"/>
    <xf numFmtId="0" fontId="19" fillId="0" borderId="0" xfId="50" applyFont="1">
      <alignment horizontal="left" vertical="center"/>
    </xf>
    <xf numFmtId="49" fontId="19" fillId="0" borderId="0" xfId="0" applyFont="1" applyNumberFormat="1">
      <alignment vertical="top"/>
    </xf>
    <xf numFmtId="49" fontId="19" fillId="0" borderId="10" xfId="0" applyFont="1" applyBorder="1" applyNumberFormat="1">
      <alignment horizontal="center" vertical="center" wrapText="1"/>
    </xf>
    <xf numFmtId="0" fontId="21" fillId="0" borderId="10" xfId="0" applyFont="1" applyBorder="1">
      <alignment vertical="center" wrapText="1"/>
    </xf>
    <xf numFmtId="0" fontId="19" fillId="0" borderId="10" xfId="0" applyFont="1" applyBorder="1">
      <alignment horizontal="center" vertical="center"/>
    </xf>
    <xf numFmtId="0" fontId="19" fillId="33" borderId="11" xfId="0" applyFont="1" applyFill="1" applyBorder="1">
      <alignment horizontal="center" vertical="center" wrapText="1"/>
    </xf>
    <xf numFmtId="0" fontId="19" fillId="0" borderId="10" xfId="0" applyFont="1" applyBorder="1">
      <alignment horizontal="center" vertical="center" wrapText="1"/>
    </xf>
    <xf numFmtId="0" fontId="21" fillId="0" borderId="10" xfId="0" applyFont="1" applyBorder="1">
      <alignment horizontal="center" vertical="center" wrapText="1"/>
    </xf>
    <xf numFmtId="0" fontId="21" fillId="0" borderId="11" xfId="0" applyFont="1" applyBorder="1">
      <alignment horizontal="center" vertical="center" wrapText="1"/>
    </xf>
    <xf numFmtId="0" fontId="19" fillId="0" borderId="11" xfId="0" applyFont="1" applyBorder="1">
      <alignment horizontal="center" vertical="center" wrapText="1"/>
    </xf>
    <xf numFmtId="0" fontId="21" fillId="0" borderId="12" xfId="0" applyFont="1" applyBorder="1">
      <alignment horizontal="center" vertical="center" wrapText="1"/>
    </xf>
    <xf numFmtId="49" fontId="22" fillId="0" borderId="0" xfId="0" applyFont="1" applyNumberFormat="1">
      <alignment horizontal="center" vertical="center" wrapText="1" shrinkToFit="1"/>
    </xf>
    <xf numFmtId="0" fontId="23" fillId="0" borderId="0" xfId="0" applyFont="1">
      <alignment horizontal="center" vertical="center"/>
    </xf>
    <xf numFmtId="0" fontId="19" fillId="0" borderId="11" xfId="0" applyFont="1" applyBorder="1">
      <alignment horizontal="right" vertical="center" wrapText="1" indent="1"/>
    </xf>
    <xf numFmtId="0" fontId="21" fillId="0" borderId="0" xfId="0" applyFont="1">
      <alignment vertical="center"/>
    </xf>
    <xf numFmtId="0" fontId="19" fillId="0" borderId="11" xfId="0" applyFont="1" applyBorder="1">
      <alignment horizontal="right" vertical="center" wrapText="1" indent="1"/>
    </xf>
    <xf numFmtId="0" fontId="24" fillId="0" borderId="0" xfId="0" applyFont="1">
      <alignment vertical="top"/>
    </xf>
    <xf numFmtId="49" fontId="24" fillId="0" borderId="0" xfId="0" applyFont="1" applyNumberFormat="1">
      <alignment vertical="top"/>
    </xf>
    <xf numFmtId="49" fontId="19" fillId="0" borderId="0" xfId="0" applyFont="1" applyNumberFormat="1">
      <alignment vertical="center" wrapText="1"/>
    </xf>
    <xf numFmtId="0" fontId="25" fillId="0" borderId="13" xfId="0" applyFont="1" applyBorder="1">
      <alignment horizontal="center" vertical="center"/>
    </xf>
    <xf numFmtId="0" fontId="19" fillId="0" borderId="0" xfId="0" applyFont="1"/>
    <xf numFmtId="0" fontId="19" fillId="33" borderId="0" xfId="0" applyFont="1" applyFill="1"/>
    <xf numFmtId="49" fontId="19" fillId="34" borderId="14" xfId="0" applyFont="1" applyFill="1" applyBorder="1" applyNumberFormat="1">
      <alignment horizontal="left" vertical="center" wrapText="1"/>
      <protection locked="0"/>
    </xf>
    <xf numFmtId="0" fontId="23" fillId="0" borderId="0" xfId="0" applyFont="1">
      <alignment vertical="center"/>
    </xf>
    <xf numFmtId="0" fontId="23" fillId="0" borderId="0" xfId="0" applyFont="1">
      <alignment vertical="center" wrapText="1"/>
    </xf>
    <xf numFmtId="0" fontId="26" fillId="0" borderId="0" xfId="0" applyFont="1">
      <alignment vertical="center"/>
    </xf>
    <xf numFmtId="0" fontId="27" fillId="0" borderId="0" xfId="0" applyFont="1">
      <alignment vertical="center"/>
    </xf>
    <xf numFmtId="0" fontId="26" fillId="0" borderId="0" xfId="0" applyFont="1">
      <alignment horizontal="center" vertical="center"/>
    </xf>
    <xf numFmtId="0" fontId="23" fillId="0" borderId="0" xfId="0" applyFont="1">
      <alignment horizontal="left" vertical="center" wrapText="1"/>
    </xf>
    <xf numFmtId="49" fontId="28" fillId="0" borderId="0" xfId="0" applyFont="1" applyNumberFormat="1">
      <alignment horizontal="right" vertical="center" wrapText="1"/>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3" borderId="15" xfId="0" applyFont="1" applyFill="1" applyBorder="1">
      <alignment horizontal="center" vertical="center" wrapText="1"/>
    </xf>
    <xf numFmtId="0" fontId="19" fillId="33" borderId="16" xfId="0" applyFont="1" applyFill="1" applyBorder="1">
      <alignment horizontal="center" vertical="center" wrapText="1"/>
    </xf>
    <xf numFmtId="0" fontId="19" fillId="33" borderId="17" xfId="0" applyFont="1" applyFill="1" applyBorder="1">
      <alignment horizontal="center" vertical="center" wrapText="1"/>
    </xf>
    <xf numFmtId="49" fontId="19" fillId="0" borderId="0" xfId="0" applyFont="1" applyNumberFormat="1">
      <alignment horizontal="left" vertical="center" wrapText="1"/>
    </xf>
    <xf numFmtId="49" fontId="19" fillId="0" borderId="0" xfId="0" applyFont="1" applyNumberFormat="1">
      <alignment horizontal="right" vertical="center" wrapText="1"/>
    </xf>
    <xf numFmtId="0" fontId="21" fillId="0" borderId="0" xfId="0" applyFont="1"/>
    <xf numFmtId="49" fontId="19" fillId="0" borderId="11" xfId="0" applyFont="1" applyBorder="1" applyNumberFormat="1">
      <alignment horizontal="center" vertical="center"/>
    </xf>
    <xf numFmtId="0" fontId="29" fillId="0" borderId="0" xfId="0" applyFont="1"/>
    <xf numFmtId="0" fontId="0" fillId="0" borderId="0" xfId="0" applyFont="1">
      <alignment horizontal="left" vertical="center"/>
    </xf>
    <xf numFmtId="0" fontId="21" fillId="0" borderId="0" xfId="0" applyFont="1">
      <alignment horizontal="center" vertical="center"/>
    </xf>
    <xf numFmtId="0" fontId="0" fillId="0" borderId="0" xfId="0" applyFont="1">
      <alignment horizontal="center"/>
    </xf>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30" fillId="0" borderId="0" xfId="0" applyFont="1">
      <alignment vertical="center" wrapText="1"/>
    </xf>
    <xf numFmtId="0" fontId="21" fillId="0" borderId="0" xfId="0" applyFont="1">
      <alignment horizontal="center"/>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vertical="center" wrapText="1"/>
    </xf>
    <xf numFmtId="0" fontId="21" fillId="0" borderId="11" xfId="0" applyFont="1" applyBorder="1">
      <alignment horizontal="center" vertical="center"/>
    </xf>
    <xf numFmtId="0" fontId="21" fillId="0" borderId="11" xfId="0" applyFont="1" applyBorder="1">
      <alignment horizontal="left" vertical="center" wrapText="1"/>
    </xf>
    <xf numFmtId="0" fontId="19" fillId="0" borderId="11" xfId="0" applyFont="1" applyBorder="1">
      <alignment horizontal="left" vertical="center" wrapText="1"/>
    </xf>
    <xf numFmtId="0" fontId="19" fillId="0" borderId="11" xfId="0" applyFont="1" applyBorder="1">
      <alignment vertical="center" wrapText="1"/>
    </xf>
    <xf numFmtId="0" fontId="21" fillId="0" borderId="0" xfId="0" applyFont="1">
      <alignment wrapText="1"/>
    </xf>
    <xf numFmtId="4" fontId="19" fillId="34" borderId="11" xfId="0" applyFont="1" applyFill="1" applyBorder="1" applyNumberFormat="1">
      <alignment horizontal="right" vertical="center"/>
      <protection locked="0"/>
    </xf>
    <xf numFmtId="4" fontId="19" fillId="36" borderId="11" xfId="0" applyFont="1" applyFill="1" applyBorder="1" applyNumberFormat="1">
      <alignment horizontal="right" vertical="center"/>
    </xf>
    <xf numFmtId="0" fontId="19" fillId="0" borderId="0" xfId="0" applyFont="1">
      <alignment vertical="center"/>
    </xf>
    <xf numFmtId="0" fontId="21" fillId="0" borderId="0" xfId="0" applyFont="1">
      <alignment vertical="center" wrapText="1"/>
    </xf>
    <xf numFmtId="49" fontId="19" fillId="33" borderId="11" xfId="0" applyFont="1" applyFill="1" applyBorder="1" applyNumberFormat="1">
      <alignment horizontal="center" vertical="center" wrapText="1"/>
    </xf>
    <xf numFmtId="0" fontId="21" fillId="0" borderId="0" xfId="0" applyFont="1">
      <alignment horizontal="center" vertical="center" wrapText="1"/>
    </xf>
    <xf numFmtId="0" fontId="22" fillId="0" borderId="0" xfId="0" applyFont="1"/>
    <xf numFmtId="0" fontId="19" fillId="0" borderId="0" xfId="0" applyFont="1">
      <alignment vertical="center" wrapText="1"/>
    </xf>
    <xf numFmtId="0" fontId="21" fillId="0" borderId="0" xfId="0" applyFont="1"/>
    <xf numFmtId="0" fontId="21" fillId="0" borderId="0" xfId="0" applyFont="1">
      <alignment horizontal="center"/>
    </xf>
    <xf numFmtId="171" fontId="31" fillId="0" borderId="0" xfId="0" applyFont="1" applyNumberFormat="1">
      <alignment horizontal="left" vertical="center" wrapText="1"/>
    </xf>
    <xf numFmtId="0" fontId="23" fillId="0" borderId="0" xfId="0" applyFont="1"/>
    <xf numFmtId="0" fontId="26" fillId="0" borderId="0" xfId="0" applyFont="1"/>
    <xf numFmtId="0" fontId="26" fillId="0" borderId="0" xfId="0" applyFont="1">
      <alignment horizontal="left"/>
    </xf>
    <xf numFmtId="0" fontId="23" fillId="0" borderId="0" xfId="0" applyFont="1">
      <alignment horizontal="left"/>
    </xf>
    <xf numFmtId="0" fontId="32" fillId="0" borderId="0" xfId="0" applyFont="1">
      <alignment horizontal="left" vertical="top" wrapText="1"/>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3" fillId="0" borderId="0" xfId="0" applyFont="1" applyNumberFormat="1">
      <alignment vertical="center" wrapText="1"/>
    </xf>
    <xf numFmtId="49" fontId="35" fillId="37" borderId="0" xfId="0" applyFont="1" applyFill="1" applyNumberFormat="1">
      <alignment horizontal="center" vertical="center"/>
    </xf>
    <xf numFmtId="0" fontId="33" fillId="0" borderId="0" xfId="0" applyFont="1"/>
    <xf numFmtId="0" fontId="23" fillId="38" borderId="0" xfId="0" applyFont="1" applyFill="1">
      <alignment horizontal="right" vertical="center"/>
    </xf>
    <xf numFmtId="0" fontId="23" fillId="38" borderId="0" xfId="0" applyFont="1" applyFill="1">
      <alignment horizontal="center" vertical="center"/>
    </xf>
    <xf numFmtId="0" fontId="33" fillId="38" borderId="0" xfId="0" applyFont="1" applyFill="1">
      <alignment horizontal="right" vertical="center"/>
    </xf>
    <xf numFmtId="49" fontId="33" fillId="0" borderId="0" xfId="0" applyFont="1" applyNumberFormat="1">
      <alignment vertical="center" wrapText="1"/>
    </xf>
    <xf numFmtId="49" fontId="23" fillId="0" borderId="0" xfId="0" applyFont="1" applyNumberFormat="1">
      <alignment vertical="top"/>
    </xf>
    <xf numFmtId="0" fontId="23" fillId="38" borderId="0" xfId="0" applyFont="1" applyFill="1">
      <alignment horizontal="left" vertical="center"/>
    </xf>
    <xf numFmtId="49" fontId="24" fillId="37" borderId="0" xfId="0" applyFont="1" applyFill="1" applyNumberFormat="1">
      <alignment horizontal="center" vertical="center"/>
    </xf>
    <xf numFmtId="49" fontId="19" fillId="39" borderId="0" xfId="0" applyFont="1" applyFill="1" applyNumberFormat="1">
      <alignment vertical="top"/>
    </xf>
    <xf numFmtId="49" fontId="36" fillId="0" borderId="0" xfId="0" applyFont="1" applyNumberFormat="1">
      <alignment horizontal="center" vertical="center" wrapText="1"/>
    </xf>
    <xf numFmtId="49" fontId="37" fillId="40" borderId="18" xfId="0" applyFont="1" applyFill="1" applyBorder="1" applyNumberFormat="1">
      <alignment horizontal="lef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19" fillId="36" borderId="22" xfId="0" applyFont="1" applyFill="1" applyBorder="1" applyNumberFormat="1">
      <alignment horizontal="left" vertical="center" wrapText="1" indent="1"/>
    </xf>
    <xf numFmtId="0" fontId="37" fillId="40" borderId="18" xfId="0" applyFont="1" applyFill="1" applyBorder="1">
      <alignment horizontal="left" vertical="center"/>
    </xf>
    <xf numFmtId="0" fontId="19" fillId="38" borderId="0" xfId="0" applyFont="1" applyFill="1">
      <alignment horizontal="left" vertical="center"/>
    </xf>
    <xf numFmtId="49" fontId="19" fillId="0" borderId="23" xfId="0" applyFont="1" applyBorder="1" applyNumberFormat="1">
      <alignment vertical="center" wrapText="1"/>
    </xf>
    <xf numFmtId="0" fontId="37" fillId="40" borderId="24" xfId="0" applyFont="1" applyFill="1" applyBorder="1">
      <alignment horizontal="left" vertical="center"/>
    </xf>
    <xf numFmtId="0" fontId="21" fillId="0" borderId="10" xfId="0" applyFont="1" applyBorder="1">
      <alignment horizontal="center" vertical="center"/>
    </xf>
    <xf numFmtId="0" fontId="19" fillId="35" borderId="10" xfId="0" applyFont="1" applyFill="1" applyBorder="1">
      <alignment horizontal="center" vertical="center" wrapText="1"/>
    </xf>
    <xf numFmtId="0" fontId="19" fillId="35" borderId="25" xfId="0" applyFont="1" applyFill="1" applyBorder="1">
      <alignment horizontal="center" vertical="center" wrapText="1"/>
    </xf>
    <xf numFmtId="49" fontId="38" fillId="41" borderId="26" xfId="0" applyFont="1" applyFill="1" applyBorder="1" applyNumberFormat="1">
      <alignment horizontal="left" vertical="center" wrapText="1" indent="1"/>
    </xf>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11" xfId="0" applyFont="1" applyBorder="1">
      <alignment horizontal="center" vertical="center" wrapText="1"/>
    </xf>
    <xf numFmtId="4" fontId="19" fillId="36" borderId="11" xfId="0" applyFont="1" applyFill="1" applyBorder="1" applyNumberFormat="1">
      <alignment horizontal="right" vertical="center"/>
    </xf>
    <xf numFmtId="0" fontId="19" fillId="0" borderId="11" xfId="0" applyFont="1" applyBorder="1">
      <alignment horizontal="left" vertical="center" wrapText="1" indent="1"/>
    </xf>
    <xf numFmtId="0" fontId="39" fillId="0" borderId="13" xfId="0" applyFont="1" applyBorder="1">
      <alignment vertical="center"/>
    </xf>
    <xf numFmtId="0" fontId="39" fillId="0" borderId="13" xfId="0" applyFont="1" applyBorder="1"/>
    <xf numFmtId="0" fontId="40" fillId="0" borderId="13" xfId="0" applyFont="1" applyBorder="1">
      <alignment vertical="center" wrapText="1"/>
    </xf>
    <xf numFmtId="49" fontId="19" fillId="34" borderId="27" xfId="0" applyFont="1" applyFill="1" applyBorder="1" applyNumberFormat="1">
      <alignment horizontal="left" vertical="center" wrapText="1" indent="1"/>
      <protection locked="0"/>
    </xf>
    <xf numFmtId="0" fontId="21" fillId="0" borderId="11" xfId="0" applyFont="1" applyBorder="1">
      <alignment horizontal="right" vertical="center" wrapText="1" indent="1"/>
    </xf>
    <xf numFmtId="0" fontId="21" fillId="0" borderId="11" xfId="0" applyFont="1" applyBorder="1">
      <alignment horizontal="right" vertical="center" indent="1"/>
    </xf>
    <xf numFmtId="0" fontId="19" fillId="42" borderId="11" xfId="0" applyFont="1" applyFill="1" applyBorder="1">
      <alignment horizontal="left" vertical="center" wrapText="1"/>
      <protection locked="0"/>
    </xf>
    <xf numFmtId="49" fontId="21" fillId="34" borderId="11" xfId="0" applyFont="1" applyFill="1" applyBorder="1" applyNumberFormat="1">
      <alignment horizontal="left" vertical="center" wrapText="1"/>
      <protection locked="0"/>
    </xf>
    <xf numFmtId="49" fontId="40" fillId="0" borderId="28" xfId="0" applyFont="1" applyBorder="1" applyNumberFormat="1">
      <alignment horizontal="left" vertical="center" wrapText="1" indent="4"/>
    </xf>
    <xf numFmtId="49" fontId="40" fillId="0" borderId="0" xfId="0" applyFont="1" applyNumberFormat="1">
      <alignment horizontal="left" vertical="center" wrapText="1" indent="4"/>
    </xf>
    <xf numFmtId="49" fontId="40" fillId="0" borderId="13" xfId="0" applyFont="1" applyBorder="1" applyNumberFormat="1">
      <alignment horizontal="left" vertical="center" indent="1"/>
    </xf>
    <xf numFmtId="0" fontId="19" fillId="0" borderId="0" xfId="0" applyFont="1">
      <alignment horizontal="left" vertical="center" wrapText="1"/>
    </xf>
    <xf numFmtId="0" fontId="22" fillId="33" borderId="11" xfId="0" applyFont="1" applyFill="1" applyBorder="1">
      <alignment horizontal="center" vertical="center" wrapText="1"/>
    </xf>
    <xf numFmtId="49" fontId="40" fillId="0" borderId="13" xfId="0" applyFont="1" applyBorder="1" applyNumberFormat="1">
      <alignment vertical="center" wrapText="1"/>
    </xf>
    <xf numFmtId="0" fontId="21" fillId="0" borderId="0" xfId="0" applyFont="1">
      <alignment horizontal="left" vertical="center" wrapText="1"/>
    </xf>
    <xf numFmtId="0" fontId="1" fillId="0" borderId="13" xfId="0" applyFont="1" applyBorder="1"/>
    <xf numFmtId="49" fontId="40" fillId="0" borderId="13" xfId="0" applyFont="1" applyBorder="1" applyNumberFormat="1">
      <alignment horizontal="center" vertical="center" wrapText="1"/>
    </xf>
    <xf numFmtId="49" fontId="37" fillId="40" borderId="29"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13"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0" fontId="37" fillId="40" borderId="30" xfId="0" applyFont="1" applyFill="1" applyBorder="1">
      <alignment horizontal="left" vertical="center"/>
    </xf>
    <xf numFmtId="0" fontId="1" fillId="0" borderId="13" xfId="0" applyFont="1" applyBorder="1">
      <alignment vertical="center"/>
    </xf>
    <xf numFmtId="0" fontId="37" fillId="40" borderId="29" xfId="0" applyFont="1" applyFill="1" applyBorder="1">
      <alignment horizontal="left" vertical="center"/>
    </xf>
    <xf numFmtId="4" fontId="22" fillId="34" borderId="10" xfId="0" applyFont="1" applyFill="1" applyBorder="1" applyNumberFormat="1">
      <alignment horizontal="right" vertical="center"/>
      <protection locked="0"/>
    </xf>
    <xf numFmtId="0" fontId="21" fillId="0" borderId="13" xfId="0" applyFont="1" applyBorder="1">
      <alignment vertical="center"/>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protection locked="0"/>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2" fillId="0" borderId="10" xfId="0" applyFont="1" applyBorder="1">
      <alignment horizontal="center" vertical="center" wrapText="1"/>
    </xf>
    <xf numFmtId="4" fontId="21" fillId="36" borderId="10" xfId="0" applyFont="1" applyFill="1" applyBorder="1" applyNumberFormat="1">
      <alignment horizontal="right"/>
    </xf>
    <xf numFmtId="0" fontId="21" fillId="0" borderId="13" xfId="0" applyFont="1" applyBorder="1">
      <alignment vertical="center" wrapText="1"/>
    </xf>
    <xf numFmtId="0" fontId="21" fillId="0" borderId="13" xfId="0" applyFont="1" applyBorder="1"/>
    <xf numFmtId="4" fontId="21" fillId="36"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49" fontId="21" fillId="0" borderId="10" xfId="0" applyFont="1" applyBorder="1" applyNumberFormat="1">
      <alignment horizontal="center" vertical="center"/>
    </xf>
    <xf numFmtId="0" fontId="40" fillId="0" borderId="0" xfId="0" applyFont="1"/>
    <xf numFmtId="0" fontId="37" fillId="40" borderId="31" xfId="0" applyFont="1" applyFill="1" applyBorder="1">
      <alignment horizontal="left" vertical="center"/>
    </xf>
    <xf numFmtId="0" fontId="37" fillId="40" borderId="32" xfId="0" applyFont="1" applyFill="1" applyBorder="1">
      <alignment horizontal="left" vertical="center"/>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left" vertical="center" wrapText="1"/>
    </xf>
    <xf numFmtId="49" fontId="22" fillId="0" borderId="10" xfId="0" applyFont="1" applyBorder="1" applyNumberFormat="1">
      <alignment horizontal="center" vertical="center" wrapText="1"/>
    </xf>
    <xf numFmtId="4" fontId="0" fillId="34" borderId="10" xfId="0" applyFont="1" applyFill="1" applyBorder="1" applyNumberFormat="1">
      <alignment horizontal="right" vertical="center" wrapText="1"/>
      <protection locked="0"/>
    </xf>
    <xf numFmtId="0" fontId="1" fillId="0" borderId="13" xfId="0" applyFont="1" applyBorder="1">
      <alignment wrapText="1"/>
    </xf>
    <xf numFmtId="0" fontId="32" fillId="0" borderId="0" xfId="0" applyFont="1">
      <alignment horizontal="left" vertical="center" wrapText="1"/>
    </xf>
    <xf numFmtId="49" fontId="34" fillId="0" borderId="13" xfId="0" applyFont="1" applyBorder="1" applyNumberFormat="1">
      <alignment vertical="center"/>
    </xf>
    <xf numFmtId="0" fontId="37" fillId="40" borderId="0" xfId="0" applyFont="1" applyFill="1">
      <alignment horizontal="left" vertical="center"/>
    </xf>
    <xf numFmtId="49" fontId="23" fillId="0" borderId="0" xfId="0" applyFont="1" applyNumberFormat="1">
      <alignment vertical="center"/>
    </xf>
    <xf numFmtId="0" fontId="21" fillId="0" borderId="22" xfId="0" applyFont="1" applyBorder="1">
      <alignment horizontal="center" vertical="center" wrapText="1"/>
    </xf>
    <xf numFmtId="0" fontId="21" fillId="0" borderId="33" xfId="0" applyFont="1" applyBorder="1">
      <alignment horizontal="center" vertical="center" wrapText="1"/>
    </xf>
    <xf numFmtId="4" fontId="21" fillId="34" borderId="22" xfId="0" applyFont="1" applyFill="1" applyBorder="1" applyNumberFormat="1">
      <alignment horizontal="right" vertical="center"/>
      <protection locked="0"/>
    </xf>
    <xf numFmtId="0" fontId="40" fillId="0" borderId="13" xfId="0" applyFont="1" applyBorder="1">
      <alignment horizontal="left" vertical="center" indent="1"/>
    </xf>
    <xf numFmtId="0" fontId="21" fillId="0" borderId="10" xfId="0" applyFont="1" applyBorder="1">
      <alignment horizontal="left" vertical="center" wrapText="1"/>
    </xf>
    <xf numFmtId="4" fontId="19" fillId="36" borderId="10" xfId="0" applyFont="1" applyFill="1" applyBorder="1" applyNumberFormat="1">
      <alignment horizontal="right" vertical="center"/>
    </xf>
    <xf numFmtId="49" fontId="38" fillId="41" borderId="20" xfId="0" applyFont="1" applyFill="1" applyBorder="1" applyNumberFormat="1">
      <alignment horizontal="left" vertical="center" indent="1"/>
    </xf>
    <xf numFmtId="0" fontId="19" fillId="38" borderId="0" xfId="0" applyFont="1" applyFill="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49" fontId="38" fillId="41" borderId="34" xfId="0" applyFont="1" applyFill="1" applyBorder="1" applyNumberFormat="1">
      <alignment horizontal="left" vertical="center" wrapText="1"/>
    </xf>
    <xf numFmtId="49" fontId="38" fillId="41" borderId="36" xfId="0" applyFont="1" applyFill="1" applyBorder="1" applyNumberFormat="1">
      <alignment horizontal="left" vertical="center" wrapText="1"/>
    </xf>
    <xf numFmtId="0" fontId="19" fillId="43" borderId="0" xfId="0" applyFont="1" applyFill="1">
      <alignment horizontal="left" vertical="center" wrapText="1"/>
    </xf>
    <xf numFmtId="0" fontId="21" fillId="43" borderId="0" xfId="0" applyFont="1" applyFill="1">
      <alignment horizontal="center"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4" fontId="37" fillId="40" borderId="32" xfId="0" applyFont="1" applyFill="1" applyBorder="1" applyNumberFormat="1">
      <alignment horizontal="right" vertical="center"/>
    </xf>
    <xf numFmtId="0" fontId="19" fillId="36" borderId="10" xfId="0" applyFont="1" applyFill="1" applyBorder="1">
      <alignment horizontal="left" vertical="center" wrapText="1" indent="1"/>
    </xf>
    <xf numFmtId="0" fontId="21" fillId="41" borderId="29" xfId="0" applyFont="1" applyFill="1" applyBorder="1">
      <alignment vertical="center" wrapText="1"/>
    </xf>
    <xf numFmtId="172" fontId="21" fillId="34" borderId="11" xfId="0" applyFont="1" applyFill="1" applyBorder="1" applyNumberFormat="1">
      <alignment horizontal="right" vertical="center"/>
      <protection locked="0"/>
    </xf>
    <xf numFmtId="172" fontId="41" fillId="43" borderId="38" xfId="0" applyFont="1" applyFill="1" applyBorder="1" applyNumberFormat="1">
      <alignment horizontal="left" vertical="center" indent="1"/>
    </xf>
    <xf numFmtId="172" fontId="0" fillId="34" borderId="11" xfId="0" applyFont="1" applyFill="1" applyBorder="1" applyNumberFormat="1">
      <alignment horizontal="right" vertical="center"/>
      <protection locked="0"/>
    </xf>
    <xf numFmtId="172" fontId="19" fillId="34" borderId="11" xfId="0" applyFont="1" applyFill="1" applyBorder="1" applyNumberFormat="1">
      <alignment horizontal="right" vertical="center"/>
      <protection locked="0"/>
    </xf>
    <xf numFmtId="172" fontId="0" fillId="36" borderId="11" xfId="0" applyFont="1" applyFill="1" applyBorder="1" applyNumberFormat="1">
      <alignment horizontal="right" vertical="center"/>
    </xf>
    <xf numFmtId="173" fontId="0" fillId="36" borderId="11" xfId="0" applyFont="1" applyFill="1" applyBorder="1" applyNumberFormat="1">
      <alignment horizontal="right" vertical="center"/>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49" fontId="19" fillId="34" borderId="11" xfId="0" applyFont="1" applyFill="1" applyBorder="1" applyNumberFormat="1">
      <alignment horizontal="left" vertical="center" wrapText="1"/>
      <protection locked="0"/>
    </xf>
    <xf numFmtId="49" fontId="40" fillId="0" borderId="13" xfId="0" applyFont="1" applyBorder="1" applyNumberFormat="1">
      <alignment horizontal="left" vertical="center" wrapText="1"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40" fillId="0" borderId="0" xfId="0" applyFont="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40"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0" fontId="19" fillId="0" borderId="0" xfId="0" applyFont="1">
      <alignment horizontal="center" vertical="center" wrapText="1"/>
    </xf>
    <xf numFmtId="4" fontId="19" fillId="34" borderId="10" xfId="0" applyFont="1" applyFill="1" applyBorder="1" applyNumberFormat="1">
      <alignment horizontal="right" vertical="center" wrapText="1"/>
      <protection locked="0"/>
    </xf>
    <xf numFmtId="49" fontId="19" fillId="0" borderId="10" xfId="0" applyFont="1" applyBorder="1" applyNumberFormat="1">
      <alignment horizontal="center" vertical="center"/>
    </xf>
    <xf numFmtId="0" fontId="19" fillId="0" borderId="10" xfId="0" applyFont="1" applyBorder="1">
      <alignment horizontal="center" vertical="center"/>
    </xf>
    <xf numFmtId="4" fontId="22" fillId="34" borderId="10" xfId="0" applyFont="1" applyFill="1" applyBorder="1" applyNumberFormat="1">
      <alignment vertical="center"/>
      <protection locked="0"/>
    </xf>
    <xf numFmtId="0" fontId="21" fillId="0" borderId="39" xfId="0" applyFont="1" applyBorder="1">
      <alignment horizontal="center" vertical="center" wrapText="1"/>
    </xf>
    <xf numFmtId="4" fontId="21" fillId="34" borderId="40" xfId="0" applyFont="1" applyFill="1" applyBorder="1" applyNumberFormat="1">
      <alignment horizontal="right" vertical="center"/>
      <protection locked="0"/>
    </xf>
    <xf numFmtId="4" fontId="21" fillId="41" borderId="41" xfId="0" applyFont="1" applyFill="1" applyBorder="1" applyNumberFormat="1">
      <alignment horizontal="right" vertical="center"/>
    </xf>
    <xf numFmtId="0" fontId="42" fillId="43" borderId="38" xfId="0" applyFont="1" applyFill="1" applyBorder="1">
      <alignment horizontal="left" vertical="center" indent="1"/>
    </xf>
    <xf numFmtId="4" fontId="43" fillId="40" borderId="18" xfId="0" applyFont="1" applyFill="1" applyBorder="1" applyNumberFormat="1">
      <alignment horizontal="right" vertical="center"/>
    </xf>
    <xf numFmtId="172" fontId="21" fillId="34" borderId="10" xfId="0" applyFont="1" applyFill="1" applyBorder="1" applyNumberFormat="1">
      <alignment horizontal="right" vertical="center"/>
      <protection locked="0"/>
    </xf>
    <xf numFmtId="49" fontId="38" fillId="41" borderId="20" xfId="0" applyFont="1" applyFill="1" applyBorder="1" applyNumberFormat="1">
      <alignment horizontal="left" vertical="center"/>
    </xf>
    <xf numFmtId="49" fontId="21" fillId="34" borderId="10" xfId="0" applyFont="1" applyFill="1" applyBorder="1" applyNumberFormat="1">
      <alignment horizontal="left" vertical="center" wrapText="1"/>
      <protection locked="0"/>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41" borderId="20" xfId="0" applyFont="1" applyFill="1" applyBorder="1">
      <alignment vertical="center" wrapText="1"/>
    </xf>
    <xf numFmtId="0" fontId="21" fillId="41" borderId="26" xfId="0" applyFont="1" applyFill="1" applyBorder="1">
      <alignment vertical="center" wrapText="1"/>
    </xf>
    <xf numFmtId="172" fontId="19" fillId="36" borderId="11" xfId="0" applyFont="1" applyFill="1" applyBorder="1" applyNumberFormat="1">
      <alignment horizontal="right" vertical="center"/>
    </xf>
    <xf numFmtId="172" fontId="21" fillId="34" borderId="22" xfId="0" applyFont="1" applyFill="1" applyBorder="1" applyNumberFormat="1">
      <alignment horizontal="right" vertical="center"/>
      <protection locked="0"/>
    </xf>
    <xf numFmtId="172" fontId="21" fillId="34" borderId="40" xfId="0" applyFont="1" applyFill="1" applyBorder="1" applyNumberFormat="1">
      <alignment horizontal="right" vertical="center"/>
      <protection locked="0"/>
    </xf>
    <xf numFmtId="0" fontId="22" fillId="0" borderId="13" xfId="0" applyFont="1" applyBorder="1" quotePrefix="1">
      <alignment horizontal="left" vertical="center" indent="1"/>
    </xf>
    <xf numFmtId="0" fontId="40" fillId="0" borderId="13" xfId="0" applyFont="1" applyBorder="1" quotePrefix="1">
      <alignment horizontal="left" vertical="center" indent="1"/>
    </xf>
    <xf numFmtId="49" fontId="40" fillId="0" borderId="13" xfId="0" applyFont="1" applyBorder="1" applyNumberFormat="1" quotePrefix="1">
      <alignment horizontal="left" vertical="center" indent="1"/>
    </xf>
    <xf numFmtId="0" fontId="28" fillId="0" borderId="0" xfId="0" applyFont="1"/>
    <xf numFmtId="0" fontId="25" fillId="0" borderId="13" xfId="0" applyFont="1" applyBorder="1">
      <alignment horizontal="left" vertical="center" indent="1"/>
    </xf>
    <xf numFmtId="0" fontId="28" fillId="0" borderId="13" xfId="0" applyFont="1" applyBorder="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0" borderId="0" xfId="0" applyFont="1">
      <alignment horizontal="left" vertical="center" indent="1"/>
    </xf>
    <xf numFmtId="0" fontId="21" fillId="0" borderId="23" xfId="0" applyFont="1" applyBorder="1">
      <alignment vertical="center"/>
    </xf>
    <xf numFmtId="0" fontId="21" fillId="0" borderId="23" xfId="0" applyFont="1" applyBorder="1">
      <alignment vertical="center" wrapText="1"/>
    </xf>
    <xf numFmtId="0" fontId="19" fillId="0" borderId="11" xfId="0" applyFont="1" applyBorder="1">
      <alignment vertical="center" wrapText="1"/>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38" xfId="0" applyFont="1" applyBorder="1">
      <alignment horizontal="left" vertical="center" wrapText="1" indent="1"/>
    </xf>
    <xf numFmtId="0" fontId="19" fillId="0" borderId="42" xfId="0" applyFont="1" applyBorder="1">
      <alignment vertical="center" wrapText="1"/>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19" fillId="0" borderId="0" xfId="0" applyFont="1" applyNumberFormat="1">
      <alignment vertical="top"/>
    </xf>
    <xf numFmtId="172" fontId="24" fillId="0" borderId="0" xfId="0" applyFont="1" applyNumberFormat="1">
      <alignment vertical="top"/>
    </xf>
    <xf numFmtId="172" fontId="21" fillId="36" borderId="11" xfId="0" applyFont="1" applyFill="1" applyBorder="1" applyNumberFormat="1">
      <alignment horizontal="right" vertical="center"/>
    </xf>
    <xf numFmtId="172" fontId="21" fillId="36" borderId="11" xfId="0" applyFont="1" applyFill="1" applyBorder="1" applyNumberFormat="1">
      <alignment horizontal="right" vertical="center"/>
    </xf>
    <xf numFmtId="0" fontId="33" fillId="42" borderId="11" xfId="0" applyFont="1" applyFill="1" applyBorder="1">
      <alignment horizontal="left" vertical="center" wrapText="1" indent="1"/>
      <protection locked="0"/>
    </xf>
    <xf numFmtId="0" fontId="21" fillId="0" borderId="0" xfId="0" applyFont="1">
      <alignment horizontal="left" vertical="center"/>
    </xf>
    <xf numFmtId="49" fontId="40" fillId="0" borderId="13" xfId="0" applyFont="1" applyBorder="1" applyNumberFormat="1">
      <alignment horizontal="left" vertical="center" wrapText="1" indent="4"/>
    </xf>
    <xf numFmtId="49" fontId="40" fillId="0" borderId="0" xfId="0" applyFont="1" applyNumberFormat="1" quotePrefix="1">
      <alignment horizontal="left" vertical="center" wrapText="1" indent="4"/>
    </xf>
    <xf numFmtId="49" fontId="19" fillId="33" borderId="10" xfId="0" applyFont="1" applyFill="1" applyBorder="1" applyNumberFormat="1">
      <alignment horizontal="center" vertical="center" wrapText="1"/>
    </xf>
    <xf numFmtId="4" fontId="19" fillId="36" borderId="10" xfId="0" applyFont="1" applyFill="1" applyBorder="1" applyNumberFormat="1">
      <alignment horizontal="right" vertical="center"/>
    </xf>
    <xf numFmtId="4" fontId="24" fillId="0" borderId="0" xfId="0" applyFont="1" applyNumberFormat="1">
      <alignment horizontal="right" vertical="center"/>
    </xf>
    <xf numFmtId="4" fontId="19" fillId="0" borderId="0" xfId="0" applyFont="1" applyNumberFormat="1">
      <alignment horizontal="right" vertical="center"/>
    </xf>
    <xf numFmtId="0" fontId="21" fillId="0" borderId="10" xfId="0" applyFont="1" applyBorder="1">
      <alignment horizontal="center" vertical="center"/>
    </xf>
    <xf numFmtId="0" fontId="28" fillId="4" borderId="10" xfId="0" applyFont="1" applyFill="1" applyBorder="1" quotePrefix="1">
      <alignment vertical="center" wrapText="1"/>
    </xf>
    <xf numFmtId="0" fontId="19" fillId="0" borderId="12" xfId="0" applyFont="1" applyBorder="1">
      <alignment horizontal="center" vertical="center" wrapText="1"/>
    </xf>
    <xf numFmtId="0" fontId="21" fillId="0" borderId="43" xfId="0" applyFont="1" applyBorder="1">
      <alignment horizontal="center" vertical="center" wrapText="1"/>
    </xf>
    <xf numFmtId="0" fontId="21" fillId="0" borderId="37" xfId="0" applyFont="1" applyBorder="1">
      <alignment horizontal="center" vertical="center" wrapText="1"/>
    </xf>
    <xf numFmtId="0" fontId="22" fillId="0" borderId="10" xfId="0" applyFont="1" applyBorder="1">
      <alignment horizontal="left" vertical="center" wrapText="1" indent="1"/>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45" fillId="0" borderId="0" xfId="0" applyFont="1">
      <alignment vertical="center"/>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vertical="center" indent="2"/>
    </xf>
    <xf numFmtId="49" fontId="38" fillId="41" borderId="35" xfId="0" applyFont="1" applyFill="1" applyBorder="1" applyNumberFormat="1">
      <alignment horizontal="left" vertical="center" wrapText="1"/>
    </xf>
    <xf numFmtId="49" fontId="21" fillId="0" borderId="0" xfId="0" applyFont="1" applyNumberFormat="1"/>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33" borderId="44" xfId="0" applyFont="1" applyFill="1" applyBorder="1">
      <alignment horizontal="center" vertical="center" wrapText="1"/>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xf>
    <xf numFmtId="0" fontId="21" fillId="0" borderId="0" xfId="0" applyFont="1">
      <alignment horizontal="left"/>
    </xf>
    <xf numFmtId="0" fontId="33" fillId="0" borderId="0" xfId="0" applyFont="1">
      <alignment horizontal="left" vertical="center" wrapText="1"/>
    </xf>
    <xf numFmtId="0" fontId="33" fillId="0" borderId="0" xfId="0" applyFont="1">
      <alignment horizontal="left" vertical="center"/>
    </xf>
    <xf numFmtId="0" fontId="1" fillId="0" borderId="0" xfId="0" applyFont="1"/>
    <xf numFmtId="0" fontId="33" fillId="39" borderId="0" xfId="0" applyFont="1" applyFill="1">
      <alignment vertical="center"/>
    </xf>
    <xf numFmtId="0" fontId="37" fillId="40" borderId="10" xfId="0" applyFont="1" applyFill="1" applyBorder="1">
      <alignment horizontal="left" vertical="center"/>
    </xf>
    <xf numFmtId="4" fontId="22" fillId="34" borderId="10" xfId="0" applyFont="1" applyFill="1" applyBorder="1" applyNumberFormat="1">
      <alignment horizontal="right" vertical="center" wrapText="1"/>
      <protection locked="0"/>
    </xf>
    <xf numFmtId="0" fontId="21" fillId="41" borderId="29" xfId="0" applyFont="1" applyFill="1" applyBorder="1"/>
    <xf numFmtId="0" fontId="23" fillId="39" borderId="0" xfId="0" applyFont="1" applyFill="1">
      <alignment vertical="center"/>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0" fontId="46" fillId="0" borderId="0" xfId="0" applyFont="1">
      <alignment vertical="center"/>
    </xf>
    <xf numFmtId="0" fontId="46" fillId="0" borderId="0" xfId="0" applyFont="1">
      <alignment vertical="center" wrapText="1"/>
    </xf>
    <xf numFmtId="0" fontId="47" fillId="0" borderId="0" xfId="0" applyFont="1">
      <alignment vertical="center"/>
    </xf>
    <xf numFmtId="0" fontId="19" fillId="42" borderId="11" xfId="0" applyFont="1" applyFill="1" applyBorder="1">
      <alignment horizontal="left" vertical="center" wrapText="1" indent="1"/>
      <protection locked="0"/>
    </xf>
    <xf numFmtId="0" fontId="19"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49" fontId="21" fillId="36" borderId="11" xfId="0" applyFont="1" applyFill="1" applyBorder="1" applyNumberFormat="1">
      <alignment horizontal="left" vertical="center" wrapText="1" indent="1"/>
    </xf>
    <xf numFmtId="49" fontId="19" fillId="0" borderId="23" xfId="0" applyFont="1" applyBorder="1" applyNumberFormat="1">
      <alignment horizontal="right" vertical="center" wrapText="1" indent="1"/>
    </xf>
    <xf numFmtId="0" fontId="21" fillId="42" borderId="11" xfId="0" applyFont="1" applyFill="1" applyBorder="1">
      <alignment horizontal="left" vertical="center" wrapText="1" indent="1"/>
      <protection locked="0"/>
    </xf>
    <xf numFmtId="49" fontId="19" fillId="0" borderId="11" xfId="0" applyFont="1" applyBorder="1" applyNumberFormat="1">
      <alignment horizontal="right" vertical="center" wrapText="1" indent="1"/>
    </xf>
    <xf numFmtId="49" fontId="38" fillId="41" borderId="36" xfId="0" applyFont="1" applyFill="1" applyBorder="1" applyNumberFormat="1">
      <alignment horizontal="right" vertical="center" wrapText="1" indent="1"/>
    </xf>
    <xf numFmtId="0" fontId="21" fillId="36" borderId="11" xfId="0" applyFont="1" applyFill="1" applyBorder="1">
      <alignment horizontal="left" vertical="center" wrapText="1" indent="1"/>
    </xf>
    <xf numFmtId="0" fontId="19" fillId="36" borderId="11" xfId="0" applyFont="1" applyFill="1" applyBorder="1">
      <alignment horizontal="left" vertical="center" inden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14" fontId="21" fillId="34"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21" fillId="0" borderId="45" xfId="0" applyFont="1" applyBorder="1"/>
    <xf numFmtId="0" fontId="33" fillId="0" borderId="45" xfId="0" applyFont="1" applyBorder="1">
      <alignment vertical="center"/>
    </xf>
    <xf numFmtId="172" fontId="21" fillId="34" borderId="39" xfId="0" applyFont="1" applyFill="1" applyBorder="1" applyNumberFormat="1">
      <alignment horizontal="right" vertical="center"/>
      <protection locked="0"/>
    </xf>
    <xf numFmtId="49" fontId="19" fillId="36" borderId="10" xfId="0" applyFont="1" applyFill="1" applyBorder="1" applyNumberFormat="1">
      <alignment horizontal="left" vertical="center" wrapText="1" indent="1"/>
    </xf>
    <xf numFmtId="49" fontId="46" fillId="0" borderId="0" xfId="0" applyFont="1" applyNumberFormat="1">
      <alignment vertical="top"/>
    </xf>
    <xf numFmtId="49" fontId="40" fillId="44" borderId="37" xfId="0" applyFont="1" applyFill="1" applyBorder="1" applyNumberFormat="1">
      <alignment horizontal="left" vertical="center"/>
    </xf>
    <xf numFmtId="4" fontId="21" fillId="0" borderId="40" xfId="0" applyFont="1" applyBorder="1" applyNumberFormat="1">
      <alignment horizontal="right" vertical="center"/>
    </xf>
    <xf numFmtId="0" fontId="23" fillId="45" borderId="0" xfId="0" applyFont="1" applyFill="1">
      <alignment vertical="center" wrapText="1"/>
    </xf>
    <xf numFmtId="0" fontId="23" fillId="46" borderId="0" xfId="0" applyFont="1" applyFill="1">
      <alignment vertical="center" wrapText="1"/>
    </xf>
    <xf numFmtId="0" fontId="23" fillId="46" borderId="0" xfId="0" applyFont="1" applyFill="1">
      <alignment vertical="center"/>
    </xf>
    <xf numFmtId="0" fontId="23" fillId="46" borderId="0" xfId="0" applyFont="1" applyFill="1">
      <alignment vertical="center"/>
    </xf>
    <xf numFmtId="0" fontId="49" fillId="0" borderId="0" xfId="0" applyFont="1">
      <alignment horizontal="left" vertical="center"/>
    </xf>
    <xf numFmtId="49" fontId="35" fillId="37" borderId="0" xfId="0" applyFont="1" applyFill="1" applyNumberFormat="1">
      <alignment horizontal="center" vertical="top"/>
    </xf>
    <xf numFmtId="49" fontId="23" fillId="38" borderId="0" xfId="0" applyFont="1" applyFill="1" applyNumberFormat="1">
      <alignment horizontal="right"/>
    </xf>
    <xf numFmtId="0" fontId="19" fillId="0" borderId="0" xfId="0" applyFont="1">
      <alignment vertical="top"/>
    </xf>
    <xf numFmtId="49" fontId="48"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protection locked="0"/>
    </xf>
    <xf numFmtId="49" fontId="50" fillId="0" borderId="0" xfId="0" applyFont="1" applyNumberFormat="1">
      <alignment horizontal="center" vertical="center" wrapText="1"/>
    </xf>
    <xf numFmtId="0" fontId="51" fillId="0" borderId="0" xfId="0" applyFont="1">
      <alignment wrapText="1"/>
    </xf>
    <xf numFmtId="49" fontId="52" fillId="0" borderId="0" xfId="0" applyFont="1" applyNumberFormat="1">
      <alignment wrapText="1"/>
    </xf>
    <xf numFmtId="49" fontId="23" fillId="33" borderId="0" xfId="0" applyFont="1" applyFill="1" applyNumberFormat="1">
      <alignment vertical="center" wrapText="1"/>
    </xf>
    <xf numFmtId="49" fontId="26" fillId="47" borderId="0" xfId="0" applyFont="1" applyFill="1" applyNumberFormat="1">
      <alignment vertical="center" wrapText="1"/>
    </xf>
    <xf numFmtId="49" fontId="19" fillId="0" borderId="0" xfId="0" applyFont="1" applyNumberFormat="1">
      <alignment vertical="center"/>
    </xf>
    <xf numFmtId="0" fontId="19" fillId="0" borderId="0" xfId="0" applyFont="1"/>
    <xf numFmtId="0" fontId="0" fillId="0" borderId="0" xfId="0" applyFont="1">
      <alignment horizontal="center" vertical="center"/>
    </xf>
    <xf numFmtId="0" fontId="0" fillId="0" borderId="0" xfId="0" applyFont="1">
      <alignment horizontal="center"/>
    </xf>
    <xf numFmtId="0" fontId="0" fillId="0" borderId="0" xfId="0" applyFont="1">
      <alignment horizontal="center" vertical="center" wrapText="1"/>
    </xf>
    <xf numFmtId="49" fontId="0" fillId="0" borderId="0" xfId="0" applyFont="1" applyNumberFormat="1">
      <alignment horizontal="center" vertical="top"/>
    </xf>
    <xf numFmtId="0" fontId="31" fillId="0" borderId="0" xfId="0" applyFont="1">
      <alignment horizontal="center"/>
    </xf>
    <xf numFmtId="0" fontId="49" fillId="0" borderId="0" xfId="0" applyFont="1">
      <alignment horizontal="center" vertical="center"/>
    </xf>
    <xf numFmtId="0" fontId="49" fillId="0" borderId="0" xfId="0" applyFont="1">
      <alignment horizontal="center" vertical="center" wrapText="1"/>
    </xf>
    <xf numFmtId="0" fontId="53" fillId="0" borderId="0" xfId="0" applyFont="1">
      <alignment horizontal="center" vertical="center" wrapText="1"/>
    </xf>
    <xf numFmtId="0" fontId="53" fillId="0" borderId="0" xfId="0" applyFont="1">
      <alignment horizontal="center" vertical="center"/>
    </xf>
    <xf numFmtId="49" fontId="54" fillId="0" borderId="0" xfId="0" applyFont="1" applyNumberFormat="1">
      <alignment horizontal="center" wrapText="1"/>
    </xf>
    <xf numFmtId="0" fontId="55" fillId="0" borderId="0" xfId="0" applyFont="1">
      <alignment horizontal="center"/>
    </xf>
    <xf numFmtId="0" fontId="56" fillId="0" borderId="0" xfId="0" applyFont="1">
      <alignment horizontal="center" vertical="top" wrapText="1"/>
    </xf>
    <xf numFmtId="49" fontId="0" fillId="0" borderId="0" xfId="0" applyFont="1" applyNumberFormat="1">
      <alignment horizontal="center" vertical="center" wrapText="1"/>
    </xf>
    <xf numFmtId="0" fontId="49" fillId="0" borderId="0" xfId="0" applyFont="1">
      <alignment horizontal="center"/>
    </xf>
    <xf numFmtId="0" fontId="53" fillId="0" borderId="0" xfId="0" applyFont="1">
      <alignment horizontal="center"/>
    </xf>
    <xf numFmtId="0" fontId="0" fillId="0" borderId="0" xfId="0" applyFont="1">
      <alignment horizontal="center"/>
    </xf>
    <xf numFmtId="0" fontId="0" fillId="0" borderId="0" xfId="0" applyFont="1">
      <alignment horizontal="center" wrapText="1"/>
    </xf>
    <xf numFmtId="0" fontId="56" fillId="0" borderId="0" xfId="0" applyFont="1">
      <alignment horizontal="center"/>
    </xf>
    <xf numFmtId="0" fontId="0" fillId="25" borderId="0" xfId="0" applyFont="1" applyFill="1">
      <alignment horizontal="center" vertical="center"/>
    </xf>
    <xf numFmtId="0" fontId="0" fillId="25" borderId="0" xfId="0" applyFont="1" applyFill="1">
      <alignment horizontal="center"/>
    </xf>
    <xf numFmtId="0" fontId="0" fillId="25" borderId="0" xfId="0" applyFont="1" applyFill="1">
      <alignment horizontal="center"/>
    </xf>
    <xf numFmtId="0" fontId="57" fillId="0" borderId="0" xfId="0" applyFont="1"/>
    <xf numFmtId="49" fontId="19" fillId="0" borderId="0" xfId="0" applyFont="1" applyNumberFormat="1">
      <alignment vertical="center"/>
    </xf>
    <xf numFmtId="0" fontId="57" fillId="0" borderId="13" xfId="0" applyFont="1" applyBorder="1">
      <alignment vertical="center"/>
    </xf>
    <xf numFmtId="49" fontId="58" fillId="0" borderId="0" xfId="0" applyFont="1" applyNumberFormat="1">
      <alignment horizontal="center" vertical="center" wrapText="1"/>
    </xf>
    <xf numFmtId="0" fontId="19" fillId="0" borderId="10" xfId="0" applyFont="1" applyBorder="1">
      <alignment horizontal="left" vertical="center" wrapText="1"/>
    </xf>
    <xf numFmtId="0" fontId="19" fillId="42" borderId="10" xfId="0" applyFont="1" applyFill="1" applyBorder="1">
      <alignment horizontal="left" vertical="center" wrapText="1" indent="1"/>
      <protection locked="0"/>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0" fontId="19" fillId="42" borderId="10" xfId="0" applyFont="1" applyFill="1" applyBorder="1">
      <alignment horizontal="left" vertical="center" wrapText="1" indent="1"/>
      <protection locked="0"/>
    </xf>
    <xf numFmtId="0" fontId="19" fillId="42" borderId="10" xfId="0" applyFont="1" applyFill="1" applyBorder="1">
      <alignment horizontal="left" vertical="center" wrapText="1" indent="1"/>
      <protection locked="0"/>
    </xf>
    <xf numFmtId="49" fontId="35" fillId="37" borderId="0" xfId="0" applyFont="1" applyFill="1" applyNumberFormat="1">
      <alignment horizontal="center" vertical="center"/>
    </xf>
    <xf numFmtId="49" fontId="23" fillId="38" borderId="0" xfId="0" applyFont="1" applyFill="1" applyNumberFormat="1">
      <alignment vertical="center" wrapText="1"/>
    </xf>
    <xf numFmtId="49" fontId="21" fillId="34" borderId="11" xfId="0" applyFont="1" applyFill="1" applyBorder="1" applyNumberFormat="1">
      <alignment horizontal="left" vertical="center" wrapText="1" indent="1"/>
      <protection locked="0"/>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4" borderId="10" xfId="0" applyFont="1" applyFill="1" applyBorder="1" quotePrefix="1">
      <alignment vertical="center" wrapText="1"/>
    </xf>
    <xf numFmtId="0" fontId="21" fillId="48" borderId="0" xfId="0" applyFont="1" applyFill="1">
      <alignment horizontal="center" vertical="center"/>
    </xf>
    <xf numFmtId="49" fontId="19" fillId="48" borderId="0" xfId="0" applyFont="1" applyFill="1" applyNumberFormat="1">
      <alignment horizontal="center" vertical="center"/>
    </xf>
    <xf numFmtId="0" fontId="19" fillId="48" borderId="0" xfId="0" applyFont="1" applyFill="1">
      <alignment horizontal="center" vertical="center"/>
    </xf>
    <xf numFmtId="0" fontId="19" fillId="0" borderId="0" xfId="0" applyFont="1">
      <alignment vertical="center" wrapText="1"/>
    </xf>
    <xf numFmtId="0" fontId="19" fillId="0" borderId="0" xfId="0" applyFont="1">
      <alignment vertical="top"/>
    </xf>
    <xf numFmtId="0" fontId="59" fillId="0" borderId="0" xfId="0" applyFont="1">
      <alignment wrapText="1"/>
    </xf>
    <xf numFmtId="0" fontId="19" fillId="0" borderId="0" xfId="0" applyFont="1">
      <alignment horizontal="center" vertical="center" wrapText="1"/>
    </xf>
    <xf numFmtId="0" fontId="19" fillId="0" borderId="0" xfId="0" applyFont="1">
      <alignment horizontal="center" wrapText="1"/>
    </xf>
    <xf numFmtId="0" fontId="19" fillId="0" borderId="0" xfId="0" applyFont="1">
      <alignment vertical="center" wrapText="1"/>
    </xf>
    <xf numFmtId="0" fontId="19" fillId="0" borderId="0" xfId="0" applyFont="1"/>
    <xf numFmtId="0" fontId="46" fillId="0" borderId="0" xfId="0" applyFont="1">
      <alignment horizontal="center" vertical="center"/>
    </xf>
    <xf numFmtId="0" fontId="47" fillId="0" borderId="0" xfId="0" applyFont="1">
      <alignment horizontal="center" vertical="center"/>
    </xf>
    <xf numFmtId="0" fontId="46" fillId="0" borderId="0" xfId="0" applyFont="1">
      <alignment horizontal="left" vertical="center" wrapText="1"/>
    </xf>
    <xf numFmtId="0" fontId="60" fillId="0" borderId="0" xfId="0" applyFont="1">
      <alignment vertical="center" wrapText="1"/>
    </xf>
    <xf numFmtId="0" fontId="60" fillId="0" borderId="0" xfId="0" applyFont="1">
      <alignment vertical="center"/>
    </xf>
    <xf numFmtId="0" fontId="61" fillId="0" borderId="0" xfId="0" applyFont="1">
      <alignment vertical="center"/>
    </xf>
    <xf numFmtId="0" fontId="62" fillId="0" borderId="0" xfId="0" applyFont="1">
      <alignment vertical="center"/>
    </xf>
    <xf numFmtId="0" fontId="19" fillId="0" borderId="0" xfId="0" applyFont="1">
      <alignment vertical="top"/>
    </xf>
    <xf numFmtId="0" fontId="29" fillId="0" borderId="0" xfId="0" applyFont="1">
      <alignment horizontal="center" vertical="center" wrapText="1"/>
    </xf>
    <xf numFmtId="0" fontId="29" fillId="0" borderId="0" xfId="0" applyFont="1">
      <alignment vertical="center"/>
    </xf>
    <xf numFmtId="0" fontId="29" fillId="0" borderId="0" xfId="0" applyFont="1">
      <alignment horizontal="center" vertical="center"/>
    </xf>
    <xf numFmtId="0" fontId="29" fillId="0" borderId="0" xfId="0" applyFont="1">
      <alignment vertical="center" wrapText="1"/>
    </xf>
    <xf numFmtId="49" fontId="29" fillId="0" borderId="0" xfId="0" applyFont="1" applyNumberFormat="1">
      <alignment vertical="top"/>
    </xf>
    <xf numFmtId="0" fontId="19" fillId="0" borderId="0" xfId="0" applyFont="1"/>
    <xf numFmtId="0" fontId="21" fillId="0" borderId="0" xfId="0" applyFont="1">
      <alignment vertical="center"/>
    </xf>
    <xf numFmtId="0" fontId="22" fillId="0" borderId="23" xfId="0" applyFont="1" applyBorder="1">
      <alignment horizontal="right" vertical="center" wrapText="1" indent="1"/>
    </xf>
    <xf numFmtId="0" fontId="40" fillId="0" borderId="11" xfId="0" applyFont="1" applyBorder="1">
      <alignment horizontal="left" vertical="center" wrapText="1" indent="1"/>
    </xf>
    <xf numFmtId="49" fontId="38" fillId="41" borderId="32" xfId="0" applyFont="1" applyFill="1" applyBorder="1" applyNumberFormat="1">
      <alignment horizontal="right" vertical="center" wrapText="1" indent="1"/>
    </xf>
    <xf numFmtId="0" fontId="19" fillId="0" borderId="0" xfId="0" applyFont="1">
      <alignment vertical="center"/>
    </xf>
    <xf numFmtId="0" fontId="29" fillId="0" borderId="0" xfId="0" applyFont="1">
      <alignment horizontal="left" vertical="center"/>
    </xf>
    <xf numFmtId="0" fontId="21" fillId="25" borderId="0" xfId="0" applyFont="1" applyFill="1"/>
    <xf numFmtId="0" fontId="29" fillId="0" borderId="0" xfId="0" applyFont="1">
      <alignment horizontal="center"/>
    </xf>
    <xf numFmtId="0" fontId="63" fillId="0" borderId="0" xfId="0" applyFont="1"/>
    <xf numFmtId="0" fontId="64" fillId="0" borderId="0" xfId="0" applyFont="1">
      <alignment vertical="center"/>
    </xf>
    <xf numFmtId="0" fontId="19" fillId="0" borderId="0" xfId="0" applyFont="1">
      <alignment vertical="top"/>
    </xf>
    <xf numFmtId="0" fontId="19" fillId="25" borderId="0" xfId="0" applyFont="1" applyFill="1">
      <alignment horizontal="center"/>
    </xf>
    <xf numFmtId="0" fontId="19" fillId="48" borderId="0" xfId="0" applyFont="1" applyFill="1">
      <alignment horizontal="center" vertical="center"/>
    </xf>
    <xf numFmtId="49" fontId="21" fillId="48" borderId="0" xfId="0" applyFont="1" applyFill="1" applyNumberFormat="1">
      <alignment horizontal="center" vertical="center"/>
    </xf>
    <xf numFmtId="0" fontId="19" fillId="48" borderId="0" xfId="0" applyFont="1" applyFill="1">
      <alignment horizontal="left" vertical="center"/>
    </xf>
    <xf numFmtId="0" fontId="19" fillId="0" borderId="0" xfId="0" applyFon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wrapText="1"/>
    </xf>
    <xf numFmtId="0" fontId="21" fillId="0" borderId="0" xfId="0" applyFont="1">
      <alignment vertical="center" wrapText="1"/>
    </xf>
    <xf numFmtId="49" fontId="21" fillId="0" borderId="0" xfId="0" applyFont="1" applyNumberFormat="1">
      <alignment horizontal="center" vertical="center"/>
    </xf>
    <xf numFmtId="0" fontId="19" fillId="0" borderId="0" xfId="0" applyFont="1">
      <alignment horizontal="center" vertical="center" wrapText="1"/>
    </xf>
    <xf numFmtId="0" fontId="0" fillId="0" borderId="0" xfId="0" applyFon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49" fontId="38" fillId="41" borderId="18" xfId="0" applyFont="1" applyFill="1" applyBorder="1" applyNumberFormat="1">
      <alignment vertical="center"/>
    </xf>
    <xf numFmtId="49" fontId="19" fillId="0" borderId="11" xfId="0" applyFont="1" applyBorder="1" applyNumberFormat="1">
      <alignment horizontal="center" vertical="center" wrapText="1"/>
    </xf>
    <xf numFmtId="0" fontId="21" fillId="0" borderId="0" xfId="0" applyFont="1">
      <alignment vertical="center"/>
    </xf>
    <xf numFmtId="0" fontId="21" fillId="0" borderId="0" xfId="0" applyFont="1"/>
    <xf numFmtId="0" fontId="21" fillId="0" borderId="0" xfId="0" applyFont="1">
      <alignment horizontal="left" vertical="center"/>
    </xf>
    <xf numFmtId="0" fontId="21" fillId="0" borderId="10" xfId="0" applyFont="1" applyBorder="1">
      <alignment horizontal="center" vertical="center" wrapText="1"/>
    </xf>
    <xf numFmtId="0" fontId="21" fillId="0" borderId="0" xfId="0" applyFont="1">
      <alignment horizontal="center" vertical="center"/>
    </xf>
    <xf numFmtId="0" fontId="19" fillId="0" borderId="0" xfId="0" applyFont="1">
      <alignment horizontal="center" vertical="center"/>
    </xf>
    <xf numFmtId="49" fontId="19" fillId="0" borderId="0" xfId="0" applyFont="1" applyNumberFormat="1">
      <alignment horizontal="center" vertical="center"/>
    </xf>
    <xf numFmtId="0" fontId="19" fillId="0" borderId="0" xfId="0" applyFont="1">
      <alignment horizontal="center"/>
    </xf>
    <xf numFmtId="0" fontId="19" fillId="0" borderId="0" xfId="0" applyFont="1">
      <alignment horizontal="left" vertical="center"/>
    </xf>
    <xf numFmtId="0" fontId="22" fillId="0" borderId="0" xfId="0" applyFont="1">
      <alignment horizontal="center"/>
    </xf>
    <xf numFmtId="0" fontId="22" fillId="0" borderId="0" xfId="0" applyFont="1"/>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49" fontId="22" fillId="0" borderId="11" xfId="0" applyFont="1" applyBorder="1" applyNumberFormat="1">
      <alignment horizontal="lef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alignment horizontal="center" vertical="center"/>
    </xf>
    <xf numFmtId="0" fontId="19" fillId="0" borderId="0" xfId="0" applyFont="1">
      <alignment vertical="center" wrapText="1"/>
    </xf>
    <xf numFmtId="4" fontId="19" fillId="0" borderId="0" xfId="0" applyFont="1" applyNumberFormat="1">
      <alignment horizontal="center" vertical="center"/>
    </xf>
    <xf numFmtId="0" fontId="0" fillId="0" borderId="0" xfId="0" applyFont="1"/>
    <xf numFmtId="0" fontId="19" fillId="25" borderId="0" xfId="0" applyFont="1" applyFill="1">
      <alignment horizontal="center"/>
    </xf>
    <xf numFmtId="0" fontId="21" fillId="0" borderId="0" xfId="0" applyFont="1">
      <alignment vertical="center"/>
    </xf>
    <xf numFmtId="49" fontId="40" fillId="0" borderId="13" xfId="0" applyFont="1" applyBorder="1" applyNumberFormat="1">
      <alignment vertical="center" wrapText="1"/>
    </xf>
    <xf numFmtId="0" fontId="21" fillId="0" borderId="10" xfId="0" applyFont="1" applyBorder="1">
      <alignment horizontal="center" vertical="center" wrapText="1"/>
    </xf>
    <xf numFmtId="172" fontId="37" fillId="40" borderId="18" xfId="0" applyFont="1" applyFill="1" applyBorder="1" applyNumberFormat="1">
      <alignment horizontal="right" vertical="center"/>
    </xf>
    <xf numFmtId="49" fontId="38" fillId="41" borderId="32" xfId="0" applyFont="1" applyFill="1" applyBorder="1" applyNumberFormat="1">
      <alignment vertical="center"/>
    </xf>
    <xf numFmtId="0" fontId="21" fillId="41" borderId="18" xfId="0" applyFont="1" applyFill="1" applyBorder="1">
      <alignment vertical="center"/>
    </xf>
    <xf numFmtId="172" fontId="0" fillId="36" borderId="11" xfId="0" applyFont="1" applyFill="1" applyBorder="1" applyNumberFormat="1">
      <alignment vertical="center" wrapTex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0" fontId="21" fillId="0" borderId="0" xfId="0" applyFont="1">
      <alignment vertical="center"/>
    </xf>
    <xf numFmtId="0" fontId="21"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21" fillId="0" borderId="0" xfId="0" applyFont="1">
      <alignment vertical="center"/>
    </xf>
    <xf numFmtId="49" fontId="22" fillId="0" borderId="38" xfId="0" applyFont="1" applyBorder="1" applyNumberFormat="1">
      <alignment vertical="center" wrapText="1"/>
    </xf>
    <xf numFmtId="49" fontId="19" fillId="0" borderId="11" xfId="0" applyFont="1" applyBorder="1" applyNumberFormat="1">
      <alignment horizontal="left" vertical="center" wrapText="1" shrinkToFit="1"/>
    </xf>
    <xf numFmtId="0" fontId="19" fillId="0" borderId="11" xfId="0" applyFont="1" applyBorder="1">
      <alignment horizontal="left" vertical="center" wrapText="1" shrinkToFit="1" indent="1"/>
    </xf>
    <xf numFmtId="49" fontId="19" fillId="0" borderId="0" xfId="0" applyFont="1" applyNumberFormat="1"/>
    <xf numFmtId="49" fontId="19" fillId="0" borderId="0" xfId="0" applyFont="1" applyNumberFormat="1">
      <alignment horizontal="center" vertical="top"/>
    </xf>
    <xf numFmtId="49" fontId="19" fillId="34" borderId="11" xfId="50" applyFont="1" applyFill="1" applyBorder="1" applyNumberFormat="1">
      <alignment horizontal="left" vertical="center" wrapText="1" indent="1"/>
      <protection locked="0"/>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19" fillId="0" borderId="0" xfId="0" applyFont="1"/>
    <xf numFmtId="0" fontId="19" fillId="0" borderId="0" xfId="0" applyFont="1">
      <alignment vertical="center" wrapText="1"/>
    </xf>
    <xf numFmtId="0" fontId="19" fillId="36" borderId="18" xfId="0" applyFont="1" applyFill="1" applyBorder="1">
      <alignment horizontal="left" vertical="center"/>
    </xf>
    <xf numFmtId="0" fontId="23" fillId="49" borderId="0" xfId="0" applyFont="1" applyFill="1">
      <alignment vertical="center"/>
    </xf>
    <xf numFmtId="0" fontId="23" fillId="38" borderId="0" xfId="0" applyFont="1" applyFill="1">
      <alignment vertical="center"/>
    </xf>
    <xf numFmtId="49" fontId="64" fillId="49" borderId="0" xfId="0" applyFont="1" applyFill="1" applyNumberFormat="1">
      <alignment vertical="center" wrapText="1"/>
    </xf>
    <xf numFmtId="0" fontId="21" fillId="0" borderId="23" xfId="0" applyFont="1" applyBorder="1">
      <alignment vertical="center" wrapText="1"/>
    </xf>
    <xf numFmtId="10" fontId="21" fillId="34" borderId="11" xfId="0" applyFont="1" applyFill="1" applyBorder="1" applyNumberFormat="1">
      <alignment horizontal="right" vertical="center"/>
      <protection locked="0"/>
    </xf>
    <xf numFmtId="0" fontId="21" fillId="0" borderId="47" xfId="0" applyFont="1" applyBorder="1">
      <alignment horizontal="center" vertical="center" wrapText="1"/>
    </xf>
    <xf numFmtId="0" fontId="21" fillId="0" borderId="23" xfId="0" applyFont="1" applyBorder="1">
      <alignment horizontal="center" vertical="center" wrapText="1"/>
    </xf>
    <xf numFmtId="0" fontId="1" fillId="0" borderId="0" xfId="0" applyFont="1"/>
    <xf numFmtId="0" fontId="33" fillId="0" borderId="0" xfId="0" applyFont="1">
      <alignment vertical="center"/>
    </xf>
    <xf numFmtId="0" fontId="21" fillId="0" borderId="0" xfId="0" applyFont="1">
      <alignment vertical="center"/>
    </xf>
    <xf numFmtId="0" fontId="28" fillId="0" borderId="0" xfId="0" applyFont="1">
      <alignment horizontal="left" vertical="center"/>
    </xf>
    <xf numFmtId="49" fontId="40" fillId="0" borderId="13" xfId="0" applyFont="1" applyBorder="1" applyNumberFormat="1" quotePrefix="1">
      <alignment horizontal="left" vertical="center" indent="1"/>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0" borderId="10" xfId="0" applyFont="1" applyBorder="1">
      <alignment horizontal="center" vertical="center" wrapText="1"/>
    </xf>
    <xf numFmtId="0" fontId="37" fillId="40" borderId="0" xfId="0" applyFont="1" applyFill="1">
      <alignment horizontal="left" vertical="center"/>
    </xf>
    <xf numFmtId="0" fontId="21" fillId="0" borderId="0" xfId="0" applyFont="1"/>
    <xf numFmtId="0" fontId="17" fillId="0" borderId="0" xfId="0" applyFont="1"/>
    <xf numFmtId="0" fontId="22" fillId="0" borderId="10" xfId="0" applyFont="1" applyBorder="1">
      <alignment vertical="center" wrapText="1"/>
    </xf>
    <xf numFmtId="0" fontId="22" fillId="0" borderId="10" xfId="0" applyFont="1" applyBorder="1">
      <alignment horizontal="center" vertical="center" wrapText="1"/>
    </xf>
    <xf numFmtId="0" fontId="33" fillId="0" borderId="0" xfId="0" applyFont="1">
      <alignment horizontal="center" vertical="center"/>
    </xf>
    <xf numFmtId="0" fontId="33" fillId="0" borderId="0" xfId="0" applyFont="1">
      <alignment vertical="center" wrapText="1"/>
    </xf>
    <xf numFmtId="0" fontId="21" fillId="41" borderId="18" xfId="0" applyFont="1" applyFill="1" applyBorder="1">
      <alignment vertical="center" wrapText="1"/>
    </xf>
    <xf numFmtId="0" fontId="21" fillId="41" borderId="29" xfId="0" applyFont="1" applyFill="1" applyBorder="1">
      <alignment vertical="center" wrapText="1"/>
    </xf>
    <xf numFmtId="0" fontId="21" fillId="0" borderId="46" xfId="0" applyFont="1" applyBorder="1">
      <alignment horizontal="center" vertical="center" wrapText="1"/>
    </xf>
    <xf numFmtId="0" fontId="21" fillId="42" borderId="23" xfId="0" applyFont="1" applyFill="1" applyBorder="1">
      <alignment horizontal="left" vertical="center" wrapText="1" indent="1"/>
      <protection locked="0"/>
    </xf>
    <xf numFmtId="49" fontId="19" fillId="0" borderId="49" xfId="0" applyFont="1" applyBorder="1" applyNumberFormat="1">
      <alignment horizontal="righ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21" fillId="43" borderId="0" xfId="0" applyFont="1" applyFill="1">
      <alignment horizontal="left" vertical="center"/>
    </xf>
    <xf numFmtId="0" fontId="21" fillId="43" borderId="0" xfId="0" applyFont="1" applyFill="1"/>
    <xf numFmtId="0" fontId="19" fillId="43" borderId="0" xfId="0" applyFont="1" applyFill="1"/>
    <xf numFmtId="0" fontId="28" fillId="43" borderId="0" xfId="0" applyFont="1" applyFill="1"/>
    <xf numFmtId="0" fontId="23" fillId="43" borderId="0" xfId="0" applyFont="1" applyFill="1">
      <alignment vertical="center"/>
    </xf>
    <xf numFmtId="0" fontId="49" fillId="43" borderId="0" xfId="0" applyFont="1" applyFill="1">
      <alignment horizontal="center" vertical="center"/>
    </xf>
    <xf numFmtId="0" fontId="0" fillId="43" borderId="0" xfId="0" applyFont="1" applyFill="1">
      <alignment horizontal="left" vertical="center"/>
    </xf>
    <xf numFmtId="49" fontId="19" fillId="43" borderId="0" xfId="0" applyFont="1" applyFill="1" applyNumberFormat="1">
      <alignment vertical="top"/>
    </xf>
    <xf numFmtId="0" fontId="23" fillId="43" borderId="0" xfId="0" applyFont="1" applyFill="1">
      <alignment horizontal="center" vertical="center"/>
    </xf>
    <xf numFmtId="49" fontId="19" fillId="43" borderId="0" xfId="0" applyFont="1" applyFill="1" applyNumberFormat="1">
      <alignment horizontal="center" vertical="top"/>
    </xf>
    <xf numFmtId="49" fontId="19" fillId="43" borderId="0" xfId="0" applyFont="1" applyFill="1" applyNumberFormat="1">
      <alignment vertical="center" wrapText="1"/>
    </xf>
    <xf numFmtId="0" fontId="19" fillId="43" borderId="0" xfId="0" applyFont="1" applyFill="1"/>
    <xf numFmtId="0" fontId="21" fillId="43" borderId="0" xfId="0" applyFont="1" applyFill="1">
      <alignment horizontal="center"/>
    </xf>
    <xf numFmtId="0" fontId="21" fillId="43" borderId="0" xfId="0" applyFont="1" applyFill="1">
      <alignment vertical="center" wrapText="1"/>
    </xf>
    <xf numFmtId="0" fontId="21" fillId="43" borderId="0" xfId="0" applyFont="1" applyFill="1">
      <alignment wrapText="1"/>
    </xf>
    <xf numFmtId="0" fontId="21" fillId="43" borderId="0" xfId="0" applyFont="1" applyFill="1">
      <alignment vertical="center"/>
    </xf>
    <xf numFmtId="0" fontId="19" fillId="43" borderId="0" xfId="0" applyFont="1" applyFill="1">
      <alignment vertical="center"/>
    </xf>
    <xf numFmtId="0" fontId="21" fillId="43" borderId="0" xfId="0" applyFont="1" applyFill="1">
      <alignment vertical="center"/>
    </xf>
    <xf numFmtId="49" fontId="19" fillId="43" borderId="0" xfId="0" applyFont="1" applyFill="1" applyNumberFormat="1">
      <alignment horizontal="center" vertical="center" wrapText="1"/>
    </xf>
    <xf numFmtId="49" fontId="19" fillId="43" borderId="0" xfId="0" applyFont="1" applyFill="1" applyNumberFormat="1">
      <alignment horizontal="center" vertical="top"/>
    </xf>
    <xf numFmtId="0" fontId="29" fillId="43" borderId="0" xfId="0" applyFont="1" applyFill="1">
      <alignment horizontal="center"/>
    </xf>
    <xf numFmtId="49" fontId="65" fillId="0" borderId="0" xfId="0" applyFont="1" applyNumberFormat="1">
      <alignment horizontal="center" vertical="center" wrapText="1"/>
    </xf>
    <xf numFmtId="175" fontId="23" fillId="43" borderId="0" xfId="0" applyFont="1" applyFill="1" applyNumberFormat="1">
      <alignment vertical="center"/>
    </xf>
    <xf numFmtId="175" fontId="19" fillId="43" borderId="0" xfId="0" applyFont="1" applyFill="1" applyNumberFormat="1">
      <alignment vertical="top"/>
    </xf>
    <xf numFmtId="49" fontId="19" fillId="42" borderId="11" xfId="0" applyFont="1" applyFill="1" applyBorder="1" applyNumberFormat="1">
      <alignment horizontal="right" vertical="center" wrapText="1" indent="1"/>
      <protection locked="0"/>
    </xf>
    <xf numFmtId="0" fontId="37" fillId="0" borderId="0" xfId="0" applyFont="1">
      <alignment vertical="center"/>
    </xf>
    <xf numFmtId="0" fontId="66" fillId="0" borderId="0" xfId="0" applyFont="1">
      <alignment vertical="center"/>
    </xf>
    <xf numFmtId="0" fontId="67" fillId="0" borderId="0" xfId="0" applyFont="1">
      <alignment vertical="center"/>
    </xf>
    <xf numFmtId="0" fontId="66" fillId="0" borderId="0" xfId="0" applyFont="1">
      <alignment vertical="center" wrapText="1"/>
    </xf>
    <xf numFmtId="0" fontId="60" fillId="35" borderId="0" xfId="0" applyFont="1" applyFill="1">
      <alignment vertical="center"/>
    </xf>
    <xf numFmtId="0" fontId="19" fillId="0" borderId="50" xfId="0" applyFont="1" applyBorder="1">
      <alignment horizontal="center" vertical="center" wrapText="1"/>
    </xf>
    <xf numFmtId="49" fontId="38" fillId="41" borderId="30" xfId="0" applyFont="1" applyFill="1" applyBorder="1" applyNumberFormat="1">
      <alignment vertical="center"/>
    </xf>
    <xf numFmtId="0" fontId="21" fillId="43" borderId="0" xfId="0" applyFont="1" applyFill="1">
      <alignment vertical="center"/>
    </xf>
    <xf numFmtId="0" fontId="19" fillId="43" borderId="0" xfId="0" applyFont="1" applyFill="1"/>
    <xf numFmtId="0" fontId="21" fillId="43" borderId="0" xfId="0" applyFont="1" applyFill="1">
      <alignment vertical="center"/>
    </xf>
    <xf numFmtId="0" fontId="19" fillId="43" borderId="0" xfId="0" applyFont="1" applyFill="1">
      <alignment horizontal="center"/>
    </xf>
    <xf numFmtId="0" fontId="42" fillId="43" borderId="30" xfId="0" applyFont="1" applyFill="1" applyBorder="1">
      <alignment horizontal="center" vertical="center" wrapText="1"/>
    </xf>
    <xf numFmtId="0" fontId="38" fillId="41" borderId="19" xfId="0" applyFont="1" applyFill="1" applyBorder="1">
      <alignment horizontal="left" vertical="center" wrapText="1" indent="1"/>
    </xf>
    <xf numFmtId="0" fontId="19" fillId="39" borderId="0" xfId="0" applyFont="1" applyFill="1">
      <alignment vertical="top"/>
    </xf>
    <xf numFmtId="0" fontId="0" fillId="0" borderId="0" xfId="0" applyFont="1">
      <alignment horizontal="center" vertical="top"/>
    </xf>
    <xf numFmtId="0" fontId="19" fillId="43" borderId="0" xfId="0" applyFont="1" applyFill="1">
      <alignment vertical="top"/>
    </xf>
    <xf numFmtId="0" fontId="19" fillId="0" borderId="0" xfId="0" applyFont="1">
      <alignment vertical="center"/>
    </xf>
    <xf numFmtId="0" fontId="0" fillId="0" borderId="0" xfId="0" applyFont="1">
      <alignment horizontal="center" vertical="top"/>
    </xf>
    <xf numFmtId="0" fontId="19" fillId="43" borderId="0" xfId="0" applyFont="1" applyFill="1">
      <alignment vertical="top"/>
    </xf>
    <xf numFmtId="0" fontId="19" fillId="43" borderId="0" xfId="0" applyFont="1" applyFill="1">
      <alignment vertical="top"/>
    </xf>
    <xf numFmtId="0" fontId="36" fillId="0" borderId="0" xfId="0" applyFont="1">
      <alignment horizontal="center" vertical="center" wrapText="1"/>
    </xf>
    <xf numFmtId="0" fontId="50" fillId="0" borderId="0" xfId="0" applyFont="1">
      <alignment horizontal="center" vertical="center" wrapText="1"/>
    </xf>
    <xf numFmtId="0" fontId="19" fillId="38" borderId="0" xfId="0" applyFont="1" applyFill="1">
      <alignment vertical="top"/>
    </xf>
    <xf numFmtId="0" fontId="21" fillId="41" borderId="51" xfId="0" applyFont="1" applyFill="1" applyBorder="1">
      <alignment vertical="center"/>
    </xf>
    <xf numFmtId="0" fontId="38" fillId="41" borderId="30" xfId="0" applyFont="1" applyFill="1" applyBorder="1">
      <alignment vertical="center"/>
    </xf>
    <xf numFmtId="0" fontId="38" fillId="41" borderId="18" xfId="0" applyFont="1" applyFill="1" applyBorder="1">
      <alignment vertical="center"/>
    </xf>
    <xf numFmtId="0" fontId="29" fillId="0" borderId="0" xfId="0" applyFont="1">
      <alignment horizontal="left"/>
    </xf>
    <xf numFmtId="0" fontId="19" fillId="0" borderId="10" xfId="0" applyFont="1" applyBorder="1">
      <alignment horizontal="center" vertical="center" wrapText="1"/>
    </xf>
    <xf numFmtId="0" fontId="22" fillId="43" borderId="0" xfId="0" applyFont="1" applyFill="1"/>
    <xf numFmtId="0" fontId="19" fillId="43" borderId="0" xfId="0" applyFont="1" applyFill="1">
      <alignment horizontal="center"/>
    </xf>
    <xf numFmtId="49" fontId="19" fillId="43" borderId="0" xfId="0" applyFont="1" applyFill="1" applyNumberFormat="1">
      <alignment vertical="top"/>
    </xf>
    <xf numFmtId="0" fontId="50" fillId="0" borderId="52" xfId="0" applyFont="1" applyBorder="1">
      <alignment horizontal="center" vertical="center" wrapText="1"/>
    </xf>
    <xf numFmtId="0" fontId="50" fillId="0" borderId="52" xfId="0" applyFont="1" applyBorder="1">
      <alignment vertical="center" wrapText="1"/>
    </xf>
    <xf numFmtId="0" fontId="22" fillId="43" borderId="0" xfId="0" applyFont="1" applyFill="1"/>
    <xf numFmtId="49" fontId="19" fillId="43" borderId="0" xfId="0" applyFont="1" applyFill="1" applyNumberFormat="1">
      <alignment vertical="top"/>
    </xf>
    <xf numFmtId="0" fontId="21" fillId="43" borderId="0" xfId="0" applyFont="1" applyFill="1"/>
    <xf numFmtId="0" fontId="21" fillId="43" borderId="0" xfId="0" applyFont="1" applyFill="1">
      <alignment horizontal="center"/>
    </xf>
    <xf numFmtId="0" fontId="23" fillId="43" borderId="0" xfId="0" applyFont="1" applyFill="1"/>
    <xf numFmtId="0" fontId="26" fillId="43" borderId="0" xfId="0" applyFont="1" applyFill="1"/>
    <xf numFmtId="49" fontId="23" fillId="0" borderId="0" xfId="0" applyFont="1" applyNumberFormat="1"/>
    <xf numFmtId="0" fontId="38" fillId="41" borderId="30" xfId="0" applyFont="1" applyFill="1" applyBorder="1">
      <alignment horizontal="left" vertical="center" wrapText="1" indent="1"/>
    </xf>
    <xf numFmtId="0" fontId="38" fillId="41" borderId="30" xfId="0" applyFont="1" applyFill="1" applyBorder="1">
      <alignment vertical="center"/>
    </xf>
    <xf numFmtId="0" fontId="23" fillId="0" borderId="0" xfId="0" applyFont="1">
      <alignment horizontal="center" vertical="top"/>
    </xf>
    <xf numFmtId="0" fontId="23" fillId="0" borderId="0" xfId="0" applyFont="1">
      <alignment vertical="top"/>
    </xf>
    <xf numFmtId="0" fontId="23" fillId="0" borderId="0" xfId="0" applyFont="1">
      <alignment wrapText="1"/>
    </xf>
    <xf numFmtId="49" fontId="19" fillId="43" borderId="0" xfId="0" applyFont="1" applyFill="1" applyNumberFormat="1">
      <alignment vertical="top"/>
    </xf>
    <xf numFmtId="0" fontId="29" fillId="43" borderId="0" xfId="0" applyFont="1" applyFill="1">
      <alignment vertical="center"/>
    </xf>
    <xf numFmtId="0" fontId="19" fillId="42" borderId="10" xfId="0" applyFont="1" applyFill="1" applyBorder="1">
      <alignment horizontal="left" vertical="center" wrapText="1" indent="1"/>
      <protection locked="0"/>
    </xf>
    <xf numFmtId="0" fontId="57" fillId="43" borderId="0" xfId="0" applyFont="1" applyFill="1"/>
    <xf numFmtId="0" fontId="19" fillId="33" borderId="10" xfId="0" applyFont="1" applyFill="1" applyBorder="1">
      <alignment horizontal="center" vertical="center" wrapText="1"/>
    </xf>
    <xf numFmtId="0" fontId="40" fillId="43" borderId="0" xfId="0" applyFont="1" applyFill="1"/>
    <xf numFmtId="0" fontId="29" fillId="43" borderId="0" xfId="0" applyFont="1" applyFill="1"/>
    <xf numFmtId="0" fontId="21" fillId="43" borderId="0" xfId="0" applyFont="1" applyFill="1">
      <alignment horizontal="left" vertical="center" wrapText="1"/>
    </xf>
    <xf numFmtId="0" fontId="1" fillId="0" borderId="0" xfId="0" applyFont="1"/>
    <xf numFmtId="0" fontId="1" fillId="43" borderId="0" xfId="0" applyFont="1" applyFill="1"/>
    <xf numFmtId="0" fontId="21" fillId="0" borderId="0" xfId="0" applyFont="1">
      <alignment vertical="center"/>
    </xf>
    <xf numFmtId="0" fontId="17" fillId="43" borderId="0" xfId="0" applyFont="1" applyFill="1"/>
    <xf numFmtId="0" fontId="40" fillId="0" borderId="0" xfId="0" applyFont="1"/>
    <xf numFmtId="0" fontId="21" fillId="0" borderId="0" xfId="0" applyFont="1">
      <alignment horizontal="left" vertical="center"/>
    </xf>
    <xf numFmtId="0" fontId="34" fillId="0" borderId="0" xfId="0" applyFont="1">
      <alignment vertical="center"/>
    </xf>
    <xf numFmtId="0" fontId="19" fillId="33" borderId="10" xfId="0" applyFont="1" applyFill="1" applyBorder="1">
      <alignment horizontal="center" vertical="center" wrapText="1"/>
    </xf>
    <xf numFmtId="0" fontId="19" fillId="0" borderId="0" xfId="0" applyFont="1">
      <alignment vertical="top" wrapText="1"/>
    </xf>
    <xf numFmtId="0" fontId="33" fillId="43" borderId="0" xfId="0" applyFont="1" applyFill="1">
      <alignment vertical="center"/>
    </xf>
    <xf numFmtId="0" fontId="33" fillId="43" borderId="0" xfId="0" applyFont="1" applyFill="1">
      <alignment vertical="center" wrapText="1"/>
    </xf>
    <xf numFmtId="0" fontId="34" fillId="43" borderId="0" xfId="0" applyFont="1" applyFill="1">
      <alignment vertical="center" wrapText="1"/>
    </xf>
    <xf numFmtId="0" fontId="34" fillId="43" borderId="0" xfId="0" applyFont="1" applyFill="1">
      <alignment horizontal="center" vertical="center" wrapText="1"/>
    </xf>
    <xf numFmtId="0" fontId="34" fillId="43" borderId="0" xfId="0" applyFont="1" applyFill="1">
      <alignment vertical="center"/>
    </xf>
    <xf numFmtId="0" fontId="33" fillId="43" borderId="0" xfId="0" applyFont="1" applyFill="1">
      <alignment horizontal="center" vertical="center"/>
    </xf>
    <xf numFmtId="0" fontId="21" fillId="0" borderId="0" xfId="0" applyFont="1">
      <alignment vertical="top" wrapText="1"/>
    </xf>
    <xf numFmtId="0" fontId="21" fillId="41" borderId="21" xfId="0" applyFont="1" applyFill="1" applyBorder="1">
      <alignment vertical="center" wrapText="1"/>
    </xf>
    <xf numFmtId="0" fontId="29" fillId="0" borderId="0" xfId="0" applyFont="1">
      <alignment horizontal="left" vertical="center"/>
    </xf>
    <xf numFmtId="0" fontId="21" fillId="43" borderId="0" xfId="0" applyFont="1" applyFill="1">
      <alignment vertical="center"/>
    </xf>
    <xf numFmtId="4" fontId="21" fillId="34" borderId="10" xfId="0" applyFont="1" applyFill="1" applyBorder="1" applyNumberFormat="1">
      <alignment horizontal="right" vertical="center" wrapText="1"/>
      <protection locked="0"/>
    </xf>
    <xf numFmtId="0" fontId="22" fillId="0" borderId="11" xfId="0" applyFont="1" applyBorder="1">
      <alignment horizontal="center" vertical="center" wrapText="1" shrinkToFit="1"/>
    </xf>
    <xf numFmtId="0" fontId="19" fillId="0" borderId="11" xfId="0" applyFont="1" applyBorder="1">
      <alignment horizontal="center" vertical="center" wrapText="1" shrinkToFit="1"/>
    </xf>
    <xf numFmtId="0" fontId="19" fillId="0" borderId="11" xfId="0" applyFont="1" applyBorder="1">
      <alignment horizontal="center" vertical="center" wrapText="1" shrinkToFit="1"/>
    </xf>
    <xf numFmtId="0" fontId="21" fillId="43" borderId="0" xfId="0" applyFont="1" applyFill="1">
      <alignment vertical="center"/>
    </xf>
    <xf numFmtId="0" fontId="19" fillId="0" borderId="0" xfId="0" applyFont="1">
      <alignment wrapText="1"/>
    </xf>
    <xf numFmtId="0" fontId="21" fillId="0" borderId="18" xfId="0" applyFont="1" applyBorder="1">
      <alignment horizontal="center" vertical="center" wrapText="1"/>
    </xf>
    <xf numFmtId="1" fontId="21" fillId="0" borderId="0" xfId="0" applyFont="1" applyNumberFormat="1">
      <alignment vertical="center"/>
    </xf>
    <xf numFmtId="0" fontId="21" fillId="0" borderId="0" xfId="0" applyFont="1">
      <alignment horizontal="center" vertical="center" wrapText="1"/>
    </xf>
    <xf numFmtId="0" fontId="19" fillId="0" borderId="18" xfId="0" applyFont="1" applyBorder="1">
      <alignment horizontal="center" vertical="center"/>
    </xf>
    <xf numFmtId="0" fontId="19" fillId="0" borderId="18" xfId="0" applyFont="1" applyBorder="1">
      <alignment horizontal="center" vertical="center" wrapText="1"/>
    </xf>
    <xf numFmtId="0" fontId="19" fillId="33" borderId="0" xfId="0" applyFont="1" applyFill="1">
      <alignment horizontal="center" vertical="center" wrapText="1"/>
    </xf>
    <xf numFmtId="0" fontId="19" fillId="0" borderId="24" xfId="0" applyFont="1" applyBorder="1">
      <alignment horizontal="center" vertical="center" wrapText="1"/>
    </xf>
    <xf numFmtId="49" fontId="0" fillId="0" borderId="18" xfId="0" applyFont="1" applyBorder="1" applyNumberFormat="1">
      <alignment horizontal="center" vertical="center" wrapText="1"/>
    </xf>
    <xf numFmtId="0" fontId="19" fillId="0" borderId="24" xfId="0" applyFont="1" applyBorder="1">
      <alignment horizontal="center" vertical="center" wrapText="1"/>
    </xf>
    <xf numFmtId="0" fontId="21" fillId="0" borderId="0" xfId="0" applyFont="1">
      <alignment vertical="center" wrapText="1"/>
    </xf>
    <xf numFmtId="0" fontId="21" fillId="0" borderId="18" xfId="0" applyFont="1" applyBorder="1">
      <alignment horizontal="center" vertical="center" wrapText="1"/>
    </xf>
    <xf numFmtId="0" fontId="1" fillId="0" borderId="0" xfId="0" applyFont="1"/>
    <xf numFmtId="0" fontId="33" fillId="0" borderId="0" xfId="0" applyFont="1"/>
    <xf numFmtId="49" fontId="19" fillId="42" borderId="10" xfId="0" applyFont="1" applyFill="1" applyBorder="1" applyNumberFormat="1">
      <alignment horizontal="left" vertical="center" wrapText="1"/>
      <protection locked="0"/>
    </xf>
    <xf numFmtId="49" fontId="19" fillId="42" borderId="10" xfId="0" applyFont="1" applyFill="1" applyBorder="1" applyNumberFormat="1">
      <alignment horizontal="center" vertical="center" wrapText="1"/>
      <protection locked="0"/>
    </xf>
    <xf numFmtId="0" fontId="50" fillId="0" borderId="0" xfId="0" applyFont="1">
      <alignment vertical="center" wrapText="1"/>
    </xf>
    <xf numFmtId="0" fontId="21" fillId="0" borderId="24" xfId="0" applyFont="1" applyBorder="1">
      <alignment vertical="center"/>
    </xf>
    <xf numFmtId="0" fontId="19" fillId="0" borderId="24" xfId="0" applyFont="1" applyBorder="1">
      <alignment horizontal="center" vertical="center" wrapText="1"/>
    </xf>
    <xf numFmtId="0" fontId="21" fillId="0" borderId="24" xfId="0" applyFont="1" applyBorder="1">
      <alignment horizontal="center" vertical="center" wrapText="1"/>
    </xf>
    <xf numFmtId="0" fontId="21" fillId="35" borderId="24" xfId="0" applyFont="1" applyFill="1" applyBorder="1">
      <alignment horizontal="center" vertical="center" wrapText="1"/>
    </xf>
    <xf numFmtId="0" fontId="19" fillId="0" borderId="24" xfId="0" applyFont="1" applyBorder="1">
      <alignment horizontal="center" vertical="center"/>
    </xf>
    <xf numFmtId="0" fontId="19" fillId="33" borderId="24" xfId="0" applyFont="1" applyFill="1" applyBorder="1">
      <alignment horizontal="center" vertical="center" wrapText="1"/>
    </xf>
    <xf numFmtId="0" fontId="19" fillId="33" borderId="0" xfId="0" applyFont="1" applyFill="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19" fillId="0" borderId="0" xfId="0" applyFont="1">
      <alignment horizontal="center" vertical="center" wrapText="1"/>
    </xf>
    <xf numFmtId="49" fontId="38" fillId="41" borderId="10" xfId="0" applyFont="1" applyFill="1" applyBorder="1" applyNumberFormat="1">
      <alignment horizontal="left" vertical="center" indent="1"/>
    </xf>
    <xf numFmtId="49" fontId="19" fillId="38" borderId="0" xfId="0" applyFont="1" applyFill="1" applyNumberFormat="1">
      <alignment vertical="top"/>
    </xf>
    <xf numFmtId="0" fontId="0" fillId="0" borderId="0" xfId="0" applyFont="1">
      <alignment horizontal="left" vertical="center"/>
    </xf>
    <xf numFmtId="0" fontId="19" fillId="39" borderId="0" xfId="0" applyFont="1" applyFill="1">
      <alignment horizontal="left" vertical="top"/>
    </xf>
    <xf numFmtId="0" fontId="21" fillId="0" borderId="0" xfId="0" applyFont="1">
      <alignment horizontal="left" vertical="center"/>
    </xf>
    <xf numFmtId="0" fontId="21" fillId="0" borderId="0" xfId="0" applyFont="1">
      <alignment horizontal="left"/>
    </xf>
    <xf numFmtId="0" fontId="0" fillId="0" borderId="0" xfId="0" applyFont="1">
      <alignment horizontal="left"/>
    </xf>
    <xf numFmtId="0" fontId="21" fillId="43" borderId="0" xfId="0" applyFont="1" applyFill="1">
      <alignment horizontal="left"/>
    </xf>
    <xf numFmtId="0" fontId="1" fillId="0" borderId="0" xfId="0" applyFont="1"/>
    <xf numFmtId="0" fontId="64" fillId="0" borderId="0" xfId="0" applyFont="1">
      <alignment horizontal="center" vertical="center"/>
    </xf>
    <xf numFmtId="49" fontId="21" fillId="50" borderId="11" xfId="0" applyFont="1" applyFill="1" applyBorder="1" applyNumberFormat="1">
      <alignment horizontal="left" vertical="center" wrapText="1" indent="1"/>
    </xf>
    <xf numFmtId="0" fontId="19" fillId="50" borderId="11" xfId="0" applyFont="1" applyFill="1" applyBorder="1">
      <alignment horizontal="left" vertical="center" wrapText="1" indent="1"/>
    </xf>
    <xf numFmtId="49" fontId="19" fillId="50" borderId="11" xfId="0" applyFont="1" applyFill="1" applyBorder="1" applyNumberFormat="1">
      <alignment horizontal="left" vertical="center" wrapText="1" indent="1"/>
    </xf>
    <xf numFmtId="0" fontId="19" fillId="0" borderId="0" xfId="0" applyFont="1">
      <alignment wrapText="1"/>
    </xf>
    <xf numFmtId="0" fontId="19" fillId="36" borderId="22"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0" borderId="10" xfId="0" applyFont="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2"/>
    </xf>
    <xf numFmtId="0" fontId="19" fillId="0" borderId="10" xfId="0" applyFont="1" applyBorder="1">
      <alignment horizontal="center" vertical="center" wrapText="1"/>
    </xf>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19" fillId="35" borderId="10" xfId="0" applyFont="1" applyFill="1" applyBorder="1">
      <alignment horizontal="left" vertical="center" wrapText="1" indent="3"/>
    </xf>
    <xf numFmtId="4" fontId="22" fillId="36" borderId="10" xfId="0" applyFont="1" applyFill="1" applyBorder="1" applyNumberFormat="1">
      <alignment horizontal="right" vertical="center"/>
    </xf>
    <xf numFmtId="0" fontId="19" fillId="35" borderId="10" xfId="0" applyFont="1" applyFill="1" applyBorder="1">
      <alignment horizontal="center" vertical="center"/>
    </xf>
    <xf numFmtId="4"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41" borderId="30"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4" fontId="22" fillId="36" borderId="10" xfId="0" applyFont="1" applyFill="1" applyBorder="1" applyNumberFormat="1">
      <alignment horizontal="right" vertical="center"/>
    </xf>
    <xf numFmtId="0" fontId="19" fillId="35" borderId="10" xfId="0" applyFont="1" applyFill="1" applyBorder="1">
      <alignment horizontal="center" vertical="center" wrapText="1"/>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1"/>
    </xf>
    <xf numFmtId="4" fontId="19" fillId="36" borderId="10" xfId="0" applyFont="1" applyFill="1" applyBorder="1" applyNumberFormat="1">
      <alignment horizontal="right" vertical="center"/>
    </xf>
    <xf numFmtId="49" fontId="19" fillId="35" borderId="10" xfId="0" applyFont="1" applyFill="1" applyBorder="1" applyNumberFormat="1">
      <alignment horizontal="center" vertical="center"/>
    </xf>
    <xf numFmtId="172" fontId="22" fillId="36" borderId="10" xfId="0" applyFont="1" applyFill="1" applyBorder="1" applyNumberFormat="1">
      <alignment horizontal="right" vertical="center"/>
    </xf>
    <xf numFmtId="172"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22" fillId="41" borderId="30" xfId="0" applyFont="1" applyFill="1" applyBorder="1" applyNumberFormat="1">
      <alignment vertical="center"/>
    </xf>
    <xf numFmtId="0" fontId="19" fillId="41" borderId="18" xfId="0" applyFont="1" applyFill="1" applyBorder="1">
      <alignment vertical="center" wrapText="1"/>
    </xf>
    <xf numFmtId="0" fontId="19" fillId="41" borderId="29" xfId="0" applyFont="1" applyFill="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0" borderId="10" xfId="0" applyFont="1" applyBorder="1">
      <alignment horizontal="center"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0" fontId="19" fillId="0" borderId="10" xfId="0" applyFont="1" applyBorder="1">
      <alignment horizontal="left" vertical="center" wrapText="1" indent="2"/>
    </xf>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protection locked="0"/>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protection locked="0"/>
    </xf>
    <xf numFmtId="0" fontId="22" fillId="0" borderId="10" xfId="0" applyFont="1" applyBorder="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0" fontId="19" fillId="0" borderId="10" xfId="0" applyFont="1" applyBorder="1">
      <alignment horizontal="left" vertical="center" wrapText="1"/>
    </xf>
    <xf numFmtId="4" fontId="19" fillId="0" borderId="10" xfId="0" applyFont="1" applyBorder="1" applyNumberFormat="1">
      <alignment horizontal="right" vertical="center"/>
    </xf>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0" fontId="26" fillId="43" borderId="0" xfId="0" applyFont="1" applyFill="1">
      <alignment vertical="center"/>
    </xf>
    <xf numFmtId="49" fontId="19" fillId="0" borderId="0" xfId="0" applyFont="1" applyNumberFormat="1">
      <alignment horizontal="center" vertical="top"/>
    </xf>
    <xf numFmtId="0" fontId="19" fillId="0" borderId="0" xfId="0" applyFont="1">
      <alignment vertical="top" wrapText="1"/>
    </xf>
    <xf numFmtId="0" fontId="19" fillId="0" borderId="0" xfId="0" applyFont="1">
      <alignment vertical="top" wrapText="1"/>
    </xf>
    <xf numFmtId="0" fontId="19" fillId="0" borderId="40" xfId="0" applyFont="1" applyBorder="1">
      <alignment horizontal="center" vertical="center" wrapText="1"/>
    </xf>
    <xf numFmtId="0" fontId="19" fillId="0" borderId="22" xfId="0" applyFont="1" applyBorder="1">
      <alignment horizontal="center" vertical="center" wrapText="1"/>
    </xf>
    <xf numFmtId="0" fontId="19" fillId="40" borderId="32" xfId="0" applyFont="1" applyFill="1" applyBorder="1">
      <alignment horizontal="left" vertical="center"/>
    </xf>
    <xf numFmtId="0" fontId="19" fillId="0" borderId="33" xfId="0" applyFont="1" applyBorder="1">
      <alignment horizontal="center" vertical="center" wrapText="1"/>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0" fontId="19" fillId="0" borderId="0" xfId="0" applyFont="1">
      <alignment horizontal="left" vertical="center"/>
    </xf>
    <xf numFmtId="0" fontId="19" fillId="43" borderId="0" xfId="0" applyFont="1" applyFill="1">
      <alignment vertical="center"/>
    </xf>
    <xf numFmtId="0" fontId="19" fillId="0" borderId="0" xfId="0" applyFont="1">
      <alignment vertical="center"/>
    </xf>
    <xf numFmtId="0" fontId="19" fillId="0" borderId="0" xfId="0" applyFont="1">
      <alignment horizontal="center"/>
    </xf>
    <xf numFmtId="0" fontId="19" fillId="0" borderId="0" xfId="0" applyFont="1">
      <alignment horizontal="center" vertical="center"/>
    </xf>
    <xf numFmtId="0" fontId="19" fillId="43" borderId="0" xfId="0" applyFont="1" applyFill="1">
      <alignment vertical="center"/>
    </xf>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 fontId="22" fillId="36" borderId="10" xfId="0" applyFont="1" applyFill="1" applyBorder="1" applyNumberFormat="1">
      <alignment horizontal="right" vertical="center" wrapText="1"/>
    </xf>
    <xf numFmtId="49" fontId="22" fillId="34" borderId="10" xfId="0" applyFont="1" applyFill="1" applyBorder="1" applyNumberFormat="1">
      <alignment horizontal="left" vertical="center" wrapText="1"/>
      <protection locked="0"/>
    </xf>
    <xf numFmtId="49" fontId="19" fillId="34" borderId="10" xfId="0" applyFont="1" applyFill="1" applyBorder="1" applyNumberFormat="1">
      <alignment horizontal="left" vertical="center" wrapText="1"/>
      <protection locked="0"/>
    </xf>
    <xf numFmtId="0" fontId="19" fillId="0" borderId="10" xfId="0" applyFont="1" applyBorder="1">
      <alignment vertical="center" wrapText="1"/>
    </xf>
    <xf numFmtId="0" fontId="68" fillId="0" borderId="0" xfId="0" applyFont="1"/>
    <xf numFmtId="0" fontId="19" fillId="0" borderId="0" xfId="0" applyFont="1">
      <alignment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0" fontId="26" fillId="0" borderId="0" xfId="0" applyFont="1">
      <alignment vertical="center" wrapText="1"/>
    </xf>
    <xf numFmtId="0" fontId="26" fillId="43" borderId="0" xfId="0" applyFont="1" applyFill="1">
      <alignment vertical="center" wrapText="1"/>
    </xf>
    <xf numFmtId="0" fontId="23" fillId="0" borderId="0" xfId="0" applyFont="1">
      <alignment horizontal="left" vertical="center"/>
    </xf>
    <xf numFmtId="0" fontId="26" fillId="0" borderId="0" xfId="0" applyFont="1">
      <alignment horizontal="center" vertical="center" wrapText="1"/>
    </xf>
    <xf numFmtId="0" fontId="26" fillId="43" borderId="0" xfId="0" applyFont="1" applyFill="1">
      <alignment horizontal="center" vertical="center" wrapText="1"/>
    </xf>
    <xf numFmtId="0" fontId="19" fillId="19" borderId="0" xfId="0" applyFont="1" applyFill="1"/>
    <xf numFmtId="0" fontId="22" fillId="0" borderId="0" xfId="0" applyFont="1" quotePrefix="1">
      <alignment horizontal="left" vertical="center" wrapText="1" indent="4"/>
    </xf>
    <xf numFmtId="49" fontId="22" fillId="0" borderId="0" xfId="0" applyFont="1" applyNumberFormat="1">
      <alignment horizontal="left" vertical="center" wrapText="1" indent="4"/>
    </xf>
    <xf numFmtId="0" fontId="19" fillId="43" borderId="0" xfId="0" applyFont="1" applyFill="1">
      <alignmen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43" borderId="0" xfId="0" applyFont="1" applyFill="1">
      <alignment vertical="top"/>
    </xf>
    <xf numFmtId="0" fontId="19" fillId="0" borderId="0" xfId="0" applyFont="1">
      <alignment horizontal="center" vertical="center" wrapText="1"/>
    </xf>
    <xf numFmtId="0" fontId="19" fillId="43" borderId="0" xfId="0" applyFont="1" applyFill="1">
      <alignment horizontal="center" vertical="center" wrapText="1"/>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0" borderId="10" xfId="0" applyFont="1" applyBorder="1">
      <alignment horizontal="center" vertical="center" wrapText="1"/>
      <protection locked="0"/>
    </xf>
    <xf numFmtId="0" fontId="19" fillId="0" borderId="0" xfId="0" applyFont="1">
      <alignment horizontal="center" vertical="center"/>
    </xf>
    <xf numFmtId="0" fontId="19" fillId="0" borderId="0" xfId="0" applyFont="1">
      <alignment horizontal="center" vertical="top" wrapText="1"/>
    </xf>
    <xf numFmtId="0" fontId="22" fillId="41" borderId="30" xfId="0" applyFont="1" applyFill="1" applyBorder="1">
      <alignment horizontal="left" vertical="center" wrapText="1" indent="1"/>
    </xf>
    <xf numFmtId="0" fontId="19" fillId="0" borderId="0" xfId="0" applyFont="1">
      <alignment horizontal="center" vertical="center" wrapText="1"/>
    </xf>
    <xf numFmtId="0" fontId="19" fillId="43" borderId="0" xfId="0" applyFont="1" applyFill="1">
      <alignment horizontal="center" vertical="center" wrapText="1"/>
    </xf>
    <xf numFmtId="0" fontId="19" fillId="42" borderId="10" xfId="0" applyFont="1" applyFill="1" applyBorder="1">
      <alignment horizontal="left" vertical="center" wrapText="1" indent="1"/>
      <protection locked="0"/>
    </xf>
    <xf numFmtId="0" fontId="19" fillId="0" borderId="10" xfId="0" applyFont="1" applyBorder="1">
      <alignment horizontal="center" vertical="center" wrapText="1"/>
    </xf>
    <xf numFmtId="0" fontId="19" fillId="0" borderId="10" xfId="0" applyFont="1" applyBorder="1">
      <alignment horizontal="center" vertical="center" wrapText="1"/>
      <protection locked="0"/>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0" fontId="23" fillId="0" borderId="0" xfId="0" applyFont="1"/>
    <xf numFmtId="0" fontId="19" fillId="0" borderId="10" xfId="0" applyFont="1" applyBorder="1">
      <alignment horizontal="center" vertical="center"/>
    </xf>
    <xf numFmtId="0" fontId="19" fillId="0" borderId="0" xfId="0" applyFont="1"/>
    <xf numFmtId="0" fontId="19" fillId="43" borderId="0" xfId="0" applyFont="1" applyFill="1"/>
    <xf numFmtId="0" fontId="19" fillId="0" borderId="10" xfId="0" applyFont="1" applyBorder="1">
      <alignment horizontal="center"/>
    </xf>
    <xf numFmtId="49" fontId="19" fillId="42" borderId="10" xfId="0" applyFont="1" applyFill="1" applyBorder="1" applyNumberFormat="1">
      <alignment horizontal="left" vertical="center" wrapText="1" indent="1"/>
      <protection locked="0"/>
    </xf>
    <xf numFmtId="0" fontId="19" fillId="0" borderId="0" xfId="0" applyFont="1">
      <alignment horizontal="center"/>
    </xf>
    <xf numFmtId="4" fontId="21" fillId="36" borderId="10" xfId="0" applyFont="1" applyFill="1" applyBorder="1" applyNumberFormat="1">
      <alignment horizontal="right" vertical="center" wrapText="1"/>
    </xf>
    <xf numFmtId="0" fontId="22" fillId="36" borderId="37" xfId="0" applyFont="1" applyFill="1" applyBorder="1">
      <alignment horizontal="left" vertical="center" indent="1"/>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4" fontId="22" fillId="34" borderId="11" xfId="0" applyFont="1" applyFill="1" applyBorder="1" applyNumberFormat="1">
      <alignment horizontal="right" vertical="center"/>
      <protection locked="0"/>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protection locked="0"/>
    </xf>
    <xf numFmtId="4" fontId="19" fillId="34" borderId="11" xfId="0" applyFont="1" applyFill="1" applyBorder="1" applyNumberFormat="1">
      <alignment horizontal="right" vertical="center"/>
      <protection locked="0"/>
    </xf>
    <xf numFmtId="0" fontId="19" fillId="0" borderId="38" xfId="0" applyFont="1" applyBorder="1">
      <alignment horizontal="center" vertical="center"/>
    </xf>
    <xf numFmtId="0" fontId="19" fillId="0" borderId="11" xfId="0" applyFont="1" applyBorder="1">
      <alignment horizontal="left" vertical="center" wrapText="1" indent="1"/>
    </xf>
    <xf numFmtId="0" fontId="22" fillId="0" borderId="0" xfId="0" applyFont="1">
      <alignment horizontal="center" vertical="center"/>
    </xf>
    <xf numFmtId="0" fontId="19" fillId="42" borderId="11" xfId="0" applyFont="1" applyFill="1" applyBorder="1">
      <alignment horizontal="left" vertical="center" wrapText="1"/>
      <protection locked="0"/>
    </xf>
    <xf numFmtId="0" fontId="19" fillId="43" borderId="23" xfId="0" applyFont="1" applyFill="1" applyBorder="1">
      <alignment horizontal="left" vertical="center" indent="1"/>
    </xf>
    <xf numFmtId="0" fontId="29" fillId="43" borderId="0" xfId="0" applyFont="1" applyFill="1">
      <alignment horizontal="left" vertical="center"/>
    </xf>
    <xf numFmtId="14" fontId="64" fillId="0" borderId="0" xfId="0" applyFont="1" applyNumberFormat="1">
      <alignment vertical="center"/>
    </xf>
    <xf numFmtId="0" fontId="19" fillId="34" borderId="11" xfId="0" applyFont="1" applyFill="1" applyBorder="1">
      <alignment horizontal="left" vertical="center" wrapText="1"/>
      <protection locked="0"/>
    </xf>
    <xf numFmtId="0" fontId="64" fillId="0" borderId="0" xfId="0" applyFont="1"/>
    <xf numFmtId="0" fontId="64" fillId="0" borderId="0" xfId="0" applyFont="1">
      <alignment horizontal="center"/>
    </xf>
    <xf numFmtId="0" fontId="64" fillId="43" borderId="0" xfId="0" applyFont="1" applyFill="1"/>
    <xf numFmtId="0" fontId="29" fillId="0" borderId="0" xfId="0" applyFont="1">
      <alignment vertical="top"/>
    </xf>
    <xf numFmtId="49" fontId="64" fillId="0" borderId="0" xfId="0" applyFont="1" applyNumberFormat="1"/>
    <xf numFmtId="0" fontId="29" fillId="0" borderId="0" xfId="0" applyFont="1">
      <alignment horizontal="center" vertical="center" wrapText="1"/>
    </xf>
    <xf numFmtId="49" fontId="29" fillId="0" borderId="0" xfId="0" applyFont="1" applyNumberFormat="1">
      <alignment horizontal="center" vertical="center" wrapText="1"/>
    </xf>
    <xf numFmtId="0" fontId="19" fillId="34" borderId="10" xfId="0" applyFont="1" applyFill="1" applyBorder="1">
      <alignment horizontal="left" vertical="center" wrapText="1"/>
      <protection locked="0"/>
    </xf>
    <xf numFmtId="49" fontId="29" fillId="0" borderId="0" xfId="0" applyFont="1" applyNumberFormat="1"/>
    <xf numFmtId="4" fontId="22" fillId="0" borderId="10" xfId="0" applyFont="1" applyBorder="1" applyNumberFormat="1">
      <alignment horizontal="right" vertical="center"/>
      <protection locked="0"/>
    </xf>
    <xf numFmtId="4" fontId="19" fillId="42" borderId="22" xfId="0" applyFont="1" applyFill="1" applyBorder="1" applyNumberFormat="1">
      <alignment horizontal="right" vertical="center"/>
      <protection locked="0"/>
    </xf>
    <xf numFmtId="0" fontId="64" fillId="0" borderId="0" xfId="0" applyFont="1">
      <alignment horizontal="left" vertical="center"/>
    </xf>
    <xf numFmtId="0" fontId="19" fillId="0" borderId="0" xfId="0" applyFont="1">
      <alignment horizontal="left"/>
    </xf>
    <xf numFmtId="49" fontId="63" fillId="0" borderId="0" xfId="0" applyFont="1" applyNumberFormat="1"/>
    <xf numFmtId="0" fontId="19" fillId="25" borderId="0" xfId="0" applyFont="1" applyFill="1">
      <alignment horizontal="center" vertical="center"/>
    </xf>
    <xf numFmtId="0" fontId="19" fillId="0" borderId="0" xfId="0" applyFont="1">
      <alignment horizontal="center" vertical="top"/>
    </xf>
    <xf numFmtId="0" fontId="19" fillId="38" borderId="0" xfId="0" applyFont="1" applyFill="1">
      <alignment horizontal="center" vertical="center"/>
    </xf>
    <xf numFmtId="0" fontId="19" fillId="0" borderId="0" xfId="0" applyFont="1">
      <alignment vertical="center"/>
    </xf>
    <xf numFmtId="0" fontId="29" fillId="39" borderId="0" xfId="0" applyFont="1" applyFill="1">
      <alignment horizontal="left" vertical="top"/>
    </xf>
    <xf numFmtId="0" fontId="19" fillId="33" borderId="11" xfId="0" applyFont="1" applyFill="1" applyBorder="1">
      <alignment horizontal="center" vertical="center" wrapText="1"/>
    </xf>
    <xf numFmtId="0" fontId="19" fillId="0" borderId="10" xfId="0" applyFont="1" applyBorder="1">
      <alignment horizontal="left" indent="1"/>
    </xf>
    <xf numFmtId="0" fontId="19" fillId="0" borderId="53" xfId="0" applyFont="1" applyBorder="1">
      <alignment horizontal="center" vertical="center" wrapText="1"/>
    </xf>
    <xf numFmtId="0" fontId="19" fillId="0" borderId="30" xfId="0" applyFont="1" applyBorder="1">
      <alignment horizontal="center" vertical="center" wrapText="1"/>
    </xf>
    <xf numFmtId="4" fontId="19" fillId="36" borderId="10" xfId="0" applyFont="1" applyFill="1" applyBorder="1" applyNumberFormat="1">
      <alignment horizontal="right" vertical="center" wrapText="1"/>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4" fontId="22" fillId="36" borderId="10" xfId="0" applyFont="1" applyFill="1" applyBorder="1" applyNumberFormat="1">
      <alignment horizontal="right" vertical="center" wrapText="1"/>
    </xf>
    <xf numFmtId="49" fontId="38" fillId="41" borderId="36"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174" fontId="21" fillId="42"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protection locked="0"/>
    </xf>
    <xf numFmtId="172"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172" fontId="19" fillId="36" borderId="10" xfId="0" applyFont="1" applyFill="1" applyBorder="1" applyNumberFormat="1">
      <alignment horizontal="right" vertical="center"/>
    </xf>
    <xf numFmtId="49" fontId="21" fillId="34" borderId="11" xfId="0" applyFont="1" applyFill="1" applyBorder="1" applyNumberFormat="1">
      <alignment horizontal="right" vertical="center"/>
      <protection locked="0"/>
    </xf>
    <xf numFmtId="0" fontId="19" fillId="0" borderId="0" xfId="0" applyFont="1">
      <alignment horizontal="left" vertical="center" wrapText="1"/>
    </xf>
    <xf numFmtId="0" fontId="21" fillId="0" borderId="0" xfId="0" applyFont="1">
      <alignment horizontal="right" vertical="center"/>
    </xf>
    <xf numFmtId="172" fontId="21" fillId="0" borderId="0" xfId="0" applyFont="1" applyNumberFormat="1">
      <alignment horizontal="right" vertical="center"/>
    </xf>
    <xf numFmtId="49" fontId="21" fillId="0" borderId="0" xfId="0" applyFont="1" applyNumberFormat="1">
      <alignment horizontal="left" vertical="center" wrapText="1"/>
    </xf>
    <xf numFmtId="0" fontId="19" fillId="42" borderId="10" xfId="0" applyFont="1" applyFill="1" applyBorder="1">
      <alignment horizontal="left" vertical="center" wrapText="1" indent="1"/>
      <protection locked="0"/>
    </xf>
    <xf numFmtId="0" fontId="19" fillId="42" borderId="46" xfId="0" applyFont="1" applyFill="1" applyBorder="1">
      <alignment horizontal="left" vertical="center" wrapText="1" indent="1"/>
      <protection locked="0"/>
    </xf>
    <xf numFmtId="0" fontId="23" fillId="0" borderId="0" xfId="0" applyFont="1">
      <alignment vertical="center"/>
    </xf>
    <xf numFmtId="0" fontId="1" fillId="0" borderId="0" xfId="0" applyFont="1">
      <alignment vertical="center"/>
    </xf>
    <xf numFmtId="0" fontId="29" fillId="0" borderId="0" xfId="0" applyFont="1">
      <alignment horizontal="center" vertical="center"/>
    </xf>
    <xf numFmtId="0" fontId="49" fillId="0" borderId="0" xfId="0" applyFont="1">
      <alignment horizontal="left" vertical="top"/>
    </xf>
    <xf numFmtId="49" fontId="19" fillId="0" borderId="54" xfId="0" applyFont="1" applyBorder="1" applyNumberFormat="1">
      <alignment vertical="top"/>
    </xf>
    <xf numFmtId="0" fontId="24" fillId="0" borderId="0" xfId="0" applyFont="1">
      <alignment vertical="center" wrapText="1"/>
    </xf>
    <xf numFmtId="0" fontId="19" fillId="0" borderId="0" xfId="0" applyFont="1">
      <alignment vertical="top"/>
    </xf>
    <xf numFmtId="0" fontId="0" fillId="25" borderId="0" xfId="0" applyFont="1" applyFill="1">
      <alignment horizontal="center" vertical="center" wrapText="1"/>
    </xf>
    <xf numFmtId="0" fontId="19" fillId="43" borderId="0" xfId="0" applyFont="1" applyFill="1">
      <alignment horizontal="left" vertical="center"/>
    </xf>
    <xf numFmtId="0" fontId="19" fillId="43" borderId="0" xfId="0" applyFont="1" applyFill="1">
      <alignment vertical="center" wrapText="1"/>
    </xf>
    <xf numFmtId="0" fontId="24" fillId="43" borderId="0" xfId="0" applyFont="1" applyFill="1">
      <alignment vertical="center" wrapText="1"/>
    </xf>
    <xf numFmtId="0" fontId="19" fillId="43" borderId="0" xfId="0" applyFont="1" applyFill="1">
      <alignment vertical="top"/>
    </xf>
    <xf numFmtId="0" fontId="69" fillId="0" borderId="0" xfId="0" applyFont="1">
      <alignment vertical="center" wrapText="1"/>
    </xf>
    <xf numFmtId="0" fontId="22" fillId="0" borderId="0" xfId="0" applyFont="1">
      <alignment vertical="center" wrapText="1"/>
    </xf>
    <xf numFmtId="0" fontId="70" fillId="0" borderId="0" xfId="0" applyFont="1">
      <alignment vertical="center" wrapText="1"/>
    </xf>
    <xf numFmtId="0" fontId="71" fillId="0" borderId="0" xfId="0" applyFont="1">
      <alignment horizontal="center" vertical="top" wrapText="1"/>
    </xf>
    <xf numFmtId="0" fontId="19" fillId="35" borderId="0" xfId="0" applyFont="1" applyFill="1">
      <alignment vertical="top"/>
    </xf>
    <xf numFmtId="0" fontId="1" fillId="0" borderId="0" xfId="0" applyFont="1"/>
    <xf numFmtId="172" fontId="19" fillId="34" borderId="33" xfId="0" applyFont="1" applyFill="1" applyBorder="1" applyNumberFormat="1">
      <alignment horizontal="right" vertical="center"/>
      <protection locked="0"/>
    </xf>
    <xf numFmtId="172" fontId="21" fillId="34" borderId="33" xfId="0" applyFont="1" applyFill="1" applyBorder="1" applyNumberFormat="1">
      <alignment horizontal="right" vertical="center"/>
      <protection locked="0"/>
    </xf>
    <xf numFmtId="49" fontId="21" fillId="0" borderId="11" xfId="0" applyFont="1" applyBorder="1" applyNumberFormat="1">
      <alignment horizontal="left" vertical="center" wrapText="1"/>
    </xf>
    <xf numFmtId="0" fontId="49" fillId="19" borderId="0" xfId="0" applyFont="1" applyFill="1">
      <alignment horizontal="center" vertical="center"/>
    </xf>
    <xf numFmtId="0" fontId="34" fillId="0" borderId="0" xfId="0" applyFont="1">
      <alignment horizontal="left" vertical="center" wrapText="1" indent="4"/>
    </xf>
    <xf numFmtId="0" fontId="33" fillId="0" borderId="0" xfId="0" applyFont="1">
      <alignment vertical="center"/>
    </xf>
    <xf numFmtId="0" fontId="49" fillId="0" borderId="0" xfId="0" applyFont="1">
      <alignment horizontal="center" vertical="center"/>
    </xf>
    <xf numFmtId="0" fontId="33" fillId="43" borderId="0" xfId="0" applyFont="1" applyFill="1">
      <alignment vertical="center"/>
    </xf>
    <xf numFmtId="0" fontId="23" fillId="0" borderId="0" xfId="0" applyFont="1">
      <alignment vertical="center"/>
    </xf>
    <xf numFmtId="0" fontId="33" fillId="0" borderId="0" xfId="0" applyFont="1">
      <alignment vertical="center" wrapText="1"/>
    </xf>
    <xf numFmtId="0" fontId="19" fillId="0" borderId="0" xfId="0" applyFont="1"/>
    <xf numFmtId="0" fontId="26" fillId="0" borderId="0" xfId="0" applyFont="1">
      <alignment vertical="center" wrapText="1"/>
    </xf>
    <xf numFmtId="0" fontId="26" fillId="0" borderId="0" xfId="0" applyFont="1">
      <alignment horizontal="center" vertical="center" wrapText="1"/>
    </xf>
    <xf numFmtId="0" fontId="26" fillId="0" borderId="0" xfId="0" applyFont="1">
      <alignment vertical="center"/>
    </xf>
    <xf numFmtId="0" fontId="1" fillId="0" borderId="0" xfId="0" applyFont="1"/>
    <xf numFmtId="49" fontId="22" fillId="0" borderId="0" xfId="0" applyFont="1" applyNumberFormat="1">
      <alignment vertical="top"/>
    </xf>
    <xf numFmtId="0" fontId="19" fillId="4" borderId="0" xfId="0" applyFont="1" applyFill="1">
      <alignment horizontal="left" vertical="center"/>
    </xf>
    <xf numFmtId="0" fontId="19" fillId="4" borderId="0" xfId="0" applyFont="1" applyFill="1">
      <alignment horizontal="center" vertical="center"/>
    </xf>
    <xf numFmtId="0" fontId="19" fillId="43" borderId="0" xfId="0" applyFont="1" applyFill="1">
      <alignment horizontal="center" vertical="top"/>
    </xf>
    <xf numFmtId="0" fontId="19" fillId="0" borderId="0" xfId="0" applyFont="1">
      <alignment horizontal="right" vertical="center" wrapText="1"/>
    </xf>
    <xf numFmtId="0" fontId="19" fillId="4" borderId="0" xfId="0" applyFont="1" applyFill="1">
      <alignment horizontal="left" vertical="center" wrapText="1"/>
    </xf>
    <xf numFmtId="0" fontId="0" fillId="4" borderId="0" xfId="0" applyFont="1" applyFill="1">
      <alignment horizontal="center" vertical="center" wrapText="1"/>
    </xf>
    <xf numFmtId="0" fontId="19" fillId="4" borderId="0" xfId="0" applyFont="1" applyFill="1">
      <alignment vertical="center" wrapText="1"/>
    </xf>
    <xf numFmtId="0" fontId="19" fillId="4" borderId="0" xfId="0" applyFont="1" applyFill="1">
      <alignment horizontal="center" vertical="center" wrapText="1"/>
    </xf>
    <xf numFmtId="0" fontId="19" fillId="4" borderId="0" xfId="0" applyFont="1" applyFill="1">
      <alignment vertical="top"/>
    </xf>
    <xf numFmtId="0" fontId="21" fillId="4" borderId="0" xfId="0" applyFont="1" applyFill="1"/>
    <xf numFmtId="0" fontId="19" fillId="4" borderId="0" xfId="0" applyFont="1" applyFill="1">
      <alignment vertical="top"/>
    </xf>
    <xf numFmtId="0" fontId="24" fillId="4" borderId="0" xfId="0" applyFont="1" applyFill="1">
      <alignment vertical="top"/>
    </xf>
    <xf numFmtId="0" fontId="19" fillId="4" borderId="0" xfId="0" applyFont="1" applyFill="1"/>
    <xf numFmtId="0" fontId="19" fillId="4" borderId="0" xfId="0" applyFont="1" applyFill="1">
      <alignment vertical="top"/>
    </xf>
    <xf numFmtId="0" fontId="0" fillId="43" borderId="0" xfId="0" applyFont="1" applyFill="1">
      <alignment horizontal="center" vertical="center" wrapText="1"/>
    </xf>
    <xf numFmtId="49" fontId="19" fillId="4" borderId="0" xfId="0" applyFont="1" applyFill="1" applyNumberFormat="1">
      <alignment vertical="center" wrapText="1"/>
    </xf>
    <xf numFmtId="49" fontId="19" fillId="4" borderId="0" xfId="0" applyFont="1" applyFill="1" applyNumberFormat="1">
      <alignment vertical="top"/>
    </xf>
    <xf numFmtId="0" fontId="29" fillId="4" borderId="0" xfId="0" applyFont="1" applyFill="1"/>
    <xf numFmtId="49" fontId="19" fillId="4" borderId="0" xfId="0" applyFont="1" applyFill="1" applyNumberFormat="1">
      <alignment vertical="top"/>
    </xf>
    <xf numFmtId="49" fontId="24" fillId="43" borderId="0" xfId="0" applyFont="1" applyFill="1" applyNumberFormat="1">
      <alignment vertical="top"/>
    </xf>
    <xf numFmtId="49" fontId="29" fillId="4" borderId="0" xfId="0" applyFont="1" applyFill="1" applyNumberFormat="1"/>
    <xf numFmtId="0" fontId="0" fillId="4" borderId="0" xfId="0" applyFont="1" applyFill="1">
      <alignment horizontal="center"/>
    </xf>
    <xf numFmtId="0" fontId="21" fillId="4" borderId="0" xfId="0" applyFont="1" applyFill="1">
      <alignment horizontal="left"/>
    </xf>
    <xf numFmtId="0" fontId="21" fillId="4" borderId="0" xfId="0" applyFont="1" applyFill="1">
      <alignment wrapText="1"/>
    </xf>
    <xf numFmtId="0" fontId="21" fillId="4" borderId="0" xfId="0" applyFont="1" applyFill="1">
      <alignment horizontal="center"/>
    </xf>
    <xf numFmtId="0" fontId="21" fillId="4" borderId="0" xfId="0" applyFont="1" applyFill="1">
      <alignment vertical="center" wrapText="1"/>
    </xf>
    <xf numFmtId="0" fontId="0" fillId="43" borderId="0" xfId="0" applyFont="1" applyFill="1">
      <alignment horizontal="center"/>
    </xf>
    <xf numFmtId="0" fontId="21" fillId="4" borderId="0" xfId="0" applyFont="1" applyFill="1">
      <alignment vertical="center"/>
    </xf>
    <xf numFmtId="0" fontId="0" fillId="4" borderId="0" xfId="0" applyFont="1" applyFill="1">
      <alignment horizontal="center" vertical="center"/>
    </xf>
    <xf numFmtId="0" fontId="21" fillId="4" borderId="0" xfId="0" applyFont="1" applyFill="1">
      <alignment horizontal="left" vertical="center"/>
    </xf>
    <xf numFmtId="0" fontId="19" fillId="4" borderId="0" xfId="0" applyFont="1" applyFill="1">
      <alignment vertical="center"/>
    </xf>
    <xf numFmtId="49" fontId="19" fillId="4" borderId="0" xfId="0" applyFont="1" applyFill="1" applyNumberFormat="1">
      <alignment vertical="top"/>
    </xf>
    <xf numFmtId="0" fontId="21" fillId="4" borderId="0" xfId="0" applyFont="1" applyFill="1">
      <alignment vertical="center"/>
    </xf>
    <xf numFmtId="0" fontId="29" fillId="0" borderId="0" xfId="0" applyFont="1"/>
    <xf numFmtId="0" fontId="0" fillId="51" borderId="0" xfId="0" applyFont="1" applyFill="1">
      <alignment horizontal="center" vertical="center"/>
    </xf>
    <xf numFmtId="0" fontId="29" fillId="0" borderId="0" xfId="0" applyFont="1">
      <alignment vertical="center"/>
    </xf>
    <xf numFmtId="0" fontId="21" fillId="0" borderId="0" xfId="0" applyFont="1"/>
    <xf numFmtId="0" fontId="29" fillId="4" borderId="0" xfId="0" applyFont="1" applyFill="1"/>
    <xf numFmtId="0" fontId="19" fillId="4" borderId="0" xfId="0" applyFont="1" applyFill="1"/>
    <xf numFmtId="0" fontId="19" fillId="4" borderId="0" xfId="0" applyFont="1" applyFill="1">
      <alignment horizontal="center"/>
    </xf>
    <xf numFmtId="0" fontId="21" fillId="4" borderId="0" xfId="0" applyFont="1" applyFill="1">
      <alignment vertical="center"/>
    </xf>
    <xf numFmtId="49" fontId="19" fillId="4" borderId="0" xfId="0" applyFont="1" applyFill="1" applyNumberFormat="1">
      <alignment horizontal="center"/>
    </xf>
    <xf numFmtId="0" fontId="0" fillId="43" borderId="0" xfId="0" applyFont="1" applyFill="1">
      <alignment horizontal="center" vertical="center"/>
    </xf>
    <xf numFmtId="0" fontId="21" fillId="4" borderId="0" xfId="0" applyFont="1" applyFill="1">
      <alignment horizontal="center" vertical="center" wrapText="1"/>
    </xf>
    <xf numFmtId="0" fontId="29" fillId="4" borderId="0" xfId="0" applyFont="1" applyFill="1">
      <alignment vertical="center"/>
    </xf>
    <xf numFmtId="0" fontId="19" fillId="4" borderId="0" xfId="0" applyFont="1" applyFill="1"/>
    <xf numFmtId="0" fontId="19" fillId="4" borderId="0" xfId="0" applyFont="1" applyFill="1">
      <alignment horizontal="center"/>
    </xf>
    <xf numFmtId="0" fontId="19" fillId="4" borderId="0" xfId="0" applyFont="1" applyFill="1">
      <alignment horizontal="left" vertical="top"/>
    </xf>
    <xf numFmtId="0" fontId="22" fillId="4" borderId="0" xfId="0" applyFont="1" applyFill="1"/>
    <xf numFmtId="0" fontId="21" fillId="4" borderId="0" xfId="0" applyFont="1" applyFill="1">
      <alignment vertical="center"/>
    </xf>
    <xf numFmtId="0" fontId="0" fillId="4" borderId="0" xfId="0" applyFont="1" applyFill="1">
      <alignment horizontal="center"/>
    </xf>
    <xf numFmtId="0" fontId="21" fillId="4" borderId="0" xfId="0" applyFont="1" applyFill="1"/>
    <xf numFmtId="0" fontId="21" fillId="4" borderId="0" xfId="0" applyFont="1" applyFill="1">
      <alignment horizontal="center"/>
    </xf>
    <xf numFmtId="0" fontId="19" fillId="4" borderId="0" xfId="0" applyFont="1" applyFill="1">
      <alignment horizontal="left" vertical="top"/>
    </xf>
    <xf numFmtId="0" fontId="23" fillId="4" borderId="0" xfId="0" applyFont="1" applyFill="1"/>
    <xf numFmtId="0" fontId="49" fillId="4" borderId="0" xfId="0" applyFont="1" applyFill="1">
      <alignment horizontal="center"/>
    </xf>
    <xf numFmtId="0" fontId="64" fillId="4" borderId="0" xfId="0" applyFont="1" applyFill="1"/>
    <xf numFmtId="0" fontId="26" fillId="4" borderId="0" xfId="0" applyFont="1" applyFill="1"/>
    <xf numFmtId="0" fontId="49" fillId="43" borderId="0" xfId="0" applyFont="1" applyFill="1">
      <alignment horizontal="center"/>
    </xf>
    <xf numFmtId="0" fontId="21" fillId="4" borderId="0" xfId="0" applyFont="1" applyFill="1">
      <alignment horizontal="center" vertical="center" wrapText="1"/>
    </xf>
    <xf numFmtId="0" fontId="21" fillId="43" borderId="0" xfId="0" applyFont="1" applyFill="1">
      <alignment horizontal="center" vertical="center" wrapText="1"/>
    </xf>
    <xf numFmtId="49" fontId="19" fillId="4" borderId="0" xfId="0" applyFont="1" applyFill="1" applyNumberFormat="1">
      <alignment vertical="top"/>
    </xf>
    <xf numFmtId="0" fontId="0" fillId="43" borderId="0" xfId="0" applyFont="1" applyFill="1">
      <alignment horizontal="center"/>
    </xf>
    <xf numFmtId="49" fontId="21" fillId="4" borderId="0" xfId="0" applyFont="1" applyFill="1" applyNumberFormat="1"/>
    <xf numFmtId="0" fontId="40" fillId="4" borderId="0" xfId="0" applyFont="1" applyFill="1"/>
    <xf numFmtId="0" fontId="19" fillId="4" borderId="0" xfId="0" applyFont="1" applyFill="1">
      <alignment horizontal="center" vertical="center"/>
    </xf>
    <xf numFmtId="0" fontId="29" fillId="4" borderId="0" xfId="0" applyFont="1" applyFill="1">
      <alignment horizontal="left" vertical="center"/>
    </xf>
    <xf numFmtId="0" fontId="21" fillId="4" borderId="0" xfId="0" applyFont="1" applyFill="1">
      <alignment horizontal="left" vertical="center" wrapText="1"/>
    </xf>
    <xf numFmtId="0" fontId="40" fillId="4" borderId="0" xfId="0" applyFont="1" applyFill="1">
      <alignment vertical="center"/>
    </xf>
    <xf numFmtId="0" fontId="40" fillId="43" borderId="0" xfId="0" applyFont="1" applyFill="1">
      <alignment vertical="center"/>
    </xf>
    <xf numFmtId="49" fontId="21" fillId="4" borderId="0" xfId="0" applyFont="1" applyFill="1" applyNumberFormat="1">
      <alignment vertical="center"/>
    </xf>
    <xf numFmtId="0" fontId="19" fillId="4" borderId="0" xfId="0" applyFont="1" applyFill="1">
      <alignment vertical="top"/>
    </xf>
    <xf numFmtId="0" fontId="1" fillId="43" borderId="0" xfId="0" applyFont="1" applyFill="1"/>
    <xf numFmtId="0" fontId="1" fillId="4" borderId="0" xfId="0" applyFont="1" applyFill="1"/>
    <xf numFmtId="0" fontId="21" fillId="4" borderId="0" xfId="0" applyFont="1" applyFill="1">
      <alignment vertical="center"/>
    </xf>
    <xf numFmtId="0" fontId="1" fillId="4" borderId="0" xfId="0" applyFont="1" applyFill="1"/>
    <xf numFmtId="0" fontId="17" fillId="4" borderId="0" xfId="0" applyFont="1" applyFill="1"/>
    <xf numFmtId="0" fontId="33" fillId="4" borderId="0" xfId="0" applyFont="1" applyFill="1">
      <alignment vertical="center"/>
    </xf>
    <xf numFmtId="0" fontId="49" fillId="4" borderId="0" xfId="0" applyFont="1" applyFill="1">
      <alignment horizontal="center" vertical="center"/>
    </xf>
    <xf numFmtId="0" fontId="23" fillId="4" borderId="0" xfId="0" applyFont="1" applyFill="1">
      <alignment vertical="center"/>
    </xf>
    <xf numFmtId="0" fontId="33" fillId="4" borderId="0" xfId="0" applyFont="1" applyFill="1">
      <alignment vertical="center" wrapText="1"/>
    </xf>
    <xf numFmtId="0" fontId="34" fillId="4" borderId="0" xfId="0" applyFont="1" applyFill="1">
      <alignment vertical="center" wrapText="1"/>
    </xf>
    <xf numFmtId="0" fontId="34" fillId="4" borderId="0" xfId="0" applyFont="1" applyFill="1">
      <alignment horizontal="center" vertical="center" wrapText="1"/>
    </xf>
    <xf numFmtId="0" fontId="34" fillId="4" borderId="0" xfId="0" applyFont="1" applyFill="1">
      <alignment vertical="center"/>
    </xf>
    <xf numFmtId="0" fontId="64" fillId="4" borderId="0" xfId="0" applyFont="1" applyFill="1">
      <alignment vertical="center"/>
    </xf>
    <xf numFmtId="0" fontId="64" fillId="43" borderId="0" xfId="0" applyFont="1" applyFill="1">
      <alignment vertical="center"/>
    </xf>
    <xf numFmtId="0" fontId="21" fillId="4" borderId="0" xfId="0" applyFont="1" applyFill="1">
      <alignment horizontal="center" vertical="center"/>
    </xf>
    <xf numFmtId="49" fontId="33" fillId="4" borderId="0" xfId="0" applyFont="1" applyFill="1" applyNumberFormat="1">
      <alignment vertical="center"/>
    </xf>
    <xf numFmtId="0" fontId="29" fillId="4" borderId="0" xfId="0" applyFont="1" applyFill="1">
      <alignment horizontal="left"/>
    </xf>
    <xf numFmtId="0" fontId="21" fillId="4" borderId="0" xfId="0" applyFont="1" applyFill="1">
      <alignment vertical="center"/>
    </xf>
    <xf numFmtId="0" fontId="21" fillId="4" borderId="0" xfId="0" applyFont="1" applyFill="1">
      <alignment vertical="center"/>
    </xf>
    <xf numFmtId="174" fontId="21" fillId="34" borderId="11" xfId="0" applyFont="1" applyFill="1" applyBorder="1" applyNumberFormat="1">
      <alignment horizontal="left" vertical="center" wrapText="1" indent="1"/>
      <protection locked="0"/>
    </xf>
    <xf numFmtId="49" fontId="21" fillId="4" borderId="0" xfId="0" applyFont="1" applyFill="1" applyNumberFormat="1"/>
    <xf numFmtId="49" fontId="19" fillId="0" borderId="0" xfId="0" applyFont="1" applyNumberFormat="1"/>
    <xf numFmtId="0" fontId="19" fillId="38" borderId="0" xfId="0" applyFont="1" applyFill="1"/>
    <xf numFmtId="0" fontId="1" fillId="0" borderId="0" xfId="0" applyFont="1"/>
    <xf numFmtId="49" fontId="19" fillId="0" borderId="0" xfId="0" applyFont="1" applyNumberFormat="1">
      <alignment horizontal="left" vertical="top"/>
    </xf>
    <xf numFmtId="49" fontId="19" fillId="0" borderId="0" xfId="0" applyFont="1" applyNumberFormat="1">
      <alignment horizontal="left" vertical="top"/>
    </xf>
    <xf numFmtId="172"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4" fontId="19" fillId="0" borderId="0" xfId="0" applyFont="1" applyNumberFormat="1"/>
    <xf numFmtId="49" fontId="65" fillId="0" borderId="0" xfId="0" applyFont="1" applyNumberFormat="1">
      <alignment vertical="top" wrapText="1"/>
    </xf>
    <xf numFmtId="0" fontId="19" fillId="0" borderId="10" xfId="0" applyFont="1" applyBorder="1">
      <alignment horizontal="left" vertical="center" wrapText="1"/>
    </xf>
    <xf numFmtId="0" fontId="19" fillId="0" borderId="11" xfId="0" applyFont="1" applyBorder="1">
      <alignment horizontal="left" vertical="center" wrapText="1"/>
    </xf>
    <xf numFmtId="0" fontId="22" fillId="35" borderId="11" xfId="0" applyFont="1" applyFill="1" applyBorder="1">
      <alignment horizontal="left" vertical="center" wrapText="1"/>
    </xf>
    <xf numFmtId="0" fontId="19" fillId="0" borderId="11" xfId="0" applyFont="1" applyBorder="1">
      <alignment horizontal="left" vertical="center" wrapText="1" inden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172" fontId="19" fillId="34" borderId="11" xfId="0" applyFont="1" applyFill="1" applyBorder="1" applyNumberFormat="1">
      <alignment horizontal="right" vertical="center"/>
      <protection locked="0"/>
    </xf>
    <xf numFmtId="172" fontId="19" fillId="36" borderId="11" xfId="0" applyFont="1" applyFill="1" applyBorder="1" applyNumberFormat="1">
      <alignment vertical="center"/>
    </xf>
    <xf numFmtId="4" fontId="19" fillId="34" borderId="11" xfId="0" applyFont="1" applyFill="1" applyBorder="1" applyNumberFormat="1">
      <alignment horizontal="right" vertical="center"/>
      <protection locked="0"/>
    </xf>
    <xf numFmtId="4" fontId="19" fillId="34" borderId="11" xfId="0" applyFont="1" applyFill="1" applyBorder="1" applyNumberFormat="1">
      <alignment vertical="center"/>
      <protection locked="0"/>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left" vertical="center" indent="1"/>
    </xf>
    <xf numFmtId="0" fontId="19" fillId="0" borderId="23" xfId="0" applyFont="1" applyBorder="1">
      <alignment horizontal="left" vertical="center"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0" fontId="19" fillId="0" borderId="0" xfId="0" applyFont="1">
      <alignment vertical="top"/>
    </xf>
    <xf numFmtId="0" fontId="19" fillId="36" borderId="10" xfId="0" applyFont="1" applyFill="1" applyBorder="1">
      <alignment vertical="center"/>
    </xf>
    <xf numFmtId="0" fontId="19" fillId="36" borderId="55" xfId="0" applyFont="1" applyFill="1" applyBorder="1">
      <alignment vertical="center"/>
    </xf>
    <xf numFmtId="0" fontId="19" fillId="0" borderId="10" xfId="0" applyFont="1" applyBorder="1">
      <alignment horizontal="left" vertical="center" wrapText="1" indent="1"/>
    </xf>
    <xf numFmtId="0" fontId="19" fillId="35" borderId="10" xfId="0" applyFont="1" applyFill="1" applyBorder="1">
      <alignment horizontal="left" vertical="center" wrapText="1" indent="1"/>
    </xf>
    <xf numFmtId="172"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9" fontId="19" fillId="0" borderId="11" xfId="0" applyFont="1" applyBorder="1" applyNumberFormat="1">
      <alignment horizontal="left" vertical="center" wrapText="1"/>
    </xf>
    <xf numFmtId="0" fontId="21" fillId="11" borderId="11" xfId="0" applyFont="1" applyFill="1" applyBorder="1">
      <alignment horizontal="center" vertical="center" wrapText="1"/>
    </xf>
    <xf numFmtId="0" fontId="19" fillId="11" borderId="11"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0" fontId="19" fillId="11" borderId="10" xfId="0" applyFont="1" applyFill="1" applyBorder="1">
      <alignment horizontal="center" vertical="center" wrapText="1"/>
    </xf>
    <xf numFmtId="0" fontId="19" fillId="11" borderId="11" xfId="0" applyFont="1" applyFill="1" applyBorder="1">
      <alignment horizontal="center" vertical="center" wrapText="1"/>
    </xf>
    <xf numFmtId="0" fontId="19" fillId="11" borderId="37" xfId="0" applyFont="1" applyFill="1" applyBorder="1">
      <alignment horizontal="center" vertical="center" wrapText="1"/>
    </xf>
    <xf numFmtId="0" fontId="19"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49" fontId="19" fillId="0" borderId="38" xfId="0" applyFont="1" applyBorder="1" applyNumberFormat="1">
      <alignment horizontal="left" vertical="center" wrapText="1" indent="1"/>
    </xf>
    <xf numFmtId="49" fontId="19" fillId="0" borderId="11" xfId="0" applyFont="1" applyBorder="1" applyNumberFormat="1">
      <alignment horizontal="left" vertical="center" wrapText="1" indent="1"/>
    </xf>
    <xf numFmtId="49" fontId="22" fillId="0" borderId="0" xfId="0" applyFont="1" applyNumberFormat="1">
      <alignment vertical="top"/>
    </xf>
    <xf numFmtId="0" fontId="51" fillId="0" borderId="0" xfId="0" applyFont="1">
      <alignment wrapText="1"/>
    </xf>
    <xf numFmtId="49" fontId="54" fillId="0" borderId="0" xfId="0" applyFont="1" applyNumberFormat="1">
      <alignment wrapText="1"/>
    </xf>
    <xf numFmtId="49" fontId="54" fillId="0" borderId="0" xfId="0" applyFont="1" applyNumberFormat="1">
      <alignment vertical="center" wrapText="1"/>
    </xf>
    <xf numFmtId="49" fontId="52" fillId="0" borderId="0" xfId="0" applyFont="1" applyNumberFormat="1">
      <alignment wrapText="1"/>
    </xf>
    <xf numFmtId="49" fontId="54" fillId="0" borderId="0" xfId="0" applyFont="1" applyNumberFormat="1">
      <alignment horizontal="center" wrapText="1"/>
    </xf>
    <xf numFmtId="0" fontId="72" fillId="0" borderId="0" xfId="0" applyFont="1">
      <alignment horizontal="center" vertical="center" wrapText="1"/>
    </xf>
    <xf numFmtId="49" fontId="73" fillId="0" borderId="0" xfId="0" applyFont="1" applyNumberFormat="1">
      <alignment horizontal="center" wrapText="1"/>
    </xf>
    <xf numFmtId="49" fontId="54" fillId="0" borderId="0" xfId="0" applyFont="1" applyNumberFormat="1">
      <alignment horizontal="center" vertical="center" wrapText="1"/>
    </xf>
    <xf numFmtId="49" fontId="74" fillId="0" borderId="0" xfId="0" applyFont="1" applyNumberFormat="1">
      <alignment wrapText="1"/>
    </xf>
    <xf numFmtId="0" fontId="25" fillId="0" borderId="0" xfId="0" applyFont="1">
      <alignment horizontal="left" vertical="center" wrapText="1"/>
    </xf>
    <xf numFmtId="49" fontId="19" fillId="0" borderId="0" xfId="0" applyFont="1" applyNumberFormat="1">
      <alignment vertical="top" wrapText="1"/>
    </xf>
    <xf numFmtId="0" fontId="54" fillId="0" borderId="0" xfId="0" applyFont="1">
      <alignment wrapText="1"/>
    </xf>
    <xf numFmtId="0" fontId="72" fillId="0" borderId="0" xfId="0" applyFont="1">
      <alignment horizontal="left" vertical="center" wrapText="1"/>
    </xf>
    <xf numFmtId="0" fontId="75" fillId="0" borderId="0" xfId="0" applyFont="1">
      <alignment vertical="center" wrapText="1"/>
    </xf>
    <xf numFmtId="0" fontId="54" fillId="0" borderId="45" xfId="0" applyFont="1" applyBorder="1">
      <alignment wrapText="1"/>
    </xf>
    <xf numFmtId="0" fontId="54" fillId="0" borderId="0" xfId="0" applyFont="1"/>
    <xf numFmtId="0" fontId="72" fillId="0" borderId="0" xfId="0" applyFont="1"/>
    <xf numFmtId="0" fontId="56" fillId="0" borderId="0" xfId="0" applyFont="1">
      <alignment wrapText="1"/>
    </xf>
    <xf numFmtId="0" fontId="0" fillId="34" borderId="53" xfId="0" applyFont="1" applyFill="1" applyBorder="1">
      <alignment horizontal="center" vertical="center" wrapText="1"/>
    </xf>
    <xf numFmtId="0" fontId="0" fillId="46" borderId="53" xfId="0" applyFont="1" applyFill="1" applyBorder="1">
      <alignment horizontal="center" vertical="center" wrapText="1"/>
    </xf>
    <xf numFmtId="0" fontId="0" fillId="36" borderId="53" xfId="0" applyFont="1" applyFill="1" applyBorder="1">
      <alignment horizontal="center" vertical="center" wrapText="1"/>
    </xf>
    <xf numFmtId="0" fontId="0" fillId="42" borderId="53" xfId="0" applyFont="1" applyFill="1" applyBorder="1">
      <alignment horizontal="center" vertical="center" wrapText="1"/>
    </xf>
    <xf numFmtId="0" fontId="19" fillId="52" borderId="10" xfId="0" applyFont="1" applyFill="1" applyBorder="1">
      <alignment horizontal="center" vertical="center" wrapText="1"/>
    </xf>
    <xf numFmtId="0" fontId="19" fillId="50" borderId="10" xfId="0" applyFont="1" applyFill="1" applyBorder="1">
      <alignment horizontal="center" vertical="center" wrapText="1"/>
    </xf>
    <xf numFmtId="0" fontId="72" fillId="0" borderId="45" xfId="0" applyFont="1" applyBorder="1">
      <alignment horizontal="left" vertical="center" wrapText="1"/>
    </xf>
    <xf numFmtId="0" fontId="72" fillId="0" borderId="24" xfId="0" applyFont="1" applyBorder="1">
      <alignment horizontal="left" vertical="center" wrapText="1"/>
    </xf>
    <xf numFmtId="0" fontId="56" fillId="0" borderId="0" xfId="0" applyFont="1"/>
    <xf numFmtId="0" fontId="56" fillId="0" borderId="45" xfId="0" applyFont="1" applyBorder="1">
      <alignment wrapText="1"/>
    </xf>
    <xf numFmtId="0" fontId="54" fillId="0" borderId="31" xfId="0" applyFont="1" applyBorder="1">
      <alignment wrapText="1"/>
    </xf>
    <xf numFmtId="0" fontId="54" fillId="0" borderId="32" xfId="0" applyFont="1" applyBorder="1">
      <alignment wrapText="1"/>
    </xf>
    <xf numFmtId="0" fontId="54" fillId="0" borderId="32" xfId="0" applyFont="1" applyBorder="1">
      <alignment vertical="center" wrapText="1"/>
    </xf>
    <xf numFmtId="0" fontId="52" fillId="0" borderId="0" xfId="0" applyFont="1"/>
    <xf numFmtId="49" fontId="20" fillId="0" borderId="0" xfId="0" applyFont="1" applyNumberFormat="1"/>
    <xf numFmtId="0" fontId="19" fillId="52" borderId="11" xfId="0" applyFont="1" applyFill="1" applyBorder="1">
      <alignment horizontal="left" vertical="center" wrapText="1" indent="1"/>
    </xf>
    <xf numFmtId="0" fontId="21" fillId="0" borderId="0" xfId="0" applyFont="1"/>
    <xf numFmtId="0" fontId="21" fillId="0" borderId="0" xfId="0" applyFont="1">
      <alignment horizontal="left"/>
    </xf>
    <xf numFmtId="0" fontId="21" fillId="4" borderId="0" xfId="0" applyFont="1" applyFill="1"/>
    <xf numFmtId="0" fontId="0" fillId="25" borderId="0" xfId="0" applyFont="1" applyFill="1">
      <alignment horizontal="center"/>
    </xf>
    <xf numFmtId="0" fontId="0" fillId="0" borderId="0" xfId="0" applyFont="1">
      <alignment horizontal="left"/>
    </xf>
    <xf numFmtId="0" fontId="0" fillId="0" borderId="0" xfId="0" applyFont="1">
      <alignment horizontal="center" wrapText="1"/>
    </xf>
    <xf numFmtId="0" fontId="0" fillId="4" borderId="0" xfId="0" applyFont="1" applyFill="1">
      <alignment horizontal="center"/>
    </xf>
    <xf numFmtId="0" fontId="0" fillId="0" borderId="0" xfId="0" applyFont="1">
      <alignment horizontal="center"/>
    </xf>
    <xf numFmtId="0" fontId="21" fillId="43" borderId="0" xfId="0" applyFont="1" applyFill="1"/>
    <xf numFmtId="0" fontId="21" fillId="43" borderId="0" xfId="0" applyFont="1" applyFill="1">
      <alignment horizontal="left"/>
    </xf>
    <xf numFmtId="0" fontId="19" fillId="43" borderId="0" xfId="0" applyFont="1" applyFill="1"/>
    <xf numFmtId="0" fontId="21" fillId="43" borderId="0" xfId="0" applyFont="1" applyFill="1">
      <alignment wrapText="1"/>
    </xf>
    <xf numFmtId="0" fontId="21" fillId="4" borderId="0" xfId="0" applyFont="1" applyFill="1">
      <alignment horizontal="left"/>
    </xf>
    <xf numFmtId="0" fontId="19" fillId="4" borderId="0" xfId="0" applyFont="1" applyFill="1"/>
    <xf numFmtId="0" fontId="21" fillId="4" borderId="0" xfId="0" applyFont="1" applyFill="1">
      <alignment wrapText="1"/>
    </xf>
    <xf numFmtId="0" fontId="19" fillId="0" borderId="0" xfId="0" applyFont="1">
      <alignment vertical="center"/>
    </xf>
    <xf numFmtId="0" fontId="19" fillId="0" borderId="0" xfId="0" applyFont="1">
      <alignment horizontal="left" vertical="center"/>
    </xf>
    <xf numFmtId="0" fontId="0" fillId="0" borderId="0" xfId="0" applyFont="1">
      <alignment horizontal="left" vertical="center"/>
    </xf>
    <xf numFmtId="0" fontId="22" fillId="0" borderId="56" xfId="0" applyFont="1" applyBorder="1" quotePrefix="1">
      <alignment horizontal="left" vertical="center" indent="1"/>
    </xf>
    <xf numFmtId="0" fontId="39" fillId="0" borderId="56" xfId="0" applyFont="1" applyBorder="1">
      <alignment vertical="center"/>
    </xf>
    <xf numFmtId="0" fontId="39" fillId="0" borderId="56" xfId="0" applyFont="1" applyBorder="1"/>
    <xf numFmtId="0" fontId="21" fillId="43" borderId="0" xfId="0" applyFont="1" applyFill="1">
      <alignment horizontal="center"/>
    </xf>
    <xf numFmtId="0" fontId="19" fillId="0" borderId="0" xfId="0" applyFont="1">
      <alignment horizontal="center"/>
    </xf>
    <xf numFmtId="0" fontId="0" fillId="0" borderId="0" xfId="0" applyFont="1">
      <alignment horizontal="center" vertical="center"/>
    </xf>
    <xf numFmtId="0" fontId="30" fillId="0" borderId="0" xfId="0" applyFont="1">
      <alignment vertical="center" wrapText="1"/>
    </xf>
    <xf numFmtId="0" fontId="21" fillId="4" borderId="0" xfId="0" applyFont="1" applyFill="1">
      <alignment horizontal="center"/>
    </xf>
    <xf numFmtId="0" fontId="19" fillId="0" borderId="11" xfId="0" applyFont="1" applyBorder="1">
      <alignment horizontal="center" vertical="center" wrapText="1"/>
    </xf>
    <xf numFmtId="0" fontId="19" fillId="53" borderId="11" xfId="0" applyFont="1" applyFill="1" applyBorder="1">
      <alignment horizontal="center" vertical="center" wrapText="1"/>
    </xf>
    <xf numFmtId="0" fontId="21" fillId="0" borderId="11" xfId="0" applyFont="1" applyBorder="1">
      <alignment horizontal="center" vertical="center" wrapText="1"/>
    </xf>
    <xf numFmtId="0" fontId="21" fillId="53" borderId="57" xfId="0" applyFont="1" applyFill="1" applyBorder="1">
      <alignment horizontal="center" vertical="center" wrapText="1"/>
    </xf>
    <xf numFmtId="0" fontId="19" fillId="0" borderId="0" xfId="0" applyFont="1">
      <alignment vertical="top"/>
    </xf>
    <xf numFmtId="0" fontId="0" fillId="0" borderId="0" xfId="0" applyFont="1">
      <alignment horizontal="center" vertical="top"/>
    </xf>
    <xf numFmtId="0" fontId="19" fillId="43" borderId="0" xfId="0" applyFont="1" applyFill="1">
      <alignment vertical="top"/>
    </xf>
    <xf numFmtId="0" fontId="19" fillId="0" borderId="58" xfId="0" applyFont="1" applyBorder="1">
      <alignment horizontal="center" vertical="center" wrapText="1"/>
    </xf>
    <xf numFmtId="0" fontId="21" fillId="0" borderId="0" xfId="0" applyFont="1">
      <alignment vertical="center" wrapText="1"/>
    </xf>
    <xf numFmtId="0" fontId="21" fillId="0" borderId="0" xfId="0" applyFont="1">
      <alignment horizontal="right" vertical="center"/>
    </xf>
    <xf numFmtId="49" fontId="19" fillId="4" borderId="0" xfId="0" applyFont="1" applyFill="1" applyNumberFormat="1">
      <alignment vertical="top"/>
    </xf>
    <xf numFmtId="0" fontId="0" fillId="0" borderId="0" xfId="0" applyFont="1">
      <alignment horizontal="center" vertical="center" wrapText="1"/>
    </xf>
    <xf numFmtId="0" fontId="21" fillId="43" borderId="0" xfId="0" applyFont="1" applyFill="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21" fillId="4" borderId="0" xfId="0" applyFont="1" applyFill="1">
      <alignment vertical="center" wrapText="1"/>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protection locked="0"/>
    </xf>
    <xf numFmtId="0" fontId="21" fillId="0" borderId="11" xfId="0" applyFont="1" applyBorder="1">
      <alignment horizontal="left" vertical="center" wrapText="1"/>
    </xf>
    <xf numFmtId="0" fontId="21" fillId="0" borderId="0" xfId="0" applyFont="1">
      <alignment wrapText="1"/>
    </xf>
    <xf numFmtId="49" fontId="19" fillId="0" borderId="0" xfId="50" applyFont="1" applyNumberFormat="1">
      <alignment horizontal="left" vertical="center"/>
    </xf>
    <xf numFmtId="49" fontId="0" fillId="0" borderId="18" xfId="0" applyFont="1" applyBorder="1" applyNumberFormat="1">
      <alignment horizontal="center" vertical="center" wrapText="1"/>
    </xf>
    <xf numFmtId="49" fontId="0" fillId="0" borderId="32" xfId="0" applyFont="1" applyBorder="1" applyNumberFormat="1">
      <alignment horizontal="center" vertical="center" wrapText="1"/>
    </xf>
    <xf numFmtId="3" fontId="0" fillId="0" borderId="18" xfId="0" applyFont="1" applyBorder="1" applyNumberFormat="1">
      <alignment horizontal="center" vertical="center" wrapText="1"/>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0" fillId="42" borderId="10" xfId="0" applyFont="1" applyFill="1" applyBorder="1">
      <alignment horizontal="left" vertical="center" wrapText="1"/>
      <protection locked="0"/>
    </xf>
    <xf numFmtId="0" fontId="0" fillId="34" borderId="10" xfId="0" applyFont="1" applyFill="1" applyBorder="1">
      <alignment horizontal="left" vertical="center" wrapText="1"/>
      <protection locked="0"/>
    </xf>
    <xf numFmtId="3" fontId="0" fillId="34" borderId="10" xfId="0" applyFont="1" applyFill="1" applyBorder="1" applyNumberFormat="1">
      <alignment horizontal="left" vertical="center" wrapText="1"/>
      <protection locked="0"/>
    </xf>
    <xf numFmtId="4" fontId="0" fillId="34" borderId="10" xfId="0" applyFont="1" applyFill="1" applyBorder="1" applyNumberFormat="1">
      <alignment horizontal="right" vertical="center" wrapText="1"/>
      <protection locked="0"/>
    </xf>
    <xf numFmtId="0" fontId="0" fillId="34" borderId="10" xfId="0" applyFont="1" applyFill="1" applyBorder="1">
      <alignment horizontal="left" vertical="center" wrapText="1" indent="1"/>
      <protection locked="0"/>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protection locked="0"/>
    </xf>
    <xf numFmtId="172" fontId="0" fillId="34" borderId="11" xfId="0" applyFont="1" applyFill="1" applyBorder="1" applyNumberFormat="1">
      <alignment vertical="center" wrapText="1"/>
      <protection locked="0"/>
    </xf>
    <xf numFmtId="49" fontId="0" fillId="34" borderId="10" xfId="0" applyFont="1" applyFill="1" applyBorder="1" applyNumberFormat="1">
      <alignment horizontal="left" vertical="center" wrapText="1"/>
      <protection locked="0"/>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19" fillId="0" borderId="0" xfId="0" applyFont="1">
      <alignment vertical="top"/>
    </xf>
    <xf numFmtId="0" fontId="21" fillId="0" borderId="0" xfId="0" applyFont="1">
      <alignment wrapText="1"/>
    </xf>
    <xf numFmtId="49" fontId="50" fillId="0" borderId="0" xfId="0" applyFont="1" applyNumberFormat="1">
      <alignment horizontal="center" vertical="center" wrapText="1"/>
    </xf>
    <xf numFmtId="4" fontId="22" fillId="34" borderId="10" xfId="0" applyFont="1" applyFill="1" applyBorder="1" applyNumberFormat="1">
      <alignment horizontal="right" vertical="center"/>
      <protection locked="0"/>
    </xf>
    <xf numFmtId="0" fontId="0" fillId="25" borderId="0" xfId="0" applyFont="1" applyFill="1">
      <alignment horizontal="center"/>
    </xf>
    <xf numFmtId="49" fontId="19" fillId="4" borderId="0" xfId="0" applyFont="1" applyFill="1" applyNumberFormat="1">
      <alignment vertical="top"/>
    </xf>
    <xf numFmtId="0" fontId="19" fillId="43" borderId="0" xfId="0" applyFont="1" applyFill="1">
      <alignment vertical="top"/>
    </xf>
    <xf numFmtId="49" fontId="19" fillId="43" borderId="0" xfId="0" applyFont="1" applyFill="1" applyNumberFormat="1">
      <alignment vertical="top"/>
    </xf>
    <xf numFmtId="0" fontId="19" fillId="4" borderId="0" xfId="0" applyFont="1" applyFill="1">
      <alignment vertical="top"/>
    </xf>
    <xf numFmtId="0" fontId="0" fillId="0" borderId="0" xfId="0" applyFont="1">
      <alignment horizontal="center"/>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 fontId="19" fillId="34" borderId="46" xfId="0" applyFont="1" applyFill="1" applyBorder="1" applyNumberFormat="1">
      <alignment horizontal="right" vertical="center" wrapText="1"/>
      <protection locked="0"/>
    </xf>
    <xf numFmtId="172" fontId="19" fillId="36" borderId="11" xfId="0" applyFont="1" applyFill="1" applyBorder="1" applyNumberFormat="1">
      <alignment horizontal="right" vertical="center" wrapText="1"/>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xf numFmtId="0" fontId="19" fillId="0" borderId="10" xfId="0" applyFont="1" applyBorder="1">
      <alignment horizontal="center" vertical="center"/>
    </xf>
    <xf numFmtId="49" fontId="0" fillId="0" borderId="0" xfId="0" applyFont="1" applyNumberFormat="1">
      <alignment horizontal="center" vertical="top"/>
    </xf>
    <xf numFmtId="49" fontId="19" fillId="43" borderId="0" xfId="0" applyFont="1" applyFill="1" applyNumberFormat="1">
      <alignment vertical="top"/>
    </xf>
    <xf numFmtId="0" fontId="0" fillId="25" borderId="0" xfId="0" applyFont="1" applyFill="1">
      <alignment horizontal="center" vertical="center"/>
    </xf>
    <xf numFmtId="0" fontId="21" fillId="4" borderId="0" xfId="0" applyFont="1" applyFill="1"/>
    <xf numFmtId="0" fontId="37" fillId="40" borderId="24" xfId="0" applyFont="1" applyFill="1" applyBorder="1">
      <alignment horizontal="left" vertical="center"/>
    </xf>
    <xf numFmtId="0" fontId="50" fillId="0" borderId="0" xfId="0" applyFont="1">
      <alignment horizontal="center" vertical="center"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4" fillId="0" borderId="0" xfId="0" applyFont="1">
      <alignment vertical="center"/>
    </xf>
    <xf numFmtId="4" fontId="22" fillId="34" borderId="10" xfId="0" applyFont="1" applyFill="1" applyBorder="1" applyNumberFormat="1">
      <alignment horizontal="right" vertical="center"/>
      <protection locked="0"/>
    </xf>
    <xf numFmtId="0" fontId="21" fillId="0" borderId="0" xfId="0" applyFont="1">
      <alignment vertical="top" wrapText="1"/>
    </xf>
    <xf numFmtId="0" fontId="36" fillId="0" borderId="0" xfId="0" applyFont="1">
      <alignment horizontal="center"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4" fontId="22"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2" fillId="34" borderId="10" xfId="0" applyFont="1" applyFill="1" applyBorder="1" applyNumberFormat="1">
      <alignment horizontal="right" vertical="center"/>
    </xf>
    <xf numFmtId="172" fontId="19" fillId="34" borderId="22" xfId="0" applyFont="1" applyFill="1" applyBorder="1" applyNumberFormat="1">
      <alignment horizontal="right" vertical="center"/>
      <protection locked="0"/>
    </xf>
    <xf numFmtId="0" fontId="0" fillId="25" borderId="0" xfId="0" applyFont="1" applyFill="1">
      <alignment horizontal="center" vertical="center"/>
    </xf>
    <xf numFmtId="4" fontId="37" fillId="40"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protection locked="0"/>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9" fontId="22" fillId="0" borderId="11" xfId="0" applyFont="1" applyBorder="1" applyNumberFormat="1">
      <alignment horizontal="left" vertical="center" wrapText="1" shrinkToFit="1" indent="2"/>
    </xf>
    <xf numFmtId="49" fontId="19" fillId="0" borderId="0" xfId="0" applyFont="1" applyNumberFormat="1">
      <alignment vertical="top"/>
    </xf>
    <xf numFmtId="0" fontId="19" fillId="0" borderId="11" xfId="0" applyFont="1" applyBorder="1">
      <alignment horizontal="left" vertical="center" wrapText="1" shrinkToFit="1" indent="1"/>
    </xf>
    <xf numFmtId="0" fontId="21" fillId="0" borderId="0" xfId="0" applyFont="1">
      <alignment vertical="top" wrapText="1"/>
    </xf>
    <xf numFmtId="0" fontId="22" fillId="0" borderId="0" xfId="0" applyFont="1">
      <alignment horizontal="center" vertical="center" wrapText="1" shrinkToFit="1"/>
    </xf>
    <xf numFmtId="49" fontId="22" fillId="0" borderId="0" xfId="0" applyFont="1" applyNumberFormat="1">
      <alignment horizontal="left" vertical="center" wrapText="1" shrinkToFit="1"/>
    </xf>
    <xf numFmtId="49" fontId="22" fillId="0" borderId="0" xfId="0" applyFont="1" applyNumberFormat="1">
      <alignment horizontal="center" vertical="center" wrapText="1" shrinkToFi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50" fillId="0" borderId="0" xfId="0" applyFont="1">
      <alignment horizontal="center" vertical="center"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49" fontId="19" fillId="0" borderId="11" xfId="0" applyFont="1" applyBorder="1" applyNumberFormat="1">
      <alignment horizontal="left" vertical="center" wrapText="1" indent="1"/>
    </xf>
    <xf numFmtId="0" fontId="50" fillId="0" borderId="0" xfId="0" applyFont="1">
      <alignment horizontal="center" vertical="center" wrapText="1"/>
    </xf>
    <xf numFmtId="0" fontId="19" fillId="0" borderId="11" xfId="0" applyFont="1" applyBorder="1">
      <alignment horizontal="right" vertical="center" wrapText="1" indent="1"/>
    </xf>
    <xf numFmtId="0" fontId="21" fillId="0" borderId="0" xfId="0" applyFont="1">
      <alignment horizontal="center"/>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0" xfId="0" applyFont="1">
      <alignment horizontal="center"/>
    </xf>
    <xf numFmtId="0" fontId="19" fillId="0" borderId="0" xfId="0" applyFont="1">
      <alignment horizontal="center"/>
    </xf>
    <xf numFmtId="0" fontId="1" fillId="0" borderId="0" xfId="0" applyFont="1"/>
    <xf numFmtId="0" fontId="51" fillId="0" borderId="0" xfId="0" applyFont="1">
      <alignment wrapText="1"/>
    </xf>
    <xf numFmtId="0" fontId="19" fillId="0" borderId="0" xfId="0" applyFont="1">
      <alignment horizontal="left" vertical="center"/>
    </xf>
    <xf numFmtId="0" fontId="21" fillId="0" borderId="0" xfId="0" applyFont="1">
      <alignment wrapText="1"/>
    </xf>
    <xf numFmtId="0" fontId="21" fillId="0" borderId="0" xfId="0" applyFont="1">
      <alignment vertical="center"/>
    </xf>
    <xf numFmtId="0" fontId="21" fillId="43" borderId="0" xfId="0" applyFont="1" applyFill="1">
      <alignment vertical="center"/>
    </xf>
    <xf numFmtId="0" fontId="21" fillId="4" borderId="0" xfId="0" applyFont="1" applyFill="1">
      <alignment vertical="center"/>
    </xf>
    <xf numFmtId="0" fontId="21" fillId="0" borderId="0" xfId="0" applyFont="1"/>
    <xf numFmtId="49" fontId="40" fillId="0" borderId="13" xfId="0" applyFont="1" applyBorder="1" applyNumberFormat="1" quotePrefix="1">
      <alignment horizontal="left" vertical="center"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 fillId="0" borderId="13" xfId="0" applyFont="1" applyBorder="1"/>
    <xf numFmtId="0" fontId="29" fillId="0" borderId="0" xfId="0" applyFont="1">
      <alignment vertical="center"/>
    </xf>
    <xf numFmtId="49" fontId="38" fillId="41" borderId="32" xfId="0" applyFont="1" applyFill="1" applyBorder="1" applyNumberFormat="1">
      <alignment vertical="center"/>
    </xf>
    <xf numFmtId="49" fontId="36" fillId="0" borderId="0" xfId="0" applyFont="1" applyNumberForma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11" borderId="37"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left" vertical="center"/>
    </xf>
    <xf numFmtId="0" fontId="40" fillId="0" borderId="0" xfId="0" applyFont="1">
      <alignment horizontal="left" vertical="center"/>
    </xf>
    <xf numFmtId="0" fontId="50" fillId="0" borderId="52" xfId="0" applyFont="1" applyBorder="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0" borderId="12"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21" fillId="41" borderId="29" xfId="0" applyFont="1" applyFill="1" applyBorder="1" applyNumberFormat="1">
      <alignment horizontal="right" vertical="center" wrapTex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protection locked="0"/>
    </xf>
    <xf numFmtId="4" fontId="40" fillId="0" borderId="18" xfId="0" applyFont="1" applyBorder="1" applyNumberFormat="1">
      <alignment horizontal="right" vertical="center" wrapText="1"/>
    </xf>
    <xf numFmtId="0" fontId="29" fillId="0" borderId="0" xfId="0" applyFont="1">
      <alignment horizontal="left" vertical="center"/>
    </xf>
    <xf numFmtId="0" fontId="19" fillId="43" borderId="0" xfId="0" applyFont="1" applyFill="1">
      <alignment vertical="center"/>
    </xf>
    <xf numFmtId="0" fontId="19" fillId="0" borderId="0" xfId="0" applyFont="1">
      <alignment vertical="center"/>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29" xfId="0" applyFont="1" applyFill="1" applyBorder="1">
      <alignment vertical="center"/>
    </xf>
    <xf numFmtId="0" fontId="19" fillId="11" borderId="37" xfId="0" applyFont="1" applyFill="1" applyBorder="1">
      <alignment horizontal="center" vertical="center" wrapText="1"/>
    </xf>
    <xf numFmtId="0" fontId="19" fillId="0" borderId="0" xfId="0" applyFont="1">
      <alignment horizontal="center" vertical="center" wrapText="1"/>
    </xf>
    <xf numFmtId="0" fontId="36" fillId="0" borderId="0" xfId="0" applyFon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4" fontId="21"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0" fontId="72" fillId="0" borderId="0" xfId="0" applyFont="1">
      <alignment vertical="center" wrapText="1"/>
    </xf>
    <xf numFmtId="0" fontId="25" fillId="0" borderId="0" xfId="0" applyFont="1">
      <alignment vertical="center"/>
    </xf>
    <xf numFmtId="0" fontId="28" fillId="54" borderId="61" xfId="0" applyFont="1" applyFill="1" applyBorder="1">
      <alignment horizontal="center" vertical="center" wrapText="1"/>
    </xf>
    <xf numFmtId="0" fontId="28" fillId="54" borderId="62" xfId="0" applyFont="1" applyFill="1" applyBorder="1">
      <alignment horizontal="center" vertical="center" wrapText="1"/>
    </xf>
    <xf numFmtId="0" fontId="28" fillId="54" borderId="63" xfId="0" applyFont="1" applyFill="1" applyBorder="1">
      <alignment horizontal="center" vertical="center" wrapText="1"/>
    </xf>
    <xf numFmtId="0" fontId="28" fillId="43" borderId="45" xfId="0" applyFont="1" applyFill="1" applyBorder="1">
      <alignment horizontal="right" vertical="center" wrapText="1" indent="1"/>
    </xf>
    <xf numFmtId="0" fontId="28" fillId="43" borderId="64" xfId="0" applyFont="1" applyFill="1" applyBorder="1">
      <alignment horizontal="right" vertical="center" wrapText="1" indent="1"/>
    </xf>
    <xf numFmtId="0" fontId="28" fillId="43" borderId="0" xfId="0" applyFont="1" applyFill="1">
      <alignment horizontal="right" vertical="center" wrapText="1" indent="1"/>
    </xf>
    <xf numFmtId="0" fontId="56" fillId="0" borderId="45" xfId="0" applyFont="1" applyBorder="1">
      <alignment vertical="center" wrapText="1"/>
    </xf>
    <xf numFmtId="0" fontId="56" fillId="0" borderId="0" xfId="0" applyFont="1">
      <alignment vertical="center" wrapText="1"/>
    </xf>
    <xf numFmtId="0" fontId="56" fillId="0" borderId="45" xfId="0" applyFont="1" applyBorder="1">
      <alignment horizontal="left" vertical="center" wrapText="1"/>
    </xf>
    <xf numFmtId="0" fontId="56" fillId="0" borderId="0" xfId="0" applyFont="1">
      <alignment horizontal="left" vertical="center" wrapText="1"/>
    </xf>
    <xf numFmtId="0" fontId="76" fillId="0" borderId="0" xfId="0" applyFont="1">
      <alignment vertical="top" wrapText="1"/>
    </xf>
    <xf numFmtId="0" fontId="28" fillId="43" borderId="53" xfId="0" applyFont="1" applyFill="1" applyBorder="1">
      <alignment horizontal="right" vertical="center" wrapText="1" indent="1"/>
    </xf>
    <xf numFmtId="0" fontId="28" fillId="43" borderId="65" xfId="0" applyFont="1" applyFill="1" applyBorder="1">
      <alignment horizontal="right" vertical="center" wrapText="1" indent="1"/>
    </xf>
    <xf numFmtId="0" fontId="28" fillId="43" borderId="31" xfId="0" applyFont="1" applyFill="1" applyBorder="1">
      <alignment horizontal="right" vertical="center" wrapText="1" indent="1"/>
    </xf>
    <xf numFmtId="0" fontId="28" fillId="43" borderId="32" xfId="0" applyFont="1" applyFill="1" applyBorder="1">
      <alignment horizontal="right" vertical="center" wrapText="1" indent="1"/>
    </xf>
    <xf numFmtId="0" fontId="56" fillId="0" borderId="0" xfId="0" applyFont="1">
      <alignment vertical="top" wrapText="1"/>
    </xf>
    <xf numFmtId="49" fontId="54" fillId="0" borderId="0" xfId="0" applyFont="1" applyNumberFormat="1">
      <alignment vertical="top" wrapText="1"/>
    </xf>
    <xf numFmtId="0" fontId="19" fillId="0" borderId="11" xfId="0" applyFont="1" applyBorder="1">
      <alignment horizontal="right" vertical="center" wrapText="1" indent="1"/>
    </xf>
    <xf numFmtId="0" fontId="50" fillId="0" borderId="52" xfId="0" applyFont="1" applyBorder="1">
      <alignment horizontal="center" vertical="top" wrapText="1"/>
    </xf>
    <xf numFmtId="0" fontId="19" fillId="0" borderId="12" xfId="0" applyFont="1" applyBorder="1">
      <alignment horizontal="center" vertical="center" textRotation="90" wrapText="1"/>
    </xf>
    <xf numFmtId="0" fontId="19" fillId="0" borderId="66" xfId="0" applyFont="1" applyBorder="1">
      <alignment horizontal="center" vertical="center" textRotation="90" wrapText="1"/>
    </xf>
    <xf numFmtId="0" fontId="19" fillId="0" borderId="46" xfId="0" applyFont="1" applyBorder="1">
      <alignment horizontal="center" vertical="center" textRotation="90" wrapText="1"/>
    </xf>
    <xf numFmtId="0" fontId="19" fillId="0" borderId="11" xfId="0" applyFont="1" applyBorder="1">
      <alignment horizontal="center" vertical="center" textRotation="90" wrapText="1"/>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0" fontId="19" fillId="0" borderId="68" xfId="0" applyFont="1" applyBorder="1">
      <alignment horizontal="right" vertical="center" wrapText="1" indent="1"/>
    </xf>
    <xf numFmtId="0" fontId="19" fillId="0" borderId="49" xfId="0" applyFont="1" applyBorder="1">
      <alignment horizontal="right" vertical="center" wrapText="1" indent="1"/>
    </xf>
    <xf numFmtId="0" fontId="19" fillId="0" borderId="37" xfId="0" applyFont="1" applyBorder="1">
      <alignment horizontal="right" vertical="center" wrapText="1" indent="1"/>
    </xf>
    <xf numFmtId="0" fontId="19" fillId="0" borderId="38" xfId="0" applyFont="1" applyBorder="1">
      <alignment horizontal="right" vertical="center" wrapText="1" indent="1"/>
    </xf>
    <xf numFmtId="0" fontId="19" fillId="0" borderId="23" xfId="0" applyFont="1" applyBorder="1">
      <alignment horizontal="right" vertical="center" wrapText="1" indent="1"/>
    </xf>
    <xf numFmtId="0" fontId="21" fillId="0" borderId="11" xfId="0" applyFont="1" applyBorder="1">
      <alignment horizontal="right" vertical="center" wrapText="1" indent="1"/>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49" fontId="40" fillId="55" borderId="11" xfId="0" applyFont="1" applyFill="1" applyBorder="1" applyNumberFormat="1">
      <alignment horizontal="center" vertical="center" wrapText="1"/>
    </xf>
    <xf numFmtId="0" fontId="22" fillId="42" borderId="11" xfId="0" applyFont="1" applyFill="1" applyBorder="1">
      <alignment horizontal="center" vertical="center"/>
      <protection locked="0"/>
    </xf>
    <xf numFmtId="49" fontId="40" fillId="56" borderId="11" xfId="0" applyFont="1" applyFill="1" applyBorder="1" applyNumberFormat="1">
      <alignment horizontal="center" vertical="center" wrapText="1"/>
    </xf>
    <xf numFmtId="0" fontId="22" fillId="50" borderId="11" xfId="0" applyFont="1" applyFill="1" applyBorder="1">
      <alignment horizontal="center" vertical="center"/>
    </xf>
    <xf numFmtId="0" fontId="40" fillId="55" borderId="11" xfId="0" applyFont="1" applyFill="1" applyBorder="1">
      <alignment horizontal="center" vertical="center" wrapText="1"/>
    </xf>
    <xf numFmtId="0" fontId="22" fillId="55" borderId="11" xfId="0" applyFont="1" applyFill="1" applyBorder="1">
      <alignment horizontal="center" vertical="center" wrapText="1"/>
    </xf>
    <xf numFmtId="0" fontId="19" fillId="0" borderId="37" xfId="0" applyFont="1" applyBorder="1">
      <alignment vertical="center"/>
    </xf>
    <xf numFmtId="0" fontId="19" fillId="0" borderId="38" xfId="0" applyFont="1" applyBorder="1">
      <alignment vertical="center"/>
    </xf>
    <xf numFmtId="0" fontId="19" fillId="0" borderId="23" xfId="0" applyFont="1" applyBorder="1">
      <alignment vertical="center"/>
    </xf>
    <xf numFmtId="0" fontId="23" fillId="0" borderId="0" xfId="0" applyFont="1">
      <alignment horizontal="center" vertical="center"/>
    </xf>
    <xf numFmtId="49" fontId="22" fillId="55" borderId="11" xfId="0" applyFont="1" applyFill="1" applyBorder="1" applyNumberFormat="1">
      <alignment horizontal="left" vertical="center" wrapText="1" indent="4"/>
    </xf>
    <xf numFmtId="0" fontId="23" fillId="0" borderId="66" xfId="0" applyFont="1" applyBorder="1">
      <alignment vertical="center" wrapText="1"/>
    </xf>
    <xf numFmtId="0" fontId="22" fillId="0" borderId="0" xfId="0" applyFont="1">
      <alignment vertical="center" wrapText="1"/>
    </xf>
    <xf numFmtId="0" fontId="23" fillId="0" borderId="12" xfId="0" applyFont="1" applyBorder="1">
      <alignment vertical="center" wrapText="1"/>
    </xf>
    <xf numFmtId="0" fontId="23" fillId="0" borderId="0" xfId="0" applyFont="1">
      <alignment horizontal="center" vertical="top"/>
    </xf>
    <xf numFmtId="49" fontId="65" fillId="0" borderId="0" xfId="0" applyFont="1" applyNumberFormat="1">
      <alignment horizontal="center" vertical="top" wrapText="1"/>
    </xf>
    <xf numFmtId="0" fontId="19" fillId="0" borderId="45" xfId="0" applyFont="1" applyBorder="1">
      <alignment horizontal="center" vertical="center" wrapText="1"/>
    </xf>
    <xf numFmtId="0" fontId="19" fillId="0" borderId="64" xfId="0" applyFont="1" applyBorder="1">
      <alignment horizontal="center" vertical="center" wrapText="1"/>
    </xf>
    <xf numFmtId="0" fontId="19" fillId="0" borderId="31" xfId="0" applyFont="1" applyBorder="1">
      <alignment horizontal="center" vertical="center" wrapText="1"/>
    </xf>
    <xf numFmtId="0" fontId="19" fillId="0" borderId="60" xfId="0" applyFont="1" applyBorder="1">
      <alignment horizontal="center" vertical="center" wrapText="1"/>
    </xf>
    <xf numFmtId="49" fontId="19" fillId="0" borderId="10" xfId="0" applyFont="1" applyBorder="1" applyNumberFormat="1">
      <alignment horizontal="right" vertical="center" wrapText="1"/>
    </xf>
    <xf numFmtId="0" fontId="23" fillId="0" borderId="46" xfId="0" applyFont="1" applyBorder="1">
      <alignment vertical="center" wrapText="1"/>
    </xf>
    <xf numFmtId="0" fontId="40" fillId="55" borderId="12" xfId="0" applyFont="1" applyFill="1" applyBorder="1">
      <alignment horizontal="left" vertical="center" wrapText="1" indent="4"/>
    </xf>
    <xf numFmtId="0" fontId="40" fillId="55" borderId="11" xfId="0" applyFont="1" applyFill="1" applyBorder="1">
      <alignment horizontal="left" vertical="center" wrapText="1" indent="4"/>
    </xf>
    <xf numFmtId="0" fontId="19" fillId="42" borderId="53" xfId="0" applyFont="1" applyFill="1" applyBorder="1">
      <alignment horizontal="center" vertical="center" wrapText="1"/>
      <protection locked="0"/>
    </xf>
    <xf numFmtId="0" fontId="19" fillId="42" borderId="65" xfId="0" applyFont="1" applyFill="1" applyBorder="1">
      <alignment horizontal="center" vertical="center" wrapText="1"/>
      <protection locked="0"/>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19" fillId="42" borderId="31" xfId="0" applyFont="1" applyFill="1" applyBorder="1">
      <alignment horizontal="center" vertical="center" wrapText="1"/>
      <protection locked="0"/>
    </xf>
    <xf numFmtId="0" fontId="19" fillId="42" borderId="60" xfId="0" applyFont="1" applyFill="1" applyBorder="1">
      <alignment horizontal="center" vertical="center" wrapText="1"/>
      <protection locked="0"/>
    </xf>
    <xf numFmtId="0" fontId="23" fillId="0" borderId="64" xfId="0" applyFont="1" applyBorder="1">
      <alignment horizontal="center" vertical="center"/>
    </xf>
    <xf numFmtId="0" fontId="22" fillId="0" borderId="13" xfId="0" applyFont="1" applyBorder="1" quotePrefix="1">
      <alignment horizontal="left" vertical="center" wrapText="1" indent="1"/>
    </xf>
    <xf numFmtId="0" fontId="22" fillId="0" borderId="13" xfId="0" applyFont="1" applyBorder="1">
      <alignment horizontal="left" vertical="center" wrapText="1" indent="1"/>
    </xf>
    <xf numFmtId="0" fontId="21" fillId="0" borderId="0" xfId="0" applyFont="1">
      <alignment horizontal="center" vertical="top" wrapText="1"/>
    </xf>
    <xf numFmtId="0" fontId="70" fillId="0" borderId="0" xfId="0" applyFont="1">
      <alignment horizontal="center" vertical="center" wrapText="1"/>
    </xf>
    <xf numFmtId="0" fontId="21" fillId="0" borderId="0" xfId="0" applyFont="1">
      <alignment horizontal="center" vertical="center"/>
    </xf>
    <xf numFmtId="0" fontId="21" fillId="0" borderId="0" xfId="0" applyFont="1">
      <alignment horizontal="center"/>
    </xf>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19" fillId="0" borderId="33" xfId="0" applyFont="1" applyBorder="1">
      <alignment horizontal="center" vertical="center" wrapText="1"/>
    </xf>
    <xf numFmtId="0" fontId="19" fillId="0" borderId="41" xfId="0" applyFont="1" applyBorder="1">
      <alignment horizontal="center" vertical="center" wrapText="1"/>
    </xf>
    <xf numFmtId="0" fontId="19" fillId="0" borderId="69" xfId="0" applyFont="1" applyBorder="1">
      <alignment horizontal="center" vertical="center" wrapText="1"/>
    </xf>
    <xf numFmtId="0" fontId="19" fillId="34" borderId="19" xfId="0" applyFont="1" applyFill="1" applyBorder="1">
      <alignment horizontal="left" vertical="center" wrapText="1"/>
      <protection locked="0"/>
    </xf>
    <xf numFmtId="0" fontId="19" fillId="34" borderId="20" xfId="0" applyFont="1" applyFill="1" applyBorder="1">
      <alignment horizontal="left" vertical="center" wrapText="1"/>
      <protection locked="0"/>
    </xf>
    <xf numFmtId="0" fontId="19" fillId="34" borderId="21" xfId="0" applyFont="1" applyFill="1" applyBorder="1">
      <alignment horizontal="left" vertical="center" wrapText="1"/>
      <protection locked="0"/>
    </xf>
    <xf numFmtId="0" fontId="19" fillId="34" borderId="7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51" xfId="0" applyFont="1" applyFill="1" applyBorder="1">
      <alignment horizontal="left" vertical="center" wrapText="1"/>
      <protection locked="0"/>
    </xf>
    <xf numFmtId="49" fontId="22" fillId="0" borderId="0" xfId="0" applyFont="1" applyNumberFormat="1">
      <alignment horizontal="center" vertical="center" wrapText="1" shrinkToFit="1"/>
    </xf>
    <xf numFmtId="49" fontId="19" fillId="0" borderId="11" xfId="0" applyFont="1" applyBorder="1" applyNumberFormat="1">
      <alignment horizontal="center" vertical="center" wrapText="1"/>
    </xf>
    <xf numFmtId="0" fontId="21" fillId="0" borderId="12" xfId="0" applyFont="1" applyBorder="1">
      <alignment horizontal="center" vertical="center" wrapText="1"/>
    </xf>
    <xf numFmtId="0" fontId="21" fillId="0" borderId="46" xfId="0" applyFont="1" applyBorder="1">
      <alignment horizontal="center" vertical="center" wrapText="1"/>
    </xf>
    <xf numFmtId="0" fontId="21" fillId="0" borderId="0" xfId="0" applyFont="1">
      <alignment horizontal="center" vertical="top"/>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10" xfId="0" applyFont="1" applyBorder="1">
      <alignment horizontal="center" vertical="center" wrapText="1"/>
    </xf>
    <xf numFmtId="0" fontId="21" fillId="0" borderId="11" xfId="0" applyFont="1" applyBorder="1">
      <alignment horizontal="center" vertical="center" wrapText="1"/>
    </xf>
    <xf numFmtId="0" fontId="21" fillId="0" borderId="30" xfId="0" applyFont="1" applyBorder="1">
      <alignment horizontal="center" vertical="center" wrapText="1"/>
    </xf>
    <xf numFmtId="0" fontId="19" fillId="33" borderId="10" xfId="0" applyFont="1" applyFill="1" applyBorder="1">
      <alignment horizontal="center" vertical="center" wrapText="1"/>
    </xf>
    <xf numFmtId="0" fontId="19" fillId="0" borderId="22" xfId="0" applyFont="1" applyBorder="1">
      <alignment horizontal="center" vertical="center" wrapText="1"/>
    </xf>
    <xf numFmtId="0" fontId="77" fillId="0" borderId="22" xfId="0" applyFont="1" applyBorder="1">
      <alignment vertical="center"/>
    </xf>
    <xf numFmtId="0" fontId="19" fillId="34" borderId="71" xfId="0" applyFont="1" applyFill="1" applyBorder="1">
      <alignment horizontal="left" vertical="center" wrapText="1"/>
      <protection locked="0"/>
    </xf>
    <xf numFmtId="0" fontId="19" fillId="34" borderId="0" xfId="0" applyFont="1" applyFill="1">
      <alignment horizontal="left" vertical="center" wrapText="1"/>
      <protection locked="0"/>
    </xf>
    <xf numFmtId="0" fontId="19" fillId="34" borderId="72" xfId="0" applyFont="1" applyFill="1" applyBorder="1">
      <alignment horizontal="left" vertical="center" wrapText="1"/>
      <protection locked="0"/>
    </xf>
    <xf numFmtId="0" fontId="19" fillId="34" borderId="73" xfId="0" applyFont="1" applyFill="1" applyBorder="1">
      <alignment horizontal="left" vertical="center" wrapText="1"/>
      <protection locked="0"/>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22" fillId="0" borderId="0" xfId="0" applyFont="1">
      <alignment horizontal="center"/>
    </xf>
    <xf numFmtId="0" fontId="19" fillId="0" borderId="10" xfId="0" applyFont="1" applyBorder="1">
      <alignment horizontal="center" vertical="center" wrapText="1"/>
    </xf>
    <xf numFmtId="49" fontId="0" fillId="0" borderId="10" xfId="0" applyFont="1" applyBorder="1" applyNumberFormat="1">
      <alignment horizontal="center" vertical="center" wrapText="1"/>
    </xf>
    <xf numFmtId="49" fontId="0" fillId="0" borderId="10"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75" xfId="0" applyFont="1" applyBorder="1" applyNumberFormat="1">
      <alignment horizontal="center" vertical="center" wrapText="1"/>
    </xf>
    <xf numFmtId="49" fontId="0" fillId="0" borderId="76" xfId="0" applyFont="1" applyBorder="1" applyNumberFormat="1">
      <alignment horizontal="center" vertical="center" wrapText="1"/>
    </xf>
    <xf numFmtId="3" fontId="0" fillId="0" borderId="10" xfId="0" applyFont="1" applyBorder="1" applyNumberFormat="1">
      <alignment horizontal="center" vertical="center" wrapText="1"/>
    </xf>
    <xf numFmtId="3" fontId="0" fillId="0" borderId="10" xfId="0" applyFont="1" applyBorder="1" applyNumberFormat="1">
      <alignment horizontal="center" vertical="center" wrapText="1"/>
    </xf>
    <xf numFmtId="0" fontId="19" fillId="0" borderId="30" xfId="0" applyFont="1" applyBorder="1">
      <alignment horizontal="center"/>
    </xf>
    <xf numFmtId="0" fontId="19" fillId="0" borderId="18" xfId="0" applyFont="1" applyBorder="1">
      <alignment horizontal="center"/>
    </xf>
    <xf numFmtId="0" fontId="19" fillId="0" borderId="29" xfId="0" applyFont="1" applyBorder="1">
      <alignment horizontal="center"/>
    </xf>
    <xf numFmtId="0" fontId="21" fillId="0" borderId="10" xfId="0" applyFont="1" applyBorder="1">
      <alignment horizontal="center" vertical="center" wrapText="1"/>
    </xf>
    <xf numFmtId="0" fontId="21" fillId="0" borderId="10" xfId="0" applyFont="1" applyBorder="1">
      <alignment horizontal="center" vertical="center" wrapText="1"/>
    </xf>
    <xf numFmtId="0" fontId="21" fillId="0" borderId="30" xfId="0" applyFont="1" applyBorder="1">
      <alignment horizontal="center" vertical="center" wrapText="1"/>
    </xf>
    <xf numFmtId="0" fontId="21" fillId="0" borderId="18" xfId="0" applyFont="1" applyBorder="1">
      <alignment horizontal="center" vertical="center" wrapText="1"/>
    </xf>
    <xf numFmtId="0" fontId="21" fillId="0" borderId="29" xfId="0" applyFont="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19" fillId="34" borderId="3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9" fillId="0" borderId="0" xfId="0" applyFont="1">
      <alignment horizontal="center" vertical="top"/>
    </xf>
    <xf numFmtId="0" fontId="19" fillId="0" borderId="0" xfId="0" applyFont="1">
      <alignment horizontal="center"/>
    </xf>
    <xf numFmtId="0" fontId="1" fillId="0" borderId="10" xfId="0" applyFont="1" applyBorder="1">
      <alignment vertical="center"/>
    </xf>
    <xf numFmtId="0" fontId="1" fillId="0" borderId="10" xfId="0" applyFont="1" applyBorder="1">
      <alignment vertical="center"/>
    </xf>
    <xf numFmtId="49" fontId="19" fillId="34" borderId="76" xfId="0" applyFont="1" applyFill="1" applyBorder="1" applyNumberFormat="1">
      <alignment horizontal="left" vertical="top" wrapText="1"/>
      <protection locked="0"/>
    </xf>
    <xf numFmtId="49" fontId="19"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0" fontId="19" fillId="33" borderId="11" xfId="0" applyFont="1" applyFill="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19" fillId="0" borderId="30" xfId="0" applyFont="1" applyBorder="1">
      <alignment horizontal="center" vertical="center" wrapText="1"/>
    </xf>
    <xf numFmtId="0" fontId="19" fillId="0" borderId="18" xfId="0" applyFont="1" applyBorder="1">
      <alignment horizontal="center" vertical="center" wrapText="1"/>
    </xf>
    <xf numFmtId="0" fontId="19" fillId="0" borderId="29" xfId="0" applyFont="1" applyBorder="1">
      <alignment horizontal="center" vertical="center" wrapText="1"/>
    </xf>
    <xf numFmtId="0" fontId="19" fillId="0" borderId="0" xfId="0" applyFont="1">
      <alignment horizontal="center" vertical="top"/>
    </xf>
    <xf numFmtId="0" fontId="19" fillId="0" borderId="0" xfId="0" applyFont="1">
      <alignment horizontal="center"/>
    </xf>
    <xf numFmtId="0" fontId="22" fillId="0" borderId="0" xfId="0" applyFont="1">
      <alignment horizontal="center"/>
    </xf>
    <xf numFmtId="0" fontId="19" fillId="0" borderId="10" xfId="0" applyFont="1" applyBorder="1">
      <alignment horizontal="center" vertical="center"/>
    </xf>
    <xf numFmtId="0" fontId="21" fillId="0" borderId="25" xfId="0" applyFont="1" applyBorder="1">
      <alignment horizontal="center" vertical="center" wrapText="1"/>
    </xf>
    <xf numFmtId="0" fontId="21" fillId="0" borderId="76" xfId="0" applyFont="1" applyBorder="1">
      <alignment horizontal="center" vertical="center" wrapText="1"/>
    </xf>
    <xf numFmtId="49" fontId="40" fillId="0" borderId="13" xfId="0" applyFont="1" applyBorder="1" applyNumberFormat="1" quotePrefix="1">
      <alignment horizontal="left" vertical="center" wrapText="1" indent="1"/>
    </xf>
    <xf numFmtId="49" fontId="40" fillId="0" borderId="13" xfId="0" applyFont="1" applyBorder="1" applyNumberFormat="1">
      <alignment horizontal="left" vertical="center" wrapText="1" indent="1"/>
    </xf>
    <xf numFmtId="49" fontId="40" fillId="0" borderId="13" xfId="0" applyFont="1" applyBorder="1" applyNumberFormat="1">
      <alignment horizontal="left" vertical="center" wrapText="1" indent="1"/>
    </xf>
    <xf numFmtId="0" fontId="19" fillId="0" borderId="10" xfId="0" applyFont="1" applyBorder="1">
      <alignment horizontal="center" vertical="center"/>
    </xf>
    <xf numFmtId="0" fontId="21" fillId="0" borderId="77" xfId="0" applyFont="1" applyBorder="1">
      <alignment horizontal="center" vertical="center" wrapText="1"/>
    </xf>
    <xf numFmtId="0" fontId="21" fillId="0" borderId="48" xfId="0" applyFont="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23" fillId="0" borderId="0" xfId="0" applyFont="1">
      <alignment horizontal="center"/>
    </xf>
    <xf numFmtId="49" fontId="50" fillId="0" borderId="64" xfId="0" applyFont="1" applyBorder="1" applyNumberFormat="1">
      <alignment horizontal="center" vertical="top" wrapText="1"/>
    </xf>
    <xf numFmtId="0" fontId="50" fillId="0" borderId="64" xfId="0" applyFont="1" applyBorder="1">
      <alignment horizontal="center" vertical="top" wrapText="1"/>
    </xf>
    <xf numFmtId="0" fontId="77" fillId="0" borderId="10" xfId="0" applyFont="1" applyBorder="1"/>
    <xf numFmtId="0" fontId="19" fillId="0" borderId="0" xfId="0" applyFont="1">
      <alignment horizontal="center" vertical="top" wrapText="1"/>
    </xf>
    <xf numFmtId="0" fontId="19" fillId="0" borderId="0" xfId="0" applyFont="1">
      <alignment horizontal="center" vertical="center" wrapText="1"/>
    </xf>
    <xf numFmtId="0" fontId="78" fillId="0" borderId="10" xfId="0" applyFont="1" applyBorder="1"/>
    <xf numFmtId="0" fontId="68" fillId="0" borderId="10" xfId="0" applyFont="1" applyBorder="1">
      <alignment vertical="center"/>
    </xf>
    <xf numFmtId="0" fontId="21" fillId="35" borderId="10" xfId="0" applyFont="1" applyFill="1" applyBorder="1">
      <alignment horizontal="center" vertical="center" wrapText="1"/>
    </xf>
    <xf numFmtId="49" fontId="79" fillId="34" borderId="76" xfId="0" applyFont="1" applyFill="1" applyBorder="1" applyNumberFormat="1">
      <alignment horizontal="left" vertical="top" wrapText="1"/>
      <protection locked="0"/>
    </xf>
    <xf numFmtId="0" fontId="57" fillId="0" borderId="10" xfId="0" applyFont="1" applyBorder="1">
      <alignment vertical="center"/>
    </xf>
    <xf numFmtId="0" fontId="21" fillId="0" borderId="10" xfId="0" applyFont="1" applyBorder="1">
      <alignment vertical="center" wrapText="1"/>
    </xf>
    <xf numFmtId="0" fontId="21" fillId="0" borderId="10" xfId="0" applyFont="1" applyBorder="1"/>
    <xf numFmtId="49" fontId="19" fillId="34" borderId="10" xfId="0" applyFont="1" applyFill="1" applyBorder="1" applyNumberFormat="1">
      <alignment horizontal="left" vertical="top" wrapText="1"/>
      <protection locked="0"/>
    </xf>
    <xf numFmtId="49" fontId="19" fillId="0" borderId="10" xfId="0" applyFont="1" applyBorder="1" applyNumberFormat="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49" fontId="68" fillId="34" borderId="10" xfId="0" applyFont="1" applyFill="1" applyBorder="1" applyNumberFormat="1">
      <alignment horizontal="left" vertical="top" wrapText="1"/>
      <protection locked="0"/>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37" xfId="0" applyFont="1" applyBorder="1">
      <alignment horizontal="right" vertical="center" wrapText="1"/>
    </xf>
    <xf numFmtId="0" fontId="19" fillId="0" borderId="23" xfId="0" applyFont="1" applyBorder="1">
      <alignment horizontal="right" vertical="center" wrapText="1"/>
    </xf>
    <xf numFmtId="49" fontId="38" fillId="41" borderId="30" xfId="0" applyFont="1" applyFill="1" applyBorder="1" applyNumberFormat="1">
      <alignment horizontal="left" vertical="center" indent="1"/>
    </xf>
    <xf numFmtId="49" fontId="38" fillId="41" borderId="18" xfId="0" applyFont="1" applyFill="1" applyBorder="1" applyNumberFormat="1">
      <alignment horizontal="left" vertical="center" indent="1"/>
    </xf>
    <xf numFmtId="0" fontId="19" fillId="34" borderId="10" xfId="0" applyFont="1" applyFill="1" applyBorder="1">
      <alignment horizontal="left" vertical="center" wrapText="1"/>
      <protection locked="0"/>
    </xf>
    <xf numFmtId="0" fontId="19" fillId="34" borderId="30"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 fillId="0" borderId="0" xfId="0" applyFont="1">
      <alignment horizontal="center" vertical="top"/>
    </xf>
    <xf numFmtId="0" fontId="1" fillId="0" borderId="0" xfId="0" applyFont="1">
      <alignment horizontal="center"/>
    </xf>
    <xf numFmtId="0" fontId="21" fillId="0" borderId="29" xfId="0" applyFont="1" applyBorder="1">
      <alignment horizontal="center" vertical="center" wrapText="1"/>
    </xf>
    <xf numFmtId="49" fontId="19" fillId="34" borderId="10" xfId="0" applyFont="1" applyFill="1" applyBorder="1" applyNumberFormat="1">
      <alignment horizontal="left" vertical="top" wrapText="1"/>
    </xf>
    <xf numFmtId="49" fontId="19" fillId="34" borderId="22" xfId="0" applyFont="1" applyFill="1" applyBorder="1" applyNumberFormat="1">
      <alignment horizontal="left" vertical="center" wrapText="1"/>
      <protection locked="0"/>
    </xf>
    <xf numFmtId="0" fontId="19" fillId="0" borderId="78" xfId="0" applyFont="1" applyBorder="1">
      <alignment horizontal="center" vertical="center" wrapText="1"/>
    </xf>
    <xf numFmtId="0" fontId="19" fillId="0" borderId="71" xfId="0" applyFont="1" applyBorder="1">
      <alignment horizontal="center" vertical="center" wrapText="1"/>
    </xf>
    <xf numFmtId="0" fontId="19" fillId="0" borderId="39"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protection locked="0"/>
    </xf>
    <xf numFmtId="49" fontId="19" fillId="42" borderId="30" xfId="0" applyFont="1" applyFill="1" applyBorder="1" applyNumberFormat="1">
      <alignment horizontal="left" vertical="center" wrapText="1"/>
      <protection locked="0"/>
    </xf>
    <xf numFmtId="49" fontId="19" fillId="34" borderId="27" xfId="0" applyFont="1" applyFill="1" applyBorder="1" applyNumberFormat="1">
      <alignment horizontal="left" vertical="center" wrapText="1"/>
      <protection locked="0"/>
    </xf>
    <xf numFmtId="0" fontId="21" fillId="0" borderId="78" xfId="0" applyFont="1" applyBorder="1">
      <alignment horizontal="center" vertical="center" wrapText="1"/>
    </xf>
    <xf numFmtId="0" fontId="21" fillId="0" borderId="71" xfId="0" applyFont="1" applyBorder="1">
      <alignment horizontal="center" vertical="center" wrapText="1"/>
    </xf>
    <xf numFmtId="0" fontId="21" fillId="0" borderId="39" xfId="0" applyFont="1" applyBorder="1">
      <alignment horizontal="center"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40" fillId="0" borderId="13" xfId="0" applyFont="1" applyBorder="1">
      <alignment horizontal="left" vertical="center" wrapText="1"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9" fillId="0" borderId="30" xfId="0" applyFont="1" applyBorder="1">
      <alignment horizontal="center" vertical="center" wrapText="1"/>
    </xf>
    <xf numFmtId="0" fontId="19" fillId="0" borderId="0" xfId="0" applyFont="1">
      <alignment horizontal="left" vertical="center" wrapText="1"/>
    </xf>
    <xf numFmtId="49" fontId="40" fillId="0" borderId="13" xfId="0" applyFont="1" applyBorder="1" applyNumberFormat="1" quotePrefix="1">
      <alignment horizontal="left" vertical="center" wrapText="1" indent="1"/>
    </xf>
    <xf numFmtId="0" fontId="19" fillId="0" borderId="77" xfId="0" applyFont="1" applyBorder="1">
      <alignment horizontal="center" vertical="center" wrapText="1"/>
    </xf>
    <xf numFmtId="0" fontId="19" fillId="0" borderId="48" xfId="0" applyFont="1" applyBorder="1">
      <alignment horizontal="center" vertical="center" wrapText="1"/>
    </xf>
    <xf numFmtId="4" fontId="19" fillId="34" borderId="10" xfId="0" applyFont="1" applyFill="1" applyBorder="1" applyNumberFormat="1">
      <alignment horizontal="right" vertical="center"/>
      <protection locked="0"/>
    </xf>
    <xf numFmtId="0" fontId="28" fillId="0" borderId="0" xfId="0" applyFont="1"/>
    <xf numFmtId="0" fontId="0" fillId="25" borderId="0" xfId="0" applyFont="1" applyFill="1">
      <alignment horizontal="center"/>
    </xf>
    <xf numFmtId="0" fontId="28" fillId="43" borderId="0" xfId="0" applyFont="1" applyFill="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0" fillId="25" borderId="0" xfId="0" applyFont="1" applyFill="1">
      <alignment horizontal="center"/>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19" fillId="0" borderId="0" xfId="0" applyFont="1"/>
    <xf numFmtId="0" fontId="28" fillId="4" borderId="10" xfId="0" applyFont="1" applyFill="1" applyBorder="1" quotePrefix="1">
      <alignment vertical="center" wrapText="1"/>
    </xf>
    <xf numFmtId="0" fontId="19" fillId="25" borderId="0" xfId="0" applyFont="1" applyFill="1">
      <alignment horizontal="center"/>
    </xf>
    <xf numFmtId="0" fontId="28" fillId="4" borderId="10" xfId="0" applyFont="1" applyFill="1" applyBorder="1" quotePrefix="1">
      <alignment vertical="center" wrapText="1"/>
    </xf>
    <xf numFmtId="0" fontId="19" fillId="42" borderId="10" xfId="0" applyFont="1" applyFill="1" applyBorder="1">
      <alignment horizontal="left" vertical="center" wrapText="1" indent="1"/>
      <protection locked="0"/>
    </xf>
    <xf numFmtId="49" fontId="21" fillId="36" borderId="11" xfId="0" applyFont="1" applyFill="1" applyBorder="1" applyNumberFormat="1">
      <alignment horizontal="left" vertical="center" wrapText="1" indent="1"/>
    </xf>
    <xf numFmtId="0" fontId="0" fillId="25" borderId="0" xfId="0" applyFont="1" applyFill="1">
      <alignment horizontal="center" vertical="center"/>
    </xf>
    <xf numFmtId="175" fontId="23" fillId="43" borderId="0" xfId="0" applyFont="1" applyFill="1" applyNumberFormat="1">
      <alignment vertical="center"/>
    </xf>
    <xf numFmtId="49" fontId="0" fillId="0" borderId="0" xfId="0" applyFont="1" applyNumberFormat="1">
      <alignment vertical="top"/>
    </xf>
    <xf numFmtId="49" fontId="65" fillId="0" borderId="0" xfId="0" applyFont="1" applyNumberFormat="1">
      <alignment horizontal="center" vertical="center" wrapText="1"/>
    </xf>
    <xf numFmtId="0" fontId="19" fillId="0" borderId="11" xfId="0" applyFont="1" applyBorder="1">
      <alignment horizontal="right" vertical="center" wrapText="1" indent="1"/>
    </xf>
    <xf numFmtId="49" fontId="48" fillId="34" borderId="11" xfId="0" applyFont="1" applyFill="1" applyBorder="1" applyNumberFormat="1">
      <alignment horizontal="left" vertical="center" wrapText="1" indent="1"/>
    </xf>
    <xf numFmtId="0" fontId="19" fillId="48" borderId="0" xfId="0" applyFont="1" applyFill="1">
      <alignment horizontal="center" vertical="center"/>
    </xf>
    <xf numFmtId="0" fontId="23" fillId="0" borderId="0" xfId="0" applyFont="1">
      <alignment vertical="center"/>
    </xf>
    <xf numFmtId="0" fontId="23" fillId="0" borderId="0" xfId="0" applyFont="1">
      <alignment vertical="center" wrapText="1"/>
    </xf>
    <xf numFmtId="49" fontId="38" fillId="41" borderId="36" xfId="0" applyFont="1" applyFill="1" applyBorder="1" applyNumberFormat="1">
      <alignment horizontal="left" vertical="center" wrapText="1"/>
    </xf>
    <xf numFmtId="49" fontId="38" fillId="41" borderId="34" xfId="0" applyFont="1" applyFill="1" applyBorder="1" applyNumberFormat="1">
      <alignment horizontal="left" vertical="center" wrapText="1"/>
    </xf>
    <xf numFmtId="49" fontId="38" fillId="41" borderId="35" xfId="0" applyFont="1" applyFill="1" applyBorder="1" applyNumberFormat="1">
      <alignment horizontal="left" vertical="center" wrapText="1"/>
    </xf>
    <xf numFmtId="49" fontId="65" fillId="0" borderId="0" xfId="0" applyFont="1" applyNumberFormat="1">
      <alignment vertical="top" wrapText="1"/>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21" fillId="0" borderId="11" xfId="0" applyFont="1" applyBorder="1">
      <alignment horizontal="right" vertical="center" wrapText="1" indent="1"/>
    </xf>
    <xf numFmtId="0" fontId="19" fillId="50" borderId="11" xfId="0" applyFont="1" applyFill="1" applyBorder="1">
      <alignment horizontal="left" vertical="center" wrapText="1" indent="1"/>
    </xf>
    <xf numFmtId="0" fontId="23" fillId="0" borderId="0" xfId="0" applyFont="1">
      <alignment vertical="center"/>
    </xf>
    <xf numFmtId="49" fontId="19" fillId="34" borderId="11" xfId="0" applyFont="1" applyFill="1" applyBorder="1" applyNumberFormat="1">
      <alignment horizontal="left" vertical="center" wrapText="1" indent="1"/>
    </xf>
    <xf numFmtId="49" fontId="21" fillId="34" borderId="11" xfId="0" applyFont="1" applyFill="1" applyBorder="1" applyNumberFormat="1">
      <alignment horizontal="left" vertical="center" wrapText="1" indent="1"/>
    </xf>
    <xf numFmtId="0" fontId="19" fillId="0" borderId="12" xfId="0" applyFont="1" applyBorder="1">
      <alignment horizontal="center" vertical="center" textRotation="90" wrapText="1"/>
    </xf>
    <xf numFmtId="0" fontId="19" fillId="0" borderId="37" xfId="0" applyFont="1" applyBorder="1">
      <alignment horizontal="right" vertical="center" wrapText="1" indent="1"/>
    </xf>
    <xf numFmtId="0" fontId="19" fillId="0" borderId="23" xfId="0" applyFont="1" applyBorder="1">
      <alignment horizontal="right" vertical="center" wrapText="1" indent="1"/>
    </xf>
    <xf numFmtId="49" fontId="19" fillId="34" borderId="11" xfId="0" applyFont="1" applyFill="1" applyBorder="1" applyNumberFormat="1">
      <alignment horizontal="left" vertical="center" wrapText="1" indent="1"/>
    </xf>
    <xf numFmtId="0" fontId="19" fillId="0" borderId="66" xfId="0" applyFont="1" applyBorder="1">
      <alignment horizontal="center" vertical="center" textRotation="90" wrapTex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xf>
    <xf numFmtId="0" fontId="19" fillId="0" borderId="46" xfId="0" applyFont="1" applyBorder="1">
      <alignment horizontal="center" vertical="center" textRotation="90" wrapText="1"/>
    </xf>
    <xf numFmtId="49" fontId="48" fillId="34" borderId="11" xfId="0" applyFont="1" applyFill="1" applyBorder="1" applyNumberFormat="1">
      <alignment horizontal="left" vertical="center" wrapText="1" indent="1"/>
    </xf>
    <xf numFmtId="0" fontId="50" fillId="0" borderId="52" xfId="0" applyFont="1" applyBorder="1">
      <alignment horizontal="center" vertical="top" wrapText="1"/>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174" fontId="21" fillId="42"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0" fontId="19" fillId="0" borderId="45" xfId="0" applyFont="1" applyBorder="1">
      <alignment horizontal="center" vertical="center" wrapText="1"/>
    </xf>
    <xf numFmtId="0" fontId="19" fillId="0" borderId="64" xfId="0" applyFont="1" applyBorder="1">
      <alignment horizontal="center" vertical="center" wrapText="1"/>
    </xf>
    <xf numFmtId="49" fontId="19" fillId="0" borderId="49" xfId="0" applyFont="1" applyBorder="1" applyNumberFormat="1">
      <alignment horizontal="right" vertical="center" wrapText="1" indent="1"/>
    </xf>
    <xf numFmtId="49" fontId="19" fillId="42" borderId="11" xfId="0" applyFont="1" applyFill="1" applyBorder="1" applyNumberFormat="1">
      <alignment horizontal="left" vertical="center" wrapText="1" indent="1"/>
      <protection locked="0"/>
    </xf>
    <xf numFmtId="0" fontId="23" fillId="0" borderId="0" xfId="0" applyFont="1">
      <alignment horizontal="left" vertical="center" wrapText="1"/>
    </xf>
    <xf numFmtId="49" fontId="19" fillId="0" borderId="23" xfId="0" applyFont="1" applyBorder="1" applyNumberFormat="1">
      <alignment horizontal="right" vertical="center" wrapText="1" indent="1"/>
    </xf>
    <xf numFmtId="49" fontId="19" fillId="34" borderId="11" xfId="0" applyFont="1" applyFill="1" applyBorder="1" applyNumberFormat="1">
      <alignment horizontal="left" vertical="center" wrapText="1" indent="1"/>
      <protection locked="0"/>
    </xf>
    <xf numFmtId="0" fontId="19" fillId="0" borderId="31" xfId="0" applyFont="1" applyBorder="1">
      <alignment horizontal="center" vertical="center" wrapText="1"/>
    </xf>
    <xf numFmtId="0" fontId="19" fillId="0" borderId="60" xfId="0" applyFont="1" applyBorder="1">
      <alignment horizontal="center" vertical="center" wrapText="1"/>
    </xf>
    <xf numFmtId="174" fontId="21" fillId="42" borderId="11" xfId="0" applyFont="1" applyFill="1" applyBorder="1" applyNumberFormat="1">
      <alignment horizontal="left" vertical="center" wrapText="1" indent="1"/>
      <protection locked="0"/>
    </xf>
    <xf numFmtId="49" fontId="23" fillId="0" borderId="0" xfId="0" applyFont="1" applyNumberFormat="1">
      <alignment vertical="center"/>
    </xf>
    <xf numFmtId="0" fontId="23" fillId="0" borderId="0" xfId="0" applyFont="1">
      <alignment horizontal="center" vertical="top"/>
    </xf>
    <xf numFmtId="0" fontId="23" fillId="0" borderId="64" xfId="0" applyFont="1" applyBorder="1">
      <alignment horizontal="center" vertical="center"/>
    </xf>
    <xf numFmtId="0" fontId="19" fillId="42" borderId="45" xfId="0" applyFont="1" applyFill="1" applyBorder="1">
      <alignment horizontal="center" vertical="center" wrapText="1"/>
    </xf>
    <xf numFmtId="0" fontId="19" fillId="42" borderId="64" xfId="0" applyFont="1" applyFill="1" applyBorder="1">
      <alignment horizontal="center" vertical="center" wrapTex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65" fillId="0" borderId="0" xfId="0" applyFont="1" applyNumberFormat="1">
      <alignment horizontal="center" vertical="top" wrapText="1"/>
    </xf>
    <xf numFmtId="14" fontId="64" fillId="0" borderId="0" xfId="0" applyFont="1" applyNumberFormat="1">
      <alignment vertical="center"/>
    </xf>
    <xf numFmtId="0" fontId="64" fillId="0" borderId="0" xfId="0" applyFont="1">
      <alignment vertical="center"/>
    </xf>
    <xf numFmtId="49" fontId="19" fillId="0" borderId="11" xfId="0" applyFont="1" applyBorder="1" applyNumberFormat="1">
      <alignment horizontal="right" vertical="center" wrapText="1" indent="1"/>
    </xf>
    <xf numFmtId="49" fontId="21" fillId="36" borderId="11" xfId="0" applyFont="1" applyFill="1" applyBorder="1" applyNumberFormat="1">
      <alignment horizontal="left" vertical="center" wrapText="1" indent="1"/>
    </xf>
    <xf numFmtId="0" fontId="21" fillId="42" borderId="11" xfId="0" applyFont="1" applyFill="1" applyBorder="1">
      <alignment horizontal="left" vertical="center" wrapText="1" indent="1"/>
    </xf>
    <xf numFmtId="49" fontId="21" fillId="50" borderId="11" xfId="0" applyFont="1" applyFill="1" applyBorder="1" applyNumberFormat="1">
      <alignment horizontal="left" vertical="center" wrapText="1" indent="1"/>
    </xf>
    <xf numFmtId="0" fontId="19" fillId="0" borderId="11" xfId="0" applyFont="1" applyBorder="1">
      <alignment horizontal="right" vertical="center" wrapText="1" indent="1"/>
    </xf>
    <xf numFmtId="0" fontId="19" fillId="34" borderId="11" xfId="0" applyFont="1" applyFill="1" applyBorder="1">
      <alignment horizontal="left" vertical="center" wrapText="1" indent="1"/>
    </xf>
    <xf numFmtId="174" fontId="21" fillId="34" borderId="11" xfId="0" applyFont="1" applyFill="1" applyBorder="1" applyNumberFormat="1">
      <alignment horizontal="left" vertical="center" wrapText="1" indent="1"/>
    </xf>
    <xf numFmtId="14" fontId="21" fillId="34"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xf>
    <xf numFmtId="0" fontId="19" fillId="42" borderId="10" xfId="0" applyFont="1" applyFill="1" applyBorder="1">
      <alignment horizontal="left" vertical="center" wrapText="1" indent="1"/>
    </xf>
    <xf numFmtId="0" fontId="19" fillId="42" borderId="10" xfId="0" applyFont="1" applyFill="1" applyBorder="1">
      <alignment horizontal="left" vertical="center" wrapText="1" indent="1"/>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21"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174" fontId="21" fillId="34" borderId="11" xfId="0" applyFont="1" applyFill="1" applyBorder="1" applyNumberFormat="1">
      <alignment horizontal="left" vertical="center" wrapText="1" indent="1"/>
      <protection locked="0"/>
    </xf>
    <xf numFmtId="14" fontId="21" fillId="34" borderId="11" xfId="0" applyFont="1" applyFill="1" applyBorder="1" applyNumberFormat="1">
      <alignment horizontal="left" vertical="center" wrapText="1" indent="1"/>
      <protection locked="0"/>
    </xf>
    <xf numFmtId="174" fontId="19" fillId="42" borderId="10" xfId="0" applyFont="1" applyFill="1" applyBorder="1" applyNumberFormat="1">
      <alignment horizontal="left" vertical="center" wrapText="1" indent="1"/>
      <protection locked="0"/>
    </xf>
    <xf numFmtId="0" fontId="19" fillId="42" borderId="10" xfId="0" applyFont="1" applyFill="1" applyBorder="1">
      <alignment horizontal="left" vertical="center" wrapText="1" indent="1"/>
      <protection locked="0"/>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49" fontId="19" fillId="42" borderId="11" xfId="0" applyFont="1" applyFill="1" applyBorder="1" applyNumberFormat="1">
      <alignment horizontal="right" vertical="center" wrapText="1" indent="1"/>
    </xf>
    <xf numFmtId="175" fontId="19" fillId="43" borderId="0" xfId="0" applyFont="1" applyFill="1" applyNumberFormat="1">
      <alignment vertical="top"/>
    </xf>
    <xf numFmtId="49" fontId="46" fillId="0" borderId="0" xfId="0" applyFont="1" applyNumberFormat="1">
      <alignment vertical="top"/>
    </xf>
    <xf numFmtId="0" fontId="19" fillId="0" borderId="38" xfId="0" applyFont="1" applyBorder="1">
      <alignment horizontal="right" vertical="center" wrapText="1" indent="1"/>
    </xf>
    <xf numFmtId="49" fontId="21" fillId="34" borderId="11"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0" fontId="19" fillId="0" borderId="0" xfId="0" applyFont="1">
      <alignment vertical="top"/>
    </xf>
    <xf numFmtId="0" fontId="19" fillId="43" borderId="0" xfId="0" applyFont="1" applyFill="1">
      <alignment vertical="center" wrapText="1"/>
    </xf>
    <xf numFmtId="0" fontId="19" fillId="0" borderId="0" xfId="0" applyFont="1">
      <alignment vertical="center"/>
    </xf>
    <xf numFmtId="0" fontId="19" fillId="48" borderId="0" xfId="0" applyFont="1" applyFill="1">
      <alignment horizontal="center" vertical="center"/>
    </xf>
    <xf numFmtId="0" fontId="59" fillId="0" borderId="0" xfId="0" applyFont="1">
      <alignment wrapText="1"/>
    </xf>
    <xf numFmtId="0" fontId="19" fillId="0" borderId="0" xfId="0" applyFont="1">
      <alignment horizontal="center" vertical="center" wrapText="1"/>
    </xf>
    <xf numFmtId="0" fontId="21" fillId="0" borderId="0" xfId="0" applyFont="1">
      <alignment horizontal="center" vertical="top" wrapText="1"/>
    </xf>
    <xf numFmtId="0" fontId="70" fillId="0" borderId="0" xfId="0" applyFont="1">
      <alignment horizontal="center" vertical="center" wrapText="1"/>
    </xf>
    <xf numFmtId="0" fontId="70" fillId="0" borderId="0" xfId="0" applyFont="1">
      <alignment vertical="center" wrapText="1"/>
    </xf>
    <xf numFmtId="0" fontId="37" fillId="40" borderId="18" xfId="0" applyFont="1" applyFill="1" applyBorder="1">
      <alignment horizontal="left" vertical="center"/>
    </xf>
    <xf numFmtId="49" fontId="37" fillId="40" borderId="18" xfId="0" applyFont="1" applyFill="1" applyBorder="1" applyNumberFormat="1">
      <alignment horizontal="left" vertical="center" wrapText="1"/>
    </xf>
    <xf numFmtId="0" fontId="19" fillId="0" borderId="0" xfId="0" applyFont="1">
      <alignment vertical="center" wrapText="1"/>
    </xf>
    <xf numFmtId="0" fontId="71" fillId="0" borderId="0" xfId="0" applyFont="1">
      <alignment horizontal="center" vertical="top" wrapText="1"/>
    </xf>
    <xf numFmtId="0" fontId="19" fillId="0" borderId="0" xfId="0" applyFont="1">
      <alignment horizontal="center" wrapText="1"/>
    </xf>
    <xf numFmtId="0" fontId="19" fillId="0" borderId="0" xfId="0" applyFont="1">
      <alignment vertical="center" wrapText="1"/>
    </xf>
    <xf numFmtId="0" fontId="19" fillId="0" borderId="0" xfId="0" applyFont="1">
      <alignment wrapText="1"/>
    </xf>
    <xf numFmtId="0" fontId="50" fillId="0" borderId="0" xfId="0" applyFont="1">
      <alignment horizontal="center" vertical="center" wrapText="1"/>
    </xf>
    <xf numFmtId="0" fontId="19" fillId="0" borderId="50" xfId="0" applyFont="1" applyBorder="1">
      <alignment horizontal="center" vertical="center" wrapText="1"/>
    </xf>
    <xf numFmtId="0" fontId="19" fillId="36" borderId="22" xfId="0" applyFont="1" applyFill="1" applyBorder="1">
      <alignment horizontal="left" vertical="center" wrapText="1" indent="1"/>
    </xf>
    <xf numFmtId="49" fontId="19" fillId="36" borderId="22" xfId="0" applyFont="1" applyFill="1" applyBorder="1" applyNumberFormat="1">
      <alignment horizontal="left" vertical="center" wrapText="1" indent="1"/>
    </xf>
    <xf numFmtId="0" fontId="19" fillId="34" borderId="22" xfId="0" applyFont="1" applyFill="1" applyBorder="1">
      <alignment horizontal="left" vertical="center" wrapText="1" indent="1"/>
    </xf>
    <xf numFmtId="49" fontId="19" fillId="34" borderId="27" xfId="0" applyFont="1" applyFill="1" applyBorder="1" applyNumberFormat="1">
      <alignment horizontal="left" vertical="center" wrapText="1" indent="1"/>
    </xf>
    <xf numFmtId="0" fontId="19"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49" fontId="19" fillId="34" borderId="27" xfId="0" applyFont="1" applyFill="1" applyBorder="1" applyNumberFormat="1">
      <alignment horizontal="left" vertical="center" wrapText="1" inden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0" fillId="0" borderId="0" xfId="0" applyFont="1" applyNumberFormat="1">
      <alignment vertical="top"/>
    </xf>
    <xf numFmtId="0" fontId="0" fillId="0" borderId="0" xfId="0" applyFont="1">
      <alignment horizontal="center"/>
    </xf>
    <xf numFmtId="0" fontId="21" fillId="43" borderId="0" xfId="0" applyFont="1" applyFill="1">
      <alignment horizontal="center"/>
    </xf>
    <xf numFmtId="0" fontId="21" fillId="0" borderId="0" xfId="0" applyFont="1"/>
    <xf numFmtId="0" fontId="19" fillId="38" borderId="0" xfId="0" applyFont="1" applyFill="1"/>
    <xf numFmtId="0" fontId="21" fillId="48" borderId="0" xfId="0" applyFont="1" applyFill="1">
      <alignment horizontal="center" vertical="center"/>
    </xf>
    <xf numFmtId="0" fontId="21" fillId="0" borderId="0" xfId="0" applyFont="1">
      <alignment horizontal="center" vertical="center"/>
    </xf>
    <xf numFmtId="0" fontId="21" fillId="0" borderId="0" xfId="0" applyFont="1">
      <alignment horizontal="center"/>
    </xf>
    <xf numFmtId="0" fontId="21" fillId="4" borderId="0" xfId="0" applyFont="1" applyFill="1"/>
    <xf numFmtId="0" fontId="21" fillId="43" borderId="0" xfId="0" applyFont="1" applyFill="1"/>
    <xf numFmtId="0" fontId="0" fillId="25" borderId="0" xfId="0" applyFont="1" applyFill="1">
      <alignment horizontal="center" vertical="center" wrapText="1"/>
    </xf>
    <xf numFmtId="0" fontId="29" fillId="0" borderId="0" xfId="0" applyFont="1">
      <alignment vertical="center"/>
    </xf>
    <xf numFmtId="0" fontId="29" fillId="0" borderId="0" xfId="0" applyFont="1"/>
    <xf numFmtId="0" fontId="21" fillId="0" borderId="10" xfId="0" applyFont="1" applyBorder="1">
      <alignment horizontal="center" vertical="center"/>
    </xf>
    <xf numFmtId="49" fontId="19" fillId="0" borderId="23" xfId="0" applyFont="1" applyBorder="1" applyNumberFormat="1">
      <alignment vertical="center" wrapText="1"/>
    </xf>
    <xf numFmtId="49" fontId="19" fillId="0" borderId="11" xfId="0" applyFont="1" applyBorder="1" applyNumberFormat="1">
      <alignment horizontal="center" vertical="center"/>
    </xf>
    <xf numFmtId="3"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horizontal="right" vertical="center"/>
      <protection locked="0"/>
    </xf>
    <xf numFmtId="0" fontId="29" fillId="43" borderId="0" xfId="0" applyFont="1" applyFill="1">
      <alignment horizontal="center"/>
    </xf>
    <xf numFmtId="49" fontId="50" fillId="0" borderId="0" xfId="0" applyFont="1" applyNumberFormat="1">
      <alignment horizontal="center" vertical="center" wrapText="1"/>
    </xf>
    <xf numFmtId="49" fontId="19" fillId="42" borderId="10" xfId="0" applyFont="1" applyFill="1" applyBorder="1" applyNumberFormat="1">
      <alignment horizontal="left" vertical="center" wrapText="1"/>
    </xf>
    <xf numFmtId="49" fontId="19" fillId="42" borderId="10" xfId="0" applyFont="1" applyFill="1" applyBorder="1" applyNumberFormat="1">
      <alignment horizontal="center" vertical="center" wrapText="1"/>
    </xf>
    <xf numFmtId="4"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0" fontId="29" fillId="4" borderId="0" xfId="0" applyFont="1" applyFill="1"/>
    <xf numFmtId="49" fontId="29" fillId="4" borderId="0" xfId="0" applyFont="1" applyFill="1" applyNumberFormat="1"/>
    <xf numFmtId="0" fontId="29" fillId="43" borderId="0" xfId="0" applyFont="1" applyFill="1"/>
    <xf numFmtId="49" fontId="19" fillId="0" borderId="0" xfId="0" applyFont="1" applyNumberFormat="1">
      <alignment horizontal="right" vertical="center" wrapText="1"/>
    </xf>
    <xf numFmtId="49" fontId="38" fillId="41" borderId="20" xfId="0" applyFont="1" applyFill="1" applyBorder="1" applyNumberFormat="1">
      <alignment horizontal="left" vertical="center"/>
    </xf>
    <xf numFmtId="49" fontId="38" fillId="41" borderId="26" xfId="0" applyFont="1" applyFill="1" applyBorder="1" applyNumberFormat="1">
      <alignment horizontal="left" vertical="center" wrapText="1" indent="1"/>
    </xf>
    <xf numFmtId="49" fontId="21" fillId="0" borderId="0" xfId="0" applyFont="1" applyNumberFormat="1"/>
    <xf numFmtId="49" fontId="19" fillId="34" borderId="37" xfId="0" applyFont="1" applyFill="1" applyBorder="1" applyNumberFormat="1">
      <alignment horizontal="left" vertical="center" wrapText="1"/>
    </xf>
    <xf numFmtId="49" fontId="19" fillId="34" borderId="38" xfId="0" applyFont="1" applyFill="1" applyBorder="1" applyNumberFormat="1">
      <alignment horizontal="left" vertical="center" wrapText="1"/>
    </xf>
    <xf numFmtId="49" fontId="19" fillId="34" borderId="23" xfId="0" applyFont="1" applyFill="1" applyBorder="1" applyNumberFormat="1">
      <alignment horizontal="left" vertical="center" wrapText="1"/>
    </xf>
    <xf numFmtId="0" fontId="0" fillId="0" borderId="0" xfId="0" applyFont="1"/>
    <xf numFmtId="0" fontId="0" fillId="0" borderId="0" xfId="0" applyFont="1"/>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0" fillId="0" borderId="0" xfId="0" applyFont="1"/>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0" fillId="0" borderId="0" xfId="0" applyFont="1"/>
    <xf numFmtId="0" fontId="0" fillId="0" borderId="0" xfId="0" applyFont="1">
      <alignment horizontal="center" vertical="center"/>
    </xf>
    <xf numFmtId="0" fontId="21" fillId="43" borderId="0" xfId="0" applyFont="1" applyFill="1">
      <alignment vertical="center"/>
    </xf>
    <xf numFmtId="0" fontId="19" fillId="0" borderId="0" xfId="0" applyFont="1">
      <alignment vertical="top"/>
    </xf>
    <xf numFmtId="0" fontId="19" fillId="0" borderId="0" xfId="0" applyFont="1">
      <alignment vertical="center"/>
    </xf>
    <xf numFmtId="0" fontId="21" fillId="0" borderId="0" xfId="0" applyFont="1">
      <alignment vertical="center"/>
    </xf>
    <xf numFmtId="0" fontId="19" fillId="34" borderId="70" xfId="0" applyFont="1" applyFill="1" applyBorder="1">
      <alignment horizontal="left" vertical="center" wrapText="1"/>
    </xf>
    <xf numFmtId="0" fontId="19" fillId="34" borderId="18" xfId="0" applyFont="1" applyFill="1" applyBorder="1">
      <alignment horizontal="left" vertical="center" wrapText="1"/>
    </xf>
    <xf numFmtId="0" fontId="19" fillId="34" borderId="51" xfId="0" applyFont="1" applyFill="1" applyBorder="1">
      <alignment horizontal="left" vertical="center" wrapText="1"/>
    </xf>
    <xf numFmtId="49" fontId="19" fillId="0" borderId="0" xfId="0" applyFont="1" applyNumberFormat="1">
      <alignment vertical="top"/>
    </xf>
    <xf numFmtId="49" fontId="19" fillId="4" borderId="0" xfId="0" applyFont="1" applyFill="1" applyNumberFormat="1">
      <alignment vertical="top"/>
    </xf>
    <xf numFmtId="49" fontId="19" fillId="43" borderId="0" xfId="0" applyFont="1" applyFill="1" applyNumberFormat="1">
      <alignment vertical="top"/>
    </xf>
    <xf numFmtId="49" fontId="19" fillId="43" borderId="0" xfId="0" applyFont="1" applyFill="1" applyNumberFormat="1">
      <alignment horizontal="center" vertical="top"/>
    </xf>
    <xf numFmtId="0" fontId="21" fillId="0" borderId="0" xfId="0" applyFont="1">
      <alignment horizontal="center" vertical="top"/>
    </xf>
    <xf numFmtId="0" fontId="19" fillId="0" borderId="0" xfId="0" applyFont="1"/>
    <xf numFmtId="0" fontId="19" fillId="0" borderId="10" xfId="0" applyFont="1" applyBorder="1">
      <alignment horizontal="center" vertical="center"/>
    </xf>
    <xf numFmtId="0" fontId="19" fillId="36" borderId="10" xfId="0" applyFont="1" applyFill="1" applyBorder="1">
      <alignment horizontal="left" vertical="center" wrapText="1" indent="1"/>
    </xf>
    <xf numFmtId="49" fontId="19" fillId="36" borderId="10" xfId="0" applyFont="1" applyFill="1" applyBorder="1" applyNumberFormat="1">
      <alignment horizontal="left" vertical="center" wrapText="1" indent="1"/>
    </xf>
    <xf numFmtId="0" fontId="19" fillId="4" borderId="0" xfId="0" applyFont="1" applyFill="1"/>
    <xf numFmtId="0" fontId="19" fillId="43" borderId="0" xfId="0" applyFont="1" applyFill="1"/>
    <xf numFmtId="49" fontId="38" fillId="41" borderId="20" xfId="0" applyFont="1" applyFill="1" applyBorder="1" applyNumberFormat="1">
      <alignment vertical="center" wrapText="1"/>
    </xf>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0" xfId="50" applyFont="1">
      <alignment horizontal="left" vertical="center"/>
    </xf>
    <xf numFmtId="0" fontId="39" fillId="0" borderId="13" xfId="0" applyFont="1" applyBorder="1"/>
    <xf numFmtId="0" fontId="19" fillId="11" borderId="11" xfId="0" applyFont="1" applyFill="1" applyBorder="1">
      <alignment horizontal="center" vertical="center" wrapText="1"/>
    </xf>
    <xf numFmtId="0" fontId="19" fillId="0" borderId="11" xfId="0" applyFont="1" applyBorder="1">
      <alignment horizontal="center" vertical="center" wrapText="1"/>
    </xf>
    <xf numFmtId="10" fontId="21" fillId="34" borderId="11" xfId="0" applyFont="1" applyFill="1" applyBorder="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21" fillId="0" borderId="0" xfId="0" applyFont="1">
      <alignment horizontal="center" vertical="center" wrapText="1"/>
    </xf>
    <xf numFmtId="0" fontId="37" fillId="40" borderId="24" xfId="0" applyFont="1" applyFill="1" applyBorder="1">
      <alignment horizontal="left" vertical="center"/>
    </xf>
    <xf numFmtId="0" fontId="21" fillId="4" borderId="0" xfId="0" applyFont="1" applyFill="1">
      <alignment vertical="center" wrapText="1"/>
    </xf>
    <xf numFmtId="0" fontId="19" fillId="0" borderId="0" xfId="0" applyFon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0" fontId="42" fillId="43" borderId="38" xfId="0" applyFont="1" applyFill="1" applyBorder="1">
      <alignment horizontal="left" vertical="center" indent="1"/>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49" fontId="21" fillId="34" borderId="11" xfId="0" applyFont="1" applyFill="1" applyBorder="1" applyNumberFormat="1">
      <alignment horizontal="left" vertical="center" wrapText="1"/>
    </xf>
    <xf numFmtId="173" fontId="0" fillId="36" borderId="11" xfId="0" applyFont="1" applyFill="1" applyBorder="1" applyNumberFormat="1">
      <alignment horizontal="right" vertical="center"/>
    </xf>
    <xf numFmtId="172" fontId="0" fillId="36" borderId="11" xfId="0" applyFont="1" applyFill="1" applyBorder="1" applyNumberFormat="1">
      <alignment horizontal="right" vertical="center"/>
    </xf>
    <xf numFmtId="0" fontId="21" fillId="0" borderId="11" xfId="0" applyFont="1" applyBorder="1">
      <alignment vertical="center" wrapText="1"/>
    </xf>
    <xf numFmtId="0" fontId="21" fillId="0" borderId="11" xfId="0" applyFont="1" applyBorder="1">
      <alignment horizontal="left" vertical="center" wrapText="1"/>
    </xf>
    <xf numFmtId="0" fontId="21" fillId="0" borderId="0" xfId="0" applyFont="1"/>
    <xf numFmtId="0" fontId="21" fillId="43" borderId="0" xfId="0" applyFont="1" applyFill="1"/>
    <xf numFmtId="0" fontId="19" fillId="0" borderId="0" xfId="0" applyFont="1">
      <alignment horizontal="left" vertical="center"/>
    </xf>
    <xf numFmtId="0" fontId="21" fillId="4" borderId="0" xfId="0" applyFont="1" applyFill="1"/>
    <xf numFmtId="172" fontId="41" fillId="43" borderId="38" xfId="0" applyFont="1" applyFill="1" applyBorder="1" applyNumberFormat="1">
      <alignment horizontal="left" vertical="center" indent="1"/>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172" fontId="0" fillId="34" borderId="11"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0" fontId="21" fillId="0" borderId="12" xfId="0" applyFont="1" applyBorder="1">
      <alignment horizontal="center"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21" fillId="0" borderId="10" xfId="0" applyFont="1" applyBorder="1">
      <alignment horizontal="center" vertical="center" wrapText="1"/>
    </xf>
    <xf numFmtId="172" fontId="21" fillId="34" borderId="10" xfId="0" applyFont="1" applyFill="1" applyBorder="1" applyNumberFormat="1">
      <alignment horizontal="right" vertical="center"/>
    </xf>
    <xf numFmtId="172" fontId="0"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9" fontId="21" fillId="34" borderId="10" xfId="0" applyFont="1" applyFill="1" applyBorder="1" applyNumberFormat="1">
      <alignment horizontal="left" vertical="center" wrapText="1"/>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19" fillId="42" borderId="10" xfId="0" applyFont="1" applyFill="1" applyBorder="1">
      <alignment horizontal="lef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0" fontId="21" fillId="0" borderId="46" xfId="0" applyFont="1" applyBorder="1">
      <alignment horizontal="center" vertical="center" wrapText="1"/>
    </xf>
    <xf numFmtId="172" fontId="21" fillId="34" borderId="46" xfId="0" applyFont="1" applyFill="1" applyBorder="1" applyNumberFormat="1">
      <alignment horizontal="right" vertical="center"/>
    </xf>
    <xf numFmtId="172" fontId="0" fillId="34" borderId="46" xfId="0" applyFont="1" applyFill="1" applyBorder="1" applyNumberFormat="1">
      <alignment horizontal="right" vertical="center"/>
    </xf>
    <xf numFmtId="172" fontId="19" fillId="34" borderId="46" xfId="0" applyFont="1" applyFill="1" applyBorder="1" applyNumberFormat="1">
      <alignment horizontal="right" vertical="center"/>
    </xf>
    <xf numFmtId="49" fontId="21" fillId="34" borderId="46" xfId="0" applyFont="1" applyFill="1" applyBorder="1" applyNumberFormat="1">
      <alignment horizontal="left" vertical="center" wrapText="1"/>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42" borderId="46" xfId="0" applyFont="1" applyFill="1" applyBorder="1">
      <alignment horizontal="left" vertical="center" wrapText="1" indent="1"/>
    </xf>
    <xf numFmtId="0" fontId="19" fillId="0" borderId="11" xfId="0" applyFont="1" applyBorder="1">
      <alignment horizontal="left" vertical="center" wrapText="1" indent="1"/>
    </xf>
    <xf numFmtId="0" fontId="21" fillId="0" borderId="11" xfId="0" applyFont="1" applyBorder="1">
      <alignment horizontal="center" vertical="center" wrapText="1"/>
    </xf>
    <xf numFmtId="172" fontId="19" fillId="34" borderId="11" xfId="0" applyFont="1" applyFill="1" applyBorder="1" applyNumberFormat="1">
      <alignment horizontal="right" vertical="center"/>
    </xf>
    <xf numFmtId="0" fontId="19" fillId="42" borderId="11" xfId="0" applyFont="1" applyFill="1" applyBorder="1">
      <alignment horizontal="left" vertical="center" wrapText="1" indent="1"/>
    </xf>
    <xf numFmtId="0" fontId="19" fillId="0" borderId="11" xfId="0" applyFont="1" applyBorder="1">
      <alignment vertical="center" wrapText="1"/>
    </xf>
    <xf numFmtId="0" fontId="19" fillId="0" borderId="11" xfId="0" applyFont="1" applyBorder="1">
      <alignment horizontal="left" vertical="center" wrapText="1"/>
    </xf>
    <xf numFmtId="49" fontId="19" fillId="34" borderId="11" xfId="0" applyFont="1" applyFill="1" applyBorder="1" applyNumberFormat="1">
      <alignment horizontal="left" vertical="center" wrapText="1"/>
    </xf>
    <xf numFmtId="0" fontId="0" fillId="0" borderId="0" xfId="0" applyFont="1">
      <alignment vertical="center" wrapText="1"/>
    </xf>
    <xf numFmtId="172" fontId="21" fillId="34" borderId="11" xfId="0" applyFont="1" applyFill="1" applyBorder="1" applyNumberFormat="1">
      <alignment horizontal="right" vertical="center"/>
      <protection locked="0"/>
    </xf>
    <xf numFmtId="49" fontId="21" fillId="34" borderId="11" xfId="0" applyFont="1" applyFill="1" applyBorder="1" applyNumberFormat="1">
      <alignment horizontal="left" vertical="center" wrapText="1"/>
      <protection locked="0"/>
    </xf>
    <xf numFmtId="172" fontId="0" fillId="34" borderId="11" xfId="0" applyFont="1" applyFill="1" applyBorder="1" applyNumberFormat="1">
      <alignment horizontal="right" vertical="center"/>
      <protection locked="0"/>
    </xf>
    <xf numFmtId="172" fontId="21" fillId="34" borderId="10" xfId="0" applyFont="1" applyFill="1" applyBorder="1" applyNumberFormat="1">
      <alignment horizontal="right" vertical="center"/>
      <protection locked="0"/>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49" fontId="21" fillId="34" borderId="10"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19" fillId="34" borderId="11" xfId="0" applyFont="1" applyFill="1" applyBorder="1" applyNumberFormat="1">
      <alignment horizontal="right" vertical="center"/>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0" fontId="0"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0" fontId="21" fillId="0" borderId="0" xfId="47" applyFont="1" applyNumberFormat="1"/>
    <xf numFmtId="0" fontId="21" fillId="0" borderId="0" xfId="47" applyFont="1" applyNumberFormat="1">
      <alignment horizontal="left"/>
    </xf>
    <xf numFmtId="0" fontId="21" fillId="48" borderId="0" xfId="47" applyFont="1" applyFill="1" applyNumberFormat="1">
      <alignment horizontal="center" vertical="center"/>
    </xf>
    <xf numFmtId="0" fontId="51" fillId="0" borderId="0" xfId="0" applyFont="1">
      <alignment wrapText="1"/>
    </xf>
    <xf numFmtId="0" fontId="0" fillId="25" borderId="0" xfId="47" applyFont="1" applyFill="1" applyNumberFormat="1">
      <alignment horizontal="center"/>
    </xf>
    <xf numFmtId="0" fontId="0" fillId="0" borderId="0" xfId="47" applyFont="1" applyNumberFormat="1">
      <alignment horizontal="left"/>
    </xf>
    <xf numFmtId="0" fontId="0" fillId="0" borderId="0" xfId="47" applyFont="1" applyNumberFormat="1">
      <alignment horizontal="center" wrapText="1"/>
    </xf>
    <xf numFmtId="0" fontId="0" fillId="25" borderId="0" xfId="0" applyFont="1" applyFill="1">
      <alignment horizontal="center"/>
    </xf>
    <xf numFmtId="0" fontId="0" fillId="0" borderId="0" xfId="47" applyFont="1" applyNumberFormat="1">
      <alignment horizontal="center"/>
    </xf>
    <xf numFmtId="0" fontId="21" fillId="43" borderId="0" xfId="47" applyFont="1" applyFill="1" applyNumberFormat="1"/>
    <xf numFmtId="0" fontId="21" fillId="43" borderId="0" xfId="47" applyFont="1" applyFill="1" applyNumberFormat="1">
      <alignment horizontal="left"/>
    </xf>
    <xf numFmtId="0" fontId="19" fillId="43" borderId="0" xfId="47" applyFont="1" applyFill="1" applyNumberFormat="1"/>
    <xf numFmtId="0" fontId="21" fillId="43" borderId="0" xfId="47" applyFont="1" applyFill="1" applyNumberFormat="1">
      <alignment wrapText="1"/>
    </xf>
    <xf numFmtId="0" fontId="21" fillId="43" borderId="0" xfId="0" applyFont="1" applyFill="1"/>
    <xf numFmtId="0" fontId="21" fillId="0" borderId="0" xfId="0" applyFont="1"/>
    <xf numFmtId="0" fontId="21" fillId="4" borderId="0" xfId="47" applyFont="1" applyFill="1" applyNumberFormat="1"/>
    <xf numFmtId="0" fontId="0" fillId="4" borderId="0" xfId="47" applyFont="1" applyFill="1" applyNumberFormat="1">
      <alignment horizontal="center"/>
    </xf>
    <xf numFmtId="0" fontId="21" fillId="4" borderId="0" xfId="47" applyFont="1" applyFill="1" applyNumberFormat="1">
      <alignment horizontal="left"/>
    </xf>
    <xf numFmtId="0" fontId="19" fillId="4" borderId="0" xfId="47" applyFont="1" applyFill="1" applyNumberFormat="1"/>
    <xf numFmtId="0" fontId="21" fillId="4" borderId="0" xfId="47" applyFont="1" applyFill="1" applyNumberFormat="1">
      <alignment wrapText="1"/>
    </xf>
    <xf numFmtId="0" fontId="21" fillId="4" borderId="0" xfId="0" applyFont="1" applyFill="1"/>
    <xf numFmtId="0" fontId="19" fillId="0" borderId="0" xfId="47" applyFont="1" applyNumberFormat="1">
      <alignment vertical="center"/>
    </xf>
    <xf numFmtId="0" fontId="19" fillId="0" borderId="0" xfId="47" applyFont="1" applyNumberFormat="1">
      <alignment horizontal="left" vertical="center"/>
    </xf>
    <xf numFmtId="0" fontId="0" fillId="0" borderId="0" xfId="47" applyFont="1" applyNumberFormat="1">
      <alignment horizontal="left" vertical="center"/>
    </xf>
    <xf numFmtId="0" fontId="21" fillId="0" borderId="0" xfId="47" applyFont="1" applyNumberFormat="1">
      <alignment horizontal="center" vertical="center"/>
    </xf>
    <xf numFmtId="0" fontId="22" fillId="0" borderId="56" xfId="47" applyFont="1" applyBorder="1" applyNumberFormat="1" quotePrefix="1">
      <alignment horizontal="left" vertical="center" indent="1"/>
    </xf>
    <xf numFmtId="0" fontId="39" fillId="0" borderId="56" xfId="47" applyFont="1" applyBorder="1" applyNumberFormat="1">
      <alignment vertical="center"/>
    </xf>
    <xf numFmtId="0" fontId="39" fillId="0" borderId="56" xfId="47" applyFont="1" applyBorder="1" applyNumberFormat="1"/>
    <xf numFmtId="0" fontId="39" fillId="0" borderId="56" xfId="0" applyFont="1" applyBorder="1"/>
    <xf numFmtId="0" fontId="21" fillId="43" borderId="0" xfId="47" applyFont="1" applyFill="1" applyNumberFormat="1">
      <alignment horizontal="center"/>
    </xf>
    <xf numFmtId="0" fontId="19" fillId="0" borderId="0" xfId="47" applyFont="1" applyNumberFormat="1">
      <alignment horizontal="center"/>
    </xf>
    <xf numFmtId="0" fontId="19" fillId="0" borderId="0" xfId="47" applyFont="1" applyNumberFormat="1">
      <alignment horizontal="center" wrapText="1"/>
    </xf>
    <xf numFmtId="0" fontId="0" fillId="0" borderId="0" xfId="47" applyFont="1" applyNumberFormat="1">
      <alignment horizontal="center" vertical="center"/>
    </xf>
    <xf numFmtId="0" fontId="30" fillId="0" borderId="0" xfId="47" applyFont="1" applyNumberFormat="1">
      <alignment vertical="center" wrapText="1"/>
    </xf>
    <xf numFmtId="0" fontId="19" fillId="0" borderId="11" xfId="47" applyFont="1" applyBorder="1" applyNumberFormat="1">
      <alignment horizontal="center" vertical="center" wrapText="1"/>
    </xf>
    <xf numFmtId="0" fontId="19" fillId="53" borderId="11" xfId="47" applyFont="1" applyFill="1" applyBorder="1" applyNumberFormat="1">
      <alignment horizontal="center" vertical="center" wrapText="1"/>
    </xf>
    <xf numFmtId="0" fontId="19" fillId="53" borderId="11" xfId="0" applyFont="1" applyFill="1" applyBorder="1">
      <alignment horizontal="center" vertical="center" wrapText="1"/>
    </xf>
    <xf numFmtId="0" fontId="19" fillId="0" borderId="11" xfId="0" applyFont="1" applyBorder="1">
      <alignment horizontal="center" vertical="center" wrapText="1"/>
    </xf>
    <xf numFmtId="0" fontId="21" fillId="0" borderId="11" xfId="47" applyFont="1" applyBorder="1" applyNumberFormat="1">
      <alignment horizontal="center" vertical="center" wrapText="1"/>
    </xf>
    <xf numFmtId="0" fontId="21" fillId="53" borderId="57" xfId="47" applyFont="1" applyFill="1" applyBorder="1" applyNumberFormat="1">
      <alignment horizontal="center" vertical="center" wrapText="1"/>
    </xf>
    <xf numFmtId="0" fontId="21" fillId="53" borderId="57" xfId="0" applyFont="1" applyFill="1" applyBorder="1">
      <alignment horizontal="center" vertical="center" wrapText="1"/>
    </xf>
    <xf numFmtId="0" fontId="19" fillId="0" borderId="0" xfId="47" applyFont="1" applyNumberFormat="1">
      <alignment vertical="top"/>
    </xf>
    <xf numFmtId="0" fontId="0" fillId="0" borderId="0" xfId="47" applyFont="1" applyNumberFormat="1">
      <alignment horizontal="center" vertical="top"/>
    </xf>
    <xf numFmtId="0" fontId="19" fillId="43" borderId="0" xfId="47" applyFont="1" applyFill="1" applyNumberFormat="1">
      <alignment vertical="top"/>
    </xf>
    <xf numFmtId="0" fontId="19" fillId="0" borderId="58" xfId="47" applyFont="1" applyBorder="1" applyNumberFormat="1">
      <alignment horizontal="center" vertical="center" wrapText="1"/>
    </xf>
    <xf numFmtId="0" fontId="21" fillId="0" borderId="0" xfId="47" applyFont="1" applyNumberFormat="1">
      <alignment vertical="center" wrapText="1"/>
    </xf>
    <xf numFmtId="0" fontId="21" fillId="0" borderId="0" xfId="47" applyFont="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51" fillId="0" borderId="0" xfId="0" applyFont="1">
      <alignment wrapText="1"/>
    </xf>
    <xf numFmtId="0" fontId="21" fillId="4" borderId="0" xfId="0" applyFont="1" applyFill="1">
      <alignment vertical="center" wrapText="1"/>
    </xf>
    <xf numFmtId="0" fontId="1" fillId="0" borderId="0" xfId="0" applyFont="1"/>
    <xf numFmtId="0" fontId="1" fillId="0" borderId="0" xfId="0" applyFont="1"/>
    <xf numFmtId="0" fontId="19" fillId="0" borderId="0" xfId="0" applyFont="1">
      <alignment horizontal="left" vertical="center"/>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0" fontId="21" fillId="0" borderId="11" xfId="0" applyFont="1" applyBorder="1">
      <alignment horizontal="left" vertical="center" wrapText="1"/>
    </xf>
    <xf numFmtId="0" fontId="19" fillId="0" borderId="79" xfId="0" applyFont="1" applyBorder="1">
      <alignment horizontal="right" vertical="center" wrapText="1" indent="1"/>
    </xf>
    <xf numFmtId="172" fontId="21" fillId="34" borderId="11" xfId="0" applyFont="1" applyFill="1" applyBorder="1" applyNumberFormat="1">
      <alignment horizontal="right" vertical="center"/>
      <protection locked="0"/>
    </xf>
    <xf numFmtId="0" fontId="19" fillId="0" borderId="79" xfId="0" applyFont="1" applyBorder="1">
      <alignment horizontal="right" vertical="center" wrapText="1" indent="1"/>
    </xf>
    <xf numFmtId="0" fontId="21" fillId="0" borderId="0" xfId="47" applyFont="1" applyNumberFormat="1">
      <alignment wrapText="1"/>
    </xf>
    <xf numFmtId="0" fontId="19" fillId="0" borderId="0" xfId="47" applyFont="1" applyNumberFormat="1"/>
    <xf numFmtId="0" fontId="21" fillId="0" borderId="0" xfId="0" applyFont="1">
      <alignment vertical="center"/>
    </xf>
    <xf numFmtId="0" fontId="21" fillId="4" borderId="0" xfId="0" applyFont="1" applyFill="1">
      <alignment vertical="center"/>
    </xf>
    <xf numFmtId="0" fontId="40" fillId="0" borderId="13" xfId="0" applyFont="1" applyBorder="1">
      <alignment vertical="center" wrapText="1"/>
    </xf>
    <xf numFmtId="0" fontId="21" fillId="11" borderId="11" xfId="0" applyFont="1" applyFill="1" applyBorder="1">
      <alignment horizontal="center" vertical="center" wrapText="1"/>
    </xf>
    <xf numFmtId="0" fontId="21" fillId="11" borderId="37" xfId="0" applyFont="1" applyFill="1" applyBorder="1">
      <alignment horizontal="center" vertical="center" wrapText="1"/>
    </xf>
    <xf numFmtId="0" fontId="21" fillId="0" borderId="37" xfId="0" applyFont="1" applyBorder="1">
      <alignment horizontal="center" vertical="center" wrapText="1"/>
    </xf>
    <xf numFmtId="49" fontId="24" fillId="0" borderId="0" xfId="0" applyFont="1" applyNumberFormat="1">
      <alignment vertical="top"/>
    </xf>
    <xf numFmtId="0" fontId="21" fillId="0" borderId="0" xfId="0" applyFont="1">
      <alignment horizontal="left" vertical="center"/>
    </xf>
    <xf numFmtId="49" fontId="21" fillId="0" borderId="10" xfId="0" applyFont="1" applyBorder="1" applyNumberFormat="1">
      <alignment horizontal="center" vertical="center"/>
    </xf>
    <xf numFmtId="0" fontId="21" fillId="0" borderId="23" xfId="0" applyFont="1" applyBorder="1">
      <alignment vertical="center" wrapText="1"/>
    </xf>
    <xf numFmtId="0" fontId="19" fillId="36" borderId="18" xfId="0" applyFont="1" applyFill="1" applyBorder="1">
      <alignment horizontal="left" vertical="center"/>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19" fillId="0" borderId="11" xfId="0" applyFont="1" applyBorder="1">
      <alignment vertical="center" wrapText="1"/>
    </xf>
    <xf numFmtId="172" fontId="19" fillId="36" borderId="11" xfId="0" applyFont="1" applyFill="1" applyBorder="1" applyNumberFormat="1">
      <alignment horizontal="right" vertical="center"/>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0" xfId="0" applyFont="1">
      <alignment vertical="top"/>
    </xf>
    <xf numFmtId="0" fontId="19" fillId="0" borderId="38" xfId="0" applyFont="1" applyBorder="1">
      <alignment horizontal="left" vertical="center" wrapText="1" indent="1"/>
    </xf>
    <xf numFmtId="0" fontId="0" fillId="0" borderId="0" xfId="0" applyFont="1">
      <alignment horizontal="center" vertical="top"/>
    </xf>
    <xf numFmtId="0" fontId="19" fillId="43" borderId="0" xfId="0" applyFont="1" applyFill="1">
      <alignment vertical="top"/>
    </xf>
    <xf numFmtId="49" fontId="19" fillId="0" borderId="0" xfId="0" applyFont="1" applyNumberFormat="1">
      <alignment horizontal="left" vertical="center"/>
    </xf>
    <xf numFmtId="0" fontId="24" fillId="0" borderId="0" xfId="0" applyFont="1">
      <alignment vertical="top"/>
    </xf>
    <xf numFmtId="172" fontId="19" fillId="0" borderId="0" xfId="0" applyFont="1" applyNumberFormat="1">
      <alignment vertical="top"/>
    </xf>
    <xf numFmtId="172" fontId="24" fillId="0" borderId="0" xfId="0" applyFont="1" applyNumberFormat="1">
      <alignment vertical="top"/>
    </xf>
    <xf numFmtId="49" fontId="19" fillId="4" borderId="0" xfId="0" applyFont="1" applyFill="1" applyNumberFormat="1">
      <alignment vertical="top"/>
    </xf>
    <xf numFmtId="0" fontId="21" fillId="0" borderId="23" xfId="0" applyFont="1" applyBorder="1">
      <alignment vertical="center"/>
    </xf>
    <xf numFmtId="0" fontId="21" fillId="0" borderId="11" xfId="0" applyFont="1" applyBorder="1">
      <alignment horizontal="right" vertical="center" indent="1"/>
    </xf>
    <xf numFmtId="0" fontId="19" fillId="0" borderId="42" xfId="0" applyFont="1" applyBorder="1">
      <alignment vertical="center" wrapText="1"/>
    </xf>
    <xf numFmtId="172" fontId="21" fillId="36" borderId="11" xfId="0" applyFont="1" applyFill="1" applyBorder="1" applyNumberFormat="1">
      <alignment horizontal="right" vertical="center"/>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right" vertical="center" wrapText="1" indent="1"/>
    </xf>
    <xf numFmtId="172" fontId="21" fillId="36" borderId="11" xfId="0" applyFont="1" applyFill="1" applyBorder="1" applyNumberFormat="1">
      <alignment horizontal="right" vertical="center"/>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21" fillId="0" borderId="10" xfId="0" applyFont="1" applyBorder="1">
      <alignmen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21" fillId="0" borderId="0" xfId="0" applyFont="1" applyNumberFormat="1">
      <alignment horizontal="right" vertical="center"/>
    </xf>
    <xf numFmtId="0" fontId="77" fillId="0" borderId="22" xfId="0" applyFont="1" applyBorder="1">
      <alignment vertical="center"/>
    </xf>
    <xf numFmtId="0" fontId="19" fillId="34" borderId="0" xfId="0" applyFont="1" applyFill="1">
      <alignment horizontal="left" vertical="center" wrapText="1"/>
      <protection locked="0"/>
    </xf>
    <xf numFmtId="0" fontId="19" fillId="34" borderId="0" xfId="0" applyFont="1" applyFill="1">
      <alignment horizontal="left" vertical="center" wrapText="1"/>
    </xf>
    <xf numFmtId="0" fontId="19" fillId="34" borderId="73" xfId="0" applyFont="1" applyFill="1" applyBorder="1">
      <alignment horizontal="left" vertical="center" wrapText="1"/>
    </xf>
    <xf numFmtId="0" fontId="19" fillId="34" borderId="24" xfId="0" applyFont="1" applyFill="1" applyBorder="1">
      <alignment horizontal="left" vertical="center" wrapText="1"/>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xf>
    <xf numFmtId="0" fontId="19" fillId="34" borderId="73"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21" fillId="41" borderId="18" xfId="0" applyFont="1" applyFill="1" applyBorder="1">
      <alignment vertical="center"/>
    </xf>
    <xf numFmtId="0" fontId="21" fillId="48" borderId="0" xfId="0" applyFont="1" applyFill="1">
      <alignment horizontal="center" vertical="center"/>
    </xf>
    <xf numFmtId="0" fontId="0" fillId="51" borderId="0" xfId="0" applyFont="1" applyFill="1">
      <alignment horizontal="center" vertical="center"/>
    </xf>
    <xf numFmtId="0" fontId="19" fillId="43" borderId="0" xfId="0" applyFont="1" applyFill="1"/>
    <xf numFmtId="0" fontId="29" fillId="0" borderId="0" xfId="0" applyFont="1">
      <alignment vertical="center"/>
    </xf>
    <xf numFmtId="0" fontId="19" fillId="0" borderId="0" xfId="0" applyFont="1"/>
    <xf numFmtId="0" fontId="19" fillId="0" borderId="0" xfId="0" applyFont="1">
      <alignment horizontal="center" vertical="top"/>
    </xf>
    <xf numFmtId="0" fontId="19" fillId="0" borderId="0" xfId="0" applyFont="1">
      <alignment horizontal="center"/>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19" fillId="0" borderId="10" xfId="0" applyFont="1" applyBorder="1">
      <alignment horizontal="center" vertical="center" wrapText="1"/>
    </xf>
    <xf numFmtId="0" fontId="0" fillId="42" borderId="10" xfId="0" applyFont="1" applyFill="1" applyBorder="1">
      <alignment horizontal="left" vertical="center" wrapText="1"/>
    </xf>
    <xf numFmtId="0" fontId="0" fillId="34" borderId="10" xfId="0" applyFont="1" applyFill="1" applyBorder="1">
      <alignment horizontal="left" vertical="center" wrapText="1"/>
    </xf>
    <xf numFmtId="3" fontId="0" fillId="34" borderId="10" xfId="0" applyFont="1" applyFill="1" applyBorder="1" applyNumberFormat="1">
      <alignment horizontal="left" vertical="center" wrapText="1"/>
    </xf>
    <xf numFmtId="4" fontId="0" fillId="34" borderId="10" xfId="0" applyFont="1" applyFill="1" applyBorder="1" applyNumberFormat="1">
      <alignment horizontal="right" vertical="center" wrapText="1"/>
    </xf>
    <xf numFmtId="0" fontId="0" fillId="34" borderId="10" xfId="0" applyFont="1" applyFill="1" applyBorder="1">
      <alignment horizontal="left" vertical="center" wrapText="1" indent="1"/>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xf>
    <xf numFmtId="172" fontId="0" fillId="34" borderId="11" xfId="0" applyFont="1" applyFill="1" applyBorder="1" applyNumberFormat="1">
      <alignment vertical="center" wrapText="1"/>
    </xf>
    <xf numFmtId="172" fontId="0" fillId="36" borderId="11" xfId="0" applyFont="1" applyFill="1" applyBorder="1" applyNumberFormat="1">
      <alignment vertical="center" wrapText="1"/>
    </xf>
    <xf numFmtId="49" fontId="0" fillId="34" borderId="10" xfId="0" applyFont="1" applyFill="1" applyBorder="1" applyNumberFormat="1">
      <alignment horizontal="left" vertical="center" wrapText="1"/>
    </xf>
    <xf numFmtId="0" fontId="19" fillId="4" borderId="0" xfId="0" applyFont="1" applyFill="1"/>
    <xf numFmtId="0" fontId="21" fillId="0" borderId="0" xfId="0" applyFont="1"/>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29" fillId="0" borderId="0" xfId="0" applyFont="1">
      <alignment vertical="center"/>
    </xf>
    <xf numFmtId="0" fontId="21" fillId="43" borderId="0" xfId="0" applyFont="1" applyFill="1">
      <alignment vertical="center"/>
    </xf>
    <xf numFmtId="49" fontId="50" fillId="0" borderId="0" xfId="0" applyFont="1" applyNumberFormat="1">
      <alignment horizontal="center" vertical="center" wrapText="1"/>
    </xf>
    <xf numFmtId="0" fontId="19" fillId="34" borderId="30" xfId="0" applyFont="1" applyFill="1" applyBorder="1">
      <alignment horizontal="left" vertical="center" wrapText="1"/>
    </xf>
    <xf numFmtId="0" fontId="19" fillId="34" borderId="18" xfId="0" applyFont="1" applyFill="1" applyBorder="1">
      <alignment horizontal="left" vertical="center" wrapText="1"/>
    </xf>
    <xf numFmtId="0" fontId="19" fillId="34" borderId="29" xfId="0" applyFont="1" applyFill="1" applyBorder="1">
      <alignment horizontal="left" vertical="center" wrapText="1"/>
    </xf>
    <xf numFmtId="0" fontId="21" fillId="4" borderId="0" xfId="0" applyFont="1" applyFill="1">
      <alignment vertical="center"/>
    </xf>
    <xf numFmtId="0" fontId="21" fillId="41" borderId="18" xfId="0" applyFont="1" applyFill="1" applyBorder="1">
      <alignment vertical="center"/>
    </xf>
    <xf numFmtId="49" fontId="40" fillId="0" borderId="13" xfId="0" applyFont="1" applyBorder="1" applyNumberFormat="1">
      <alignment horizontal="left" vertical="center" indent="1"/>
    </xf>
    <xf numFmtId="49" fontId="40" fillId="0" borderId="28" xfId="0" applyFont="1" applyBorder="1" applyNumberFormat="1">
      <alignment horizontal="left" vertical="center" wrapText="1" indent="4"/>
    </xf>
    <xf numFmtId="0" fontId="21" fillId="0" borderId="0" xfId="0" applyFont="1">
      <alignment horizontal="center" vertical="center" wrapText="1"/>
    </xf>
    <xf numFmtId="0" fontId="29" fillId="0" borderId="0" xfId="0" applyFont="1">
      <alignment horizontal="center" vertical="center" wrapText="1"/>
    </xf>
    <xf numFmtId="0" fontId="21" fillId="43" borderId="0" xfId="0" applyFont="1" applyFill="1">
      <alignment horizontal="center" vertical="center" wrapText="1"/>
    </xf>
    <xf numFmtId="49" fontId="29" fillId="0" borderId="0" xfId="0" applyFont="1" applyNumberFormat="1">
      <alignment horizontal="center" vertical="center" wrapText="1"/>
    </xf>
    <xf numFmtId="49" fontId="19" fillId="33" borderId="11" xfId="0" applyFont="1" applyFill="1" applyBorder="1" applyNumberFormat="1">
      <alignment horizontal="center" vertical="center" wrapText="1"/>
    </xf>
    <xf numFmtId="4" fontId="19" fillId="36" borderId="11" xfId="0" applyFont="1" applyFill="1" applyBorder="1" applyNumberFormat="1">
      <alignment horizontal="right" vertical="center"/>
    </xf>
    <xf numFmtId="0" fontId="21" fillId="4" borderId="0" xfId="0" applyFont="1" applyFill="1">
      <alignment horizontal="center" vertical="center" wrapText="1"/>
    </xf>
    <xf numFmtId="0" fontId="19" fillId="33" borderId="11" xfId="0" applyFont="1" applyFill="1" applyBorder="1">
      <alignment horizontal="center" vertical="center" wrapText="1"/>
    </xf>
    <xf numFmtId="0" fontId="19" fillId="42" borderId="11" xfId="0" applyFont="1" applyFill="1" applyBorder="1">
      <alignment horizontal="left" vertical="center" wrapText="1"/>
    </xf>
    <xf numFmtId="0" fontId="19" fillId="43" borderId="0" xfId="0" applyFont="1" applyFill="1">
      <alignment vertical="center"/>
    </xf>
    <xf numFmtId="0" fontId="19" fillId="4" borderId="0" xfId="0" applyFont="1" applyFill="1">
      <alignment vertical="center"/>
    </xf>
    <xf numFmtId="0" fontId="0"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0"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 fillId="0" borderId="10" xfId="0" applyFont="1" applyBorder="1">
      <alignment vertical="center"/>
    </xf>
    <xf numFmtId="49" fontId="19" fillId="34" borderId="18"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xf>
    <xf numFmtId="49" fontId="19" fillId="34" borderId="30" xfId="0" applyFont="1" applyFill="1" applyBorder="1" applyNumberFormat="1">
      <alignment horizontal="left" vertical="top" wrapText="1"/>
    </xf>
    <xf numFmtId="49" fontId="19" fillId="34" borderId="29" xfId="0" applyFont="1" applyFill="1" applyBorder="1" applyNumberFormat="1">
      <alignment horizontal="left" vertical="top" wrapText="1"/>
    </xf>
    <xf numFmtId="0" fontId="21" fillId="41" borderId="18" xfId="0" applyFont="1" applyFill="1" applyBorder="1">
      <alignment vertical="center"/>
    </xf>
    <xf numFmtId="49" fontId="40" fillId="0" borderId="13" xfId="0" applyFont="1" applyBorder="1" applyNumberFormat="1">
      <alignment vertical="center" wrapText="1"/>
    </xf>
    <xf numFmtId="0" fontId="21" fillId="0" borderId="0" xfId="0" applyFont="1">
      <alignment horizontal="center" vertical="center" wrapText="1"/>
    </xf>
    <xf numFmtId="0" fontId="29" fillId="0" borderId="0" xfId="0" applyFont="1">
      <alignment horizontal="center" vertical="center"/>
    </xf>
    <xf numFmtId="0" fontId="29" fillId="0" borderId="0" xfId="0" applyFont="1">
      <alignment horizontal="center" vertical="center"/>
    </xf>
    <xf numFmtId="0" fontId="21" fillId="0" borderId="0" xfId="0" applyFont="1">
      <alignment horizontal="center" vertical="center"/>
    </xf>
    <xf numFmtId="4" fontId="19" fillId="36" borderId="11" xfId="0" applyFont="1" applyFill="1" applyBorder="1" applyNumberFormat="1">
      <alignment horizontal="right" vertical="center"/>
    </xf>
    <xf numFmtId="4" fontId="21" fillId="34"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0" fontId="42" fillId="43" borderId="30" xfId="0" applyFont="1" applyFill="1" applyBorder="1">
      <alignment horizontal="center" vertical="center" wrapText="1"/>
    </xf>
    <xf numFmtId="0" fontId="19" fillId="43" borderId="0" xfId="0" applyFont="1" applyFill="1">
      <alignment horizontal="left"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0" fontId="49" fillId="0" borderId="0" xfId="0" applyFont="1">
      <alignment horizontal="left" vertical="top"/>
    </xf>
    <xf numFmtId="0" fontId="38" fillId="41" borderId="19" xfId="0" applyFont="1" applyFill="1" applyBorder="1">
      <alignment horizontal="left" vertical="center" wrapText="1" indent="1"/>
    </xf>
    <xf numFmtId="0" fontId="0" fillId="0" borderId="0" xfId="0" applyFont="1">
      <alignment vertical="center" wrapText="1"/>
    </xf>
    <xf numFmtId="0" fontId="19" fillId="42" borderId="11" xfId="0" applyFont="1" applyFill="1" applyBorder="1">
      <alignment horizontal="left" vertical="center" wrapText="1"/>
      <protection locked="0"/>
    </xf>
    <xf numFmtId="0" fontId="38" fillId="41" borderId="19" xfId="0" applyFont="1" applyFill="1" applyBorder="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0" fillId="0" borderId="0" xfId="0" applyFont="1">
      <alignment vertical="center" wrapText="1"/>
    </xf>
    <xf numFmtId="0" fontId="38" fillId="41" borderId="19" xfId="0" applyFont="1" applyFill="1" applyBorder="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18" xfId="0" applyFont="1" applyBorder="1">
      <alignment horizontal="center" vertical="center" wrapText="1"/>
    </xf>
    <xf numFmtId="0" fontId="50" fillId="0" borderId="52" xfId="0" applyFont="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19" fillId="43" borderId="0" xfId="0" applyFont="1" applyFill="1">
      <alignment horizontal="center"/>
    </xf>
    <xf numFmtId="0" fontId="19" fillId="0" borderId="0" xfId="0" applyFont="1">
      <alignment horizontal="left"/>
    </xf>
    <xf numFmtId="0" fontId="19" fillId="4" borderId="0" xfId="0" applyFont="1" applyFill="1">
      <alignment horizontal="center"/>
    </xf>
    <xf numFmtId="0" fontId="22" fillId="0" borderId="0" xfId="0" applyFont="1">
      <alignment horizontal="center"/>
    </xf>
    <xf numFmtId="1" fontId="21" fillId="0" borderId="0" xfId="0" applyFont="1" applyNumberFormat="1">
      <alignment vertical="center"/>
    </xf>
    <xf numFmtId="0" fontId="19" fillId="0" borderId="0" xfId="0" applyFont="1">
      <alignment horizontal="center" vertical="top"/>
    </xf>
    <xf numFmtId="0" fontId="19" fillId="0" borderId="0" xfId="0" applyFont="1">
      <alignment horizontal="center"/>
    </xf>
    <xf numFmtId="49" fontId="37" fillId="40" borderId="29" xfId="0" applyFont="1" applyFill="1" applyBorder="1" applyNumberFormat="1">
      <alignment horizontal="left" vertical="center" wrapText="1"/>
    </xf>
    <xf numFmtId="0" fontId="31" fillId="0" borderId="0" xfId="0" applyFont="1">
      <alignment horizontal="center"/>
    </xf>
    <xf numFmtId="0" fontId="22" fillId="43" borderId="0" xfId="0" applyFont="1" applyFill="1"/>
    <xf numFmtId="0" fontId="22" fillId="0" borderId="10" xfId="0" applyFont="1" applyBorder="1">
      <alignment horizontal="center" vertical="center"/>
    </xf>
    <xf numFmtId="0" fontId="22" fillId="0" borderId="10" xfId="0" applyFont="1" applyBorder="1">
      <alignment vertical="center" wrapText="1"/>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19" fillId="4" borderId="0" xfId="0" applyFont="1" applyFill="1">
      <alignment horizontal="left" vertical="top"/>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49" fontId="29" fillId="0" borderId="0" xfId="0" applyFont="1" applyNumberFormat="1"/>
    <xf numFmtId="0" fontId="1" fillId="0" borderId="0" xfId="0" applyFont="1">
      <alignment vertical="center"/>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xf>
    <xf numFmtId="49" fontId="19" fillId="34" borderId="76" xfId="0" applyFont="1" applyFill="1" applyBorder="1" applyNumberFormat="1">
      <alignment horizontal="left" vertical="top" wrapText="1"/>
    </xf>
    <xf numFmtId="49" fontId="19" fillId="34" borderId="76" xfId="0" applyFont="1" applyFill="1" applyBorder="1" applyNumberFormat="1">
      <alignment horizontal="left" vertical="top" wrapText="1"/>
      <protection locked="0"/>
    </xf>
    <xf numFmtId="0" fontId="21" fillId="25" borderId="0" xfId="0" applyFont="1" applyFill="1"/>
    <xf numFmtId="0" fontId="21" fillId="0" borderId="0" xfId="0" applyFont="1">
      <alignment horizontal="left"/>
    </xf>
    <xf numFmtId="0" fontId="21" fillId="4" borderId="0" xfId="0" applyFont="1" applyFill="1">
      <alignment horizontal="center"/>
    </xf>
    <xf numFmtId="0" fontId="1" fillId="0" borderId="13" xfId="0" applyFont="1" applyBorder="1">
      <alignment vertical="center" wrapText="1"/>
    </xf>
    <xf numFmtId="0" fontId="37" fillId="40" borderId="30" xfId="0" applyFont="1" applyFill="1" applyBorder="1">
      <alignment horizontal="left" vertical="center"/>
    </xf>
    <xf numFmtId="0" fontId="29" fillId="0" borderId="0" xfId="0" applyFont="1">
      <alignment horizontal="left" vertical="center"/>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33" borderId="11" xfId="0" applyFont="1" applyFill="1" applyBorder="1">
      <alignment horizontal="center" vertical="center" wrapText="1"/>
    </xf>
    <xf numFmtId="4" fontId="19" fillId="36" borderId="10" xfId="0" applyFont="1" applyFill="1" applyBorder="1" applyNumberFormat="1">
      <alignment horizontal="right" vertical="center"/>
    </xf>
    <xf numFmtId="0" fontId="19" fillId="4" borderId="0" xfId="0" applyFont="1" applyFill="1">
      <alignment horizontal="left" vertical="top"/>
    </xf>
    <xf numFmtId="0" fontId="19" fillId="0" borderId="10" xfId="0" applyFont="1" applyBorder="1">
      <alignment horizontal="left" vertical="center" wrapText="1" indent="1"/>
    </xf>
    <xf numFmtId="0" fontId="19" fillId="33" borderId="11" xfId="0" applyFont="1" applyFill="1" applyBorder="1">
      <alignment horizontal="center" vertical="center" wrapTex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0" borderId="10" xfId="0" applyFont="1" applyBorder="1">
      <alignment horizontal="left" vertical="center" wrapText="1" indent="2"/>
    </xf>
    <xf numFmtId="0" fontId="19" fillId="0" borderId="10" xfId="0" applyFont="1" applyBorder="1">
      <alignment horizontal="left"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19" fillId="48" borderId="0" xfId="0" applyFont="1" applyFill="1">
      <alignment horizontal="center" vertical="center"/>
    </xf>
    <xf numFmtId="49" fontId="19" fillId="0" borderId="0" xfId="0" applyFont="1" applyNumberFormat="1">
      <alignment vertical="top"/>
    </xf>
    <xf numFmtId="49" fontId="19" fillId="48" borderId="0" xfId="0" applyFont="1" applyFill="1" applyNumberForma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0" fontId="19" fillId="25" borderId="0" xfId="0" applyFont="1" applyFill="1">
      <alignment horizontal="center"/>
    </xf>
    <xf numFmtId="0" fontId="19" fillId="4" borderId="0" xfId="0" applyFont="1" applyFill="1">
      <alignment vertical="top"/>
    </xf>
    <xf numFmtId="0" fontId="21" fillId="0" borderId="0" xfId="0" applyFont="1">
      <alignment vertical="center"/>
    </xf>
    <xf numFmtId="49" fontId="40" fillId="0" borderId="13" xfId="0" applyFont="1" applyBorder="1" applyNumberFormat="1">
      <alignment horizontal="left" vertical="center" wrapText="1" indent="1"/>
    </xf>
    <xf numFmtId="0" fontId="22" fillId="0" borderId="0" xfId="0" applyFont="1">
      <alignment horizontal="center"/>
    </xf>
    <xf numFmtId="0" fontId="21" fillId="0" borderId="77" xfId="0" applyFont="1" applyBorder="1">
      <alignment horizontal="center" vertical="center" wrapText="1"/>
    </xf>
    <xf numFmtId="0" fontId="21" fillId="0" borderId="48" xfId="0" applyFont="1" applyBorder="1">
      <alignment horizontal="center" vertical="center" wrapText="1"/>
    </xf>
    <xf numFmtId="0" fontId="21" fillId="11" borderId="37" xfId="0" applyFont="1" applyFill="1" applyBorder="1">
      <alignment horizontal="center" vertical="center" wrapText="1"/>
    </xf>
    <xf numFmtId="0" fontId="21" fillId="0" borderId="10" xfId="0" applyFont="1" applyBorder="1">
      <alignment horizontal="center" vertical="center" wrapText="1"/>
    </xf>
    <xf numFmtId="0" fontId="21" fillId="0" borderId="0" xfId="0" applyFont="1">
      <alignment horizontal="center" vertical="center" wrapText="1"/>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0" fontId="21" fillId="0" borderId="0" xfId="0" applyFont="1">
      <alignment horizontal="left" vertical="center"/>
    </xf>
    <xf numFmtId="0" fontId="22" fillId="43" borderId="0" xfId="0" applyFont="1" applyFill="1"/>
    <xf numFmtId="0" fontId="22" fillId="0" borderId="0" xfId="0" applyFont="1"/>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center" vertical="center" wrapText="1"/>
    </xf>
    <xf numFmtId="4"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0" fontId="22" fillId="4" borderId="0" xfId="0" applyFont="1" applyFill="1"/>
    <xf numFmtId="0" fontId="21" fillId="0" borderId="0" xfId="0" applyFont="1">
      <alignment horizontal="left" vertical="center"/>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9" fontId="19" fillId="0" borderId="46" xfId="0" applyFont="1" applyBorder="1" applyNumberFormat="1">
      <alignment horizontal="center" vertical="center" wrapText="1"/>
    </xf>
    <xf numFmtId="4" fontId="19" fillId="34" borderId="46" xfId="0" applyFont="1" applyFill="1" applyBorder="1" applyNumberFormat="1">
      <alignment horizontal="right" vertical="center" wrapText="1"/>
      <protection locked="0"/>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172" fontId="19" fillId="36" borderId="11" xfId="0" applyFont="1" applyFill="1" applyBorder="1" applyNumberFormat="1">
      <alignment horizontal="right" vertical="center" wrapText="1"/>
    </xf>
    <xf numFmtId="0" fontId="40" fillId="0" borderId="0" xfId="0" applyFont="1">
      <alignment horizontal="left" vertical="center"/>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0" borderId="0" xfId="0" applyFont="1" applyNumberFormat="1">
      <alignment horizontal="center" vertical="center"/>
    </xf>
    <xf numFmtId="0" fontId="21" fillId="43" borderId="0" xfId="0" applyFont="1" applyFill="1">
      <alignment vertical="center"/>
    </xf>
    <xf numFmtId="0" fontId="19" fillId="0" borderId="0" xfId="0" applyFont="1"/>
    <xf numFmtId="0" fontId="50" fillId="0" borderId="52" xfId="0" applyFont="1" applyBorder="1">
      <alignment horizontal="center" vertical="center" wrapText="1"/>
    </xf>
    <xf numFmtId="49" fontId="19" fillId="34" borderId="30" xfId="0" applyFont="1" applyFill="1" applyBorder="1" applyNumberFormat="1">
      <alignment horizontal="left" vertical="top" wrapText="1"/>
    </xf>
    <xf numFmtId="49" fontId="19" fillId="34" borderId="18" xfId="0" applyFont="1" applyFill="1" applyBorder="1" applyNumberFormat="1">
      <alignment horizontal="left" vertical="top" wrapText="1"/>
    </xf>
    <xf numFmtId="49" fontId="19" fillId="34" borderId="29" xfId="0" applyFont="1" applyFill="1" applyBorder="1" applyNumberFormat="1">
      <alignment horizontal="left" vertical="top" wrapText="1"/>
      <protection locked="0"/>
    </xf>
    <xf numFmtId="0" fontId="21" fillId="4" borderId="0" xfId="0" applyFont="1" applyFill="1">
      <alignment vertical="center"/>
    </xf>
    <xf numFmtId="0" fontId="21" fillId="41" borderId="18" xfId="0" applyFont="1" applyFill="1" applyBorder="1">
      <alignment vertical="center"/>
    </xf>
    <xf numFmtId="0" fontId="21" fillId="41" borderId="29" xfId="0" applyFont="1" applyFill="1" applyBorder="1">
      <alignment vertical="center"/>
    </xf>
    <xf numFmtId="0" fontId="23" fillId="43" borderId="0" xfId="0" applyFont="1" applyFill="1"/>
    <xf numFmtId="0" fontId="23" fillId="0" borderId="0" xfId="0" applyFont="1"/>
    <xf numFmtId="0" fontId="23" fillId="4" borderId="0" xfId="0" applyFont="1" applyFill="1"/>
    <xf numFmtId="0" fontId="1" fillId="0" borderId="13" xfId="0" applyFont="1" applyBorder="1">
      <alignment vertical="center"/>
    </xf>
    <xf numFmtId="0" fontId="26" fillId="0" borderId="0" xfId="0" applyFont="1">
      <alignment horizontal="left"/>
    </xf>
    <xf numFmtId="0" fontId="23" fillId="0" borderId="0" xfId="0" applyFont="1">
      <alignment horizontal="left"/>
    </xf>
    <xf numFmtId="0" fontId="23" fillId="0" borderId="0" xfId="0" applyFont="1"/>
    <xf numFmtId="49" fontId="23" fillId="0" borderId="0" xfId="0" applyFont="1" applyNumberFormat="1"/>
    <xf numFmtId="0" fontId="23" fillId="0" borderId="0" xfId="0" applyFont="1">
      <alignment horizontal="center"/>
    </xf>
    <xf numFmtId="4" fontId="43" fillId="40" borderId="18" xfId="0" applyFont="1" applyFill="1" applyBorder="1" applyNumberFormat="1">
      <alignment horizontal="right" vertical="center"/>
    </xf>
    <xf numFmtId="0" fontId="37" fillId="40" borderId="29" xfId="0" applyFont="1" applyFill="1" applyBorder="1">
      <alignment horizontal="left" vertical="center"/>
    </xf>
    <xf numFmtId="0" fontId="64" fillId="0" borderId="0" xfId="0" applyFont="1"/>
    <xf numFmtId="49" fontId="64" fillId="0" borderId="0" xfId="0" applyFont="1" applyNumberFormat="1"/>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9" fontId="50" fillId="0" borderId="64" xfId="0" applyFont="1" applyBorder="1" applyNumberFormat="1">
      <alignment horizontal="center" vertical="top" wrapText="1"/>
    </xf>
    <xf numFmtId="49" fontId="21" fillId="0" borderId="11" xfId="0" applyFont="1" applyBorder="1" applyNumberFormat="1">
      <alignment horizontal="left" vertical="center" wrapText="1"/>
    </xf>
    <xf numFmtId="0" fontId="19" fillId="0" borderId="10" xfId="0" applyFont="1" applyBorder="1">
      <alignment horizontal="left" vertical="center" wrapText="1" indent="2"/>
    </xf>
    <xf numFmtId="0" fontId="23" fillId="0" borderId="0" xfId="0" applyFont="1">
      <alignment wrapTex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3" fillId="0" borderId="0" xfId="0" applyFont="1">
      <alignment vertical="top"/>
    </xf>
    <xf numFmtId="0" fontId="50" fillId="0" borderId="64" xfId="0" applyFont="1" applyBorder="1">
      <alignment horizontal="center" vertical="top" wrapText="1"/>
    </xf>
    <xf numFmtId="0" fontId="23" fillId="0" borderId="0" xfId="0" applyFont="1">
      <alignment horizontal="center" vertical="top"/>
    </xf>
    <xf numFmtId="49" fontId="23" fillId="0" borderId="0" xfId="0" applyFont="1" applyNumberFormat="1">
      <alignment vertical="top"/>
    </xf>
    <xf numFmtId="0" fontId="53" fillId="0" borderId="0" xfId="0" applyFont="1">
      <alignment horizontal="center"/>
    </xf>
    <xf numFmtId="0" fontId="26" fillId="43" borderId="0" xfId="0" applyFont="1" applyFill="1"/>
    <xf numFmtId="4" fontId="22" fillId="34" borderId="10" xfId="0" applyFont="1" applyFill="1" applyBorder="1" applyNumberFormat="1">
      <alignment horizontal="right" vertical="center"/>
      <protection locked="0"/>
    </xf>
    <xf numFmtId="0" fontId="26" fillId="4" borderId="0" xfId="0" applyFont="1" applyFill="1"/>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40" fillId="0" borderId="13" xfId="0" applyFont="1" applyBorder="1" applyNumberFormat="1">
      <alignment horizontal="left" vertical="center" wrapText="1" indent="4"/>
    </xf>
    <xf numFmtId="49" fontId="22" fillId="0" borderId="0" xfId="0" applyFont="1" applyNumberFormat="1">
      <alignment horizontal="left" vertical="center" wrapText="1" indent="4"/>
    </xf>
    <xf numFmtId="0" fontId="19" fillId="11" borderId="11" xfId="0" applyFont="1" applyFill="1" applyBorder="1">
      <alignment horizontal="center" vertical="center" wrapText="1"/>
    </xf>
    <xf numFmtId="0" fontId="19" fillId="0" borderId="11" xfId="0" applyFont="1" applyBorder="1">
      <alignment horizontal="center" vertical="center" wrapText="1"/>
    </xf>
    <xf numFmtId="0" fontId="19" fillId="11" borderId="37" xfId="0" applyFont="1" applyFill="1" applyBorder="1">
      <alignment horizontal="center" vertical="center" wrapText="1"/>
    </xf>
    <xf numFmtId="0" fontId="19" fillId="0" borderId="37" xfId="0" applyFont="1" applyBorder="1">
      <alignment horizontal="center"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19" fillId="0" borderId="0" xfId="0" applyFont="1">
      <alignment vertical="center"/>
    </xf>
    <xf numFmtId="0" fontId="19" fillId="0" borderId="0" xfId="0" applyFont="1">
      <alignment horizontal="center" vertical="center"/>
    </xf>
    <xf numFmtId="0" fontId="19" fillId="0" borderId="0" xfId="0" applyFont="1">
      <alignment horizontal="center" vertical="top" wrapText="1"/>
    </xf>
    <xf numFmtId="0" fontId="19" fillId="0" borderId="0" xfId="0" applyFont="1">
      <alignment horizontal="center" vertical="center" wrapText="1"/>
    </xf>
    <xf numFmtId="0" fontId="37" fillId="40" borderId="31" xfId="0" applyFont="1" applyFill="1" applyBorder="1">
      <alignment horizontal="left" vertical="center"/>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33" borderId="10" xfId="0" applyFont="1" applyFill="1" applyBorder="1">
      <alignment horizontal="center" vertical="center" wrapText="1"/>
    </xf>
    <xf numFmtId="0" fontId="19" fillId="0" borderId="10" xfId="0" applyFont="1" applyBorder="1">
      <alignment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0" xfId="0" applyFont="1">
      <alignment horizontal="center" vertical="center"/>
    </xf>
    <xf numFmtId="4" fontId="19" fillId="34" borderId="10" xfId="0" applyFont="1" applyFill="1" applyBorder="1" applyNumberFormat="1">
      <alignment horizontal="right" vertical="center" wrapText="1"/>
      <protection locked="0"/>
    </xf>
    <xf numFmtId="0" fontId="19" fillId="0" borderId="0" xfId="0" applyFont="1">
      <alignment horizontal="center" vertical="top" wrapText="1"/>
    </xf>
    <xf numFmtId="0" fontId="22" fillId="41" borderId="30" xfId="0" applyFont="1" applyFill="1" applyBorder="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29" fillId="0" borderId="0" xfId="0" applyFont="1">
      <alignment horizontal="center"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xf>
    <xf numFmtId="0" fontId="21" fillId="4" borderId="0" xfId="0" applyFont="1" applyFill="1">
      <alignment horizontal="center" vertical="center" wrapText="1"/>
    </xf>
    <xf numFmtId="0" fontId="21" fillId="43" borderId="0" xfId="0" applyFont="1" applyFill="1">
      <alignment horizontal="center" vertical="center" wrapText="1"/>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49" fontId="19" fillId="34" borderId="10" xfId="0" applyFont="1" applyFill="1" applyBorder="1" applyNumberFormat="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8" fillId="0" borderId="10" xfId="0" applyFont="1" applyBorder="1">
      <alignment vertical="center"/>
    </xf>
    <xf numFmtId="49" fontId="40" fillId="0" borderId="0" xfId="0" applyFont="1" applyNumberFormat="1">
      <alignment horizontal="left" vertical="center" wrapText="1" indent="4"/>
    </xf>
    <xf numFmtId="49" fontId="19" fillId="33" borderId="10" xfId="0" applyFont="1" applyFill="1" applyBorder="1" applyNumberFormat="1">
      <alignment horizontal="center" vertical="center" wrapText="1"/>
    </xf>
    <xf numFmtId="0" fontId="19"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6" borderId="10" xfId="0" applyFont="1" applyFill="1" applyBorder="1" applyNumberFormat="1">
      <alignment horizontal="right" vertical="center"/>
    </xf>
    <xf numFmtId="49" fontId="0" fillId="0" borderId="0" xfId="0" applyFont="1" applyNumberFormat="1">
      <alignment horizontal="center" vertical="top"/>
    </xf>
    <xf numFmtId="0" fontId="33" fillId="0" borderId="0" xfId="0" applyFont="1">
      <alignment vertical="center"/>
    </xf>
    <xf numFmtId="4" fontId="21"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19" fillId="36" borderId="10" xfId="0" applyFont="1" applyFill="1" applyBorder="1" applyNumberFormat="1">
      <alignment horizontal="right" vertical="center"/>
    </xf>
    <xf numFmtId="4" fontId="21" fillId="34" borderId="10" xfId="0" applyFont="1" applyFill="1" applyBorder="1" applyNumberFormat="1">
      <alignment horizontal="right" vertical="center" wrapText="1"/>
      <protection locked="0"/>
    </xf>
    <xf numFmtId="4" fontId="19" fillId="0" borderId="0" xfId="0" applyFont="1" applyNumberFormat="1">
      <alignment horizontal="right" vertical="center"/>
    </xf>
    <xf numFmtId="0" fontId="21" fillId="0" borderId="13" xfId="0" applyFont="1" applyBorder="1">
      <alignment vertical="center"/>
    </xf>
    <xf numFmtId="49" fontId="19" fillId="0" borderId="10" xfId="0" applyFont="1" applyBorder="1" applyNumberFormat="1">
      <alignment horizontal="center" vertical="center"/>
    </xf>
    <xf numFmtId="0" fontId="19" fillId="0" borderId="10" xfId="0" applyFont="1" applyBorder="1">
      <alignment horizontal="left" vertical="center" wrapText="1"/>
    </xf>
    <xf numFmtId="0" fontId="57" fillId="0" borderId="0" xfId="0" applyFont="1"/>
    <xf numFmtId="0" fontId="19" fillId="0" borderId="10" xfId="0" applyFont="1" applyBorder="1">
      <alignment horizontal="center" vertical="center"/>
    </xf>
    <xf numFmtId="49" fontId="19" fillId="4" borderId="0" xfId="0" applyFont="1" applyFill="1" applyNumberFormat="1">
      <alignment vertical="top"/>
    </xf>
    <xf numFmtId="49" fontId="19" fillId="43" borderId="0" xfId="0" applyFont="1" applyFill="1" applyNumberFormat="1">
      <alignment vertical="top"/>
    </xf>
    <xf numFmtId="0" fontId="21" fillId="0" borderId="10" xfId="0" applyFont="1" applyBorder="1">
      <alignment horizontal="center" vertical="center"/>
    </xf>
    <xf numFmtId="4" fontId="21" fillId="36" borderId="10" xfId="0" applyFont="1" applyFill="1" applyBorder="1" applyNumberFormat="1">
      <alignment horizontal="right"/>
    </xf>
    <xf numFmtId="49" fontId="38" fillId="41" borderId="30" xfId="0" applyFont="1" applyFill="1" applyBorder="1" applyNumberFormat="1">
      <alignment horizontal="left" vertical="center" wrapText="1" indent="1"/>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57" fillId="0" borderId="10" xfId="0" applyFont="1" applyBorder="1">
      <alignment vertical="center"/>
    </xf>
    <xf numFmtId="49" fontId="79" fillId="34" borderId="76" xfId="0" applyFont="1" applyFill="1" applyBorder="1" applyNumberFormat="1">
      <alignment horizontal="left" vertical="top" wrapText="1"/>
      <protection locked="0"/>
    </xf>
    <xf numFmtId="49" fontId="79" fillId="34" borderId="76" xfId="0" applyFont="1" applyFill="1" applyBorder="1" applyNumberFormat="1">
      <alignment horizontal="left" vertical="top" wrapText="1"/>
    </xf>
    <xf numFmtId="0" fontId="22" fillId="0" borderId="10" xfId="0" applyFont="1" applyBorder="1">
      <alignment horizontal="center" vertical="center" wrapText="1"/>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0" borderId="0" xfId="0" applyFont="1">
      <alignment horizontal="center"/>
    </xf>
    <xf numFmtId="0" fontId="19" fillId="43" borderId="0" xfId="0" applyFont="1" applyFill="1"/>
    <xf numFmtId="0" fontId="19" fillId="0" borderId="0" xfId="0" applyFont="1">
      <alignment horizontal="center"/>
    </xf>
    <xf numFmtId="0" fontId="19" fillId="0" borderId="0" xfId="0" applyFont="1"/>
    <xf numFmtId="0" fontId="19" fillId="43" borderId="0" xfId="0" applyFont="1" applyFill="1"/>
    <xf numFmtId="0" fontId="19" fillId="0" borderId="10" xfId="0" applyFont="1" applyBorder="1">
      <alignment horizontal="center"/>
    </xf>
    <xf numFmtId="4" fontId="21" fillId="34" borderId="10" xfId="0" applyFont="1" applyFill="1" applyBorder="1" applyNumberFormat="1">
      <alignment horizontal="right"/>
    </xf>
    <xf numFmtId="4" fontId="21" fillId="34" borderId="10" xfId="0" applyFont="1" applyFill="1" applyBorder="1" applyNumberFormat="1">
      <alignment horizontal="right"/>
      <protection locked="0"/>
    </xf>
    <xf numFmtId="4" fontId="19" fillId="34" borderId="10" xfId="0" applyFont="1" applyFill="1" applyBorder="1" applyNumberFormat="1">
      <alignment horizontal="right" vertical="center" wrapText="1"/>
      <protection locked="0"/>
    </xf>
    <xf numFmtId="49" fontId="19" fillId="34" borderId="11" xfId="0" applyFont="1" applyFill="1" applyBorder="1" applyNumberFormat="1">
      <alignment horizontal="left" vertical="center" wrapText="1"/>
    </xf>
    <xf numFmtId="0" fontId="19" fillId="0" borderId="0" xfId="0" applyFont="1">
      <alignment horizontal="left"/>
    </xf>
    <xf numFmtId="49" fontId="19" fillId="0" borderId="0" xfId="0" applyFont="1" applyNumberFormat="1"/>
    <xf numFmtId="49" fontId="19" fillId="42" borderId="10" xfId="0" applyFont="1" applyFill="1" applyBorder="1" applyNumberFormat="1">
      <alignment horizontal="left" vertical="center" wrapText="1" indent="1"/>
    </xf>
    <xf numFmtId="49" fontId="21" fillId="4" borderId="0" xfId="0" applyFont="1" applyFill="1" applyNumberFormat="1"/>
    <xf numFmtId="49" fontId="22" fillId="41" borderId="30" xfId="0" applyFont="1" applyFill="1" applyBorder="1" applyNumberFormat="1">
      <alignment horizontal="left" vertical="center" wrapText="1"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11" xfId="0" applyFont="1" applyFill="1" applyBorder="1" applyNumberFormat="1">
      <alignment horizontal="left" vertical="center" wrapText="1"/>
      <protection locked="0"/>
    </xf>
    <xf numFmtId="0" fontId="0"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19" fillId="4" borderId="0" xfId="0" applyFont="1" applyFill="1" applyNumberFormat="1">
      <alignment vertical="top"/>
    </xf>
    <xf numFmtId="49" fontId="19" fillId="43" borderId="0" xfId="0" applyFont="1" applyFill="1" applyNumberFormat="1">
      <alignment vertical="top"/>
    </xf>
    <xf numFmtId="0" fontId="21" fillId="0" borderId="13" xfId="0" applyFont="1" applyBorder="1">
      <alignment vertical="center" wrapText="1"/>
    </xf>
    <xf numFmtId="0" fontId="21" fillId="0" borderId="13" xfId="0" applyFont="1" applyBorder="1"/>
    <xf numFmtId="0" fontId="19" fillId="40" borderId="32" xfId="0" applyFont="1" applyFill="1" applyBorder="1">
      <alignment horizontal="left" vertical="center"/>
    </xf>
    <xf numFmtId="0" fontId="40" fillId="43" borderId="0" xfId="0" applyFont="1" applyFill="1"/>
    <xf numFmtId="0" fontId="40" fillId="4" borderId="0" xfId="0" applyFont="1" applyFill="1"/>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31" fillId="0" borderId="0" xfId="0" applyFont="1"/>
    <xf numFmtId="0" fontId="31" fillId="0" borderId="0" xfId="0" applyFont="1"/>
    <xf numFmtId="0" fontId="31" fillId="0" borderId="0" xfId="0" applyFont="1"/>
    <xf numFmtId="0" fontId="31" fillId="0" borderId="0" xfId="0" applyFont="1"/>
    <xf numFmtId="0" fontId="21" fillId="0" borderId="10" xfId="0" applyFont="1" applyBorder="1"/>
    <xf numFmtId="49" fontId="19" fillId="34" borderId="10" xfId="0" applyFont="1" applyFill="1" applyBorder="1" applyNumberFormat="1">
      <alignment horizontal="left" vertical="top" wrapText="1"/>
      <protection locked="0"/>
    </xf>
    <xf numFmtId="49" fontId="19" fillId="34" borderId="10" xfId="0" applyFont="1" applyFill="1" applyBorder="1" applyNumberFormat="1">
      <alignment horizontal="left" vertical="top" wrapText="1"/>
    </xf>
    <xf numFmtId="0" fontId="21" fillId="41" borderId="18" xfId="0" applyFont="1" applyFill="1" applyBorder="1">
      <alignment vertical="center" wrapText="1"/>
    </xf>
    <xf numFmtId="0" fontId="32" fillId="0" borderId="0" xfId="0" applyFont="1">
      <alignment horizontal="left" vertical="top" wrapText="1"/>
    </xf>
    <xf numFmtId="0" fontId="21" fillId="11" borderId="10" xfId="0" applyFont="1" applyFill="1" applyBorder="1">
      <alignment horizontal="center" vertical="center" wrapText="1"/>
    </xf>
    <xf numFmtId="0" fontId="40" fillId="0" borderId="0" xfId="0" applyFont="1"/>
    <xf numFmtId="0" fontId="22" fillId="0" borderId="0" xfId="0" applyFont="1"/>
    <xf numFmtId="49" fontId="22" fillId="0" borderId="10" xfId="0" applyFont="1" applyBorder="1" applyNumberFormat="1">
      <alignment horizontal="center" vertical="center" wrapText="1"/>
    </xf>
    <xf numFmtId="49" fontId="22" fillId="0" borderId="10" xfId="0" applyFont="1" applyBorder="1" applyNumberFormat="1">
      <alignment horizontal="left" vertical="center" wrapText="1"/>
    </xf>
    <xf numFmtId="4" fontId="22" fillId="36" borderId="10" xfId="0" applyFont="1" applyFill="1" applyBorder="1" applyNumberFormat="1">
      <alignment horizontal="right" vertical="center"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172" fontId="19" fillId="34" borderId="10" xfId="0" applyFont="1" applyFill="1" applyBorder="1" applyNumberFormat="1">
      <alignment horizontal="right" vertical="center" wrapText="1"/>
    </xf>
    <xf numFmtId="0" fontId="31" fillId="0" borderId="0" xfId="0" applyFont="1"/>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0" fontId="37" fillId="40" borderId="32" xfId="0" applyFont="1" applyFill="1" applyBorder="1">
      <alignment horizontal="left" vertical="center"/>
    </xf>
    <xf numFmtId="4" fontId="37" fillId="40" borderId="32" xfId="0" applyFont="1" applyFill="1" applyBorder="1" applyNumberFormat="1">
      <alignment horizontal="right" vertical="center"/>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xf>
    <xf numFmtId="4" fontId="0" fillId="34"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68" fillId="34" borderId="10" xfId="0" applyFont="1" applyFill="1" applyBorder="1" applyNumberFormat="1">
      <alignment horizontal="left" vertical="top" wrapText="1"/>
    </xf>
    <xf numFmtId="0" fontId="19" fillId="0" borderId="0" xfId="0" applyFont="1">
      <alignment vertical="top"/>
    </xf>
    <xf numFmtId="0" fontId="37" fillId="40" borderId="10" xfId="0" applyFont="1" applyFill="1" applyBorder="1">
      <alignment horizontal="left" vertical="center"/>
    </xf>
    <xf numFmtId="0" fontId="63" fillId="0" borderId="0" xfId="0" applyFont="1"/>
    <xf numFmtId="49" fontId="63" fillId="0" borderId="0" xfId="0" applyFont="1" applyNumberFormat="1"/>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9" fontId="22" fillId="34" borderId="10" xfId="0" applyFont="1" applyFill="1" applyBorder="1" applyNumberFormat="1">
      <alignment horizontal="left" vertical="center" wrapText="1"/>
    </xf>
    <xf numFmtId="4" fontId="22" fillId="34" borderId="10" xfId="0" applyFont="1" applyFill="1" applyBorder="1" applyNumberFormat="1">
      <alignment horizontal="right" vertical="center" wrapText="1"/>
    </xf>
    <xf numFmtId="4" fontId="19" fillId="36" borderId="10" xfId="0" applyFont="1" applyFill="1" applyBorder="1" applyNumberFormat="1">
      <alignment horizontal="right" vertical="center" wrapText="1"/>
    </xf>
    <xf numFmtId="49" fontId="19" fillId="35" borderId="10" xfId="0" applyFont="1" applyFill="1" applyBorder="1" applyNumberFormat="1">
      <alignment horizontal="center" vertical="center"/>
    </xf>
    <xf numFmtId="0" fontId="19" fillId="35" borderId="10" xfId="0" applyFont="1" applyFill="1" applyBorder="1">
      <alignment horizontal="left" vertical="center" wrapText="1" indent="2"/>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0" fontId="1" fillId="0" borderId="0" xfId="0" applyFont="1"/>
    <xf numFmtId="4" fontId="22" fillId="36" borderId="10" xfId="0" applyFont="1" applyFill="1" applyBorder="1" applyNumberFormat="1">
      <alignment horizontal="right" vertical="center" wrapText="1"/>
    </xf>
    <xf numFmtId="0" fontId="31" fillId="0" borderId="0" xfId="0" applyFont="1"/>
    <xf numFmtId="49" fontId="22" fillId="34" borderId="10" xfId="0" applyFont="1" applyFill="1" applyBorder="1" applyNumberFormat="1">
      <alignment horizontal="left" vertical="center" wrapText="1"/>
      <protection locked="0"/>
    </xf>
    <xf numFmtId="0" fontId="31" fillId="0" borderId="0" xfId="0" applyFont="1"/>
    <xf numFmtId="4" fontId="22" fillId="34" borderId="10" xfId="0" applyFont="1" applyFill="1" applyBorder="1" applyNumberFormat="1">
      <alignment horizontal="right" vertical="center" wrapText="1"/>
      <protection locked="0"/>
    </xf>
    <xf numFmtId="0" fontId="31" fillId="0" borderId="0" xfId="0" applyFont="1"/>
    <xf numFmtId="0" fontId="31" fillId="0" borderId="0" xfId="0" applyFont="1"/>
    <xf numFmtId="0" fontId="31" fillId="0" borderId="0" xfId="0" applyFont="1"/>
    <xf numFmtId="0" fontId="31" fillId="0" borderId="0" xfId="0" applyFont="1"/>
    <xf numFmtId="0" fontId="31" fillId="0" borderId="0" xfId="0" applyFont="1"/>
    <xf numFmtId="0" fontId="31" fillId="0" borderId="0" xfId="0" applyFont="1"/>
    <xf numFmtId="0" fontId="31" fillId="0" borderId="0" xfId="0" applyFont="1"/>
    <xf numFmtId="0" fontId="31" fillId="0" borderId="0" xfId="0" applyFont="1"/>
    <xf numFmtId="0" fontId="31" fillId="0" borderId="0" xfId="0" applyFont="1"/>
    <xf numFmtId="0" fontId="31" fillId="0" borderId="0" xfId="0" applyFont="1"/>
    <xf numFmtId="49" fontId="40" fillId="0" borderId="13" xfId="0" applyFont="1" applyBorder="1" applyNumberFormat="1">
      <alignment horizontal="left" vertical="center" wrapText="1" indent="1"/>
    </xf>
    <xf numFmtId="0" fontId="46" fillId="0" borderId="0" xfId="0" applyFont="1">
      <alignment vertical="center"/>
    </xf>
    <xf numFmtId="49" fontId="40" fillId="44" borderId="37" xfId="0" applyFont="1" applyFill="1" applyBorder="1" applyNumberFormat="1">
      <alignment horizontal="left" vertical="center"/>
    </xf>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0" xfId="0" applyFont="1">
      <alignment horizontal="left" vertical="center" wrapText="1"/>
    </xf>
    <xf numFmtId="0" fontId="19" fillId="0" borderId="0" xfId="0" applyFont="1">
      <alignment horizontal="center" vertical="center" wrapText="1"/>
    </xf>
    <xf numFmtId="0" fontId="19" fillId="43" borderId="0" xfId="0" applyFont="1" applyFill="1">
      <alignment vertical="center"/>
    </xf>
    <xf numFmtId="0" fontId="19" fillId="0" borderId="37" xfId="0" applyFont="1" applyBorder="1">
      <alignment horizontal="right" vertical="center" wrapText="1"/>
    </xf>
    <xf numFmtId="0" fontId="19" fillId="0" borderId="23" xfId="0" applyFont="1" applyBorder="1">
      <alignment horizontal="right" vertical="center" wrapText="1"/>
    </xf>
    <xf numFmtId="0" fontId="22" fillId="36" borderId="37" xfId="0" applyFont="1" applyFill="1" applyBorder="1">
      <alignment horizontal="left" vertical="center"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0" borderId="0" xfId="0" applyFont="1">
      <alignment vertical="center"/>
    </xf>
    <xf numFmtId="0" fontId="19" fillId="25" borderId="0" xfId="0" applyFont="1" applyFill="1">
      <alignment horizontal="center" vertical="center"/>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43" borderId="23" xfId="0" applyFont="1" applyFill="1" applyBorder="1">
      <alignment horizontal="left" vertical="center" indent="1"/>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22" fillId="34" borderId="11" xfId="0" applyFont="1" applyFill="1" applyBorder="1" applyNumberFormat="1">
      <alignment horizontal="right" vertical="center"/>
    </xf>
    <xf numFmtId="4" fontId="22" fillId="36" borderId="11" xfId="0" applyFont="1" applyFill="1" applyBorder="1" applyNumberFormat="1">
      <alignment vertical="center"/>
    </xf>
    <xf numFmtId="4" fontId="40" fillId="34" borderId="11" xfId="0" applyFont="1" applyFill="1" applyBorder="1" applyNumberFormat="1">
      <alignment horizontal="right" vertical="center"/>
    </xf>
    <xf numFmtId="0" fontId="40" fillId="4" borderId="0" xfId="0" applyFont="1" applyFill="1">
      <alignment vertical="center"/>
    </xf>
    <xf numFmtId="0" fontId="40" fillId="43" borderId="0" xfId="0" applyFont="1" applyFill="1">
      <alignment vertical="center"/>
    </xf>
    <xf numFmtId="0" fontId="19" fillId="0" borderId="11" xfId="0" applyFont="1" applyBorder="1">
      <alignment horizontal="left" vertical="center" wrapTex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0" fontId="40" fillId="0" borderId="0" xfId="0" applyFont="1">
      <alignment vertical="center"/>
    </xf>
    <xf numFmtId="172" fontId="19" fillId="34" borderId="11" xfId="0" applyFont="1" applyFill="1" applyBorder="1" applyNumberFormat="1">
      <alignment horizontal="right" vertical="center"/>
    </xf>
    <xf numFmtId="172" fontId="19" fillId="36" borderId="11" xfId="0" applyFont="1" applyFill="1" applyBorder="1" applyNumberFormat="1">
      <alignment vertical="center"/>
    </xf>
    <xf numFmtId="0" fontId="22" fillId="35" borderId="11" xfId="0" applyFont="1" applyFill="1" applyBorder="1">
      <alignment horizontal="left" vertical="center" wrapText="1"/>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vertical="center"/>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center" vertical="center"/>
    </xf>
    <xf numFmtId="0" fontId="19" fillId="0" borderId="38" xfId="0" applyFont="1" applyBorder="1">
      <alignment horizontal="left" vertical="center" indent="1"/>
    </xf>
    <xf numFmtId="0" fontId="19" fillId="0" borderId="23" xfId="0" applyFont="1" applyBorder="1">
      <alignment horizontal="left" vertical="center" indent="1"/>
    </xf>
    <xf numFmtId="0" fontId="19" fillId="0" borderId="11" xfId="0" applyFont="1" applyBorder="1">
      <alignment horizontal="left" vertical="center" wrapText="1" indent="1"/>
    </xf>
    <xf numFmtId="0" fontId="19" fillId="0" borderId="11" xfId="0" applyFont="1" applyBorder="1">
      <alignment horizontal="left" vertical="center" wrapText="1"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49" fontId="21" fillId="4" borderId="0" xfId="0" applyFont="1" applyFill="1" applyNumberFormat="1">
      <alignment vertical="center"/>
    </xf>
    <xf numFmtId="0" fontId="19" fillId="43" borderId="0" xfId="0" applyFont="1" applyFill="1">
      <alignment vertical="top"/>
    </xf>
    <xf numFmtId="0" fontId="19" fillId="0" borderId="0" xfId="0" applyFont="1">
      <alignment vertical="top"/>
    </xf>
    <xf numFmtId="0" fontId="19" fillId="4" borderId="0" xfId="0" applyFont="1" applyFill="1">
      <alignment vertical="top"/>
    </xf>
    <xf numFmtId="49" fontId="19" fillId="43" borderId="0" xfId="0" applyFont="1" applyFill="1" applyNumberFormat="1">
      <alignment vertical="top"/>
    </xf>
    <xf numFmtId="4" fontId="22" fillId="34" borderId="10" xfId="0" applyFont="1" applyFill="1" applyBorder="1" applyNumberFormat="1">
      <alignment vertical="center"/>
    </xf>
    <xf numFmtId="0" fontId="19" fillId="0" borderId="10" xfId="0" applyFont="1" applyBorder="1">
      <alignment horizontal="left" vertical="center" wrapText="1"/>
    </xf>
    <xf numFmtId="0" fontId="19" fillId="36" borderId="10" xfId="0" applyFont="1" applyFill="1" applyBorder="1">
      <alignment vertical="center"/>
    </xf>
    <xf numFmtId="0" fontId="19" fillId="36" borderId="55" xfId="0" applyFont="1" applyFill="1" applyBorder="1">
      <alignment vertical="center"/>
    </xf>
    <xf numFmtId="0" fontId="19" fillId="42" borderId="11" xfId="0" applyFont="1" applyFill="1" applyBorder="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22" fillId="0" borderId="0" xfId="0" applyFont="1">
      <alignment horizontal="center" vertical="center"/>
    </xf>
    <xf numFmtId="0" fontId="31" fillId="0" borderId="0" xfId="0" applyFont="1">
      <alignment vertical="center"/>
    </xf>
    <xf numFmtId="4" fontId="22" fillId="34" borderId="11" xfId="0" applyFont="1" applyFill="1" applyBorder="1" applyNumberFormat="1">
      <alignment horizontal="right" vertical="center"/>
      <protection locked="0"/>
    </xf>
    <xf numFmtId="4" fontId="40" fillId="34" borderId="11" xfId="0" applyFont="1" applyFill="1" applyBorder="1" applyNumberFormat="1">
      <alignment horizontal="right" vertical="center"/>
      <protection locked="0"/>
    </xf>
    <xf numFmtId="0" fontId="31" fillId="0" borderId="0" xfId="0" applyFont="1">
      <alignment vertical="center"/>
    </xf>
    <xf numFmtId="172" fontId="19" fillId="34" borderId="11" xfId="0"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31" fillId="0" borderId="0" xfId="0" applyFont="1">
      <alignment vertical="center"/>
    </xf>
    <xf numFmtId="0" fontId="31" fillId="0" borderId="0" xfId="0" applyFont="1">
      <alignment vertical="center"/>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34" borderId="30" xfId="0" applyFont="1" applyFill="1" applyBorder="1">
      <alignment horizontal="left" vertical="center" wrapText="1"/>
    </xf>
    <xf numFmtId="0" fontId="19" fillId="34" borderId="29" xfId="0" applyFont="1" applyFill="1" applyBorder="1">
      <alignment horizontal="left" vertical="center" wrapText="1"/>
    </xf>
    <xf numFmtId="0" fontId="21" fillId="41" borderId="29" xfId="0" applyFont="1" applyFill="1" applyBorder="1">
      <alignment vertical="center" wrapText="1"/>
    </xf>
    <xf numFmtId="0" fontId="21" fillId="0" borderId="0" xfId="0" applyFont="1">
      <alignment vertical="center"/>
    </xf>
    <xf numFmtId="0" fontId="1" fillId="43" borderId="0" xfId="0" applyFont="1" applyFill="1"/>
    <xf numFmtId="0" fontId="33" fillId="0" borderId="0" xfId="0" applyFont="1">
      <alignment vertical="center"/>
    </xf>
    <xf numFmtId="0" fontId="21" fillId="4"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21" fillId="0" borderId="0" xfId="0" applyFont="1">
      <alignment vertical="center"/>
    </xf>
    <xf numFmtId="0" fontId="1" fillId="0" borderId="0" xfId="0" applyFont="1"/>
    <xf numFmtId="0" fontId="1" fillId="0" borderId="0" xfId="0" applyFont="1">
      <alignment horizontal="center" vertical="top"/>
    </xf>
    <xf numFmtId="0" fontId="1" fillId="0" borderId="0" xfId="0" applyFont="1">
      <alignment horizontal="center"/>
    </xf>
    <xf numFmtId="0" fontId="37" fillId="40" borderId="24" xfId="0" applyFont="1" applyFill="1" applyBorder="1">
      <alignment horizontal="left" vertical="center"/>
    </xf>
    <xf numFmtId="0" fontId="37" fillId="40" borderId="0" xfId="0" applyFont="1" applyFill="1">
      <alignment horizontal="left" vertical="center"/>
    </xf>
    <xf numFmtId="0" fontId="21" fillId="0" borderId="0" xfId="0" applyFont="1"/>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9" fillId="34" borderId="11" xfId="0" applyFont="1" applyFill="1" applyBorder="1">
      <alignment horizontal="left" vertical="center" wrapText="1"/>
    </xf>
    <xf numFmtId="0" fontId="1" fillId="4" borderId="0" xfId="0" applyFont="1" applyFill="1"/>
    <xf numFmtId="0" fontId="17" fillId="43" borderId="0" xfId="0" applyFont="1" applyFill="1"/>
    <xf numFmtId="0" fontId="40" fillId="0" borderId="0" xfId="0" applyFont="1"/>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0" fontId="22" fillId="0" borderId="10" xfId="0" applyFont="1" applyBorder="1">
      <alignment horizontal="center" vertical="center" wrapText="1"/>
    </xf>
    <xf numFmtId="49" fontId="22" fillId="34" borderId="11" xfId="0" applyFont="1" applyFill="1" applyBorder="1" applyNumberFormat="1">
      <alignment horizontal="left" vertical="center" wrapText="1"/>
    </xf>
    <xf numFmtId="0" fontId="17" fillId="4" borderId="0" xfId="0" applyFont="1" applyFill="1"/>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0" fontId="1" fillId="0" borderId="0" xfId="0" applyFont="1"/>
    <xf numFmtId="0" fontId="1" fillId="0" borderId="0" xfId="0" applyFont="1"/>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0" fontId="21" fillId="0" borderId="0" xfId="0" applyFont="1">
      <alignment horizontal="left" vertical="center"/>
    </xf>
    <xf numFmtId="0" fontId="1" fillId="0" borderId="0" xfId="0" applyFont="1"/>
    <xf numFmtId="0" fontId="50" fillId="0" borderId="0" xfId="0" applyFont="1">
      <alignment horizontal="center" vertical="center" wrapText="1"/>
    </xf>
    <xf numFmtId="0" fontId="19" fillId="33" borderId="10" xfId="0" applyFont="1" applyFill="1" applyBorder="1">
      <alignment horizontal="center"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 fillId="4" borderId="0" xfId="0" applyFont="1" applyFill="1"/>
    <xf numFmtId="0" fontId="19" fillId="0" borderId="0" xfId="0" applyFont="1">
      <alignment vertical="top"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 fillId="43" borderId="0" xfId="0" applyFont="1" applyFill="1"/>
    <xf numFmtId="0" fontId="22" fillId="0" borderId="10" xfId="0" applyFont="1" applyBorder="1">
      <alignment horizontal="center" vertical="center"/>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0" fontId="64" fillId="0" borderId="0" xfId="0" applyFont="1">
      <alignment vertical="center"/>
    </xf>
    <xf numFmtId="4" fontId="19" fillId="36" borderId="10" xfId="0" applyFont="1" applyFill="1" applyBorder="1" applyNumberFormat="1">
      <alignment horizontal="right" vertical="center"/>
    </xf>
    <xf numFmtId="0" fontId="17" fillId="0" borderId="0" xfId="0" applyFont="1"/>
    <xf numFmtId="0" fontId="22" fillId="0" borderId="10" xfId="0" applyFont="1" applyBorder="1">
      <alignment vertical="center" wrapText="1"/>
    </xf>
    <xf numFmtId="0" fontId="19" fillId="0" borderId="10" xfId="0" applyFont="1" applyBorder="1">
      <alignment horizontal="left" vertical="center" wrapText="1"/>
    </xf>
    <xf numFmtId="4" fontId="22" fillId="0" borderId="10" xfId="0" applyFont="1" applyBorder="1" applyNumberFormat="1">
      <alignment horizontal="right" vertical="center"/>
    </xf>
    <xf numFmtId="0" fontId="21" fillId="0" borderId="0" xfId="0" applyFont="1"/>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1"/>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0" borderId="10" xfId="0" applyFont="1" applyBorder="1" applyNumberFormat="1">
      <alignment horizontal="right" vertical="center"/>
    </xf>
    <xf numFmtId="0" fontId="34" fillId="0" borderId="0" xfId="0" applyFont="1">
      <alignment vertical="center"/>
    </xf>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80" fillId="0" borderId="0" xfId="0" applyFont="1"/>
    <xf numFmtId="49" fontId="22" fillId="34" borderId="11" xfId="0" applyFont="1" applyFill="1" applyBorder="1" applyNumberFormat="1">
      <alignment horizontal="left" vertical="center" wrapText="1"/>
      <protection locked="0"/>
    </xf>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21" fillId="41" borderId="18" xfId="0" applyFont="1" applyFill="1" applyBorder="1">
      <alignment vertical="center" wrapText="1"/>
    </xf>
    <xf numFmtId="0" fontId="33" fillId="43"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19" fillId="0" borderId="0" xfId="0" applyFont="1"/>
    <xf numFmtId="0" fontId="37" fillId="40" borderId="0" xfId="0" applyFont="1" applyFill="1">
      <alignment horizontal="left" vertical="center"/>
    </xf>
    <xf numFmtId="0" fontId="53" fillId="0" borderId="0" xfId="0" applyFont="1">
      <alignment horizontal="center" vertical="center" wrapText="1"/>
    </xf>
    <xf numFmtId="0" fontId="26" fillId="0" borderId="0" xfId="0" applyFont="1">
      <alignment vertical="center" wrapText="1"/>
    </xf>
    <xf numFmtId="0" fontId="26" fillId="43" borderId="0" xfId="0" applyFont="1" applyFill="1">
      <alignment vertical="center" wrapText="1"/>
    </xf>
    <xf numFmtId="0" fontId="33" fillId="0" borderId="0" xfId="0" applyFont="1">
      <alignment horizontal="left" vertical="center" wrapText="1"/>
    </xf>
    <xf numFmtId="0" fontId="26" fillId="0" borderId="0" xfId="0" applyFont="1">
      <alignment vertical="center" wrapText="1"/>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34" fillId="0" borderId="0" xfId="0" applyFont="1">
      <alignment horizontal="center" vertical="center" wrapText="1"/>
    </xf>
    <xf numFmtId="0" fontId="34" fillId="4" borderId="0" xfId="0" applyFont="1" applyFill="1">
      <alignment vertical="center" wrapText="1"/>
    </xf>
    <xf numFmtId="0" fontId="34" fillId="43" borderId="0" xfId="0" applyFont="1" applyFill="1">
      <alignment vertical="center" wrapText="1"/>
    </xf>
    <xf numFmtId="0" fontId="23" fillId="43" borderId="0" xfId="0" applyFont="1" applyFill="1">
      <alignment vertical="center"/>
    </xf>
    <xf numFmtId="0" fontId="23" fillId="0" borderId="0" xfId="0" applyFont="1">
      <alignment horizontal="left" vertical="center"/>
    </xf>
    <xf numFmtId="0" fontId="33" fillId="0" borderId="0" xfId="0" applyFont="1">
      <alignment horizontal="left" vertical="center"/>
    </xf>
    <xf numFmtId="0" fontId="23" fillId="0" borderId="0" xfId="0" applyFont="1">
      <alignment vertical="center"/>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33" fillId="4" borderId="0" xfId="0" applyFont="1" applyFill="1">
      <alignment vertical="center"/>
    </xf>
    <xf numFmtId="0" fontId="26" fillId="0" borderId="0" xfId="0" applyFont="1">
      <alignment horizontal="center" vertical="center" wrapText="1"/>
    </xf>
    <xf numFmtId="0" fontId="26" fillId="43" borderId="0" xfId="0" applyFont="1" applyFill="1">
      <alignment horizontal="center" vertical="center" wrapText="1"/>
    </xf>
    <xf numFmtId="0" fontId="26" fillId="0" borderId="0" xfId="0" applyFont="1">
      <alignment horizontal="center" vertical="center" wrapText="1"/>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xf>
    <xf numFmtId="0" fontId="34" fillId="4" borderId="0" xfId="0" applyFont="1" applyFill="1">
      <alignment horizontal="center" vertical="center" wrapText="1"/>
    </xf>
    <xf numFmtId="0" fontId="34" fillId="43" borderId="0" xfId="0" applyFont="1" applyFill="1">
      <alignment horizontal="center" vertical="center" wrapText="1"/>
    </xf>
    <xf numFmtId="0" fontId="27" fillId="0" borderId="0" xfId="0" applyFont="1">
      <alignmen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34" borderId="11" xfId="0" applyFont="1" applyFill="1" applyBorder="1">
      <alignment horizontal="left" vertical="center" wrapText="1"/>
    </xf>
    <xf numFmtId="0" fontId="19" fillId="35" borderId="10" xfId="0" applyFont="1" applyFill="1" applyBorder="1">
      <alignment horizontal="left" vertical="center" wrapText="1" indent="3"/>
    </xf>
    <xf numFmtId="4" fontId="19" fillId="34" borderId="10" xfId="0" applyFont="1" applyFill="1" applyBorder="1" applyNumberFormat="1">
      <alignment horizontal="right" vertical="center"/>
      <protection locked="0"/>
    </xf>
    <xf numFmtId="0" fontId="53" fillId="0" borderId="0" xfId="0" applyFont="1">
      <alignment horizontal="center" vertical="center"/>
    </xf>
    <xf numFmtId="0" fontId="26" fillId="0" borderId="0" xfId="0" applyFont="1">
      <alignment vertical="center"/>
    </xf>
    <xf numFmtId="0" fontId="26" fillId="43" borderId="0" xfId="0" applyFont="1" applyFill="1">
      <alignment vertical="center"/>
    </xf>
    <xf numFmtId="0" fontId="26" fillId="0" borderId="0" xfId="0" applyFont="1">
      <alignment vertical="center"/>
    </xf>
    <xf numFmtId="0" fontId="34" fillId="4" borderId="0" xfId="0" applyFont="1" applyFill="1">
      <alignment vertical="center"/>
    </xf>
    <xf numFmtId="0" fontId="34" fillId="43" borderId="0" xfId="0" applyFont="1" applyFill="1">
      <alignment vertical="center"/>
    </xf>
    <xf numFmtId="0" fontId="68" fillId="0" borderId="0" xfId="0" applyFont="1"/>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19" fillId="35" borderId="10" xfId="0" applyFont="1" applyFill="1" applyBorder="1">
      <alignment horizontal="center" vertical="center"/>
    </xf>
    <xf numFmtId="0" fontId="49" fillId="0" borderId="0" xfId="0" applyFont="1">
      <alignment horizontal="center" vertical="center"/>
    </xf>
    <xf numFmtId="0" fontId="19" fillId="42" borderId="10" xfId="0" applyFont="1" applyFill="1" applyBorder="1">
      <alignment horizontal="left" vertical="center" wrapText="1" indent="1"/>
    </xf>
    <xf numFmtId="0" fontId="61" fillId="0" borderId="0" xfId="0" applyFont="1">
      <alignment vertical="center"/>
    </xf>
    <xf numFmtId="0" fontId="19" fillId="35" borderId="10" xfId="0" applyFont="1" applyFill="1" applyBorder="1">
      <alignment horizontal="center" vertical="center" wrapText="1"/>
    </xf>
    <xf numFmtId="0" fontId="64" fillId="0" borderId="0" xfId="0" applyFont="1">
      <alignment horizontal="left" vertical="center"/>
    </xf>
    <xf numFmtId="0" fontId="64" fillId="0" borderId="0" xfId="0" applyFont="1">
      <alignment horizontal="center" vertical="center"/>
    </xf>
    <xf numFmtId="0" fontId="19" fillId="35" borderId="10" xfId="0" applyFont="1" applyFill="1" applyBorder="1">
      <alignment horizontal="left" vertical="center" wrapText="1" indent="2"/>
    </xf>
    <xf numFmtId="0" fontId="64" fillId="4" borderId="0" xfId="0" applyFont="1" applyFill="1">
      <alignment vertical="center"/>
    </xf>
    <xf numFmtId="0" fontId="64" fillId="43" borderId="0" xfId="0" applyFont="1" applyFill="1">
      <alignment vertical="center"/>
    </xf>
    <xf numFmtId="0" fontId="19" fillId="35"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34" fillId="0" borderId="0" xfId="0" applyFont="1">
      <alignment vertical="center"/>
    </xf>
    <xf numFmtId="0" fontId="19" fillId="19" borderId="0" xfId="0" applyFont="1" applyFill="1"/>
    <xf numFmtId="0" fontId="22" fillId="0" borderId="10" xfId="0" applyFont="1" applyBorder="1">
      <alignment horizontal="center" vertical="center"/>
    </xf>
    <xf numFmtId="0" fontId="22" fillId="0" borderId="10" xfId="0" applyFont="1" applyBorder="1">
      <alignment horizontal="left" vertical="center" wrapText="1"/>
    </xf>
    <xf numFmtId="4" fontId="22" fillId="34" borderId="10" xfId="0" applyFont="1" applyFill="1" applyBorder="1" applyNumberFormat="1">
      <alignment horizontal="right" vertical="center"/>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9" fontId="22" fillId="34" borderId="11" xfId="0" applyFont="1" applyFill="1" applyBorder="1" applyNumberFormat="1">
      <alignment horizontal="left" vertical="center" wrapText="1"/>
    </xf>
    <xf numFmtId="0" fontId="19" fillId="0" borderId="10" xfId="0" applyFont="1" applyBorder="1">
      <alignment horizontal="center"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xf>
    <xf numFmtId="0" fontId="19" fillId="0" borderId="10" xfId="0" applyFont="1" applyBorder="1">
      <alignment horizontal="left" vertical="center" wrapText="1" indent="2"/>
    </xf>
    <xf numFmtId="0" fontId="23" fillId="39" borderId="0" xfId="0" applyFont="1" applyFill="1">
      <alignment vertical="center"/>
    </xf>
    <xf numFmtId="0" fontId="33" fillId="39" borderId="0" xfId="0" applyFont="1" applyFill="1">
      <alignment vertical="center"/>
    </xf>
    <xf numFmtId="49" fontId="19" fillId="0" borderId="11" xfId="0" applyFont="1" applyBorder="1" applyNumberFormat="1">
      <alignment horizontal="left" vertical="center" wrapText="1"/>
    </xf>
    <xf numFmtId="4" fontId="22" fillId="34" borderId="10" xfId="0" applyFont="1" applyFill="1" applyBorder="1" applyNumberFormat="1">
      <alignment horizontal="right" vertical="center"/>
      <protection locked="0"/>
    </xf>
    <xf numFmtId="0" fontId="19" fillId="35" borderId="10" xfId="0" applyFont="1" applyFill="1" applyBorder="1">
      <alignment horizontal="left" vertical="center" wrapText="1" indent="1"/>
    </xf>
    <xf numFmtId="172"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0" fillId="0" borderId="0" xfId="0" applyFont="1"/>
    <xf numFmtId="0" fontId="53" fillId="0" borderId="0" xfId="0" applyFont="1">
      <alignment vertical="center" wrapTex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49" fontId="19" fillId="0" borderId="0" xfId="0" applyFont="1" applyNumberFormat="1">
      <alignment vertical="top"/>
    </xf>
    <xf numFmtId="49" fontId="19" fillId="34" borderId="10" xfId="0" applyFont="1" applyFill="1" applyBorder="1" applyNumberFormat="1">
      <alignment horizontal="left" vertical="top" wrapText="1"/>
    </xf>
    <xf numFmtId="0" fontId="34" fillId="0" borderId="0" xfId="0" applyFont="1">
      <alignment vertical="center" wrapText="1"/>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 fontId="81" fillId="33" borderId="10" xfId="0" applyFont="1" applyFill="1" applyBorder="1" applyNumberFormat="1">
      <alignment horizontal="right" vertical="center"/>
    </xf>
    <xf numFmtId="4" fontId="22" fillId="0" borderId="10" xfId="0" applyFont="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protection locked="0"/>
    </xf>
    <xf numFmtId="4" fontId="22" fillId="36" borderId="10" xfId="0" applyFont="1" applyFill="1" applyBorder="1" applyNumberFormat="1">
      <alignment horizontal="right" vertical="center"/>
    </xf>
    <xf numFmtId="4" fontId="81"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9" fontId="19" fillId="34" borderId="11" xfId="0" applyFont="1" applyFill="1" applyBorder="1" applyNumberFormat="1">
      <alignment horizontal="left" vertical="center" wrapText="1"/>
    </xf>
    <xf numFmtId="0" fontId="45" fillId="0" borderId="0" xfId="0" applyFont="1">
      <alignment vertical="center"/>
    </xf>
    <xf numFmtId="0" fontId="19" fillId="0" borderId="0" xfId="0" applyFont="1">
      <alignment vertical="top" wrapText="1"/>
    </xf>
    <xf numFmtId="0" fontId="23" fillId="0" borderId="0" xfId="0" applyFont="1">
      <alignment horizontal="center" vertical="center"/>
    </xf>
    <xf numFmtId="4" fontId="19" fillId="34" borderId="10" xfId="0" applyFont="1" applyFill="1" applyBorder="1" applyNumberFormat="1">
      <alignment horizontal="right" vertical="center"/>
      <protection locked="0"/>
    </xf>
    <xf numFmtId="0" fontId="26" fillId="0" borderId="0" xfId="0" applyFont="1">
      <alignment horizontal="center" vertical="center"/>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49" fillId="19" borderId="0" xfId="0" applyFont="1" applyFill="1">
      <alignment horizontal="center" vertical="center"/>
    </xf>
    <xf numFmtId="49" fontId="22" fillId="0" borderId="10" xfId="0" applyFont="1" applyBorder="1" applyNumberFormat="1">
      <alignment horizontal="center" vertical="center"/>
    </xf>
    <xf numFmtId="49" fontId="19" fillId="0" borderId="10" xfId="0" applyFont="1" applyBorder="1" applyNumberFormat="1">
      <alignment horizontal="center" vertical="center"/>
    </xf>
    <xf numFmtId="172" fontId="22"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49" fontId="19" fillId="34" borderId="11" xfId="0" applyFont="1" applyFill="1" applyBorder="1" applyNumberFormat="1">
      <alignment horizontal="left" vertical="center" wrapText="1"/>
      <protection locked="0"/>
    </xf>
    <xf numFmtId="0" fontId="53" fillId="0" borderId="0" xfId="0" applyFont="1">
      <alignment vertical="center"/>
    </xf>
    <xf numFmtId="0" fontId="53" fillId="0" borderId="0" xfId="0" applyFont="1">
      <alignment vertical="center"/>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0" fillId="0" borderId="0" xfId="0" applyFont="1"/>
    <xf numFmtId="0" fontId="53" fillId="0" borderId="0" xfId="0" applyFont="1">
      <alignment vertical="center" wrapText="1"/>
    </xf>
    <xf numFmtId="0" fontId="53" fillId="0" borderId="0" xfId="0" applyFont="1">
      <alignment vertical="center"/>
    </xf>
    <xf numFmtId="0" fontId="53" fillId="0" borderId="0" xfId="0" applyFont="1">
      <alignment vertical="center"/>
    </xf>
    <xf numFmtId="0" fontId="53" fillId="0" borderId="0" xfId="0" applyFont="1">
      <alignment vertical="center"/>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41" borderId="18" xfId="0" applyFont="1" applyFill="1" applyBorder="1">
      <alignment vertical="center" wrapText="1"/>
    </xf>
    <xf numFmtId="0" fontId="21" fillId="4" borderId="0" xfId="0" applyFont="1" applyFill="1">
      <alignment horizontal="center" vertical="center"/>
    </xf>
    <xf numFmtId="0" fontId="19" fillId="0" borderId="40" xfId="0" applyFont="1" applyBorder="1">
      <alignment horizontal="center" vertical="center" wrapText="1"/>
    </xf>
    <xf numFmtId="0" fontId="19" fillId="0" borderId="22" xfId="0" applyFont="1" applyBorder="1">
      <alignment horizontal="center" vertical="center" wrapText="1"/>
    </xf>
    <xf numFmtId="0" fontId="21" fillId="0" borderId="45" xfId="0" applyFont="1" applyBorder="1"/>
    <xf numFmtId="0" fontId="19" fillId="0" borderId="33" xfId="0" applyFont="1" applyBorder="1">
      <alignment horizontal="center" vertical="center" wrapText="1"/>
    </xf>
    <xf numFmtId="4" fontId="19" fillId="42" borderId="22" xfId="0" applyFont="1" applyFill="1" applyBorder="1" applyNumberFormat="1">
      <alignment horizontal="right" vertical="center"/>
    </xf>
    <xf numFmtId="172" fontId="19" fillId="34" borderId="22" xfId="0" applyFont="1" applyFill="1" applyBorder="1" applyNumberFormat="1">
      <alignment horizontal="right" vertical="center"/>
    </xf>
    <xf numFmtId="4" fontId="19" fillId="34" borderId="22" xfId="0" applyFont="1" applyFill="1" applyBorder="1" applyNumberFormat="1">
      <alignment horizontal="right" vertical="center"/>
    </xf>
    <xf numFmtId="172" fontId="19" fillId="34" borderId="22" xfId="0" applyFont="1" applyFill="1" applyBorder="1" applyNumberFormat="1">
      <alignment horizontal="right" vertical="center"/>
    </xf>
    <xf numFmtId="0" fontId="33" fillId="0" borderId="45" xfId="0" applyFont="1" applyBorder="1">
      <alignment vertical="center"/>
    </xf>
    <xf numFmtId="172" fontId="19" fillId="34" borderId="33" xfId="0" applyFont="1" applyFill="1" applyBorder="1" applyNumberFormat="1">
      <alignment horizontal="right" vertical="center"/>
    </xf>
    <xf numFmtId="0" fontId="21" fillId="0" borderId="33" xfId="0" applyFont="1" applyBorder="1">
      <alignment horizontal="center" vertical="center" wrapText="1"/>
    </xf>
    <xf numFmtId="172" fontId="21" fillId="34" borderId="22" xfId="0" applyFont="1" applyFill="1" applyBorder="1" applyNumberFormat="1">
      <alignment horizontal="right" vertical="center"/>
    </xf>
    <xf numFmtId="4" fontId="21" fillId="34" borderId="22" xfId="0" applyFont="1" applyFill="1" applyBorder="1" applyNumberFormat="1">
      <alignment horizontal="right" vertical="center"/>
    </xf>
    <xf numFmtId="172" fontId="21" fillId="34" borderId="33" xfId="0" applyFont="1" applyFill="1" applyBorder="1" applyNumberFormat="1">
      <alignment horizontal="right" vertical="center"/>
    </xf>
    <xf numFmtId="0" fontId="0" fillId="0" borderId="0" xfId="0" applyFont="1"/>
    <xf numFmtId="0" fontId="49" fillId="0" borderId="0" xfId="0" applyFont="1">
      <alignment vertical="center"/>
    </xf>
    <xf numFmtId="4" fontId="19" fillId="42"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172" fontId="19"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172" fontId="19" fillId="33" borderId="33" xfId="0" applyFont="1" applyFill="1" applyBorder="1" applyNumberFormat="1">
      <alignment horizontal="right" vertical="center"/>
    </xf>
    <xf numFmtId="0" fontId="49" fillId="0" borderId="0" xfId="0" applyFont="1">
      <alignment vertical="center"/>
    </xf>
    <xf numFmtId="172" fontId="21" fillId="33" borderId="22" xfId="0" applyFont="1" applyFill="1" applyBorder="1" applyNumberFormat="1">
      <alignment horizontal="right" vertical="center"/>
    </xf>
    <xf numFmtId="172" fontId="21" fillId="33" borderId="33"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0" fillId="0" borderId="0" xfId="0" applyFont="1"/>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19" fillId="0" borderId="22" xfId="0" applyFont="1" applyBorder="1">
      <alignment horizontal="center" vertical="center" wrapText="1"/>
    </xf>
    <xf numFmtId="49" fontId="19" fillId="34" borderId="22" xfId="0" applyFont="1" applyFill="1" applyBorder="1" applyNumberFormat="1">
      <alignment horizontal="left" vertical="center" wrapText="1"/>
    </xf>
    <xf numFmtId="0" fontId="21" fillId="41" borderId="20" xfId="0" applyFont="1" applyFill="1" applyBorder="1">
      <alignment vertical="center" wrapText="1"/>
    </xf>
    <xf numFmtId="0" fontId="21" fillId="41" borderId="26" xfId="0" applyFont="1" applyFill="1" applyBorder="1">
      <alignment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21" fillId="0" borderId="22"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xf>
    <xf numFmtId="49" fontId="19" fillId="42" borderId="30" xfId="0" applyFont="1" applyFill="1" applyBorder="1" applyNumberFormat="1">
      <alignment horizontal="left" vertical="center" wrapText="1"/>
    </xf>
    <xf numFmtId="49" fontId="21" fillId="4" borderId="0" xfId="0" applyFont="1" applyFill="1" applyNumberFormat="1"/>
    <xf numFmtId="0" fontId="21" fillId="0" borderId="39" xfId="0" applyFont="1" applyBorder="1">
      <alignment horizontal="center" vertical="center" wrapText="1"/>
    </xf>
    <xf numFmtId="4" fontId="21" fillId="34" borderId="40" xfId="0" applyFont="1" applyFill="1" applyBorder="1" applyNumberFormat="1">
      <alignment horizontal="right" vertical="center"/>
    </xf>
    <xf numFmtId="172" fontId="21" fillId="34" borderId="40" xfId="0" applyFont="1" applyFill="1" applyBorder="1" applyNumberFormat="1">
      <alignment horizontal="right" vertical="center"/>
    </xf>
    <xf numFmtId="172" fontId="21" fillId="34" borderId="39" xfId="0" applyFont="1" applyFill="1" applyBorder="1" applyNumberFormat="1">
      <alignment horizontal="right" vertical="center"/>
    </xf>
    <xf numFmtId="49" fontId="33" fillId="4" borderId="0" xfId="0" applyFont="1" applyFill="1" applyNumberFormat="1">
      <alignment vertical="center"/>
    </xf>
    <xf numFmtId="4" fontId="21" fillId="0" borderId="40" xfId="0" applyFont="1" applyBorder="1" applyNumberFormat="1">
      <alignment horizontal="righ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9" fontId="24" fillId="43" borderId="0" xfId="0" applyFont="1" applyFill="1" applyNumberFormat="1">
      <alignment vertical="top"/>
    </xf>
    <xf numFmtId="0" fontId="0" fillId="0" borderId="0" xfId="0" applyFont="1"/>
    <xf numFmtId="0" fontId="0" fillId="0" borderId="0" xfId="0" applyFont="1"/>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0" fontId="0" fillId="0" borderId="0" xfId="0" applyFont="1"/>
    <xf numFmtId="0" fontId="0" fillId="0" borderId="0" xfId="0" applyFont="1"/>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9" fontId="19" fillId="34" borderId="27" xfId="0" applyFont="1" applyFill="1" applyBorder="1" applyNumberFormat="1">
      <alignment horizontal="left" vertical="center" wrapText="1"/>
    </xf>
    <xf numFmtId="0" fontId="21" fillId="41" borderId="21" xfId="0" applyFont="1" applyFill="1" applyBorder="1">
      <alignment vertical="center" wrapText="1"/>
    </xf>
    <xf numFmtId="0" fontId="19" fillId="0" borderId="0" xfId="0" applyFont="1">
      <alignment horizontal="left" vertical="center"/>
    </xf>
    <xf numFmtId="4" fontId="37" fillId="40" borderId="29" xfId="0" applyFont="1" applyFill="1" applyBorder="1" applyNumberFormat="1">
      <alignment horizontal="right" vertical="center" wrapText="1"/>
    </xf>
    <xf numFmtId="49" fontId="0" fillId="0" borderId="0" xfId="0" applyFont="1" applyNumberFormat="1">
      <alignment vertical="top"/>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2"/>
    </xf>
    <xf numFmtId="49" fontId="19" fillId="0" borderId="37" xfId="0" applyFont="1" applyBorder="1" applyNumberFormat="1">
      <alignment horizontal="center" vertical="center" wrapText="1" shrinkToFit="1"/>
    </xf>
    <xf numFmtId="4" fontId="21" fillId="34" borderId="10" xfId="0" applyFont="1" applyFill="1" applyBorder="1" applyNumberFormat="1">
      <alignment horizontal="right" vertical="center" wrapTex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0" xfId="0" applyFont="1" applyNumberFormat="1"/>
    <xf numFmtId="0" fontId="21" fillId="0" borderId="0" xfId="0" applyFont="1">
      <alignment vertical="center"/>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xf>
    <xf numFmtId="4" fontId="21" fillId="34" borderId="10" xfId="0" applyFont="1" applyFill="1" applyBorder="1" applyNumberFormat="1">
      <alignment horizontal="right" vertical="center" wrapText="1"/>
    </xf>
    <xf numFmtId="0" fontId="19" fillId="43" borderId="0" xfId="0" applyFont="1" applyFill="1">
      <alignment vertical="top"/>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29" fillId="0" borderId="0" xfId="0" applyFont="1">
      <alignment horizontal="left"/>
    </xf>
    <xf numFmtId="0" fontId="19" fillId="0" borderId="0" xfId="0" applyFont="1">
      <alignment horizontal="left" vertical="center"/>
    </xf>
    <xf numFmtId="49" fontId="22" fillId="0" borderId="11" xfId="0" applyFont="1" applyBorder="1" applyNumberFormat="1">
      <alignment horizontal="left" vertical="center" wrapText="1" shrinkToFit="1" indent="2"/>
    </xf>
    <xf numFmtId="0" fontId="19" fillId="43" borderId="0" xfId="0" applyFont="1" applyFill="1">
      <alignment vertical="top"/>
    </xf>
    <xf numFmtId="4" fontId="21" fillId="34" borderId="10" xfId="0" applyFont="1" applyFill="1" applyBorder="1" applyNumberFormat="1">
      <alignment horizontal="right" vertical="center" wrapText="1"/>
    </xf>
    <xf numFmtId="0" fontId="19" fillId="0" borderId="11" xfId="0" applyFont="1" applyBorder="1">
      <alignment horizontal="left" vertical="center" wrapText="1" shrinkToFit="1" inden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40"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0" fontId="29" fillId="0" borderId="0" xfId="0" applyFont="1">
      <alignment horizontal="left" vertical="center"/>
    </xf>
    <xf numFmtId="0" fontId="21" fillId="43" borderId="0" xfId="0" applyFont="1" applyFill="1">
      <alignment vertical="center"/>
    </xf>
    <xf numFmtId="0" fontId="50" fillId="0" borderId="0" xfId="0" applyFont="1">
      <alignment horizontal="center" vertical="center" wrapTex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19" fillId="0" borderId="0" xfId="0" applyFont="1">
      <alignment vertical="top"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49" fontId="22" fillId="0" borderId="11" xfId="0" applyFont="1" applyBorder="1" applyNumberFormat="1">
      <alignment horizontal="left" vertical="center" wrapText="1"/>
    </xf>
    <xf numFmtId="4" fontId="19" fillId="0" borderId="0" xfId="0" applyFont="1" applyNumberFormat="1"/>
    <xf numFmtId="4" fontId="19" fillId="36" borderId="11" xfId="0" applyFont="1" applyFill="1" applyBorder="1" applyNumberFormat="1">
      <alignment horizontal="right" vertical="center" wrapText="1"/>
    </xf>
    <xf numFmtId="0" fontId="19" fillId="0" borderId="11" xfId="0" applyFont="1" applyBorder="1">
      <alignment horizontal="left" vertical="center" wrapText="1" shrinkToFit="1" indent="1"/>
    </xf>
    <xf numFmtId="4" fontId="19" fillId="34" borderId="11" xfId="0" applyFont="1" applyFill="1" applyBorder="1" applyNumberFormat="1">
      <alignment horizontal="righ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172" fontId="19" fillId="36" borderId="11" xfId="0" applyFont="1" applyFill="1" applyBorder="1" applyNumberFormat="1">
      <alignment horizontal="right" vertical="center" wrapText="1"/>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xf>
    <xf numFmtId="49" fontId="19" fillId="0" borderId="38" xfId="0" applyFont="1" applyBorder="1" applyNumberFormat="1">
      <alignment horizontal="left" vertical="center" wrapText="1" indent="1"/>
    </xf>
    <xf numFmtId="49" fontId="22" fillId="0" borderId="38" xfId="0" applyFont="1" applyBorder="1" applyNumberFormat="1">
      <alignment vertical="center" wrapText="1"/>
    </xf>
    <xf numFmtId="49" fontId="19" fillId="0" borderId="11" xfId="0" applyFont="1" applyBorder="1" applyNumberFormat="1">
      <alignment horizontal="left" vertical="center" wrapText="1" indent="1"/>
    </xf>
    <xf numFmtId="49" fontId="19" fillId="0" borderId="11"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0" fontId="21" fillId="43" borderId="0" xfId="0" applyFont="1" applyFill="1">
      <alignment vertical="center"/>
    </xf>
    <xf numFmtId="0" fontId="50" fillId="0" borderId="0" xfId="0" applyFont="1">
      <alignment horizontal="center" vertical="center" wrapText="1"/>
    </xf>
    <xf numFmtId="0" fontId="21" fillId="4" borderId="0" xfId="0" applyFont="1" applyFill="1">
      <alignment vertical="center"/>
    </xf>
    <xf numFmtId="49" fontId="19" fillId="34" borderId="14" xfId="0" applyFont="1" applyFill="1" applyBorder="1" applyNumberFormat="1">
      <alignment horizontal="left" vertical="center" wrapText="1"/>
    </xf>
  </cellXfs>
  <cellStyles count="8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Обычный 10 2" xfId="47"/>
    <cellStyle name="Обычный 10 3" xfId="48"/>
    <cellStyle name="Обычный 11 4 3 3 2 3 3" xfId="49"/>
    <cellStyle name="Обычный 11 4 3 3 2 3 3 2" xfId="49"/>
    <cellStyle name="Обычный 11 4 3 3 2 3 3 2 2" xfId="49"/>
    <cellStyle name="Обычный 11 4 3 3 2 3 3 3" xfId="49"/>
    <cellStyle name="Обычный 12 3 2 2 3" xfId="49"/>
    <cellStyle name="Обычный 12 3 2 2 3 2" xfId="49"/>
    <cellStyle name="Обычный 12 3 2 2 3 2 2" xfId="49"/>
    <cellStyle name="Обычный 12 3 2 2 3 2 2 2" xfId="49"/>
    <cellStyle name="Обычный 12 3 2 2 3 2 2 2 2" xfId="49"/>
    <cellStyle name="Обычный 12 3 2 2 3 2 2 3" xfId="49"/>
    <cellStyle name="Обычный 12 3 2 2 3 2 3" xfId="49"/>
    <cellStyle name="Обычный 12 3 2 2 3 3" xfId="49"/>
    <cellStyle name="Обычный 12 3 2 2 3 3 2" xfId="49"/>
    <cellStyle name="Обычный 12 3 2 2 3 4" xfId="49"/>
    <cellStyle name="Обычный 12 3 2 2 3 4 2" xfId="49"/>
    <cellStyle name="Обычный 12 3 2 2 3 5" xfId="49"/>
    <cellStyle name="Обычный 12 3 2 2 3 5 2" xfId="49"/>
    <cellStyle name="Обычный 12 3 2 2 3 6" xfId="49"/>
    <cellStyle name="Обычный 2" xfId="47"/>
    <cellStyle name="Обычный 2 15" xfId="49"/>
    <cellStyle name="Обычный 2 2" xfId="49"/>
    <cellStyle name="Обычный 3" xfId="49"/>
    <cellStyle name="Обычный 3 2" xfId="49"/>
    <cellStyle name="Обычный 3 2 2" xfId="49"/>
    <cellStyle name="Обычный 3 3" xfId="49"/>
    <cellStyle name="Обычный 4" xfId="48"/>
    <cellStyle name="Обычный 4 2" xfId="49"/>
    <cellStyle name="Обычный 4 2 2" xfId="49"/>
    <cellStyle name="Обычный 4 2 2 2" xfId="49"/>
    <cellStyle name="Обычный 4 2 3" xfId="49"/>
    <cellStyle name="Обычный_SIMPLE_1_massive2" xfId="5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sharedStrings" Target="sharedStrings.xml"/><Relationship Id="rId47" Type="http://schemas.openxmlformats.org/officeDocument/2006/relationships/theme" Target="theme/theme1.xml"/><Relationship Id="rId48"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3E60CB-54F3-5B58-4E58-718B418C582A}" mc:Ignorable="x14ac xr xr2 xr3">
  <sheetPr>
    <tabColor theme="3" tint="-0.25"/>
  </sheetPr>
  <dimension ref="A1:C1"/>
  <sheetViews>
    <sheetView topLeftCell="A1" workbookViewId="0">
      <selection activeCell="A1" sqref="A1"/>
    </sheetView>
  </sheetViews>
  <sheetFormatPr customHeight="1" defaultRowHeight="11.25"/>
  <cols>
    <col min="1" max="1" style="1310" width="37.140625" customWidth="1"/>
    <col min="2" max="2" style="1310" width="25.7109375" customWidth="1"/>
    <col min="3" max="3" style="1310" width="64.57421875" customWidth="1"/>
  </cols>
  <sheetData>
    <row customHeight="1" ht="11.25">
      <c r="A1" s="1118" t="s">
        <v>0</v>
      </c>
      <c r="B1" s="970" t="s">
        <v>1</v>
      </c>
      <c r="C1" s="970" t="s">
        <v>2</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187648-2178-855E-6728-9C51907F5D78}" mc:Ignorable="x14ac xr xr2 xr3">
  <sheetPr>
    <tabColor rgb="FF8DB4E2"/>
    <outlinePr summaryRight="0" summaryBelow="0"/>
    <pageSetUpPr fitToPage="1"/>
  </sheetPr>
  <dimension ref="A1:BN42"/>
  <sheetViews>
    <sheetView showGridLines="0" workbookViewId="0">
      <pane xSplit="30" ySplit="25" topLeftCell="AE32"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47" width="3.57421875" hidden="1" customWidth="1"/>
    <col min="2" max="2" style="47" width="8.7109375" hidden="1" customWidth="1"/>
    <col min="3" max="5" style="47" width="3.57421875" hidden="1" customWidth="1"/>
    <col min="6" max="6" style="47" width="8.57421875" hidden="1" customWidth="1"/>
    <col min="7" max="7" style="47" width="7.57421875" hidden="1" customWidth="1"/>
    <col min="8" max="20" style="47" width="3.57421875" hidden="1" customWidth="1"/>
    <col min="21" max="21" style="47" width="8.57421875" hidden="1" customWidth="1"/>
    <col min="22" max="26" style="47" width="6.00390625" hidden="1" customWidth="1"/>
    <col min="27" max="27" style="47" width="3.00390625" customWidth="1"/>
    <col min="28" max="28" style="47" width="11.00390625" customWidth="1"/>
    <col min="29" max="29" style="47" width="40.00390625" customWidth="1"/>
    <col min="30" max="34" style="47" width="15.00390625" customWidth="1"/>
    <col min="35" max="43" style="47" width="15.00390625" hidden="1" customWidth="1"/>
    <col min="44" max="44" style="47" width="15.00390625" customWidth="1"/>
    <col min="45" max="53" style="47" width="15.00390625" hidden="1" customWidth="1"/>
    <col min="55" max="66" width="9.140625" hidden="1"/>
  </cols>
  <sheetData>
    <row customHeight="1" ht="11.25" hidden="1">
      <c r="A1" s="1338"/>
      <c r="B1" s="1339"/>
      <c r="C1" s="1339"/>
      <c r="D1" s="1339"/>
      <c r="E1" s="2198"/>
      <c r="F1" s="2199" t="s">
        <v>313</v>
      </c>
      <c r="G1" s="1339"/>
      <c r="H1" s="1339"/>
      <c r="I1" s="1339"/>
      <c r="J1" s="1339"/>
      <c r="K1" s="1339"/>
      <c r="L1" s="1339"/>
      <c r="M1" s="1339"/>
      <c r="N1" s="1339"/>
      <c r="O1" s="1339"/>
      <c r="P1" s="1339"/>
      <c r="Q1" s="1339"/>
      <c r="R1" s="1339"/>
      <c r="S1" s="1339"/>
      <c r="T1" s="1339"/>
      <c r="U1" s="1339"/>
      <c r="V1" s="2200" t="s">
        <v>92</v>
      </c>
      <c r="W1" s="2200" t="s">
        <v>97</v>
      </c>
      <c r="X1" s="2200" t="s">
        <v>93</v>
      </c>
      <c r="Y1" s="2200" t="s">
        <v>95</v>
      </c>
      <c r="Z1" s="2200" t="s">
        <v>99</v>
      </c>
      <c r="AA1" s="1338"/>
      <c r="AB1" s="1338"/>
      <c r="AC1" s="1338"/>
      <c r="AD1" s="1339"/>
      <c r="AE1" s="1339"/>
      <c r="AF1" s="1339"/>
      <c r="AG1" s="1339"/>
      <c r="AH1" s="1339"/>
      <c r="AI1" s="1339"/>
      <c r="AJ1" s="1339"/>
      <c r="AK1" s="1339"/>
      <c r="AL1" s="1339"/>
      <c r="AM1" s="1339"/>
      <c r="AN1" s="1339"/>
      <c r="AO1" s="1339"/>
      <c r="AP1" s="1339"/>
      <c r="AQ1" s="1339"/>
      <c r="AR1" s="1339"/>
      <c r="AS1" s="1339"/>
      <c r="AT1" s="1339"/>
      <c r="AU1" s="1339"/>
      <c r="AV1" s="1339"/>
      <c r="AW1" s="1339"/>
      <c r="AX1" s="1339"/>
      <c r="AY1" s="1339"/>
      <c r="AZ1" s="1339"/>
      <c r="BA1" s="1339"/>
      <c r="BB1" s="394"/>
      <c r="BC1" s="1155" t="s">
        <v>316</v>
      </c>
      <c r="BD1" s="394"/>
      <c r="BE1" s="394"/>
      <c r="BF1" s="394"/>
      <c r="BG1" s="394"/>
      <c r="BH1" s="394"/>
      <c r="BI1" s="394"/>
      <c r="BJ1" s="394"/>
      <c r="BK1" s="394"/>
      <c r="BL1" s="394"/>
      <c r="BM1" s="394"/>
      <c r="BN1" s="394"/>
    </row>
    <row customHeight="1" ht="11.25" hidden="1">
      <c r="A2" s="1339"/>
      <c r="B2" s="2202" t="s">
        <v>18</v>
      </c>
      <c r="C2" s="1339"/>
      <c r="D2" s="1339"/>
      <c r="E2" s="1339"/>
      <c r="F2" s="2203"/>
      <c r="G2" s="1339"/>
      <c r="H2" s="1339"/>
      <c r="I2" s="1339"/>
      <c r="J2" s="1339"/>
      <c r="K2" s="1339"/>
      <c r="L2" s="1339"/>
      <c r="M2" s="1339"/>
      <c r="N2" s="1339"/>
      <c r="O2" s="1339"/>
      <c r="P2" s="1339"/>
      <c r="Q2" s="1339"/>
      <c r="R2" s="1339"/>
      <c r="S2" s="1339"/>
      <c r="T2" s="1339"/>
      <c r="U2" s="1339"/>
      <c r="V2" s="1339"/>
      <c r="W2" s="1339"/>
      <c r="X2" s="1339"/>
      <c r="Y2" s="1339"/>
      <c r="Z2" s="1339"/>
      <c r="AA2" s="1339"/>
      <c r="AB2" s="1339"/>
      <c r="AC2" s="2204"/>
      <c r="AD2" s="1339"/>
      <c r="AE2" s="1339"/>
      <c r="AF2" s="1339"/>
      <c r="AG2" s="1339"/>
      <c r="AH2" s="1339"/>
      <c r="AI2" s="1156">
        <f>AI6&lt;last_year_vis</f>
        <v>0</v>
      </c>
      <c r="AJ2" s="1156">
        <f>AJ6&lt;last_year_vis</f>
        <v>0</v>
      </c>
      <c r="AK2" s="1156">
        <f>AK6&lt;last_year_vis</f>
        <v>0</v>
      </c>
      <c r="AL2" s="1156">
        <f>AL6&lt;last_year_vis</f>
        <v>0</v>
      </c>
      <c r="AM2" s="1156">
        <f>AM6&lt;last_year_vis</f>
        <v>0</v>
      </c>
      <c r="AN2" s="1156">
        <f>AN6&lt;last_year_vis</f>
        <v>0</v>
      </c>
      <c r="AO2" s="1156">
        <f>AO6&lt;last_year_vis</f>
        <v>0</v>
      </c>
      <c r="AP2" s="1156">
        <f>AP6&lt;last_year_vis</f>
        <v>0</v>
      </c>
      <c r="AQ2" s="1156">
        <f>AQ6&lt;last_year_vis</f>
        <v>0</v>
      </c>
      <c r="AR2" s="1339"/>
      <c r="AS2" s="1156">
        <f>AS6&lt;last_year_vis</f>
        <v>0</v>
      </c>
      <c r="AT2" s="1156">
        <f>AT6&lt;last_year_vis</f>
        <v>0</v>
      </c>
      <c r="AU2" s="1156">
        <f>AU6&lt;last_year_vis</f>
        <v>0</v>
      </c>
      <c r="AV2" s="1156">
        <f>AV6&lt;last_year_vis</f>
        <v>0</v>
      </c>
      <c r="AW2" s="1156">
        <f>AW6&lt;last_year_vis</f>
        <v>0</v>
      </c>
      <c r="AX2" s="1156">
        <f>AX6&lt;last_year_vis</f>
        <v>0</v>
      </c>
      <c r="AY2" s="1156">
        <f>AY6&lt;last_year_vis</f>
        <v>0</v>
      </c>
      <c r="AZ2" s="1156">
        <f>AZ6&lt;last_year_vis</f>
        <v>0</v>
      </c>
      <c r="BA2" s="1156">
        <f>BA6&lt;last_year_vis</f>
        <v>0</v>
      </c>
      <c r="BB2" s="394"/>
      <c r="BC2" s="1159"/>
      <c r="BD2" s="346"/>
      <c r="BE2" s="346"/>
      <c r="BF2" s="346"/>
      <c r="BG2" s="346"/>
      <c r="BH2" s="346"/>
      <c r="BI2" s="394"/>
      <c r="BJ2" s="394"/>
      <c r="BK2" s="394"/>
      <c r="BL2" s="394"/>
      <c r="BM2" s="394"/>
      <c r="BN2" s="394"/>
    </row>
    <row customHeight="1" ht="11.25" hidden="1">
      <c r="A3" s="1339"/>
      <c r="B3" s="1339"/>
      <c r="C3" s="1339"/>
      <c r="D3" s="1339"/>
      <c r="E3" s="2198"/>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c r="AS3" s="1339"/>
      <c r="AT3" s="1339"/>
      <c r="AU3" s="1339"/>
      <c r="AV3" s="1339"/>
      <c r="AW3" s="1339"/>
      <c r="AX3" s="1339"/>
      <c r="AY3" s="1339"/>
      <c r="AZ3" s="1339"/>
      <c r="BA3" s="1339"/>
      <c r="BB3" s="394"/>
      <c r="BC3" s="394"/>
      <c r="BD3" s="394"/>
      <c r="BE3" s="394"/>
      <c r="BF3" s="394"/>
      <c r="BG3" s="394"/>
      <c r="BH3" s="394"/>
      <c r="BI3" s="394"/>
      <c r="BJ3" s="394"/>
      <c r="BK3" s="394"/>
      <c r="BL3" s="394"/>
      <c r="BM3" s="394"/>
      <c r="BN3" s="394"/>
    </row>
    <row customHeight="1" ht="11.25" hidden="1">
      <c r="A4" s="1339"/>
      <c r="B4" s="1339"/>
      <c r="C4" s="1339"/>
      <c r="D4" s="1339"/>
      <c r="E4" s="2198"/>
      <c r="F4" s="1339"/>
      <c r="G4" s="1339"/>
      <c r="H4" s="1339"/>
      <c r="I4" s="1339"/>
      <c r="J4" s="1339"/>
      <c r="K4" s="1339"/>
      <c r="L4" s="1339"/>
      <c r="M4" s="1339"/>
      <c r="N4" s="1339"/>
      <c r="O4" s="1339"/>
      <c r="P4" s="1339"/>
      <c r="Q4" s="1339"/>
      <c r="R4" s="1339"/>
      <c r="S4" s="1339"/>
      <c r="T4" s="1339"/>
      <c r="U4" s="1339"/>
      <c r="V4" s="1339"/>
      <c r="W4" s="1339"/>
      <c r="X4" s="1339"/>
      <c r="Y4" s="1339"/>
      <c r="Z4" s="1339"/>
      <c r="AA4" s="1339"/>
      <c r="AB4" s="1339"/>
      <c r="AC4" s="1339"/>
      <c r="AD4" s="1339"/>
      <c r="AE4" s="1339"/>
      <c r="AF4" s="1339"/>
      <c r="AG4" s="1339"/>
      <c r="AH4" s="1339"/>
      <c r="AI4" s="1339"/>
      <c r="AJ4" s="1339"/>
      <c r="AK4" s="1339"/>
      <c r="AL4" s="1339"/>
      <c r="AM4" s="1339"/>
      <c r="AN4" s="1339"/>
      <c r="AO4" s="1339"/>
      <c r="AP4" s="1339"/>
      <c r="AQ4" s="1339"/>
      <c r="AR4" s="1339"/>
      <c r="AS4" s="1339"/>
      <c r="AT4" s="1339"/>
      <c r="AU4" s="1339"/>
      <c r="AV4" s="1339"/>
      <c r="AW4" s="1339"/>
      <c r="AX4" s="1339"/>
      <c r="AY4" s="1339"/>
      <c r="AZ4" s="1339"/>
      <c r="BA4" s="1339"/>
      <c r="BB4" s="394"/>
      <c r="BC4" s="394"/>
      <c r="BD4" s="394"/>
      <c r="BE4" s="394"/>
      <c r="BF4" s="394"/>
      <c r="BG4" s="394"/>
      <c r="BH4" s="394"/>
      <c r="BI4" s="394"/>
      <c r="BJ4" s="394"/>
      <c r="BK4" s="394"/>
      <c r="BL4" s="394"/>
      <c r="BM4" s="394"/>
      <c r="BN4" s="394"/>
    </row>
    <row customHeight="1" ht="11.25" hidden="1">
      <c r="A5" s="2198"/>
      <c r="B5" s="2206"/>
      <c r="C5" s="2198"/>
      <c r="D5" s="2198"/>
      <c r="E5" s="2207" t="s">
        <v>19</v>
      </c>
      <c r="F5" s="2208"/>
      <c r="G5" s="1339"/>
      <c r="H5" s="1339"/>
      <c r="I5" s="1339"/>
      <c r="J5" s="1339"/>
      <c r="K5" s="1339"/>
      <c r="L5" s="1339"/>
      <c r="M5" s="1339"/>
      <c r="N5" s="1339"/>
      <c r="O5" s="1339"/>
      <c r="P5" s="1339"/>
      <c r="Q5" s="1339"/>
      <c r="R5" s="1339"/>
      <c r="S5" s="1339"/>
      <c r="T5" s="1339"/>
      <c r="U5" s="1339"/>
      <c r="V5" s="1339"/>
      <c r="W5" s="1339"/>
      <c r="X5" s="1339"/>
      <c r="Y5" s="1339"/>
      <c r="Z5" s="1339"/>
      <c r="AA5" s="2207">
        <v>3</v>
      </c>
      <c r="AB5" s="2209">
        <v>11</v>
      </c>
      <c r="AC5" s="2210">
        <v>40</v>
      </c>
      <c r="AD5" s="2207">
        <v>15</v>
      </c>
      <c r="AE5" s="2207">
        <v>15</v>
      </c>
      <c r="AF5" s="2207">
        <v>15</v>
      </c>
      <c r="AG5" s="2207">
        <v>15</v>
      </c>
      <c r="AH5" s="2207">
        <v>15</v>
      </c>
      <c r="AI5" s="1161">
        <v>15</v>
      </c>
      <c r="AJ5" s="1161">
        <v>15</v>
      </c>
      <c r="AK5" s="1161">
        <v>15</v>
      </c>
      <c r="AL5" s="1161">
        <v>15</v>
      </c>
      <c r="AM5" s="1161">
        <v>15</v>
      </c>
      <c r="AN5" s="1161">
        <v>15</v>
      </c>
      <c r="AO5" s="1161">
        <v>15</v>
      </c>
      <c r="AP5" s="1161">
        <v>15</v>
      </c>
      <c r="AQ5" s="1161">
        <v>15</v>
      </c>
      <c r="AR5" s="2207">
        <v>15</v>
      </c>
      <c r="AS5" s="1161">
        <v>15</v>
      </c>
      <c r="AT5" s="1161">
        <v>15</v>
      </c>
      <c r="AU5" s="1161">
        <v>15</v>
      </c>
      <c r="AV5" s="1161">
        <v>15</v>
      </c>
      <c r="AW5" s="1161">
        <v>15</v>
      </c>
      <c r="AX5" s="1161">
        <v>15</v>
      </c>
      <c r="AY5" s="1161">
        <v>15</v>
      </c>
      <c r="AZ5" s="1161">
        <v>15</v>
      </c>
      <c r="BA5" s="1161">
        <v>15</v>
      </c>
      <c r="BB5" s="394"/>
      <c r="BC5" s="1155"/>
      <c r="BD5" s="346"/>
      <c r="BE5" s="346"/>
      <c r="BF5" s="346"/>
      <c r="BG5" s="346"/>
      <c r="BH5" s="346"/>
      <c r="BI5" s="394"/>
      <c r="BJ5" s="394"/>
      <c r="BK5" s="394"/>
      <c r="BL5" s="394"/>
      <c r="BM5" s="394"/>
      <c r="BN5" s="394"/>
    </row>
    <row customHeight="1" ht="11.25" hidden="1">
      <c r="A6" s="1339"/>
      <c r="B6" s="1339"/>
      <c r="C6" s="1339"/>
      <c r="D6" s="1339"/>
      <c r="E6" s="1339"/>
      <c r="F6" s="1339"/>
      <c r="G6" s="1339"/>
      <c r="H6" s="1339"/>
      <c r="I6" s="1339"/>
      <c r="J6" s="1339"/>
      <c r="K6" s="1339"/>
      <c r="L6" s="1339"/>
      <c r="M6" s="1339"/>
      <c r="N6" s="1339"/>
      <c r="O6" s="1339"/>
      <c r="P6" s="1339"/>
      <c r="Q6" s="1339"/>
      <c r="R6" s="1339"/>
      <c r="S6" s="1339"/>
      <c r="T6" s="1339"/>
      <c r="U6" s="1339"/>
      <c r="V6" s="1339"/>
      <c r="W6" s="1339"/>
      <c r="X6" s="1339"/>
      <c r="Y6" s="1339"/>
      <c r="Z6" s="1339"/>
      <c r="AA6" s="1339"/>
      <c r="AB6" s="1339"/>
      <c r="AC6" s="1339"/>
      <c r="AD6" s="1339"/>
      <c r="AE6" s="2198">
        <f>god-2</f>
        <v>2024</v>
      </c>
      <c r="AF6" s="2198">
        <f>god-2</f>
        <v>2024</v>
      </c>
      <c r="AG6" s="2198">
        <f>god-1</f>
        <v>2025</v>
      </c>
      <c r="AH6" s="2198" cm="1" t="str">
        <f t="array" ref="AH6:AH6">god</f>
        <v>2026</v>
      </c>
      <c r="AI6" s="1153">
        <f>god+1</f>
        <v>2027</v>
      </c>
      <c r="AJ6" s="1153">
        <f>god+2</f>
        <v>2028</v>
      </c>
      <c r="AK6" s="1153">
        <f>god+3</f>
        <v>2029</v>
      </c>
      <c r="AL6" s="1153">
        <f>god+4</f>
        <v>2030</v>
      </c>
      <c r="AM6" s="1153">
        <f>god+5</f>
        <v>2031</v>
      </c>
      <c r="AN6" s="1153">
        <f>god+6</f>
        <v>2032</v>
      </c>
      <c r="AO6" s="1153">
        <f>god+7</f>
        <v>2033</v>
      </c>
      <c r="AP6" s="1153">
        <f>god+8</f>
        <v>2034</v>
      </c>
      <c r="AQ6" s="1153">
        <f>god+9</f>
        <v>2035</v>
      </c>
      <c r="AR6" s="2198" cm="1" t="str">
        <f t="array" ref="AR6:AR6">god</f>
        <v>2026</v>
      </c>
      <c r="AS6" s="1153">
        <f>god+1</f>
        <v>2027</v>
      </c>
      <c r="AT6" s="1153">
        <f>god+2</f>
        <v>2028</v>
      </c>
      <c r="AU6" s="1153">
        <f>god+3</f>
        <v>2029</v>
      </c>
      <c r="AV6" s="1153">
        <f>god+4</f>
        <v>2030</v>
      </c>
      <c r="AW6" s="1153">
        <f>god+5</f>
        <v>2031</v>
      </c>
      <c r="AX6" s="1153">
        <f>god+6</f>
        <v>2032</v>
      </c>
      <c r="AY6" s="1153">
        <f>god+7</f>
        <v>2033</v>
      </c>
      <c r="AZ6" s="1153">
        <f>god+8</f>
        <v>2034</v>
      </c>
      <c r="BA6" s="1153">
        <f>god+9</f>
        <v>2035</v>
      </c>
      <c r="BB6" s="394"/>
      <c r="BC6" s="394"/>
      <c r="BD6" s="394"/>
      <c r="BE6" s="394"/>
      <c r="BF6" s="394"/>
      <c r="BG6" s="394"/>
      <c r="BH6" s="394"/>
      <c r="BI6" s="394"/>
      <c r="BJ6" s="394"/>
      <c r="BK6" s="394"/>
      <c r="BL6" s="394"/>
      <c r="BM6" s="394"/>
      <c r="BN6" s="394"/>
    </row>
    <row customHeight="1" ht="11.25" hidden="1">
      <c r="A7" s="1339"/>
      <c r="B7" s="1339"/>
      <c r="C7" s="1339"/>
      <c r="D7" s="1339"/>
      <c r="E7" s="1339"/>
      <c r="F7" s="1339"/>
      <c r="G7" s="1339"/>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2198" cm="1" t="str">
        <f t="array" ref="AE7:AE7">AE25</f>
        <v>Принято органом регулирования</v>
      </c>
      <c r="AF7" s="2198" cm="1" t="str">
        <f t="array" ref="AF7:AF7">AF25</f>
        <v>Факт по данным организации</v>
      </c>
      <c r="AG7" s="2198" cm="1" t="str">
        <f t="array" ref="AG7:AG7">AG25</f>
        <v>Принято органом регулирования</v>
      </c>
      <c r="AH7" s="2198" cm="1" t="str">
        <f t="array" ref="AH7:AH7">AH25</f>
        <v>Предложение организации</v>
      </c>
      <c r="AI7" s="1153" cm="1" t="str">
        <f t="array" ref="AI7:AI7">AI25</f>
        <v>Предложение организации</v>
      </c>
      <c r="AJ7" s="1153" cm="1" t="str">
        <f t="array" ref="AJ7:AJ7">AJ25</f>
        <v>Предложение организации</v>
      </c>
      <c r="AK7" s="1153" cm="1" t="str">
        <f t="array" ref="AK7:AK7">AK25</f>
        <v>Предложение организации</v>
      </c>
      <c r="AL7" s="1153" cm="1" t="str">
        <f t="array" ref="AL7:AL7">AL25</f>
        <v>Предложение организации</v>
      </c>
      <c r="AM7" s="1153" cm="1" t="str">
        <f t="array" ref="AM7:AM7">AM25</f>
        <v>Предложение организации</v>
      </c>
      <c r="AN7" s="1153" cm="1" t="str">
        <f t="array" ref="AN7:AN7">AN25</f>
        <v>Предложение организации</v>
      </c>
      <c r="AO7" s="1153" cm="1" t="str">
        <f t="array" ref="AO7:AO7">AO25</f>
        <v>Предложение организации</v>
      </c>
      <c r="AP7" s="1153" cm="1" t="str">
        <f t="array" ref="AP7:AP7">AP25</f>
        <v>Предложение организации</v>
      </c>
      <c r="AQ7" s="1153" cm="1" t="str">
        <f t="array" ref="AQ7:AQ7">AQ25</f>
        <v>Предложение организации</v>
      </c>
      <c r="AR7" s="2198" cm="1" t="str">
        <f t="array" ref="AR7:AR7">AR25</f>
        <v>Принято органом регулирования</v>
      </c>
      <c r="AS7" s="1153" cm="1" t="str">
        <f t="array" ref="AS7:AS7">AS25</f>
        <v>Принято органом регулирования</v>
      </c>
      <c r="AT7" s="1153" cm="1" t="str">
        <f t="array" ref="AT7:AT7">AT25</f>
        <v>Принято органом регулирования</v>
      </c>
      <c r="AU7" s="1153" cm="1" t="str">
        <f t="array" ref="AU7:AU7">AU25</f>
        <v>Принято органом регулирования</v>
      </c>
      <c r="AV7" s="1153" cm="1" t="str">
        <f t="array" ref="AV7:AV7">AV25</f>
        <v>Принято органом регулирования</v>
      </c>
      <c r="AW7" s="1153" cm="1" t="str">
        <f t="array" ref="AW7:AW7">AW25</f>
        <v>Принято органом регулирования</v>
      </c>
      <c r="AX7" s="1153" cm="1" t="str">
        <f t="array" ref="AX7:AX7">AX25</f>
        <v>Принято органом регулирования</v>
      </c>
      <c r="AY7" s="1153" cm="1" t="str">
        <f t="array" ref="AY7:AY7">AY25</f>
        <v>Принято органом регулирования</v>
      </c>
      <c r="AZ7" s="1153" cm="1" t="str">
        <f t="array" ref="AZ7:AZ7">AZ25</f>
        <v>Принято органом регулирования</v>
      </c>
      <c r="BA7" s="1153" cm="1" t="str">
        <f t="array" ref="BA7:BA7">BA25</f>
        <v>Принято органом регулирования</v>
      </c>
      <c r="BB7" s="394"/>
      <c r="BC7" s="394"/>
      <c r="BD7" s="394"/>
      <c r="BE7" s="394"/>
      <c r="BF7" s="394"/>
      <c r="BG7" s="394"/>
      <c r="BH7" s="394"/>
      <c r="BI7" s="394"/>
      <c r="BJ7" s="394"/>
      <c r="BK7" s="394"/>
      <c r="BL7" s="394"/>
      <c r="BM7" s="394"/>
      <c r="BN7" s="394"/>
    </row>
    <row customHeight="1" ht="11.25" hidden="1">
      <c r="A8" s="1339"/>
      <c r="B8" s="1339"/>
      <c r="C8" s="1339"/>
      <c r="D8" s="1339"/>
      <c r="E8" s="1339"/>
      <c r="F8" s="1339"/>
      <c r="G8" s="1339"/>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2198" t="str">
        <f>AE6&amp;AE7</f>
        <v>2024Принято органом регулирования</v>
      </c>
      <c r="AF8" s="2198" t="str">
        <f>AF6&amp;AF7</f>
        <v>2024Факт по данным организации</v>
      </c>
      <c r="AG8" s="2198" t="str">
        <f>AG6&amp;AG7</f>
        <v>2025Принято органом регулирования</v>
      </c>
      <c r="AH8" s="2198" t="str">
        <f>AH6&amp;AH7</f>
        <v>2026Предложение организации</v>
      </c>
      <c r="AI8" s="1153" t="str">
        <f>AI6&amp;AI7</f>
        <v>2027Предложение организации</v>
      </c>
      <c r="AJ8" s="1153" t="str">
        <f>AJ6&amp;AJ7</f>
        <v>2028Предложение организации</v>
      </c>
      <c r="AK8" s="1153" t="str">
        <f>AK6&amp;AK7</f>
        <v>2029Предложение организации</v>
      </c>
      <c r="AL8" s="1153" t="str">
        <f>AL6&amp;AL7</f>
        <v>2030Предложение организации</v>
      </c>
      <c r="AM8" s="1153" t="str">
        <f>AM6&amp;AM7</f>
        <v>2031Предложение организации</v>
      </c>
      <c r="AN8" s="1153" t="str">
        <f>AN6&amp;AN7</f>
        <v>2032Предложение организации</v>
      </c>
      <c r="AO8" s="1153" t="str">
        <f>AO6&amp;AO7</f>
        <v>2033Предложение организации</v>
      </c>
      <c r="AP8" s="1153" t="str">
        <f>AP6&amp;AP7</f>
        <v>2034Предложение организации</v>
      </c>
      <c r="AQ8" s="1153" t="str">
        <f>AQ6&amp;AQ7</f>
        <v>2035Предложение организации</v>
      </c>
      <c r="AR8" s="2198" t="str">
        <f>AR6&amp;AR7</f>
        <v>2026Принято органом регулирования</v>
      </c>
      <c r="AS8" s="1153" t="str">
        <f>AS6&amp;AS7</f>
        <v>2027Принято органом регулирования</v>
      </c>
      <c r="AT8" s="1153" t="str">
        <f>AT6&amp;AT7</f>
        <v>2028Принято органом регулирования</v>
      </c>
      <c r="AU8" s="1153" t="str">
        <f>AU6&amp;AU7</f>
        <v>2029Принято органом регулирования</v>
      </c>
      <c r="AV8" s="1153" t="str">
        <f>AV6&amp;AV7</f>
        <v>2030Принято органом регулирования</v>
      </c>
      <c r="AW8" s="1153" t="str">
        <f>AW6&amp;AW7</f>
        <v>2031Принято органом регулирования</v>
      </c>
      <c r="AX8" s="1153" t="str">
        <f>AX6&amp;AX7</f>
        <v>2032Принято органом регулирования</v>
      </c>
      <c r="AY8" s="1153" t="str">
        <f>AY6&amp;AY7</f>
        <v>2033Принято органом регулирования</v>
      </c>
      <c r="AZ8" s="1153" t="str">
        <f>AZ6&amp;AZ7</f>
        <v>2034Принято органом регулирования</v>
      </c>
      <c r="BA8" s="1153" t="str">
        <f>BA6&amp;BA7</f>
        <v>2035Принято органом регулирования</v>
      </c>
      <c r="BB8" s="394"/>
      <c r="BC8" s="394"/>
      <c r="BD8" s="394"/>
      <c r="BE8" s="394"/>
      <c r="BF8" s="394"/>
      <c r="BG8" s="394"/>
      <c r="BH8" s="394"/>
      <c r="BI8" s="394"/>
      <c r="BJ8" s="394"/>
      <c r="BK8" s="394"/>
      <c r="BL8" s="394"/>
      <c r="BM8" s="394"/>
      <c r="BN8" s="394"/>
    </row>
    <row customHeight="1" ht="11.25" hidden="1">
      <c r="A9" s="2213" t="s">
        <v>359</v>
      </c>
      <c r="B9" s="2214"/>
      <c r="C9" s="1339"/>
      <c r="D9" s="1339"/>
      <c r="E9" s="1339"/>
      <c r="F9" s="2215"/>
      <c r="G9" s="1339"/>
      <c r="H9" s="1339"/>
      <c r="I9" s="1339"/>
      <c r="J9" s="1339"/>
      <c r="K9" s="1339"/>
      <c r="L9" s="1339"/>
      <c r="M9" s="1339"/>
      <c r="N9" s="1339"/>
      <c r="O9" s="1339"/>
      <c r="P9" s="1339"/>
      <c r="Q9" s="1339"/>
      <c r="R9" s="1339"/>
      <c r="S9" s="1339"/>
      <c r="T9" s="1339"/>
      <c r="U9" s="1339"/>
      <c r="V9" s="1339"/>
      <c r="W9" s="1339"/>
      <c r="X9" s="1339"/>
      <c r="Y9" s="1339"/>
      <c r="Z9" s="1339"/>
      <c r="AA9" s="1339"/>
      <c r="AB9" s="2216"/>
      <c r="AC9" s="2217"/>
      <c r="AD9" s="1339"/>
      <c r="AE9" s="2213" cm="1" t="str">
        <f t="array" ref="AE9:AE9">AE6</f>
        <v>2024</v>
      </c>
      <c r="AF9" s="2213" cm="1" t="str">
        <f t="array" ref="AF9:AF9">AF6</f>
        <v>2024</v>
      </c>
      <c r="AG9" s="2213" cm="1" t="str">
        <f t="array" ref="AG9:AG9">AG6</f>
        <v>2025</v>
      </c>
      <c r="AH9" s="2213" cm="1" t="str">
        <f t="array" ref="AH9:AH9">AH6</f>
        <v>2026</v>
      </c>
      <c r="AI9" s="1155" cm="1" t="str">
        <f t="array" ref="AI9:AI9">AI6</f>
        <v>2027</v>
      </c>
      <c r="AJ9" s="1155" cm="1" t="str">
        <f t="array" ref="AJ9:AJ9">AJ6</f>
        <v>2028</v>
      </c>
      <c r="AK9" s="1155" cm="1" t="str">
        <f t="array" ref="AK9:AK9">AK6</f>
        <v>2029</v>
      </c>
      <c r="AL9" s="1155" cm="1" t="str">
        <f t="array" ref="AL9:AL9">AL6</f>
        <v>2030</v>
      </c>
      <c r="AM9" s="1155" cm="1" t="str">
        <f t="array" ref="AM9:AM9">AM6</f>
        <v>2031</v>
      </c>
      <c r="AN9" s="1155" cm="1" t="str">
        <f t="array" ref="AN9:AN9">AN6</f>
        <v>2032</v>
      </c>
      <c r="AO9" s="1155" cm="1" t="str">
        <f t="array" ref="AO9:AO9">AO6</f>
        <v>2033</v>
      </c>
      <c r="AP9" s="1155" cm="1" t="str">
        <f t="array" ref="AP9:AP9">AP6</f>
        <v>2034</v>
      </c>
      <c r="AQ9" s="1155" cm="1" t="str">
        <f t="array" ref="AQ9:AQ9">AQ6</f>
        <v>2035</v>
      </c>
      <c r="AR9" s="2213" cm="1" t="str">
        <f t="array" ref="AR9:AR9">AR6</f>
        <v>2026</v>
      </c>
      <c r="AS9" s="1155" cm="1" t="str">
        <f t="array" ref="AS9:AS9">AS6</f>
        <v>2027</v>
      </c>
      <c r="AT9" s="1155" cm="1" t="str">
        <f t="array" ref="AT9:AT9">AT6</f>
        <v>2028</v>
      </c>
      <c r="AU9" s="1155" cm="1" t="str">
        <f t="array" ref="AU9:AU9">AU6</f>
        <v>2029</v>
      </c>
      <c r="AV9" s="1155" cm="1" t="str">
        <f t="array" ref="AV9:AV9">AV6</f>
        <v>2030</v>
      </c>
      <c r="AW9" s="1155" cm="1" t="str">
        <f t="array" ref="AW9:AW9">AW6</f>
        <v>2031</v>
      </c>
      <c r="AX9" s="1155" cm="1" t="str">
        <f t="array" ref="AX9:AX9">AX6</f>
        <v>2032</v>
      </c>
      <c r="AY9" s="1155" cm="1" t="str">
        <f t="array" ref="AY9:AY9">AY6</f>
        <v>2033</v>
      </c>
      <c r="AZ9" s="1155" cm="1" t="str">
        <f t="array" ref="AZ9:AZ9">AZ6</f>
        <v>2034</v>
      </c>
      <c r="BA9" s="1155" cm="1" t="str">
        <f t="array" ref="BA9:BA9">BA6</f>
        <v>2035</v>
      </c>
      <c r="BB9" s="394"/>
      <c r="BC9" s="394"/>
      <c r="BD9" s="346"/>
      <c r="BE9" s="346"/>
      <c r="BF9" s="346"/>
      <c r="BG9" s="346"/>
      <c r="BH9" s="346"/>
      <c r="BI9" s="394"/>
      <c r="BJ9" s="394"/>
      <c r="BK9" s="394"/>
      <c r="BL9" s="394"/>
      <c r="BM9" s="394"/>
      <c r="BN9" s="394"/>
    </row>
    <row customHeight="1" ht="11.25" hidden="1">
      <c r="A10" s="2213" t="s">
        <v>360</v>
      </c>
      <c r="B10" s="2214"/>
      <c r="C10" s="1339"/>
      <c r="D10" s="1339"/>
      <c r="E10" s="1339"/>
      <c r="F10" s="2215"/>
      <c r="G10" s="1339"/>
      <c r="H10" s="1339"/>
      <c r="I10" s="1339"/>
      <c r="J10" s="1339"/>
      <c r="K10" s="1339"/>
      <c r="L10" s="1339"/>
      <c r="M10" s="1339"/>
      <c r="N10" s="1339"/>
      <c r="O10" s="1339"/>
      <c r="P10" s="1339"/>
      <c r="Q10" s="1339"/>
      <c r="R10" s="1339"/>
      <c r="S10" s="1339"/>
      <c r="T10" s="1339"/>
      <c r="U10" s="1339"/>
      <c r="V10" s="1339"/>
      <c r="W10" s="1339"/>
      <c r="X10" s="1339"/>
      <c r="Y10" s="1339"/>
      <c r="Z10" s="1339"/>
      <c r="AA10" s="1339"/>
      <c r="AB10" s="2216"/>
      <c r="AC10" s="2217"/>
      <c r="AD10" s="1339"/>
      <c r="AE10" s="2213" cm="1" t="str">
        <f t="array" ref="AE10:AE10">AE25</f>
        <v>Принято органом регулирования</v>
      </c>
      <c r="AF10" s="2213" cm="1" t="str">
        <f t="array" ref="AF10:AF10">AF25</f>
        <v>Факт по данным организации</v>
      </c>
      <c r="AG10" s="2213" cm="1" t="str">
        <f t="array" ref="AG10:AG10">AG25</f>
        <v>Принято органом регулирования</v>
      </c>
      <c r="AH10" s="2213"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Предложение организации</v>
      </c>
      <c r="AQ10" s="1155" cm="1" t="str">
        <f t="array" ref="AQ10:AQ10">AQ25</f>
        <v>Предложение организации</v>
      </c>
      <c r="AR10" s="2213"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AZ10" s="1155" cm="1" t="str">
        <f t="array" ref="AZ10:AZ10">AZ25</f>
        <v>Принято органом регулирования</v>
      </c>
      <c r="BA10" s="1155" cm="1" t="str">
        <f t="array" ref="BA10:BA10">BA25</f>
        <v>Принято органом регулирования</v>
      </c>
      <c r="BB10" s="394"/>
      <c r="BC10" s="394"/>
      <c r="BD10" s="346"/>
      <c r="BE10" s="346"/>
      <c r="BF10" s="346"/>
      <c r="BG10" s="346"/>
      <c r="BH10" s="346"/>
      <c r="BI10" s="394"/>
      <c r="BJ10" s="394"/>
      <c r="BK10" s="394"/>
      <c r="BL10" s="394"/>
      <c r="BM10" s="394"/>
      <c r="BN10" s="394"/>
    </row>
    <row customHeight="1" ht="11.25" hidden="1">
      <c r="A11" s="1339"/>
      <c r="B11" s="1339"/>
      <c r="C11" s="1339"/>
      <c r="D11" s="1339"/>
      <c r="E11" s="1339"/>
      <c r="F11" s="1339"/>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394"/>
      <c r="BC11" s="394"/>
      <c r="BD11" s="394"/>
      <c r="BE11" s="394"/>
      <c r="BF11" s="394"/>
      <c r="BG11" s="394"/>
      <c r="BH11" s="394"/>
      <c r="BI11" s="394"/>
      <c r="BJ11" s="394"/>
      <c r="BK11" s="394"/>
      <c r="BL11" s="394"/>
      <c r="BM11" s="394"/>
      <c r="BN11" s="394"/>
    </row>
    <row customHeight="1" ht="11.25" hidden="1">
      <c r="A12" s="1339"/>
      <c r="B12" s="1339"/>
      <c r="C12" s="1339"/>
      <c r="D12" s="1339"/>
      <c r="E12" s="1339"/>
      <c r="F12" s="1339"/>
      <c r="G12" s="1339"/>
      <c r="H12" s="1339"/>
      <c r="I12" s="1339"/>
      <c r="J12" s="1339"/>
      <c r="K12" s="1339"/>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394"/>
      <c r="BC12" s="394"/>
      <c r="BD12" s="394"/>
      <c r="BE12" s="394"/>
      <c r="BF12" s="394"/>
      <c r="BG12" s="394"/>
      <c r="BH12" s="394"/>
      <c r="BI12" s="394"/>
      <c r="BJ12" s="394"/>
      <c r="BK12" s="394"/>
      <c r="BL12" s="394"/>
      <c r="BM12" s="394"/>
      <c r="BN12" s="394"/>
    </row>
    <row customHeight="1" ht="11.25" hidden="1">
      <c r="A13" s="1339"/>
      <c r="B13" s="1339"/>
      <c r="C13" s="1339"/>
      <c r="D13" s="1339"/>
      <c r="E13" s="1339"/>
      <c r="F13" s="1339"/>
      <c r="G13" s="1339"/>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394"/>
      <c r="BC13" s="394"/>
      <c r="BD13" s="394"/>
      <c r="BE13" s="394"/>
      <c r="BF13" s="394"/>
      <c r="BG13" s="394"/>
      <c r="BH13" s="394"/>
      <c r="BI13" s="394"/>
      <c r="BJ13" s="394"/>
      <c r="BK13" s="394"/>
      <c r="BL13" s="394"/>
      <c r="BM13" s="394"/>
      <c r="BN13" s="394"/>
    </row>
    <row customHeight="1" ht="11.25" hidden="1">
      <c r="A14" s="1339"/>
      <c r="B14" s="1339"/>
      <c r="C14" s="1339"/>
      <c r="D14" s="1339"/>
      <c r="E14" s="1339"/>
      <c r="F14" s="1339"/>
      <c r="G14" s="1339"/>
      <c r="H14" s="1339"/>
      <c r="I14" s="1339"/>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39"/>
      <c r="AU14" s="1339"/>
      <c r="AV14" s="1339"/>
      <c r="AW14" s="1339"/>
      <c r="AX14" s="1339"/>
      <c r="AY14" s="1339"/>
      <c r="AZ14" s="1339"/>
      <c r="BA14" s="1339"/>
      <c r="BB14" s="394"/>
      <c r="BC14" s="394"/>
      <c r="BD14" s="394"/>
      <c r="BE14" s="394"/>
      <c r="BF14" s="394"/>
      <c r="BG14" s="394"/>
      <c r="BH14" s="394"/>
      <c r="BI14" s="394"/>
      <c r="BJ14" s="394"/>
      <c r="BK14" s="394"/>
      <c r="BL14" s="394"/>
      <c r="BM14" s="394"/>
      <c r="BN14" s="394"/>
    </row>
    <row customHeight="1" ht="11.25" hidden="1">
      <c r="A15" s="1339"/>
      <c r="B15" s="1339"/>
      <c r="C15" s="1339"/>
      <c r="D15" s="1339"/>
      <c r="E15" s="1339"/>
      <c r="F15" s="1339"/>
      <c r="G15" s="1339"/>
      <c r="H15" s="1339"/>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39"/>
      <c r="AU15" s="1339"/>
      <c r="AV15" s="1339"/>
      <c r="AW15" s="1339"/>
      <c r="AX15" s="1339"/>
      <c r="AY15" s="1339"/>
      <c r="AZ15" s="1339"/>
      <c r="BA15" s="1339"/>
      <c r="BB15" s="394"/>
      <c r="BC15" s="394"/>
      <c r="BD15" s="394"/>
      <c r="BE15" s="394"/>
      <c r="BF15" s="394"/>
      <c r="BG15" s="394"/>
      <c r="BH15" s="394"/>
      <c r="BI15" s="394"/>
      <c r="BJ15" s="394"/>
      <c r="BK15" s="394"/>
      <c r="BL15" s="394"/>
      <c r="BM15" s="394"/>
      <c r="BN15" s="394"/>
    </row>
    <row customHeight="1" ht="11.25" hidden="1">
      <c r="A16" s="1339"/>
      <c r="B16" s="1339"/>
      <c r="C16" s="1339"/>
      <c r="D16" s="1339"/>
      <c r="E16" s="1339"/>
      <c r="F16" s="1339"/>
      <c r="G16" s="1339"/>
      <c r="H16" s="1339"/>
      <c r="I16" s="1339"/>
      <c r="J16" s="1339"/>
      <c r="K16" s="1339"/>
      <c r="L16" s="1339"/>
      <c r="M16" s="1339"/>
      <c r="N16" s="1339"/>
      <c r="O16" s="1339"/>
      <c r="P16" s="1339"/>
      <c r="Q16" s="1339"/>
      <c r="R16" s="1339"/>
      <c r="S16" s="1339"/>
      <c r="T16" s="1339"/>
      <c r="U16" s="1339"/>
      <c r="V16" s="1339"/>
      <c r="W16" s="1339"/>
      <c r="X16" s="1339"/>
      <c r="Y16" s="1339"/>
      <c r="Z16" s="1339"/>
      <c r="AA16" s="1339"/>
      <c r="AB16" s="1339"/>
      <c r="AC16" s="1339"/>
      <c r="AD16" s="1339"/>
      <c r="AE16" s="1339"/>
      <c r="AF16" s="1339"/>
      <c r="AG16" s="1339"/>
      <c r="AH16" s="1339"/>
      <c r="AI16" s="1339"/>
      <c r="AJ16" s="1339"/>
      <c r="AK16" s="1339"/>
      <c r="AL16" s="1339"/>
      <c r="AM16" s="1339"/>
      <c r="AN16" s="1339"/>
      <c r="AO16" s="1339"/>
      <c r="AP16" s="1339"/>
      <c r="AQ16" s="1339"/>
      <c r="AR16" s="1339"/>
      <c r="AS16" s="1339"/>
      <c r="AT16" s="1339"/>
      <c r="AU16" s="1339"/>
      <c r="AV16" s="1339"/>
      <c r="AW16" s="1339"/>
      <c r="AX16" s="1339"/>
      <c r="AY16" s="1339"/>
      <c r="AZ16" s="1339"/>
      <c r="BA16" s="1339"/>
      <c r="BB16" s="394"/>
      <c r="BC16" s="394"/>
      <c r="BD16" s="394"/>
      <c r="BE16" s="394"/>
      <c r="BF16" s="394"/>
      <c r="BG16" s="394"/>
      <c r="BH16" s="394"/>
      <c r="BI16" s="394"/>
      <c r="BJ16" s="394"/>
      <c r="BK16" s="394"/>
      <c r="BL16" s="394"/>
      <c r="BM16" s="394"/>
      <c r="BN16" s="394"/>
    </row>
    <row customHeight="1" ht="11.25" hidden="1">
      <c r="A17" s="1339"/>
      <c r="B17" s="1339"/>
      <c r="C17" s="1339"/>
      <c r="D17" s="1339"/>
      <c r="E17" s="1339"/>
      <c r="F17" s="1339"/>
      <c r="G17" s="1339"/>
      <c r="H17" s="1339"/>
      <c r="I17" s="1339"/>
      <c r="J17" s="1339"/>
      <c r="K17" s="1339"/>
      <c r="L17" s="1339"/>
      <c r="M17" s="1339"/>
      <c r="N17" s="1339"/>
      <c r="O17" s="1339"/>
      <c r="P17" s="1339"/>
      <c r="Q17" s="1339"/>
      <c r="R17" s="1339"/>
      <c r="S17" s="1339"/>
      <c r="T17" s="1339"/>
      <c r="U17" s="1339"/>
      <c r="V17" s="1339"/>
      <c r="W17" s="1339"/>
      <c r="X17" s="1339"/>
      <c r="Y17" s="1339"/>
      <c r="Z17" s="1339"/>
      <c r="AA17" s="1339"/>
      <c r="AB17" s="1339"/>
      <c r="AC17" s="1339"/>
      <c r="AD17" s="1339"/>
      <c r="AE17" s="1339"/>
      <c r="AF17" s="1339"/>
      <c r="AG17" s="1339"/>
      <c r="AH17" s="1339"/>
      <c r="AI17" s="1339"/>
      <c r="AJ17" s="1339"/>
      <c r="AK17" s="1339"/>
      <c r="AL17" s="1339"/>
      <c r="AM17" s="1339"/>
      <c r="AN17" s="1339"/>
      <c r="AO17" s="1339"/>
      <c r="AP17" s="1339"/>
      <c r="AQ17" s="1339"/>
      <c r="AR17" s="1339"/>
      <c r="AS17" s="1339"/>
      <c r="AT17" s="1339"/>
      <c r="AU17" s="1339"/>
      <c r="AV17" s="1339"/>
      <c r="AW17" s="1339"/>
      <c r="AX17" s="1339"/>
      <c r="AY17" s="1339"/>
      <c r="AZ17" s="1339"/>
      <c r="BA17" s="1339"/>
      <c r="BB17" s="394"/>
      <c r="BC17" s="394"/>
      <c r="BD17" s="394"/>
      <c r="BE17" s="394"/>
      <c r="BF17" s="394"/>
      <c r="BG17" s="394"/>
      <c r="BH17" s="394"/>
      <c r="BI17" s="394"/>
      <c r="BJ17" s="394"/>
      <c r="BK17" s="394"/>
      <c r="BL17" s="394"/>
      <c r="BM17" s="394"/>
      <c r="BN17" s="394"/>
    </row>
    <row customHeight="1" ht="11.25" hidden="1">
      <c r="A18" s="1339"/>
      <c r="B18" s="1339"/>
      <c r="C18" s="1339"/>
      <c r="D18" s="1339"/>
      <c r="E18" s="1339"/>
      <c r="F18" s="1339"/>
      <c r="G18" s="1339"/>
      <c r="H18" s="1339"/>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39"/>
      <c r="AO18" s="1339"/>
      <c r="AP18" s="1339"/>
      <c r="AQ18" s="1339"/>
      <c r="AR18" s="1339"/>
      <c r="AS18" s="1339"/>
      <c r="AT18" s="1339"/>
      <c r="AU18" s="1339"/>
      <c r="AV18" s="1339"/>
      <c r="AW18" s="1339"/>
      <c r="AX18" s="1339"/>
      <c r="AY18" s="1339"/>
      <c r="AZ18" s="1339"/>
      <c r="BA18" s="1339"/>
      <c r="BB18" s="394"/>
      <c r="BC18" s="394"/>
      <c r="BD18" s="394"/>
      <c r="BE18" s="394"/>
      <c r="BF18" s="394"/>
      <c r="BG18" s="394"/>
      <c r="BH18" s="394"/>
      <c r="BI18" s="394"/>
      <c r="BJ18" s="394"/>
      <c r="BK18" s="394"/>
      <c r="BL18" s="394"/>
      <c r="BM18" s="394"/>
      <c r="BN18" s="394"/>
    </row>
    <row customHeight="1" ht="11.25" hidden="1">
      <c r="A19" s="1339"/>
      <c r="B19" s="1339"/>
      <c r="C19" s="1339"/>
      <c r="D19" s="1339"/>
      <c r="E19" s="1339"/>
      <c r="F19" s="1339"/>
      <c r="G19" s="1339"/>
      <c r="H19" s="1339"/>
      <c r="I19" s="1339"/>
      <c r="J19" s="1339"/>
      <c r="K19" s="1339"/>
      <c r="L19" s="1339"/>
      <c r="M19" s="1339"/>
      <c r="N19" s="1339"/>
      <c r="O19" s="1339"/>
      <c r="P19" s="1339"/>
      <c r="Q19" s="1339"/>
      <c r="R19" s="1339"/>
      <c r="S19" s="1339"/>
      <c r="T19" s="1339"/>
      <c r="U19" s="1339"/>
      <c r="V19" s="1339"/>
      <c r="W19" s="1339"/>
      <c r="X19" s="1339"/>
      <c r="Y19" s="1339"/>
      <c r="Z19" s="1339"/>
      <c r="AA19" s="1339"/>
      <c r="AB19" s="1339"/>
      <c r="AC19" s="1339"/>
      <c r="AD19" s="1339"/>
      <c r="AE19" s="1339"/>
      <c r="AF19" s="1339"/>
      <c r="AG19" s="1339"/>
      <c r="AH19" s="1339"/>
      <c r="AI19" s="1339"/>
      <c r="AJ19" s="1339"/>
      <c r="AK19" s="1339"/>
      <c r="AL19" s="1339"/>
      <c r="AM19" s="1339"/>
      <c r="AN19" s="1339"/>
      <c r="AO19" s="1339"/>
      <c r="AP19" s="1339"/>
      <c r="AQ19" s="1339"/>
      <c r="AR19" s="1339"/>
      <c r="AS19" s="1339"/>
      <c r="AT19" s="1339"/>
      <c r="AU19" s="1339"/>
      <c r="AV19" s="1339"/>
      <c r="AW19" s="1339"/>
      <c r="AX19" s="1339"/>
      <c r="AY19" s="1339"/>
      <c r="AZ19" s="1339"/>
      <c r="BA19" s="1339"/>
      <c r="BB19" s="394"/>
      <c r="BC19" s="394"/>
      <c r="BD19" s="394"/>
      <c r="BE19" s="394"/>
      <c r="BF19" s="394"/>
      <c r="BG19" s="394"/>
      <c r="BH19" s="394"/>
      <c r="BI19" s="394"/>
      <c r="BJ19" s="394"/>
      <c r="BK19" s="394"/>
      <c r="BL19" s="394"/>
      <c r="BM19" s="394"/>
      <c r="BN19" s="394"/>
    </row>
    <row customHeight="1" ht="11.25" hidden="1">
      <c r="A20" s="1339"/>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c r="AM20" s="1339"/>
      <c r="AN20" s="1339"/>
      <c r="AO20" s="1339"/>
      <c r="AP20" s="1339"/>
      <c r="AQ20" s="1339"/>
      <c r="AR20" s="1339"/>
      <c r="AS20" s="1339"/>
      <c r="AT20" s="1339"/>
      <c r="AU20" s="1339"/>
      <c r="AV20" s="1339"/>
      <c r="AW20" s="1339"/>
      <c r="AX20" s="1339"/>
      <c r="AY20" s="1339"/>
      <c r="AZ20" s="1339"/>
      <c r="BA20" s="1339"/>
      <c r="BB20" s="394"/>
      <c r="BC20" s="394"/>
      <c r="BD20" s="394"/>
      <c r="BE20" s="394"/>
      <c r="BF20" s="394"/>
      <c r="BG20" s="394"/>
      <c r="BH20" s="394"/>
      <c r="BI20" s="394"/>
      <c r="BJ20" s="394"/>
      <c r="BK20" s="394"/>
      <c r="BL20" s="394"/>
      <c r="BM20" s="394"/>
      <c r="BN20" s="394"/>
    </row>
    <row customHeight="1" ht="14.625">
      <c r="A21" s="1339"/>
      <c r="B21" s="1339"/>
      <c r="C21" s="1339"/>
      <c r="D21" s="1339"/>
      <c r="E21" s="2207">
        <v>15</v>
      </c>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2219"/>
      <c r="AB21" s="1339"/>
      <c r="AC21" s="2220" cm="1" t="str">
        <f t="array" ref="AC21:AC21">tpl_title</f>
        <v>Кемеровская область / 2026 / Филиал АО "УК "Кузбассразрезуголь" "Талдинский угольный разрез" (ИНН:4205049090, КПП:423802002) / ДПР: 2024-2028</v>
      </c>
      <c r="AD21" s="2221"/>
      <c r="AE21" s="2222"/>
      <c r="AF21" s="1339"/>
      <c r="AG21" s="1339"/>
      <c r="AH21" s="1339"/>
      <c r="AI21" s="1339"/>
      <c r="AJ21" s="1339"/>
      <c r="AK21" s="1339"/>
      <c r="AL21" s="1339"/>
      <c r="AM21" s="1339"/>
      <c r="AN21" s="1339"/>
      <c r="AO21" s="1339"/>
      <c r="AP21" s="1339"/>
      <c r="AQ21" s="1339"/>
      <c r="AR21" s="1339"/>
      <c r="AS21" s="1339"/>
      <c r="AT21" s="1339"/>
      <c r="AU21" s="1339"/>
      <c r="AV21" s="1339"/>
      <c r="AW21" s="1339"/>
      <c r="AX21" s="1339"/>
      <c r="AY21" s="1339"/>
      <c r="AZ21" s="1339"/>
      <c r="BA21" s="1339"/>
      <c r="BB21" s="394"/>
      <c r="BC21" s="394"/>
      <c r="BD21" s="394"/>
      <c r="BE21" s="394"/>
      <c r="BF21" s="394"/>
      <c r="BG21" s="394"/>
      <c r="BH21" s="394"/>
      <c r="BI21" s="394"/>
      <c r="BJ21" s="394"/>
      <c r="BK21" s="394"/>
      <c r="BL21" s="394"/>
      <c r="BM21" s="394"/>
      <c r="BN21" s="394"/>
    </row>
    <row customHeight="1" ht="21.9375">
      <c r="A22" s="1339"/>
      <c r="B22" s="1339"/>
      <c r="C22" s="1339"/>
      <c r="D22" s="1339"/>
      <c r="E22" s="2207">
        <v>22.5</v>
      </c>
      <c r="F22" s="1339"/>
      <c r="G22" s="1339"/>
      <c r="H22" s="1339"/>
      <c r="I22" s="1339"/>
      <c r="J22" s="1339"/>
      <c r="K22" s="1339"/>
      <c r="L22" s="1339"/>
      <c r="M22" s="1339"/>
      <c r="N22" s="1339"/>
      <c r="O22" s="1339"/>
      <c r="P22" s="1339"/>
      <c r="Q22" s="1339"/>
      <c r="R22" s="1339"/>
      <c r="S22" s="1339"/>
      <c r="T22" s="1339"/>
      <c r="U22" s="1339"/>
      <c r="V22" s="1339"/>
      <c r="W22" s="1339"/>
      <c r="X22" s="1339"/>
      <c r="Y22" s="1339"/>
      <c r="Z22" s="1339"/>
      <c r="AA22" s="1339"/>
      <c r="AB22" s="2223" t="s">
        <v>453</v>
      </c>
      <c r="AC22" s="2224"/>
      <c r="AD22" s="2224"/>
      <c r="AE22" s="2224"/>
      <c r="AF22" s="2224"/>
      <c r="AG22" s="2225"/>
      <c r="AH22" s="2225"/>
      <c r="AI22" s="1173"/>
      <c r="AJ22" s="1173"/>
      <c r="AK22" s="1173"/>
      <c r="AL22" s="1173"/>
      <c r="AM22" s="1173"/>
      <c r="AN22" s="1173"/>
      <c r="AO22" s="1173"/>
      <c r="AP22" s="1173"/>
      <c r="AQ22" s="1173"/>
      <c r="AR22" s="2225"/>
      <c r="AS22" s="1173"/>
      <c r="AT22" s="1173"/>
      <c r="AU22" s="1173"/>
      <c r="AV22" s="1173"/>
      <c r="AW22" s="1173"/>
      <c r="AX22" s="1173"/>
      <c r="AY22" s="1173"/>
      <c r="AZ22" s="1173"/>
      <c r="BA22" s="1173"/>
      <c r="BB22" s="394"/>
      <c r="BC22" s="394"/>
      <c r="BD22" s="394"/>
      <c r="BE22" s="394"/>
      <c r="BF22" s="394"/>
      <c r="BG22" s="394"/>
      <c r="BH22" s="394"/>
      <c r="BI22" s="394"/>
      <c r="BJ22" s="394"/>
      <c r="BK22" s="394"/>
      <c r="BL22" s="394"/>
      <c r="BM22" s="394"/>
      <c r="BN22" s="394"/>
    </row>
    <row customHeight="1" ht="14.625">
      <c r="A23" s="1339"/>
      <c r="B23" s="2206"/>
      <c r="C23" s="1339"/>
      <c r="D23" s="1339"/>
      <c r="E23" s="2227">
        <v>15</v>
      </c>
      <c r="F23" s="2199"/>
      <c r="G23" s="1339"/>
      <c r="H23" s="1339"/>
      <c r="I23" s="1339"/>
      <c r="J23" s="1339"/>
      <c r="K23" s="1339"/>
      <c r="L23" s="1339"/>
      <c r="M23" s="1339"/>
      <c r="N23" s="1339"/>
      <c r="O23" s="1339"/>
      <c r="P23" s="1339"/>
      <c r="Q23" s="1339"/>
      <c r="R23" s="1339"/>
      <c r="S23" s="1339"/>
      <c r="T23" s="1339"/>
      <c r="U23" s="1339"/>
      <c r="V23" s="1339"/>
      <c r="W23" s="1339"/>
      <c r="X23" s="1339"/>
      <c r="Y23" s="1339"/>
      <c r="Z23" s="1339"/>
      <c r="AA23" s="2206"/>
      <c r="AB23" s="2228"/>
      <c r="AC23" s="2229"/>
      <c r="AD23" s="2230"/>
      <c r="AE23" s="2231"/>
      <c r="AF23" s="1339"/>
      <c r="AG23" s="1339"/>
      <c r="AH23" s="1339"/>
      <c r="AI23" s="1339"/>
      <c r="AJ23" s="1339"/>
      <c r="AK23" s="1339"/>
      <c r="AL23" s="1339"/>
      <c r="AM23" s="1339"/>
      <c r="AN23" s="1339"/>
      <c r="AO23" s="1339"/>
      <c r="AP23" s="1339"/>
      <c r="AQ23" s="1339"/>
      <c r="AR23" s="1339"/>
      <c r="AS23" s="1339"/>
      <c r="AT23" s="1339"/>
      <c r="AU23" s="1339"/>
      <c r="AV23" s="1339"/>
      <c r="AW23" s="1339"/>
      <c r="AX23" s="1339"/>
      <c r="AY23" s="1339"/>
      <c r="AZ23" s="1339"/>
      <c r="BA23" s="1339"/>
      <c r="BB23" s="394"/>
      <c r="BC23" s="1178"/>
      <c r="BD23" s="346"/>
      <c r="BE23" s="346"/>
      <c r="BF23" s="346"/>
      <c r="BG23" s="346"/>
      <c r="BH23" s="346"/>
      <c r="BI23" s="394"/>
      <c r="BJ23" s="394"/>
      <c r="BK23" s="394"/>
      <c r="BL23" s="394"/>
      <c r="BM23" s="394"/>
      <c r="BN23" s="394"/>
    </row>
    <row customHeight="1" ht="14.625">
      <c r="A24" s="1339"/>
      <c r="B24" s="1339"/>
      <c r="C24" s="1339"/>
      <c r="D24" s="1339"/>
      <c r="E24" s="2207">
        <v>15</v>
      </c>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2232" t="s">
        <v>21</v>
      </c>
      <c r="AC24" s="2232" t="s">
        <v>430</v>
      </c>
      <c r="AD24" s="2232" t="s">
        <v>363</v>
      </c>
      <c r="AE24" s="2232" t="str">
        <f>god-2&amp;" год"</f>
        <v>2024 год</v>
      </c>
      <c r="AF24" s="2233" t="str">
        <f>god-2&amp;" год"</f>
        <v>2024 год</v>
      </c>
      <c r="AG24" s="2232" t="str">
        <f>god-1&amp;" год"</f>
        <v>2025 год</v>
      </c>
      <c r="AH24" s="2233" t="str">
        <f>god&amp;" год"</f>
        <v>2026 год</v>
      </c>
      <c r="AI24" s="1180" t="str">
        <f>god+1&amp;" год"</f>
        <v>2027 год</v>
      </c>
      <c r="AJ24" s="1180" t="str">
        <f>god+2&amp;" год"</f>
        <v>2028 год</v>
      </c>
      <c r="AK24" s="1180" t="str">
        <f>god+3&amp;" год"</f>
        <v>2029 год</v>
      </c>
      <c r="AL24" s="1180" t="str">
        <f>god+4&amp;" год"</f>
        <v>2030 год</v>
      </c>
      <c r="AM24" s="1180" t="str">
        <f>god+5&amp;" год"</f>
        <v>2031 год</v>
      </c>
      <c r="AN24" s="1180" t="str">
        <f>god+6&amp;" год"</f>
        <v>2032 год</v>
      </c>
      <c r="AO24" s="1180" t="str">
        <f>god+7&amp;" год"</f>
        <v>2033 год</v>
      </c>
      <c r="AP24" s="1180" t="str">
        <f>god+8&amp;" год"</f>
        <v>2034 год</v>
      </c>
      <c r="AQ24" s="1180" t="str">
        <f>god+9&amp;" год"</f>
        <v>2035 год</v>
      </c>
      <c r="AR24" s="2232" t="str">
        <f>god&amp;" год"</f>
        <v>2026 год</v>
      </c>
      <c r="AS24" s="1179" t="str">
        <f>god+1&amp;" год"</f>
        <v>2027 год</v>
      </c>
      <c r="AT24" s="1179" t="str">
        <f>god+2&amp;" год"</f>
        <v>2028 год</v>
      </c>
      <c r="AU24" s="1179" t="str">
        <f>god+3&amp;" год"</f>
        <v>2029 год</v>
      </c>
      <c r="AV24" s="1179" t="str">
        <f>god+4&amp;" год"</f>
        <v>2030 год</v>
      </c>
      <c r="AW24" s="1179" t="str">
        <f>god+5&amp;" год"</f>
        <v>2031 год</v>
      </c>
      <c r="AX24" s="1179" t="str">
        <f>god+6&amp;" год"</f>
        <v>2032 год</v>
      </c>
      <c r="AY24" s="1179" t="str">
        <f>god+7&amp;" год"</f>
        <v>2033 год</v>
      </c>
      <c r="AZ24" s="1179" t="str">
        <f>god+8&amp;" год"</f>
        <v>2034 год</v>
      </c>
      <c r="BA24" s="1179" t="str">
        <f>god+9&amp;" год"</f>
        <v>2035 год</v>
      </c>
      <c r="BB24" s="394"/>
      <c r="BC24" s="394"/>
      <c r="BD24" s="394"/>
      <c r="BE24" s="394"/>
      <c r="BF24" s="394"/>
      <c r="BG24" s="394"/>
      <c r="BH24" s="394"/>
      <c r="BI24" s="394"/>
      <c r="BJ24" s="394"/>
      <c r="BK24" s="394"/>
      <c r="BL24" s="394"/>
      <c r="BM24" s="394"/>
      <c r="BN24" s="394"/>
    </row>
    <row customHeight="1" ht="67.275">
      <c r="A25" s="1339"/>
      <c r="B25" s="1339"/>
      <c r="C25" s="1339"/>
      <c r="D25" s="1339"/>
      <c r="E25" s="2207">
        <v>69</v>
      </c>
      <c r="F25" s="1339"/>
      <c r="G25" s="1339"/>
      <c r="H25" s="1339"/>
      <c r="I25" s="1339"/>
      <c r="J25" s="1339"/>
      <c r="K25" s="1339"/>
      <c r="L25" s="1339"/>
      <c r="M25" s="1339"/>
      <c r="N25" s="1339"/>
      <c r="O25" s="1339"/>
      <c r="P25" s="1339"/>
      <c r="Q25" s="1339"/>
      <c r="R25" s="1339"/>
      <c r="S25" s="1339"/>
      <c r="T25" s="1339"/>
      <c r="U25" s="1339"/>
      <c r="V25" s="1339"/>
      <c r="W25" s="1339"/>
      <c r="X25" s="1339"/>
      <c r="Y25" s="1339"/>
      <c r="Z25" s="1339"/>
      <c r="AA25" s="1339"/>
      <c r="AB25" s="2232"/>
      <c r="AC25" s="2232"/>
      <c r="AD25" s="2232"/>
      <c r="AE25" s="2236" t="s">
        <v>356</v>
      </c>
      <c r="AF25" s="2237" t="s">
        <v>431</v>
      </c>
      <c r="AG25" s="2232" t="s">
        <v>356</v>
      </c>
      <c r="AH25" s="2237" t="s">
        <v>357</v>
      </c>
      <c r="AI25" s="1182" t="s">
        <v>357</v>
      </c>
      <c r="AJ25" s="1182" t="s">
        <v>357</v>
      </c>
      <c r="AK25" s="1182" t="s">
        <v>357</v>
      </c>
      <c r="AL25" s="1182" t="s">
        <v>357</v>
      </c>
      <c r="AM25" s="1182" t="s">
        <v>357</v>
      </c>
      <c r="AN25" s="1182" t="s">
        <v>357</v>
      </c>
      <c r="AO25" s="1182" t="s">
        <v>357</v>
      </c>
      <c r="AP25" s="1182" t="s">
        <v>357</v>
      </c>
      <c r="AQ25" s="1182" t="s">
        <v>357</v>
      </c>
      <c r="AR25" s="2232" t="s">
        <v>356</v>
      </c>
      <c r="AS25" s="1179" t="s">
        <v>356</v>
      </c>
      <c r="AT25" s="1179" t="s">
        <v>356</v>
      </c>
      <c r="AU25" s="1179" t="s">
        <v>356</v>
      </c>
      <c r="AV25" s="1179" t="s">
        <v>356</v>
      </c>
      <c r="AW25" s="1179" t="s">
        <v>356</v>
      </c>
      <c r="AX25" s="1179" t="s">
        <v>356</v>
      </c>
      <c r="AY25" s="1179" t="s">
        <v>356</v>
      </c>
      <c r="AZ25" s="1179" t="s">
        <v>356</v>
      </c>
      <c r="BA25" s="1179" t="s">
        <v>356</v>
      </c>
      <c r="BB25" s="394"/>
      <c r="BC25" s="394"/>
      <c r="BD25" s="394"/>
      <c r="BE25" s="394"/>
      <c r="BF25" s="394"/>
      <c r="BG25" s="394"/>
      <c r="BH25" s="394"/>
      <c r="BI25" s="394"/>
      <c r="BJ25" s="394"/>
      <c r="BK25" s="394"/>
      <c r="BL25" s="394"/>
      <c r="BM25" s="394"/>
      <c r="BN25" s="394"/>
    </row>
    <row s="1483" customFormat="1" customHeight="1" ht="11.25" hidden="1">
      <c r="A26" s="2239"/>
      <c r="B26" s="2240"/>
      <c r="C26" s="2239"/>
      <c r="D26" s="2239"/>
      <c r="E26" s="2241">
        <v>0</v>
      </c>
      <c r="F26" s="1338"/>
      <c r="G26" s="2239"/>
      <c r="H26" s="2239"/>
      <c r="I26" s="2239"/>
      <c r="J26" s="2239"/>
      <c r="K26" s="2239"/>
      <c r="L26" s="2239"/>
      <c r="M26" s="2239"/>
      <c r="N26" s="2239"/>
      <c r="O26" s="2239"/>
      <c r="P26" s="2239"/>
      <c r="Q26" s="2239"/>
      <c r="R26" s="2239"/>
      <c r="S26" s="2239"/>
      <c r="T26" s="2239"/>
      <c r="U26" s="2239"/>
      <c r="V26" s="2239"/>
      <c r="W26" s="2239"/>
      <c r="X26" s="2239"/>
      <c r="Y26" s="2239"/>
      <c r="Z26" s="2239"/>
      <c r="AA26" s="1339"/>
      <c r="AB26" s="2242"/>
      <c r="AC26" s="2243"/>
      <c r="AD26" s="2222"/>
      <c r="AE26" s="2244"/>
      <c r="AF26" s="2244"/>
      <c r="AG26" s="2244"/>
      <c r="AH26" s="2244"/>
      <c r="AI26" s="1188"/>
      <c r="AJ26" s="1188"/>
      <c r="AK26" s="1188"/>
      <c r="AL26" s="1188"/>
      <c r="AM26" s="1188"/>
      <c r="AN26" s="1188"/>
      <c r="AO26" s="1188"/>
      <c r="AP26" s="1188"/>
      <c r="AQ26" s="1188"/>
      <c r="AR26" s="2244"/>
      <c r="AS26" s="1188"/>
      <c r="AT26" s="1188"/>
      <c r="AU26" s="1188"/>
      <c r="AV26" s="1188"/>
      <c r="AW26" s="1188"/>
      <c r="AX26" s="1188"/>
      <c r="AY26" s="1188"/>
      <c r="AZ26" s="1188"/>
      <c r="BA26" s="1188"/>
      <c r="BB26" s="394"/>
      <c r="BC26" s="1189"/>
      <c r="BD26" s="346"/>
      <c r="BE26" s="346"/>
      <c r="BF26" s="346"/>
      <c r="BG26" s="346"/>
      <c r="BH26" s="346"/>
      <c r="BI26" s="394"/>
      <c r="BJ26" s="394"/>
      <c r="BK26" s="394"/>
      <c r="BL26" s="394"/>
      <c r="BM26" s="394"/>
      <c r="BN26" s="394"/>
    </row>
    <row s="1412" customFormat="1" customHeight="1" ht="14.625" hidden="1">
      <c r="A27" s="1339"/>
      <c r="B27" s="1190"/>
      <c r="C27" s="1339"/>
      <c r="D27" s="1339"/>
      <c r="E27" s="1191">
        <v>15</v>
      </c>
      <c r="F27" s="1154" cm="1" t="str">
        <f t="array" ref="F27:F27">Y27</f>
        <v>0</v>
      </c>
      <c r="G27" s="1339"/>
      <c r="H27" s="1339"/>
      <c r="I27" s="1339"/>
      <c r="J27" s="1339"/>
      <c r="K27" s="1339"/>
      <c r="L27" s="1339"/>
      <c r="M27" s="1339"/>
      <c r="N27" s="1339"/>
      <c r="O27" s="1339"/>
      <c r="P27" s="1339"/>
      <c r="Q27" s="1339"/>
      <c r="R27" s="1339"/>
      <c r="S27" s="1339"/>
      <c r="T27" s="1339"/>
      <c r="U27" s="1339"/>
      <c r="V27" s="439">
        <f>Y27&gt;0</f>
        <v>0</v>
      </c>
      <c r="W27" s="1339"/>
      <c r="X27" s="1187" t="s">
        <v>261</v>
      </c>
      <c r="Y27" s="1462">
        <v>0</v>
      </c>
      <c r="Z27" s="1484"/>
      <c r="AA27" s="1339"/>
      <c r="AB27" s="1192" cm="1" t="str">
        <f t="array" ref="AB27:AB27">INDEX('Общие сведения'!$AG$179:$AG$222,MATCH($Y27,'Общие сведения'!$Z$179:$Z$222,0))</f>
        <v>Тариф 0 () - </v>
      </c>
      <c r="AC27" s="1193"/>
      <c r="AD27" s="1194"/>
      <c r="AE27" s="1194"/>
      <c r="AF27" s="1194"/>
      <c r="AG27" s="1194"/>
      <c r="AH27" s="1194"/>
      <c r="AI27" s="1194"/>
      <c r="AJ27" s="1194"/>
      <c r="AK27" s="1194"/>
      <c r="AL27" s="1194"/>
      <c r="AM27" s="1194"/>
      <c r="AN27" s="1194"/>
      <c r="AO27" s="1194"/>
      <c r="AP27" s="1194"/>
      <c r="AQ27" s="1194"/>
      <c r="AR27" s="1194"/>
      <c r="AS27" s="1194"/>
      <c r="AT27" s="1194"/>
      <c r="AU27" s="1194"/>
      <c r="AV27" s="1194"/>
      <c r="AW27" s="1194"/>
      <c r="AX27" s="1194"/>
      <c r="AY27" s="1194"/>
      <c r="AZ27" s="1194"/>
      <c r="BA27" s="1194"/>
      <c r="BB27" s="394"/>
      <c r="BC27" s="1195"/>
      <c r="BD27" s="346"/>
      <c r="BE27" s="346"/>
      <c r="BF27" s="346"/>
      <c r="BG27" s="346"/>
      <c r="BH27" s="346"/>
      <c r="BI27" s="394"/>
      <c r="BJ27" s="394"/>
      <c r="BK27" s="394"/>
      <c r="BL27" s="394"/>
      <c r="BM27" s="394"/>
      <c r="BN27" s="394"/>
    </row>
    <row customHeight="1" ht="21.9375" hidden="1">
      <c r="A28" s="1339"/>
      <c r="B28" s="1338"/>
      <c r="C28" s="1339"/>
      <c r="D28" s="1339"/>
      <c r="E28" s="1161">
        <v>22.5</v>
      </c>
      <c r="F28" s="1340" cm="1" t="str">
        <f t="array" ref="F28:F28">OFFSET(E28,-1,1)</f>
        <v>0</v>
      </c>
      <c r="G28" s="1339"/>
      <c r="H28" s="1339"/>
      <c r="I28" s="1339"/>
      <c r="J28" s="1339"/>
      <c r="K28" s="1339"/>
      <c r="L28" s="1339"/>
      <c r="M28" s="1339"/>
      <c r="N28" s="1339"/>
      <c r="O28" s="1339"/>
      <c r="P28" s="1339"/>
      <c r="Q28" s="1339"/>
      <c r="R28" s="1339"/>
      <c r="S28" s="1339"/>
      <c r="T28" s="1339"/>
      <c r="U28" s="1339"/>
      <c r="V28" s="439" cm="1" t="str">
        <f t="array" ref="V28:V28">V27</f>
        <v>false</v>
      </c>
      <c r="W28" s="1339"/>
      <c r="X28" s="1339"/>
      <c r="Y28" s="1462"/>
      <c r="Z28" s="1484"/>
      <c r="AA28" s="1339"/>
      <c r="AB28" s="1196">
        <v>1</v>
      </c>
      <c r="AC28" s="1197" t="s">
        <v>453</v>
      </c>
      <c r="AD28" s="1198"/>
      <c r="AE28" s="2261"/>
      <c r="AF28" s="2261"/>
      <c r="AG28" s="2261"/>
      <c r="AH28" s="2261"/>
      <c r="AI28" s="2261"/>
      <c r="AJ28" s="2261"/>
      <c r="AK28" s="2261"/>
      <c r="AL28" s="2261"/>
      <c r="AM28" s="2261"/>
      <c r="AN28" s="2261"/>
      <c r="AO28" s="2261"/>
      <c r="AP28" s="2261"/>
      <c r="AQ28" s="2261"/>
      <c r="AR28" s="2261"/>
      <c r="AS28" s="2261"/>
      <c r="AT28" s="2261"/>
      <c r="AU28" s="2261"/>
      <c r="AV28" s="2261"/>
      <c r="AW28" s="2261"/>
      <c r="AX28" s="2261"/>
      <c r="AY28" s="2261"/>
      <c r="AZ28" s="2261"/>
      <c r="BA28" s="2261"/>
      <c r="BB28" s="394"/>
      <c r="BC28" s="1155" t="s">
        <v>500</v>
      </c>
      <c r="BD28" s="394"/>
      <c r="BE28" s="394"/>
      <c r="BF28" s="394"/>
      <c r="BG28" s="394"/>
      <c r="BH28" s="394"/>
      <c r="BI28" s="394"/>
      <c r="BJ28" s="394"/>
      <c r="BK28" s="394"/>
      <c r="BL28" s="394"/>
      <c r="BM28" s="394"/>
      <c r="BN28" s="394"/>
    </row>
    <row customHeight="1" ht="23.400000000000002" hidden="1">
      <c r="A29" s="1339"/>
      <c r="B29" s="1339"/>
      <c r="C29" s="1339"/>
      <c r="D29" s="1339"/>
      <c r="E29" s="1161">
        <v>24</v>
      </c>
      <c r="F29" s="1340" cm="1" t="str">
        <f t="array" ref="F29:F29">OFFSET(E29,-1,1)</f>
        <v>0</v>
      </c>
      <c r="G29" s="1339"/>
      <c r="H29" s="1339"/>
      <c r="I29" s="1339"/>
      <c r="J29" s="1339"/>
      <c r="K29" s="1339"/>
      <c r="L29" s="1339"/>
      <c r="M29" s="1339"/>
      <c r="N29" s="1339"/>
      <c r="O29" s="1339"/>
      <c r="P29" s="1339"/>
      <c r="Q29" s="1339"/>
      <c r="R29" s="1339"/>
      <c r="S29" s="1339"/>
      <c r="T29" s="1339"/>
      <c r="U29" s="1339"/>
      <c r="V29" s="439" cm="1" t="str">
        <f t="array" ref="V29:V29">V28</f>
        <v>false</v>
      </c>
      <c r="W29" s="1339"/>
      <c r="X29" s="1339"/>
      <c r="Y29" s="1462"/>
      <c r="Z29" s="1484"/>
      <c r="AA29" s="1339"/>
      <c r="AB29" s="1196">
        <v>2</v>
      </c>
      <c r="AC29" s="1197" t="s">
        <v>501</v>
      </c>
      <c r="AD29" s="1198" t="s">
        <v>437</v>
      </c>
      <c r="AE29" s="2261"/>
      <c r="AF29" s="2261"/>
      <c r="AG29" s="2261"/>
      <c r="AH29" s="2261"/>
      <c r="AI29" s="2261"/>
      <c r="AJ29" s="2261"/>
      <c r="AK29" s="2261"/>
      <c r="AL29" s="2261"/>
      <c r="AM29" s="2261"/>
      <c r="AN29" s="2261"/>
      <c r="AO29" s="2261"/>
      <c r="AP29" s="2261"/>
      <c r="AQ29" s="2261"/>
      <c r="AR29" s="2261"/>
      <c r="AS29" s="2261"/>
      <c r="AT29" s="2261"/>
      <c r="AU29" s="2261"/>
      <c r="AV29" s="2261"/>
      <c r="AW29" s="2261"/>
      <c r="AX29" s="2261"/>
      <c r="AY29" s="2261"/>
      <c r="AZ29" s="2261"/>
      <c r="BA29" s="2261"/>
      <c r="BB29" s="394"/>
      <c r="BC29" s="1155" t="s">
        <v>502</v>
      </c>
      <c r="BD29" s="394"/>
      <c r="BE29" s="394"/>
      <c r="BF29" s="394"/>
      <c r="BG29" s="394"/>
      <c r="BH29" s="394"/>
      <c r="BI29" s="394"/>
      <c r="BJ29" s="394"/>
      <c r="BK29" s="394"/>
      <c r="BL29" s="394"/>
      <c r="BM29" s="394"/>
      <c r="BN29" s="394"/>
    </row>
    <row customHeight="1" ht="69.46875" hidden="1">
      <c r="A30" s="1339"/>
      <c r="B30" s="1339"/>
      <c r="C30" s="1339"/>
      <c r="D30" s="1339"/>
      <c r="E30" s="1161">
        <v>71.25</v>
      </c>
      <c r="F30" s="1340" cm="1" t="str">
        <f t="array" ref="F30:F30">OFFSET(E30,-1,1)</f>
        <v>0</v>
      </c>
      <c r="G30" s="1339"/>
      <c r="H30" s="1339"/>
      <c r="I30" s="1339"/>
      <c r="J30" s="1339"/>
      <c r="K30" s="1339"/>
      <c r="L30" s="1339"/>
      <c r="M30" s="1339"/>
      <c r="N30" s="1339"/>
      <c r="O30" s="1339"/>
      <c r="P30" s="1339"/>
      <c r="Q30" s="1339"/>
      <c r="R30" s="1339"/>
      <c r="S30" s="1339"/>
      <c r="T30" s="1339"/>
      <c r="U30" s="1339"/>
      <c r="V30" s="439" cm="1" t="str">
        <f t="array" ref="V30:V30">V29</f>
        <v>false</v>
      </c>
      <c r="W30" s="1339"/>
      <c r="X30" s="1339"/>
      <c r="Y30" s="1462"/>
      <c r="Z30" s="1484"/>
      <c r="AA30" s="1339"/>
      <c r="AB30" s="1196">
        <v>3</v>
      </c>
      <c r="AC30" s="1200" t="s">
        <v>503</v>
      </c>
      <c r="AD30" s="1198" t="s">
        <v>437</v>
      </c>
      <c r="AE30" s="2261"/>
      <c r="AF30" s="2261"/>
      <c r="AG30" s="2261"/>
      <c r="AH30" s="2261"/>
      <c r="AI30" s="2261"/>
      <c r="AJ30" s="2261"/>
      <c r="AK30" s="2261"/>
      <c r="AL30" s="2261"/>
      <c r="AM30" s="2261"/>
      <c r="AN30" s="2261"/>
      <c r="AO30" s="2261"/>
      <c r="AP30" s="2261"/>
      <c r="AQ30" s="2261"/>
      <c r="AR30" s="2261"/>
      <c r="AS30" s="2261"/>
      <c r="AT30" s="2261"/>
      <c r="AU30" s="2261"/>
      <c r="AV30" s="2261"/>
      <c r="AW30" s="2261"/>
      <c r="AX30" s="2261"/>
      <c r="AY30" s="2261"/>
      <c r="AZ30" s="2261"/>
      <c r="BA30" s="2261"/>
      <c r="BB30" s="394"/>
      <c r="BC30" s="1155" t="s">
        <v>504</v>
      </c>
      <c r="BD30" s="394"/>
      <c r="BE30" s="394"/>
      <c r="BF30" s="394"/>
      <c r="BG30" s="394"/>
      <c r="BH30" s="394"/>
      <c r="BI30" s="394"/>
      <c r="BJ30" s="394"/>
      <c r="BK30" s="394"/>
      <c r="BL30" s="394"/>
      <c r="BM30" s="394"/>
      <c r="BN30" s="394"/>
    </row>
    <row customHeight="1" ht="24.131250000000005" hidden="1">
      <c r="A31" s="1339"/>
      <c r="B31" s="1338"/>
      <c r="C31" s="1339"/>
      <c r="D31" s="1339"/>
      <c r="E31" s="1161">
        <v>24.75</v>
      </c>
      <c r="F31" s="1340" cm="1" t="str">
        <f t="array" ref="F31:F31">OFFSET(E31,-1,1)</f>
        <v>0</v>
      </c>
      <c r="G31" s="1339"/>
      <c r="H31" s="1339"/>
      <c r="I31" s="1339"/>
      <c r="J31" s="1339"/>
      <c r="K31" s="1339"/>
      <c r="L31" s="1339"/>
      <c r="M31" s="1339"/>
      <c r="N31" s="1339"/>
      <c r="O31" s="1339"/>
      <c r="P31" s="1339"/>
      <c r="Q31" s="1339"/>
      <c r="R31" s="1339"/>
      <c r="S31" s="1339"/>
      <c r="T31" s="1339"/>
      <c r="U31" s="1339"/>
      <c r="V31" s="439" cm="1" t="str">
        <f t="array" ref="V31:V31">V30</f>
        <v>false</v>
      </c>
      <c r="W31" s="1339"/>
      <c r="X31" s="1339"/>
      <c r="Y31" s="1462"/>
      <c r="Z31" s="1484"/>
      <c r="AA31" s="1339"/>
      <c r="AB31" s="1196">
        <v>4</v>
      </c>
      <c r="AC31" s="1197" t="s">
        <v>442</v>
      </c>
      <c r="AD31" s="1198"/>
      <c r="AE31" s="2261"/>
      <c r="AF31" s="2261"/>
      <c r="AG31" s="2261"/>
      <c r="AH31" s="2261"/>
      <c r="AI31" s="2261"/>
      <c r="AJ31" s="2261"/>
      <c r="AK31" s="2261"/>
      <c r="AL31" s="2261"/>
      <c r="AM31" s="2261"/>
      <c r="AN31" s="2261"/>
      <c r="AO31" s="2261"/>
      <c r="AP31" s="2261"/>
      <c r="AQ31" s="2261"/>
      <c r="AR31" s="2261"/>
      <c r="AS31" s="2261"/>
      <c r="AT31" s="2261"/>
      <c r="AU31" s="2261"/>
      <c r="AV31" s="2261"/>
      <c r="AW31" s="2261"/>
      <c r="AX31" s="2261"/>
      <c r="AY31" s="2261"/>
      <c r="AZ31" s="2261"/>
      <c r="BA31" s="2261"/>
      <c r="BB31" s="394"/>
      <c r="BC31" s="1155" t="s">
        <v>505</v>
      </c>
      <c r="BD31" s="394"/>
      <c r="BE31" s="394"/>
      <c r="BF31" s="394"/>
      <c r="BG31" s="394"/>
      <c r="BH31" s="394"/>
      <c r="BI31" s="394"/>
      <c r="BJ31" s="394"/>
      <c r="BK31" s="394"/>
      <c r="BL31" s="394"/>
      <c r="BM31" s="394"/>
      <c r="BN31" s="394"/>
    </row>
    <row s="2263" customFormat="1" customHeight="1" ht="14.25">
      <c r="A32" s="1339"/>
      <c r="B32" s="1190"/>
      <c r="C32" s="1339"/>
      <c r="D32" s="1339"/>
      <c r="E32" s="1191">
        <v>15</v>
      </c>
      <c r="F32" s="1154" cm="1" t="str">
        <f t="array" ref="F32:F32">Y32</f>
        <v>1</v>
      </c>
      <c r="G32" s="1339"/>
      <c r="H32" s="1339"/>
      <c r="I32" s="1339"/>
      <c r="J32" s="1339"/>
      <c r="K32" s="1339"/>
      <c r="L32" s="1339"/>
      <c r="M32" s="1339"/>
      <c r="N32" s="1339"/>
      <c r="O32" s="1339"/>
      <c r="P32" s="1339"/>
      <c r="Q32" s="1339"/>
      <c r="R32" s="1339"/>
      <c r="S32" s="1339"/>
      <c r="T32" s="1339"/>
      <c r="U32" s="1339"/>
      <c r="V32" s="439">
        <f>Y32&gt;0</f>
        <v>1</v>
      </c>
      <c r="W32" s="1339"/>
      <c r="X32" s="1187" cm="1" t="str">
        <f t="array" ref="X32:X32">Сценарии!$AB$55</f>
        <v>Тариф 1 (Водоснабжение) - тариф на техническую воду (Оказание услуг на территории: Прокопьевский муниципальный округ (ОКТМО: 32522000) - п Калачево)</v>
      </c>
      <c r="Y32" s="1462" t="s">
        <v>272</v>
      </c>
      <c r="Z32" s="1484"/>
      <c r="AA32" s="1339"/>
      <c r="AB32" s="1192" cm="1" t="str">
        <f t="array" ref="AB32:AB32">Сценарии!$AB$55</f>
        <v>Тариф 1 (Водоснабжение) - тариф на техническую воду (Оказание услуг на территории: Прокопьевский муниципальный округ (ОКТМО: 32522000) - п Калачево)</v>
      </c>
      <c r="AC32" s="1193"/>
      <c r="AD32" s="1194"/>
      <c r="AE32" s="1194"/>
      <c r="AF32" s="1194"/>
      <c r="AG32" s="1194"/>
      <c r="AH32" s="1194"/>
      <c r="AI32" s="1194"/>
      <c r="AJ32" s="1194"/>
      <c r="AK32" s="1194"/>
      <c r="AL32" s="1194"/>
      <c r="AM32" s="1194"/>
      <c r="AN32" s="1194"/>
      <c r="AO32" s="1194"/>
      <c r="AP32" s="1194"/>
      <c r="AQ32" s="1194"/>
      <c r="AR32" s="1194"/>
      <c r="AS32" s="1194"/>
      <c r="AT32" s="1194"/>
      <c r="AU32" s="1194"/>
      <c r="AV32" s="1194"/>
      <c r="AW32" s="1194"/>
      <c r="AX32" s="1194"/>
      <c r="AY32" s="1194"/>
      <c r="AZ32" s="1194"/>
      <c r="BA32" s="1194"/>
      <c r="BB32" s="394"/>
      <c r="BC32" s="1195"/>
      <c r="BD32" s="346"/>
      <c r="BE32" s="346"/>
      <c r="BF32" s="346"/>
      <c r="BG32" s="346"/>
      <c r="BH32" s="346"/>
      <c r="BI32" s="394"/>
      <c r="BJ32" s="394"/>
      <c r="BK32" s="394"/>
      <c r="BL32" s="394"/>
      <c r="BM32" s="394"/>
      <c r="BN32" s="394"/>
    </row>
    <row s="1621" customFormat="1" customHeight="1" ht="21.75">
      <c r="A33" s="1339"/>
      <c r="B33" s="1338"/>
      <c r="C33" s="1339"/>
      <c r="D33" s="1339"/>
      <c r="E33" s="1161">
        <v>22.5</v>
      </c>
      <c r="F33" s="1340" cm="1" t="str">
        <f t="array" ref="F33:F33">OFFSET(E33,-1,1)</f>
        <v>1</v>
      </c>
      <c r="G33" s="1339"/>
      <c r="H33" s="1339"/>
      <c r="I33" s="1339"/>
      <c r="J33" s="1339"/>
      <c r="K33" s="1339"/>
      <c r="L33" s="1339"/>
      <c r="M33" s="1339"/>
      <c r="N33" s="1339"/>
      <c r="O33" s="1339"/>
      <c r="P33" s="1339"/>
      <c r="Q33" s="1339"/>
      <c r="R33" s="1339"/>
      <c r="S33" s="1339"/>
      <c r="T33" s="1339"/>
      <c r="U33" s="1339"/>
      <c r="V33" s="439" cm="1" t="str">
        <f t="array" ref="V33:V33">V32</f>
        <v>true</v>
      </c>
      <c r="W33" s="1339"/>
      <c r="X33" s="1339"/>
      <c r="Y33" s="1462"/>
      <c r="Z33" s="1484"/>
      <c r="AA33" s="1339"/>
      <c r="AB33" s="1196">
        <v>1</v>
      </c>
      <c r="AC33" s="1197" t="s">
        <v>453</v>
      </c>
      <c r="AD33" s="1198"/>
      <c r="AE33" s="1199"/>
      <c r="AF33" s="1199"/>
      <c r="AG33" s="1199"/>
      <c r="AH33" s="1199"/>
      <c r="AI33" s="2261"/>
      <c r="AJ33" s="1199"/>
      <c r="AK33" s="1199"/>
      <c r="AL33" s="1199"/>
      <c r="AM33" s="1199"/>
      <c r="AN33" s="1199"/>
      <c r="AO33" s="1199"/>
      <c r="AP33" s="1199"/>
      <c r="AQ33" s="1199"/>
      <c r="AR33" s="1199"/>
      <c r="AS33" s="2261"/>
      <c r="AT33" s="1199"/>
      <c r="AU33" s="1199"/>
      <c r="AV33" s="1199"/>
      <c r="AW33" s="1199"/>
      <c r="AX33" s="1199"/>
      <c r="AY33" s="1199"/>
      <c r="AZ33" s="1199"/>
      <c r="BA33" s="1199"/>
      <c r="BB33" s="394"/>
      <c r="BC33" s="1155" t="s">
        <v>500</v>
      </c>
      <c r="BD33" s="394"/>
      <c r="BE33" s="394"/>
      <c r="BF33" s="394"/>
      <c r="BG33" s="394"/>
      <c r="BH33" s="394"/>
      <c r="BI33" s="394"/>
      <c r="BJ33" s="394"/>
      <c r="BK33" s="394"/>
      <c r="BL33" s="394"/>
      <c r="BM33" s="394"/>
      <c r="BN33" s="394"/>
    </row>
    <row s="1621" customFormat="1" customHeight="1" ht="23.25">
      <c r="A34" s="1339"/>
      <c r="B34" s="1339"/>
      <c r="C34" s="1339"/>
      <c r="D34" s="1339"/>
      <c r="E34" s="1161">
        <v>24</v>
      </c>
      <c r="F34" s="1340" cm="1" t="str">
        <f t="array" ref="F34:F34">OFFSET(E34,-1,1)</f>
        <v>1</v>
      </c>
      <c r="G34" s="1339"/>
      <c r="H34" s="1339"/>
      <c r="I34" s="1339"/>
      <c r="J34" s="1339"/>
      <c r="K34" s="1339"/>
      <c r="L34" s="1339"/>
      <c r="M34" s="1339"/>
      <c r="N34" s="1339"/>
      <c r="O34" s="1339"/>
      <c r="P34" s="1339"/>
      <c r="Q34" s="1339"/>
      <c r="R34" s="1339"/>
      <c r="S34" s="1339"/>
      <c r="T34" s="1339"/>
      <c r="U34" s="1339"/>
      <c r="V34" s="439" cm="1" t="str">
        <f t="array" ref="V34:V34">V33</f>
        <v>true</v>
      </c>
      <c r="W34" s="1339"/>
      <c r="X34" s="1339"/>
      <c r="Y34" s="1462"/>
      <c r="Z34" s="1484"/>
      <c r="AA34" s="1339"/>
      <c r="AB34" s="1196">
        <v>2</v>
      </c>
      <c r="AC34" s="1197" t="s">
        <v>501</v>
      </c>
      <c r="AD34" s="1198" t="s">
        <v>437</v>
      </c>
      <c r="AE34" s="1199"/>
      <c r="AF34" s="1199"/>
      <c r="AG34" s="1199"/>
      <c r="AH34" s="1199"/>
      <c r="AI34" s="2261"/>
      <c r="AJ34" s="1199"/>
      <c r="AK34" s="1199"/>
      <c r="AL34" s="1199"/>
      <c r="AM34" s="1199"/>
      <c r="AN34" s="1199"/>
      <c r="AO34" s="1199"/>
      <c r="AP34" s="1199"/>
      <c r="AQ34" s="1199"/>
      <c r="AR34" s="1199"/>
      <c r="AS34" s="2261"/>
      <c r="AT34" s="1199"/>
      <c r="AU34" s="1199"/>
      <c r="AV34" s="1199"/>
      <c r="AW34" s="1199"/>
      <c r="AX34" s="1199"/>
      <c r="AY34" s="1199"/>
      <c r="AZ34" s="1199"/>
      <c r="BA34" s="1199"/>
      <c r="BB34" s="394"/>
      <c r="BC34" s="1155" t="s">
        <v>502</v>
      </c>
      <c r="BD34" s="394"/>
      <c r="BE34" s="394"/>
      <c r="BF34" s="394"/>
      <c r="BG34" s="394"/>
      <c r="BH34" s="394"/>
      <c r="BI34" s="394"/>
      <c r="BJ34" s="394"/>
      <c r="BK34" s="394"/>
      <c r="BL34" s="394"/>
      <c r="BM34" s="394"/>
      <c r="BN34" s="394"/>
    </row>
    <row s="1621" customFormat="1" customHeight="1" ht="69">
      <c r="A35" s="1339"/>
      <c r="B35" s="1339"/>
      <c r="C35" s="1339"/>
      <c r="D35" s="1339"/>
      <c r="E35" s="1161">
        <v>71.25</v>
      </c>
      <c r="F35" s="1340" cm="1" t="str">
        <f t="array" ref="F35:F35">OFFSET(E35,-1,1)</f>
        <v>1</v>
      </c>
      <c r="G35" s="1339"/>
      <c r="H35" s="1339"/>
      <c r="I35" s="1339"/>
      <c r="J35" s="1339"/>
      <c r="K35" s="1339"/>
      <c r="L35" s="1339"/>
      <c r="M35" s="1339"/>
      <c r="N35" s="1339"/>
      <c r="O35" s="1339"/>
      <c r="P35" s="1339"/>
      <c r="Q35" s="1339"/>
      <c r="R35" s="1339"/>
      <c r="S35" s="1339"/>
      <c r="T35" s="1339"/>
      <c r="U35" s="1339"/>
      <c r="V35" s="439" cm="1" t="str">
        <f t="array" ref="V35:V35">V34</f>
        <v>true</v>
      </c>
      <c r="W35" s="1339"/>
      <c r="X35" s="1339"/>
      <c r="Y35" s="1462"/>
      <c r="Z35" s="1484"/>
      <c r="AA35" s="1339"/>
      <c r="AB35" s="1196">
        <v>3</v>
      </c>
      <c r="AC35" s="1200" t="s">
        <v>503</v>
      </c>
      <c r="AD35" s="1198" t="s">
        <v>437</v>
      </c>
      <c r="AE35" s="1199"/>
      <c r="AF35" s="1199"/>
      <c r="AG35" s="1199"/>
      <c r="AH35" s="1199"/>
      <c r="AI35" s="2261"/>
      <c r="AJ35" s="1199"/>
      <c r="AK35" s="1199"/>
      <c r="AL35" s="1199"/>
      <c r="AM35" s="1199"/>
      <c r="AN35" s="1199"/>
      <c r="AO35" s="1199"/>
      <c r="AP35" s="1199"/>
      <c r="AQ35" s="1199"/>
      <c r="AR35" s="1199"/>
      <c r="AS35" s="2261"/>
      <c r="AT35" s="1199"/>
      <c r="AU35" s="1199"/>
      <c r="AV35" s="1199"/>
      <c r="AW35" s="1199"/>
      <c r="AX35" s="1199"/>
      <c r="AY35" s="1199"/>
      <c r="AZ35" s="1199"/>
      <c r="BA35" s="1199"/>
      <c r="BB35" s="394"/>
      <c r="BC35" s="1155" t="s">
        <v>504</v>
      </c>
      <c r="BD35" s="394"/>
      <c r="BE35" s="394"/>
      <c r="BF35" s="394"/>
      <c r="BG35" s="394"/>
      <c r="BH35" s="394"/>
      <c r="BI35" s="394"/>
      <c r="BJ35" s="394"/>
      <c r="BK35" s="394"/>
      <c r="BL35" s="394"/>
      <c r="BM35" s="394"/>
      <c r="BN35" s="394"/>
    </row>
    <row s="1621" customFormat="1" customHeight="1" ht="24">
      <c r="A36" s="1339"/>
      <c r="B36" s="1338"/>
      <c r="C36" s="1339"/>
      <c r="D36" s="1339"/>
      <c r="E36" s="1161">
        <v>24.75</v>
      </c>
      <c r="F36" s="1340" cm="1" t="str">
        <f t="array" ref="F36:F36">OFFSET(E36,-1,1)</f>
        <v>1</v>
      </c>
      <c r="G36" s="1339"/>
      <c r="H36" s="1339"/>
      <c r="I36" s="1339"/>
      <c r="J36" s="1339"/>
      <c r="K36" s="1339"/>
      <c r="L36" s="1339"/>
      <c r="M36" s="1339"/>
      <c r="N36" s="1339"/>
      <c r="O36" s="1339"/>
      <c r="P36" s="1339"/>
      <c r="Q36" s="1339"/>
      <c r="R36" s="1339"/>
      <c r="S36" s="1339"/>
      <c r="T36" s="1339"/>
      <c r="U36" s="1339"/>
      <c r="V36" s="439" cm="1" t="str">
        <f t="array" ref="V36:V36">V35</f>
        <v>true</v>
      </c>
      <c r="W36" s="1339"/>
      <c r="X36" s="1339"/>
      <c r="Y36" s="1462"/>
      <c r="Z36" s="1484"/>
      <c r="AA36" s="1339"/>
      <c r="AB36" s="1196">
        <v>4</v>
      </c>
      <c r="AC36" s="1197" t="s">
        <v>442</v>
      </c>
      <c r="AD36" s="1198"/>
      <c r="AE36" s="1199"/>
      <c r="AF36" s="1199"/>
      <c r="AG36" s="1199"/>
      <c r="AH36" s="1199"/>
      <c r="AI36" s="2261"/>
      <c r="AJ36" s="1199"/>
      <c r="AK36" s="1199"/>
      <c r="AL36" s="1199"/>
      <c r="AM36" s="1199"/>
      <c r="AN36" s="1199"/>
      <c r="AO36" s="1199"/>
      <c r="AP36" s="1199"/>
      <c r="AQ36" s="1199"/>
      <c r="AR36" s="1199"/>
      <c r="AS36" s="2261"/>
      <c r="AT36" s="1199"/>
      <c r="AU36" s="1199"/>
      <c r="AV36" s="1199"/>
      <c r="AW36" s="1199"/>
      <c r="AX36" s="1199"/>
      <c r="AY36" s="1199"/>
      <c r="AZ36" s="1199"/>
      <c r="BA36" s="1199"/>
      <c r="BB36" s="394"/>
      <c r="BC36" s="1155" t="s">
        <v>505</v>
      </c>
      <c r="BD36" s="394"/>
      <c r="BE36" s="394"/>
      <c r="BF36" s="394"/>
      <c r="BG36" s="394"/>
      <c r="BH36" s="394"/>
      <c r="BI36" s="394"/>
      <c r="BJ36" s="394"/>
      <c r="BK36" s="394"/>
      <c r="BL36" s="394"/>
      <c r="BM36" s="394"/>
      <c r="BN36" s="394"/>
    </row>
    <row s="2265" customFormat="1" customHeight="1" ht="14.25">
      <c r="A37" s="1339"/>
      <c r="B37" s="1190"/>
      <c r="C37" s="1339"/>
      <c r="D37" s="1339"/>
      <c r="E37" s="1191">
        <v>15</v>
      </c>
      <c r="F37" s="1154" cm="1" t="str">
        <f t="array" ref="F37:F37">Y37</f>
        <v>2</v>
      </c>
      <c r="G37" s="1339"/>
      <c r="H37" s="1339"/>
      <c r="I37" s="1339"/>
      <c r="J37" s="1339"/>
      <c r="K37" s="1339"/>
      <c r="L37" s="1339"/>
      <c r="M37" s="1339"/>
      <c r="N37" s="1339"/>
      <c r="O37" s="1339"/>
      <c r="P37" s="1339"/>
      <c r="Q37" s="1339"/>
      <c r="R37" s="1339"/>
      <c r="S37" s="1339"/>
      <c r="T37" s="1339"/>
      <c r="U37" s="1339"/>
      <c r="V37" s="439">
        <f>Y37&gt;0</f>
        <v>1</v>
      </c>
      <c r="W37" s="1339"/>
      <c r="X37" s="1187" cm="1" t="str">
        <f t="array" ref="X37:X37">Сценарии!$AB$82</f>
        <v>Тариф 2 (Водоотведение) - тариф на водоотведение (Оказание услуг на территории: Прокопьевский муниципальный округ (ОКТМО: 32522000) - п Калачево)</v>
      </c>
      <c r="Y37" s="1462" t="s">
        <v>283</v>
      </c>
      <c r="Z37" s="1484"/>
      <c r="AA37" s="1339"/>
      <c r="AB37" s="1192" cm="1" t="str">
        <f t="array" ref="AB37:AB37">Сценарии!$AB$82</f>
        <v>Тариф 2 (Водоотведение) - тариф на водоотведение (Оказание услуг на территории: Прокопьевский муниципальный округ (ОКТМО: 32522000) - п Калачево)</v>
      </c>
      <c r="AC37" s="1193"/>
      <c r="AD37" s="1194"/>
      <c r="AE37" s="1194"/>
      <c r="AF37" s="1194"/>
      <c r="AG37" s="1194"/>
      <c r="AH37" s="1194"/>
      <c r="AI37" s="1194"/>
      <c r="AJ37" s="1194"/>
      <c r="AK37" s="1194"/>
      <c r="AL37" s="1194"/>
      <c r="AM37" s="1194"/>
      <c r="AN37" s="1194"/>
      <c r="AO37" s="1194"/>
      <c r="AP37" s="1194"/>
      <c r="AQ37" s="1194"/>
      <c r="AR37" s="1194"/>
      <c r="AS37" s="1194"/>
      <c r="AT37" s="1194"/>
      <c r="AU37" s="1194"/>
      <c r="AV37" s="1194"/>
      <c r="AW37" s="1194"/>
      <c r="AX37" s="1194"/>
      <c r="AY37" s="1194"/>
      <c r="AZ37" s="1194"/>
      <c r="BA37" s="1194"/>
      <c r="BB37" s="394"/>
      <c r="BC37" s="1195"/>
      <c r="BD37" s="346"/>
      <c r="BE37" s="346"/>
      <c r="BF37" s="346"/>
      <c r="BG37" s="346"/>
      <c r="BH37" s="346"/>
      <c r="BI37" s="394"/>
      <c r="BJ37" s="394"/>
      <c r="BK37" s="394"/>
      <c r="BL37" s="394"/>
      <c r="BM37" s="394"/>
      <c r="BN37" s="394"/>
    </row>
    <row s="1621" customFormat="1" customHeight="1" ht="21.75">
      <c r="A38" s="1339"/>
      <c r="B38" s="1338"/>
      <c r="C38" s="1339"/>
      <c r="D38" s="1339"/>
      <c r="E38" s="1161">
        <v>22.5</v>
      </c>
      <c r="F38" s="1340" cm="1" t="str">
        <f t="array" ref="F38:F38">OFFSET(E38,-1,1)</f>
        <v>2</v>
      </c>
      <c r="G38" s="1339"/>
      <c r="H38" s="1339"/>
      <c r="I38" s="1339"/>
      <c r="J38" s="1339"/>
      <c r="K38" s="1339"/>
      <c r="L38" s="1339"/>
      <c r="M38" s="1339"/>
      <c r="N38" s="1339"/>
      <c r="O38" s="1339"/>
      <c r="P38" s="1339"/>
      <c r="Q38" s="1339"/>
      <c r="R38" s="1339"/>
      <c r="S38" s="1339"/>
      <c r="T38" s="1339"/>
      <c r="U38" s="1339"/>
      <c r="V38" s="439" cm="1" t="str">
        <f t="array" ref="V38:V38">V37</f>
        <v>true</v>
      </c>
      <c r="W38" s="1339"/>
      <c r="X38" s="1339"/>
      <c r="Y38" s="1462"/>
      <c r="Z38" s="1484"/>
      <c r="AA38" s="1339"/>
      <c r="AB38" s="1196">
        <v>1</v>
      </c>
      <c r="AC38" s="1197" t="s">
        <v>453</v>
      </c>
      <c r="AD38" s="1198"/>
      <c r="AE38" s="1199"/>
      <c r="AF38" s="1199"/>
      <c r="AG38" s="1199"/>
      <c r="AH38" s="1199"/>
      <c r="AI38" s="2261"/>
      <c r="AJ38" s="1199"/>
      <c r="AK38" s="1199"/>
      <c r="AL38" s="1199"/>
      <c r="AM38" s="1199"/>
      <c r="AN38" s="1199"/>
      <c r="AO38" s="1199"/>
      <c r="AP38" s="1199"/>
      <c r="AQ38" s="1199"/>
      <c r="AR38" s="1199"/>
      <c r="AS38" s="2261"/>
      <c r="AT38" s="1199"/>
      <c r="AU38" s="1199"/>
      <c r="AV38" s="1199"/>
      <c r="AW38" s="1199"/>
      <c r="AX38" s="1199"/>
      <c r="AY38" s="1199"/>
      <c r="AZ38" s="1199"/>
      <c r="BA38" s="1199"/>
      <c r="BB38" s="394"/>
      <c r="BC38" s="1155" t="s">
        <v>500</v>
      </c>
      <c r="BD38" s="394"/>
      <c r="BE38" s="394"/>
      <c r="BF38" s="394"/>
      <c r="BG38" s="394"/>
      <c r="BH38" s="394"/>
      <c r="BI38" s="394"/>
      <c r="BJ38" s="394"/>
      <c r="BK38" s="394"/>
      <c r="BL38" s="394"/>
      <c r="BM38" s="394"/>
      <c r="BN38" s="394"/>
    </row>
    <row s="1621" customFormat="1" customHeight="1" ht="23.25">
      <c r="A39" s="1339"/>
      <c r="B39" s="1339"/>
      <c r="C39" s="1339"/>
      <c r="D39" s="1339"/>
      <c r="E39" s="1161">
        <v>24</v>
      </c>
      <c r="F39" s="1340" cm="1" t="str">
        <f t="array" ref="F39:F39">OFFSET(E39,-1,1)</f>
        <v>2</v>
      </c>
      <c r="G39" s="1339"/>
      <c r="H39" s="1339"/>
      <c r="I39" s="1339"/>
      <c r="J39" s="1339"/>
      <c r="K39" s="1339"/>
      <c r="L39" s="1339"/>
      <c r="M39" s="1339"/>
      <c r="N39" s="1339"/>
      <c r="O39" s="1339"/>
      <c r="P39" s="1339"/>
      <c r="Q39" s="1339"/>
      <c r="R39" s="1339"/>
      <c r="S39" s="1339"/>
      <c r="T39" s="1339"/>
      <c r="U39" s="1339"/>
      <c r="V39" s="439" cm="1" t="str">
        <f t="array" ref="V39:V39">V38</f>
        <v>true</v>
      </c>
      <c r="W39" s="1339"/>
      <c r="X39" s="1339"/>
      <c r="Y39" s="1462"/>
      <c r="Z39" s="1484"/>
      <c r="AA39" s="1339"/>
      <c r="AB39" s="1196">
        <v>2</v>
      </c>
      <c r="AC39" s="1197" t="s">
        <v>501</v>
      </c>
      <c r="AD39" s="1198" t="s">
        <v>437</v>
      </c>
      <c r="AE39" s="1199"/>
      <c r="AF39" s="1199"/>
      <c r="AG39" s="1199"/>
      <c r="AH39" s="1199"/>
      <c r="AI39" s="2261"/>
      <c r="AJ39" s="1199"/>
      <c r="AK39" s="1199"/>
      <c r="AL39" s="1199"/>
      <c r="AM39" s="1199"/>
      <c r="AN39" s="1199"/>
      <c r="AO39" s="1199"/>
      <c r="AP39" s="1199"/>
      <c r="AQ39" s="1199"/>
      <c r="AR39" s="1199"/>
      <c r="AS39" s="2261"/>
      <c r="AT39" s="1199"/>
      <c r="AU39" s="1199"/>
      <c r="AV39" s="1199"/>
      <c r="AW39" s="1199"/>
      <c r="AX39" s="1199"/>
      <c r="AY39" s="1199"/>
      <c r="AZ39" s="1199"/>
      <c r="BA39" s="1199"/>
      <c r="BB39" s="394"/>
      <c r="BC39" s="1155" t="s">
        <v>502</v>
      </c>
      <c r="BD39" s="394"/>
      <c r="BE39" s="394"/>
      <c r="BF39" s="394"/>
      <c r="BG39" s="394"/>
      <c r="BH39" s="394"/>
      <c r="BI39" s="394"/>
      <c r="BJ39" s="394"/>
      <c r="BK39" s="394"/>
      <c r="BL39" s="394"/>
      <c r="BM39" s="394"/>
      <c r="BN39" s="394"/>
    </row>
    <row s="1621" customFormat="1" customHeight="1" ht="69">
      <c r="A40" s="1339"/>
      <c r="B40" s="1339"/>
      <c r="C40" s="1339"/>
      <c r="D40" s="1339"/>
      <c r="E40" s="1161">
        <v>71.25</v>
      </c>
      <c r="F40" s="1340" cm="1" t="str">
        <f t="array" ref="F40:F40">OFFSET(E40,-1,1)</f>
        <v>2</v>
      </c>
      <c r="G40" s="1339"/>
      <c r="H40" s="1339"/>
      <c r="I40" s="1339"/>
      <c r="J40" s="1339"/>
      <c r="K40" s="1339"/>
      <c r="L40" s="1339"/>
      <c r="M40" s="1339"/>
      <c r="N40" s="1339"/>
      <c r="O40" s="1339"/>
      <c r="P40" s="1339"/>
      <c r="Q40" s="1339"/>
      <c r="R40" s="1339"/>
      <c r="S40" s="1339"/>
      <c r="T40" s="1339"/>
      <c r="U40" s="1339"/>
      <c r="V40" s="439" cm="1" t="str">
        <f t="array" ref="V40:V40">V39</f>
        <v>true</v>
      </c>
      <c r="W40" s="1339"/>
      <c r="X40" s="1339"/>
      <c r="Y40" s="1462"/>
      <c r="Z40" s="1484"/>
      <c r="AA40" s="1339"/>
      <c r="AB40" s="1196">
        <v>3</v>
      </c>
      <c r="AC40" s="1200" t="s">
        <v>503</v>
      </c>
      <c r="AD40" s="1198" t="s">
        <v>437</v>
      </c>
      <c r="AE40" s="1199"/>
      <c r="AF40" s="1199"/>
      <c r="AG40" s="1199"/>
      <c r="AH40" s="1199"/>
      <c r="AI40" s="2261"/>
      <c r="AJ40" s="1199"/>
      <c r="AK40" s="1199"/>
      <c r="AL40" s="1199"/>
      <c r="AM40" s="1199"/>
      <c r="AN40" s="1199"/>
      <c r="AO40" s="1199"/>
      <c r="AP40" s="1199"/>
      <c r="AQ40" s="1199"/>
      <c r="AR40" s="1199"/>
      <c r="AS40" s="2261"/>
      <c r="AT40" s="1199"/>
      <c r="AU40" s="1199"/>
      <c r="AV40" s="1199"/>
      <c r="AW40" s="1199"/>
      <c r="AX40" s="1199"/>
      <c r="AY40" s="1199"/>
      <c r="AZ40" s="1199"/>
      <c r="BA40" s="1199"/>
      <c r="BB40" s="394"/>
      <c r="BC40" s="1155" t="s">
        <v>504</v>
      </c>
      <c r="BD40" s="394"/>
      <c r="BE40" s="394"/>
      <c r="BF40" s="394"/>
      <c r="BG40" s="394"/>
      <c r="BH40" s="394"/>
      <c r="BI40" s="394"/>
      <c r="BJ40" s="394"/>
      <c r="BK40" s="394"/>
      <c r="BL40" s="394"/>
      <c r="BM40" s="394"/>
      <c r="BN40" s="394"/>
    </row>
    <row s="1621" customFormat="1" customHeight="1" ht="24">
      <c r="A41" s="1339"/>
      <c r="B41" s="1338"/>
      <c r="C41" s="1339"/>
      <c r="D41" s="1339"/>
      <c r="E41" s="1161">
        <v>24.75</v>
      </c>
      <c r="F41" s="1340" cm="1" t="str">
        <f t="array" ref="F41:F41">OFFSET(E41,-1,1)</f>
        <v>2</v>
      </c>
      <c r="G41" s="1339"/>
      <c r="H41" s="1339"/>
      <c r="I41" s="1339"/>
      <c r="J41" s="1339"/>
      <c r="K41" s="1339"/>
      <c r="L41" s="1339"/>
      <c r="M41" s="1339"/>
      <c r="N41" s="1339"/>
      <c r="O41" s="1339"/>
      <c r="P41" s="1339"/>
      <c r="Q41" s="1339"/>
      <c r="R41" s="1339"/>
      <c r="S41" s="1339"/>
      <c r="T41" s="1339"/>
      <c r="U41" s="1339"/>
      <c r="V41" s="439" cm="1" t="str">
        <f t="array" ref="V41:V41">V40</f>
        <v>true</v>
      </c>
      <c r="W41" s="1339"/>
      <c r="X41" s="1339"/>
      <c r="Y41" s="1462"/>
      <c r="Z41" s="1484"/>
      <c r="AA41" s="1339"/>
      <c r="AB41" s="1196">
        <v>4</v>
      </c>
      <c r="AC41" s="1197" t="s">
        <v>442</v>
      </c>
      <c r="AD41" s="1198"/>
      <c r="AE41" s="1199"/>
      <c r="AF41" s="1199"/>
      <c r="AG41" s="1199"/>
      <c r="AH41" s="1199"/>
      <c r="AI41" s="2261"/>
      <c r="AJ41" s="1199"/>
      <c r="AK41" s="1199"/>
      <c r="AL41" s="1199"/>
      <c r="AM41" s="1199"/>
      <c r="AN41" s="1199"/>
      <c r="AO41" s="1199"/>
      <c r="AP41" s="1199"/>
      <c r="AQ41" s="1199"/>
      <c r="AR41" s="1199"/>
      <c r="AS41" s="2261"/>
      <c r="AT41" s="1199"/>
      <c r="AU41" s="1199"/>
      <c r="AV41" s="1199"/>
      <c r="AW41" s="1199"/>
      <c r="AX41" s="1199"/>
      <c r="AY41" s="1199"/>
      <c r="AZ41" s="1199"/>
      <c r="BA41" s="1199"/>
      <c r="BB41" s="394"/>
      <c r="BC41" s="1155" t="s">
        <v>505</v>
      </c>
      <c r="BD41" s="394"/>
      <c r="BE41" s="394"/>
      <c r="BF41" s="394"/>
      <c r="BG41" s="394"/>
      <c r="BH41" s="394"/>
      <c r="BI41" s="394"/>
      <c r="BJ41" s="394"/>
      <c r="BK41" s="394"/>
      <c r="BL41" s="394"/>
      <c r="BM41" s="394"/>
      <c r="BN41" s="394"/>
    </row>
    <row customHeight="1" ht="10.725000000000001">
      <c r="A42" s="2198"/>
      <c r="B42" s="2206"/>
      <c r="C42" s="2198"/>
      <c r="D42" s="2198"/>
      <c r="E42" s="2207">
        <v>11</v>
      </c>
      <c r="F42" s="2199" cm="1" t="str">
        <f t="array" ref="F42:F42">OFFSET(E42,-1,1)</f>
        <v>2</v>
      </c>
      <c r="G42" s="2198"/>
      <c r="H42" s="2198"/>
      <c r="I42" s="2198"/>
      <c r="J42" s="2198"/>
      <c r="K42" s="2198"/>
      <c r="L42" s="2198"/>
      <c r="M42" s="2198"/>
      <c r="N42" s="2198"/>
      <c r="O42" s="2198"/>
      <c r="P42" s="2198"/>
      <c r="Q42" s="2198"/>
      <c r="R42" s="2198"/>
      <c r="S42" s="2198"/>
      <c r="T42" s="2198"/>
      <c r="U42" s="2198"/>
      <c r="V42" s="2198"/>
      <c r="W42" s="2266" t="s">
        <v>177</v>
      </c>
      <c r="X42" s="1341" t="s">
        <v>506</v>
      </c>
      <c r="Y42" s="2198"/>
      <c r="Z42" s="2198"/>
      <c r="AA42" s="2198"/>
      <c r="AB42" s="2267"/>
      <c r="AC42" s="2266"/>
      <c r="AD42" s="2198"/>
      <c r="AE42" s="2198"/>
      <c r="AF42" s="2198"/>
      <c r="AG42" s="2198"/>
      <c r="AH42" s="2198"/>
      <c r="AI42" s="1153"/>
      <c r="AJ42" s="1153"/>
      <c r="AK42" s="1153"/>
      <c r="AL42" s="1153"/>
      <c r="AM42" s="1153"/>
      <c r="AN42" s="1153"/>
      <c r="AO42" s="1153"/>
      <c r="AP42" s="1153"/>
      <c r="AQ42" s="1153"/>
      <c r="AR42" s="2198"/>
      <c r="AS42" s="1153"/>
      <c r="AT42" s="1153"/>
      <c r="AU42" s="1153"/>
      <c r="AV42" s="1153"/>
      <c r="AW42" s="1153"/>
      <c r="AX42" s="1153"/>
      <c r="AY42" s="1153"/>
      <c r="AZ42" s="1153"/>
      <c r="BA42" s="1153"/>
      <c r="BB42" s="1153"/>
      <c r="BC42" s="1155"/>
      <c r="BD42" s="346"/>
      <c r="BE42" s="346"/>
      <c r="BF42" s="346"/>
      <c r="BG42" s="346"/>
      <c r="BH42" s="346"/>
      <c r="BI42" s="1153"/>
      <c r="BJ42" s="1153"/>
      <c r="BK42" s="1153"/>
      <c r="BL42" s="1153"/>
      <c r="BM42" s="1153"/>
      <c r="BN42" s="1153"/>
    </row>
  </sheetData>
  <sheetProtection formatColumns="0" formatRows="0" insertRows="0" deleteColumns="0" deleteRows="0" sort="0" autoFilter="0" insertColumns="1"/>
  <mergeCells count="9">
    <mergeCell ref="AB24:AB25"/>
    <mergeCell ref="AC24:AC25"/>
    <mergeCell ref="AD24:AD25"/>
    <mergeCell ref="Y27:Y31"/>
    <mergeCell ref="Z27:Z31"/>
    <mergeCell ref="Y32:Y36"/>
    <mergeCell ref="Z32:Z36"/>
    <mergeCell ref="Y37:Y41"/>
    <mergeCell ref="Z37:Z41"/>
  </mergeCells>
  <dataValidations count="2">
    <dataValidation type="decimal" allowBlank="1" showErrorMessage="1" errorTitle="Ошибка" error="Допускается ввод только неотрицательных чисел!" sqref="BA28:BA31 BA33:BA36 BA38:BA41 AZ28:AZ31 AZ33:AZ36 AZ38:AZ41 AY28:AY31 AY33:AY36 AY38:AY41 AX28:AX31 AX33:AX36 AX38:AX41 AW28:AW31 AW33:AW36 AW38:AW41 AV28:AV31 AV33:AV36 AV38:AV41 AU28:AU31 AU33:AU36 AU38:AU41 AT28:AT31 AT33:AT36 AT38:AT41 AS28:AS31 AS33:AS36 AS38:AS41 AR28:AR31 AR33:AR36 AR38:AR41 AQ28:AQ31 AQ33:AQ36 AQ38:AQ41 AP28:AP31 AP33:AP36 AP38:AP41 AO28:AO31 AO33:AO36 AO38:AO41 AN28:AN31 AN33:AN36 AN38:AN41 AM28:AM31 AM33:AM36 AM38:AM41 AL28:AL31 AL33:AL36 AL38:AL41 AK28:AK31 AK33:AK36 AK38:AK41 AJ28:AJ31 AJ33:AJ36 AJ38:AJ41 AI28:AI31 AI33:AI36 AI38:AI41 AH28:AH31 AH33:AH36 AH38:AH41 AG28:AG31 AG33:AG36 AG38:AG41 AF28:AF31 AF33:AF36 AF38:AF41 AE28:AE31 AE33:AE36 AE38:AE41">
      <formula1>0</formula1>
      <formula2>9.99999999999999E+23</formula2>
    </dataValidation>
    <dataValidation allowBlank="1" showErrorMessage="1" errorTitle="Ошибка" error="Допускается ввод только неотрицательных чисел!" sqref="AE26:BA26"/>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216FC8-6298-0E48-A22A-B2333C5F9698}" mc:Ignorable="x14ac xr xr2 xr3">
  <sheetPr>
    <tabColor theme="6" tint="0.4"/>
    <outlinePr summaryRight="0" summaryBelow="0"/>
    <pageSetUpPr fitToPage="1"/>
  </sheetPr>
  <dimension ref="A1:BF306"/>
  <sheetViews>
    <sheetView showGridLines="0" workbookViewId="0">
      <pane xSplit="30" ySplit="25" topLeftCell="AE284" activePane="bottomRight" state="frozen"/>
      <selection pane="bottomLeft" activeCell="A26" sqref="A26"/>
      <selection pane="topRight" activeCell="AE1" sqref="AE1"/>
      <selection pane="bottomRight" activeCell="AB305" sqref="AB305"/>
    </sheetView>
  </sheetViews>
  <sheetFormatPr defaultColWidth="9.140625" customHeight="1" defaultRowHeight="11.25"/>
  <cols>
    <col min="1" max="1" style="676" width="3.57421875" hidden="1" customWidth="1"/>
    <col min="2" max="2" style="1176" width="8.8515625" hidden="1" customWidth="1"/>
    <col min="3" max="4" style="676" width="3.57421875" hidden="1" customWidth="1"/>
    <col min="5" max="5" style="697" width="3.57421875" hidden="1" customWidth="1"/>
    <col min="6" max="6" style="729" width="13.28125" hidden="1" customWidth="1"/>
    <col min="7" max="7" style="676" width="11.421875" hidden="1" customWidth="1"/>
    <col min="8" max="8" style="676" width="9.7109375" hidden="1" customWidth="1"/>
    <col min="9" max="9" style="676" width="6.421875" hidden="1" customWidth="1"/>
    <col min="10" max="10" style="676" width="3.57421875" hidden="1" customWidth="1"/>
    <col min="11" max="11" style="676" width="6.140625" hidden="1" customWidth="1"/>
    <col min="12" max="15" style="676" width="3.57421875" hidden="1" customWidth="1"/>
    <col min="16" max="17" style="1316" width="3.57421875" hidden="1" customWidth="1"/>
    <col min="18" max="18" style="1316" width="7.7109375" hidden="1" customWidth="1"/>
    <col min="19" max="19" style="1316" width="10.00390625" hidden="1" customWidth="1"/>
    <col min="20" max="20" style="1316" width="10.421875" hidden="1" customWidth="1"/>
    <col min="21" max="21" style="1316" width="5.8515625" hidden="1" customWidth="1"/>
    <col min="22" max="22" style="676" width="6.140625" hidden="1" customWidth="1"/>
    <col min="23" max="23" style="1316" width="5.57421875" hidden="1" customWidth="1"/>
    <col min="24" max="24" style="676" width="5.28125" hidden="1" customWidth="1"/>
    <col min="25" max="26" style="676" width="3.57421875" hidden="1" customWidth="1"/>
    <col min="27" max="27" style="676" width="3.00390625" customWidth="1"/>
    <col min="28" max="28" style="1187" width="11.00390625" customWidth="1"/>
    <col min="29" max="29" style="1187" width="50.00390625" customWidth="1"/>
    <col min="30" max="30" style="1187" width="10.29296875" customWidth="1"/>
    <col min="31" max="35" style="676" width="13.00390625" customWidth="1"/>
    <col min="36" max="44" style="676" width="13.00390625" hidden="1" customWidth="1"/>
    <col min="45" max="45" style="676" width="13.00390625" customWidth="1"/>
    <col min="46" max="54" style="676" width="13.00390625" hidden="1" customWidth="1"/>
    <col min="55" max="55" style="1187" width="20.00390625" customWidth="1"/>
    <col min="56" max="56" style="676" width="3.00390625" customWidth="1"/>
    <col min="57" max="57" style="676" width="9.140625" hidden="1"/>
    <col min="58" max="58" style="1061" width="9.140625" hidden="1"/>
  </cols>
  <sheetData>
    <row customHeight="1" ht="11.25" hidden="1">
      <c r="E1" s="64"/>
      <c r="F1" s="316" t="s">
        <v>313</v>
      </c>
      <c r="H1" s="64" t="s">
        <v>324</v>
      </c>
      <c r="T1" s="439" t="s">
        <v>92</v>
      </c>
      <c r="U1" s="439" t="s">
        <v>97</v>
      </c>
      <c r="V1" s="439" t="s">
        <v>93</v>
      </c>
      <c r="W1" s="439" t="s">
        <v>94</v>
      </c>
      <c r="X1" s="439" t="s">
        <v>95</v>
      </c>
      <c r="Y1" s="439" t="s">
        <v>99</v>
      </c>
      <c r="Z1" s="439" t="s">
        <v>315</v>
      </c>
      <c r="AA1" s="439" t="s">
        <v>96</v>
      </c>
      <c r="AC1" s="439" t="s">
        <v>98</v>
      </c>
      <c r="AI1" s="676"/>
      <c r="AJ1" s="676"/>
      <c r="AK1" s="676"/>
      <c r="AL1" s="676"/>
      <c r="AM1" s="676"/>
      <c r="AN1" s="676"/>
      <c r="AO1" s="676"/>
      <c r="AP1" s="676"/>
      <c r="AQ1" s="676"/>
      <c r="AR1" s="676"/>
      <c r="AS1" s="676"/>
      <c r="AT1" s="676"/>
      <c r="AU1" s="676"/>
      <c r="AV1" s="676"/>
      <c r="AW1" s="676"/>
      <c r="AX1" s="676"/>
      <c r="AY1" s="676"/>
      <c r="AZ1" s="676"/>
      <c r="BA1" s="676"/>
      <c r="BB1" s="676"/>
      <c r="BF1" s="998" t="s">
        <v>316</v>
      </c>
    </row>
    <row s="1176" customFormat="1" customHeight="1" ht="11.25" hidden="1">
      <c r="B2" s="418" t="s">
        <v>18</v>
      </c>
      <c r="F2" s="727"/>
      <c r="P2" s="635"/>
      <c r="Q2" s="635"/>
      <c r="R2" s="635"/>
      <c r="S2" s="635"/>
      <c r="T2" s="635"/>
      <c r="U2" s="635"/>
      <c r="W2" s="635"/>
      <c r="AB2" s="402"/>
      <c r="AC2" s="402"/>
      <c r="AD2" s="402"/>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02"/>
      <c r="BF2" s="999"/>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F5" s="596"/>
      <c r="P5" s="636"/>
      <c r="Q5" s="636"/>
      <c r="R5" s="636"/>
      <c r="S5" s="636"/>
      <c r="T5" s="636"/>
      <c r="U5" s="636"/>
      <c r="W5" s="636"/>
      <c r="AA5" s="611">
        <v>3</v>
      </c>
      <c r="AB5" s="609">
        <v>11</v>
      </c>
      <c r="AC5" s="609">
        <v>50</v>
      </c>
      <c r="AD5" s="609">
        <v>10.29</v>
      </c>
      <c r="AE5" s="611">
        <v>13</v>
      </c>
      <c r="AF5" s="611">
        <v>13</v>
      </c>
      <c r="AG5" s="611">
        <v>13</v>
      </c>
      <c r="AH5" s="611">
        <v>13</v>
      </c>
      <c r="AI5" s="611">
        <v>13</v>
      </c>
      <c r="AJ5" s="611">
        <v>13</v>
      </c>
      <c r="AK5" s="611">
        <v>13</v>
      </c>
      <c r="AL5" s="611">
        <v>13</v>
      </c>
      <c r="AM5" s="611">
        <v>13</v>
      </c>
      <c r="AN5" s="611">
        <v>13</v>
      </c>
      <c r="AO5" s="611">
        <v>13</v>
      </c>
      <c r="AP5" s="611">
        <v>13</v>
      </c>
      <c r="AQ5" s="611">
        <v>13</v>
      </c>
      <c r="AR5" s="611">
        <v>13</v>
      </c>
      <c r="AS5" s="611">
        <v>13</v>
      </c>
      <c r="AT5" s="611">
        <v>13</v>
      </c>
      <c r="AU5" s="611">
        <v>13</v>
      </c>
      <c r="AV5" s="611">
        <v>13</v>
      </c>
      <c r="AW5" s="611">
        <v>13</v>
      </c>
      <c r="AX5" s="611">
        <v>13</v>
      </c>
      <c r="AY5" s="611">
        <v>13</v>
      </c>
      <c r="AZ5" s="611">
        <v>13</v>
      </c>
      <c r="BA5" s="611">
        <v>13</v>
      </c>
      <c r="BB5" s="611">
        <v>13</v>
      </c>
      <c r="BC5" s="609">
        <v>20</v>
      </c>
      <c r="BD5" s="611">
        <v>3</v>
      </c>
      <c r="BF5" s="998"/>
    </row>
    <row customHeight="1" ht="11.25" hidden="1">
      <c r="A6" s="64" t="s">
        <v>354</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355</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359</v>
      </c>
      <c r="B9" s="999"/>
      <c r="F9" s="1000"/>
      <c r="P9" s="984"/>
      <c r="Q9" s="984"/>
      <c r="R9" s="984"/>
      <c r="S9" s="984"/>
      <c r="T9" s="984"/>
      <c r="U9" s="984"/>
      <c r="W9" s="984"/>
      <c r="AB9" s="996"/>
      <c r="AC9" s="996"/>
      <c r="AD9" s="996"/>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C9" s="996"/>
    </row>
    <row s="1061" customFormat="1" customHeight="1" ht="11.25" hidden="1">
      <c r="A10" s="998" t="s">
        <v>360</v>
      </c>
      <c r="B10" s="999"/>
      <c r="F10" s="1000"/>
      <c r="P10" s="984"/>
      <c r="Q10" s="984"/>
      <c r="R10" s="984"/>
      <c r="S10" s="984"/>
      <c r="T10" s="984"/>
      <c r="U10" s="984"/>
      <c r="W10" s="984"/>
      <c r="AB10" s="996"/>
      <c r="AC10" s="996"/>
      <c r="AD10" s="996"/>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C10" s="996"/>
    </row>
    <row s="1061" customFormat="1" customHeight="1" ht="11.25" hidden="1">
      <c r="A11" s="998" t="s">
        <v>361</v>
      </c>
      <c r="B11" s="999"/>
      <c r="F11" s="1000"/>
      <c r="P11" s="984"/>
      <c r="Q11" s="984"/>
      <c r="R11" s="984"/>
      <c r="S11" s="984"/>
      <c r="T11" s="984"/>
      <c r="U11" s="984"/>
      <c r="W11" s="984"/>
      <c r="AB11" s="996"/>
      <c r="AC11" s="996"/>
      <c r="AD11" s="996"/>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6" cm="1" t="str">
        <f t="array" ref="BC11:BC11">BC24</f>
        <v>Ссылка на правовую норму (основание для принятия показателя в расчет тарифа)</v>
      </c>
    </row>
    <row customHeight="1" ht="11.25" hidden="1">
      <c r="AD12" s="64"/>
      <c r="AI12" s="676"/>
      <c r="AJ12" s="676"/>
      <c r="AK12" s="676"/>
      <c r="AL12" s="676"/>
      <c r="AM12" s="676"/>
      <c r="AN12" s="676"/>
      <c r="AO12" s="676"/>
      <c r="AP12" s="676"/>
      <c r="AQ12" s="676"/>
      <c r="AR12" s="676"/>
      <c r="AS12" s="676"/>
      <c r="AT12" s="676"/>
      <c r="AU12" s="676"/>
      <c r="AV12" s="676"/>
      <c r="AW12" s="676"/>
      <c r="AX12" s="676"/>
      <c r="AY12" s="676"/>
      <c r="AZ12" s="676"/>
      <c r="BA12" s="676"/>
      <c r="BB12" s="676"/>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Филиал АО "УК "Кузбассразрезуголь" "Талдинский угольный разрез" (ИНН:4205049090, КПП:423802002) / ДПР: 2024-2028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E22" s="612">
        <v>20</v>
      </c>
      <c r="F22" s="50"/>
      <c r="AB22" s="286" t="s">
        <v>44</v>
      </c>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F22" s="1001"/>
    </row>
    <row customHeight="1" ht="10.96875">
      <c r="E23" s="611">
        <v>11.25</v>
      </c>
      <c r="AI23" s="676"/>
      <c r="AJ23" s="676"/>
      <c r="AK23" s="676"/>
      <c r="AL23" s="676"/>
      <c r="AM23" s="676"/>
      <c r="AN23" s="676"/>
      <c r="AO23" s="676"/>
      <c r="AP23" s="676"/>
      <c r="AQ23" s="676"/>
      <c r="AR23" s="676"/>
      <c r="AS23" s="676"/>
      <c r="AT23" s="676"/>
      <c r="AU23" s="676"/>
      <c r="AV23" s="676"/>
      <c r="AW23" s="676"/>
      <c r="AX23" s="676"/>
      <c r="AY23" s="676"/>
      <c r="AZ23" s="676"/>
      <c r="BA23" s="676"/>
      <c r="BB23" s="676"/>
    </row>
    <row s="1187" customFormat="1" customHeight="1" ht="14.625">
      <c r="B24" s="400"/>
      <c r="E24" s="609">
        <v>15</v>
      </c>
      <c r="F24" s="174"/>
      <c r="AB24" s="1487" t="s">
        <v>21</v>
      </c>
      <c r="AC24" s="1488" t="s">
        <v>362</v>
      </c>
      <c r="AD24" s="1485" t="s">
        <v>363</v>
      </c>
      <c r="AE24" s="554"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507</v>
      </c>
      <c r="BF24" s="996"/>
    </row>
    <row s="1187" customFormat="1" customHeight="1" ht="68.49375">
      <c r="B25" s="400"/>
      <c r="E25" s="609">
        <v>70.25</v>
      </c>
      <c r="F25" s="174"/>
      <c r="AB25" s="1487"/>
      <c r="AC25" s="1488"/>
      <c r="AD25" s="1485"/>
      <c r="AE25" s="555" t="s">
        <v>356</v>
      </c>
      <c r="AF25" s="1103" t="s">
        <v>431</v>
      </c>
      <c r="AG25" s="58" t="s">
        <v>432</v>
      </c>
      <c r="AH25" s="58" t="s">
        <v>356</v>
      </c>
      <c r="AI25" s="1107" t="s">
        <v>357</v>
      </c>
      <c r="AJ25" s="1107" t="s">
        <v>357</v>
      </c>
      <c r="AK25" s="1107" t="s">
        <v>357</v>
      </c>
      <c r="AL25" s="1107" t="s">
        <v>357</v>
      </c>
      <c r="AM25" s="1107" t="s">
        <v>357</v>
      </c>
      <c r="AN25" s="1107" t="s">
        <v>357</v>
      </c>
      <c r="AO25" s="1107" t="s">
        <v>357</v>
      </c>
      <c r="AP25" s="1107" t="s">
        <v>357</v>
      </c>
      <c r="AQ25" s="1107" t="s">
        <v>357</v>
      </c>
      <c r="AR25" s="1107" t="s">
        <v>357</v>
      </c>
      <c r="AS25" s="327" t="s">
        <v>356</v>
      </c>
      <c r="AT25" s="327" t="s">
        <v>356</v>
      </c>
      <c r="AU25" s="327" t="s">
        <v>356</v>
      </c>
      <c r="AV25" s="327" t="s">
        <v>356</v>
      </c>
      <c r="AW25" s="327" t="s">
        <v>356</v>
      </c>
      <c r="AX25" s="327" t="s">
        <v>356</v>
      </c>
      <c r="AY25" s="327" t="s">
        <v>356</v>
      </c>
      <c r="AZ25" s="327" t="s">
        <v>356</v>
      </c>
      <c r="BA25" s="327" t="s">
        <v>356</v>
      </c>
      <c r="BB25" s="327" t="s">
        <v>356</v>
      </c>
      <c r="BC25" s="1486"/>
      <c r="BF25" s="996"/>
    </row>
    <row s="1621" customFormat="1" customHeight="1" ht="15" hidden="1">
      <c r="A26" s="473"/>
      <c r="B26" s="638"/>
      <c r="C26" s="473"/>
      <c r="D26" s="473"/>
      <c r="E26" s="639">
        <v>0</v>
      </c>
      <c r="F26" s="728"/>
      <c r="G26" s="473"/>
      <c r="H26" s="473"/>
      <c r="I26" s="473"/>
      <c r="J26" s="473"/>
      <c r="K26" s="473"/>
      <c r="L26" s="473"/>
      <c r="M26" s="473"/>
      <c r="N26" s="473"/>
      <c r="O26" s="473"/>
      <c r="P26" s="473"/>
      <c r="Q26" s="473"/>
      <c r="R26" s="643" t="s">
        <v>260</v>
      </c>
      <c r="S26" s="643" t="s">
        <v>508</v>
      </c>
      <c r="T26" s="439"/>
      <c r="U26" s="473"/>
      <c r="V26" s="473"/>
      <c r="W26" s="473"/>
      <c r="X26" s="473"/>
      <c r="Y26" s="473"/>
      <c r="Z26" s="473"/>
      <c r="AA26" s="473"/>
      <c r="AC26" s="66"/>
      <c r="AD26" s="66"/>
      <c r="AE26" s="66"/>
      <c r="AF26" s="66"/>
      <c r="AI26" s="1621"/>
      <c r="AJ26" s="1621"/>
      <c r="AK26" s="1621"/>
      <c r="AL26" s="1621"/>
      <c r="AM26" s="1621"/>
      <c r="AN26" s="1621"/>
      <c r="AO26" s="1621"/>
      <c r="AP26" s="1621"/>
      <c r="AQ26" s="67"/>
      <c r="AR26" s="1621"/>
      <c r="AS26" s="1621"/>
      <c r="AT26" s="1621"/>
      <c r="AU26" s="1621"/>
      <c r="AV26" s="1621"/>
      <c r="AW26" s="1621"/>
      <c r="AX26" s="1621"/>
      <c r="AY26" s="1621"/>
      <c r="AZ26" s="1621"/>
      <c r="BA26" s="1621"/>
      <c r="BB26" s="1621"/>
      <c r="BF26" s="987"/>
    </row>
    <row customHeight="1" ht="14.625" hidden="1">
      <c r="A27" s="676"/>
      <c r="B27" s="1176"/>
      <c r="C27" s="676"/>
      <c r="D27" s="676"/>
      <c r="E27" s="611">
        <v>15</v>
      </c>
      <c r="F27" s="316" cm="1" t="str">
        <f t="array" ref="F27:F27">X27</f>
        <v>0</v>
      </c>
      <c r="G27" s="676"/>
      <c r="H27" s="676"/>
      <c r="I27" s="676"/>
      <c r="J27" s="676"/>
      <c r="K27" s="676"/>
      <c r="L27" s="676"/>
      <c r="M27" s="676"/>
      <c r="N27" s="676"/>
      <c r="O27" s="676"/>
      <c r="P27" s="1316"/>
      <c r="Q27" s="1316"/>
      <c r="R27" s="1316"/>
      <c r="S27" s="1316"/>
      <c r="T27" s="439">
        <f>X27&gt;0</f>
        <v>0</v>
      </c>
      <c r="U27" s="1316"/>
      <c r="V27" s="64" t="s">
        <v>261</v>
      </c>
      <c r="W27" s="1316"/>
      <c r="X27" s="1482">
        <v>0</v>
      </c>
      <c r="Y27" s="1464"/>
      <c r="Z27" s="676"/>
      <c r="AA27" s="676"/>
      <c r="AB27" s="147" cm="1" t="str">
        <f t="array" ref="AB27:AB27">INDEX('Общие сведения'!$AG$179:$AG$222,MATCH($X27,'Общие сведения'!$Z$179:$Z$222,0))</f>
        <v>Тариф 0 () - </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676"/>
      <c r="BE27" s="676"/>
      <c r="BF27" s="1061"/>
    </row>
    <row customHeight="1" ht="14.625" hidden="1">
      <c r="A28" s="676"/>
      <c r="B28" s="1176"/>
      <c r="C28" s="676"/>
      <c r="D28" s="676"/>
      <c r="E28" s="611">
        <v>15</v>
      </c>
      <c r="F28" s="50" cm="1" t="str">
        <f t="array" ref="F28:F28">OFFSET(E28,-1,1)</f>
        <v>0</v>
      </c>
      <c r="G28" s="676"/>
      <c r="H28" s="676"/>
      <c r="I28" s="676"/>
      <c r="J28" s="676"/>
      <c r="K28" s="676"/>
      <c r="L28" s="676"/>
      <c r="M28" s="676"/>
      <c r="N28" s="676"/>
      <c r="O28" s="676"/>
      <c r="P28" s="1316"/>
      <c r="Q28" s="1316"/>
      <c r="R28" s="388" cm="1" t="str">
        <f t="array" ref="R28:R28">INDEX('Общие сведения'!$AN$179:$AN$222,MATCH($X27,'Общие сведения'!$Z$179:$Z$222,0))</f>
        <v>false</v>
      </c>
      <c r="S28" s="388">
        <f>IF(ISERROR(SEARCH("Водоснабжение",AB27)),FALSE,TRUE)</f>
        <v>0</v>
      </c>
      <c r="T28" s="439">
        <f>AND(X27&gt;0,S28,NOT(R28))</f>
        <v>0</v>
      </c>
      <c r="U28" s="1316"/>
      <c r="V28" s="676"/>
      <c r="W28" s="1316"/>
      <c r="X28" s="1482"/>
      <c r="Y28" s="1464"/>
      <c r="Z28" s="676"/>
      <c r="AA28" s="676"/>
      <c r="AB28" s="207" t="s">
        <v>272</v>
      </c>
      <c r="AC28" s="296" t="s">
        <v>509</v>
      </c>
      <c r="AD28" s="58"/>
      <c r="AE28" s="548" cm="1" t="str">
        <f t="array" ref="AE28:AE28">INDEX('Общие сведения'!$AH$179:$AH$222,MATCH($X27,'Общие сведения'!$Z$179:$Z$222,0))</f>
        <v>0</v>
      </c>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30"/>
      <c r="BC28" s="1887"/>
      <c r="BD28" s="676"/>
      <c r="BE28" s="676"/>
      <c r="BF28" s="998" t="s">
        <v>510</v>
      </c>
    </row>
    <row customHeight="1" ht="14.625" hidden="1">
      <c r="A29" s="676"/>
      <c r="B29" s="1176"/>
      <c r="C29" s="676"/>
      <c r="D29" s="676"/>
      <c r="E29" s="611">
        <v>15</v>
      </c>
      <c r="F29" s="50" cm="1" t="str">
        <f t="array" ref="F29:F29">OFFSET(E29,-1,1)</f>
        <v>0</v>
      </c>
      <c r="G29" s="676"/>
      <c r="H29" s="64" t="s">
        <v>329</v>
      </c>
      <c r="I29" s="676"/>
      <c r="J29" s="676"/>
      <c r="K29" s="676"/>
      <c r="L29" s="676"/>
      <c r="M29" s="676"/>
      <c r="N29" s="676"/>
      <c r="O29" s="676"/>
      <c r="P29" s="1316"/>
      <c r="Q29" s="1316"/>
      <c r="R29" s="1316"/>
      <c r="S29" s="1316"/>
      <c r="T29" s="439" cm="1" t="str">
        <f t="array" ref="T29:T29">T28</f>
        <v>false</v>
      </c>
      <c r="U29" s="1316"/>
      <c r="V29" s="676"/>
      <c r="W29" s="1316"/>
      <c r="X29" s="1482"/>
      <c r="Y29" s="1464"/>
      <c r="Z29" s="676"/>
      <c r="AA29" s="676"/>
      <c r="AB29" s="207" t="s">
        <v>283</v>
      </c>
      <c r="AC29" s="297" t="s">
        <v>511</v>
      </c>
      <c r="AD29" s="59" t="s">
        <v>512</v>
      </c>
      <c r="AE29" s="282">
        <f>AE38+AE33-AE36</f>
        <v>0</v>
      </c>
      <c r="AF29" s="282">
        <f>AF38+AF33-AF36</f>
        <v>0</v>
      </c>
      <c r="AG29" s="282">
        <f>AG38+AG33-AG36</f>
        <v>0</v>
      </c>
      <c r="AH29" s="282">
        <f>AH38+AH33-AH36</f>
        <v>0</v>
      </c>
      <c r="AI29" s="282">
        <f>AI38+AI33-AI36</f>
        <v>0</v>
      </c>
      <c r="AJ29" s="282">
        <f>AJ38+AJ33-AJ36</f>
        <v>0</v>
      </c>
      <c r="AK29" s="282">
        <f>AK38+AK33-AK36</f>
        <v>0</v>
      </c>
      <c r="AL29" s="282">
        <f>AL38+AL33-AL36</f>
        <v>0</v>
      </c>
      <c r="AM29" s="282">
        <f>AM38+AM33-AM36</f>
        <v>0</v>
      </c>
      <c r="AN29" s="282">
        <f>AN38+AN33-AN36</f>
        <v>0</v>
      </c>
      <c r="AO29" s="282">
        <f>AO38+AO33-AO36</f>
        <v>0</v>
      </c>
      <c r="AP29" s="282">
        <f>AP38+AP33-AP36</f>
        <v>0</v>
      </c>
      <c r="AQ29" s="282">
        <f>AQ38+AQ33-AQ36</f>
        <v>0</v>
      </c>
      <c r="AR29" s="282">
        <f>AR38+AR33-AR36</f>
        <v>0</v>
      </c>
      <c r="AS29" s="282">
        <f>AS38+AS33-AS36</f>
        <v>0</v>
      </c>
      <c r="AT29" s="282">
        <f>AT38+AT33-AT36</f>
        <v>0</v>
      </c>
      <c r="AU29" s="282">
        <f>AU38+AU33-AU36</f>
        <v>0</v>
      </c>
      <c r="AV29" s="282">
        <f>AV38+AV33-AV36</f>
        <v>0</v>
      </c>
      <c r="AW29" s="282">
        <f>AW38+AW33-AW36</f>
        <v>0</v>
      </c>
      <c r="AX29" s="282">
        <f>AX38+AX33-AX36</f>
        <v>0</v>
      </c>
      <c r="AY29" s="282">
        <f>AY38+AY33-AY36</f>
        <v>0</v>
      </c>
      <c r="AZ29" s="282">
        <f>AZ38+AZ33-AZ36</f>
        <v>0</v>
      </c>
      <c r="BA29" s="282">
        <f>BA38+BA33-BA36</f>
        <v>0</v>
      </c>
      <c r="BB29" s="282">
        <f>BB38+BB33-BB36</f>
        <v>0</v>
      </c>
      <c r="BC29" s="1887"/>
      <c r="BD29" s="676"/>
      <c r="BE29" s="676"/>
      <c r="BF29" s="998" t="s">
        <v>513</v>
      </c>
    </row>
    <row customHeight="1" ht="14.625" hidden="1">
      <c r="A30" s="676"/>
      <c r="B30" s="1176"/>
      <c r="C30" s="676"/>
      <c r="D30" s="676"/>
      <c r="E30" s="611">
        <v>15</v>
      </c>
      <c r="F30" s="50" cm="1" t="str">
        <f t="array" ref="F30:F30">OFFSET(E30,-1,1)</f>
        <v>0</v>
      </c>
      <c r="G30" s="676"/>
      <c r="H30" s="64" t="s">
        <v>514</v>
      </c>
      <c r="I30" s="676"/>
      <c r="J30" s="676"/>
      <c r="K30" s="676"/>
      <c r="L30" s="676"/>
      <c r="M30" s="676"/>
      <c r="N30" s="676"/>
      <c r="O30" s="676"/>
      <c r="P30" s="1316"/>
      <c r="Q30" s="1316"/>
      <c r="R30" s="1316"/>
      <c r="S30" s="1316"/>
      <c r="T30" s="439" cm="1" t="str">
        <f t="array" ref="T30:T30">T29</f>
        <v>false</v>
      </c>
      <c r="U30" s="1316"/>
      <c r="V30" s="676"/>
      <c r="W30" s="1316"/>
      <c r="X30" s="1482"/>
      <c r="Y30" s="1464"/>
      <c r="Z30" s="676"/>
      <c r="AA30" s="676"/>
      <c r="AB30" s="207" t="s">
        <v>515</v>
      </c>
      <c r="AC30" s="159" t="s">
        <v>516</v>
      </c>
      <c r="AD30" s="59" t="s">
        <v>512</v>
      </c>
      <c r="AE30" s="1930"/>
      <c r="AF30" s="1930"/>
      <c r="AG30" s="1930"/>
      <c r="AH30" s="1930"/>
      <c r="AI30" s="246"/>
      <c r="AJ30" s="1930"/>
      <c r="AK30" s="1930"/>
      <c r="AL30" s="1930"/>
      <c r="AM30" s="1930"/>
      <c r="AN30" s="1930"/>
      <c r="AO30" s="1930"/>
      <c r="AP30" s="1930"/>
      <c r="AQ30" s="1930"/>
      <c r="AR30" s="1930"/>
      <c r="AS30" s="246"/>
      <c r="AT30" s="1930"/>
      <c r="AU30" s="1930"/>
      <c r="AV30" s="1930"/>
      <c r="AW30" s="1930"/>
      <c r="AX30" s="1930"/>
      <c r="AY30" s="1930"/>
      <c r="AZ30" s="1930"/>
      <c r="BA30" s="1930"/>
      <c r="BB30" s="1930"/>
      <c r="BC30" s="1934"/>
      <c r="BD30" s="676"/>
      <c r="BE30" s="676"/>
      <c r="BF30" s="998" t="s">
        <v>517</v>
      </c>
    </row>
    <row customHeight="1" ht="14.625" hidden="1">
      <c r="A31" s="676"/>
      <c r="B31" s="1176"/>
      <c r="C31" s="676"/>
      <c r="D31" s="676"/>
      <c r="E31" s="611">
        <v>15</v>
      </c>
      <c r="F31" s="50" cm="1" t="str">
        <f t="array" ref="F31:F31">OFFSET(E31,-1,1)</f>
        <v>0</v>
      </c>
      <c r="G31" s="676"/>
      <c r="H31" s="64" t="s">
        <v>518</v>
      </c>
      <c r="I31" s="676"/>
      <c r="J31" s="676"/>
      <c r="K31" s="676"/>
      <c r="L31" s="676"/>
      <c r="M31" s="676"/>
      <c r="N31" s="676"/>
      <c r="O31" s="676"/>
      <c r="P31" s="1316"/>
      <c r="Q31" s="1316"/>
      <c r="R31" s="1316"/>
      <c r="S31" s="1316"/>
      <c r="T31" s="439" cm="1" t="str">
        <f t="array" ref="T31:T31">T30</f>
        <v>false</v>
      </c>
      <c r="U31" s="1316"/>
      <c r="V31" s="676"/>
      <c r="W31" s="1316"/>
      <c r="X31" s="1482"/>
      <c r="Y31" s="1464"/>
      <c r="Z31" s="676"/>
      <c r="AA31" s="676"/>
      <c r="AB31" s="207" t="s">
        <v>519</v>
      </c>
      <c r="AC31" s="159" t="s">
        <v>520</v>
      </c>
      <c r="AD31" s="59" t="s">
        <v>512</v>
      </c>
      <c r="AE31" s="1930"/>
      <c r="AF31" s="1930"/>
      <c r="AG31" s="1930"/>
      <c r="AH31" s="1930"/>
      <c r="AI31" s="246"/>
      <c r="AJ31" s="1930"/>
      <c r="AK31" s="1930"/>
      <c r="AL31" s="1930"/>
      <c r="AM31" s="1930"/>
      <c r="AN31" s="1930"/>
      <c r="AO31" s="1930"/>
      <c r="AP31" s="1930"/>
      <c r="AQ31" s="1930"/>
      <c r="AR31" s="1930"/>
      <c r="AS31" s="246"/>
      <c r="AT31" s="1930"/>
      <c r="AU31" s="1930"/>
      <c r="AV31" s="1930"/>
      <c r="AW31" s="1930"/>
      <c r="AX31" s="1930"/>
      <c r="AY31" s="1930"/>
      <c r="AZ31" s="1930"/>
      <c r="BA31" s="1930"/>
      <c r="BB31" s="1930"/>
      <c r="BC31" s="1934"/>
      <c r="BD31" s="676"/>
      <c r="BE31" s="676"/>
      <c r="BF31" s="998" t="s">
        <v>521</v>
      </c>
    </row>
    <row customHeight="1" ht="21.9375" hidden="1">
      <c r="A32" s="676"/>
      <c r="B32" s="1176"/>
      <c r="C32" s="676"/>
      <c r="D32" s="676"/>
      <c r="E32" s="611">
        <v>22.5</v>
      </c>
      <c r="F32" s="50" cm="1" t="str">
        <f t="array" ref="F32:F32">OFFSET(E32,-1,1)</f>
        <v>0</v>
      </c>
      <c r="G32" s="676"/>
      <c r="H32" s="64" t="s">
        <v>522</v>
      </c>
      <c r="I32" s="676"/>
      <c r="J32" s="676"/>
      <c r="K32" s="676"/>
      <c r="L32" s="676"/>
      <c r="M32" s="676"/>
      <c r="N32" s="676"/>
      <c r="O32" s="676"/>
      <c r="P32" s="1316"/>
      <c r="Q32" s="1316"/>
      <c r="R32" s="1316"/>
      <c r="S32" s="1316"/>
      <c r="T32" s="439" cm="1" t="str">
        <f t="array" ref="T32:T32">T31</f>
        <v>false</v>
      </c>
      <c r="U32" s="1316"/>
      <c r="V32" s="676"/>
      <c r="W32" s="1316"/>
      <c r="X32" s="1482"/>
      <c r="Y32" s="1464"/>
      <c r="Z32" s="676"/>
      <c r="AA32" s="676"/>
      <c r="AB32" s="207" t="s">
        <v>523</v>
      </c>
      <c r="AC32" s="297" t="s">
        <v>524</v>
      </c>
      <c r="AD32" s="59" t="s">
        <v>512</v>
      </c>
      <c r="AE32" s="1930"/>
      <c r="AF32" s="1930"/>
      <c r="AG32" s="1930"/>
      <c r="AH32" s="1930"/>
      <c r="AI32" s="246"/>
      <c r="AJ32" s="1930"/>
      <c r="AK32" s="1930"/>
      <c r="AL32" s="1930"/>
      <c r="AM32" s="1930"/>
      <c r="AN32" s="1930"/>
      <c r="AO32" s="1930"/>
      <c r="AP32" s="1930"/>
      <c r="AQ32" s="1930"/>
      <c r="AR32" s="1930"/>
      <c r="AS32" s="246"/>
      <c r="AT32" s="1930"/>
      <c r="AU32" s="1930"/>
      <c r="AV32" s="1930"/>
      <c r="AW32" s="1930"/>
      <c r="AX32" s="1930"/>
      <c r="AY32" s="1930"/>
      <c r="AZ32" s="1930"/>
      <c r="BA32" s="1930"/>
      <c r="BB32" s="1930"/>
      <c r="BC32" s="1934"/>
      <c r="BD32" s="676"/>
      <c r="BE32" s="676"/>
      <c r="BF32" s="998" t="s">
        <v>525</v>
      </c>
    </row>
    <row customHeight="1" ht="14.625" hidden="1">
      <c r="A33" s="676"/>
      <c r="B33" s="1176"/>
      <c r="C33" s="676"/>
      <c r="D33" s="676"/>
      <c r="E33" s="611">
        <v>15</v>
      </c>
      <c r="F33" s="50" cm="1" t="str">
        <f t="array" ref="F33:F33">OFFSET(E33,-1,1)</f>
        <v>0</v>
      </c>
      <c r="G33" s="676"/>
      <c r="H33" s="64" t="s">
        <v>328</v>
      </c>
      <c r="I33" s="676"/>
      <c r="J33" s="676"/>
      <c r="K33" s="676"/>
      <c r="L33" s="676"/>
      <c r="M33" s="676"/>
      <c r="N33" s="676"/>
      <c r="O33" s="676"/>
      <c r="P33" s="1316"/>
      <c r="Q33" s="1316"/>
      <c r="R33" s="1316"/>
      <c r="S33" s="1316"/>
      <c r="T33" s="439" cm="1" t="str">
        <f t="array" ref="T33:T33">T32</f>
        <v>false</v>
      </c>
      <c r="U33" s="1316"/>
      <c r="V33" s="676"/>
      <c r="W33" s="1316"/>
      <c r="X33" s="1482"/>
      <c r="Y33" s="1464"/>
      <c r="Z33" s="676"/>
      <c r="AA33" s="676"/>
      <c r="AB33" s="207" t="s">
        <v>323</v>
      </c>
      <c r="AC33" s="297" t="s">
        <v>526</v>
      </c>
      <c r="AD33" s="59" t="s">
        <v>512</v>
      </c>
      <c r="AE33" s="282">
        <f>SUM(AE34:AE35)</f>
        <v>0</v>
      </c>
      <c r="AF33" s="282">
        <f>SUM(AF34:AF35)</f>
        <v>0</v>
      </c>
      <c r="AG33" s="282">
        <f>SUM(AG34:AG35)</f>
        <v>0</v>
      </c>
      <c r="AH33" s="282">
        <f>SUM(AH34:AH35)</f>
        <v>0</v>
      </c>
      <c r="AI33" s="282">
        <f>SUM(AI34:AI35)</f>
        <v>0</v>
      </c>
      <c r="AJ33" s="282">
        <f>SUM(AJ34:AJ35)</f>
        <v>0</v>
      </c>
      <c r="AK33" s="282">
        <f>SUM(AK34:AK35)</f>
        <v>0</v>
      </c>
      <c r="AL33" s="282">
        <f>SUM(AL34:AL35)</f>
        <v>0</v>
      </c>
      <c r="AM33" s="282">
        <f>SUM(AM34:AM35)</f>
        <v>0</v>
      </c>
      <c r="AN33" s="282">
        <f>SUM(AN34:AN35)</f>
        <v>0</v>
      </c>
      <c r="AO33" s="282">
        <f>SUM(AO34:AO35)</f>
        <v>0</v>
      </c>
      <c r="AP33" s="282">
        <f>SUM(AP34:AP35)</f>
        <v>0</v>
      </c>
      <c r="AQ33" s="282">
        <f>SUM(AQ34:AQ35)</f>
        <v>0</v>
      </c>
      <c r="AR33" s="282">
        <f>SUM(AR34:AR35)</f>
        <v>0</v>
      </c>
      <c r="AS33" s="282">
        <f>SUM(AS34:AS35)</f>
        <v>0</v>
      </c>
      <c r="AT33" s="282">
        <f>SUM(AT34:AT35)</f>
        <v>0</v>
      </c>
      <c r="AU33" s="282">
        <f>SUM(AU34:AU35)</f>
        <v>0</v>
      </c>
      <c r="AV33" s="282">
        <f>SUM(AV34:AV35)</f>
        <v>0</v>
      </c>
      <c r="AW33" s="282">
        <f>SUM(AW34:AW35)</f>
        <v>0</v>
      </c>
      <c r="AX33" s="282">
        <f>SUM(AX34:AX35)</f>
        <v>0</v>
      </c>
      <c r="AY33" s="282">
        <f>SUM(AY34:AY35)</f>
        <v>0</v>
      </c>
      <c r="AZ33" s="282">
        <f>SUM(AZ34:AZ35)</f>
        <v>0</v>
      </c>
      <c r="BA33" s="282">
        <f>SUM(BA34:BA35)</f>
        <v>0</v>
      </c>
      <c r="BB33" s="282">
        <f>SUM(BB34:BB35)</f>
        <v>0</v>
      </c>
      <c r="BC33" s="1934"/>
      <c r="BD33" s="676"/>
      <c r="BE33" s="676"/>
      <c r="BF33" s="998" t="s">
        <v>527</v>
      </c>
    </row>
    <row customHeight="1" ht="14.625" hidden="1">
      <c r="A34" s="676"/>
      <c r="B34" s="1176"/>
      <c r="C34" s="676"/>
      <c r="D34" s="676"/>
      <c r="E34" s="611">
        <v>15</v>
      </c>
      <c r="F34" s="50" cm="1" t="str">
        <f t="array" ref="F34:F34">OFFSET(E34,-1,1)</f>
        <v>0</v>
      </c>
      <c r="G34" s="676"/>
      <c r="H34" s="64" t="s">
        <v>528</v>
      </c>
      <c r="I34" s="676"/>
      <c r="J34" s="676"/>
      <c r="K34" s="676"/>
      <c r="L34" s="676"/>
      <c r="M34" s="676"/>
      <c r="N34" s="676"/>
      <c r="O34" s="676"/>
      <c r="P34" s="1316"/>
      <c r="Q34" s="1316"/>
      <c r="R34" s="1316"/>
      <c r="S34" s="1316"/>
      <c r="T34" s="439" cm="1" t="str">
        <f t="array" ref="T34:T34">T33</f>
        <v>false</v>
      </c>
      <c r="U34" s="1316"/>
      <c r="V34" s="676"/>
      <c r="W34" s="1316"/>
      <c r="X34" s="1482"/>
      <c r="Y34" s="1464"/>
      <c r="Z34" s="676"/>
      <c r="AA34" s="676"/>
      <c r="AB34" s="207" t="s">
        <v>529</v>
      </c>
      <c r="AC34" s="159" t="s">
        <v>530</v>
      </c>
      <c r="AD34" s="59" t="s">
        <v>512</v>
      </c>
      <c r="AE34" s="1930"/>
      <c r="AF34" s="1930"/>
      <c r="AG34" s="1930"/>
      <c r="AH34" s="1930"/>
      <c r="AI34" s="246"/>
      <c r="AJ34" s="1930"/>
      <c r="AK34" s="1930"/>
      <c r="AL34" s="1930"/>
      <c r="AM34" s="1930"/>
      <c r="AN34" s="1930"/>
      <c r="AO34" s="1930"/>
      <c r="AP34" s="1930"/>
      <c r="AQ34" s="1930"/>
      <c r="AR34" s="1930"/>
      <c r="AS34" s="246"/>
      <c r="AT34" s="1930"/>
      <c r="AU34" s="1930"/>
      <c r="AV34" s="1930"/>
      <c r="AW34" s="1930"/>
      <c r="AX34" s="1930"/>
      <c r="AY34" s="1930"/>
      <c r="AZ34" s="1930"/>
      <c r="BA34" s="1930"/>
      <c r="BB34" s="1930"/>
      <c r="BC34" s="1934"/>
      <c r="BD34" s="676"/>
      <c r="BE34" s="676"/>
      <c r="BF34" s="998" t="s">
        <v>531</v>
      </c>
    </row>
    <row customHeight="1" ht="14.625" hidden="1">
      <c r="A35" s="676"/>
      <c r="B35" s="1176"/>
      <c r="C35" s="676"/>
      <c r="D35" s="676"/>
      <c r="E35" s="611">
        <v>15</v>
      </c>
      <c r="F35" s="50" cm="1" t="str">
        <f t="array" ref="F35:F35">OFFSET(E35,-1,1)</f>
        <v>0</v>
      </c>
      <c r="G35" s="676"/>
      <c r="H35" s="64" t="s">
        <v>532</v>
      </c>
      <c r="I35" s="676"/>
      <c r="J35" s="676"/>
      <c r="K35" s="676"/>
      <c r="L35" s="676"/>
      <c r="M35" s="676"/>
      <c r="N35" s="676"/>
      <c r="O35" s="676"/>
      <c r="P35" s="1316"/>
      <c r="Q35" s="1316"/>
      <c r="R35" s="1316"/>
      <c r="S35" s="1316"/>
      <c r="T35" s="439" cm="1" t="str">
        <f t="array" ref="T35:T35">T34</f>
        <v>false</v>
      </c>
      <c r="U35" s="1316"/>
      <c r="V35" s="676"/>
      <c r="W35" s="1316"/>
      <c r="X35" s="1482"/>
      <c r="Y35" s="1464"/>
      <c r="Z35" s="676"/>
      <c r="AA35" s="676"/>
      <c r="AB35" s="207" t="s">
        <v>533</v>
      </c>
      <c r="AC35" s="159" t="s">
        <v>534</v>
      </c>
      <c r="AD35" s="59" t="s">
        <v>512</v>
      </c>
      <c r="AE35" s="1930"/>
      <c r="AF35" s="1930"/>
      <c r="AG35" s="1930"/>
      <c r="AH35" s="1930"/>
      <c r="AI35" s="246"/>
      <c r="AJ35" s="1930"/>
      <c r="AK35" s="1930"/>
      <c r="AL35" s="1930"/>
      <c r="AM35" s="1930"/>
      <c r="AN35" s="1930"/>
      <c r="AO35" s="1930"/>
      <c r="AP35" s="1930"/>
      <c r="AQ35" s="1930"/>
      <c r="AR35" s="1930"/>
      <c r="AS35" s="246"/>
      <c r="AT35" s="1930"/>
      <c r="AU35" s="1930"/>
      <c r="AV35" s="1930"/>
      <c r="AW35" s="1930"/>
      <c r="AX35" s="1930"/>
      <c r="AY35" s="1930"/>
      <c r="AZ35" s="1930"/>
      <c r="BA35" s="1930"/>
      <c r="BB35" s="1930"/>
      <c r="BC35" s="1934"/>
      <c r="BD35" s="676"/>
      <c r="BE35" s="676"/>
      <c r="BF35" s="998" t="s">
        <v>535</v>
      </c>
    </row>
    <row customHeight="1" ht="14.625" hidden="1">
      <c r="A36" s="676"/>
      <c r="B36" s="1176"/>
      <c r="C36" s="676"/>
      <c r="D36" s="676"/>
      <c r="E36" s="611">
        <v>15</v>
      </c>
      <c r="F36" s="50" cm="1" t="str">
        <f t="array" ref="F36:F36">OFFSET(E36,-1,1)</f>
        <v>0</v>
      </c>
      <c r="G36" s="676"/>
      <c r="H36" s="64" t="s">
        <v>491</v>
      </c>
      <c r="I36" s="676"/>
      <c r="J36" s="676"/>
      <c r="K36" s="676"/>
      <c r="L36" s="676"/>
      <c r="M36" s="676"/>
      <c r="N36" s="676"/>
      <c r="O36" s="676"/>
      <c r="P36" s="1316"/>
      <c r="Q36" s="1316"/>
      <c r="R36" s="1316"/>
      <c r="S36" s="1316"/>
      <c r="T36" s="439" cm="1" t="str">
        <f t="array" ref="T36:T36">T35</f>
        <v>false</v>
      </c>
      <c r="U36" s="1316"/>
      <c r="V36" s="676"/>
      <c r="W36" s="1316"/>
      <c r="X36" s="1482"/>
      <c r="Y36" s="1464"/>
      <c r="Z36" s="676"/>
      <c r="AA36" s="676"/>
      <c r="AB36" s="207" t="s">
        <v>536</v>
      </c>
      <c r="AC36" s="296" t="s">
        <v>537</v>
      </c>
      <c r="AD36" s="59" t="s">
        <v>512</v>
      </c>
      <c r="AE36" s="1886"/>
      <c r="AF36" s="1886"/>
      <c r="AG36" s="1886"/>
      <c r="AH36" s="1886"/>
      <c r="AI36" s="243"/>
      <c r="AJ36" s="1886"/>
      <c r="AK36" s="1886"/>
      <c r="AL36" s="1886"/>
      <c r="AM36" s="1886"/>
      <c r="AN36" s="1886"/>
      <c r="AO36" s="1886"/>
      <c r="AP36" s="1886"/>
      <c r="AQ36" s="1886"/>
      <c r="AR36" s="1886"/>
      <c r="AS36" s="243"/>
      <c r="AT36" s="1886"/>
      <c r="AU36" s="1886"/>
      <c r="AV36" s="1886"/>
      <c r="AW36" s="1886"/>
      <c r="AX36" s="1886"/>
      <c r="AY36" s="1886"/>
      <c r="AZ36" s="1886"/>
      <c r="BA36" s="1886"/>
      <c r="BB36" s="1886"/>
      <c r="BC36" s="1934"/>
      <c r="BD36" s="676"/>
      <c r="BE36" s="676"/>
      <c r="BF36" s="998" t="s">
        <v>538</v>
      </c>
    </row>
    <row customHeight="1" ht="14.625" hidden="1">
      <c r="A37" s="676"/>
      <c r="B37" s="1176"/>
      <c r="C37" s="676"/>
      <c r="D37" s="676"/>
      <c r="E37" s="611">
        <v>15</v>
      </c>
      <c r="F37" s="50" cm="1" t="str">
        <f t="array" ref="F37:F37">OFFSET(E37,-1,1)</f>
        <v>0</v>
      </c>
      <c r="G37" s="676"/>
      <c r="H37" s="64" t="s">
        <v>495</v>
      </c>
      <c r="I37" s="676"/>
      <c r="J37" s="676"/>
      <c r="K37" s="676"/>
      <c r="L37" s="676"/>
      <c r="M37" s="676"/>
      <c r="N37" s="676"/>
      <c r="O37" s="676"/>
      <c r="P37" s="1316"/>
      <c r="Q37" s="1316"/>
      <c r="R37" s="1316"/>
      <c r="S37" s="1316"/>
      <c r="T37" s="439" cm="1" t="str">
        <f t="array" ref="T37:T37">T36</f>
        <v>false</v>
      </c>
      <c r="U37" s="1316"/>
      <c r="V37" s="676"/>
      <c r="W37" s="1316"/>
      <c r="X37" s="1482"/>
      <c r="Y37" s="1464"/>
      <c r="Z37" s="676"/>
      <c r="AA37" s="676"/>
      <c r="AB37" s="207" t="s">
        <v>492</v>
      </c>
      <c r="AC37" s="296" t="s">
        <v>539</v>
      </c>
      <c r="AD37" s="59" t="s">
        <v>512</v>
      </c>
      <c r="AE37" s="1930"/>
      <c r="AF37" s="1930"/>
      <c r="AG37" s="1930"/>
      <c r="AH37" s="1930"/>
      <c r="AI37" s="246"/>
      <c r="AJ37" s="1930"/>
      <c r="AK37" s="1930"/>
      <c r="AL37" s="1930"/>
      <c r="AM37" s="1930"/>
      <c r="AN37" s="1930"/>
      <c r="AO37" s="1930"/>
      <c r="AP37" s="1930"/>
      <c r="AQ37" s="1930"/>
      <c r="AR37" s="1930"/>
      <c r="AS37" s="246"/>
      <c r="AT37" s="1930"/>
      <c r="AU37" s="1930"/>
      <c r="AV37" s="1930"/>
      <c r="AW37" s="1930"/>
      <c r="AX37" s="1930"/>
      <c r="AY37" s="1930"/>
      <c r="AZ37" s="1930"/>
      <c r="BA37" s="1930"/>
      <c r="BB37" s="1930"/>
      <c r="BC37" s="1934"/>
      <c r="BD37" s="676"/>
      <c r="BE37" s="676"/>
      <c r="BF37" s="998" t="s">
        <v>540</v>
      </c>
    </row>
    <row customHeight="1" ht="14.625" hidden="1">
      <c r="A38" s="676"/>
      <c r="B38" s="1176"/>
      <c r="C38" s="676"/>
      <c r="D38" s="676"/>
      <c r="E38" s="611">
        <v>15</v>
      </c>
      <c r="F38" s="50" cm="1" t="str">
        <f t="array" ref="F38:F38">OFFSET(E38,-1,1)</f>
        <v>0</v>
      </c>
      <c r="G38" s="676"/>
      <c r="H38" s="64" t="s">
        <v>541</v>
      </c>
      <c r="I38" s="676"/>
      <c r="J38" s="676"/>
      <c r="K38" s="676"/>
      <c r="L38" s="676"/>
      <c r="M38" s="676"/>
      <c r="N38" s="676"/>
      <c r="O38" s="676"/>
      <c r="P38" s="1316"/>
      <c r="Q38" s="1316"/>
      <c r="R38" s="1316"/>
      <c r="S38" s="1316"/>
      <c r="T38" s="439" cm="1" t="str">
        <f t="array" ref="T38:T38">T37</f>
        <v>false</v>
      </c>
      <c r="U38" s="1316"/>
      <c r="V38" s="676"/>
      <c r="W38" s="1316"/>
      <c r="X38" s="1482"/>
      <c r="Y38" s="1464"/>
      <c r="Z38" s="676"/>
      <c r="AA38" s="676"/>
      <c r="AB38" s="207" t="s">
        <v>496</v>
      </c>
      <c r="AC38" s="297" t="s">
        <v>542</v>
      </c>
      <c r="AD38" s="59" t="s">
        <v>512</v>
      </c>
      <c r="AE38" s="282">
        <f>AE44+AE42</f>
        <v>0</v>
      </c>
      <c r="AF38" s="282">
        <f>AF44+AF42</f>
        <v>0</v>
      </c>
      <c r="AG38" s="282">
        <f>AG44+AG42</f>
        <v>0</v>
      </c>
      <c r="AH38" s="282">
        <f>AH44+AH42</f>
        <v>0</v>
      </c>
      <c r="AI38" s="282">
        <f>AI44+AI42</f>
        <v>0</v>
      </c>
      <c r="AJ38" s="282">
        <f>AJ44+AJ42</f>
        <v>0</v>
      </c>
      <c r="AK38" s="282">
        <f>AK44+AK42</f>
        <v>0</v>
      </c>
      <c r="AL38" s="282">
        <f>AL44+AL42</f>
        <v>0</v>
      </c>
      <c r="AM38" s="282">
        <f>AM44+AM42</f>
        <v>0</v>
      </c>
      <c r="AN38" s="282">
        <f>AN44+AN42</f>
        <v>0</v>
      </c>
      <c r="AO38" s="282">
        <f>AO44+AO42</f>
        <v>0</v>
      </c>
      <c r="AP38" s="282">
        <f>AP44+AP42</f>
        <v>0</v>
      </c>
      <c r="AQ38" s="282">
        <f>AQ44+AQ42</f>
        <v>0</v>
      </c>
      <c r="AR38" s="282">
        <f>AR44+AR42</f>
        <v>0</v>
      </c>
      <c r="AS38" s="282">
        <f>AS44+AS42</f>
        <v>0</v>
      </c>
      <c r="AT38" s="282">
        <f>AT44+AT42</f>
        <v>0</v>
      </c>
      <c r="AU38" s="282">
        <f>AU44+AU42</f>
        <v>0</v>
      </c>
      <c r="AV38" s="282">
        <f>AV44+AV42</f>
        <v>0</v>
      </c>
      <c r="AW38" s="282">
        <f>AW44+AW42</f>
        <v>0</v>
      </c>
      <c r="AX38" s="282">
        <f>AX44+AX42</f>
        <v>0</v>
      </c>
      <c r="AY38" s="282">
        <f>AY44+AY42</f>
        <v>0</v>
      </c>
      <c r="AZ38" s="282">
        <f>AZ44+AZ42</f>
        <v>0</v>
      </c>
      <c r="BA38" s="282">
        <f>BA44+BA42</f>
        <v>0</v>
      </c>
      <c r="BB38" s="282">
        <f>BB44+BB42</f>
        <v>0</v>
      </c>
      <c r="BC38" s="1934"/>
      <c r="BD38" s="676"/>
      <c r="BE38" s="676"/>
      <c r="BF38" s="998" t="s">
        <v>543</v>
      </c>
    </row>
    <row customHeight="1" ht="21.9375" hidden="1">
      <c r="A39" s="676"/>
      <c r="B39" s="1176"/>
      <c r="C39" s="676"/>
      <c r="D39" s="676"/>
      <c r="E39" s="611">
        <v>22.5</v>
      </c>
      <c r="F39" s="50" cm="1" t="str">
        <f t="array" ref="F39:F39">OFFSET(E39,-1,1)</f>
        <v>0</v>
      </c>
      <c r="G39" s="676"/>
      <c r="H39" s="64" t="s">
        <v>544</v>
      </c>
      <c r="I39" s="676"/>
      <c r="J39" s="676"/>
      <c r="K39" s="676"/>
      <c r="L39" s="676"/>
      <c r="M39" s="676"/>
      <c r="N39" s="676"/>
      <c r="O39" s="676"/>
      <c r="P39" s="1316"/>
      <c r="Q39" s="1316"/>
      <c r="R39" s="1316"/>
      <c r="S39" s="1316"/>
      <c r="T39" s="439" cm="1" t="str">
        <f t="array" ref="T39:T39">T38</f>
        <v>false</v>
      </c>
      <c r="U39" s="1316"/>
      <c r="V39" s="676"/>
      <c r="W39" s="1316"/>
      <c r="X39" s="1482"/>
      <c r="Y39" s="1464"/>
      <c r="Z39" s="676"/>
      <c r="AA39" s="676"/>
      <c r="AB39" s="207" t="s">
        <v>545</v>
      </c>
      <c r="AC39" s="159" t="s">
        <v>546</v>
      </c>
      <c r="AD39" s="59" t="s">
        <v>512</v>
      </c>
      <c r="AE39" s="1930"/>
      <c r="AF39" s="1930"/>
      <c r="AG39" s="1930"/>
      <c r="AH39" s="1930"/>
      <c r="AI39" s="246"/>
      <c r="AJ39" s="1930"/>
      <c r="AK39" s="1930"/>
      <c r="AL39" s="1930"/>
      <c r="AM39" s="1930"/>
      <c r="AN39" s="1930"/>
      <c r="AO39" s="1930"/>
      <c r="AP39" s="1930"/>
      <c r="AQ39" s="1930"/>
      <c r="AR39" s="1930"/>
      <c r="AS39" s="246"/>
      <c r="AT39" s="1930"/>
      <c r="AU39" s="1930"/>
      <c r="AV39" s="1930"/>
      <c r="AW39" s="1930"/>
      <c r="AX39" s="1930"/>
      <c r="AY39" s="1930"/>
      <c r="AZ39" s="1930"/>
      <c r="BA39" s="1930"/>
      <c r="BB39" s="1930"/>
      <c r="BC39" s="1934"/>
      <c r="BD39" s="676"/>
      <c r="BE39" s="676"/>
      <c r="BF39" s="998" t="s">
        <v>547</v>
      </c>
    </row>
    <row customHeight="1" ht="14.625" hidden="1">
      <c r="A40" s="676"/>
      <c r="B40" s="1176"/>
      <c r="C40" s="676"/>
      <c r="D40" s="676"/>
      <c r="E40" s="611">
        <v>15</v>
      </c>
      <c r="F40" s="50" cm="1" t="str">
        <f t="array" ref="F40:F40">OFFSET(E40,-1,1)</f>
        <v>0</v>
      </c>
      <c r="G40" s="676"/>
      <c r="H40" s="64" t="s">
        <v>548</v>
      </c>
      <c r="I40" s="676"/>
      <c r="J40" s="676"/>
      <c r="K40" s="676"/>
      <c r="L40" s="676"/>
      <c r="M40" s="676"/>
      <c r="N40" s="676"/>
      <c r="O40" s="676"/>
      <c r="P40" s="1316"/>
      <c r="Q40" s="1316"/>
      <c r="R40" s="1316"/>
      <c r="S40" s="1316"/>
      <c r="T40" s="439" cm="1" t="str">
        <f t="array" ref="T40:T40">T39</f>
        <v>false</v>
      </c>
      <c r="U40" s="1316"/>
      <c r="V40" s="676"/>
      <c r="W40" s="1316"/>
      <c r="X40" s="1482"/>
      <c r="Y40" s="1464"/>
      <c r="Z40" s="676"/>
      <c r="AA40" s="676"/>
      <c r="AB40" s="207" t="s">
        <v>549</v>
      </c>
      <c r="AC40" s="159" t="s">
        <v>550</v>
      </c>
      <c r="AD40" s="59" t="s">
        <v>512</v>
      </c>
      <c r="AE40" s="1930"/>
      <c r="AF40" s="1930"/>
      <c r="AG40" s="1930"/>
      <c r="AH40" s="1930"/>
      <c r="AI40" s="246"/>
      <c r="AJ40" s="1930"/>
      <c r="AK40" s="1930"/>
      <c r="AL40" s="1930"/>
      <c r="AM40" s="1930"/>
      <c r="AN40" s="1930"/>
      <c r="AO40" s="1930"/>
      <c r="AP40" s="1930"/>
      <c r="AQ40" s="1930"/>
      <c r="AR40" s="1930"/>
      <c r="AS40" s="246"/>
      <c r="AT40" s="1930"/>
      <c r="AU40" s="1930"/>
      <c r="AV40" s="1930"/>
      <c r="AW40" s="1930"/>
      <c r="AX40" s="1930"/>
      <c r="AY40" s="1930"/>
      <c r="AZ40" s="1930"/>
      <c r="BA40" s="1930"/>
      <c r="BB40" s="1930"/>
      <c r="BC40" s="1934"/>
      <c r="BD40" s="676"/>
      <c r="BE40" s="676"/>
      <c r="BF40" s="998" t="s">
        <v>551</v>
      </c>
    </row>
    <row customHeight="1" ht="21.9375" hidden="1">
      <c r="A41" s="676"/>
      <c r="B41" s="1176"/>
      <c r="C41" s="676"/>
      <c r="D41" s="676"/>
      <c r="E41" s="611">
        <v>22.5</v>
      </c>
      <c r="F41" s="50" cm="1" t="str">
        <f t="array" ref="F41:F41">OFFSET(E41,-1,1)</f>
        <v>0</v>
      </c>
      <c r="G41" s="676"/>
      <c r="H41" s="64" t="s">
        <v>552</v>
      </c>
      <c r="I41" s="676"/>
      <c r="J41" s="676"/>
      <c r="K41" s="676"/>
      <c r="L41" s="676"/>
      <c r="M41" s="676"/>
      <c r="N41" s="676"/>
      <c r="O41" s="676"/>
      <c r="P41" s="1316"/>
      <c r="Q41" s="1316"/>
      <c r="R41" s="1316"/>
      <c r="S41" s="1316"/>
      <c r="T41" s="439" cm="1" t="str">
        <f t="array" ref="T41:T41">T40</f>
        <v>false</v>
      </c>
      <c r="U41" s="1316"/>
      <c r="V41" s="676"/>
      <c r="W41" s="1316"/>
      <c r="X41" s="1482"/>
      <c r="Y41" s="1464"/>
      <c r="Z41" s="676"/>
      <c r="AA41" s="676"/>
      <c r="AB41" s="207" t="s">
        <v>553</v>
      </c>
      <c r="AC41" s="159" t="s">
        <v>554</v>
      </c>
      <c r="AD41" s="59" t="s">
        <v>512</v>
      </c>
      <c r="AE41" s="1930"/>
      <c r="AF41" s="1930"/>
      <c r="AG41" s="1930"/>
      <c r="AH41" s="1930"/>
      <c r="AI41" s="246"/>
      <c r="AJ41" s="1930"/>
      <c r="AK41" s="1930"/>
      <c r="AL41" s="1930"/>
      <c r="AM41" s="1930"/>
      <c r="AN41" s="1930"/>
      <c r="AO41" s="1930"/>
      <c r="AP41" s="1930"/>
      <c r="AQ41" s="1930"/>
      <c r="AR41" s="1930"/>
      <c r="AS41" s="246"/>
      <c r="AT41" s="1930"/>
      <c r="AU41" s="1930"/>
      <c r="AV41" s="1930"/>
      <c r="AW41" s="1930"/>
      <c r="AX41" s="1930"/>
      <c r="AY41" s="1930"/>
      <c r="AZ41" s="1930"/>
      <c r="BA41" s="1930"/>
      <c r="BB41" s="1930"/>
      <c r="BC41" s="1934"/>
      <c r="BD41" s="676"/>
      <c r="BE41" s="676"/>
      <c r="BF41" s="998" t="s">
        <v>555</v>
      </c>
    </row>
    <row customHeight="1" ht="14.625" hidden="1">
      <c r="A42" s="676"/>
      <c r="B42" s="1176"/>
      <c r="C42" s="676"/>
      <c r="D42" s="676"/>
      <c r="E42" s="611">
        <v>15</v>
      </c>
      <c r="F42" s="50" cm="1" t="str">
        <f t="array" ref="F42:F42">OFFSET(E42,-1,1)</f>
        <v>0</v>
      </c>
      <c r="G42" s="676"/>
      <c r="H42" s="64" t="s">
        <v>556</v>
      </c>
      <c r="I42" s="676"/>
      <c r="J42" s="676"/>
      <c r="K42" s="676"/>
      <c r="L42" s="676"/>
      <c r="M42" s="676"/>
      <c r="N42" s="676"/>
      <c r="O42" s="676"/>
      <c r="P42" s="1316"/>
      <c r="Q42" s="1316"/>
      <c r="R42" s="1316"/>
      <c r="S42" s="1316"/>
      <c r="T42" s="439" cm="1" t="str">
        <f t="array" ref="T42:T42">T41</f>
        <v>false</v>
      </c>
      <c r="U42" s="1316"/>
      <c r="V42" s="676"/>
      <c r="W42" s="1316"/>
      <c r="X42" s="1482"/>
      <c r="Y42" s="1464"/>
      <c r="Z42" s="676"/>
      <c r="AA42" s="676"/>
      <c r="AB42" s="207" t="s">
        <v>557</v>
      </c>
      <c r="AC42" s="296" t="s">
        <v>558</v>
      </c>
      <c r="AD42" s="59" t="s">
        <v>512</v>
      </c>
      <c r="AE42" s="1930"/>
      <c r="AF42" s="1930"/>
      <c r="AG42" s="1930"/>
      <c r="AH42" s="1930"/>
      <c r="AI42" s="246"/>
      <c r="AJ42" s="1930"/>
      <c r="AK42" s="1930"/>
      <c r="AL42" s="1930"/>
      <c r="AM42" s="1930"/>
      <c r="AN42" s="1930"/>
      <c r="AO42" s="1930"/>
      <c r="AP42" s="1930"/>
      <c r="AQ42" s="1930"/>
      <c r="AR42" s="1930"/>
      <c r="AS42" s="246"/>
      <c r="AT42" s="1930"/>
      <c r="AU42" s="1930"/>
      <c r="AV42" s="1930"/>
      <c r="AW42" s="1930"/>
      <c r="AX42" s="1930"/>
      <c r="AY42" s="1930"/>
      <c r="AZ42" s="1930"/>
      <c r="BA42" s="1930"/>
      <c r="BB42" s="1930"/>
      <c r="BC42" s="1934"/>
      <c r="BD42" s="676"/>
      <c r="BE42" s="676"/>
      <c r="BF42" s="998" t="s">
        <v>559</v>
      </c>
    </row>
    <row customHeight="1" ht="14.625" hidden="1">
      <c r="A43" s="676"/>
      <c r="B43" s="1176"/>
      <c r="C43" s="676"/>
      <c r="D43" s="676"/>
      <c r="E43" s="611">
        <v>15</v>
      </c>
      <c r="F43" s="50" cm="1" t="str">
        <f t="array" ref="F43:F43">OFFSET(E43,-1,1)</f>
        <v>0</v>
      </c>
      <c r="G43" s="676"/>
      <c r="H43" s="64" t="s">
        <v>560</v>
      </c>
      <c r="I43" s="676"/>
      <c r="J43" s="676"/>
      <c r="K43" s="676"/>
      <c r="L43" s="676"/>
      <c r="M43" s="676"/>
      <c r="N43" s="676"/>
      <c r="O43" s="676"/>
      <c r="P43" s="1316"/>
      <c r="Q43" s="1316"/>
      <c r="R43" s="1316"/>
      <c r="S43" s="1316"/>
      <c r="T43" s="439" cm="1" t="str">
        <f t="array" ref="T43:T43">T42</f>
        <v>false</v>
      </c>
      <c r="U43" s="1316"/>
      <c r="V43" s="676"/>
      <c r="W43" s="1316"/>
      <c r="X43" s="1482"/>
      <c r="Y43" s="1464"/>
      <c r="Z43" s="676"/>
      <c r="AA43" s="676"/>
      <c r="AB43" s="207" t="s">
        <v>561</v>
      </c>
      <c r="AC43" s="298" t="s">
        <v>562</v>
      </c>
      <c r="AD43" s="59" t="s">
        <v>437</v>
      </c>
      <c r="AE43" s="1764">
        <f>IF(AE38=0,0,AE42/AE38*100)</f>
        <v>0</v>
      </c>
      <c r="AF43" s="1764">
        <f>IF(AF38=0,0,AF42/AF38*100)</f>
        <v>0</v>
      </c>
      <c r="AG43" s="1764">
        <f>IF(AG38=0,0,AG42/AG38*100)</f>
        <v>0</v>
      </c>
      <c r="AH43" s="1764">
        <f>IF(AH38=0,0,AH42/AH38*100)</f>
        <v>0</v>
      </c>
      <c r="AI43" s="107">
        <f>IF(AI38=0,0,AI42/AI38*100)</f>
        <v>0</v>
      </c>
      <c r="AJ43" s="1764">
        <f>IF(AJ38=0,0,AJ42/AJ38*100)</f>
        <v>0</v>
      </c>
      <c r="AK43" s="1764">
        <f>IF(AK38=0,0,AK42/AK38*100)</f>
        <v>0</v>
      </c>
      <c r="AL43" s="1764">
        <f>IF(AL38=0,0,AL42/AL38*100)</f>
        <v>0</v>
      </c>
      <c r="AM43" s="1764">
        <f>IF(AM38=0,0,AM42/AM38*100)</f>
        <v>0</v>
      </c>
      <c r="AN43" s="1764">
        <f>IF(AN38=0,0,AN42/AN38*100)</f>
        <v>0</v>
      </c>
      <c r="AO43" s="1764">
        <f>IF(AO38=0,0,AO42/AO38*100)</f>
        <v>0</v>
      </c>
      <c r="AP43" s="1764">
        <f>IF(AP38=0,0,AP42/AP38*100)</f>
        <v>0</v>
      </c>
      <c r="AQ43" s="1764">
        <f>IF(AQ38=0,0,AQ42/AQ38*100)</f>
        <v>0</v>
      </c>
      <c r="AR43" s="1764">
        <f>IF(AR38=0,0,AR42/AR38*100)</f>
        <v>0</v>
      </c>
      <c r="AS43" s="107">
        <f>IF(AS38=0,0,AS42/AS38*100)</f>
        <v>0</v>
      </c>
      <c r="AT43" s="1764">
        <f>IF(AT38=0,0,AT42/AT38*100)</f>
        <v>0</v>
      </c>
      <c r="AU43" s="1764">
        <f>IF(AU38=0,0,AU42/AU38*100)</f>
        <v>0</v>
      </c>
      <c r="AV43" s="1764">
        <f>IF(AV38=0,0,AV42/AV38*100)</f>
        <v>0</v>
      </c>
      <c r="AW43" s="1764">
        <f>IF(AW38=0,0,AW42/AW38*100)</f>
        <v>0</v>
      </c>
      <c r="AX43" s="1764">
        <f>IF(AX38=0,0,AX42/AX38*100)</f>
        <v>0</v>
      </c>
      <c r="AY43" s="1764">
        <f>IF(AY38=0,0,AY42/AY38*100)</f>
        <v>0</v>
      </c>
      <c r="AZ43" s="1764">
        <f>IF(AZ38=0,0,AZ42/AZ38*100)</f>
        <v>0</v>
      </c>
      <c r="BA43" s="1764">
        <f>IF(BA38=0,0,BA42/BA38*100)</f>
        <v>0</v>
      </c>
      <c r="BB43" s="1764">
        <f>IF(BB38=0,0,BB42/BB38*100)</f>
        <v>0</v>
      </c>
      <c r="BC43" s="1934"/>
      <c r="BD43" s="676"/>
      <c r="BE43" s="676"/>
      <c r="BF43" s="998" t="s">
        <v>563</v>
      </c>
    </row>
    <row customHeight="1" ht="14.625" hidden="1">
      <c r="A44" s="676"/>
      <c r="B44" s="1176"/>
      <c r="C44" s="676"/>
      <c r="D44" s="676"/>
      <c r="E44" s="611">
        <v>15</v>
      </c>
      <c r="F44" s="50" cm="1" t="str">
        <f t="array" ref="F44:F44">OFFSET(E44,-1,1)</f>
        <v>0</v>
      </c>
      <c r="G44" s="676"/>
      <c r="H44" s="64" t="s">
        <v>564</v>
      </c>
      <c r="I44" s="676"/>
      <c r="J44" s="676"/>
      <c r="K44" s="676"/>
      <c r="L44" s="676"/>
      <c r="M44" s="676"/>
      <c r="N44" s="676"/>
      <c r="O44" s="676"/>
      <c r="P44" s="1316"/>
      <c r="Q44" s="1316"/>
      <c r="R44" s="1316"/>
      <c r="S44" s="1316"/>
      <c r="T44" s="439" cm="1" t="str">
        <f t="array" ref="T44:T44">T43</f>
        <v>false</v>
      </c>
      <c r="U44" s="1316"/>
      <c r="V44" s="676"/>
      <c r="W44" s="1316"/>
      <c r="X44" s="1482"/>
      <c r="Y44" s="1464"/>
      <c r="Z44" s="676"/>
      <c r="AA44" s="676"/>
      <c r="AB44" s="207" t="s">
        <v>565</v>
      </c>
      <c r="AC44" s="296" t="s">
        <v>566</v>
      </c>
      <c r="AD44" s="59" t="s">
        <v>512</v>
      </c>
      <c r="AE44" s="282">
        <f>AE45+AE49+AE52+AE62</f>
        <v>0</v>
      </c>
      <c r="AF44" s="282">
        <f>AF45+AF49+AF52+AF62</f>
        <v>0</v>
      </c>
      <c r="AG44" s="282">
        <f>AG45+AG49+AG52+AG62</f>
        <v>0</v>
      </c>
      <c r="AH44" s="282">
        <f>AH45+AH49+AH52+AH62</f>
        <v>0</v>
      </c>
      <c r="AI44" s="282">
        <f>AI45+AI49+AI52+AI62</f>
        <v>0</v>
      </c>
      <c r="AJ44" s="282">
        <f>AJ45+AJ49+AJ52+AJ62</f>
        <v>0</v>
      </c>
      <c r="AK44" s="282">
        <f>AK45+AK49+AK52+AK62</f>
        <v>0</v>
      </c>
      <c r="AL44" s="282">
        <f>AL45+AL49+AL52+AL62</f>
        <v>0</v>
      </c>
      <c r="AM44" s="282">
        <f>AM45+AM49+AM52+AM62</f>
        <v>0</v>
      </c>
      <c r="AN44" s="282">
        <f>AN45+AN49+AN52+AN62</f>
        <v>0</v>
      </c>
      <c r="AO44" s="282">
        <f>AO45+AO49+AO52+AO62</f>
        <v>0</v>
      </c>
      <c r="AP44" s="282">
        <f>AP45+AP49+AP52+AP62</f>
        <v>0</v>
      </c>
      <c r="AQ44" s="282">
        <f>AQ45+AQ49+AQ52+AQ62</f>
        <v>0</v>
      </c>
      <c r="AR44" s="282">
        <f>AR45+AR49+AR52+AR62</f>
        <v>0</v>
      </c>
      <c r="AS44" s="282">
        <f>AS45+AS49+AS52+AS62</f>
        <v>0</v>
      </c>
      <c r="AT44" s="282">
        <f>AT45+AT49+AT52+AT62</f>
        <v>0</v>
      </c>
      <c r="AU44" s="282">
        <f>AU45+AU49+AU52+AU62</f>
        <v>0</v>
      </c>
      <c r="AV44" s="282">
        <f>AV45+AV49+AV52+AV62</f>
        <v>0</v>
      </c>
      <c r="AW44" s="282">
        <f>AW45+AW49+AW52+AW62</f>
        <v>0</v>
      </c>
      <c r="AX44" s="282">
        <f>AX45+AX49+AX52+AX62</f>
        <v>0</v>
      </c>
      <c r="AY44" s="282">
        <f>AY45+AY49+AY52+AY62</f>
        <v>0</v>
      </c>
      <c r="AZ44" s="282">
        <f>AZ45+AZ49+AZ52+AZ62</f>
        <v>0</v>
      </c>
      <c r="BA44" s="282">
        <f>BA45+BA49+BA52+BA62</f>
        <v>0</v>
      </c>
      <c r="BB44" s="282">
        <f>BB45+BB49+BB52+BB62</f>
        <v>0</v>
      </c>
      <c r="BC44" s="1934"/>
      <c r="BD44" s="676"/>
      <c r="BE44" s="676"/>
      <c r="BF44" s="998" t="s">
        <v>567</v>
      </c>
    </row>
    <row customHeight="1" ht="14.625" hidden="1">
      <c r="A45" s="676"/>
      <c r="B45" s="1176"/>
      <c r="C45" s="676"/>
      <c r="D45" s="676"/>
      <c r="E45" s="611">
        <v>15</v>
      </c>
      <c r="F45" s="50" cm="1" t="str">
        <f t="array" ref="F45:F45">OFFSET(E45,-1,1)</f>
        <v>0</v>
      </c>
      <c r="G45" s="64" t="str">
        <f>IF(OwnNeedsInPO="да","ПО","")</f>
        <v>ПО</v>
      </c>
      <c r="H45" s="64" t="s">
        <v>568</v>
      </c>
      <c r="I45" s="676"/>
      <c r="J45" s="676"/>
      <c r="K45" s="676"/>
      <c r="L45" s="676"/>
      <c r="M45" s="676"/>
      <c r="N45" s="676"/>
      <c r="O45" s="676"/>
      <c r="P45" s="1316"/>
      <c r="Q45" s="1316"/>
      <c r="R45" s="1316"/>
      <c r="S45" s="1316"/>
      <c r="T45" s="439" cm="1" t="str">
        <f t="array" ref="T45:T45">T44</f>
        <v>false</v>
      </c>
      <c r="U45" s="1316"/>
      <c r="V45" s="676"/>
      <c r="W45" s="1316"/>
      <c r="X45" s="1482"/>
      <c r="Y45" s="1464"/>
      <c r="Z45" s="676"/>
      <c r="AA45" s="676"/>
      <c r="AB45" s="207" t="s">
        <v>569</v>
      </c>
      <c r="AC45" s="159" t="s">
        <v>570</v>
      </c>
      <c r="AD45" s="59" t="s">
        <v>512</v>
      </c>
      <c r="AE45" s="282">
        <f>SUM(AE46:AE48)</f>
        <v>0</v>
      </c>
      <c r="AF45" s="282">
        <f>SUM(AF46:AF48)</f>
        <v>0</v>
      </c>
      <c r="AG45" s="282">
        <f>SUM(AG46:AG48)</f>
        <v>0</v>
      </c>
      <c r="AH45" s="282">
        <f>SUM(AH46:AH48)</f>
        <v>0</v>
      </c>
      <c r="AI45" s="282">
        <f>SUM(AI46:AI48)</f>
        <v>0</v>
      </c>
      <c r="AJ45" s="282">
        <f>SUM(AJ46:AJ48)</f>
        <v>0</v>
      </c>
      <c r="AK45" s="282">
        <f>SUM(AK46:AK48)</f>
        <v>0</v>
      </c>
      <c r="AL45" s="282">
        <f>SUM(AL46:AL48)</f>
        <v>0</v>
      </c>
      <c r="AM45" s="282">
        <f>SUM(AM46:AM48)</f>
        <v>0</v>
      </c>
      <c r="AN45" s="282">
        <f>SUM(AN46:AN48)</f>
        <v>0</v>
      </c>
      <c r="AO45" s="282">
        <f>SUM(AO46:AO48)</f>
        <v>0</v>
      </c>
      <c r="AP45" s="282">
        <f>SUM(AP46:AP48)</f>
        <v>0</v>
      </c>
      <c r="AQ45" s="282">
        <f>SUM(AQ46:AQ48)</f>
        <v>0</v>
      </c>
      <c r="AR45" s="282">
        <f>SUM(AR46:AR48)</f>
        <v>0</v>
      </c>
      <c r="AS45" s="282">
        <f>SUM(AS46:AS48)</f>
        <v>0</v>
      </c>
      <c r="AT45" s="282">
        <f>SUM(AT46:AT48)</f>
        <v>0</v>
      </c>
      <c r="AU45" s="282">
        <f>SUM(AU46:AU48)</f>
        <v>0</v>
      </c>
      <c r="AV45" s="282">
        <f>SUM(AV46:AV48)</f>
        <v>0</v>
      </c>
      <c r="AW45" s="282">
        <f>SUM(AW46:AW48)</f>
        <v>0</v>
      </c>
      <c r="AX45" s="282">
        <f>SUM(AX46:AX48)</f>
        <v>0</v>
      </c>
      <c r="AY45" s="282">
        <f>SUM(AY46:AY48)</f>
        <v>0</v>
      </c>
      <c r="AZ45" s="282">
        <f>SUM(AZ46:AZ48)</f>
        <v>0</v>
      </c>
      <c r="BA45" s="282">
        <f>SUM(BA46:BA48)</f>
        <v>0</v>
      </c>
      <c r="BB45" s="282">
        <f>SUM(BB46:BB48)</f>
        <v>0</v>
      </c>
      <c r="BC45" s="1934"/>
      <c r="BD45" s="676"/>
      <c r="BE45" s="676"/>
      <c r="BF45" s="998" t="s">
        <v>571</v>
      </c>
    </row>
    <row customHeight="1" ht="14.625" hidden="1">
      <c r="A46" s="676"/>
      <c r="B46" s="1176"/>
      <c r="C46" s="676"/>
      <c r="D46" s="676"/>
      <c r="E46" s="611">
        <v>15</v>
      </c>
      <c r="F46" s="50" cm="1" t="str">
        <f t="array" ref="F46:F46">OFFSET(E46,-1,1)</f>
        <v>0</v>
      </c>
      <c r="G46" s="676"/>
      <c r="H46" s="64" t="s">
        <v>572</v>
      </c>
      <c r="I46" s="676"/>
      <c r="J46" s="676"/>
      <c r="K46" s="676"/>
      <c r="L46" s="676"/>
      <c r="M46" s="676"/>
      <c r="N46" s="676"/>
      <c r="O46" s="676"/>
      <c r="P46" s="1316"/>
      <c r="Q46" s="1316"/>
      <c r="R46" s="1316"/>
      <c r="S46" s="1316"/>
      <c r="T46" s="439" cm="1" t="str">
        <f t="array" ref="T46:T46">T45</f>
        <v>false</v>
      </c>
      <c r="U46" s="1316"/>
      <c r="V46" s="676"/>
      <c r="W46" s="1316"/>
      <c r="X46" s="1482"/>
      <c r="Y46" s="1464"/>
      <c r="Z46" s="676"/>
      <c r="AA46" s="676"/>
      <c r="AB46" s="207" t="s">
        <v>573</v>
      </c>
      <c r="AC46" s="299" t="s">
        <v>574</v>
      </c>
      <c r="AD46" s="59" t="s">
        <v>512</v>
      </c>
      <c r="AE46" s="1930"/>
      <c r="AF46" s="1930"/>
      <c r="AG46" s="1930"/>
      <c r="AH46" s="1930"/>
      <c r="AI46" s="246"/>
      <c r="AJ46" s="1930"/>
      <c r="AK46" s="1930"/>
      <c r="AL46" s="1930"/>
      <c r="AM46" s="1930"/>
      <c r="AN46" s="1930"/>
      <c r="AO46" s="1930"/>
      <c r="AP46" s="1930"/>
      <c r="AQ46" s="1930"/>
      <c r="AR46" s="1930"/>
      <c r="AS46" s="246"/>
      <c r="AT46" s="1930"/>
      <c r="AU46" s="1930"/>
      <c r="AV46" s="1930"/>
      <c r="AW46" s="1930"/>
      <c r="AX46" s="1930"/>
      <c r="AY46" s="1930"/>
      <c r="AZ46" s="1930"/>
      <c r="BA46" s="1930"/>
      <c r="BB46" s="1930"/>
      <c r="BC46" s="1934"/>
      <c r="BD46" s="676"/>
      <c r="BE46" s="676"/>
      <c r="BF46" s="998" t="s">
        <v>575</v>
      </c>
    </row>
    <row customHeight="1" ht="14.625" hidden="1">
      <c r="A47" s="676"/>
      <c r="B47" s="1176"/>
      <c r="C47" s="676"/>
      <c r="D47" s="676"/>
      <c r="E47" s="611">
        <v>15</v>
      </c>
      <c r="F47" s="50" cm="1" t="str">
        <f t="array" ref="F47:F47">OFFSET(E47,-1,1)</f>
        <v>0</v>
      </c>
      <c r="G47" s="676"/>
      <c r="H47" s="64" t="s">
        <v>576</v>
      </c>
      <c r="I47" s="676"/>
      <c r="J47" s="676"/>
      <c r="K47" s="676"/>
      <c r="L47" s="676"/>
      <c r="M47" s="676"/>
      <c r="N47" s="676"/>
      <c r="O47" s="676"/>
      <c r="P47" s="1316"/>
      <c r="Q47" s="1316"/>
      <c r="R47" s="1316"/>
      <c r="S47" s="1316"/>
      <c r="T47" s="439" cm="1" t="str">
        <f t="array" ref="T47:T47">T46</f>
        <v>false</v>
      </c>
      <c r="U47" s="1316"/>
      <c r="V47" s="676"/>
      <c r="W47" s="1316"/>
      <c r="X47" s="1482"/>
      <c r="Y47" s="1464"/>
      <c r="Z47" s="676"/>
      <c r="AA47" s="676"/>
      <c r="AB47" s="207" t="s">
        <v>577</v>
      </c>
      <c r="AC47" s="299" t="s">
        <v>578</v>
      </c>
      <c r="AD47" s="59" t="s">
        <v>512</v>
      </c>
      <c r="AE47" s="1930"/>
      <c r="AF47" s="1930"/>
      <c r="AG47" s="1930"/>
      <c r="AH47" s="1930"/>
      <c r="AI47" s="246"/>
      <c r="AJ47" s="1930"/>
      <c r="AK47" s="1930"/>
      <c r="AL47" s="1930"/>
      <c r="AM47" s="1930"/>
      <c r="AN47" s="1930"/>
      <c r="AO47" s="1930"/>
      <c r="AP47" s="1930"/>
      <c r="AQ47" s="1930"/>
      <c r="AR47" s="1930"/>
      <c r="AS47" s="246"/>
      <c r="AT47" s="1930"/>
      <c r="AU47" s="1930"/>
      <c r="AV47" s="1930"/>
      <c r="AW47" s="1930"/>
      <c r="AX47" s="1930"/>
      <c r="AY47" s="1930"/>
      <c r="AZ47" s="1930"/>
      <c r="BA47" s="1930"/>
      <c r="BB47" s="1930"/>
      <c r="BC47" s="1934"/>
      <c r="BD47" s="676"/>
      <c r="BE47" s="676"/>
      <c r="BF47" s="998" t="s">
        <v>579</v>
      </c>
    </row>
    <row customHeight="1" ht="14.625" hidden="1">
      <c r="A48" s="676"/>
      <c r="B48" s="1176"/>
      <c r="C48" s="676"/>
      <c r="D48" s="676"/>
      <c r="E48" s="611">
        <v>15</v>
      </c>
      <c r="F48" s="50" cm="1" t="str">
        <f t="array" ref="F48:F48">OFFSET(E48,-1,1)</f>
        <v>0</v>
      </c>
      <c r="G48" s="676"/>
      <c r="H48" s="64" t="s">
        <v>580</v>
      </c>
      <c r="I48" s="676"/>
      <c r="J48" s="676"/>
      <c r="K48" s="676"/>
      <c r="L48" s="676"/>
      <c r="M48" s="676"/>
      <c r="N48" s="676"/>
      <c r="O48" s="676"/>
      <c r="P48" s="1316"/>
      <c r="Q48" s="1316"/>
      <c r="R48" s="1316"/>
      <c r="S48" s="1316"/>
      <c r="T48" s="439" cm="1" t="str">
        <f t="array" ref="T48:T48">T47</f>
        <v>false</v>
      </c>
      <c r="U48" s="1316"/>
      <c r="V48" s="676"/>
      <c r="W48" s="1316"/>
      <c r="X48" s="1482"/>
      <c r="Y48" s="1464"/>
      <c r="Z48" s="676"/>
      <c r="AA48" s="676"/>
      <c r="AB48" s="207" t="s">
        <v>581</v>
      </c>
      <c r="AC48" s="299" t="s">
        <v>582</v>
      </c>
      <c r="AD48" s="59" t="s">
        <v>512</v>
      </c>
      <c r="AE48" s="1930"/>
      <c r="AF48" s="1930"/>
      <c r="AG48" s="1930"/>
      <c r="AH48" s="1930"/>
      <c r="AI48" s="246"/>
      <c r="AJ48" s="1930"/>
      <c r="AK48" s="1930"/>
      <c r="AL48" s="1930"/>
      <c r="AM48" s="1930"/>
      <c r="AN48" s="1930"/>
      <c r="AO48" s="1930"/>
      <c r="AP48" s="1930"/>
      <c r="AQ48" s="1930"/>
      <c r="AR48" s="1930"/>
      <c r="AS48" s="246"/>
      <c r="AT48" s="1930"/>
      <c r="AU48" s="1930"/>
      <c r="AV48" s="1930"/>
      <c r="AW48" s="1930"/>
      <c r="AX48" s="1930"/>
      <c r="AY48" s="1930"/>
      <c r="AZ48" s="1930"/>
      <c r="BA48" s="1930"/>
      <c r="BB48" s="1930"/>
      <c r="BC48" s="1934"/>
      <c r="BD48" s="676"/>
      <c r="BE48" s="676"/>
      <c r="BF48" s="998" t="s">
        <v>583</v>
      </c>
    </row>
    <row customHeight="1" ht="14.625" hidden="1">
      <c r="A49" s="676"/>
      <c r="B49" s="1176"/>
      <c r="C49" s="676"/>
      <c r="D49" s="676"/>
      <c r="E49" s="611">
        <v>15</v>
      </c>
      <c r="F49" s="50" cm="1" t="str">
        <f t="array" ref="F49:F49">OFFSET(E49,-1,1)</f>
        <v>0</v>
      </c>
      <c r="G49" s="64" t="s">
        <v>584</v>
      </c>
      <c r="H49" s="64" t="s">
        <v>585</v>
      </c>
      <c r="I49" s="676"/>
      <c r="J49" s="676"/>
      <c r="K49" s="676"/>
      <c r="L49" s="676"/>
      <c r="M49" s="676"/>
      <c r="N49" s="676"/>
      <c r="O49" s="676"/>
      <c r="P49" s="1316"/>
      <c r="Q49" s="1316"/>
      <c r="R49" s="1316"/>
      <c r="S49" s="1316"/>
      <c r="T49" s="439" cm="1" t="str">
        <f t="array" ref="T49:T49">T48</f>
        <v>false</v>
      </c>
      <c r="U49" s="1316"/>
      <c r="V49" s="676"/>
      <c r="W49" s="1316"/>
      <c r="X49" s="1482"/>
      <c r="Y49" s="1464"/>
      <c r="Z49" s="676"/>
      <c r="AA49" s="676"/>
      <c r="AB49" s="207" t="s">
        <v>586</v>
      </c>
      <c r="AC49" s="159" t="s">
        <v>587</v>
      </c>
      <c r="AD49" s="59" t="s">
        <v>512</v>
      </c>
      <c r="AE49" s="282">
        <f>SUM(AE50:AE51)</f>
        <v>0</v>
      </c>
      <c r="AF49" s="282">
        <f>SUM(AF50:AF51)</f>
        <v>0</v>
      </c>
      <c r="AG49" s="282">
        <f>SUM(AG50:AG51)</f>
        <v>0</v>
      </c>
      <c r="AH49" s="282">
        <f>SUM(AH50:AH51)</f>
        <v>0</v>
      </c>
      <c r="AI49" s="282">
        <f>SUM(AI50:AI51)</f>
        <v>0</v>
      </c>
      <c r="AJ49" s="282">
        <f>SUM(AJ50:AJ51)</f>
        <v>0</v>
      </c>
      <c r="AK49" s="282">
        <f>SUM(AK50:AK51)</f>
        <v>0</v>
      </c>
      <c r="AL49" s="282">
        <f>SUM(AL50:AL51)</f>
        <v>0</v>
      </c>
      <c r="AM49" s="282">
        <f>SUM(AM50:AM51)</f>
        <v>0</v>
      </c>
      <c r="AN49" s="282">
        <f>SUM(AN50:AN51)</f>
        <v>0</v>
      </c>
      <c r="AO49" s="282">
        <f>SUM(AO50:AO51)</f>
        <v>0</v>
      </c>
      <c r="AP49" s="282">
        <f>SUM(AP50:AP51)</f>
        <v>0</v>
      </c>
      <c r="AQ49" s="282">
        <f>SUM(AQ50:AQ51)</f>
        <v>0</v>
      </c>
      <c r="AR49" s="282">
        <f>SUM(AR50:AR51)</f>
        <v>0</v>
      </c>
      <c r="AS49" s="282">
        <f>SUM(AS50:AS51)</f>
        <v>0</v>
      </c>
      <c r="AT49" s="282">
        <f>SUM(AT50:AT51)</f>
        <v>0</v>
      </c>
      <c r="AU49" s="282">
        <f>SUM(AU50:AU51)</f>
        <v>0</v>
      </c>
      <c r="AV49" s="282">
        <f>SUM(AV50:AV51)</f>
        <v>0</v>
      </c>
      <c r="AW49" s="282">
        <f>SUM(AW50:AW51)</f>
        <v>0</v>
      </c>
      <c r="AX49" s="282">
        <f>SUM(AX50:AX51)</f>
        <v>0</v>
      </c>
      <c r="AY49" s="282">
        <f>SUM(AY50:AY51)</f>
        <v>0</v>
      </c>
      <c r="AZ49" s="282">
        <f>SUM(AZ50:AZ51)</f>
        <v>0</v>
      </c>
      <c r="BA49" s="282">
        <f>SUM(BA50:BA51)</f>
        <v>0</v>
      </c>
      <c r="BB49" s="282">
        <f>SUM(BB50:BB51)</f>
        <v>0</v>
      </c>
      <c r="BC49" s="1934"/>
      <c r="BD49" s="676"/>
      <c r="BE49" s="676"/>
      <c r="BF49" s="998" t="s">
        <v>588</v>
      </c>
    </row>
    <row customHeight="1" ht="14.625" hidden="1">
      <c r="A50" s="676"/>
      <c r="B50" s="1176"/>
      <c r="C50" s="676"/>
      <c r="D50" s="676"/>
      <c r="E50" s="611">
        <v>15</v>
      </c>
      <c r="F50" s="50" cm="1" t="str">
        <f t="array" ref="F50:F50">OFFSET(E50,-1,1)</f>
        <v>0</v>
      </c>
      <c r="G50" s="676"/>
      <c r="H50" s="64" t="s">
        <v>589</v>
      </c>
      <c r="I50" s="676"/>
      <c r="J50" s="676"/>
      <c r="K50" s="676"/>
      <c r="L50" s="676"/>
      <c r="M50" s="676"/>
      <c r="N50" s="676"/>
      <c r="O50" s="676"/>
      <c r="P50" s="1316"/>
      <c r="Q50" s="1316"/>
      <c r="R50" s="1316"/>
      <c r="S50" s="1316"/>
      <c r="T50" s="439" cm="1" t="str">
        <f t="array" ref="T50:T50">T49</f>
        <v>false</v>
      </c>
      <c r="U50" s="1316"/>
      <c r="V50" s="676"/>
      <c r="W50" s="1316"/>
      <c r="X50" s="1482"/>
      <c r="Y50" s="1464"/>
      <c r="Z50" s="676"/>
      <c r="AA50" s="676"/>
      <c r="AB50" s="207" t="s">
        <v>590</v>
      </c>
      <c r="AC50" s="299" t="s">
        <v>591</v>
      </c>
      <c r="AD50" s="59" t="s">
        <v>512</v>
      </c>
      <c r="AE50" s="1930"/>
      <c r="AF50" s="1930"/>
      <c r="AG50" s="1930"/>
      <c r="AH50" s="1930"/>
      <c r="AI50" s="246"/>
      <c r="AJ50" s="1930"/>
      <c r="AK50" s="1930"/>
      <c r="AL50" s="1930"/>
      <c r="AM50" s="1930"/>
      <c r="AN50" s="1930"/>
      <c r="AO50" s="1930"/>
      <c r="AP50" s="1930"/>
      <c r="AQ50" s="1930"/>
      <c r="AR50" s="1930"/>
      <c r="AS50" s="246"/>
      <c r="AT50" s="1930"/>
      <c r="AU50" s="1930"/>
      <c r="AV50" s="1930"/>
      <c r="AW50" s="1930"/>
      <c r="AX50" s="1930"/>
      <c r="AY50" s="1930"/>
      <c r="AZ50" s="1930"/>
      <c r="BA50" s="1930"/>
      <c r="BB50" s="1930"/>
      <c r="BC50" s="1934"/>
      <c r="BD50" s="676"/>
      <c r="BE50" s="676"/>
      <c r="BF50" s="998" t="s">
        <v>592</v>
      </c>
    </row>
    <row customHeight="1" ht="14.625" hidden="1">
      <c r="A51" s="676"/>
      <c r="B51" s="1176"/>
      <c r="C51" s="676"/>
      <c r="D51" s="676"/>
      <c r="E51" s="611">
        <v>15</v>
      </c>
      <c r="F51" s="50" cm="1" t="str">
        <f t="array" ref="F51:F51">OFFSET(E51,-1,1)</f>
        <v>0</v>
      </c>
      <c r="G51" s="676"/>
      <c r="H51" s="64" t="s">
        <v>593</v>
      </c>
      <c r="I51" s="676"/>
      <c r="J51" s="676"/>
      <c r="K51" s="676"/>
      <c r="L51" s="676"/>
      <c r="M51" s="676"/>
      <c r="N51" s="676"/>
      <c r="O51" s="676"/>
      <c r="P51" s="1316"/>
      <c r="Q51" s="1316"/>
      <c r="R51" s="1316"/>
      <c r="S51" s="1316"/>
      <c r="T51" s="439" cm="1" t="str">
        <f t="array" ref="T51:T51">T50</f>
        <v>false</v>
      </c>
      <c r="U51" s="1316"/>
      <c r="V51" s="676"/>
      <c r="W51" s="1316"/>
      <c r="X51" s="1482"/>
      <c r="Y51" s="1464"/>
      <c r="Z51" s="676"/>
      <c r="AA51" s="676"/>
      <c r="AB51" s="207" t="s">
        <v>594</v>
      </c>
      <c r="AC51" s="299" t="s">
        <v>595</v>
      </c>
      <c r="AD51" s="59" t="s">
        <v>512</v>
      </c>
      <c r="AE51" s="1930"/>
      <c r="AF51" s="1930"/>
      <c r="AG51" s="1930"/>
      <c r="AH51" s="1930"/>
      <c r="AI51" s="246"/>
      <c r="AJ51" s="1930"/>
      <c r="AK51" s="1930"/>
      <c r="AL51" s="1930"/>
      <c r="AM51" s="1930"/>
      <c r="AN51" s="1930"/>
      <c r="AO51" s="1930"/>
      <c r="AP51" s="1930"/>
      <c r="AQ51" s="1930"/>
      <c r="AR51" s="1930"/>
      <c r="AS51" s="246"/>
      <c r="AT51" s="1930"/>
      <c r="AU51" s="1930"/>
      <c r="AV51" s="1930"/>
      <c r="AW51" s="1930"/>
      <c r="AX51" s="1930"/>
      <c r="AY51" s="1930"/>
      <c r="AZ51" s="1930"/>
      <c r="BA51" s="1930"/>
      <c r="BB51" s="1930"/>
      <c r="BC51" s="1934"/>
      <c r="BD51" s="676"/>
      <c r="BE51" s="676"/>
      <c r="BF51" s="998" t="s">
        <v>596</v>
      </c>
    </row>
    <row customHeight="1" ht="14.625" hidden="1">
      <c r="A52" s="676"/>
      <c r="B52" s="1176"/>
      <c r="C52" s="676"/>
      <c r="D52" s="676"/>
      <c r="E52" s="611">
        <v>15</v>
      </c>
      <c r="F52" s="50" cm="1" t="str">
        <f t="array" ref="F52:F52">OFFSET(E52,-1,1)</f>
        <v>0</v>
      </c>
      <c r="G52" s="64" t="s">
        <v>584</v>
      </c>
      <c r="H52" s="64" t="s">
        <v>597</v>
      </c>
      <c r="I52" s="676"/>
      <c r="J52" s="676"/>
      <c r="K52" s="676"/>
      <c r="L52" s="676"/>
      <c r="M52" s="676"/>
      <c r="N52" s="676"/>
      <c r="O52" s="676"/>
      <c r="P52" s="1316"/>
      <c r="Q52" s="1316"/>
      <c r="R52" s="1316"/>
      <c r="S52" s="1316"/>
      <c r="T52" s="439" cm="1" t="str">
        <f t="array" ref="T52:T52">T51</f>
        <v>false</v>
      </c>
      <c r="U52" s="1316"/>
      <c r="V52" s="676"/>
      <c r="W52" s="1316"/>
      <c r="X52" s="1482"/>
      <c r="Y52" s="1464"/>
      <c r="Z52" s="676"/>
      <c r="AA52" s="676"/>
      <c r="AB52" s="207" t="s">
        <v>598</v>
      </c>
      <c r="AC52" s="159" t="s">
        <v>599</v>
      </c>
      <c r="AD52" s="59" t="s">
        <v>512</v>
      </c>
      <c r="AE52" s="282">
        <f>AE53+AE56+AE59</f>
        <v>0</v>
      </c>
      <c r="AF52" s="282">
        <f>AF53+AF56+AF59</f>
        <v>0</v>
      </c>
      <c r="AG52" s="282">
        <f>AG53+AG56+AG59</f>
        <v>0</v>
      </c>
      <c r="AH52" s="282">
        <f>AH53+AH56+AH59</f>
        <v>0</v>
      </c>
      <c r="AI52" s="282">
        <f>AI53+AI56+AI59</f>
        <v>0</v>
      </c>
      <c r="AJ52" s="282">
        <f>AJ53+AJ56+AJ59</f>
        <v>0</v>
      </c>
      <c r="AK52" s="282">
        <f>AK53+AK56+AK59</f>
        <v>0</v>
      </c>
      <c r="AL52" s="282">
        <f>AL53+AL56+AL59</f>
        <v>0</v>
      </c>
      <c r="AM52" s="282">
        <f>AM53+AM56+AM59</f>
        <v>0</v>
      </c>
      <c r="AN52" s="282">
        <f>AN53+AN56+AN59</f>
        <v>0</v>
      </c>
      <c r="AO52" s="282">
        <f>AO53+AO56+AO59</f>
        <v>0</v>
      </c>
      <c r="AP52" s="282">
        <f>AP53+AP56+AP59</f>
        <v>0</v>
      </c>
      <c r="AQ52" s="282">
        <f>AQ53+AQ56+AQ59</f>
        <v>0</v>
      </c>
      <c r="AR52" s="282">
        <f>AR53+AR56+AR59</f>
        <v>0</v>
      </c>
      <c r="AS52" s="282">
        <f>AS53+AS56+AS59</f>
        <v>0</v>
      </c>
      <c r="AT52" s="282">
        <f>AT53+AT56+AT59</f>
        <v>0</v>
      </c>
      <c r="AU52" s="282">
        <f>AU53+AU56+AU59</f>
        <v>0</v>
      </c>
      <c r="AV52" s="282">
        <f>AV53+AV56+AV59</f>
        <v>0</v>
      </c>
      <c r="AW52" s="282">
        <f>AW53+AW56+AW59</f>
        <v>0</v>
      </c>
      <c r="AX52" s="282">
        <f>AX53+AX56+AX59</f>
        <v>0</v>
      </c>
      <c r="AY52" s="282">
        <f>AY53+AY56+AY59</f>
        <v>0</v>
      </c>
      <c r="AZ52" s="282">
        <f>AZ53+AZ56+AZ59</f>
        <v>0</v>
      </c>
      <c r="BA52" s="282">
        <f>BA53+BA56+BA59</f>
        <v>0</v>
      </c>
      <c r="BB52" s="282">
        <f>BB53+BB56+BB59</f>
        <v>0</v>
      </c>
      <c r="BC52" s="1934"/>
      <c r="BD52" s="676"/>
      <c r="BE52" s="676"/>
      <c r="BF52" s="998" t="s">
        <v>600</v>
      </c>
    </row>
    <row customHeight="1" ht="14.625" hidden="1">
      <c r="A53" s="676"/>
      <c r="B53" s="1176"/>
      <c r="C53" s="676"/>
      <c r="D53" s="676"/>
      <c r="E53" s="611">
        <v>15</v>
      </c>
      <c r="F53" s="50" cm="1" t="str">
        <f t="array" ref="F53:F53">OFFSET(E53,-1,1)</f>
        <v>0</v>
      </c>
      <c r="G53" s="676"/>
      <c r="H53" s="64" t="s">
        <v>601</v>
      </c>
      <c r="I53" s="676"/>
      <c r="J53" s="676"/>
      <c r="K53" s="676"/>
      <c r="L53" s="676"/>
      <c r="M53" s="676"/>
      <c r="N53" s="676"/>
      <c r="O53" s="676"/>
      <c r="P53" s="1316"/>
      <c r="Q53" s="1316"/>
      <c r="R53" s="1316"/>
      <c r="S53" s="1316"/>
      <c r="T53" s="439" cm="1" t="str">
        <f t="array" ref="T53:T53">T52</f>
        <v>false</v>
      </c>
      <c r="U53" s="1316"/>
      <c r="V53" s="676"/>
      <c r="W53" s="1316"/>
      <c r="X53" s="1482"/>
      <c r="Y53" s="1464"/>
      <c r="Z53" s="676"/>
      <c r="AA53" s="676"/>
      <c r="AB53" s="207" t="s">
        <v>602</v>
      </c>
      <c r="AC53" s="299" t="s">
        <v>603</v>
      </c>
      <c r="AD53" s="59" t="s">
        <v>512</v>
      </c>
      <c r="AE53" s="282">
        <f>SUM(AE54:AE55)</f>
        <v>0</v>
      </c>
      <c r="AF53" s="282">
        <f>SUM(AF54:AF55)</f>
        <v>0</v>
      </c>
      <c r="AG53" s="282">
        <f>SUM(AG54:AG55)</f>
        <v>0</v>
      </c>
      <c r="AH53" s="282">
        <f>SUM(AH54:AH55)</f>
        <v>0</v>
      </c>
      <c r="AI53" s="282">
        <f>SUM(AI54:AI55)</f>
        <v>0</v>
      </c>
      <c r="AJ53" s="282">
        <f>SUM(AJ54:AJ55)</f>
        <v>0</v>
      </c>
      <c r="AK53" s="282">
        <f>SUM(AK54:AK55)</f>
        <v>0</v>
      </c>
      <c r="AL53" s="282">
        <f>SUM(AL54:AL55)</f>
        <v>0</v>
      </c>
      <c r="AM53" s="282">
        <f>SUM(AM54:AM55)</f>
        <v>0</v>
      </c>
      <c r="AN53" s="282">
        <f>SUM(AN54:AN55)</f>
        <v>0</v>
      </c>
      <c r="AO53" s="282">
        <f>SUM(AO54:AO55)</f>
        <v>0</v>
      </c>
      <c r="AP53" s="282">
        <f>SUM(AP54:AP55)</f>
        <v>0</v>
      </c>
      <c r="AQ53" s="282">
        <f>SUM(AQ54:AQ55)</f>
        <v>0</v>
      </c>
      <c r="AR53" s="282">
        <f>SUM(AR54:AR55)</f>
        <v>0</v>
      </c>
      <c r="AS53" s="282">
        <f>SUM(AS54:AS55)</f>
        <v>0</v>
      </c>
      <c r="AT53" s="282">
        <f>SUM(AT54:AT55)</f>
        <v>0</v>
      </c>
      <c r="AU53" s="282">
        <f>SUM(AU54:AU55)</f>
        <v>0</v>
      </c>
      <c r="AV53" s="282">
        <f>SUM(AV54:AV55)</f>
        <v>0</v>
      </c>
      <c r="AW53" s="282">
        <f>SUM(AW54:AW55)</f>
        <v>0</v>
      </c>
      <c r="AX53" s="282">
        <f>SUM(AX54:AX55)</f>
        <v>0</v>
      </c>
      <c r="AY53" s="282">
        <f>SUM(AY54:AY55)</f>
        <v>0</v>
      </c>
      <c r="AZ53" s="282">
        <f>SUM(AZ54:AZ55)</f>
        <v>0</v>
      </c>
      <c r="BA53" s="282">
        <f>SUM(BA54:BA55)</f>
        <v>0</v>
      </c>
      <c r="BB53" s="282">
        <f>SUM(BB54:BB55)</f>
        <v>0</v>
      </c>
      <c r="BC53" s="1934"/>
      <c r="BD53" s="676"/>
      <c r="BE53" s="676"/>
      <c r="BF53" s="998" t="s">
        <v>604</v>
      </c>
    </row>
    <row customHeight="1" ht="14.625" hidden="1">
      <c r="A54" s="676"/>
      <c r="B54" s="1176"/>
      <c r="C54" s="676"/>
      <c r="D54" s="676"/>
      <c r="E54" s="611">
        <v>15</v>
      </c>
      <c r="F54" s="50" cm="1" t="str">
        <f t="array" ref="F54:F54">OFFSET(E54,-1,1)</f>
        <v>0</v>
      </c>
      <c r="G54" s="676"/>
      <c r="H54" s="64" t="s">
        <v>605</v>
      </c>
      <c r="I54" s="676"/>
      <c r="J54" s="676"/>
      <c r="K54" s="676"/>
      <c r="L54" s="676"/>
      <c r="M54" s="676"/>
      <c r="N54" s="676"/>
      <c r="O54" s="676"/>
      <c r="P54" s="1316"/>
      <c r="Q54" s="1316"/>
      <c r="R54" s="1316"/>
      <c r="S54" s="1316"/>
      <c r="T54" s="439" cm="1" t="str">
        <f t="array" ref="T54:T54">T53</f>
        <v>false</v>
      </c>
      <c r="U54" s="1316"/>
      <c r="V54" s="676"/>
      <c r="W54" s="1316"/>
      <c r="X54" s="1482"/>
      <c r="Y54" s="1464"/>
      <c r="Z54" s="676"/>
      <c r="AA54" s="676"/>
      <c r="AB54" s="207" t="s">
        <v>606</v>
      </c>
      <c r="AC54" s="300" t="s">
        <v>591</v>
      </c>
      <c r="AD54" s="59" t="s">
        <v>512</v>
      </c>
      <c r="AE54" s="1930"/>
      <c r="AF54" s="1930"/>
      <c r="AG54" s="1930"/>
      <c r="AH54" s="1930"/>
      <c r="AI54" s="246"/>
      <c r="AJ54" s="1930"/>
      <c r="AK54" s="1930"/>
      <c r="AL54" s="1930"/>
      <c r="AM54" s="1930"/>
      <c r="AN54" s="1930"/>
      <c r="AO54" s="1930"/>
      <c r="AP54" s="1930"/>
      <c r="AQ54" s="1930"/>
      <c r="AR54" s="1930"/>
      <c r="AS54" s="246"/>
      <c r="AT54" s="1930"/>
      <c r="AU54" s="1930"/>
      <c r="AV54" s="1930"/>
      <c r="AW54" s="1930"/>
      <c r="AX54" s="1930"/>
      <c r="AY54" s="1930"/>
      <c r="AZ54" s="1930"/>
      <c r="BA54" s="1930"/>
      <c r="BB54" s="1930"/>
      <c r="BC54" s="1934"/>
      <c r="BD54" s="676"/>
      <c r="BE54" s="676"/>
      <c r="BF54" s="998" t="s">
        <v>607</v>
      </c>
    </row>
    <row customHeight="1" ht="14.625" hidden="1">
      <c r="A55" s="676"/>
      <c r="B55" s="1176"/>
      <c r="C55" s="676"/>
      <c r="D55" s="676"/>
      <c r="E55" s="611">
        <v>15</v>
      </c>
      <c r="F55" s="50" cm="1" t="str">
        <f t="array" ref="F55:F55">OFFSET(E55,-1,1)</f>
        <v>0</v>
      </c>
      <c r="G55" s="676"/>
      <c r="H55" s="64" t="s">
        <v>608</v>
      </c>
      <c r="I55" s="676"/>
      <c r="J55" s="676"/>
      <c r="K55" s="676"/>
      <c r="L55" s="676"/>
      <c r="M55" s="676"/>
      <c r="N55" s="676"/>
      <c r="O55" s="676"/>
      <c r="P55" s="1316"/>
      <c r="Q55" s="1316"/>
      <c r="R55" s="1316"/>
      <c r="S55" s="1316"/>
      <c r="T55" s="439" cm="1" t="str">
        <f t="array" ref="T55:T55">T54</f>
        <v>false</v>
      </c>
      <c r="U55" s="1316"/>
      <c r="V55" s="676"/>
      <c r="W55" s="1316"/>
      <c r="X55" s="1482"/>
      <c r="Y55" s="1464"/>
      <c r="Z55" s="676"/>
      <c r="AA55" s="676"/>
      <c r="AB55" s="207" t="s">
        <v>609</v>
      </c>
      <c r="AC55" s="300" t="s">
        <v>595</v>
      </c>
      <c r="AD55" s="59" t="s">
        <v>512</v>
      </c>
      <c r="AE55" s="1930"/>
      <c r="AF55" s="1930"/>
      <c r="AG55" s="1930"/>
      <c r="AH55" s="1930"/>
      <c r="AI55" s="246"/>
      <c r="AJ55" s="1930"/>
      <c r="AK55" s="1930"/>
      <c r="AL55" s="1930"/>
      <c r="AM55" s="1930"/>
      <c r="AN55" s="1930"/>
      <c r="AO55" s="1930"/>
      <c r="AP55" s="1930"/>
      <c r="AQ55" s="1930"/>
      <c r="AR55" s="1930"/>
      <c r="AS55" s="246"/>
      <c r="AT55" s="1930"/>
      <c r="AU55" s="1930"/>
      <c r="AV55" s="1930"/>
      <c r="AW55" s="1930"/>
      <c r="AX55" s="1930"/>
      <c r="AY55" s="1930"/>
      <c r="AZ55" s="1930"/>
      <c r="BA55" s="1930"/>
      <c r="BB55" s="1930"/>
      <c r="BC55" s="1934"/>
      <c r="BD55" s="676"/>
      <c r="BE55" s="676"/>
      <c r="BF55" s="998" t="s">
        <v>610</v>
      </c>
    </row>
    <row customHeight="1" ht="14.625" hidden="1">
      <c r="A56" s="676"/>
      <c r="B56" s="1176"/>
      <c r="C56" s="676"/>
      <c r="D56" s="676"/>
      <c r="E56" s="611">
        <v>15</v>
      </c>
      <c r="F56" s="50" cm="1" t="str">
        <f t="array" ref="F56:F56">OFFSET(E56,-1,1)</f>
        <v>0</v>
      </c>
      <c r="G56" s="64" t="s">
        <v>611</v>
      </c>
      <c r="H56" s="64" t="s">
        <v>612</v>
      </c>
      <c r="I56" s="676"/>
      <c r="J56" s="676"/>
      <c r="K56" s="676"/>
      <c r="L56" s="676"/>
      <c r="M56" s="676"/>
      <c r="N56" s="676"/>
      <c r="O56" s="676"/>
      <c r="P56" s="1316"/>
      <c r="Q56" s="1316"/>
      <c r="R56" s="1316"/>
      <c r="S56" s="1316"/>
      <c r="T56" s="439" cm="1" t="str">
        <f t="array" ref="T56:T56">T55</f>
        <v>false</v>
      </c>
      <c r="U56" s="1316"/>
      <c r="V56" s="676"/>
      <c r="W56" s="1316"/>
      <c r="X56" s="1482"/>
      <c r="Y56" s="1464"/>
      <c r="Z56" s="676"/>
      <c r="AA56" s="676"/>
      <c r="AB56" s="207" t="s">
        <v>613</v>
      </c>
      <c r="AC56" s="299" t="s">
        <v>614</v>
      </c>
      <c r="AD56" s="59" t="s">
        <v>512</v>
      </c>
      <c r="AE56" s="282">
        <f>SUM(AE57:AE58)</f>
        <v>0</v>
      </c>
      <c r="AF56" s="282">
        <f>SUM(AF57:AF58)</f>
        <v>0</v>
      </c>
      <c r="AG56" s="282">
        <f>SUM(AG57:AG58)</f>
        <v>0</v>
      </c>
      <c r="AH56" s="282">
        <f>SUM(AH57:AH58)</f>
        <v>0</v>
      </c>
      <c r="AI56" s="282">
        <f>SUM(AI57:AI58)</f>
        <v>0</v>
      </c>
      <c r="AJ56" s="282">
        <f>SUM(AJ57:AJ58)</f>
        <v>0</v>
      </c>
      <c r="AK56" s="282">
        <f>SUM(AK57:AK58)</f>
        <v>0</v>
      </c>
      <c r="AL56" s="282">
        <f>SUM(AL57:AL58)</f>
        <v>0</v>
      </c>
      <c r="AM56" s="282">
        <f>SUM(AM57:AM58)</f>
        <v>0</v>
      </c>
      <c r="AN56" s="282">
        <f>SUM(AN57:AN58)</f>
        <v>0</v>
      </c>
      <c r="AO56" s="282">
        <f>SUM(AO57:AO58)</f>
        <v>0</v>
      </c>
      <c r="AP56" s="282">
        <f>SUM(AP57:AP58)</f>
        <v>0</v>
      </c>
      <c r="AQ56" s="282">
        <f>SUM(AQ57:AQ58)</f>
        <v>0</v>
      </c>
      <c r="AR56" s="282">
        <f>SUM(AR57:AR58)</f>
        <v>0</v>
      </c>
      <c r="AS56" s="282">
        <f>SUM(AS57:AS58)</f>
        <v>0</v>
      </c>
      <c r="AT56" s="282">
        <f>SUM(AT57:AT58)</f>
        <v>0</v>
      </c>
      <c r="AU56" s="282">
        <f>SUM(AU57:AU58)</f>
        <v>0</v>
      </c>
      <c r="AV56" s="282">
        <f>SUM(AV57:AV58)</f>
        <v>0</v>
      </c>
      <c r="AW56" s="282">
        <f>SUM(AW57:AW58)</f>
        <v>0</v>
      </c>
      <c r="AX56" s="282">
        <f>SUM(AX57:AX58)</f>
        <v>0</v>
      </c>
      <c r="AY56" s="282">
        <f>SUM(AY57:AY58)</f>
        <v>0</v>
      </c>
      <c r="AZ56" s="282">
        <f>SUM(AZ57:AZ58)</f>
        <v>0</v>
      </c>
      <c r="BA56" s="282">
        <f>SUM(BA57:BA58)</f>
        <v>0</v>
      </c>
      <c r="BB56" s="282">
        <f>SUM(BB57:BB58)</f>
        <v>0</v>
      </c>
      <c r="BC56" s="1934"/>
      <c r="BD56" s="676"/>
      <c r="BE56" s="676"/>
      <c r="BF56" s="998" t="s">
        <v>615</v>
      </c>
    </row>
    <row customHeight="1" ht="14.625" hidden="1">
      <c r="A57" s="676"/>
      <c r="B57" s="1176"/>
      <c r="C57" s="676"/>
      <c r="D57" s="676"/>
      <c r="E57" s="611">
        <v>15</v>
      </c>
      <c r="F57" s="50" cm="1" t="str">
        <f t="array" ref="F57:F57">OFFSET(E57,-1,1)</f>
        <v>0</v>
      </c>
      <c r="G57" s="676"/>
      <c r="H57" s="64" t="s">
        <v>616</v>
      </c>
      <c r="I57" s="676"/>
      <c r="J57" s="676"/>
      <c r="K57" s="676"/>
      <c r="L57" s="676"/>
      <c r="M57" s="676"/>
      <c r="N57" s="676"/>
      <c r="O57" s="676"/>
      <c r="P57" s="1316"/>
      <c r="Q57" s="1316"/>
      <c r="R57" s="1316"/>
      <c r="S57" s="1316"/>
      <c r="T57" s="439" cm="1" t="str">
        <f t="array" ref="T57:T57">T56</f>
        <v>false</v>
      </c>
      <c r="U57" s="1316"/>
      <c r="V57" s="676"/>
      <c r="W57" s="1316"/>
      <c r="X57" s="1482"/>
      <c r="Y57" s="1464"/>
      <c r="Z57" s="676"/>
      <c r="AA57" s="676"/>
      <c r="AB57" s="207" t="s">
        <v>617</v>
      </c>
      <c r="AC57" s="300" t="s">
        <v>591</v>
      </c>
      <c r="AD57" s="59" t="s">
        <v>512</v>
      </c>
      <c r="AE57" s="1930"/>
      <c r="AF57" s="1930"/>
      <c r="AG57" s="1930"/>
      <c r="AH57" s="1930"/>
      <c r="AI57" s="246"/>
      <c r="AJ57" s="1930"/>
      <c r="AK57" s="1930"/>
      <c r="AL57" s="1930"/>
      <c r="AM57" s="1930"/>
      <c r="AN57" s="1930"/>
      <c r="AO57" s="1930"/>
      <c r="AP57" s="1930"/>
      <c r="AQ57" s="1930"/>
      <c r="AR57" s="1930"/>
      <c r="AS57" s="246"/>
      <c r="AT57" s="1930"/>
      <c r="AU57" s="1930"/>
      <c r="AV57" s="1930"/>
      <c r="AW57" s="1930"/>
      <c r="AX57" s="1930"/>
      <c r="AY57" s="1930"/>
      <c r="AZ57" s="1930"/>
      <c r="BA57" s="1930"/>
      <c r="BB57" s="1930"/>
      <c r="BC57" s="1934"/>
      <c r="BD57" s="676"/>
      <c r="BE57" s="676"/>
      <c r="BF57" s="998" t="s">
        <v>618</v>
      </c>
    </row>
    <row customHeight="1" ht="14.625" hidden="1">
      <c r="A58" s="676"/>
      <c r="B58" s="1176"/>
      <c r="C58" s="676"/>
      <c r="D58" s="676"/>
      <c r="E58" s="611">
        <v>15</v>
      </c>
      <c r="F58" s="50" cm="1" t="str">
        <f t="array" ref="F58:F58">OFFSET(E58,-1,1)</f>
        <v>0</v>
      </c>
      <c r="G58" s="676"/>
      <c r="H58" s="64" t="s">
        <v>619</v>
      </c>
      <c r="I58" s="676"/>
      <c r="J58" s="676"/>
      <c r="K58" s="676"/>
      <c r="L58" s="676"/>
      <c r="M58" s="676"/>
      <c r="N58" s="676"/>
      <c r="O58" s="676"/>
      <c r="P58" s="1316"/>
      <c r="Q58" s="1316"/>
      <c r="R58" s="1316"/>
      <c r="S58" s="1316"/>
      <c r="T58" s="439" cm="1" t="str">
        <f t="array" ref="T58:T58">T57</f>
        <v>false</v>
      </c>
      <c r="U58" s="1316"/>
      <c r="V58" s="676"/>
      <c r="W58" s="1316"/>
      <c r="X58" s="1482"/>
      <c r="Y58" s="1464"/>
      <c r="Z58" s="676"/>
      <c r="AA58" s="676"/>
      <c r="AB58" s="207" t="s">
        <v>620</v>
      </c>
      <c r="AC58" s="300" t="s">
        <v>595</v>
      </c>
      <c r="AD58" s="59" t="s">
        <v>512</v>
      </c>
      <c r="AE58" s="1930"/>
      <c r="AF58" s="1930"/>
      <c r="AG58" s="1930"/>
      <c r="AH58" s="1930"/>
      <c r="AI58" s="246"/>
      <c r="AJ58" s="1930"/>
      <c r="AK58" s="1930"/>
      <c r="AL58" s="1930"/>
      <c r="AM58" s="1930"/>
      <c r="AN58" s="1930"/>
      <c r="AO58" s="1930"/>
      <c r="AP58" s="1930"/>
      <c r="AQ58" s="1930"/>
      <c r="AR58" s="1930"/>
      <c r="AS58" s="246"/>
      <c r="AT58" s="1930"/>
      <c r="AU58" s="1930"/>
      <c r="AV58" s="1930"/>
      <c r="AW58" s="1930"/>
      <c r="AX58" s="1930"/>
      <c r="AY58" s="1930"/>
      <c r="AZ58" s="1930"/>
      <c r="BA58" s="1930"/>
      <c r="BB58" s="1930"/>
      <c r="BC58" s="1934"/>
      <c r="BD58" s="676"/>
      <c r="BE58" s="676"/>
      <c r="BF58" s="998" t="s">
        <v>621</v>
      </c>
    </row>
    <row customHeight="1" ht="14.625" hidden="1">
      <c r="A59" s="676"/>
      <c r="B59" s="1176"/>
      <c r="C59" s="676"/>
      <c r="D59" s="676"/>
      <c r="E59" s="611">
        <v>15</v>
      </c>
      <c r="F59" s="50" cm="1" t="str">
        <f t="array" ref="F59:F59">OFFSET(E59,-1,1)</f>
        <v>0</v>
      </c>
      <c r="G59" s="676"/>
      <c r="H59" s="64" t="s">
        <v>622</v>
      </c>
      <c r="I59" s="676"/>
      <c r="J59" s="676"/>
      <c r="K59" s="676"/>
      <c r="L59" s="676"/>
      <c r="M59" s="676"/>
      <c r="N59" s="676"/>
      <c r="O59" s="676"/>
      <c r="P59" s="1316"/>
      <c r="Q59" s="1316"/>
      <c r="R59" s="1316"/>
      <c r="S59" s="1316"/>
      <c r="T59" s="439" cm="1" t="str">
        <f t="array" ref="T59:T59">T58</f>
        <v>false</v>
      </c>
      <c r="U59" s="1316"/>
      <c r="V59" s="676"/>
      <c r="W59" s="1316"/>
      <c r="X59" s="1482"/>
      <c r="Y59" s="1464"/>
      <c r="Z59" s="676"/>
      <c r="AA59" s="676"/>
      <c r="AB59" s="207" t="s">
        <v>623</v>
      </c>
      <c r="AC59" s="299" t="s">
        <v>624</v>
      </c>
      <c r="AD59" s="59" t="s">
        <v>512</v>
      </c>
      <c r="AE59" s="282">
        <f>SUM(AE60:AE61)</f>
        <v>0</v>
      </c>
      <c r="AF59" s="282">
        <f>SUM(AF60:AF61)</f>
        <v>0</v>
      </c>
      <c r="AG59" s="282">
        <f>SUM(AG60:AG61)</f>
        <v>0</v>
      </c>
      <c r="AH59" s="282">
        <f>SUM(AH60:AH61)</f>
        <v>0</v>
      </c>
      <c r="AI59" s="282">
        <f>SUM(AI60:AI61)</f>
        <v>0</v>
      </c>
      <c r="AJ59" s="282">
        <f>SUM(AJ60:AJ61)</f>
        <v>0</v>
      </c>
      <c r="AK59" s="282">
        <f>SUM(AK60:AK61)</f>
        <v>0</v>
      </c>
      <c r="AL59" s="282">
        <f>SUM(AL60:AL61)</f>
        <v>0</v>
      </c>
      <c r="AM59" s="282">
        <f>SUM(AM60:AM61)</f>
        <v>0</v>
      </c>
      <c r="AN59" s="282">
        <f>SUM(AN60:AN61)</f>
        <v>0</v>
      </c>
      <c r="AO59" s="282">
        <f>SUM(AO60:AO61)</f>
        <v>0</v>
      </c>
      <c r="AP59" s="282">
        <f>SUM(AP60:AP61)</f>
        <v>0</v>
      </c>
      <c r="AQ59" s="282">
        <f>SUM(AQ60:AQ61)</f>
        <v>0</v>
      </c>
      <c r="AR59" s="282">
        <f>SUM(AR60:AR61)</f>
        <v>0</v>
      </c>
      <c r="AS59" s="282">
        <f>SUM(AS60:AS61)</f>
        <v>0</v>
      </c>
      <c r="AT59" s="282">
        <f>SUM(AT60:AT61)</f>
        <v>0</v>
      </c>
      <c r="AU59" s="282">
        <f>SUM(AU60:AU61)</f>
        <v>0</v>
      </c>
      <c r="AV59" s="282">
        <f>SUM(AV60:AV61)</f>
        <v>0</v>
      </c>
      <c r="AW59" s="282">
        <f>SUM(AW60:AW61)</f>
        <v>0</v>
      </c>
      <c r="AX59" s="282">
        <f>SUM(AX60:AX61)</f>
        <v>0</v>
      </c>
      <c r="AY59" s="282">
        <f>SUM(AY60:AY61)</f>
        <v>0</v>
      </c>
      <c r="AZ59" s="282">
        <f>SUM(AZ60:AZ61)</f>
        <v>0</v>
      </c>
      <c r="BA59" s="282">
        <f>SUM(BA60:BA61)</f>
        <v>0</v>
      </c>
      <c r="BB59" s="282">
        <f>SUM(BB60:BB61)</f>
        <v>0</v>
      </c>
      <c r="BC59" s="1934"/>
      <c r="BD59" s="676"/>
      <c r="BE59" s="676"/>
      <c r="BF59" s="998" t="s">
        <v>625</v>
      </c>
    </row>
    <row customHeight="1" ht="14.625" hidden="1">
      <c r="A60" s="676"/>
      <c r="B60" s="1176"/>
      <c r="C60" s="676"/>
      <c r="D60" s="676"/>
      <c r="E60" s="611">
        <v>15</v>
      </c>
      <c r="F60" s="50" cm="1" t="str">
        <f t="array" ref="F60:F60">OFFSET(E60,-1,1)</f>
        <v>0</v>
      </c>
      <c r="G60" s="676"/>
      <c r="H60" s="64" t="s">
        <v>626</v>
      </c>
      <c r="I60" s="676"/>
      <c r="J60" s="676"/>
      <c r="K60" s="676"/>
      <c r="L60" s="676"/>
      <c r="M60" s="676"/>
      <c r="N60" s="676"/>
      <c r="O60" s="676"/>
      <c r="P60" s="1316"/>
      <c r="Q60" s="1316"/>
      <c r="R60" s="1316"/>
      <c r="S60" s="1316"/>
      <c r="T60" s="439" cm="1" t="str">
        <f t="array" ref="T60:T60">T59</f>
        <v>false</v>
      </c>
      <c r="U60" s="1316"/>
      <c r="V60" s="676"/>
      <c r="W60" s="1316"/>
      <c r="X60" s="1482"/>
      <c r="Y60" s="1464"/>
      <c r="Z60" s="676"/>
      <c r="AA60" s="676"/>
      <c r="AB60" s="207" t="s">
        <v>627</v>
      </c>
      <c r="AC60" s="300" t="s">
        <v>591</v>
      </c>
      <c r="AD60" s="59" t="s">
        <v>512</v>
      </c>
      <c r="AE60" s="1930"/>
      <c r="AF60" s="1930"/>
      <c r="AG60" s="1930"/>
      <c r="AH60" s="1930"/>
      <c r="AI60" s="246"/>
      <c r="AJ60" s="1930"/>
      <c r="AK60" s="1930"/>
      <c r="AL60" s="1930"/>
      <c r="AM60" s="1930"/>
      <c r="AN60" s="1930"/>
      <c r="AO60" s="1930"/>
      <c r="AP60" s="1930"/>
      <c r="AQ60" s="1930"/>
      <c r="AR60" s="1930"/>
      <c r="AS60" s="246"/>
      <c r="AT60" s="1930"/>
      <c r="AU60" s="1930"/>
      <c r="AV60" s="1930"/>
      <c r="AW60" s="1930"/>
      <c r="AX60" s="1930"/>
      <c r="AY60" s="1930"/>
      <c r="AZ60" s="1930"/>
      <c r="BA60" s="1930"/>
      <c r="BB60" s="1930"/>
      <c r="BC60" s="1934"/>
      <c r="BD60" s="676"/>
      <c r="BE60" s="676"/>
      <c r="BF60" s="998" t="s">
        <v>628</v>
      </c>
    </row>
    <row customHeight="1" ht="14.625" hidden="1">
      <c r="A61" s="676"/>
      <c r="B61" s="1176"/>
      <c r="C61" s="676"/>
      <c r="D61" s="676"/>
      <c r="E61" s="611">
        <v>15</v>
      </c>
      <c r="F61" s="50" cm="1" t="str">
        <f t="array" ref="F61:F61">OFFSET(E61,-1,1)</f>
        <v>0</v>
      </c>
      <c r="G61" s="676"/>
      <c r="H61" s="64" t="s">
        <v>629</v>
      </c>
      <c r="I61" s="676"/>
      <c r="J61" s="676"/>
      <c r="K61" s="676"/>
      <c r="L61" s="676"/>
      <c r="M61" s="676"/>
      <c r="N61" s="676"/>
      <c r="O61" s="676"/>
      <c r="P61" s="1316"/>
      <c r="Q61" s="1316"/>
      <c r="R61" s="1316"/>
      <c r="S61" s="1316"/>
      <c r="T61" s="439" cm="1" t="str">
        <f t="array" ref="T61:T61">T60</f>
        <v>false</v>
      </c>
      <c r="U61" s="1316"/>
      <c r="V61" s="676"/>
      <c r="W61" s="1316"/>
      <c r="X61" s="1482"/>
      <c r="Y61" s="1464"/>
      <c r="Z61" s="676"/>
      <c r="AA61" s="676"/>
      <c r="AB61" s="207" t="s">
        <v>630</v>
      </c>
      <c r="AC61" s="300" t="s">
        <v>595</v>
      </c>
      <c r="AD61" s="59" t="s">
        <v>512</v>
      </c>
      <c r="AE61" s="1930"/>
      <c r="AF61" s="1930"/>
      <c r="AG61" s="1930"/>
      <c r="AH61" s="1930"/>
      <c r="AI61" s="246"/>
      <c r="AJ61" s="1930"/>
      <c r="AK61" s="1930"/>
      <c r="AL61" s="1930"/>
      <c r="AM61" s="1930"/>
      <c r="AN61" s="1930"/>
      <c r="AO61" s="1930"/>
      <c r="AP61" s="1930"/>
      <c r="AQ61" s="1930"/>
      <c r="AR61" s="1930"/>
      <c r="AS61" s="246"/>
      <c r="AT61" s="1930"/>
      <c r="AU61" s="1930"/>
      <c r="AV61" s="1930"/>
      <c r="AW61" s="1930"/>
      <c r="AX61" s="1930"/>
      <c r="AY61" s="1930"/>
      <c r="AZ61" s="1930"/>
      <c r="BA61" s="1930"/>
      <c r="BB61" s="1930"/>
      <c r="BC61" s="1887"/>
      <c r="BD61" s="676"/>
      <c r="BE61" s="676"/>
      <c r="BF61" s="998" t="s">
        <v>631</v>
      </c>
    </row>
    <row customHeight="1" ht="21.9375" hidden="1">
      <c r="A62" s="676"/>
      <c r="B62" s="1176"/>
      <c r="C62" s="676"/>
      <c r="D62" s="676"/>
      <c r="E62" s="611">
        <v>22.5</v>
      </c>
      <c r="F62" s="50" cm="1" t="str">
        <f t="array" ref="F62:F62">OFFSET(E62,-1,1)</f>
        <v>0</v>
      </c>
      <c r="G62" s="676"/>
      <c r="H62" s="64" t="s">
        <v>632</v>
      </c>
      <c r="I62" s="443"/>
      <c r="J62" s="443"/>
      <c r="K62" s="676"/>
      <c r="L62" s="676"/>
      <c r="M62" s="676"/>
      <c r="N62" s="676"/>
      <c r="O62" s="676"/>
      <c r="P62" s="1316"/>
      <c r="Q62" s="1316"/>
      <c r="R62" s="1316"/>
      <c r="S62" s="1316"/>
      <c r="T62" s="439" cm="1" t="str">
        <f t="array" ref="T62:T62">T61</f>
        <v>false</v>
      </c>
      <c r="U62" s="1316"/>
      <c r="V62" s="676"/>
      <c r="W62" s="1316"/>
      <c r="X62" s="1482"/>
      <c r="Y62" s="1464"/>
      <c r="Z62" s="676"/>
      <c r="AA62" s="676"/>
      <c r="AB62" s="207" t="s">
        <v>633</v>
      </c>
      <c r="AC62" s="301" t="s">
        <v>634</v>
      </c>
      <c r="AD62" s="59" t="s">
        <v>512</v>
      </c>
      <c r="AE62" s="1886"/>
      <c r="AF62" s="1886"/>
      <c r="AG62" s="1886"/>
      <c r="AH62" s="1886"/>
      <c r="AI62" s="243"/>
      <c r="AJ62" s="1886"/>
      <c r="AK62" s="1886"/>
      <c r="AL62" s="1886"/>
      <c r="AM62" s="1886"/>
      <c r="AN62" s="1886"/>
      <c r="AO62" s="1886"/>
      <c r="AP62" s="1886"/>
      <c r="AQ62" s="1886"/>
      <c r="AR62" s="1886"/>
      <c r="AS62" s="243"/>
      <c r="AT62" s="1886"/>
      <c r="AU62" s="1886"/>
      <c r="AV62" s="1886"/>
      <c r="AW62" s="1886"/>
      <c r="AX62" s="1886"/>
      <c r="AY62" s="1886"/>
      <c r="AZ62" s="1886"/>
      <c r="BA62" s="1886"/>
      <c r="BB62" s="1886"/>
      <c r="BC62" s="1887"/>
      <c r="BD62" s="676"/>
      <c r="BE62" s="676"/>
      <c r="BF62" s="998" t="s">
        <v>635</v>
      </c>
    </row>
    <row customHeight="1" ht="14.625" hidden="1">
      <c r="A63" s="676"/>
      <c r="B63" s="1176"/>
      <c r="C63" s="676"/>
      <c r="D63" s="676"/>
      <c r="E63" s="611">
        <v>15</v>
      </c>
      <c r="F63" s="316" cm="1" t="str">
        <f t="array" ref="F63:F63">OFFSET(E63,-1,1)</f>
        <v>0</v>
      </c>
      <c r="G63" s="676"/>
      <c r="H63" s="676"/>
      <c r="I63" s="676"/>
      <c r="J63" s="676"/>
      <c r="K63" s="676"/>
      <c r="L63" s="676"/>
      <c r="M63" s="676"/>
      <c r="N63" s="676"/>
      <c r="O63" s="676"/>
      <c r="P63" s="1316"/>
      <c r="Q63" s="1316"/>
      <c r="R63" s="1316"/>
      <c r="S63" s="1316"/>
      <c r="T63" s="439" cm="1" t="str">
        <f t="array" ref="T63:T63">T62</f>
        <v>false</v>
      </c>
      <c r="U63" s="1316"/>
      <c r="V63" s="676"/>
      <c r="W63" s="1316"/>
      <c r="X63" s="1482"/>
      <c r="Y63" s="1464"/>
      <c r="Z63" s="676"/>
      <c r="AA63" s="676"/>
      <c r="AB63" s="207" t="s">
        <v>636</v>
      </c>
      <c r="AC63" s="301" t="s">
        <v>637</v>
      </c>
      <c r="AD63" s="59" t="s">
        <v>512</v>
      </c>
      <c r="AE63" s="1886"/>
      <c r="AF63" s="1886"/>
      <c r="AG63" s="1886"/>
      <c r="AH63" s="1886"/>
      <c r="AI63" s="243"/>
      <c r="AJ63" s="1886"/>
      <c r="AK63" s="1886"/>
      <c r="AL63" s="1886"/>
      <c r="AM63" s="1886"/>
      <c r="AN63" s="1886"/>
      <c r="AO63" s="1886"/>
      <c r="AP63" s="1886"/>
      <c r="AQ63" s="1886"/>
      <c r="AR63" s="1886"/>
      <c r="AS63" s="243"/>
      <c r="AT63" s="1886"/>
      <c r="AU63" s="1886"/>
      <c r="AV63" s="1886"/>
      <c r="AW63" s="1886"/>
      <c r="AX63" s="1886"/>
      <c r="AY63" s="1886"/>
      <c r="AZ63" s="1886"/>
      <c r="BA63" s="1886"/>
      <c r="BB63" s="1886"/>
      <c r="BC63" s="1887"/>
      <c r="BD63" s="676"/>
      <c r="BE63" s="676"/>
      <c r="BF63" s="998" t="s">
        <v>638</v>
      </c>
    </row>
    <row s="1621" customFormat="1" customHeight="1" ht="11.25" hidden="1">
      <c r="A64" s="443"/>
      <c r="B64" s="638"/>
      <c r="C64" s="443"/>
      <c r="D64" s="443"/>
      <c r="E64" s="640" t="s">
        <v>366</v>
      </c>
      <c r="F64" s="1202" cm="1" t="str">
        <f t="array" ref="F64:F64">OFFSET(E64,-1,1)</f>
        <v>0</v>
      </c>
      <c r="G64" s="443"/>
      <c r="H64" s="443"/>
      <c r="I64" s="1621"/>
      <c r="J64" s="1621"/>
      <c r="K64" s="64"/>
      <c r="L64" s="443"/>
      <c r="M64" s="443"/>
      <c r="N64" s="443"/>
      <c r="O64" s="443"/>
      <c r="P64" s="443"/>
      <c r="Q64" s="443"/>
      <c r="R64" s="388"/>
      <c r="S64" s="388"/>
      <c r="T64" s="439" t="b">
        <v>0</v>
      </c>
      <c r="U64" s="443"/>
      <c r="V64" s="443"/>
      <c r="W64" s="443"/>
      <c r="X64" s="1482"/>
      <c r="Y64" s="1464"/>
      <c r="Z64" s="443"/>
      <c r="AA64" s="443"/>
      <c r="AB64" s="1621"/>
      <c r="AC64" s="66"/>
      <c r="AD64" s="66"/>
      <c r="AE64" s="311"/>
      <c r="AF64" s="311"/>
      <c r="AG64" s="311"/>
      <c r="AH64" s="311"/>
      <c r="AI64" s="311"/>
      <c r="AJ64" s="312"/>
      <c r="AK64" s="311"/>
      <c r="AL64" s="311"/>
      <c r="AM64" s="311"/>
      <c r="AN64" s="311"/>
      <c r="AO64" s="311"/>
      <c r="AP64" s="311"/>
      <c r="AQ64" s="311"/>
      <c r="AR64" s="311"/>
      <c r="AS64" s="311"/>
      <c r="AT64" s="311"/>
      <c r="AU64" s="311"/>
      <c r="AV64" s="311"/>
      <c r="AW64" s="311"/>
      <c r="AX64" s="311"/>
      <c r="AY64" s="311"/>
      <c r="AZ64" s="311"/>
      <c r="BA64" s="311"/>
      <c r="BB64" s="311"/>
      <c r="BC64" s="1621"/>
      <c r="BD64" s="1621"/>
      <c r="BE64" s="1621"/>
      <c r="BF64" s="1002"/>
    </row>
    <row customHeight="1" ht="14.625" hidden="1">
      <c r="A65" s="676"/>
      <c r="B65" s="1176"/>
      <c r="C65" s="676"/>
      <c r="D65" s="676"/>
      <c r="E65" s="611">
        <v>15</v>
      </c>
      <c r="F65" s="50" cm="1" t="str">
        <f t="array" ref="F65:F65">OFFSET(E65,-1,1)</f>
        <v>0</v>
      </c>
      <c r="G65" s="676"/>
      <c r="H65" s="676"/>
      <c r="I65" s="676"/>
      <c r="J65" s="676"/>
      <c r="K65" s="676"/>
      <c r="L65" s="676"/>
      <c r="M65" s="676"/>
      <c r="N65" s="676"/>
      <c r="O65" s="676"/>
      <c r="P65" s="1316"/>
      <c r="Q65" s="1316"/>
      <c r="R65" s="388" cm="1" t="str">
        <f t="array" ref="R65:R65">INDEX('Общие сведения'!$AN$179:$AN$222,MATCH($X27,'Общие сведения'!$Z$179:$Z$222,0))</f>
        <v>false</v>
      </c>
      <c r="S65" s="388">
        <f>IF(ISERROR(SEARCH("Водоснабжение",AB27)),FALSE,TRUE)</f>
        <v>0</v>
      </c>
      <c r="T65" s="439">
        <f>AND(X27&gt;0,S65,R65)</f>
        <v>0</v>
      </c>
      <c r="U65" s="1316"/>
      <c r="V65" s="676"/>
      <c r="W65" s="1316"/>
      <c r="X65" s="1482"/>
      <c r="Y65" s="1464"/>
      <c r="Z65" s="676"/>
      <c r="AA65" s="676"/>
      <c r="AB65" s="207" t="s">
        <v>272</v>
      </c>
      <c r="AC65" s="295" t="s">
        <v>509</v>
      </c>
      <c r="AD65" s="165"/>
      <c r="AE65" s="548" cm="1" t="str">
        <f t="array" ref="AE65:AE65">INDEX('Общие сведения'!$AH$179:$AH$222,MATCH($X27,'Общие сведения'!$Z$179:$Z$222,0))</f>
        <v>0</v>
      </c>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30"/>
      <c r="BC65" s="1887"/>
      <c r="BD65" s="676"/>
      <c r="BE65" s="676"/>
      <c r="BF65" s="998" t="s">
        <v>639</v>
      </c>
    </row>
    <row customHeight="1" ht="14.625" hidden="1">
      <c r="A66" s="676"/>
      <c r="B66" s="1176"/>
      <c r="C66" s="676"/>
      <c r="D66" s="676"/>
      <c r="E66" s="611">
        <v>15</v>
      </c>
      <c r="F66" s="50" cm="1" t="str">
        <f t="array" ref="F66:F66">OFFSET(E66,-1,1)</f>
        <v>0</v>
      </c>
      <c r="G66" s="676"/>
      <c r="H66" s="64" t="s">
        <v>329</v>
      </c>
      <c r="I66" s="676"/>
      <c r="J66" s="676"/>
      <c r="K66" s="676"/>
      <c r="L66" s="676"/>
      <c r="M66" s="676"/>
      <c r="N66" s="676"/>
      <c r="O66" s="676"/>
      <c r="P66" s="1316"/>
      <c r="Q66" s="1316"/>
      <c r="R66" s="1316"/>
      <c r="S66" s="1316"/>
      <c r="T66" s="439" cm="1" t="str">
        <f t="array" ref="T66:T66">T65</f>
        <v>false</v>
      </c>
      <c r="U66" s="1316"/>
      <c r="V66" s="676"/>
      <c r="W66" s="1316"/>
      <c r="X66" s="1482"/>
      <c r="Y66" s="1464"/>
      <c r="Z66" s="676"/>
      <c r="AA66" s="676"/>
      <c r="AB66" s="207" t="s">
        <v>283</v>
      </c>
      <c r="AC66" s="302" t="s">
        <v>640</v>
      </c>
      <c r="AD66" s="59" t="s">
        <v>512</v>
      </c>
      <c r="AE66" s="313">
        <f>AE70+AE72+AE75+AE78</f>
        <v>0</v>
      </c>
      <c r="AF66" s="313">
        <f>AF70+AF72+AF75+AF78</f>
        <v>0</v>
      </c>
      <c r="AG66" s="313">
        <f>AG70+AG72+AG75+AG78</f>
        <v>0</v>
      </c>
      <c r="AH66" s="313">
        <f>AH70+AH72+AH75+AH78</f>
        <v>0</v>
      </c>
      <c r="AI66" s="313">
        <f>AI70+AI72+AI75+AI78</f>
        <v>0</v>
      </c>
      <c r="AJ66" s="313">
        <f>AJ70+AJ72+AJ75+AJ78</f>
        <v>0</v>
      </c>
      <c r="AK66" s="313">
        <f>AK70+AK72+AK75+AK78</f>
        <v>0</v>
      </c>
      <c r="AL66" s="313">
        <f>AL70+AL72+AL75+AL78</f>
        <v>0</v>
      </c>
      <c r="AM66" s="313">
        <f>AM70+AM72+AM75+AM78</f>
        <v>0</v>
      </c>
      <c r="AN66" s="313">
        <f>AN70+AN72+AN75+AN78</f>
        <v>0</v>
      </c>
      <c r="AO66" s="313">
        <f>AO70+AO72+AO75+AO78</f>
        <v>0</v>
      </c>
      <c r="AP66" s="313">
        <f>AP70+AP72+AP75+AP78</f>
        <v>0</v>
      </c>
      <c r="AQ66" s="313">
        <f>AQ70+AQ72+AQ75+AQ78</f>
        <v>0</v>
      </c>
      <c r="AR66" s="313">
        <f>AR70+AR72+AR75+AR78</f>
        <v>0</v>
      </c>
      <c r="AS66" s="313">
        <f>AS70+AS72+AS75+AS78</f>
        <v>0</v>
      </c>
      <c r="AT66" s="313">
        <f>AT70+AT72+AT75+AT78</f>
        <v>0</v>
      </c>
      <c r="AU66" s="313">
        <f>AU70+AU72+AU75+AU78</f>
        <v>0</v>
      </c>
      <c r="AV66" s="313">
        <f>AV70+AV72+AV75+AV78</f>
        <v>0</v>
      </c>
      <c r="AW66" s="313">
        <f>AW70+AW72+AW75+AW78</f>
        <v>0</v>
      </c>
      <c r="AX66" s="313">
        <f>AX70+AX72+AX75+AX78</f>
        <v>0</v>
      </c>
      <c r="AY66" s="313">
        <f>AY70+AY72+AY75+AY78</f>
        <v>0</v>
      </c>
      <c r="AZ66" s="313">
        <f>AZ70+AZ72+AZ75+AZ78</f>
        <v>0</v>
      </c>
      <c r="BA66" s="313">
        <f>BA70+BA72+BA75+BA78</f>
        <v>0</v>
      </c>
      <c r="BB66" s="313">
        <f>BB70+BB72+BB75+BB78</f>
        <v>0</v>
      </c>
      <c r="BC66" s="1887"/>
      <c r="BD66" s="676"/>
      <c r="BE66" s="676"/>
      <c r="BF66" s="998" t="s">
        <v>641</v>
      </c>
    </row>
    <row customHeight="1" ht="14.625" hidden="1">
      <c r="A67" s="676"/>
      <c r="B67" s="1176"/>
      <c r="C67" s="676"/>
      <c r="D67" s="676"/>
      <c r="E67" s="611">
        <v>15</v>
      </c>
      <c r="F67" s="50" cm="1" t="str">
        <f t="array" ref="F67:F67">OFFSET(E67,-1,1)</f>
        <v>0</v>
      </c>
      <c r="G67" s="676"/>
      <c r="H67" s="64" t="s">
        <v>514</v>
      </c>
      <c r="I67" s="676"/>
      <c r="J67" s="676"/>
      <c r="K67" s="676"/>
      <c r="L67" s="676"/>
      <c r="M67" s="676"/>
      <c r="N67" s="676"/>
      <c r="O67" s="676"/>
      <c r="P67" s="1316"/>
      <c r="Q67" s="1316"/>
      <c r="R67" s="1316"/>
      <c r="S67" s="1316"/>
      <c r="T67" s="439" cm="1" t="str">
        <f t="array" ref="T67:T67">T66</f>
        <v>false</v>
      </c>
      <c r="U67" s="1316"/>
      <c r="V67" s="676"/>
      <c r="W67" s="1316"/>
      <c r="X67" s="1482"/>
      <c r="Y67" s="1464"/>
      <c r="Z67" s="676"/>
      <c r="AA67" s="676"/>
      <c r="AB67" s="207" t="s">
        <v>515</v>
      </c>
      <c r="AC67" s="303" t="s">
        <v>642</v>
      </c>
      <c r="AD67" s="59" t="s">
        <v>512</v>
      </c>
      <c r="AE67" s="1886"/>
      <c r="AF67" s="1886"/>
      <c r="AG67" s="1886"/>
      <c r="AH67" s="1886"/>
      <c r="AI67" s="243"/>
      <c r="AJ67" s="1886"/>
      <c r="AK67" s="1886"/>
      <c r="AL67" s="1886"/>
      <c r="AM67" s="1886"/>
      <c r="AN67" s="1886"/>
      <c r="AO67" s="1886"/>
      <c r="AP67" s="1886"/>
      <c r="AQ67" s="1886"/>
      <c r="AR67" s="1886"/>
      <c r="AS67" s="243"/>
      <c r="AT67" s="1886"/>
      <c r="AU67" s="1886"/>
      <c r="AV67" s="1886"/>
      <c r="AW67" s="1886"/>
      <c r="AX67" s="1886"/>
      <c r="AY67" s="1886"/>
      <c r="AZ67" s="1886"/>
      <c r="BA67" s="1886"/>
      <c r="BB67" s="1886"/>
      <c r="BC67" s="1887"/>
      <c r="BD67" s="676"/>
      <c r="BE67" s="676"/>
      <c r="BF67" s="998" t="s">
        <v>643</v>
      </c>
    </row>
    <row customHeight="1" ht="14.625" hidden="1">
      <c r="A68" s="676"/>
      <c r="B68" s="1176"/>
      <c r="C68" s="676"/>
      <c r="D68" s="676"/>
      <c r="E68" s="611">
        <v>15</v>
      </c>
      <c r="F68" s="50" cm="1" t="str">
        <f t="array" ref="F68:F68">OFFSET(E68,-1,1)</f>
        <v>0</v>
      </c>
      <c r="G68" s="676"/>
      <c r="H68" s="64" t="s">
        <v>518</v>
      </c>
      <c r="I68" s="676"/>
      <c r="J68" s="676"/>
      <c r="K68" s="676"/>
      <c r="L68" s="676"/>
      <c r="M68" s="676"/>
      <c r="N68" s="676"/>
      <c r="O68" s="676"/>
      <c r="P68" s="1316"/>
      <c r="Q68" s="1316"/>
      <c r="R68" s="1316"/>
      <c r="S68" s="1316"/>
      <c r="T68" s="439" cm="1" t="str">
        <f t="array" ref="T68:T68">T67</f>
        <v>false</v>
      </c>
      <c r="U68" s="1316"/>
      <c r="V68" s="676"/>
      <c r="W68" s="1316"/>
      <c r="X68" s="1482"/>
      <c r="Y68" s="1464"/>
      <c r="Z68" s="676"/>
      <c r="AA68" s="676"/>
      <c r="AB68" s="207" t="s">
        <v>519</v>
      </c>
      <c r="AC68" s="303" t="s">
        <v>644</v>
      </c>
      <c r="AD68" s="59" t="s">
        <v>512</v>
      </c>
      <c r="AE68" s="1886"/>
      <c r="AF68" s="1886"/>
      <c r="AG68" s="1886"/>
      <c r="AH68" s="1886"/>
      <c r="AI68" s="243"/>
      <c r="AJ68" s="1886"/>
      <c r="AK68" s="1886"/>
      <c r="AL68" s="1886"/>
      <c r="AM68" s="1886"/>
      <c r="AN68" s="1886"/>
      <c r="AO68" s="1886"/>
      <c r="AP68" s="1886"/>
      <c r="AQ68" s="1886"/>
      <c r="AR68" s="1886"/>
      <c r="AS68" s="243"/>
      <c r="AT68" s="1886"/>
      <c r="AU68" s="1886"/>
      <c r="AV68" s="1886"/>
      <c r="AW68" s="1886"/>
      <c r="AX68" s="1886"/>
      <c r="AY68" s="1886"/>
      <c r="AZ68" s="1886"/>
      <c r="BA68" s="1886"/>
      <c r="BB68" s="1886"/>
      <c r="BC68" s="1887"/>
      <c r="BD68" s="676"/>
      <c r="BE68" s="676"/>
      <c r="BF68" s="998" t="s">
        <v>645</v>
      </c>
    </row>
    <row customHeight="1" ht="21.9375" hidden="1">
      <c r="A69" s="676"/>
      <c r="B69" s="1176"/>
      <c r="C69" s="676"/>
      <c r="D69" s="676"/>
      <c r="E69" s="611">
        <v>22.5</v>
      </c>
      <c r="F69" s="50" cm="1" t="str">
        <f t="array" ref="F69:F69">OFFSET(E69,-1,1)</f>
        <v>0</v>
      </c>
      <c r="G69" s="676"/>
      <c r="H69" s="64" t="s">
        <v>522</v>
      </c>
      <c r="I69" s="676"/>
      <c r="J69" s="676"/>
      <c r="K69" s="676"/>
      <c r="L69" s="676"/>
      <c r="M69" s="676"/>
      <c r="N69" s="676"/>
      <c r="O69" s="676"/>
      <c r="P69" s="1316"/>
      <c r="Q69" s="1316"/>
      <c r="R69" s="1316"/>
      <c r="S69" s="1316"/>
      <c r="T69" s="439" cm="1" t="str">
        <f t="array" ref="T69:T69">T68</f>
        <v>false</v>
      </c>
      <c r="U69" s="1316"/>
      <c r="V69" s="676"/>
      <c r="W69" s="1316"/>
      <c r="X69" s="1482"/>
      <c r="Y69" s="1464"/>
      <c r="Z69" s="676"/>
      <c r="AA69" s="676"/>
      <c r="AB69" s="207" t="s">
        <v>523</v>
      </c>
      <c r="AC69" s="303" t="s">
        <v>646</v>
      </c>
      <c r="AD69" s="59" t="s">
        <v>512</v>
      </c>
      <c r="AE69" s="1886"/>
      <c r="AF69" s="1886"/>
      <c r="AG69" s="1886"/>
      <c r="AH69" s="1886"/>
      <c r="AI69" s="243"/>
      <c r="AJ69" s="1886"/>
      <c r="AK69" s="1886"/>
      <c r="AL69" s="1886"/>
      <c r="AM69" s="1886"/>
      <c r="AN69" s="1886"/>
      <c r="AO69" s="1886"/>
      <c r="AP69" s="1886"/>
      <c r="AQ69" s="1886"/>
      <c r="AR69" s="1886"/>
      <c r="AS69" s="243"/>
      <c r="AT69" s="1886"/>
      <c r="AU69" s="1886"/>
      <c r="AV69" s="1886"/>
      <c r="AW69" s="1886"/>
      <c r="AX69" s="1886"/>
      <c r="AY69" s="1886"/>
      <c r="AZ69" s="1886"/>
      <c r="BA69" s="1886"/>
      <c r="BB69" s="1886"/>
      <c r="BC69" s="1887"/>
      <c r="BD69" s="676"/>
      <c r="BE69" s="676"/>
      <c r="BF69" s="998" t="s">
        <v>647</v>
      </c>
    </row>
    <row customHeight="1" ht="14.625" hidden="1">
      <c r="A70" s="676"/>
      <c r="B70" s="1176"/>
      <c r="C70" s="676"/>
      <c r="D70" s="676"/>
      <c r="E70" s="611">
        <v>15</v>
      </c>
      <c r="F70" s="50" cm="1" t="str">
        <f t="array" ref="F70:F70">OFFSET(E70,-1,1)</f>
        <v>0</v>
      </c>
      <c r="G70" s="676"/>
      <c r="H70" s="64" t="s">
        <v>328</v>
      </c>
      <c r="I70" s="676"/>
      <c r="J70" s="676"/>
      <c r="K70" s="676"/>
      <c r="L70" s="676"/>
      <c r="M70" s="676"/>
      <c r="N70" s="676"/>
      <c r="O70" s="676"/>
      <c r="P70" s="1316"/>
      <c r="Q70" s="1316"/>
      <c r="R70" s="1316"/>
      <c r="S70" s="1316"/>
      <c r="T70" s="439" cm="1" t="str">
        <f t="array" ref="T70:T70">T69</f>
        <v>false</v>
      </c>
      <c r="U70" s="1316"/>
      <c r="V70" s="676"/>
      <c r="W70" s="1316"/>
      <c r="X70" s="1482"/>
      <c r="Y70" s="1464"/>
      <c r="Z70" s="676"/>
      <c r="AA70" s="676"/>
      <c r="AB70" s="207" t="s">
        <v>323</v>
      </c>
      <c r="AC70" s="295" t="s">
        <v>558</v>
      </c>
      <c r="AD70" s="59" t="s">
        <v>512</v>
      </c>
      <c r="AE70" s="1886"/>
      <c r="AF70" s="1886"/>
      <c r="AG70" s="1886"/>
      <c r="AH70" s="1886"/>
      <c r="AI70" s="243"/>
      <c r="AJ70" s="1886"/>
      <c r="AK70" s="1886"/>
      <c r="AL70" s="1886"/>
      <c r="AM70" s="1886"/>
      <c r="AN70" s="1886"/>
      <c r="AO70" s="1886"/>
      <c r="AP70" s="1886"/>
      <c r="AQ70" s="1886"/>
      <c r="AR70" s="1886"/>
      <c r="AS70" s="243"/>
      <c r="AT70" s="1886"/>
      <c r="AU70" s="1886"/>
      <c r="AV70" s="1886"/>
      <c r="AW70" s="1886"/>
      <c r="AX70" s="1886"/>
      <c r="AY70" s="1886"/>
      <c r="AZ70" s="1886"/>
      <c r="BA70" s="1886"/>
      <c r="BB70" s="1886"/>
      <c r="BC70" s="1887"/>
      <c r="BD70" s="676"/>
      <c r="BE70" s="676"/>
      <c r="BF70" s="998" t="s">
        <v>648</v>
      </c>
    </row>
    <row customHeight="1" ht="14.625" hidden="1">
      <c r="A71" s="676"/>
      <c r="B71" s="1176"/>
      <c r="C71" s="676"/>
      <c r="D71" s="676"/>
      <c r="E71" s="611">
        <v>15</v>
      </c>
      <c r="F71" s="50" cm="1" t="str">
        <f t="array" ref="F71:F71">OFFSET(E71,-1,1)</f>
        <v>0</v>
      </c>
      <c r="G71" s="676"/>
      <c r="H71" s="64" t="s">
        <v>528</v>
      </c>
      <c r="I71" s="676"/>
      <c r="J71" s="676"/>
      <c r="K71" s="676"/>
      <c r="L71" s="676"/>
      <c r="M71" s="676"/>
      <c r="N71" s="676"/>
      <c r="O71" s="676"/>
      <c r="P71" s="1316"/>
      <c r="Q71" s="1316"/>
      <c r="R71" s="1316"/>
      <c r="S71" s="1316"/>
      <c r="T71" s="439" cm="1" t="str">
        <f t="array" ref="T71:T71">T70</f>
        <v>false</v>
      </c>
      <c r="U71" s="1316"/>
      <c r="V71" s="676"/>
      <c r="W71" s="1316"/>
      <c r="X71" s="1482"/>
      <c r="Y71" s="1464"/>
      <c r="Z71" s="676"/>
      <c r="AA71" s="676"/>
      <c r="AB71" s="207" t="s">
        <v>529</v>
      </c>
      <c r="AC71" s="298" t="s">
        <v>562</v>
      </c>
      <c r="AD71" s="59" t="s">
        <v>437</v>
      </c>
      <c r="AE71" s="1764">
        <f>IF(AE66=0,0,AE70/AE66*100)</f>
        <v>0</v>
      </c>
      <c r="AF71" s="1764">
        <f>IF(AF66=0,0,AF70/AF66*100)</f>
        <v>0</v>
      </c>
      <c r="AG71" s="1764">
        <f>IF(AG66=0,0,AG70/AG66*100)</f>
        <v>0</v>
      </c>
      <c r="AH71" s="1764">
        <f>IF(AH66=0,0,AH70/AH66*100)</f>
        <v>0</v>
      </c>
      <c r="AI71" s="107">
        <f>IF(AI66=0,0,AI70/AI66*100)</f>
        <v>0</v>
      </c>
      <c r="AJ71" s="1764">
        <f>IF(AJ66=0,0,AJ70/AJ66*100)</f>
        <v>0</v>
      </c>
      <c r="AK71" s="1764">
        <f>IF(AK66=0,0,AK70/AK66*100)</f>
        <v>0</v>
      </c>
      <c r="AL71" s="1764">
        <f>IF(AL66=0,0,AL70/AL66*100)</f>
        <v>0</v>
      </c>
      <c r="AM71" s="1764">
        <f>IF(AM66=0,0,AM70/AM66*100)</f>
        <v>0</v>
      </c>
      <c r="AN71" s="1764">
        <f>IF(AN66=0,0,AN70/AN66*100)</f>
        <v>0</v>
      </c>
      <c r="AO71" s="1764">
        <f>IF(AO66=0,0,AO70/AO66*100)</f>
        <v>0</v>
      </c>
      <c r="AP71" s="1764">
        <f>IF(AP66=0,0,AP70/AP66*100)</f>
        <v>0</v>
      </c>
      <c r="AQ71" s="1764">
        <f>IF(AQ66=0,0,AQ70/AQ66*100)</f>
        <v>0</v>
      </c>
      <c r="AR71" s="1764">
        <f>IF(AR66=0,0,AR70/AR66*100)</f>
        <v>0</v>
      </c>
      <c r="AS71" s="107">
        <f>IF(AS66=0,0,AS70/AS66*100)</f>
        <v>0</v>
      </c>
      <c r="AT71" s="1764">
        <f>IF(AT66=0,0,AT70/AT66*100)</f>
        <v>0</v>
      </c>
      <c r="AU71" s="1764">
        <f>IF(AU66=0,0,AU70/AU66*100)</f>
        <v>0</v>
      </c>
      <c r="AV71" s="1764">
        <f>IF(AV66=0,0,AV70/AV66*100)</f>
        <v>0</v>
      </c>
      <c r="AW71" s="1764">
        <f>IF(AW66=0,0,AW70/AW66*100)</f>
        <v>0</v>
      </c>
      <c r="AX71" s="1764">
        <f>IF(AX66=0,0,AX70/AX66*100)</f>
        <v>0</v>
      </c>
      <c r="AY71" s="1764">
        <f>IF(AY66=0,0,AY70/AY66*100)</f>
        <v>0</v>
      </c>
      <c r="AZ71" s="1764">
        <f>IF(AZ66=0,0,AZ70/AZ66*100)</f>
        <v>0</v>
      </c>
      <c r="BA71" s="1764">
        <f>IF(BA66=0,0,BA70/BA66*100)</f>
        <v>0</v>
      </c>
      <c r="BB71" s="1764">
        <f>IF(BB66=0,0,BB70/BB66*100)</f>
        <v>0</v>
      </c>
      <c r="BC71" s="1934"/>
      <c r="BD71" s="676"/>
      <c r="BE71" s="676"/>
      <c r="BF71" s="998" t="s">
        <v>649</v>
      </c>
    </row>
    <row customHeight="1" ht="14.625" hidden="1">
      <c r="A72" s="676"/>
      <c r="B72" s="1176"/>
      <c r="C72" s="676"/>
      <c r="D72" s="676"/>
      <c r="E72" s="611">
        <v>15</v>
      </c>
      <c r="F72" s="50" cm="1" t="str">
        <f t="array" ref="F72:F72">OFFSET(E72,-1,1)</f>
        <v>0</v>
      </c>
      <c r="G72" s="676"/>
      <c r="H72" s="64" t="s">
        <v>491</v>
      </c>
      <c r="I72" s="676"/>
      <c r="J72" s="676"/>
      <c r="K72" s="676"/>
      <c r="L72" s="676"/>
      <c r="M72" s="676"/>
      <c r="N72" s="676"/>
      <c r="O72" s="676"/>
      <c r="P72" s="1316"/>
      <c r="Q72" s="1316"/>
      <c r="R72" s="1316"/>
      <c r="S72" s="1316"/>
      <c r="T72" s="439" cm="1" t="str">
        <f t="array" ref="T72:T72">T71</f>
        <v>false</v>
      </c>
      <c r="U72" s="1316"/>
      <c r="V72" s="676"/>
      <c r="W72" s="1316"/>
      <c r="X72" s="1482"/>
      <c r="Y72" s="1464"/>
      <c r="Z72" s="676"/>
      <c r="AA72" s="676"/>
      <c r="AB72" s="207" t="s">
        <v>536</v>
      </c>
      <c r="AC72" s="302" t="s">
        <v>570</v>
      </c>
      <c r="AD72" s="59" t="s">
        <v>512</v>
      </c>
      <c r="AE72" s="313">
        <f>AE73+AE74</f>
        <v>0</v>
      </c>
      <c r="AF72" s="313">
        <f>AF73+AF74</f>
        <v>0</v>
      </c>
      <c r="AG72" s="313">
        <f>AG73+AG74</f>
        <v>0</v>
      </c>
      <c r="AH72" s="313">
        <f>AH73+AH74</f>
        <v>0</v>
      </c>
      <c r="AI72" s="313">
        <f>AI73+AI74</f>
        <v>0</v>
      </c>
      <c r="AJ72" s="313">
        <f>AJ73+AJ74</f>
        <v>0</v>
      </c>
      <c r="AK72" s="313">
        <f>AK73+AK74</f>
        <v>0</v>
      </c>
      <c r="AL72" s="313">
        <f>AL73+AL74</f>
        <v>0</v>
      </c>
      <c r="AM72" s="313">
        <f>AM73+AM74</f>
        <v>0</v>
      </c>
      <c r="AN72" s="313">
        <f>AN73+AN74</f>
        <v>0</v>
      </c>
      <c r="AO72" s="313">
        <f>AO73+AO74</f>
        <v>0</v>
      </c>
      <c r="AP72" s="313">
        <f>AP73+AP74</f>
        <v>0</v>
      </c>
      <c r="AQ72" s="313">
        <f>AQ73+AQ74</f>
        <v>0</v>
      </c>
      <c r="AR72" s="313">
        <f>AR73+AR74</f>
        <v>0</v>
      </c>
      <c r="AS72" s="313">
        <f>AS73+AS74</f>
        <v>0</v>
      </c>
      <c r="AT72" s="313">
        <f>AT73+AT74</f>
        <v>0</v>
      </c>
      <c r="AU72" s="313">
        <f>AU73+AU74</f>
        <v>0</v>
      </c>
      <c r="AV72" s="313">
        <f>AV73+AV74</f>
        <v>0</v>
      </c>
      <c r="AW72" s="313">
        <f>AW73+AW74</f>
        <v>0</v>
      </c>
      <c r="AX72" s="313">
        <f>AX73+AX74</f>
        <v>0</v>
      </c>
      <c r="AY72" s="313">
        <f>AY73+AY74</f>
        <v>0</v>
      </c>
      <c r="AZ72" s="313">
        <f>AZ73+AZ74</f>
        <v>0</v>
      </c>
      <c r="BA72" s="313">
        <f>BA73+BA74</f>
        <v>0</v>
      </c>
      <c r="BB72" s="313">
        <f>BB73+BB74</f>
        <v>0</v>
      </c>
      <c r="BC72" s="1887"/>
      <c r="BD72" s="676"/>
      <c r="BE72" s="676"/>
      <c r="BF72" s="998" t="s">
        <v>650</v>
      </c>
    </row>
    <row customHeight="1" ht="14.625" hidden="1">
      <c r="A73" s="676"/>
      <c r="B73" s="1176"/>
      <c r="C73" s="676"/>
      <c r="D73" s="676"/>
      <c r="E73" s="611">
        <v>15</v>
      </c>
      <c r="F73" s="50" cm="1" t="str">
        <f t="array" ref="F73:F73">OFFSET(E73,-1,1)</f>
        <v>0</v>
      </c>
      <c r="G73" s="676"/>
      <c r="H73" s="64" t="s">
        <v>651</v>
      </c>
      <c r="I73" s="676"/>
      <c r="J73" s="676"/>
      <c r="K73" s="676"/>
      <c r="L73" s="676"/>
      <c r="M73" s="676"/>
      <c r="N73" s="676"/>
      <c r="O73" s="676"/>
      <c r="P73" s="1316"/>
      <c r="Q73" s="1316"/>
      <c r="R73" s="1316"/>
      <c r="S73" s="1316"/>
      <c r="T73" s="439" cm="1" t="str">
        <f t="array" ref="T73:T73">T72</f>
        <v>false</v>
      </c>
      <c r="U73" s="1316"/>
      <c r="V73" s="676"/>
      <c r="W73" s="1316"/>
      <c r="X73" s="1482"/>
      <c r="Y73" s="1464"/>
      <c r="Z73" s="676"/>
      <c r="AA73" s="676"/>
      <c r="AB73" s="207" t="s">
        <v>652</v>
      </c>
      <c r="AC73" s="303" t="s">
        <v>574</v>
      </c>
      <c r="AD73" s="59" t="s">
        <v>512</v>
      </c>
      <c r="AE73" s="1886"/>
      <c r="AF73" s="1886"/>
      <c r="AG73" s="1886"/>
      <c r="AH73" s="1886"/>
      <c r="AI73" s="243"/>
      <c r="AJ73" s="1886"/>
      <c r="AK73" s="1886"/>
      <c r="AL73" s="1886"/>
      <c r="AM73" s="1886"/>
      <c r="AN73" s="1886"/>
      <c r="AO73" s="1886"/>
      <c r="AP73" s="1886"/>
      <c r="AQ73" s="1886"/>
      <c r="AR73" s="1886"/>
      <c r="AS73" s="243"/>
      <c r="AT73" s="1886"/>
      <c r="AU73" s="1886"/>
      <c r="AV73" s="1886"/>
      <c r="AW73" s="1886"/>
      <c r="AX73" s="1886"/>
      <c r="AY73" s="1886"/>
      <c r="AZ73" s="1886"/>
      <c r="BA73" s="1886"/>
      <c r="BB73" s="1886"/>
      <c r="BC73" s="1887"/>
      <c r="BD73" s="676"/>
      <c r="BE73" s="676"/>
      <c r="BF73" s="998" t="s">
        <v>653</v>
      </c>
    </row>
    <row customHeight="1" ht="14.625" hidden="1">
      <c r="A74" s="676"/>
      <c r="B74" s="1176"/>
      <c r="C74" s="676"/>
      <c r="D74" s="676"/>
      <c r="E74" s="611">
        <v>15</v>
      </c>
      <c r="F74" s="50" cm="1" t="str">
        <f t="array" ref="F74:F74">OFFSET(E74,-1,1)</f>
        <v>0</v>
      </c>
      <c r="G74" s="676"/>
      <c r="H74" s="64" t="s">
        <v>654</v>
      </c>
      <c r="I74" s="676"/>
      <c r="J74" s="676"/>
      <c r="K74" s="676"/>
      <c r="L74" s="676"/>
      <c r="M74" s="676"/>
      <c r="N74" s="676"/>
      <c r="O74" s="676"/>
      <c r="P74" s="1316"/>
      <c r="Q74" s="1316"/>
      <c r="R74" s="1316"/>
      <c r="S74" s="1316"/>
      <c r="T74" s="439" cm="1" t="str">
        <f t="array" ref="T74:T74">T73</f>
        <v>false</v>
      </c>
      <c r="U74" s="1316"/>
      <c r="V74" s="676"/>
      <c r="W74" s="1316"/>
      <c r="X74" s="1482"/>
      <c r="Y74" s="1464"/>
      <c r="Z74" s="676"/>
      <c r="AA74" s="676"/>
      <c r="AB74" s="207" t="s">
        <v>655</v>
      </c>
      <c r="AC74" s="303" t="s">
        <v>578</v>
      </c>
      <c r="AD74" s="59" t="s">
        <v>512</v>
      </c>
      <c r="AE74" s="1886"/>
      <c r="AF74" s="1886"/>
      <c r="AG74" s="1886"/>
      <c r="AH74" s="1886"/>
      <c r="AI74" s="243"/>
      <c r="AJ74" s="1886"/>
      <c r="AK74" s="1886"/>
      <c r="AL74" s="1886"/>
      <c r="AM74" s="1886"/>
      <c r="AN74" s="1886"/>
      <c r="AO74" s="1886"/>
      <c r="AP74" s="1886"/>
      <c r="AQ74" s="1886"/>
      <c r="AR74" s="1886"/>
      <c r="AS74" s="243"/>
      <c r="AT74" s="1886"/>
      <c r="AU74" s="1886"/>
      <c r="AV74" s="1886"/>
      <c r="AW74" s="1886"/>
      <c r="AX74" s="1886"/>
      <c r="AY74" s="1886"/>
      <c r="AZ74" s="1886"/>
      <c r="BA74" s="1886"/>
      <c r="BB74" s="1886"/>
      <c r="BC74" s="1887"/>
      <c r="BD74" s="676"/>
      <c r="BE74" s="676"/>
      <c r="BF74" s="998" t="s">
        <v>656</v>
      </c>
    </row>
    <row customHeight="1" ht="14.625" hidden="1">
      <c r="A75" s="676"/>
      <c r="B75" s="1176"/>
      <c r="C75" s="676"/>
      <c r="D75" s="676"/>
      <c r="E75" s="611">
        <v>15</v>
      </c>
      <c r="F75" s="50" cm="1" t="str">
        <f t="array" ref="F75:F75">OFFSET(E75,-1,1)</f>
        <v>0</v>
      </c>
      <c r="G75" s="64" t="s">
        <v>584</v>
      </c>
      <c r="H75" s="64" t="s">
        <v>495</v>
      </c>
      <c r="I75" s="676"/>
      <c r="J75" s="676"/>
      <c r="K75" s="676"/>
      <c r="L75" s="676"/>
      <c r="M75" s="676"/>
      <c r="N75" s="676"/>
      <c r="O75" s="676"/>
      <c r="P75" s="1316"/>
      <c r="Q75" s="1316"/>
      <c r="R75" s="1316"/>
      <c r="S75" s="1316"/>
      <c r="T75" s="439" cm="1" t="str">
        <f t="array" ref="T75:T75">T74</f>
        <v>false</v>
      </c>
      <c r="U75" s="1316"/>
      <c r="V75" s="676"/>
      <c r="W75" s="1316"/>
      <c r="X75" s="1482"/>
      <c r="Y75" s="1464"/>
      <c r="Z75" s="676"/>
      <c r="AA75" s="676"/>
      <c r="AB75" s="207" t="s">
        <v>492</v>
      </c>
      <c r="AC75" s="302" t="s">
        <v>587</v>
      </c>
      <c r="AD75" s="59" t="s">
        <v>512</v>
      </c>
      <c r="AE75" s="313">
        <f>AE76+AE77</f>
        <v>0</v>
      </c>
      <c r="AF75" s="313">
        <f>AF76+AF77</f>
        <v>0</v>
      </c>
      <c r="AG75" s="313">
        <f>AG76+AG77</f>
        <v>0</v>
      </c>
      <c r="AH75" s="313">
        <f>AH76+AH77</f>
        <v>0</v>
      </c>
      <c r="AI75" s="313">
        <f>AI76+AI77</f>
        <v>0</v>
      </c>
      <c r="AJ75" s="313">
        <f>AJ76+AJ77</f>
        <v>0</v>
      </c>
      <c r="AK75" s="313">
        <f>AK76+AK77</f>
        <v>0</v>
      </c>
      <c r="AL75" s="313">
        <f>AL76+AL77</f>
        <v>0</v>
      </c>
      <c r="AM75" s="313">
        <f>AM76+AM77</f>
        <v>0</v>
      </c>
      <c r="AN75" s="313">
        <f>AN76+AN77</f>
        <v>0</v>
      </c>
      <c r="AO75" s="313">
        <f>AO76+AO77</f>
        <v>0</v>
      </c>
      <c r="AP75" s="313">
        <f>AP76+AP77</f>
        <v>0</v>
      </c>
      <c r="AQ75" s="313">
        <f>AQ76+AQ77</f>
        <v>0</v>
      </c>
      <c r="AR75" s="313">
        <f>AR76+AR77</f>
        <v>0</v>
      </c>
      <c r="AS75" s="313">
        <f>AS76+AS77</f>
        <v>0</v>
      </c>
      <c r="AT75" s="313">
        <f>AT76+AT77</f>
        <v>0</v>
      </c>
      <c r="AU75" s="313">
        <f>AU76+AU77</f>
        <v>0</v>
      </c>
      <c r="AV75" s="313">
        <f>AV76+AV77</f>
        <v>0</v>
      </c>
      <c r="AW75" s="313">
        <f>AW76+AW77</f>
        <v>0</v>
      </c>
      <c r="AX75" s="313">
        <f>AX76+AX77</f>
        <v>0</v>
      </c>
      <c r="AY75" s="313">
        <f>AY76+AY77</f>
        <v>0</v>
      </c>
      <c r="AZ75" s="313">
        <f>AZ76+AZ77</f>
        <v>0</v>
      </c>
      <c r="BA75" s="313">
        <f>BA76+BA77</f>
        <v>0</v>
      </c>
      <c r="BB75" s="313">
        <f>BB76+BB77</f>
        <v>0</v>
      </c>
      <c r="BC75" s="1887"/>
      <c r="BD75" s="676"/>
      <c r="BE75" s="676"/>
      <c r="BF75" s="998" t="s">
        <v>657</v>
      </c>
    </row>
    <row customHeight="1" ht="14.625" hidden="1">
      <c r="A76" s="676"/>
      <c r="B76" s="1176"/>
      <c r="C76" s="676"/>
      <c r="D76" s="676"/>
      <c r="E76" s="611">
        <v>15</v>
      </c>
      <c r="F76" s="50" cm="1" t="str">
        <f t="array" ref="F76:F76">OFFSET(E76,-1,1)</f>
        <v>0</v>
      </c>
      <c r="G76" s="676"/>
      <c r="H76" s="64" t="s">
        <v>658</v>
      </c>
      <c r="I76" s="676"/>
      <c r="J76" s="676"/>
      <c r="K76" s="676"/>
      <c r="L76" s="676"/>
      <c r="M76" s="676"/>
      <c r="N76" s="676"/>
      <c r="O76" s="676"/>
      <c r="P76" s="1316"/>
      <c r="Q76" s="1316"/>
      <c r="R76" s="1316"/>
      <c r="S76" s="1316"/>
      <c r="T76" s="439" cm="1" t="str">
        <f t="array" ref="T76:T76">T75</f>
        <v>false</v>
      </c>
      <c r="U76" s="1316"/>
      <c r="V76" s="676"/>
      <c r="W76" s="1316"/>
      <c r="X76" s="1482"/>
      <c r="Y76" s="1464"/>
      <c r="Z76" s="676"/>
      <c r="AA76" s="676"/>
      <c r="AB76" s="207" t="s">
        <v>659</v>
      </c>
      <c r="AC76" s="303" t="s">
        <v>591</v>
      </c>
      <c r="AD76" s="59" t="s">
        <v>512</v>
      </c>
      <c r="AE76" s="1886"/>
      <c r="AF76" s="1886"/>
      <c r="AG76" s="1886"/>
      <c r="AH76" s="1886"/>
      <c r="AI76" s="243"/>
      <c r="AJ76" s="1886"/>
      <c r="AK76" s="1886"/>
      <c r="AL76" s="1886"/>
      <c r="AM76" s="1886"/>
      <c r="AN76" s="1886"/>
      <c r="AO76" s="1886"/>
      <c r="AP76" s="1886"/>
      <c r="AQ76" s="1886"/>
      <c r="AR76" s="1886"/>
      <c r="AS76" s="243"/>
      <c r="AT76" s="1886"/>
      <c r="AU76" s="1886"/>
      <c r="AV76" s="1886"/>
      <c r="AW76" s="1886"/>
      <c r="AX76" s="1886"/>
      <c r="AY76" s="1886"/>
      <c r="AZ76" s="1886"/>
      <c r="BA76" s="1886"/>
      <c r="BB76" s="1886"/>
      <c r="BC76" s="1887"/>
      <c r="BD76" s="676"/>
      <c r="BE76" s="676"/>
      <c r="BF76" s="998" t="s">
        <v>660</v>
      </c>
    </row>
    <row customHeight="1" ht="14.625" hidden="1">
      <c r="A77" s="676"/>
      <c r="B77" s="1176"/>
      <c r="C77" s="676"/>
      <c r="D77" s="676"/>
      <c r="E77" s="611">
        <v>15</v>
      </c>
      <c r="F77" s="50" cm="1" t="str">
        <f t="array" ref="F77:F77">OFFSET(E77,-1,1)</f>
        <v>0</v>
      </c>
      <c r="G77" s="676"/>
      <c r="H77" s="64" t="s">
        <v>661</v>
      </c>
      <c r="I77" s="676"/>
      <c r="J77" s="676"/>
      <c r="K77" s="676"/>
      <c r="L77" s="676"/>
      <c r="M77" s="676"/>
      <c r="N77" s="676"/>
      <c r="O77" s="676"/>
      <c r="P77" s="1316"/>
      <c r="Q77" s="1316"/>
      <c r="R77" s="1316"/>
      <c r="S77" s="1316"/>
      <c r="T77" s="439" cm="1" t="str">
        <f t="array" ref="T77:T77">T76</f>
        <v>false</v>
      </c>
      <c r="U77" s="1316"/>
      <c r="V77" s="676"/>
      <c r="W77" s="1316"/>
      <c r="X77" s="1482"/>
      <c r="Y77" s="1464"/>
      <c r="Z77" s="676"/>
      <c r="AA77" s="676"/>
      <c r="AB77" s="207" t="s">
        <v>662</v>
      </c>
      <c r="AC77" s="303" t="s">
        <v>595</v>
      </c>
      <c r="AD77" s="59" t="s">
        <v>512</v>
      </c>
      <c r="AE77" s="1886"/>
      <c r="AF77" s="1886"/>
      <c r="AG77" s="1886"/>
      <c r="AH77" s="1886"/>
      <c r="AI77" s="243"/>
      <c r="AJ77" s="1886"/>
      <c r="AK77" s="1886"/>
      <c r="AL77" s="1886"/>
      <c r="AM77" s="1886"/>
      <c r="AN77" s="1886"/>
      <c r="AO77" s="1886"/>
      <c r="AP77" s="1886"/>
      <c r="AQ77" s="1886"/>
      <c r="AR77" s="1886"/>
      <c r="AS77" s="243"/>
      <c r="AT77" s="1886"/>
      <c r="AU77" s="1886"/>
      <c r="AV77" s="1886"/>
      <c r="AW77" s="1886"/>
      <c r="AX77" s="1886"/>
      <c r="AY77" s="1886"/>
      <c r="AZ77" s="1886"/>
      <c r="BA77" s="1886"/>
      <c r="BB77" s="1886"/>
      <c r="BC77" s="1887"/>
      <c r="BD77" s="676"/>
      <c r="BE77" s="676"/>
      <c r="BF77" s="998" t="s">
        <v>663</v>
      </c>
    </row>
    <row customHeight="1" ht="21.9375" hidden="1">
      <c r="A78" s="676"/>
      <c r="B78" s="1176"/>
      <c r="C78" s="676"/>
      <c r="D78" s="676"/>
      <c r="E78" s="611">
        <v>22.5</v>
      </c>
      <c r="F78" s="50" cm="1" t="str">
        <f t="array" ref="F78:F78">OFFSET(E78,-1,1)</f>
        <v>0</v>
      </c>
      <c r="G78" s="676"/>
      <c r="H78" s="64" t="s">
        <v>541</v>
      </c>
      <c r="I78" s="443"/>
      <c r="J78" s="443"/>
      <c r="K78" s="676"/>
      <c r="L78" s="676"/>
      <c r="M78" s="676"/>
      <c r="N78" s="676"/>
      <c r="O78" s="676"/>
      <c r="P78" s="1316"/>
      <c r="Q78" s="1316"/>
      <c r="R78" s="1316"/>
      <c r="S78" s="1316"/>
      <c r="T78" s="439" cm="1" t="str">
        <f t="array" ref="T78:T78">T77</f>
        <v>false</v>
      </c>
      <c r="U78" s="1316"/>
      <c r="V78" s="676"/>
      <c r="W78" s="1316"/>
      <c r="X78" s="1482"/>
      <c r="Y78" s="1464"/>
      <c r="Z78" s="676"/>
      <c r="AA78" s="676"/>
      <c r="AB78" s="207" t="s">
        <v>496</v>
      </c>
      <c r="AC78" s="304" t="s">
        <v>634</v>
      </c>
      <c r="AD78" s="59" t="s">
        <v>512</v>
      </c>
      <c r="AE78" s="1886"/>
      <c r="AF78" s="1886"/>
      <c r="AG78" s="1886"/>
      <c r="AH78" s="1886"/>
      <c r="AI78" s="243"/>
      <c r="AJ78" s="1886"/>
      <c r="AK78" s="1886"/>
      <c r="AL78" s="1886"/>
      <c r="AM78" s="1886"/>
      <c r="AN78" s="1886"/>
      <c r="AO78" s="1886"/>
      <c r="AP78" s="1886"/>
      <c r="AQ78" s="1886"/>
      <c r="AR78" s="1886"/>
      <c r="AS78" s="243"/>
      <c r="AT78" s="1886"/>
      <c r="AU78" s="1886"/>
      <c r="AV78" s="1886"/>
      <c r="AW78" s="1886"/>
      <c r="AX78" s="1886"/>
      <c r="AY78" s="1886"/>
      <c r="AZ78" s="1886"/>
      <c r="BA78" s="1886"/>
      <c r="BB78" s="1886"/>
      <c r="BC78" s="1887"/>
      <c r="BD78" s="676"/>
      <c r="BE78" s="676"/>
      <c r="BF78" s="998" t="s">
        <v>664</v>
      </c>
    </row>
    <row customHeight="1" ht="14.625" hidden="1">
      <c r="A79" s="676"/>
      <c r="B79" s="1176"/>
      <c r="C79" s="676"/>
      <c r="D79" s="676"/>
      <c r="E79" s="611">
        <v>15</v>
      </c>
      <c r="F79" s="316" cm="1" t="str">
        <f t="array" ref="F79:F79">OFFSET(E79,-1,1)</f>
        <v>0</v>
      </c>
      <c r="G79" s="676"/>
      <c r="H79" s="676"/>
      <c r="I79" s="676"/>
      <c r="J79" s="676"/>
      <c r="K79" s="676"/>
      <c r="L79" s="676"/>
      <c r="M79" s="676"/>
      <c r="N79" s="676"/>
      <c r="O79" s="676"/>
      <c r="P79" s="1316"/>
      <c r="Q79" s="1316"/>
      <c r="R79" s="1316"/>
      <c r="S79" s="1316"/>
      <c r="T79" s="439" cm="1" t="str">
        <f t="array" ref="T79:T79">T78</f>
        <v>false</v>
      </c>
      <c r="U79" s="1316"/>
      <c r="V79" s="676"/>
      <c r="W79" s="1316"/>
      <c r="X79" s="1482"/>
      <c r="Y79" s="1464"/>
      <c r="Z79" s="676"/>
      <c r="AA79" s="676"/>
      <c r="AB79" s="207" t="s">
        <v>636</v>
      </c>
      <c r="AC79" s="301" t="s">
        <v>637</v>
      </c>
      <c r="AD79" s="59" t="s">
        <v>512</v>
      </c>
      <c r="AE79" s="1886"/>
      <c r="AF79" s="1886"/>
      <c r="AG79" s="1886"/>
      <c r="AH79" s="1886"/>
      <c r="AI79" s="243"/>
      <c r="AJ79" s="1886"/>
      <c r="AK79" s="1886"/>
      <c r="AL79" s="1886"/>
      <c r="AM79" s="1886"/>
      <c r="AN79" s="1886"/>
      <c r="AO79" s="1886"/>
      <c r="AP79" s="1886"/>
      <c r="AQ79" s="1886"/>
      <c r="AR79" s="1886"/>
      <c r="AS79" s="243"/>
      <c r="AT79" s="1886"/>
      <c r="AU79" s="1886"/>
      <c r="AV79" s="1886"/>
      <c r="AW79" s="1886"/>
      <c r="AX79" s="1886"/>
      <c r="AY79" s="1886"/>
      <c r="AZ79" s="1886"/>
      <c r="BA79" s="1886"/>
      <c r="BB79" s="1886"/>
      <c r="BC79" s="1887"/>
      <c r="BD79" s="676"/>
      <c r="BE79" s="676"/>
      <c r="BF79" s="998" t="s">
        <v>665</v>
      </c>
    </row>
    <row s="1621" customFormat="1" customHeight="1" ht="11.25" hidden="1">
      <c r="A80" s="443"/>
      <c r="B80" s="638"/>
      <c r="C80" s="443"/>
      <c r="D80" s="443"/>
      <c r="E80" s="640" t="s">
        <v>366</v>
      </c>
      <c r="F80" s="1202" cm="1" t="str">
        <f t="array" ref="F80:F80">OFFSET(E80,-1,1)</f>
        <v>0</v>
      </c>
      <c r="G80" s="443"/>
      <c r="H80" s="443"/>
      <c r="I80" s="1621"/>
      <c r="J80" s="1621"/>
      <c r="K80" s="64"/>
      <c r="L80" s="443"/>
      <c r="M80" s="443"/>
      <c r="N80" s="443"/>
      <c r="O80" s="443"/>
      <c r="P80" s="443"/>
      <c r="Q80" s="443"/>
      <c r="R80" s="388"/>
      <c r="S80" s="443"/>
      <c r="T80" s="439" t="b">
        <v>0</v>
      </c>
      <c r="U80" s="443"/>
      <c r="V80" s="443"/>
      <c r="W80" s="443"/>
      <c r="X80" s="1482"/>
      <c r="Y80" s="1464"/>
      <c r="Z80" s="443"/>
      <c r="AA80" s="443"/>
      <c r="AB80" s="1621"/>
      <c r="AC80" s="66"/>
      <c r="AD80" s="66"/>
      <c r="AE80" s="311"/>
      <c r="AF80" s="311"/>
      <c r="AG80" s="311"/>
      <c r="AH80" s="311"/>
      <c r="AI80" s="311"/>
      <c r="AJ80" s="312"/>
      <c r="AK80" s="311"/>
      <c r="AL80" s="311"/>
      <c r="AM80" s="311"/>
      <c r="AN80" s="311"/>
      <c r="AO80" s="311"/>
      <c r="AP80" s="311"/>
      <c r="AQ80" s="311"/>
      <c r="AR80" s="311"/>
      <c r="AS80" s="311"/>
      <c r="AT80" s="311"/>
      <c r="AU80" s="311"/>
      <c r="AV80" s="311"/>
      <c r="AW80" s="311"/>
      <c r="AX80" s="311"/>
      <c r="AY80" s="311"/>
      <c r="AZ80" s="311"/>
      <c r="BA80" s="311"/>
      <c r="BB80" s="311"/>
      <c r="BC80" s="1621"/>
      <c r="BD80" s="1621"/>
      <c r="BE80" s="1621"/>
      <c r="BF80" s="1002"/>
    </row>
    <row customHeight="1" ht="14.625" hidden="1">
      <c r="A81" s="676"/>
      <c r="B81" s="1176"/>
      <c r="C81" s="676"/>
      <c r="D81" s="676"/>
      <c r="E81" s="611">
        <v>15</v>
      </c>
      <c r="F81" s="50" cm="1" t="str">
        <f t="array" ref="F81:F81">OFFSET(E81,-1,1)</f>
        <v>0</v>
      </c>
      <c r="G81" s="676"/>
      <c r="H81" s="676"/>
      <c r="I81" s="676"/>
      <c r="J81" s="676"/>
      <c r="K81" s="676"/>
      <c r="L81" s="676"/>
      <c r="M81" s="676"/>
      <c r="N81" s="676"/>
      <c r="O81" s="676"/>
      <c r="P81" s="1316"/>
      <c r="Q81" s="1316"/>
      <c r="R81" s="388" cm="1" t="str">
        <f t="array" ref="R81:R81">INDEX('Общие сведения'!$AN$179:$AN$222,MATCH($X27,'Общие сведения'!$Z$179:$Z$222,0))</f>
        <v>false</v>
      </c>
      <c r="S81" s="456">
        <f>IF(ISERROR(SEARCH("Водоотведение",AB27)),FALSE,TRUE)</f>
        <v>0</v>
      </c>
      <c r="T81" s="439">
        <f>AND(X27&gt;0,S81,NOT(R81))</f>
        <v>0</v>
      </c>
      <c r="U81" s="1316"/>
      <c r="V81" s="676"/>
      <c r="W81" s="1316"/>
      <c r="X81" s="1482"/>
      <c r="Y81" s="1464"/>
      <c r="Z81" s="676"/>
      <c r="AA81" s="676"/>
      <c r="AB81" s="207" t="s">
        <v>272</v>
      </c>
      <c r="AC81" s="103" t="s">
        <v>666</v>
      </c>
      <c r="AD81" s="164"/>
      <c r="AE81" s="548" cm="1" t="str">
        <f t="array" ref="AE81:AE81">INDEX('Общие сведения'!$AH$179:$AH$222,MATCH($X27,'Общие сведения'!$Z$179:$Z$222,0))</f>
        <v>0</v>
      </c>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30"/>
      <c r="BC81" s="1887"/>
      <c r="BD81" s="676"/>
      <c r="BE81" s="676"/>
      <c r="BF81" s="998" t="s">
        <v>667</v>
      </c>
    </row>
    <row customHeight="1" ht="14.625" hidden="1">
      <c r="A82" s="676"/>
      <c r="B82" s="1176"/>
      <c r="C82" s="676"/>
      <c r="D82" s="676"/>
      <c r="E82" s="611">
        <v>15</v>
      </c>
      <c r="F82" s="50" cm="1" t="str">
        <f t="array" ref="F82:F82">OFFSET(E82,-1,1)</f>
        <v>0</v>
      </c>
      <c r="G82" s="676"/>
      <c r="H82" s="64" t="s">
        <v>329</v>
      </c>
      <c r="I82" s="676"/>
      <c r="J82" s="676"/>
      <c r="K82" s="676"/>
      <c r="L82" s="676"/>
      <c r="M82" s="676"/>
      <c r="N82" s="676"/>
      <c r="O82" s="676"/>
      <c r="P82" s="1316"/>
      <c r="Q82" s="1316"/>
      <c r="R82" s="1316"/>
      <c r="S82" s="1316"/>
      <c r="T82" s="439" cm="1" t="str">
        <f t="array" ref="T82:T82">T81</f>
        <v>false</v>
      </c>
      <c r="U82" s="1316"/>
      <c r="V82" s="676"/>
      <c r="W82" s="1316"/>
      <c r="X82" s="1482"/>
      <c r="Y82" s="1464"/>
      <c r="Z82" s="676"/>
      <c r="AA82" s="676"/>
      <c r="AB82" s="207" t="s">
        <v>283</v>
      </c>
      <c r="AC82" s="103" t="s">
        <v>668</v>
      </c>
      <c r="AD82" s="59" t="s">
        <v>512</v>
      </c>
      <c r="AE82" s="314">
        <f>AE83+AE84+AE97</f>
        <v>0</v>
      </c>
      <c r="AF82" s="314">
        <f>AF83+AF84+AF97</f>
        <v>0</v>
      </c>
      <c r="AG82" s="314">
        <f>AG83+AG84+AG97</f>
        <v>0</v>
      </c>
      <c r="AH82" s="314">
        <f>AH83+AH84+AH97</f>
        <v>0</v>
      </c>
      <c r="AI82" s="314">
        <f>AI83+AI84+AI97</f>
        <v>0</v>
      </c>
      <c r="AJ82" s="314">
        <f>AJ83+AJ84+AJ97</f>
        <v>0</v>
      </c>
      <c r="AK82" s="314">
        <f>AK83+AK84+AK97</f>
        <v>0</v>
      </c>
      <c r="AL82" s="314">
        <f>AL83+AL84+AL97</f>
        <v>0</v>
      </c>
      <c r="AM82" s="314">
        <f>AM83+AM84+AM97</f>
        <v>0</v>
      </c>
      <c r="AN82" s="314">
        <f>AN83+AN84+AN97</f>
        <v>0</v>
      </c>
      <c r="AO82" s="314">
        <f>AO83+AO84+AO97</f>
        <v>0</v>
      </c>
      <c r="AP82" s="314">
        <f>AP83+AP84+AP97</f>
        <v>0</v>
      </c>
      <c r="AQ82" s="314">
        <f>AQ83+AQ84+AQ97</f>
        <v>0</v>
      </c>
      <c r="AR82" s="314">
        <f>AR83+AR84+AR97</f>
        <v>0</v>
      </c>
      <c r="AS82" s="314">
        <f>AS83+AS84+AS97</f>
        <v>0</v>
      </c>
      <c r="AT82" s="314">
        <f>AT83+AT84+AT97</f>
        <v>0</v>
      </c>
      <c r="AU82" s="314">
        <f>AU83+AU84+AU97</f>
        <v>0</v>
      </c>
      <c r="AV82" s="314">
        <f>AV83+AV84+AV97</f>
        <v>0</v>
      </c>
      <c r="AW82" s="314">
        <f>AW83+AW84+AW97</f>
        <v>0</v>
      </c>
      <c r="AX82" s="314">
        <f>AX83+AX84+AX97</f>
        <v>0</v>
      </c>
      <c r="AY82" s="314">
        <f>AY83+AY84+AY97</f>
        <v>0</v>
      </c>
      <c r="AZ82" s="314">
        <f>AZ83+AZ84+AZ97</f>
        <v>0</v>
      </c>
      <c r="BA82" s="314">
        <f>BA83+BA84+BA97</f>
        <v>0</v>
      </c>
      <c r="BB82" s="314">
        <f>BB83+BB84+BB97</f>
        <v>0</v>
      </c>
      <c r="BC82" s="1887"/>
      <c r="BD82" s="676"/>
      <c r="BE82" s="676"/>
      <c r="BF82" s="998" t="s">
        <v>669</v>
      </c>
    </row>
    <row customHeight="1" ht="14.625" hidden="1">
      <c r="A83" s="676"/>
      <c r="B83" s="1176"/>
      <c r="C83" s="676"/>
      <c r="D83" s="676"/>
      <c r="E83" s="611">
        <v>15</v>
      </c>
      <c r="F83" s="50" cm="1" t="str">
        <f t="array" ref="F83:F83">OFFSET(E83,-1,1)</f>
        <v>0</v>
      </c>
      <c r="G83" s="64" t="str">
        <f>IF(OwnNeedsInPO="да","ПО","")</f>
        <v>ПО</v>
      </c>
      <c r="H83" s="64" t="s">
        <v>328</v>
      </c>
      <c r="I83" s="676"/>
      <c r="J83" s="676"/>
      <c r="K83" s="676"/>
      <c r="L83" s="676"/>
      <c r="M83" s="676"/>
      <c r="N83" s="676"/>
      <c r="O83" s="676"/>
      <c r="P83" s="1316"/>
      <c r="Q83" s="1316"/>
      <c r="R83" s="1316"/>
      <c r="S83" s="1316"/>
      <c r="T83" s="439" cm="1" t="str">
        <f t="array" ref="T83:T83">T82</f>
        <v>false</v>
      </c>
      <c r="U83" s="1316"/>
      <c r="V83" s="676"/>
      <c r="W83" s="1316"/>
      <c r="X83" s="1482"/>
      <c r="Y83" s="1464"/>
      <c r="Z83" s="676"/>
      <c r="AA83" s="676"/>
      <c r="AB83" s="207" t="s">
        <v>323</v>
      </c>
      <c r="AC83" s="103" t="s">
        <v>670</v>
      </c>
      <c r="AD83" s="59" t="s">
        <v>512</v>
      </c>
      <c r="AE83" s="1886"/>
      <c r="AF83" s="1886"/>
      <c r="AG83" s="1886"/>
      <c r="AH83" s="1886"/>
      <c r="AI83" s="243"/>
      <c r="AJ83" s="1886"/>
      <c r="AK83" s="1886"/>
      <c r="AL83" s="1886"/>
      <c r="AM83" s="1886"/>
      <c r="AN83" s="1886"/>
      <c r="AO83" s="1886"/>
      <c r="AP83" s="1886"/>
      <c r="AQ83" s="1886"/>
      <c r="AR83" s="1886"/>
      <c r="AS83" s="243"/>
      <c r="AT83" s="1886"/>
      <c r="AU83" s="1886"/>
      <c r="AV83" s="1886"/>
      <c r="AW83" s="1886"/>
      <c r="AX83" s="1886"/>
      <c r="AY83" s="1886"/>
      <c r="AZ83" s="1886"/>
      <c r="BA83" s="1886"/>
      <c r="BB83" s="1886"/>
      <c r="BC83" s="1887"/>
      <c r="BD83" s="676"/>
      <c r="BE83" s="676"/>
      <c r="BF83" s="998" t="s">
        <v>671</v>
      </c>
    </row>
    <row customHeight="1" ht="14.625" hidden="1">
      <c r="A84" s="676"/>
      <c r="B84" s="1176"/>
      <c r="C84" s="676"/>
      <c r="D84" s="676"/>
      <c r="E84" s="611">
        <v>15</v>
      </c>
      <c r="F84" s="50" cm="1" t="str">
        <f t="array" ref="F84:F84">OFFSET(E84,-1,1)</f>
        <v>0</v>
      </c>
      <c r="G84" s="64" t="s">
        <v>584</v>
      </c>
      <c r="H84" s="64" t="s">
        <v>491</v>
      </c>
      <c r="I84" s="676"/>
      <c r="J84" s="676"/>
      <c r="K84" s="676"/>
      <c r="L84" s="676"/>
      <c r="M84" s="676"/>
      <c r="N84" s="676"/>
      <c r="O84" s="676"/>
      <c r="P84" s="1316"/>
      <c r="Q84" s="1316"/>
      <c r="R84" s="1316"/>
      <c r="S84" s="1316"/>
      <c r="T84" s="439" cm="1" t="str">
        <f t="array" ref="T84:T84">T83</f>
        <v>false</v>
      </c>
      <c r="U84" s="1316"/>
      <c r="V84" s="676"/>
      <c r="W84" s="1316"/>
      <c r="X84" s="1482"/>
      <c r="Y84" s="1464"/>
      <c r="Z84" s="676"/>
      <c r="AA84" s="676"/>
      <c r="AB84" s="207" t="s">
        <v>536</v>
      </c>
      <c r="AC84" s="104" t="s">
        <v>672</v>
      </c>
      <c r="AD84" s="59" t="s">
        <v>512</v>
      </c>
      <c r="AE84" s="313">
        <f>AE85+AE88+AE91+AE94</f>
        <v>0</v>
      </c>
      <c r="AF84" s="313">
        <f>AF85+AF88+AF91+AF94</f>
        <v>0</v>
      </c>
      <c r="AG84" s="313">
        <f>AG85+AG88+AG91+AG94</f>
        <v>0</v>
      </c>
      <c r="AH84" s="313">
        <f>AH85+AH88+AH91+AH94</f>
        <v>0</v>
      </c>
      <c r="AI84" s="313">
        <f>AI85+AI88+AI91+AI94</f>
        <v>0</v>
      </c>
      <c r="AJ84" s="313">
        <f>AJ85+AJ88+AJ91+AJ94</f>
        <v>0</v>
      </c>
      <c r="AK84" s="313">
        <f>AK85+AK88+AK91+AK94</f>
        <v>0</v>
      </c>
      <c r="AL84" s="313">
        <f>AL85+AL88+AL91+AL94</f>
        <v>0</v>
      </c>
      <c r="AM84" s="313">
        <f>AM85+AM88+AM91+AM94</f>
        <v>0</v>
      </c>
      <c r="AN84" s="313">
        <f>AN85+AN88+AN91+AN94</f>
        <v>0</v>
      </c>
      <c r="AO84" s="313">
        <f>AO85+AO88+AO91+AO94</f>
        <v>0</v>
      </c>
      <c r="AP84" s="313">
        <f>AP85+AP88+AP91+AP94</f>
        <v>0</v>
      </c>
      <c r="AQ84" s="313">
        <f>AQ85+AQ88+AQ91+AQ94</f>
        <v>0</v>
      </c>
      <c r="AR84" s="313">
        <f>AR85+AR88+AR91+AR94</f>
        <v>0</v>
      </c>
      <c r="AS84" s="313">
        <f>AS85+AS88+AS91+AS94</f>
        <v>0</v>
      </c>
      <c r="AT84" s="313">
        <f>AT85+AT88+AT91+AT94</f>
        <v>0</v>
      </c>
      <c r="AU84" s="313">
        <f>AU85+AU88+AU91+AU94</f>
        <v>0</v>
      </c>
      <c r="AV84" s="313">
        <f>AV85+AV88+AV91+AV94</f>
        <v>0</v>
      </c>
      <c r="AW84" s="313">
        <f>AW85+AW88+AW91+AW94</f>
        <v>0</v>
      </c>
      <c r="AX84" s="313">
        <f>AX85+AX88+AX91+AX94</f>
        <v>0</v>
      </c>
      <c r="AY84" s="313">
        <f>AY85+AY88+AY91+AY94</f>
        <v>0</v>
      </c>
      <c r="AZ84" s="313">
        <f>AZ85+AZ88+AZ91+AZ94</f>
        <v>0</v>
      </c>
      <c r="BA84" s="313">
        <f>BA85+BA88+BA91+BA94</f>
        <v>0</v>
      </c>
      <c r="BB84" s="313">
        <f>BB85+BB88+BB91+BB94</f>
        <v>0</v>
      </c>
      <c r="BC84" s="1887"/>
      <c r="BD84" s="676"/>
      <c r="BE84" s="676"/>
      <c r="BF84" s="998" t="s">
        <v>673</v>
      </c>
    </row>
    <row customHeight="1" ht="14.625" hidden="1">
      <c r="A85" s="676"/>
      <c r="B85" s="1176"/>
      <c r="C85" s="676"/>
      <c r="D85" s="676"/>
      <c r="E85" s="611">
        <v>15</v>
      </c>
      <c r="F85" s="50" cm="1" t="str">
        <f t="array" ref="F85:F85">OFFSET(E85,-1,1)</f>
        <v>0</v>
      </c>
      <c r="G85" s="676"/>
      <c r="H85" s="64" t="s">
        <v>651</v>
      </c>
      <c r="I85" s="676"/>
      <c r="J85" s="676"/>
      <c r="K85" s="676"/>
      <c r="L85" s="676"/>
      <c r="M85" s="676"/>
      <c r="N85" s="676"/>
      <c r="O85" s="676"/>
      <c r="P85" s="1316"/>
      <c r="Q85" s="1316"/>
      <c r="R85" s="1316"/>
      <c r="S85" s="1316"/>
      <c r="T85" s="439" cm="1" t="str">
        <f t="array" ref="T85:T85">T84</f>
        <v>false</v>
      </c>
      <c r="U85" s="1316"/>
      <c r="V85" s="676"/>
      <c r="W85" s="1316"/>
      <c r="X85" s="1482"/>
      <c r="Y85" s="1464"/>
      <c r="Z85" s="676"/>
      <c r="AA85" s="676"/>
      <c r="AB85" s="207" t="s">
        <v>652</v>
      </c>
      <c r="AC85" s="159" t="s">
        <v>603</v>
      </c>
      <c r="AD85" s="59" t="s">
        <v>512</v>
      </c>
      <c r="AE85" s="313">
        <f>AE86+AE87</f>
        <v>0</v>
      </c>
      <c r="AF85" s="313">
        <f>AF86+AF87</f>
        <v>0</v>
      </c>
      <c r="AG85" s="313">
        <f>AG86+AG87</f>
        <v>0</v>
      </c>
      <c r="AH85" s="313">
        <f>AH86+AH87</f>
        <v>0</v>
      </c>
      <c r="AI85" s="313">
        <f>AI86+AI87</f>
        <v>0</v>
      </c>
      <c r="AJ85" s="313">
        <f>AJ86+AJ87</f>
        <v>0</v>
      </c>
      <c r="AK85" s="313">
        <f>AK86+AK87</f>
        <v>0</v>
      </c>
      <c r="AL85" s="313">
        <f>AL86+AL87</f>
        <v>0</v>
      </c>
      <c r="AM85" s="313">
        <f>AM86+AM87</f>
        <v>0</v>
      </c>
      <c r="AN85" s="313">
        <f>AN86+AN87</f>
        <v>0</v>
      </c>
      <c r="AO85" s="313">
        <f>AO86+AO87</f>
        <v>0</v>
      </c>
      <c r="AP85" s="313">
        <f>AP86+AP87</f>
        <v>0</v>
      </c>
      <c r="AQ85" s="313">
        <f>AQ86+AQ87</f>
        <v>0</v>
      </c>
      <c r="AR85" s="313">
        <f>AR86+AR87</f>
        <v>0</v>
      </c>
      <c r="AS85" s="313">
        <f>AS86+AS87</f>
        <v>0</v>
      </c>
      <c r="AT85" s="313">
        <f>AT86+AT87</f>
        <v>0</v>
      </c>
      <c r="AU85" s="313">
        <f>AU86+AU87</f>
        <v>0</v>
      </c>
      <c r="AV85" s="313">
        <f>AV86+AV87</f>
        <v>0</v>
      </c>
      <c r="AW85" s="313">
        <f>AW86+AW87</f>
        <v>0</v>
      </c>
      <c r="AX85" s="313">
        <f>AX86+AX87</f>
        <v>0</v>
      </c>
      <c r="AY85" s="313">
        <f>AY86+AY87</f>
        <v>0</v>
      </c>
      <c r="AZ85" s="313">
        <f>AZ86+AZ87</f>
        <v>0</v>
      </c>
      <c r="BA85" s="313">
        <f>BA86+BA87</f>
        <v>0</v>
      </c>
      <c r="BB85" s="313">
        <f>BB86+BB87</f>
        <v>0</v>
      </c>
      <c r="BC85" s="1887"/>
      <c r="BD85" s="676"/>
      <c r="BE85" s="676"/>
      <c r="BF85" s="998" t="s">
        <v>674</v>
      </c>
    </row>
    <row customHeight="1" ht="14.625" hidden="1">
      <c r="A86" s="676"/>
      <c r="B86" s="1176"/>
      <c r="C86" s="676"/>
      <c r="D86" s="676"/>
      <c r="E86" s="611">
        <v>15</v>
      </c>
      <c r="F86" s="50" cm="1" t="str">
        <f t="array" ref="F86:F86">OFFSET(E86,-1,1)</f>
        <v>0</v>
      </c>
      <c r="G86" s="676"/>
      <c r="H86" s="64" t="s">
        <v>675</v>
      </c>
      <c r="I86" s="676"/>
      <c r="J86" s="676"/>
      <c r="K86" s="676"/>
      <c r="L86" s="676"/>
      <c r="M86" s="676"/>
      <c r="N86" s="676"/>
      <c r="O86" s="676"/>
      <c r="P86" s="1316"/>
      <c r="Q86" s="1316"/>
      <c r="R86" s="1316"/>
      <c r="S86" s="1316"/>
      <c r="T86" s="439" cm="1" t="str">
        <f t="array" ref="T86:T86">T85</f>
        <v>false</v>
      </c>
      <c r="U86" s="1316"/>
      <c r="V86" s="676"/>
      <c r="W86" s="1316"/>
      <c r="X86" s="1482"/>
      <c r="Y86" s="1464"/>
      <c r="Z86" s="676"/>
      <c r="AA86" s="676"/>
      <c r="AB86" s="207" t="s">
        <v>676</v>
      </c>
      <c r="AC86" s="305" t="s">
        <v>591</v>
      </c>
      <c r="AD86" s="59" t="s">
        <v>512</v>
      </c>
      <c r="AE86" s="1886"/>
      <c r="AF86" s="1886"/>
      <c r="AG86" s="1886"/>
      <c r="AH86" s="1886"/>
      <c r="AI86" s="243"/>
      <c r="AJ86" s="1886"/>
      <c r="AK86" s="1886"/>
      <c r="AL86" s="1886"/>
      <c r="AM86" s="1886"/>
      <c r="AN86" s="1886"/>
      <c r="AO86" s="1886"/>
      <c r="AP86" s="1886"/>
      <c r="AQ86" s="1886"/>
      <c r="AR86" s="1886"/>
      <c r="AS86" s="243"/>
      <c r="AT86" s="1886"/>
      <c r="AU86" s="1886"/>
      <c r="AV86" s="1886"/>
      <c r="AW86" s="1886"/>
      <c r="AX86" s="1886"/>
      <c r="AY86" s="1886"/>
      <c r="AZ86" s="1886"/>
      <c r="BA86" s="1886"/>
      <c r="BB86" s="1886"/>
      <c r="BC86" s="1887"/>
      <c r="BD86" s="676"/>
      <c r="BE86" s="676"/>
      <c r="BF86" s="998" t="s">
        <v>677</v>
      </c>
    </row>
    <row customHeight="1" ht="14.625" hidden="1">
      <c r="A87" s="676"/>
      <c r="B87" s="1176"/>
      <c r="C87" s="676"/>
      <c r="D87" s="676"/>
      <c r="E87" s="611">
        <v>15</v>
      </c>
      <c r="F87" s="50" cm="1" t="str">
        <f t="array" ref="F87:F87">OFFSET(E87,-1,1)</f>
        <v>0</v>
      </c>
      <c r="G87" s="676"/>
      <c r="H87" s="64" t="s">
        <v>678</v>
      </c>
      <c r="I87" s="676"/>
      <c r="J87" s="676"/>
      <c r="K87" s="676"/>
      <c r="L87" s="676"/>
      <c r="M87" s="676"/>
      <c r="N87" s="676"/>
      <c r="O87" s="676"/>
      <c r="P87" s="1316"/>
      <c r="Q87" s="1316"/>
      <c r="R87" s="1316"/>
      <c r="S87" s="1316"/>
      <c r="T87" s="439" cm="1" t="str">
        <f t="array" ref="T87:T87">T86</f>
        <v>false</v>
      </c>
      <c r="U87" s="1316"/>
      <c r="V87" s="676"/>
      <c r="W87" s="1316"/>
      <c r="X87" s="1482"/>
      <c r="Y87" s="1464"/>
      <c r="Z87" s="676"/>
      <c r="AA87" s="676"/>
      <c r="AB87" s="207" t="s">
        <v>679</v>
      </c>
      <c r="AC87" s="305" t="s">
        <v>595</v>
      </c>
      <c r="AD87" s="59" t="s">
        <v>512</v>
      </c>
      <c r="AE87" s="1886"/>
      <c r="AF87" s="1886"/>
      <c r="AG87" s="1886"/>
      <c r="AH87" s="1886"/>
      <c r="AI87" s="243"/>
      <c r="AJ87" s="1886"/>
      <c r="AK87" s="1886"/>
      <c r="AL87" s="1886"/>
      <c r="AM87" s="1886"/>
      <c r="AN87" s="1886"/>
      <c r="AO87" s="1886"/>
      <c r="AP87" s="1886"/>
      <c r="AQ87" s="1886"/>
      <c r="AR87" s="1886"/>
      <c r="AS87" s="243"/>
      <c r="AT87" s="1886"/>
      <c r="AU87" s="1886"/>
      <c r="AV87" s="1886"/>
      <c r="AW87" s="1886"/>
      <c r="AX87" s="1886"/>
      <c r="AY87" s="1886"/>
      <c r="AZ87" s="1886"/>
      <c r="BA87" s="1886"/>
      <c r="BB87" s="1886"/>
      <c r="BC87" s="1887"/>
      <c r="BD87" s="676"/>
      <c r="BE87" s="676"/>
      <c r="BF87" s="998" t="s">
        <v>680</v>
      </c>
    </row>
    <row customHeight="1" ht="14.625" hidden="1">
      <c r="A88" s="676"/>
      <c r="B88" s="1176"/>
      <c r="C88" s="676"/>
      <c r="D88" s="676"/>
      <c r="E88" s="611">
        <v>15</v>
      </c>
      <c r="F88" s="50" cm="1" t="str">
        <f t="array" ref="F88:F88">OFFSET(E88,-1,1)</f>
        <v>0</v>
      </c>
      <c r="G88" s="64" t="s">
        <v>611</v>
      </c>
      <c r="H88" s="64" t="s">
        <v>654</v>
      </c>
      <c r="I88" s="676"/>
      <c r="J88" s="676"/>
      <c r="K88" s="676"/>
      <c r="L88" s="676"/>
      <c r="M88" s="676"/>
      <c r="N88" s="676"/>
      <c r="O88" s="676"/>
      <c r="P88" s="1316"/>
      <c r="Q88" s="1316"/>
      <c r="R88" s="1316"/>
      <c r="S88" s="1316"/>
      <c r="T88" s="439" cm="1" t="str">
        <f t="array" ref="T88:T88">T87</f>
        <v>false</v>
      </c>
      <c r="U88" s="1316"/>
      <c r="V88" s="676"/>
      <c r="W88" s="1316"/>
      <c r="X88" s="1482"/>
      <c r="Y88" s="1464"/>
      <c r="Z88" s="676"/>
      <c r="AA88" s="676"/>
      <c r="AB88" s="207" t="s">
        <v>655</v>
      </c>
      <c r="AC88" s="159" t="s">
        <v>614</v>
      </c>
      <c r="AD88" s="59" t="s">
        <v>512</v>
      </c>
      <c r="AE88" s="313">
        <f>AE89+AE90</f>
        <v>0</v>
      </c>
      <c r="AF88" s="313">
        <f>AF89+AF90</f>
        <v>0</v>
      </c>
      <c r="AG88" s="313">
        <f>AG89+AG90</f>
        <v>0</v>
      </c>
      <c r="AH88" s="313">
        <f>AH89+AH90</f>
        <v>0</v>
      </c>
      <c r="AI88" s="313">
        <f>AI89+AI90</f>
        <v>0</v>
      </c>
      <c r="AJ88" s="313">
        <f>AJ89+AJ90</f>
        <v>0</v>
      </c>
      <c r="AK88" s="313">
        <f>AK89+AK90</f>
        <v>0</v>
      </c>
      <c r="AL88" s="313">
        <f>AL89+AL90</f>
        <v>0</v>
      </c>
      <c r="AM88" s="313">
        <f>AM89+AM90</f>
        <v>0</v>
      </c>
      <c r="AN88" s="313">
        <f>AN89+AN90</f>
        <v>0</v>
      </c>
      <c r="AO88" s="313">
        <f>AO89+AO90</f>
        <v>0</v>
      </c>
      <c r="AP88" s="313">
        <f>AP89+AP90</f>
        <v>0</v>
      </c>
      <c r="AQ88" s="313">
        <f>AQ89+AQ90</f>
        <v>0</v>
      </c>
      <c r="AR88" s="313">
        <f>AR89+AR90</f>
        <v>0</v>
      </c>
      <c r="AS88" s="313">
        <f>AS89+AS90</f>
        <v>0</v>
      </c>
      <c r="AT88" s="313">
        <f>AT89+AT90</f>
        <v>0</v>
      </c>
      <c r="AU88" s="313">
        <f>AU89+AU90</f>
        <v>0</v>
      </c>
      <c r="AV88" s="313">
        <f>AV89+AV90</f>
        <v>0</v>
      </c>
      <c r="AW88" s="313">
        <f>AW89+AW90</f>
        <v>0</v>
      </c>
      <c r="AX88" s="313">
        <f>AX89+AX90</f>
        <v>0</v>
      </c>
      <c r="AY88" s="313">
        <f>AY89+AY90</f>
        <v>0</v>
      </c>
      <c r="AZ88" s="313">
        <f>AZ89+AZ90</f>
        <v>0</v>
      </c>
      <c r="BA88" s="313">
        <f>BA89+BA90</f>
        <v>0</v>
      </c>
      <c r="BB88" s="313">
        <f>BB89+BB90</f>
        <v>0</v>
      </c>
      <c r="BC88" s="1887"/>
      <c r="BD88" s="676"/>
      <c r="BE88" s="676"/>
      <c r="BF88" s="998" t="s">
        <v>681</v>
      </c>
    </row>
    <row customHeight="1" ht="14.625" hidden="1">
      <c r="A89" s="676"/>
      <c r="B89" s="1176"/>
      <c r="C89" s="676"/>
      <c r="D89" s="676"/>
      <c r="E89" s="611">
        <v>15</v>
      </c>
      <c r="F89" s="50" cm="1" t="str">
        <f t="array" ref="F89:F89">OFFSET(E89,-1,1)</f>
        <v>0</v>
      </c>
      <c r="G89" s="676"/>
      <c r="H89" s="64" t="s">
        <v>682</v>
      </c>
      <c r="I89" s="676"/>
      <c r="J89" s="676"/>
      <c r="K89" s="676"/>
      <c r="L89" s="676"/>
      <c r="M89" s="676"/>
      <c r="N89" s="676"/>
      <c r="O89" s="676"/>
      <c r="P89" s="1316"/>
      <c r="Q89" s="1316"/>
      <c r="R89" s="1316"/>
      <c r="S89" s="1316"/>
      <c r="T89" s="439" cm="1" t="str">
        <f t="array" ref="T89:T89">T88</f>
        <v>false</v>
      </c>
      <c r="U89" s="1316"/>
      <c r="V89" s="676"/>
      <c r="W89" s="1316"/>
      <c r="X89" s="1482"/>
      <c r="Y89" s="1464"/>
      <c r="Z89" s="676"/>
      <c r="AA89" s="676"/>
      <c r="AB89" s="207" t="s">
        <v>683</v>
      </c>
      <c r="AC89" s="305" t="s">
        <v>591</v>
      </c>
      <c r="AD89" s="59" t="s">
        <v>512</v>
      </c>
      <c r="AE89" s="1886"/>
      <c r="AF89" s="1886"/>
      <c r="AG89" s="1886"/>
      <c r="AH89" s="1886"/>
      <c r="AI89" s="243"/>
      <c r="AJ89" s="1886"/>
      <c r="AK89" s="1886"/>
      <c r="AL89" s="1886"/>
      <c r="AM89" s="1886"/>
      <c r="AN89" s="1886"/>
      <c r="AO89" s="1886"/>
      <c r="AP89" s="1886"/>
      <c r="AQ89" s="1886"/>
      <c r="AR89" s="1886"/>
      <c r="AS89" s="243"/>
      <c r="AT89" s="1886"/>
      <c r="AU89" s="1886"/>
      <c r="AV89" s="1886"/>
      <c r="AW89" s="1886"/>
      <c r="AX89" s="1886"/>
      <c r="AY89" s="1886"/>
      <c r="AZ89" s="1886"/>
      <c r="BA89" s="1886"/>
      <c r="BB89" s="1886"/>
      <c r="BC89" s="1887"/>
      <c r="BD89" s="676"/>
      <c r="BE89" s="676"/>
      <c r="BF89" s="998" t="s">
        <v>684</v>
      </c>
    </row>
    <row customHeight="1" ht="14.625" hidden="1">
      <c r="A90" s="676"/>
      <c r="B90" s="1176"/>
      <c r="C90" s="676"/>
      <c r="D90" s="676"/>
      <c r="E90" s="611">
        <v>15</v>
      </c>
      <c r="F90" s="50" cm="1" t="str">
        <f t="array" ref="F90:F90">OFFSET(E90,-1,1)</f>
        <v>0</v>
      </c>
      <c r="G90" s="676"/>
      <c r="H90" s="64" t="s">
        <v>685</v>
      </c>
      <c r="I90" s="676"/>
      <c r="J90" s="676"/>
      <c r="K90" s="676"/>
      <c r="L90" s="676"/>
      <c r="M90" s="676"/>
      <c r="N90" s="676"/>
      <c r="O90" s="676"/>
      <c r="P90" s="1316"/>
      <c r="Q90" s="1316"/>
      <c r="R90" s="1316"/>
      <c r="S90" s="1316"/>
      <c r="T90" s="439" cm="1" t="str">
        <f t="array" ref="T90:T90">T89</f>
        <v>false</v>
      </c>
      <c r="U90" s="1316"/>
      <c r="V90" s="676"/>
      <c r="W90" s="1316"/>
      <c r="X90" s="1482"/>
      <c r="Y90" s="1464"/>
      <c r="Z90" s="676"/>
      <c r="AA90" s="676"/>
      <c r="AB90" s="207" t="s">
        <v>686</v>
      </c>
      <c r="AC90" s="305" t="s">
        <v>595</v>
      </c>
      <c r="AD90" s="59" t="s">
        <v>512</v>
      </c>
      <c r="AE90" s="1886"/>
      <c r="AF90" s="1886"/>
      <c r="AG90" s="1886"/>
      <c r="AH90" s="1886"/>
      <c r="AI90" s="243"/>
      <c r="AJ90" s="1886"/>
      <c r="AK90" s="1886"/>
      <c r="AL90" s="1886"/>
      <c r="AM90" s="1886"/>
      <c r="AN90" s="1886"/>
      <c r="AO90" s="1886"/>
      <c r="AP90" s="1886"/>
      <c r="AQ90" s="1886"/>
      <c r="AR90" s="1886"/>
      <c r="AS90" s="243"/>
      <c r="AT90" s="1886"/>
      <c r="AU90" s="1886"/>
      <c r="AV90" s="1886"/>
      <c r="AW90" s="1886"/>
      <c r="AX90" s="1886"/>
      <c r="AY90" s="1886"/>
      <c r="AZ90" s="1886"/>
      <c r="BA90" s="1886"/>
      <c r="BB90" s="1886"/>
      <c r="BC90" s="1887"/>
      <c r="BD90" s="676"/>
      <c r="BE90" s="676"/>
      <c r="BF90" s="998" t="s">
        <v>687</v>
      </c>
    </row>
    <row customHeight="1" ht="14.625" hidden="1">
      <c r="A91" s="676"/>
      <c r="B91" s="1176"/>
      <c r="C91" s="676"/>
      <c r="D91" s="676"/>
      <c r="E91" s="611">
        <v>15</v>
      </c>
      <c r="F91" s="50" cm="1" t="str">
        <f t="array" ref="F91:F91">OFFSET(E91,-1,1)</f>
        <v>0</v>
      </c>
      <c r="G91" s="676"/>
      <c r="H91" s="64" t="s">
        <v>688</v>
      </c>
      <c r="I91" s="676"/>
      <c r="J91" s="676"/>
      <c r="K91" s="676"/>
      <c r="L91" s="676"/>
      <c r="M91" s="676"/>
      <c r="N91" s="676"/>
      <c r="O91" s="676"/>
      <c r="P91" s="1316"/>
      <c r="Q91" s="1316"/>
      <c r="R91" s="1316"/>
      <c r="S91" s="1316"/>
      <c r="T91" s="439" cm="1" t="str">
        <f t="array" ref="T91:T91">T90</f>
        <v>false</v>
      </c>
      <c r="U91" s="1316"/>
      <c r="V91" s="676"/>
      <c r="W91" s="1316"/>
      <c r="X91" s="1482"/>
      <c r="Y91" s="1464"/>
      <c r="Z91" s="676"/>
      <c r="AA91" s="676"/>
      <c r="AB91" s="207" t="s">
        <v>689</v>
      </c>
      <c r="AC91" s="159" t="s">
        <v>624</v>
      </c>
      <c r="AD91" s="59" t="s">
        <v>512</v>
      </c>
      <c r="AE91" s="313">
        <f>AE92+AE93</f>
        <v>0</v>
      </c>
      <c r="AF91" s="313">
        <f>AF92+AF93</f>
        <v>0</v>
      </c>
      <c r="AG91" s="313">
        <f>AG92+AG93</f>
        <v>0</v>
      </c>
      <c r="AH91" s="313">
        <f>AH92+AH93</f>
        <v>0</v>
      </c>
      <c r="AI91" s="313">
        <f>AI92+AI93</f>
        <v>0</v>
      </c>
      <c r="AJ91" s="313">
        <f>AJ92+AJ93</f>
        <v>0</v>
      </c>
      <c r="AK91" s="313">
        <f>AK92+AK93</f>
        <v>0</v>
      </c>
      <c r="AL91" s="313">
        <f>AL92+AL93</f>
        <v>0</v>
      </c>
      <c r="AM91" s="313">
        <f>AM92+AM93</f>
        <v>0</v>
      </c>
      <c r="AN91" s="313">
        <f>AN92+AN93</f>
        <v>0</v>
      </c>
      <c r="AO91" s="313">
        <f>AO92+AO93</f>
        <v>0</v>
      </c>
      <c r="AP91" s="313">
        <f>AP92+AP93</f>
        <v>0</v>
      </c>
      <c r="AQ91" s="313">
        <f>AQ92+AQ93</f>
        <v>0</v>
      </c>
      <c r="AR91" s="313">
        <f>AR92+AR93</f>
        <v>0</v>
      </c>
      <c r="AS91" s="313">
        <f>AS92+AS93</f>
        <v>0</v>
      </c>
      <c r="AT91" s="313">
        <f>AT92+AT93</f>
        <v>0</v>
      </c>
      <c r="AU91" s="313">
        <f>AU92+AU93</f>
        <v>0</v>
      </c>
      <c r="AV91" s="313">
        <f>AV92+AV93</f>
        <v>0</v>
      </c>
      <c r="AW91" s="313">
        <f>AW92+AW93</f>
        <v>0</v>
      </c>
      <c r="AX91" s="313">
        <f>AX92+AX93</f>
        <v>0</v>
      </c>
      <c r="AY91" s="313">
        <f>AY92+AY93</f>
        <v>0</v>
      </c>
      <c r="AZ91" s="313">
        <f>AZ92+AZ93</f>
        <v>0</v>
      </c>
      <c r="BA91" s="313">
        <f>BA92+BA93</f>
        <v>0</v>
      </c>
      <c r="BB91" s="313">
        <f>BB92+BB93</f>
        <v>0</v>
      </c>
      <c r="BC91" s="1887"/>
      <c r="BD91" s="676"/>
      <c r="BE91" s="676"/>
      <c r="BF91" s="998" t="s">
        <v>690</v>
      </c>
    </row>
    <row customHeight="1" ht="14.625" hidden="1">
      <c r="A92" s="676"/>
      <c r="B92" s="1176"/>
      <c r="C92" s="676"/>
      <c r="D92" s="676"/>
      <c r="E92" s="611">
        <v>15</v>
      </c>
      <c r="F92" s="50" cm="1" t="str">
        <f t="array" ref="F92:F92">OFFSET(E92,-1,1)</f>
        <v>0</v>
      </c>
      <c r="G92" s="676"/>
      <c r="H92" s="64" t="s">
        <v>691</v>
      </c>
      <c r="I92" s="676"/>
      <c r="J92" s="676"/>
      <c r="K92" s="676"/>
      <c r="L92" s="676"/>
      <c r="M92" s="676"/>
      <c r="N92" s="676"/>
      <c r="O92" s="676"/>
      <c r="P92" s="1316"/>
      <c r="Q92" s="1316"/>
      <c r="R92" s="1316"/>
      <c r="S92" s="1316"/>
      <c r="T92" s="439" cm="1" t="str">
        <f t="array" ref="T92:T92">T91</f>
        <v>false</v>
      </c>
      <c r="U92" s="1316"/>
      <c r="V92" s="676"/>
      <c r="W92" s="1316"/>
      <c r="X92" s="1482"/>
      <c r="Y92" s="1464"/>
      <c r="Z92" s="676"/>
      <c r="AA92" s="676"/>
      <c r="AB92" s="207" t="s">
        <v>692</v>
      </c>
      <c r="AC92" s="305" t="s">
        <v>591</v>
      </c>
      <c r="AD92" s="59" t="s">
        <v>512</v>
      </c>
      <c r="AE92" s="1886"/>
      <c r="AF92" s="1886"/>
      <c r="AG92" s="1886"/>
      <c r="AH92" s="1886"/>
      <c r="AI92" s="243"/>
      <c r="AJ92" s="1886"/>
      <c r="AK92" s="1886"/>
      <c r="AL92" s="1886"/>
      <c r="AM92" s="1886"/>
      <c r="AN92" s="1886"/>
      <c r="AO92" s="1886"/>
      <c r="AP92" s="1886"/>
      <c r="AQ92" s="1886"/>
      <c r="AR92" s="1886"/>
      <c r="AS92" s="243"/>
      <c r="AT92" s="1886"/>
      <c r="AU92" s="1886"/>
      <c r="AV92" s="1886"/>
      <c r="AW92" s="1886"/>
      <c r="AX92" s="1886"/>
      <c r="AY92" s="1886"/>
      <c r="AZ92" s="1886"/>
      <c r="BA92" s="1886"/>
      <c r="BB92" s="1886"/>
      <c r="BC92" s="1887"/>
      <c r="BD92" s="676"/>
      <c r="BE92" s="676"/>
      <c r="BF92" s="998" t="s">
        <v>693</v>
      </c>
    </row>
    <row customHeight="1" ht="14.625" hidden="1">
      <c r="A93" s="676"/>
      <c r="B93" s="1176"/>
      <c r="C93" s="676"/>
      <c r="D93" s="676"/>
      <c r="E93" s="611">
        <v>15</v>
      </c>
      <c r="F93" s="50" cm="1" t="str">
        <f t="array" ref="F93:F93">OFFSET(E93,-1,1)</f>
        <v>0</v>
      </c>
      <c r="G93" s="676"/>
      <c r="H93" s="64" t="s">
        <v>694</v>
      </c>
      <c r="I93" s="676"/>
      <c r="J93" s="676"/>
      <c r="K93" s="676"/>
      <c r="L93" s="676"/>
      <c r="M93" s="676"/>
      <c r="N93" s="676"/>
      <c r="O93" s="676"/>
      <c r="P93" s="1316"/>
      <c r="Q93" s="1316"/>
      <c r="R93" s="1316"/>
      <c r="S93" s="1316"/>
      <c r="T93" s="439" cm="1" t="str">
        <f t="array" ref="T93:T93">T92</f>
        <v>false</v>
      </c>
      <c r="U93" s="1316"/>
      <c r="V93" s="676"/>
      <c r="W93" s="1316"/>
      <c r="X93" s="1482"/>
      <c r="Y93" s="1464"/>
      <c r="Z93" s="676"/>
      <c r="AA93" s="676"/>
      <c r="AB93" s="207" t="s">
        <v>695</v>
      </c>
      <c r="AC93" s="305" t="s">
        <v>595</v>
      </c>
      <c r="AD93" s="59" t="s">
        <v>512</v>
      </c>
      <c r="AE93" s="1886"/>
      <c r="AF93" s="1886"/>
      <c r="AG93" s="1886"/>
      <c r="AH93" s="1886"/>
      <c r="AI93" s="243"/>
      <c r="AJ93" s="1886"/>
      <c r="AK93" s="1886"/>
      <c r="AL93" s="1886"/>
      <c r="AM93" s="1886"/>
      <c r="AN93" s="1886"/>
      <c r="AO93" s="1886"/>
      <c r="AP93" s="1886"/>
      <c r="AQ93" s="1886"/>
      <c r="AR93" s="1886"/>
      <c r="AS93" s="243"/>
      <c r="AT93" s="1886"/>
      <c r="AU93" s="1886"/>
      <c r="AV93" s="1886"/>
      <c r="AW93" s="1886"/>
      <c r="AX93" s="1886"/>
      <c r="AY93" s="1886"/>
      <c r="AZ93" s="1886"/>
      <c r="BA93" s="1886"/>
      <c r="BB93" s="1886"/>
      <c r="BC93" s="1887"/>
      <c r="BD93" s="676"/>
      <c r="BE93" s="676"/>
      <c r="BF93" s="998" t="s">
        <v>696</v>
      </c>
    </row>
    <row customHeight="1" ht="14.625" hidden="1">
      <c r="A94" s="676"/>
      <c r="B94" s="1176"/>
      <c r="C94" s="676"/>
      <c r="D94" s="676"/>
      <c r="E94" s="611">
        <v>15</v>
      </c>
      <c r="F94" s="50" cm="1" t="str">
        <f t="array" ref="F94:F94">OFFSET(E94,-1,1)</f>
        <v>0</v>
      </c>
      <c r="G94" s="676"/>
      <c r="H94" s="64" t="s">
        <v>697</v>
      </c>
      <c r="I94" s="676"/>
      <c r="J94" s="676"/>
      <c r="K94" s="676"/>
      <c r="L94" s="676"/>
      <c r="M94" s="676"/>
      <c r="N94" s="676"/>
      <c r="O94" s="676"/>
      <c r="P94" s="1316"/>
      <c r="Q94" s="1316"/>
      <c r="R94" s="1316"/>
      <c r="S94" s="1316"/>
      <c r="T94" s="439" cm="1" t="str">
        <f t="array" ref="T94:T94">T93</f>
        <v>false</v>
      </c>
      <c r="U94" s="1316"/>
      <c r="V94" s="676"/>
      <c r="W94" s="1316"/>
      <c r="X94" s="1482"/>
      <c r="Y94" s="1464"/>
      <c r="Z94" s="676"/>
      <c r="AA94" s="676"/>
      <c r="AB94" s="207" t="s">
        <v>698</v>
      </c>
      <c r="AC94" s="159" t="s">
        <v>699</v>
      </c>
      <c r="AD94" s="59" t="s">
        <v>512</v>
      </c>
      <c r="AE94" s="313">
        <f>AE95+AE96</f>
        <v>0</v>
      </c>
      <c r="AF94" s="313">
        <f>AF95+AF96</f>
        <v>0</v>
      </c>
      <c r="AG94" s="313">
        <f>AG95+AG96</f>
        <v>0</v>
      </c>
      <c r="AH94" s="313">
        <f>AH95+AH96</f>
        <v>0</v>
      </c>
      <c r="AI94" s="313">
        <f>AI95+AI96</f>
        <v>0</v>
      </c>
      <c r="AJ94" s="313">
        <f>AJ95+AJ96</f>
        <v>0</v>
      </c>
      <c r="AK94" s="313">
        <f>AK95+AK96</f>
        <v>0</v>
      </c>
      <c r="AL94" s="313">
        <f>AL95+AL96</f>
        <v>0</v>
      </c>
      <c r="AM94" s="313">
        <f>AM95+AM96</f>
        <v>0</v>
      </c>
      <c r="AN94" s="313">
        <f>AN95+AN96</f>
        <v>0</v>
      </c>
      <c r="AO94" s="313">
        <f>AO95+AO96</f>
        <v>0</v>
      </c>
      <c r="AP94" s="313">
        <f>AP95+AP96</f>
        <v>0</v>
      </c>
      <c r="AQ94" s="313">
        <f>AQ95+AQ96</f>
        <v>0</v>
      </c>
      <c r="AR94" s="313">
        <f>AR95+AR96</f>
        <v>0</v>
      </c>
      <c r="AS94" s="313">
        <f>AS95+AS96</f>
        <v>0</v>
      </c>
      <c r="AT94" s="313">
        <f>AT95+AT96</f>
        <v>0</v>
      </c>
      <c r="AU94" s="313">
        <f>AU95+AU96</f>
        <v>0</v>
      </c>
      <c r="AV94" s="313">
        <f>AV95+AV96</f>
        <v>0</v>
      </c>
      <c r="AW94" s="313">
        <f>AW95+AW96</f>
        <v>0</v>
      </c>
      <c r="AX94" s="313">
        <f>AX95+AX96</f>
        <v>0</v>
      </c>
      <c r="AY94" s="313">
        <f>AY95+AY96</f>
        <v>0</v>
      </c>
      <c r="AZ94" s="313">
        <f>AZ95+AZ96</f>
        <v>0</v>
      </c>
      <c r="BA94" s="313">
        <f>BA95+BA96</f>
        <v>0</v>
      </c>
      <c r="BB94" s="313">
        <f>BB95+BB96</f>
        <v>0</v>
      </c>
      <c r="BC94" s="1887"/>
      <c r="BD94" s="676"/>
      <c r="BE94" s="676"/>
      <c r="BF94" s="998" t="s">
        <v>700</v>
      </c>
    </row>
    <row customHeight="1" ht="14.625" hidden="1">
      <c r="A95" s="676"/>
      <c r="B95" s="1176"/>
      <c r="C95" s="676"/>
      <c r="D95" s="676"/>
      <c r="E95" s="611">
        <v>15</v>
      </c>
      <c r="F95" s="50" cm="1" t="str">
        <f t="array" ref="F95:F95">OFFSET(E95,-1,1)</f>
        <v>0</v>
      </c>
      <c r="G95" s="676"/>
      <c r="H95" s="64" t="s">
        <v>701</v>
      </c>
      <c r="I95" s="676"/>
      <c r="J95" s="676"/>
      <c r="K95" s="676"/>
      <c r="L95" s="676"/>
      <c r="M95" s="676"/>
      <c r="N95" s="676"/>
      <c r="O95" s="676"/>
      <c r="P95" s="1316"/>
      <c r="Q95" s="1316"/>
      <c r="R95" s="1316"/>
      <c r="S95" s="1316"/>
      <c r="T95" s="439" cm="1" t="str">
        <f t="array" ref="T95:T95">T94</f>
        <v>false</v>
      </c>
      <c r="U95" s="1316"/>
      <c r="V95" s="676"/>
      <c r="W95" s="1316"/>
      <c r="X95" s="1482"/>
      <c r="Y95" s="1464"/>
      <c r="Z95" s="676"/>
      <c r="AA95" s="676"/>
      <c r="AB95" s="207" t="s">
        <v>702</v>
      </c>
      <c r="AC95" s="299" t="s">
        <v>591</v>
      </c>
      <c r="AD95" s="59" t="s">
        <v>512</v>
      </c>
      <c r="AE95" s="1886"/>
      <c r="AF95" s="1886"/>
      <c r="AG95" s="1886"/>
      <c r="AH95" s="1886"/>
      <c r="AI95" s="243"/>
      <c r="AJ95" s="1886"/>
      <c r="AK95" s="1886"/>
      <c r="AL95" s="1886"/>
      <c r="AM95" s="1886"/>
      <c r="AN95" s="1886"/>
      <c r="AO95" s="1886"/>
      <c r="AP95" s="1886"/>
      <c r="AQ95" s="1886"/>
      <c r="AR95" s="1886"/>
      <c r="AS95" s="243"/>
      <c r="AT95" s="1886"/>
      <c r="AU95" s="1886"/>
      <c r="AV95" s="1886"/>
      <c r="AW95" s="1886"/>
      <c r="AX95" s="1886"/>
      <c r="AY95" s="1886"/>
      <c r="AZ95" s="1886"/>
      <c r="BA95" s="1886"/>
      <c r="BB95" s="1886"/>
      <c r="BC95" s="1887"/>
      <c r="BD95" s="676"/>
      <c r="BE95" s="676"/>
      <c r="BF95" s="998" t="s">
        <v>703</v>
      </c>
    </row>
    <row customHeight="1" ht="14.625" hidden="1">
      <c r="A96" s="676"/>
      <c r="B96" s="1176"/>
      <c r="C96" s="676"/>
      <c r="D96" s="676"/>
      <c r="E96" s="611">
        <v>15</v>
      </c>
      <c r="F96" s="50" cm="1" t="str">
        <f t="array" ref="F96:F96">OFFSET(E96,-1,1)</f>
        <v>0</v>
      </c>
      <c r="G96" s="676"/>
      <c r="H96" s="64" t="s">
        <v>704</v>
      </c>
      <c r="I96" s="676"/>
      <c r="J96" s="676"/>
      <c r="K96" s="676"/>
      <c r="L96" s="676"/>
      <c r="M96" s="676"/>
      <c r="N96" s="676"/>
      <c r="O96" s="676"/>
      <c r="P96" s="1316"/>
      <c r="Q96" s="1316"/>
      <c r="R96" s="1316"/>
      <c r="S96" s="1316"/>
      <c r="T96" s="439" cm="1" t="str">
        <f t="array" ref="T96:T96">T95</f>
        <v>false</v>
      </c>
      <c r="U96" s="1316"/>
      <c r="V96" s="676"/>
      <c r="W96" s="1316"/>
      <c r="X96" s="1482"/>
      <c r="Y96" s="1464"/>
      <c r="Z96" s="676"/>
      <c r="AA96" s="676"/>
      <c r="AB96" s="207" t="s">
        <v>705</v>
      </c>
      <c r="AC96" s="299" t="s">
        <v>595</v>
      </c>
      <c r="AD96" s="59" t="s">
        <v>512</v>
      </c>
      <c r="AE96" s="1886"/>
      <c r="AF96" s="1886"/>
      <c r="AG96" s="1886"/>
      <c r="AH96" s="1886"/>
      <c r="AI96" s="243"/>
      <c r="AJ96" s="1886"/>
      <c r="AK96" s="1886"/>
      <c r="AL96" s="1886"/>
      <c r="AM96" s="1886"/>
      <c r="AN96" s="1886"/>
      <c r="AO96" s="1886"/>
      <c r="AP96" s="1886"/>
      <c r="AQ96" s="1886"/>
      <c r="AR96" s="1886"/>
      <c r="AS96" s="243"/>
      <c r="AT96" s="1886"/>
      <c r="AU96" s="1886"/>
      <c r="AV96" s="1886"/>
      <c r="AW96" s="1886"/>
      <c r="AX96" s="1886"/>
      <c r="AY96" s="1886"/>
      <c r="AZ96" s="1886"/>
      <c r="BA96" s="1886"/>
      <c r="BB96" s="1886"/>
      <c r="BC96" s="1887"/>
      <c r="BD96" s="676"/>
      <c r="BE96" s="676"/>
      <c r="BF96" s="998" t="s">
        <v>706</v>
      </c>
    </row>
    <row customHeight="1" ht="21.9375" hidden="1">
      <c r="A97" s="676"/>
      <c r="B97" s="1176"/>
      <c r="C97" s="676"/>
      <c r="D97" s="676"/>
      <c r="E97" s="611">
        <v>22.5</v>
      </c>
      <c r="F97" s="50" cm="1" t="str">
        <f t="array" ref="F97:F97">OFFSET(E97,-1,1)</f>
        <v>0</v>
      </c>
      <c r="G97" s="676"/>
      <c r="H97" s="64" t="s">
        <v>707</v>
      </c>
      <c r="I97" s="676"/>
      <c r="J97" s="676"/>
      <c r="K97" s="676"/>
      <c r="L97" s="676"/>
      <c r="M97" s="676"/>
      <c r="N97" s="676"/>
      <c r="O97" s="676"/>
      <c r="P97" s="1316"/>
      <c r="Q97" s="1316"/>
      <c r="R97" s="1316"/>
      <c r="S97" s="1316"/>
      <c r="T97" s="439" cm="1" t="str">
        <f t="array" ref="T97:T97">T96</f>
        <v>false</v>
      </c>
      <c r="U97" s="1316"/>
      <c r="V97" s="676"/>
      <c r="W97" s="1316"/>
      <c r="X97" s="1482"/>
      <c r="Y97" s="1464"/>
      <c r="Z97" s="676"/>
      <c r="AA97" s="676"/>
      <c r="AB97" s="207" t="s">
        <v>708</v>
      </c>
      <c r="AC97" s="306" t="s">
        <v>554</v>
      </c>
      <c r="AD97" s="59" t="s">
        <v>512</v>
      </c>
      <c r="AE97" s="1886"/>
      <c r="AF97" s="1886"/>
      <c r="AG97" s="1886"/>
      <c r="AH97" s="1886"/>
      <c r="AI97" s="243"/>
      <c r="AJ97" s="1886"/>
      <c r="AK97" s="1886"/>
      <c r="AL97" s="1886"/>
      <c r="AM97" s="1886"/>
      <c r="AN97" s="1886"/>
      <c r="AO97" s="1886"/>
      <c r="AP97" s="1886"/>
      <c r="AQ97" s="1886"/>
      <c r="AR97" s="1886"/>
      <c r="AS97" s="243"/>
      <c r="AT97" s="1886"/>
      <c r="AU97" s="1886"/>
      <c r="AV97" s="1886"/>
      <c r="AW97" s="1886"/>
      <c r="AX97" s="1886"/>
      <c r="AY97" s="1886"/>
      <c r="AZ97" s="1886"/>
      <c r="BA97" s="1886"/>
      <c r="BB97" s="1886"/>
      <c r="BC97" s="1887"/>
      <c r="BD97" s="676"/>
      <c r="BE97" s="676"/>
      <c r="BF97" s="998" t="s">
        <v>709</v>
      </c>
    </row>
    <row customHeight="1" ht="14.625" hidden="1">
      <c r="A98" s="676"/>
      <c r="B98" s="1176"/>
      <c r="C98" s="676"/>
      <c r="D98" s="676"/>
      <c r="E98" s="611">
        <v>15</v>
      </c>
      <c r="F98" s="50" cm="1" t="str">
        <f t="array" ref="F98:F98">OFFSET(E98,-1,1)</f>
        <v>0</v>
      </c>
      <c r="G98" s="676"/>
      <c r="H98" s="64" t="s">
        <v>495</v>
      </c>
      <c r="I98" s="676"/>
      <c r="J98" s="676"/>
      <c r="K98" s="676"/>
      <c r="L98" s="676"/>
      <c r="M98" s="676"/>
      <c r="N98" s="676"/>
      <c r="O98" s="676"/>
      <c r="P98" s="1316"/>
      <c r="Q98" s="1316"/>
      <c r="R98" s="1316"/>
      <c r="S98" s="1316"/>
      <c r="T98" s="439" cm="1" t="str">
        <f t="array" ref="T98:T98">T97</f>
        <v>false</v>
      </c>
      <c r="U98" s="1316"/>
      <c r="V98" s="676"/>
      <c r="W98" s="1316"/>
      <c r="X98" s="1482"/>
      <c r="Y98" s="1464"/>
      <c r="Z98" s="676"/>
      <c r="AA98" s="676"/>
      <c r="AB98" s="207" t="s">
        <v>492</v>
      </c>
      <c r="AC98" s="103" t="s">
        <v>710</v>
      </c>
      <c r="AD98" s="59" t="s">
        <v>512</v>
      </c>
      <c r="AE98" s="1886"/>
      <c r="AF98" s="1886"/>
      <c r="AG98" s="1886"/>
      <c r="AH98" s="1886"/>
      <c r="AI98" s="243"/>
      <c r="AJ98" s="1886"/>
      <c r="AK98" s="1886"/>
      <c r="AL98" s="1886"/>
      <c r="AM98" s="1886"/>
      <c r="AN98" s="1886"/>
      <c r="AO98" s="1886"/>
      <c r="AP98" s="1886"/>
      <c r="AQ98" s="1886"/>
      <c r="AR98" s="1886"/>
      <c r="AS98" s="243"/>
      <c r="AT98" s="1886"/>
      <c r="AU98" s="1886"/>
      <c r="AV98" s="1886"/>
      <c r="AW98" s="1886"/>
      <c r="AX98" s="1886"/>
      <c r="AY98" s="1886"/>
      <c r="AZ98" s="1886"/>
      <c r="BA98" s="1886"/>
      <c r="BB98" s="1886"/>
      <c r="BC98" s="1887"/>
      <c r="BD98" s="676"/>
      <c r="BE98" s="676"/>
      <c r="BF98" s="998" t="s">
        <v>711</v>
      </c>
    </row>
    <row customHeight="1" ht="14.625" hidden="1">
      <c r="A99" s="676"/>
      <c r="B99" s="1176"/>
      <c r="C99" s="676"/>
      <c r="D99" s="676"/>
      <c r="E99" s="611">
        <v>15</v>
      </c>
      <c r="F99" s="50" cm="1" t="str">
        <f t="array" ref="F99:F99">OFFSET(E99,-1,1)</f>
        <v>0</v>
      </c>
      <c r="G99" s="676"/>
      <c r="H99" s="64" t="s">
        <v>541</v>
      </c>
      <c r="I99" s="676"/>
      <c r="J99" s="676"/>
      <c r="K99" s="676"/>
      <c r="L99" s="676"/>
      <c r="M99" s="676"/>
      <c r="N99" s="676"/>
      <c r="O99" s="676"/>
      <c r="P99" s="1316"/>
      <c r="Q99" s="1316"/>
      <c r="R99" s="1316"/>
      <c r="S99" s="1316"/>
      <c r="T99" s="439" cm="1" t="str">
        <f t="array" ref="T99:T99">T98</f>
        <v>false</v>
      </c>
      <c r="U99" s="1316"/>
      <c r="V99" s="676"/>
      <c r="W99" s="1316"/>
      <c r="X99" s="1482"/>
      <c r="Y99" s="1464"/>
      <c r="Z99" s="676"/>
      <c r="AA99" s="676"/>
      <c r="AB99" s="207" t="s">
        <v>496</v>
      </c>
      <c r="AC99" s="103" t="s">
        <v>712</v>
      </c>
      <c r="AD99" s="59" t="s">
        <v>512</v>
      </c>
      <c r="AE99" s="1886"/>
      <c r="AF99" s="1886"/>
      <c r="AG99" s="1886"/>
      <c r="AH99" s="1886"/>
      <c r="AI99" s="243"/>
      <c r="AJ99" s="1886"/>
      <c r="AK99" s="1886"/>
      <c r="AL99" s="1886"/>
      <c r="AM99" s="1886"/>
      <c r="AN99" s="1886"/>
      <c r="AO99" s="1886"/>
      <c r="AP99" s="1886"/>
      <c r="AQ99" s="1886"/>
      <c r="AR99" s="1886"/>
      <c r="AS99" s="243"/>
      <c r="AT99" s="1886"/>
      <c r="AU99" s="1886"/>
      <c r="AV99" s="1886"/>
      <c r="AW99" s="1886"/>
      <c r="AX99" s="1886"/>
      <c r="AY99" s="1886"/>
      <c r="AZ99" s="1886"/>
      <c r="BA99" s="1886"/>
      <c r="BB99" s="1886"/>
      <c r="BC99" s="1887"/>
      <c r="BD99" s="676"/>
      <c r="BE99" s="676"/>
      <c r="BF99" s="998" t="s">
        <v>713</v>
      </c>
    </row>
    <row customHeight="1" ht="14.625" hidden="1">
      <c r="A100" s="676"/>
      <c r="B100" s="1176"/>
      <c r="C100" s="676"/>
      <c r="D100" s="676"/>
      <c r="E100" s="611">
        <v>15</v>
      </c>
      <c r="F100" s="50" cm="1" t="str">
        <f t="array" ref="F100:F100">OFFSET(E100,-1,1)</f>
        <v>0</v>
      </c>
      <c r="G100" s="676"/>
      <c r="H100" s="64" t="s">
        <v>556</v>
      </c>
      <c r="I100" s="676"/>
      <c r="J100" s="676"/>
      <c r="K100" s="676"/>
      <c r="L100" s="676"/>
      <c r="M100" s="676"/>
      <c r="N100" s="676"/>
      <c r="O100" s="676"/>
      <c r="P100" s="1316"/>
      <c r="Q100" s="1316"/>
      <c r="R100" s="1316"/>
      <c r="S100" s="1316"/>
      <c r="T100" s="439" cm="1" t="str">
        <f t="array" ref="T100:T100">T99</f>
        <v>false</v>
      </c>
      <c r="U100" s="1316"/>
      <c r="V100" s="676"/>
      <c r="W100" s="1316"/>
      <c r="X100" s="1482"/>
      <c r="Y100" s="1464"/>
      <c r="Z100" s="676"/>
      <c r="AA100" s="676"/>
      <c r="AB100" s="207" t="s">
        <v>557</v>
      </c>
      <c r="AC100" s="103" t="s">
        <v>714</v>
      </c>
      <c r="AD100" s="59" t="s">
        <v>512</v>
      </c>
      <c r="AE100" s="1886"/>
      <c r="AF100" s="1886"/>
      <c r="AG100" s="1886"/>
      <c r="AH100" s="1886"/>
      <c r="AI100" s="243"/>
      <c r="AJ100" s="1886"/>
      <c r="AK100" s="1886"/>
      <c r="AL100" s="1886"/>
      <c r="AM100" s="1886"/>
      <c r="AN100" s="1886"/>
      <c r="AO100" s="1886"/>
      <c r="AP100" s="1886"/>
      <c r="AQ100" s="1886"/>
      <c r="AR100" s="1886"/>
      <c r="AS100" s="243"/>
      <c r="AT100" s="1886"/>
      <c r="AU100" s="1886"/>
      <c r="AV100" s="1886"/>
      <c r="AW100" s="1886"/>
      <c r="AX100" s="1886"/>
      <c r="AY100" s="1886"/>
      <c r="AZ100" s="1886"/>
      <c r="BA100" s="1886"/>
      <c r="BB100" s="1886"/>
      <c r="BC100" s="1887"/>
      <c r="BD100" s="676"/>
      <c r="BE100" s="676"/>
      <c r="BF100" s="998" t="s">
        <v>715</v>
      </c>
    </row>
    <row customHeight="1" ht="14.625" hidden="1">
      <c r="A101" s="676"/>
      <c r="B101" s="1176"/>
      <c r="C101" s="676"/>
      <c r="D101" s="676"/>
      <c r="E101" s="611">
        <v>15</v>
      </c>
      <c r="F101" s="50" cm="1" t="str">
        <f t="array" ref="F101:F101">OFFSET(E101,-1,1)</f>
        <v>0</v>
      </c>
      <c r="G101" s="676"/>
      <c r="H101" s="64" t="s">
        <v>564</v>
      </c>
      <c r="I101" s="676"/>
      <c r="J101" s="676"/>
      <c r="K101" s="676"/>
      <c r="L101" s="676"/>
      <c r="M101" s="676"/>
      <c r="N101" s="676"/>
      <c r="O101" s="676"/>
      <c r="P101" s="1316"/>
      <c r="Q101" s="1316"/>
      <c r="R101" s="1316"/>
      <c r="S101" s="1316"/>
      <c r="T101" s="439" cm="1" t="str">
        <f t="array" ref="T101:T101">T100</f>
        <v>false</v>
      </c>
      <c r="U101" s="1316"/>
      <c r="V101" s="676"/>
      <c r="W101" s="1316"/>
      <c r="X101" s="1482"/>
      <c r="Y101" s="1464"/>
      <c r="Z101" s="676"/>
      <c r="AA101" s="676"/>
      <c r="AB101" s="207" t="s">
        <v>565</v>
      </c>
      <c r="AC101" s="104" t="s">
        <v>716</v>
      </c>
      <c r="AD101" s="59" t="s">
        <v>512</v>
      </c>
      <c r="AE101" s="313">
        <f>AE102+AE103</f>
        <v>0</v>
      </c>
      <c r="AF101" s="313">
        <f>AF102+AF103</f>
        <v>0</v>
      </c>
      <c r="AG101" s="313">
        <f>AG102+AG103</f>
        <v>0</v>
      </c>
      <c r="AH101" s="313">
        <f>AH102+AH103</f>
        <v>0</v>
      </c>
      <c r="AI101" s="313">
        <f>AI102+AI103</f>
        <v>0</v>
      </c>
      <c r="AJ101" s="313">
        <f>AJ102+AJ103</f>
        <v>0</v>
      </c>
      <c r="AK101" s="313">
        <f>AK102+AK103</f>
        <v>0</v>
      </c>
      <c r="AL101" s="313">
        <f>AL102+AL103</f>
        <v>0</v>
      </c>
      <c r="AM101" s="313">
        <f>AM102+AM103</f>
        <v>0</v>
      </c>
      <c r="AN101" s="313">
        <f>AN102+AN103</f>
        <v>0</v>
      </c>
      <c r="AO101" s="313">
        <f>AO102+AO103</f>
        <v>0</v>
      </c>
      <c r="AP101" s="313">
        <f>AP102+AP103</f>
        <v>0</v>
      </c>
      <c r="AQ101" s="313">
        <f>AQ102+AQ103</f>
        <v>0</v>
      </c>
      <c r="AR101" s="313">
        <f>AR102+AR103</f>
        <v>0</v>
      </c>
      <c r="AS101" s="313">
        <f>AS102+AS103</f>
        <v>0</v>
      </c>
      <c r="AT101" s="313">
        <f>AT102+AT103</f>
        <v>0</v>
      </c>
      <c r="AU101" s="313">
        <f>AU102+AU103</f>
        <v>0</v>
      </c>
      <c r="AV101" s="313">
        <f>AV102+AV103</f>
        <v>0</v>
      </c>
      <c r="AW101" s="313">
        <f>AW102+AW103</f>
        <v>0</v>
      </c>
      <c r="AX101" s="313">
        <f>AX102+AX103</f>
        <v>0</v>
      </c>
      <c r="AY101" s="313">
        <f>AY102+AY103</f>
        <v>0</v>
      </c>
      <c r="AZ101" s="313">
        <f>AZ102+AZ103</f>
        <v>0</v>
      </c>
      <c r="BA101" s="313">
        <f>BA102+BA103</f>
        <v>0</v>
      </c>
      <c r="BB101" s="313">
        <f>BB102+BB103</f>
        <v>0</v>
      </c>
      <c r="BC101" s="1887"/>
      <c r="BD101" s="676"/>
      <c r="BE101" s="676"/>
      <c r="BF101" s="998" t="s">
        <v>717</v>
      </c>
    </row>
    <row customHeight="1" ht="14.625" hidden="1">
      <c r="A102" s="676"/>
      <c r="B102" s="1176"/>
      <c r="C102" s="676"/>
      <c r="D102" s="676"/>
      <c r="E102" s="611">
        <v>15</v>
      </c>
      <c r="F102" s="50" cm="1" t="str">
        <f t="array" ref="F102:F102">OFFSET(E102,-1,1)</f>
        <v>0</v>
      </c>
      <c r="G102" s="676"/>
      <c r="H102" s="64" t="s">
        <v>568</v>
      </c>
      <c r="I102" s="676"/>
      <c r="J102" s="676"/>
      <c r="K102" s="676"/>
      <c r="L102" s="676"/>
      <c r="M102" s="676"/>
      <c r="N102" s="676"/>
      <c r="O102" s="676"/>
      <c r="P102" s="1316"/>
      <c r="Q102" s="1316"/>
      <c r="R102" s="1316"/>
      <c r="S102" s="1316"/>
      <c r="T102" s="439" cm="1" t="str">
        <f t="array" ref="T102:T102">T101</f>
        <v>false</v>
      </c>
      <c r="U102" s="1316"/>
      <c r="V102" s="676"/>
      <c r="W102" s="1316"/>
      <c r="X102" s="1482"/>
      <c r="Y102" s="1464"/>
      <c r="Z102" s="676"/>
      <c r="AA102" s="676"/>
      <c r="AB102" s="207" t="s">
        <v>569</v>
      </c>
      <c r="AC102" s="159" t="s">
        <v>718</v>
      </c>
      <c r="AD102" s="59" t="s">
        <v>512</v>
      </c>
      <c r="AE102" s="1886"/>
      <c r="AF102" s="1886"/>
      <c r="AG102" s="1886"/>
      <c r="AH102" s="1886"/>
      <c r="AI102" s="243"/>
      <c r="AJ102" s="1886"/>
      <c r="AK102" s="1886"/>
      <c r="AL102" s="1886"/>
      <c r="AM102" s="1886"/>
      <c r="AN102" s="1886"/>
      <c r="AO102" s="1886"/>
      <c r="AP102" s="1886"/>
      <c r="AQ102" s="1886"/>
      <c r="AR102" s="1886"/>
      <c r="AS102" s="243"/>
      <c r="AT102" s="1886"/>
      <c r="AU102" s="1886"/>
      <c r="AV102" s="1886"/>
      <c r="AW102" s="1886"/>
      <c r="AX102" s="1886"/>
      <c r="AY102" s="1886"/>
      <c r="AZ102" s="1886"/>
      <c r="BA102" s="1886"/>
      <c r="BB102" s="1886"/>
      <c r="BC102" s="1887"/>
      <c r="BD102" s="676"/>
      <c r="BE102" s="676"/>
      <c r="BF102" s="998" t="s">
        <v>719</v>
      </c>
    </row>
    <row customHeight="1" ht="14.625" hidden="1">
      <c r="A103" s="676"/>
      <c r="B103" s="1176"/>
      <c r="C103" s="676"/>
      <c r="D103" s="676"/>
      <c r="E103" s="611">
        <v>15</v>
      </c>
      <c r="F103" s="50" cm="1" t="str">
        <f t="array" ref="F103:F103">OFFSET(E103,-1,1)</f>
        <v>0</v>
      </c>
      <c r="G103" s="676"/>
      <c r="H103" s="64" t="s">
        <v>585</v>
      </c>
      <c r="I103" s="676"/>
      <c r="J103" s="676"/>
      <c r="K103" s="676"/>
      <c r="L103" s="676"/>
      <c r="M103" s="676"/>
      <c r="N103" s="676"/>
      <c r="O103" s="676"/>
      <c r="P103" s="1316"/>
      <c r="Q103" s="1316"/>
      <c r="R103" s="1316"/>
      <c r="S103" s="1316"/>
      <c r="T103" s="439" cm="1" t="str">
        <f t="array" ref="T103:T103">T102</f>
        <v>false</v>
      </c>
      <c r="U103" s="1316"/>
      <c r="V103" s="676"/>
      <c r="W103" s="1316"/>
      <c r="X103" s="1482"/>
      <c r="Y103" s="1464"/>
      <c r="Z103" s="676"/>
      <c r="AA103" s="676"/>
      <c r="AB103" s="207" t="s">
        <v>586</v>
      </c>
      <c r="AC103" s="159" t="s">
        <v>720</v>
      </c>
      <c r="AD103" s="59" t="s">
        <v>512</v>
      </c>
      <c r="AE103" s="1886"/>
      <c r="AF103" s="1886"/>
      <c r="AG103" s="1886"/>
      <c r="AH103" s="1886"/>
      <c r="AI103" s="243"/>
      <c r="AJ103" s="1886"/>
      <c r="AK103" s="1886"/>
      <c r="AL103" s="1886"/>
      <c r="AM103" s="1886"/>
      <c r="AN103" s="1886"/>
      <c r="AO103" s="1886"/>
      <c r="AP103" s="1886"/>
      <c r="AQ103" s="1886"/>
      <c r="AR103" s="1886"/>
      <c r="AS103" s="243"/>
      <c r="AT103" s="1886"/>
      <c r="AU103" s="1886"/>
      <c r="AV103" s="1886"/>
      <c r="AW103" s="1886"/>
      <c r="AX103" s="1886"/>
      <c r="AY103" s="1886"/>
      <c r="AZ103" s="1886"/>
      <c r="BA103" s="1886"/>
      <c r="BB103" s="1886"/>
      <c r="BC103" s="1887"/>
      <c r="BD103" s="676"/>
      <c r="BE103" s="676"/>
      <c r="BF103" s="998" t="s">
        <v>721</v>
      </c>
    </row>
    <row customHeight="1" ht="21.9375" hidden="1">
      <c r="A104" s="676"/>
      <c r="B104" s="1176"/>
      <c r="C104" s="676"/>
      <c r="D104" s="676"/>
      <c r="E104" s="611">
        <v>22.5</v>
      </c>
      <c r="F104" s="50" cm="1" t="str">
        <f t="array" ref="F104:F104">OFFSET(E104,-1,1)</f>
        <v>0</v>
      </c>
      <c r="G104" s="676"/>
      <c r="H104" s="64" t="s">
        <v>722</v>
      </c>
      <c r="I104" s="676"/>
      <c r="J104" s="676"/>
      <c r="K104" s="676"/>
      <c r="L104" s="676"/>
      <c r="M104" s="676"/>
      <c r="N104" s="676"/>
      <c r="O104" s="676"/>
      <c r="P104" s="1316"/>
      <c r="Q104" s="1316"/>
      <c r="R104" s="1316"/>
      <c r="S104" s="1316"/>
      <c r="T104" s="439" cm="1" t="str">
        <f t="array" ref="T104:T104">T103</f>
        <v>false</v>
      </c>
      <c r="U104" s="1316"/>
      <c r="V104" s="676"/>
      <c r="W104" s="1316"/>
      <c r="X104" s="1482"/>
      <c r="Y104" s="1464"/>
      <c r="Z104" s="676"/>
      <c r="AA104" s="676"/>
      <c r="AB104" s="207" t="s">
        <v>723</v>
      </c>
      <c r="AC104" s="307" t="s">
        <v>634</v>
      </c>
      <c r="AD104" s="59" t="s">
        <v>512</v>
      </c>
      <c r="AE104" s="1886"/>
      <c r="AF104" s="1886"/>
      <c r="AG104" s="1886"/>
      <c r="AH104" s="1886"/>
      <c r="AI104" s="243"/>
      <c r="AJ104" s="1886"/>
      <c r="AK104" s="1886"/>
      <c r="AL104" s="1886"/>
      <c r="AM104" s="1886"/>
      <c r="AN104" s="1886"/>
      <c r="AO104" s="1886"/>
      <c r="AP104" s="1886"/>
      <c r="AQ104" s="1886"/>
      <c r="AR104" s="1886"/>
      <c r="AS104" s="243"/>
      <c r="AT104" s="1886"/>
      <c r="AU104" s="1886"/>
      <c r="AV104" s="1886"/>
      <c r="AW104" s="1886"/>
      <c r="AX104" s="1886"/>
      <c r="AY104" s="1886"/>
      <c r="AZ104" s="1886"/>
      <c r="BA104" s="1886"/>
      <c r="BB104" s="1886"/>
      <c r="BC104" s="1887"/>
      <c r="BD104" s="676"/>
      <c r="BE104" s="676"/>
      <c r="BF104" s="998" t="s">
        <v>724</v>
      </c>
    </row>
    <row customHeight="1" ht="14.625" hidden="1">
      <c r="A105" s="676"/>
      <c r="B105" s="1176"/>
      <c r="C105" s="676"/>
      <c r="D105" s="676"/>
      <c r="E105" s="611">
        <v>15</v>
      </c>
      <c r="F105" s="50" cm="1" t="str">
        <f t="array" ref="F105:F105">OFFSET(E105,-1,1)</f>
        <v>0</v>
      </c>
      <c r="G105" s="676"/>
      <c r="H105" s="64" t="s">
        <v>725</v>
      </c>
      <c r="I105" s="676"/>
      <c r="J105" s="676"/>
      <c r="K105" s="676"/>
      <c r="L105" s="676"/>
      <c r="M105" s="676"/>
      <c r="N105" s="676"/>
      <c r="O105" s="676"/>
      <c r="P105" s="1316"/>
      <c r="Q105" s="1316"/>
      <c r="R105" s="1316"/>
      <c r="S105" s="1316"/>
      <c r="T105" s="439" cm="1" t="str">
        <f t="array" ref="T105:T105">T104</f>
        <v>false</v>
      </c>
      <c r="U105" s="1316"/>
      <c r="V105" s="676"/>
      <c r="W105" s="1316"/>
      <c r="X105" s="1482"/>
      <c r="Y105" s="1464"/>
      <c r="Z105" s="676"/>
      <c r="AA105" s="676"/>
      <c r="AB105" s="207" t="s">
        <v>726</v>
      </c>
      <c r="AC105" s="103" t="s">
        <v>727</v>
      </c>
      <c r="AD105" s="59" t="s">
        <v>512</v>
      </c>
      <c r="AE105" s="1886"/>
      <c r="AF105" s="1886"/>
      <c r="AG105" s="1886"/>
      <c r="AH105" s="1886"/>
      <c r="AI105" s="243"/>
      <c r="AJ105" s="1886"/>
      <c r="AK105" s="1886"/>
      <c r="AL105" s="1886"/>
      <c r="AM105" s="1886"/>
      <c r="AN105" s="1886"/>
      <c r="AO105" s="1886"/>
      <c r="AP105" s="1886"/>
      <c r="AQ105" s="1886"/>
      <c r="AR105" s="1886"/>
      <c r="AS105" s="243"/>
      <c r="AT105" s="1886"/>
      <c r="AU105" s="1886"/>
      <c r="AV105" s="1886"/>
      <c r="AW105" s="1886"/>
      <c r="AX105" s="1886"/>
      <c r="AY105" s="1886"/>
      <c r="AZ105" s="1886"/>
      <c r="BA105" s="1886"/>
      <c r="BB105" s="1886"/>
      <c r="BC105" s="1887"/>
      <c r="BD105" s="676"/>
      <c r="BE105" s="676"/>
      <c r="BF105" s="998" t="s">
        <v>728</v>
      </c>
    </row>
    <row s="1621" customFormat="1" customHeight="1" ht="11.25" hidden="1">
      <c r="A106" s="443"/>
      <c r="B106" s="638"/>
      <c r="C106" s="443"/>
      <c r="D106" s="443"/>
      <c r="E106" s="640" t="s">
        <v>366</v>
      </c>
      <c r="F106" s="1202" cm="1" t="str">
        <f t="array" ref="F106:F106">OFFSET(E106,-1,1)</f>
        <v>0</v>
      </c>
      <c r="G106" s="443"/>
      <c r="H106" s="443"/>
      <c r="I106" s="443"/>
      <c r="J106" s="443"/>
      <c r="K106" s="64"/>
      <c r="L106" s="443"/>
      <c r="M106" s="443"/>
      <c r="N106" s="443"/>
      <c r="O106" s="443"/>
      <c r="P106" s="443"/>
      <c r="Q106" s="443"/>
      <c r="R106" s="388"/>
      <c r="S106" s="388"/>
      <c r="T106" s="439" t="b">
        <v>0</v>
      </c>
      <c r="U106" s="443"/>
      <c r="V106" s="443"/>
      <c r="W106" s="443"/>
      <c r="X106" s="1482"/>
      <c r="Y106" s="1464"/>
      <c r="Z106" s="443"/>
      <c r="AA106" s="443"/>
      <c r="AB106" s="1621"/>
      <c r="AC106" s="66"/>
      <c r="AD106" s="66"/>
      <c r="AE106" s="311"/>
      <c r="AF106" s="311"/>
      <c r="AG106" s="311"/>
      <c r="AH106" s="311"/>
      <c r="AI106" s="311"/>
      <c r="AJ106" s="312"/>
      <c r="AK106" s="311"/>
      <c r="AL106" s="311"/>
      <c r="AM106" s="311"/>
      <c r="AN106" s="311"/>
      <c r="AO106" s="311"/>
      <c r="AP106" s="311"/>
      <c r="AQ106" s="311"/>
      <c r="AR106" s="311"/>
      <c r="AS106" s="311"/>
      <c r="AT106" s="311"/>
      <c r="AU106" s="311"/>
      <c r="AV106" s="311"/>
      <c r="AW106" s="311"/>
      <c r="AX106" s="311"/>
      <c r="AY106" s="311"/>
      <c r="AZ106" s="311"/>
      <c r="BA106" s="311"/>
      <c r="BB106" s="311"/>
      <c r="BC106" s="1621"/>
      <c r="BD106" s="1621"/>
      <c r="BE106" s="1621"/>
      <c r="BF106" s="1002"/>
    </row>
    <row customHeight="1" ht="14.625" hidden="1">
      <c r="A107" s="676"/>
      <c r="B107" s="1176"/>
      <c r="C107" s="676"/>
      <c r="D107" s="676"/>
      <c r="E107" s="611">
        <v>15</v>
      </c>
      <c r="F107" s="50" cm="1" t="str">
        <f t="array" ref="F107:F107">OFFSET(E107,-1,1)</f>
        <v>0</v>
      </c>
      <c r="G107" s="676"/>
      <c r="H107" s="676"/>
      <c r="I107" s="676"/>
      <c r="J107" s="676"/>
      <c r="K107" s="676"/>
      <c r="L107" s="676"/>
      <c r="M107" s="676"/>
      <c r="N107" s="676"/>
      <c r="O107" s="676"/>
      <c r="P107" s="1316"/>
      <c r="Q107" s="1316"/>
      <c r="R107" s="388" cm="1" t="str">
        <f t="array" ref="R107:R107">INDEX('Общие сведения'!$AN$179:$AN$222,MATCH($X27,'Общие сведения'!$Z$179:$Z$222,0))</f>
        <v>false</v>
      </c>
      <c r="S107" s="456">
        <f>IF(ISERROR(SEARCH("Водоотведение",AB27)),FALSE,TRUE)</f>
        <v>0</v>
      </c>
      <c r="T107" s="439">
        <f>AND(X27&gt;0,S107,R107)</f>
        <v>0</v>
      </c>
      <c r="U107" s="1316"/>
      <c r="V107" s="676"/>
      <c r="W107" s="1316"/>
      <c r="X107" s="1482"/>
      <c r="Y107" s="1464"/>
      <c r="Z107" s="676"/>
      <c r="AA107" s="676"/>
      <c r="AB107" s="207" t="s">
        <v>272</v>
      </c>
      <c r="AC107" s="53" t="s">
        <v>666</v>
      </c>
      <c r="AD107" s="164"/>
      <c r="AE107" s="548" cm="1" t="str">
        <f t="array" ref="AE107:AE107">INDEX('Общие сведения'!$AH$179:$AH$222,MATCH($X27,'Общие сведения'!$Z$179:$Z$222,0))</f>
        <v>0</v>
      </c>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c r="AZ107" s="329"/>
      <c r="BA107" s="329"/>
      <c r="BB107" s="330"/>
      <c r="BC107" s="1887"/>
      <c r="BD107" s="676"/>
      <c r="BE107" s="676"/>
      <c r="BF107" s="998" t="s">
        <v>729</v>
      </c>
    </row>
    <row customHeight="1" ht="14.625" hidden="1">
      <c r="A108" s="676"/>
      <c r="B108" s="1176"/>
      <c r="C108" s="676"/>
      <c r="D108" s="676"/>
      <c r="E108" s="611">
        <v>15</v>
      </c>
      <c r="F108" s="50" cm="1" t="str">
        <f t="array" ref="F108:F108">OFFSET(E108,-1,1)</f>
        <v>0</v>
      </c>
      <c r="G108" s="676"/>
      <c r="H108" s="64" t="s">
        <v>329</v>
      </c>
      <c r="I108" s="676"/>
      <c r="J108" s="676"/>
      <c r="K108" s="676"/>
      <c r="L108" s="676"/>
      <c r="M108" s="676"/>
      <c r="N108" s="676"/>
      <c r="O108" s="676"/>
      <c r="P108" s="1316"/>
      <c r="Q108" s="1316"/>
      <c r="R108" s="1316"/>
      <c r="S108" s="1316"/>
      <c r="T108" s="439" cm="1" t="str">
        <f t="array" ref="T108:T108">T107</f>
        <v>false</v>
      </c>
      <c r="U108" s="1316"/>
      <c r="V108" s="676"/>
      <c r="W108" s="1316"/>
      <c r="X108" s="1482"/>
      <c r="Y108" s="1464"/>
      <c r="Z108" s="676"/>
      <c r="AA108" s="676"/>
      <c r="AB108" s="207" t="s">
        <v>283</v>
      </c>
      <c r="AC108" s="308" t="s">
        <v>730</v>
      </c>
      <c r="AD108" s="59" t="s">
        <v>512</v>
      </c>
      <c r="AE108" s="313">
        <f>AE109+AE111+AE110</f>
        <v>0</v>
      </c>
      <c r="AF108" s="313">
        <f>AF109+AF111+AF110</f>
        <v>0</v>
      </c>
      <c r="AG108" s="313">
        <f>AG109+AG111+AG110</f>
        <v>0</v>
      </c>
      <c r="AH108" s="313">
        <f>AH109+AH111+AH110</f>
        <v>0</v>
      </c>
      <c r="AI108" s="313">
        <f>AI109+AI111+AI110</f>
        <v>0</v>
      </c>
      <c r="AJ108" s="313">
        <f>AJ109+AJ111+AJ110</f>
        <v>0</v>
      </c>
      <c r="AK108" s="313">
        <f>AK109+AK111+AK110</f>
        <v>0</v>
      </c>
      <c r="AL108" s="313">
        <f>AL109+AL111+AL110</f>
        <v>0</v>
      </c>
      <c r="AM108" s="313">
        <f>AM109+AM111+AM110</f>
        <v>0</v>
      </c>
      <c r="AN108" s="313">
        <f>AN109+AN111+AN110</f>
        <v>0</v>
      </c>
      <c r="AO108" s="313">
        <f>AO109+AO111+AO110</f>
        <v>0</v>
      </c>
      <c r="AP108" s="313">
        <f>AP109+AP111+AP110</f>
        <v>0</v>
      </c>
      <c r="AQ108" s="313">
        <f>AQ109+AQ111+AQ110</f>
        <v>0</v>
      </c>
      <c r="AR108" s="313">
        <f>AR109+AR111+AR110</f>
        <v>0</v>
      </c>
      <c r="AS108" s="313">
        <f>AS109+AS111+AS110</f>
        <v>0</v>
      </c>
      <c r="AT108" s="313">
        <f>AT109+AT111+AT110</f>
        <v>0</v>
      </c>
      <c r="AU108" s="313">
        <f>AU109+AU111+AU110</f>
        <v>0</v>
      </c>
      <c r="AV108" s="313">
        <f>AV109+AV111+AV110</f>
        <v>0</v>
      </c>
      <c r="AW108" s="313">
        <f>AW109+AW111+AW110</f>
        <v>0</v>
      </c>
      <c r="AX108" s="313">
        <f>AX109+AX111+AX110</f>
        <v>0</v>
      </c>
      <c r="AY108" s="313">
        <f>AY109+AY111+AY110</f>
        <v>0</v>
      </c>
      <c r="AZ108" s="313">
        <f>AZ109+AZ111+AZ110</f>
        <v>0</v>
      </c>
      <c r="BA108" s="313">
        <f>BA109+BA111+BA110</f>
        <v>0</v>
      </c>
      <c r="BB108" s="313">
        <f>BB109+BB111+BB110</f>
        <v>0</v>
      </c>
      <c r="BC108" s="1887"/>
      <c r="BD108" s="676"/>
      <c r="BE108" s="676"/>
      <c r="BF108" s="998" t="s">
        <v>731</v>
      </c>
    </row>
    <row customHeight="1" ht="14.625" hidden="1">
      <c r="A109" s="676"/>
      <c r="B109" s="1176"/>
      <c r="C109" s="676"/>
      <c r="D109" s="676"/>
      <c r="E109" s="611">
        <v>15</v>
      </c>
      <c r="F109" s="50" cm="1" t="str">
        <f t="array" ref="F109:F109">OFFSET(E109,-1,1)</f>
        <v>0</v>
      </c>
      <c r="G109" s="676"/>
      <c r="H109" s="64" t="s">
        <v>514</v>
      </c>
      <c r="I109" s="676"/>
      <c r="J109" s="676"/>
      <c r="K109" s="676"/>
      <c r="L109" s="676"/>
      <c r="M109" s="676"/>
      <c r="N109" s="676"/>
      <c r="O109" s="676"/>
      <c r="P109" s="1316"/>
      <c r="Q109" s="1316"/>
      <c r="R109" s="1316"/>
      <c r="S109" s="1316"/>
      <c r="T109" s="439" cm="1" t="str">
        <f t="array" ref="T109:T109">T108</f>
        <v>false</v>
      </c>
      <c r="U109" s="1316"/>
      <c r="V109" s="676"/>
      <c r="W109" s="1316"/>
      <c r="X109" s="1482"/>
      <c r="Y109" s="1464"/>
      <c r="Z109" s="676"/>
      <c r="AA109" s="676"/>
      <c r="AB109" s="207" t="s">
        <v>515</v>
      </c>
      <c r="AC109" s="181" t="s">
        <v>732</v>
      </c>
      <c r="AD109" s="59" t="s">
        <v>512</v>
      </c>
      <c r="AE109" s="1930"/>
      <c r="AF109" s="1930"/>
      <c r="AG109" s="1930"/>
      <c r="AH109" s="1930"/>
      <c r="AI109" s="246"/>
      <c r="AJ109" s="1930"/>
      <c r="AK109" s="1930"/>
      <c r="AL109" s="1930"/>
      <c r="AM109" s="1930"/>
      <c r="AN109" s="1930"/>
      <c r="AO109" s="1930"/>
      <c r="AP109" s="1930"/>
      <c r="AQ109" s="1930"/>
      <c r="AR109" s="1930"/>
      <c r="AS109" s="246"/>
      <c r="AT109" s="1930"/>
      <c r="AU109" s="1930"/>
      <c r="AV109" s="1930"/>
      <c r="AW109" s="1930"/>
      <c r="AX109" s="1930"/>
      <c r="AY109" s="1930"/>
      <c r="AZ109" s="1930"/>
      <c r="BA109" s="1930"/>
      <c r="BB109" s="1930"/>
      <c r="BC109" s="1887"/>
      <c r="BD109" s="676"/>
      <c r="BE109" s="676"/>
      <c r="BF109" s="998" t="s">
        <v>733</v>
      </c>
    </row>
    <row customHeight="1" ht="14.625" hidden="1">
      <c r="A110" s="676"/>
      <c r="B110" s="1176"/>
      <c r="C110" s="676"/>
      <c r="D110" s="676"/>
      <c r="E110" s="611">
        <v>15</v>
      </c>
      <c r="F110" s="50" cm="1" t="str">
        <f t="array" ref="F110:F110">OFFSET(E110,-1,1)</f>
        <v>0</v>
      </c>
      <c r="G110" s="676"/>
      <c r="H110" s="64" t="s">
        <v>518</v>
      </c>
      <c r="I110" s="676"/>
      <c r="J110" s="676"/>
      <c r="K110" s="676"/>
      <c r="L110" s="676"/>
      <c r="M110" s="676"/>
      <c r="N110" s="676"/>
      <c r="O110" s="676"/>
      <c r="P110" s="1316"/>
      <c r="Q110" s="1316"/>
      <c r="R110" s="1316"/>
      <c r="S110" s="1316"/>
      <c r="T110" s="439" cm="1" t="str">
        <f t="array" ref="T110:T110">T109</f>
        <v>false</v>
      </c>
      <c r="U110" s="1316"/>
      <c r="V110" s="676"/>
      <c r="W110" s="1316"/>
      <c r="X110" s="1482"/>
      <c r="Y110" s="1464"/>
      <c r="Z110" s="676"/>
      <c r="AA110" s="676"/>
      <c r="AB110" s="207" t="s">
        <v>519</v>
      </c>
      <c r="AC110" s="181" t="s">
        <v>734</v>
      </c>
      <c r="AD110" s="59" t="s">
        <v>512</v>
      </c>
      <c r="AE110" s="1930"/>
      <c r="AF110" s="1930"/>
      <c r="AG110" s="1930"/>
      <c r="AH110" s="1930"/>
      <c r="AI110" s="246"/>
      <c r="AJ110" s="1930"/>
      <c r="AK110" s="1930"/>
      <c r="AL110" s="1930"/>
      <c r="AM110" s="1930"/>
      <c r="AN110" s="1930"/>
      <c r="AO110" s="1930"/>
      <c r="AP110" s="1930"/>
      <c r="AQ110" s="1930"/>
      <c r="AR110" s="1930"/>
      <c r="AS110" s="246"/>
      <c r="AT110" s="1930"/>
      <c r="AU110" s="1930"/>
      <c r="AV110" s="1930"/>
      <c r="AW110" s="1930"/>
      <c r="AX110" s="1930"/>
      <c r="AY110" s="1930"/>
      <c r="AZ110" s="1930"/>
      <c r="BA110" s="1930"/>
      <c r="BB110" s="1930"/>
      <c r="BC110" s="1887"/>
      <c r="BD110" s="676"/>
      <c r="BE110" s="676"/>
      <c r="BF110" s="998" t="s">
        <v>735</v>
      </c>
    </row>
    <row customHeight="1" ht="21.9375" hidden="1">
      <c r="A111" s="676"/>
      <c r="B111" s="1176"/>
      <c r="C111" s="676"/>
      <c r="D111" s="676"/>
      <c r="E111" s="611">
        <v>22.5</v>
      </c>
      <c r="F111" s="50" cm="1" t="str">
        <f t="array" ref="F111:F111">OFFSET(E111,-1,1)</f>
        <v>0</v>
      </c>
      <c r="G111" s="676"/>
      <c r="H111" s="64" t="s">
        <v>522</v>
      </c>
      <c r="I111" s="676"/>
      <c r="J111" s="676"/>
      <c r="K111" s="676"/>
      <c r="L111" s="676"/>
      <c r="M111" s="676"/>
      <c r="N111" s="676"/>
      <c r="O111" s="676"/>
      <c r="P111" s="1316"/>
      <c r="Q111" s="1316"/>
      <c r="R111" s="1316"/>
      <c r="S111" s="1316"/>
      <c r="T111" s="439" cm="1" t="str">
        <f t="array" ref="T111:T111">T110</f>
        <v>false</v>
      </c>
      <c r="U111" s="1316"/>
      <c r="V111" s="676"/>
      <c r="W111" s="1316"/>
      <c r="X111" s="1482"/>
      <c r="Y111" s="1464"/>
      <c r="Z111" s="676"/>
      <c r="AA111" s="676"/>
      <c r="AB111" s="207" t="s">
        <v>523</v>
      </c>
      <c r="AC111" s="181" t="s">
        <v>634</v>
      </c>
      <c r="AD111" s="59" t="s">
        <v>512</v>
      </c>
      <c r="AE111" s="1930"/>
      <c r="AF111" s="1930"/>
      <c r="AG111" s="1930"/>
      <c r="AH111" s="1930"/>
      <c r="AI111" s="246"/>
      <c r="AJ111" s="1930"/>
      <c r="AK111" s="1930"/>
      <c r="AL111" s="1930"/>
      <c r="AM111" s="1930"/>
      <c r="AN111" s="1930"/>
      <c r="AO111" s="1930"/>
      <c r="AP111" s="1930"/>
      <c r="AQ111" s="1930"/>
      <c r="AR111" s="1930"/>
      <c r="AS111" s="246"/>
      <c r="AT111" s="1930"/>
      <c r="AU111" s="1930"/>
      <c r="AV111" s="1930"/>
      <c r="AW111" s="1930"/>
      <c r="AX111" s="1930"/>
      <c r="AY111" s="1930"/>
      <c r="AZ111" s="1930"/>
      <c r="BA111" s="1930"/>
      <c r="BB111" s="1930"/>
      <c r="BC111" s="1887"/>
      <c r="BD111" s="676"/>
      <c r="BE111" s="676"/>
      <c r="BF111" s="998" t="s">
        <v>736</v>
      </c>
    </row>
    <row customHeight="1" ht="21.9375" hidden="1">
      <c r="A112" s="676"/>
      <c r="B112" s="1176"/>
      <c r="C112" s="676"/>
      <c r="D112" s="676"/>
      <c r="E112" s="611">
        <v>22.5</v>
      </c>
      <c r="F112" s="50" cm="1" t="str">
        <f t="array" ref="F112:F112">OFFSET(E112,-1,1)</f>
        <v>0</v>
      </c>
      <c r="G112" s="64" t="s">
        <v>584</v>
      </c>
      <c r="H112" s="64" t="s">
        <v>328</v>
      </c>
      <c r="I112" s="676"/>
      <c r="J112" s="676"/>
      <c r="K112" s="676"/>
      <c r="L112" s="676"/>
      <c r="M112" s="676"/>
      <c r="N112" s="676"/>
      <c r="O112" s="676"/>
      <c r="P112" s="1316"/>
      <c r="Q112" s="1316"/>
      <c r="R112" s="1316"/>
      <c r="S112" s="1316"/>
      <c r="T112" s="439" cm="1" t="str">
        <f t="array" ref="T112:T112">T111</f>
        <v>false</v>
      </c>
      <c r="U112" s="1316"/>
      <c r="V112" s="676"/>
      <c r="W112" s="1316"/>
      <c r="X112" s="1482"/>
      <c r="Y112" s="1464"/>
      <c r="Z112" s="676"/>
      <c r="AA112" s="676"/>
      <c r="AB112" s="207" t="s">
        <v>323</v>
      </c>
      <c r="AC112" s="308" t="s">
        <v>737</v>
      </c>
      <c r="AD112" s="59" t="s">
        <v>512</v>
      </c>
      <c r="AE112" s="313">
        <f>AE113+AE114+AE117</f>
        <v>0</v>
      </c>
      <c r="AF112" s="313">
        <f>AF113+AF114+AF117</f>
        <v>0</v>
      </c>
      <c r="AG112" s="313">
        <f>AG113+AG114+AG117</f>
        <v>0</v>
      </c>
      <c r="AH112" s="313">
        <f>AH113+AH114+AH117</f>
        <v>0</v>
      </c>
      <c r="AI112" s="313">
        <f>AI113+AI114+AI117</f>
        <v>0</v>
      </c>
      <c r="AJ112" s="313">
        <f>AJ113+AJ114+AJ117</f>
        <v>0</v>
      </c>
      <c r="AK112" s="313">
        <f>AK113+AK114+AK117</f>
        <v>0</v>
      </c>
      <c r="AL112" s="313">
        <f>AL113+AL114+AL117</f>
        <v>0</v>
      </c>
      <c r="AM112" s="313">
        <f>AM113+AM114+AM117</f>
        <v>0</v>
      </c>
      <c r="AN112" s="313">
        <f>AN113+AN114+AN117</f>
        <v>0</v>
      </c>
      <c r="AO112" s="313">
        <f>AO113+AO114+AO117</f>
        <v>0</v>
      </c>
      <c r="AP112" s="313">
        <f>AP113+AP114+AP117</f>
        <v>0</v>
      </c>
      <c r="AQ112" s="313">
        <f>AQ113+AQ114+AQ117</f>
        <v>0</v>
      </c>
      <c r="AR112" s="313">
        <f>AR113+AR114+AR117</f>
        <v>0</v>
      </c>
      <c r="AS112" s="313">
        <f>AS113+AS114+AS117</f>
        <v>0</v>
      </c>
      <c r="AT112" s="313">
        <f>AT113+AT114+AT117</f>
        <v>0</v>
      </c>
      <c r="AU112" s="313">
        <f>AU113+AU114+AU117</f>
        <v>0</v>
      </c>
      <c r="AV112" s="313">
        <f>AV113+AV114+AV117</f>
        <v>0</v>
      </c>
      <c r="AW112" s="313">
        <f>AW113+AW114+AW117</f>
        <v>0</v>
      </c>
      <c r="AX112" s="313">
        <f>AX113+AX114+AX117</f>
        <v>0</v>
      </c>
      <c r="AY112" s="313">
        <f>AY113+AY114+AY117</f>
        <v>0</v>
      </c>
      <c r="AZ112" s="313">
        <f>AZ113+AZ114+AZ117</f>
        <v>0</v>
      </c>
      <c r="BA112" s="313">
        <f>BA113+BA114+BA117</f>
        <v>0</v>
      </c>
      <c r="BB112" s="313">
        <f>BB113+BB114+BB117</f>
        <v>0</v>
      </c>
      <c r="BC112" s="1887"/>
      <c r="BD112" s="676"/>
      <c r="BE112" s="676"/>
      <c r="BF112" s="998" t="s">
        <v>738</v>
      </c>
    </row>
    <row customHeight="1" ht="14.625" hidden="1">
      <c r="A113" s="676"/>
      <c r="B113" s="1176"/>
      <c r="C113" s="676"/>
      <c r="D113" s="676"/>
      <c r="E113" s="611">
        <v>15</v>
      </c>
      <c r="F113" s="50" cm="1" t="str">
        <f t="array" ref="F113:F113">OFFSET(E113,-1,1)</f>
        <v>0</v>
      </c>
      <c r="G113" s="676"/>
      <c r="H113" s="64" t="s">
        <v>528</v>
      </c>
      <c r="I113" s="676"/>
      <c r="J113" s="676"/>
      <c r="K113" s="676"/>
      <c r="L113" s="676"/>
      <c r="M113" s="676"/>
      <c r="N113" s="676"/>
      <c r="O113" s="676"/>
      <c r="P113" s="1316"/>
      <c r="Q113" s="1316"/>
      <c r="R113" s="1316"/>
      <c r="S113" s="1316"/>
      <c r="T113" s="439" cm="1" t="str">
        <f t="array" ref="T113:T113">T112</f>
        <v>false</v>
      </c>
      <c r="U113" s="1316"/>
      <c r="V113" s="676"/>
      <c r="W113" s="1316"/>
      <c r="X113" s="1482"/>
      <c r="Y113" s="1464"/>
      <c r="Z113" s="676"/>
      <c r="AA113" s="676"/>
      <c r="AB113" s="207" t="s">
        <v>529</v>
      </c>
      <c r="AC113" s="181" t="s">
        <v>739</v>
      </c>
      <c r="AD113" s="59" t="s">
        <v>512</v>
      </c>
      <c r="AE113" s="1930"/>
      <c r="AF113" s="1930"/>
      <c r="AG113" s="1930"/>
      <c r="AH113" s="1930"/>
      <c r="AI113" s="246"/>
      <c r="AJ113" s="1930"/>
      <c r="AK113" s="1930"/>
      <c r="AL113" s="1930"/>
      <c r="AM113" s="1930"/>
      <c r="AN113" s="1930"/>
      <c r="AO113" s="1930"/>
      <c r="AP113" s="1930"/>
      <c r="AQ113" s="1930"/>
      <c r="AR113" s="1930"/>
      <c r="AS113" s="246"/>
      <c r="AT113" s="1930"/>
      <c r="AU113" s="1930"/>
      <c r="AV113" s="1930"/>
      <c r="AW113" s="1930"/>
      <c r="AX113" s="1930"/>
      <c r="AY113" s="1930"/>
      <c r="AZ113" s="1930"/>
      <c r="BA113" s="1930"/>
      <c r="BB113" s="1930"/>
      <c r="BC113" s="1887"/>
      <c r="BD113" s="676"/>
      <c r="BE113" s="676"/>
      <c r="BF113" s="998" t="s">
        <v>740</v>
      </c>
    </row>
    <row customHeight="1" ht="14.625" hidden="1">
      <c r="A114" s="676"/>
      <c r="B114" s="1176"/>
      <c r="C114" s="676"/>
      <c r="D114" s="676"/>
      <c r="E114" s="611">
        <v>15</v>
      </c>
      <c r="F114" s="50" cm="1" t="str">
        <f t="array" ref="F114:F114">OFFSET(E114,-1,1)</f>
        <v>0</v>
      </c>
      <c r="G114" s="676"/>
      <c r="H114" s="64" t="s">
        <v>532</v>
      </c>
      <c r="I114" s="676"/>
      <c r="J114" s="676"/>
      <c r="K114" s="676"/>
      <c r="L114" s="676"/>
      <c r="M114" s="676"/>
      <c r="N114" s="676"/>
      <c r="O114" s="676"/>
      <c r="P114" s="1316"/>
      <c r="Q114" s="1316"/>
      <c r="R114" s="1316"/>
      <c r="S114" s="1316"/>
      <c r="T114" s="439" cm="1" t="str">
        <f t="array" ref="T114:T114">T113</f>
        <v>false</v>
      </c>
      <c r="U114" s="1316"/>
      <c r="V114" s="676"/>
      <c r="W114" s="1316"/>
      <c r="X114" s="1482"/>
      <c r="Y114" s="1464"/>
      <c r="Z114" s="676"/>
      <c r="AA114" s="676"/>
      <c r="AB114" s="207" t="s">
        <v>533</v>
      </c>
      <c r="AC114" s="309" t="s">
        <v>741</v>
      </c>
      <c r="AD114" s="59" t="s">
        <v>512</v>
      </c>
      <c r="AE114" s="313">
        <f>AE115+AE116</f>
        <v>0</v>
      </c>
      <c r="AF114" s="313">
        <f>AF115+AF116</f>
        <v>0</v>
      </c>
      <c r="AG114" s="313">
        <f>AG115+AG116</f>
        <v>0</v>
      </c>
      <c r="AH114" s="313">
        <f>AH115+AH116</f>
        <v>0</v>
      </c>
      <c r="AI114" s="313">
        <f>AI115+AI116</f>
        <v>0</v>
      </c>
      <c r="AJ114" s="313">
        <f>AJ115+AJ116</f>
        <v>0</v>
      </c>
      <c r="AK114" s="313">
        <f>AK115+AK116</f>
        <v>0</v>
      </c>
      <c r="AL114" s="313">
        <f>AL115+AL116</f>
        <v>0</v>
      </c>
      <c r="AM114" s="313">
        <f>AM115+AM116</f>
        <v>0</v>
      </c>
      <c r="AN114" s="313">
        <f>AN115+AN116</f>
        <v>0</v>
      </c>
      <c r="AO114" s="313">
        <f>AO115+AO116</f>
        <v>0</v>
      </c>
      <c r="AP114" s="313">
        <f>AP115+AP116</f>
        <v>0</v>
      </c>
      <c r="AQ114" s="313">
        <f>AQ115+AQ116</f>
        <v>0</v>
      </c>
      <c r="AR114" s="313">
        <f>AR115+AR116</f>
        <v>0</v>
      </c>
      <c r="AS114" s="313">
        <f>AS115+AS116</f>
        <v>0</v>
      </c>
      <c r="AT114" s="313">
        <f>AT115+AT116</f>
        <v>0</v>
      </c>
      <c r="AU114" s="313">
        <f>AU115+AU116</f>
        <v>0</v>
      </c>
      <c r="AV114" s="313">
        <f>AV115+AV116</f>
        <v>0</v>
      </c>
      <c r="AW114" s="313">
        <f>AW115+AW116</f>
        <v>0</v>
      </c>
      <c r="AX114" s="313">
        <f>AX115+AX116</f>
        <v>0</v>
      </c>
      <c r="AY114" s="313">
        <f>AY115+AY116</f>
        <v>0</v>
      </c>
      <c r="AZ114" s="313">
        <f>AZ115+AZ116</f>
        <v>0</v>
      </c>
      <c r="BA114" s="313">
        <f>BA115+BA116</f>
        <v>0</v>
      </c>
      <c r="BB114" s="313">
        <f>BB115+BB116</f>
        <v>0</v>
      </c>
      <c r="BC114" s="1887"/>
      <c r="BD114" s="676"/>
      <c r="BE114" s="676"/>
      <c r="BF114" s="998" t="s">
        <v>742</v>
      </c>
    </row>
    <row customHeight="1" ht="14.625" hidden="1">
      <c r="A115" s="676"/>
      <c r="B115" s="1176"/>
      <c r="C115" s="676"/>
      <c r="D115" s="676"/>
      <c r="E115" s="611">
        <v>15</v>
      </c>
      <c r="F115" s="50" cm="1" t="str">
        <f t="array" ref="F115:F115">OFFSET(E115,-1,1)</f>
        <v>0</v>
      </c>
      <c r="G115" s="676"/>
      <c r="H115" s="64" t="s">
        <v>743</v>
      </c>
      <c r="I115" s="676"/>
      <c r="J115" s="676"/>
      <c r="K115" s="676"/>
      <c r="L115" s="676"/>
      <c r="M115" s="676"/>
      <c r="N115" s="676"/>
      <c r="O115" s="676"/>
      <c r="P115" s="1316"/>
      <c r="Q115" s="1316"/>
      <c r="R115" s="1316"/>
      <c r="S115" s="1316"/>
      <c r="T115" s="439" cm="1" t="str">
        <f t="array" ref="T115:T115">T114</f>
        <v>false</v>
      </c>
      <c r="U115" s="1316"/>
      <c r="V115" s="676"/>
      <c r="W115" s="1316"/>
      <c r="X115" s="1482"/>
      <c r="Y115" s="1464"/>
      <c r="Z115" s="676"/>
      <c r="AA115" s="676"/>
      <c r="AB115" s="207" t="s">
        <v>744</v>
      </c>
      <c r="AC115" s="310" t="s">
        <v>591</v>
      </c>
      <c r="AD115" s="59" t="s">
        <v>512</v>
      </c>
      <c r="AE115" s="1930"/>
      <c r="AF115" s="1930"/>
      <c r="AG115" s="1930"/>
      <c r="AH115" s="1930"/>
      <c r="AI115" s="246"/>
      <c r="AJ115" s="1930"/>
      <c r="AK115" s="1930"/>
      <c r="AL115" s="1930"/>
      <c r="AM115" s="1930"/>
      <c r="AN115" s="1930"/>
      <c r="AO115" s="1930"/>
      <c r="AP115" s="1930"/>
      <c r="AQ115" s="1930"/>
      <c r="AR115" s="1930"/>
      <c r="AS115" s="246"/>
      <c r="AT115" s="1930"/>
      <c r="AU115" s="1930"/>
      <c r="AV115" s="1930"/>
      <c r="AW115" s="1930"/>
      <c r="AX115" s="1930"/>
      <c r="AY115" s="1930"/>
      <c r="AZ115" s="1930"/>
      <c r="BA115" s="1930"/>
      <c r="BB115" s="1930"/>
      <c r="BC115" s="1887"/>
      <c r="BD115" s="676"/>
      <c r="BE115" s="676"/>
      <c r="BF115" s="998" t="s">
        <v>745</v>
      </c>
    </row>
    <row customHeight="1" ht="14.625" hidden="1">
      <c r="A116" s="676"/>
      <c r="B116" s="1176"/>
      <c r="C116" s="676"/>
      <c r="D116" s="676"/>
      <c r="E116" s="611">
        <v>15</v>
      </c>
      <c r="F116" s="50" cm="1" t="str">
        <f t="array" ref="F116:F116">OFFSET(E116,-1,1)</f>
        <v>0</v>
      </c>
      <c r="G116" s="676"/>
      <c r="H116" s="64" t="s">
        <v>746</v>
      </c>
      <c r="I116" s="676"/>
      <c r="J116" s="676"/>
      <c r="K116" s="676"/>
      <c r="L116" s="676"/>
      <c r="M116" s="676"/>
      <c r="N116" s="676"/>
      <c r="O116" s="676"/>
      <c r="P116" s="1316"/>
      <c r="Q116" s="1316"/>
      <c r="R116" s="1316"/>
      <c r="S116" s="1316"/>
      <c r="T116" s="439" cm="1" t="str">
        <f t="array" ref="T116:T116">T115</f>
        <v>false</v>
      </c>
      <c r="U116" s="1316"/>
      <c r="V116" s="676"/>
      <c r="W116" s="1316"/>
      <c r="X116" s="1482"/>
      <c r="Y116" s="1464"/>
      <c r="Z116" s="676"/>
      <c r="AA116" s="676"/>
      <c r="AB116" s="207" t="s">
        <v>747</v>
      </c>
      <c r="AC116" s="310" t="s">
        <v>595</v>
      </c>
      <c r="AD116" s="59" t="s">
        <v>512</v>
      </c>
      <c r="AE116" s="1930"/>
      <c r="AF116" s="1930"/>
      <c r="AG116" s="1930"/>
      <c r="AH116" s="1930"/>
      <c r="AI116" s="246"/>
      <c r="AJ116" s="1930"/>
      <c r="AK116" s="1930"/>
      <c r="AL116" s="1930"/>
      <c r="AM116" s="1930"/>
      <c r="AN116" s="1930"/>
      <c r="AO116" s="1930"/>
      <c r="AP116" s="1930"/>
      <c r="AQ116" s="1930"/>
      <c r="AR116" s="1930"/>
      <c r="AS116" s="246"/>
      <c r="AT116" s="1930"/>
      <c r="AU116" s="1930"/>
      <c r="AV116" s="1930"/>
      <c r="AW116" s="1930"/>
      <c r="AX116" s="1930"/>
      <c r="AY116" s="1930"/>
      <c r="AZ116" s="1930"/>
      <c r="BA116" s="1930"/>
      <c r="BB116" s="1930"/>
      <c r="BC116" s="1887"/>
      <c r="BD116" s="676"/>
      <c r="BE116" s="676"/>
      <c r="BF116" s="998" t="s">
        <v>748</v>
      </c>
    </row>
    <row customHeight="1" ht="21.9375" hidden="1">
      <c r="A117" s="676"/>
      <c r="B117" s="1176"/>
      <c r="C117" s="676"/>
      <c r="D117" s="676"/>
      <c r="E117" s="611">
        <v>22.5</v>
      </c>
      <c r="F117" s="50" cm="1" t="str">
        <f t="array" ref="F117:F117">OFFSET(E117,-1,1)</f>
        <v>0</v>
      </c>
      <c r="G117" s="676"/>
      <c r="H117" s="64" t="s">
        <v>749</v>
      </c>
      <c r="I117" s="676"/>
      <c r="J117" s="676"/>
      <c r="K117" s="676"/>
      <c r="L117" s="676"/>
      <c r="M117" s="676"/>
      <c r="N117" s="676"/>
      <c r="O117" s="676"/>
      <c r="P117" s="1316"/>
      <c r="Q117" s="1316"/>
      <c r="R117" s="1316"/>
      <c r="S117" s="1316"/>
      <c r="T117" s="439" cm="1" t="str">
        <f t="array" ref="T117:T117">T116</f>
        <v>false</v>
      </c>
      <c r="U117" s="1316"/>
      <c r="V117" s="676"/>
      <c r="W117" s="1316"/>
      <c r="X117" s="1482"/>
      <c r="Y117" s="1464"/>
      <c r="Z117" s="676"/>
      <c r="AA117" s="676"/>
      <c r="AB117" s="207" t="s">
        <v>750</v>
      </c>
      <c r="AC117" s="304" t="s">
        <v>554</v>
      </c>
      <c r="AD117" s="59" t="s">
        <v>512</v>
      </c>
      <c r="AE117" s="1886"/>
      <c r="AF117" s="1886"/>
      <c r="AG117" s="1886"/>
      <c r="AH117" s="1886"/>
      <c r="AI117" s="243"/>
      <c r="AJ117" s="1886"/>
      <c r="AK117" s="1886"/>
      <c r="AL117" s="1886"/>
      <c r="AM117" s="1886"/>
      <c r="AN117" s="1886"/>
      <c r="AO117" s="1886"/>
      <c r="AP117" s="1886"/>
      <c r="AQ117" s="1886"/>
      <c r="AR117" s="1886"/>
      <c r="AS117" s="243"/>
      <c r="AT117" s="1886"/>
      <c r="AU117" s="1886"/>
      <c r="AV117" s="1886"/>
      <c r="AW117" s="1886"/>
      <c r="AX117" s="1886"/>
      <c r="AY117" s="1886"/>
      <c r="AZ117" s="1886"/>
      <c r="BA117" s="1886"/>
      <c r="BB117" s="1886"/>
      <c r="BC117" s="1887"/>
      <c r="BD117" s="676"/>
      <c r="BE117" s="676"/>
      <c r="BF117" s="998" t="s">
        <v>751</v>
      </c>
    </row>
    <row s="1621" customFormat="1" customHeight="1" ht="14.25">
      <c r="A118" s="676"/>
      <c r="B118" s="1176"/>
      <c r="C118" s="676"/>
      <c r="D118" s="676"/>
      <c r="E118" s="611">
        <v>15</v>
      </c>
      <c r="F118" s="316" cm="1" t="str">
        <f t="array" ref="F118:F118">X118</f>
        <v>1</v>
      </c>
      <c r="G118" s="676"/>
      <c r="H118" s="676"/>
      <c r="I118" s="676"/>
      <c r="J118" s="676"/>
      <c r="K118" s="676"/>
      <c r="L118" s="676"/>
      <c r="M118" s="676"/>
      <c r="N118" s="676"/>
      <c r="O118" s="676"/>
      <c r="P118" s="1316"/>
      <c r="Q118" s="1316"/>
      <c r="R118" s="1316"/>
      <c r="S118" s="1316"/>
      <c r="T118" s="439">
        <f>X118&gt;0</f>
        <v>1</v>
      </c>
      <c r="U118" s="1316"/>
      <c r="V118" s="64" cm="1" t="str">
        <f t="array" ref="V118:V118">ИИКА!$AB$32</f>
        <v>Тариф 1 (Водоснабжение) - тариф на техническую воду (Оказание услуг на территории: Прокопьевский муниципальный округ (ОКТМО: 32522000) - п Калачево)</v>
      </c>
      <c r="W118" s="1316"/>
      <c r="X118" s="1482" t="s">
        <v>272</v>
      </c>
      <c r="Y118" s="1464"/>
      <c r="Z118" s="676"/>
      <c r="AA118" s="676"/>
      <c r="AB118" s="147" cm="1" t="str">
        <f t="array" ref="AB118:AB118">ИИКА!$AB$32</f>
        <v>Тариф 1 (Водоснабжение) - тариф на техническую воду (Оказание услуг на территории: Прокопьевский муниципальный округ (ОКТМО: 32522000) - п Калачево)</v>
      </c>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676"/>
      <c r="BE118" s="676"/>
      <c r="BF118" s="1061"/>
    </row>
    <row s="1621" customFormat="1" customHeight="1" ht="14.25">
      <c r="A119" s="676"/>
      <c r="B119" s="1176"/>
      <c r="C119" s="676"/>
      <c r="D119" s="676"/>
      <c r="E119" s="611">
        <v>15</v>
      </c>
      <c r="F119" s="50" cm="1" t="str">
        <f t="array" ref="F119:F119">OFFSET(E119,-1,1)</f>
        <v>1</v>
      </c>
      <c r="G119" s="676"/>
      <c r="H119" s="676"/>
      <c r="I119" s="676"/>
      <c r="J119" s="676"/>
      <c r="K119" s="676"/>
      <c r="L119" s="676"/>
      <c r="M119" s="676"/>
      <c r="N119" s="676"/>
      <c r="O119" s="676"/>
      <c r="P119" s="1316"/>
      <c r="Q119" s="1316"/>
      <c r="R119" s="388" cm="1" t="str">
        <f t="array" ref="R119:R119">INDEX('Общие сведения'!$AN$179:$AN$222,MATCH($X118,'Общие сведения'!$Z$179:$Z$222,0))</f>
        <v>false</v>
      </c>
      <c r="S119" s="388">
        <f>IF(ISERROR(SEARCH("Водоснабжение",AB118)),FALSE,TRUE)</f>
        <v>1</v>
      </c>
      <c r="T119" s="439">
        <f>AND(X118&gt;0,S119,NOT(R119))</f>
        <v>1</v>
      </c>
      <c r="U119" s="1316"/>
      <c r="V119" s="676"/>
      <c r="W119" s="1316"/>
      <c r="X119" s="1482"/>
      <c r="Y119" s="1464"/>
      <c r="Z119" s="676"/>
      <c r="AA119" s="676"/>
      <c r="AB119" s="207" t="s">
        <v>272</v>
      </c>
      <c r="AC119" s="296" t="s">
        <v>509</v>
      </c>
      <c r="AD119" s="58"/>
      <c r="AE119" s="548" cm="1" t="str">
        <f t="array" ref="AE119:AE119">INDEX('Общие сведения'!$AH$179:$AH$222,MATCH($X118,'Общие сведения'!$Z$179:$Z$222,0))</f>
        <v>техническая вода</v>
      </c>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c r="AZ119" s="329"/>
      <c r="BA119" s="329"/>
      <c r="BB119" s="330"/>
      <c r="BC119" s="167"/>
      <c r="BD119" s="676"/>
      <c r="BE119" s="676"/>
      <c r="BF119" s="998" t="s">
        <v>510</v>
      </c>
    </row>
    <row s="1621" customFormat="1" customHeight="1" ht="14.25">
      <c r="A120" s="676"/>
      <c r="B120" s="1176"/>
      <c r="C120" s="676"/>
      <c r="D120" s="676"/>
      <c r="E120" s="611">
        <v>15</v>
      </c>
      <c r="F120" s="50" cm="1" t="str">
        <f t="array" ref="F120:F120">OFFSET(E120,-1,1)</f>
        <v>1</v>
      </c>
      <c r="G120" s="676"/>
      <c r="H120" s="64" t="s">
        <v>329</v>
      </c>
      <c r="I120" s="676"/>
      <c r="J120" s="676"/>
      <c r="K120" s="676"/>
      <c r="L120" s="676"/>
      <c r="M120" s="676"/>
      <c r="N120" s="676"/>
      <c r="O120" s="676"/>
      <c r="P120" s="1316"/>
      <c r="Q120" s="1316"/>
      <c r="R120" s="1316"/>
      <c r="S120" s="1316"/>
      <c r="T120" s="439" cm="1" t="str">
        <f t="array" ref="T120:T120">T119</f>
        <v>true</v>
      </c>
      <c r="U120" s="1316"/>
      <c r="V120" s="676"/>
      <c r="W120" s="1316"/>
      <c r="X120" s="1482"/>
      <c r="Y120" s="1464"/>
      <c r="Z120" s="676"/>
      <c r="AA120" s="676"/>
      <c r="AB120" s="207" t="s">
        <v>283</v>
      </c>
      <c r="AC120" s="297" t="s">
        <v>511</v>
      </c>
      <c r="AD120" s="59" t="s">
        <v>512</v>
      </c>
      <c r="AE120" s="282">
        <f>AE129+AE124-AE127</f>
        <v>183.4584</v>
      </c>
      <c r="AF120" s="282">
        <f>AF129+AF124-AF127</f>
        <v>163.933</v>
      </c>
      <c r="AG120" s="282">
        <f>AG129+AG124-AG127</f>
        <v>163.933</v>
      </c>
      <c r="AH120" s="282">
        <f>AH129+AH124-AH127</f>
        <v>151.23</v>
      </c>
      <c r="AI120" s="282">
        <f>AI129+AI124-AI127</f>
        <v>147.98</v>
      </c>
      <c r="AJ120" s="282">
        <f>AJ129+AJ124-AJ127</f>
        <v>0</v>
      </c>
      <c r="AK120" s="282">
        <f>AK129+AK124-AK127</f>
        <v>0</v>
      </c>
      <c r="AL120" s="282">
        <f>AL129+AL124-AL127</f>
        <v>0</v>
      </c>
      <c r="AM120" s="282">
        <f>AM129+AM124-AM127</f>
        <v>0</v>
      </c>
      <c r="AN120" s="282">
        <f>AN129+AN124-AN127</f>
        <v>0</v>
      </c>
      <c r="AO120" s="282">
        <f>AO129+AO124-AO127</f>
        <v>0</v>
      </c>
      <c r="AP120" s="282">
        <f>AP129+AP124-AP127</f>
        <v>0</v>
      </c>
      <c r="AQ120" s="282">
        <f>AQ129+AQ124-AQ127</f>
        <v>0</v>
      </c>
      <c r="AR120" s="282">
        <f>AR129+AR124-AR127</f>
        <v>0</v>
      </c>
      <c r="AS120" s="282">
        <f>AS129+AS124-AS127</f>
        <v>163.933</v>
      </c>
      <c r="AT120" s="282">
        <f>AT129+AT124-AT127</f>
        <v>0</v>
      </c>
      <c r="AU120" s="282">
        <f>AU129+AU124-AU127</f>
        <v>0</v>
      </c>
      <c r="AV120" s="282">
        <f>AV129+AV124-AV127</f>
        <v>0</v>
      </c>
      <c r="AW120" s="282">
        <f>AW129+AW124-AW127</f>
        <v>0</v>
      </c>
      <c r="AX120" s="282">
        <f>AX129+AX124-AX127</f>
        <v>0</v>
      </c>
      <c r="AY120" s="282">
        <f>AY129+AY124-AY127</f>
        <v>0</v>
      </c>
      <c r="AZ120" s="282">
        <f>AZ129+AZ124-AZ127</f>
        <v>0</v>
      </c>
      <c r="BA120" s="282">
        <f>BA129+BA124-BA127</f>
        <v>0</v>
      </c>
      <c r="BB120" s="282">
        <f>BB129+BB124-BB127</f>
        <v>0</v>
      </c>
      <c r="BC120" s="167"/>
      <c r="BD120" s="676"/>
      <c r="BE120" s="676"/>
      <c r="BF120" s="998" t="s">
        <v>513</v>
      </c>
    </row>
    <row s="1621" customFormat="1" customHeight="1" ht="14.25">
      <c r="A121" s="676"/>
      <c r="B121" s="1176"/>
      <c r="C121" s="676"/>
      <c r="D121" s="676"/>
      <c r="E121" s="611">
        <v>15</v>
      </c>
      <c r="F121" s="50" cm="1" t="str">
        <f t="array" ref="F121:F121">OFFSET(E121,-1,1)</f>
        <v>1</v>
      </c>
      <c r="G121" s="676"/>
      <c r="H121" s="64" t="s">
        <v>514</v>
      </c>
      <c r="I121" s="676"/>
      <c r="J121" s="676"/>
      <c r="K121" s="676"/>
      <c r="L121" s="676"/>
      <c r="M121" s="676"/>
      <c r="N121" s="676"/>
      <c r="O121" s="676"/>
      <c r="P121" s="1316"/>
      <c r="Q121" s="1316"/>
      <c r="R121" s="1316"/>
      <c r="S121" s="1316"/>
      <c r="T121" s="439" cm="1" t="str">
        <f t="array" ref="T121:T121">T120</f>
        <v>true</v>
      </c>
      <c r="U121" s="1316"/>
      <c r="V121" s="676"/>
      <c r="W121" s="1316"/>
      <c r="X121" s="1482"/>
      <c r="Y121" s="1464"/>
      <c r="Z121" s="676"/>
      <c r="AA121" s="676"/>
      <c r="AB121" s="207" t="s">
        <v>515</v>
      </c>
      <c r="AC121" s="159" t="s">
        <v>516</v>
      </c>
      <c r="AD121" s="59" t="s">
        <v>512</v>
      </c>
      <c r="AE121" s="246"/>
      <c r="AF121" s="246"/>
      <c r="AG121" s="246"/>
      <c r="AH121" s="246"/>
      <c r="AI121" s="246"/>
      <c r="AJ121" s="1930"/>
      <c r="AK121" s="1930"/>
      <c r="AL121" s="246"/>
      <c r="AM121" s="246"/>
      <c r="AN121" s="246"/>
      <c r="AO121" s="246"/>
      <c r="AP121" s="246"/>
      <c r="AQ121" s="246"/>
      <c r="AR121" s="246"/>
      <c r="AS121" s="246"/>
      <c r="AT121" s="1930"/>
      <c r="AU121" s="1930"/>
      <c r="AV121" s="246"/>
      <c r="AW121" s="246"/>
      <c r="AX121" s="246"/>
      <c r="AY121" s="246"/>
      <c r="AZ121" s="246"/>
      <c r="BA121" s="246"/>
      <c r="BB121" s="246"/>
      <c r="BC121" s="251"/>
      <c r="BD121" s="676"/>
      <c r="BE121" s="676"/>
      <c r="BF121" s="998" t="s">
        <v>517</v>
      </c>
    </row>
    <row s="1621" customFormat="1" customHeight="1" ht="44.25">
      <c r="A122" s="676"/>
      <c r="B122" s="1176"/>
      <c r="C122" s="676"/>
      <c r="D122" s="676"/>
      <c r="E122" s="611">
        <v>15</v>
      </c>
      <c r="F122" s="50" cm="1" t="str">
        <f t="array" ref="F122:F122">OFFSET(E122,-1,1)</f>
        <v>1</v>
      </c>
      <c r="G122" s="676"/>
      <c r="H122" s="64" t="s">
        <v>518</v>
      </c>
      <c r="I122" s="676"/>
      <c r="J122" s="676"/>
      <c r="K122" s="676"/>
      <c r="L122" s="676"/>
      <c r="M122" s="676"/>
      <c r="N122" s="676"/>
      <c r="O122" s="676"/>
      <c r="P122" s="1316"/>
      <c r="Q122" s="1316"/>
      <c r="R122" s="1316"/>
      <c r="S122" s="1316"/>
      <c r="T122" s="439" cm="1" t="str">
        <f t="array" ref="T122:T122">T121</f>
        <v>true</v>
      </c>
      <c r="U122" s="1316"/>
      <c r="V122" s="676"/>
      <c r="W122" s="1316"/>
      <c r="X122" s="1482"/>
      <c r="Y122" s="1464"/>
      <c r="Z122" s="676"/>
      <c r="AA122" s="676"/>
      <c r="AB122" s="207" t="s">
        <v>519</v>
      </c>
      <c r="AC122" s="159" t="s">
        <v>520</v>
      </c>
      <c r="AD122" s="59" t="s">
        <v>512</v>
      </c>
      <c r="AE122" s="246">
        <v>183.4584</v>
      </c>
      <c r="AF122" s="246">
        <v>163.933</v>
      </c>
      <c r="AG122" s="246">
        <v>163.933</v>
      </c>
      <c r="AH122" s="246">
        <v>151.23</v>
      </c>
      <c r="AI122" s="246">
        <v>147.98</v>
      </c>
      <c r="AJ122" s="1930"/>
      <c r="AK122" s="1930"/>
      <c r="AL122" s="246"/>
      <c r="AM122" s="246"/>
      <c r="AN122" s="246"/>
      <c r="AO122" s="246"/>
      <c r="AP122" s="246"/>
      <c r="AQ122" s="246"/>
      <c r="AR122" s="246"/>
      <c r="AS122" s="246">
        <v>163.933</v>
      </c>
      <c r="AT122" s="1930"/>
      <c r="AU122" s="1930"/>
      <c r="AV122" s="246"/>
      <c r="AW122" s="246"/>
      <c r="AX122" s="246"/>
      <c r="AY122" s="246"/>
      <c r="AZ122" s="246"/>
      <c r="BA122" s="246"/>
      <c r="BB122" s="246"/>
      <c r="BC122" s="251" t="s">
        <v>752</v>
      </c>
      <c r="BD122" s="676"/>
      <c r="BE122" s="676"/>
      <c r="BF122" s="998" t="s">
        <v>521</v>
      </c>
    </row>
    <row s="1621" customFormat="1" customHeight="1" ht="21.75">
      <c r="A123" s="676"/>
      <c r="B123" s="1176"/>
      <c r="C123" s="676"/>
      <c r="D123" s="676"/>
      <c r="E123" s="611">
        <v>22.5</v>
      </c>
      <c r="F123" s="50" cm="1" t="str">
        <f t="array" ref="F123:F123">OFFSET(E123,-1,1)</f>
        <v>1</v>
      </c>
      <c r="G123" s="676"/>
      <c r="H123" s="64" t="s">
        <v>522</v>
      </c>
      <c r="I123" s="676"/>
      <c r="J123" s="676"/>
      <c r="K123" s="676"/>
      <c r="L123" s="676"/>
      <c r="M123" s="676"/>
      <c r="N123" s="676"/>
      <c r="O123" s="676"/>
      <c r="P123" s="1316"/>
      <c r="Q123" s="1316"/>
      <c r="R123" s="1316"/>
      <c r="S123" s="1316"/>
      <c r="T123" s="439" cm="1" t="str">
        <f t="array" ref="T123:T123">T122</f>
        <v>true</v>
      </c>
      <c r="U123" s="1316"/>
      <c r="V123" s="676"/>
      <c r="W123" s="1316"/>
      <c r="X123" s="1482"/>
      <c r="Y123" s="1464"/>
      <c r="Z123" s="676"/>
      <c r="AA123" s="676"/>
      <c r="AB123" s="207" t="s">
        <v>523</v>
      </c>
      <c r="AC123" s="297" t="s">
        <v>524</v>
      </c>
      <c r="AD123" s="59" t="s">
        <v>512</v>
      </c>
      <c r="AE123" s="246"/>
      <c r="AF123" s="246"/>
      <c r="AG123" s="246"/>
      <c r="AH123" s="246"/>
      <c r="AI123" s="246"/>
      <c r="AJ123" s="1930"/>
      <c r="AK123" s="1930"/>
      <c r="AL123" s="246"/>
      <c r="AM123" s="246"/>
      <c r="AN123" s="246"/>
      <c r="AO123" s="246"/>
      <c r="AP123" s="246"/>
      <c r="AQ123" s="246"/>
      <c r="AR123" s="246"/>
      <c r="AS123" s="246"/>
      <c r="AT123" s="1930"/>
      <c r="AU123" s="1930"/>
      <c r="AV123" s="246"/>
      <c r="AW123" s="246"/>
      <c r="AX123" s="246"/>
      <c r="AY123" s="246"/>
      <c r="AZ123" s="246"/>
      <c r="BA123" s="246"/>
      <c r="BB123" s="246"/>
      <c r="BC123" s="251"/>
      <c r="BD123" s="676"/>
      <c r="BE123" s="676"/>
      <c r="BF123" s="998" t="s">
        <v>525</v>
      </c>
    </row>
    <row s="1621" customFormat="1" customHeight="1" ht="14.25">
      <c r="A124" s="676"/>
      <c r="B124" s="1176"/>
      <c r="C124" s="676"/>
      <c r="D124" s="676"/>
      <c r="E124" s="611">
        <v>15</v>
      </c>
      <c r="F124" s="50" cm="1" t="str">
        <f t="array" ref="F124:F124">OFFSET(E124,-1,1)</f>
        <v>1</v>
      </c>
      <c r="G124" s="676"/>
      <c r="H124" s="64" t="s">
        <v>328</v>
      </c>
      <c r="I124" s="676"/>
      <c r="J124" s="676"/>
      <c r="K124" s="676"/>
      <c r="L124" s="676"/>
      <c r="M124" s="676"/>
      <c r="N124" s="676"/>
      <c r="O124" s="676"/>
      <c r="P124" s="1316"/>
      <c r="Q124" s="1316"/>
      <c r="R124" s="1316"/>
      <c r="S124" s="1316"/>
      <c r="T124" s="439" cm="1" t="str">
        <f t="array" ref="T124:T124">T123</f>
        <v>true</v>
      </c>
      <c r="U124" s="1316"/>
      <c r="V124" s="676"/>
      <c r="W124" s="1316"/>
      <c r="X124" s="1482"/>
      <c r="Y124" s="1464"/>
      <c r="Z124" s="676"/>
      <c r="AA124" s="676"/>
      <c r="AB124" s="207" t="s">
        <v>323</v>
      </c>
      <c r="AC124" s="297" t="s">
        <v>526</v>
      </c>
      <c r="AD124" s="59" t="s">
        <v>512</v>
      </c>
      <c r="AE124" s="282">
        <f>SUM(AE125:AE126)</f>
        <v>0</v>
      </c>
      <c r="AF124" s="282">
        <f>SUM(AF125:AF126)</f>
        <v>0</v>
      </c>
      <c r="AG124" s="282">
        <f>SUM(AG125:AG126)</f>
        <v>0</v>
      </c>
      <c r="AH124" s="282">
        <f>SUM(AH125:AH126)</f>
        <v>0</v>
      </c>
      <c r="AI124" s="282">
        <f>SUM(AI125:AI126)</f>
        <v>0</v>
      </c>
      <c r="AJ124" s="282">
        <f>SUM(AJ125:AJ126)</f>
        <v>0</v>
      </c>
      <c r="AK124" s="282">
        <f>SUM(AK125:AK126)</f>
        <v>0</v>
      </c>
      <c r="AL124" s="282">
        <f>SUM(AL125:AL126)</f>
        <v>0</v>
      </c>
      <c r="AM124" s="282">
        <f>SUM(AM125:AM126)</f>
        <v>0</v>
      </c>
      <c r="AN124" s="282">
        <f>SUM(AN125:AN126)</f>
        <v>0</v>
      </c>
      <c r="AO124" s="282">
        <f>SUM(AO125:AO126)</f>
        <v>0</v>
      </c>
      <c r="AP124" s="282">
        <f>SUM(AP125:AP126)</f>
        <v>0</v>
      </c>
      <c r="AQ124" s="282">
        <f>SUM(AQ125:AQ126)</f>
        <v>0</v>
      </c>
      <c r="AR124" s="282">
        <f>SUM(AR125:AR126)</f>
        <v>0</v>
      </c>
      <c r="AS124" s="282">
        <f>SUM(AS125:AS126)</f>
        <v>0</v>
      </c>
      <c r="AT124" s="282">
        <f>SUM(AT125:AT126)</f>
        <v>0</v>
      </c>
      <c r="AU124" s="282">
        <f>SUM(AU125:AU126)</f>
        <v>0</v>
      </c>
      <c r="AV124" s="282">
        <f>SUM(AV125:AV126)</f>
        <v>0</v>
      </c>
      <c r="AW124" s="282">
        <f>SUM(AW125:AW126)</f>
        <v>0</v>
      </c>
      <c r="AX124" s="282">
        <f>SUM(AX125:AX126)</f>
        <v>0</v>
      </c>
      <c r="AY124" s="282">
        <f>SUM(AY125:AY126)</f>
        <v>0</v>
      </c>
      <c r="AZ124" s="282">
        <f>SUM(AZ125:AZ126)</f>
        <v>0</v>
      </c>
      <c r="BA124" s="282">
        <f>SUM(BA125:BA126)</f>
        <v>0</v>
      </c>
      <c r="BB124" s="282">
        <f>SUM(BB125:BB126)</f>
        <v>0</v>
      </c>
      <c r="BC124" s="251"/>
      <c r="BD124" s="676"/>
      <c r="BE124" s="676"/>
      <c r="BF124" s="998" t="s">
        <v>527</v>
      </c>
    </row>
    <row s="1621" customFormat="1" customHeight="1" ht="14.25">
      <c r="A125" s="676"/>
      <c r="B125" s="1176"/>
      <c r="C125" s="676"/>
      <c r="D125" s="676"/>
      <c r="E125" s="611">
        <v>15</v>
      </c>
      <c r="F125" s="50" cm="1" t="str">
        <f t="array" ref="F125:F125">OFFSET(E125,-1,1)</f>
        <v>1</v>
      </c>
      <c r="G125" s="676"/>
      <c r="H125" s="64" t="s">
        <v>528</v>
      </c>
      <c r="I125" s="676"/>
      <c r="J125" s="676"/>
      <c r="K125" s="676"/>
      <c r="L125" s="676"/>
      <c r="M125" s="676"/>
      <c r="N125" s="676"/>
      <c r="O125" s="676"/>
      <c r="P125" s="1316"/>
      <c r="Q125" s="1316"/>
      <c r="R125" s="1316"/>
      <c r="S125" s="1316"/>
      <c r="T125" s="439" cm="1" t="str">
        <f t="array" ref="T125:T125">T124</f>
        <v>true</v>
      </c>
      <c r="U125" s="1316"/>
      <c r="V125" s="676"/>
      <c r="W125" s="1316"/>
      <c r="X125" s="1482"/>
      <c r="Y125" s="1464"/>
      <c r="Z125" s="676"/>
      <c r="AA125" s="676"/>
      <c r="AB125" s="207" t="s">
        <v>529</v>
      </c>
      <c r="AC125" s="159" t="s">
        <v>530</v>
      </c>
      <c r="AD125" s="59" t="s">
        <v>512</v>
      </c>
      <c r="AE125" s="246"/>
      <c r="AF125" s="246"/>
      <c r="AG125" s="246"/>
      <c r="AH125" s="246"/>
      <c r="AI125" s="246"/>
      <c r="AJ125" s="1930"/>
      <c r="AK125" s="1930"/>
      <c r="AL125" s="246"/>
      <c r="AM125" s="246"/>
      <c r="AN125" s="246"/>
      <c r="AO125" s="246"/>
      <c r="AP125" s="246"/>
      <c r="AQ125" s="246"/>
      <c r="AR125" s="246"/>
      <c r="AS125" s="246"/>
      <c r="AT125" s="1930"/>
      <c r="AU125" s="1930"/>
      <c r="AV125" s="246"/>
      <c r="AW125" s="246"/>
      <c r="AX125" s="246"/>
      <c r="AY125" s="246"/>
      <c r="AZ125" s="246"/>
      <c r="BA125" s="246"/>
      <c r="BB125" s="246"/>
      <c r="BC125" s="251"/>
      <c r="BD125" s="676"/>
      <c r="BE125" s="676"/>
      <c r="BF125" s="998" t="s">
        <v>531</v>
      </c>
    </row>
    <row s="1621" customFormat="1" customHeight="1" ht="14.25">
      <c r="A126" s="676"/>
      <c r="B126" s="1176"/>
      <c r="C126" s="676"/>
      <c r="D126" s="676"/>
      <c r="E126" s="611">
        <v>15</v>
      </c>
      <c r="F126" s="50" cm="1" t="str">
        <f t="array" ref="F126:F126">OFFSET(E126,-1,1)</f>
        <v>1</v>
      </c>
      <c r="G126" s="676"/>
      <c r="H126" s="64" t="s">
        <v>532</v>
      </c>
      <c r="I126" s="676"/>
      <c r="J126" s="676"/>
      <c r="K126" s="676"/>
      <c r="L126" s="676"/>
      <c r="M126" s="676"/>
      <c r="N126" s="676"/>
      <c r="O126" s="676"/>
      <c r="P126" s="1316"/>
      <c r="Q126" s="1316"/>
      <c r="R126" s="1316"/>
      <c r="S126" s="1316"/>
      <c r="T126" s="439" cm="1" t="str">
        <f t="array" ref="T126:T126">T125</f>
        <v>true</v>
      </c>
      <c r="U126" s="1316"/>
      <c r="V126" s="676"/>
      <c r="W126" s="1316"/>
      <c r="X126" s="1482"/>
      <c r="Y126" s="1464"/>
      <c r="Z126" s="676"/>
      <c r="AA126" s="676"/>
      <c r="AB126" s="207" t="s">
        <v>533</v>
      </c>
      <c r="AC126" s="159" t="s">
        <v>534</v>
      </c>
      <c r="AD126" s="59" t="s">
        <v>512</v>
      </c>
      <c r="AE126" s="246"/>
      <c r="AF126" s="246"/>
      <c r="AG126" s="246"/>
      <c r="AH126" s="246"/>
      <c r="AI126" s="246"/>
      <c r="AJ126" s="1930"/>
      <c r="AK126" s="1930"/>
      <c r="AL126" s="246"/>
      <c r="AM126" s="246"/>
      <c r="AN126" s="246"/>
      <c r="AO126" s="246"/>
      <c r="AP126" s="246"/>
      <c r="AQ126" s="246"/>
      <c r="AR126" s="246"/>
      <c r="AS126" s="246"/>
      <c r="AT126" s="1930"/>
      <c r="AU126" s="1930"/>
      <c r="AV126" s="246"/>
      <c r="AW126" s="246"/>
      <c r="AX126" s="246"/>
      <c r="AY126" s="246"/>
      <c r="AZ126" s="246"/>
      <c r="BA126" s="246"/>
      <c r="BB126" s="246"/>
      <c r="BC126" s="251"/>
      <c r="BD126" s="676"/>
      <c r="BE126" s="676"/>
      <c r="BF126" s="998" t="s">
        <v>535</v>
      </c>
    </row>
    <row s="1621" customFormat="1" customHeight="1" ht="14.25">
      <c r="A127" s="676"/>
      <c r="B127" s="1176"/>
      <c r="C127" s="676"/>
      <c r="D127" s="676"/>
      <c r="E127" s="611">
        <v>15</v>
      </c>
      <c r="F127" s="50" cm="1" t="str">
        <f t="array" ref="F127:F127">OFFSET(E127,-1,1)</f>
        <v>1</v>
      </c>
      <c r="G127" s="676"/>
      <c r="H127" s="64" t="s">
        <v>491</v>
      </c>
      <c r="I127" s="676"/>
      <c r="J127" s="676"/>
      <c r="K127" s="676"/>
      <c r="L127" s="676"/>
      <c r="M127" s="676"/>
      <c r="N127" s="676"/>
      <c r="O127" s="676"/>
      <c r="P127" s="1316"/>
      <c r="Q127" s="1316"/>
      <c r="R127" s="1316"/>
      <c r="S127" s="1316"/>
      <c r="T127" s="439" cm="1" t="str">
        <f t="array" ref="T127:T127">T126</f>
        <v>true</v>
      </c>
      <c r="U127" s="1316"/>
      <c r="V127" s="676"/>
      <c r="W127" s="1316"/>
      <c r="X127" s="1482"/>
      <c r="Y127" s="1464"/>
      <c r="Z127" s="676"/>
      <c r="AA127" s="676"/>
      <c r="AB127" s="207" t="s">
        <v>536</v>
      </c>
      <c r="AC127" s="296" t="s">
        <v>537</v>
      </c>
      <c r="AD127" s="59" t="s">
        <v>512</v>
      </c>
      <c r="AE127" s="243"/>
      <c r="AF127" s="243"/>
      <c r="AG127" s="243"/>
      <c r="AH127" s="243"/>
      <c r="AI127" s="243"/>
      <c r="AJ127" s="1886"/>
      <c r="AK127" s="1886"/>
      <c r="AL127" s="243"/>
      <c r="AM127" s="243"/>
      <c r="AN127" s="243"/>
      <c r="AO127" s="243"/>
      <c r="AP127" s="243"/>
      <c r="AQ127" s="243"/>
      <c r="AR127" s="243"/>
      <c r="AS127" s="243"/>
      <c r="AT127" s="1886"/>
      <c r="AU127" s="1886"/>
      <c r="AV127" s="243"/>
      <c r="AW127" s="243"/>
      <c r="AX127" s="243"/>
      <c r="AY127" s="243"/>
      <c r="AZ127" s="243"/>
      <c r="BA127" s="243"/>
      <c r="BB127" s="243"/>
      <c r="BC127" s="251"/>
      <c r="BD127" s="676"/>
      <c r="BE127" s="676"/>
      <c r="BF127" s="998" t="s">
        <v>538</v>
      </c>
    </row>
    <row s="1621" customFormat="1" customHeight="1" ht="14.25">
      <c r="A128" s="676"/>
      <c r="B128" s="1176"/>
      <c r="C128" s="676"/>
      <c r="D128" s="676"/>
      <c r="E128" s="611">
        <v>15</v>
      </c>
      <c r="F128" s="50" cm="1" t="str">
        <f t="array" ref="F128:F128">OFFSET(E128,-1,1)</f>
        <v>1</v>
      </c>
      <c r="G128" s="676"/>
      <c r="H128" s="64" t="s">
        <v>495</v>
      </c>
      <c r="I128" s="676"/>
      <c r="J128" s="676"/>
      <c r="K128" s="676"/>
      <c r="L128" s="676"/>
      <c r="M128" s="676"/>
      <c r="N128" s="676"/>
      <c r="O128" s="676"/>
      <c r="P128" s="1316"/>
      <c r="Q128" s="1316"/>
      <c r="R128" s="1316"/>
      <c r="S128" s="1316"/>
      <c r="T128" s="439" cm="1" t="str">
        <f t="array" ref="T128:T128">T127</f>
        <v>true</v>
      </c>
      <c r="U128" s="1316"/>
      <c r="V128" s="676"/>
      <c r="W128" s="1316"/>
      <c r="X128" s="1482"/>
      <c r="Y128" s="1464"/>
      <c r="Z128" s="676"/>
      <c r="AA128" s="676"/>
      <c r="AB128" s="207" t="s">
        <v>492</v>
      </c>
      <c r="AC128" s="296" t="s">
        <v>539</v>
      </c>
      <c r="AD128" s="59" t="s">
        <v>512</v>
      </c>
      <c r="AE128" s="246"/>
      <c r="AF128" s="246"/>
      <c r="AG128" s="246"/>
      <c r="AH128" s="246"/>
      <c r="AI128" s="246"/>
      <c r="AJ128" s="1930"/>
      <c r="AK128" s="1930"/>
      <c r="AL128" s="246"/>
      <c r="AM128" s="246"/>
      <c r="AN128" s="246"/>
      <c r="AO128" s="246"/>
      <c r="AP128" s="246"/>
      <c r="AQ128" s="246"/>
      <c r="AR128" s="246"/>
      <c r="AS128" s="246"/>
      <c r="AT128" s="1930"/>
      <c r="AU128" s="1930"/>
      <c r="AV128" s="246"/>
      <c r="AW128" s="246"/>
      <c r="AX128" s="246"/>
      <c r="AY128" s="246"/>
      <c r="AZ128" s="246"/>
      <c r="BA128" s="246"/>
      <c r="BB128" s="246"/>
      <c r="BC128" s="251"/>
      <c r="BD128" s="676"/>
      <c r="BE128" s="676"/>
      <c r="BF128" s="998" t="s">
        <v>540</v>
      </c>
    </row>
    <row s="1621" customFormat="1" customHeight="1" ht="14.25">
      <c r="A129" s="676"/>
      <c r="B129" s="1176"/>
      <c r="C129" s="676"/>
      <c r="D129" s="676"/>
      <c r="E129" s="611">
        <v>15</v>
      </c>
      <c r="F129" s="50" cm="1" t="str">
        <f t="array" ref="F129:F129">OFFSET(E129,-1,1)</f>
        <v>1</v>
      </c>
      <c r="G129" s="676"/>
      <c r="H129" s="64" t="s">
        <v>541</v>
      </c>
      <c r="I129" s="676"/>
      <c r="J129" s="676"/>
      <c r="K129" s="676"/>
      <c r="L129" s="676"/>
      <c r="M129" s="676"/>
      <c r="N129" s="676"/>
      <c r="O129" s="676"/>
      <c r="P129" s="1316"/>
      <c r="Q129" s="1316"/>
      <c r="R129" s="1316"/>
      <c r="S129" s="1316"/>
      <c r="T129" s="439" cm="1" t="str">
        <f t="array" ref="T129:T129">T128</f>
        <v>true</v>
      </c>
      <c r="U129" s="1316"/>
      <c r="V129" s="676"/>
      <c r="W129" s="1316"/>
      <c r="X129" s="1482"/>
      <c r="Y129" s="1464"/>
      <c r="Z129" s="676"/>
      <c r="AA129" s="676"/>
      <c r="AB129" s="207" t="s">
        <v>496</v>
      </c>
      <c r="AC129" s="297" t="s">
        <v>542</v>
      </c>
      <c r="AD129" s="59" t="s">
        <v>512</v>
      </c>
      <c r="AE129" s="282">
        <f>AE135+AE133</f>
        <v>183.4584</v>
      </c>
      <c r="AF129" s="282">
        <f>AF135+AF133</f>
        <v>163.933</v>
      </c>
      <c r="AG129" s="282">
        <f>AG135+AG133</f>
        <v>163.933</v>
      </c>
      <c r="AH129" s="282">
        <f>AH135+AH133</f>
        <v>151.23</v>
      </c>
      <c r="AI129" s="282">
        <f>AI135+AI133</f>
        <v>147.98</v>
      </c>
      <c r="AJ129" s="282">
        <f>AJ135+AJ133</f>
        <v>0</v>
      </c>
      <c r="AK129" s="282">
        <f>AK135+AK133</f>
        <v>0</v>
      </c>
      <c r="AL129" s="282">
        <f>AL135+AL133</f>
        <v>0</v>
      </c>
      <c r="AM129" s="282">
        <f>AM135+AM133</f>
        <v>0</v>
      </c>
      <c r="AN129" s="282">
        <f>AN135+AN133</f>
        <v>0</v>
      </c>
      <c r="AO129" s="282">
        <f>AO135+AO133</f>
        <v>0</v>
      </c>
      <c r="AP129" s="282">
        <f>AP135+AP133</f>
        <v>0</v>
      </c>
      <c r="AQ129" s="282">
        <f>AQ135+AQ133</f>
        <v>0</v>
      </c>
      <c r="AR129" s="282">
        <f>AR135+AR133</f>
        <v>0</v>
      </c>
      <c r="AS129" s="282">
        <f>AS135+AS133</f>
        <v>163.933</v>
      </c>
      <c r="AT129" s="282">
        <f>AT135+AT133</f>
        <v>0</v>
      </c>
      <c r="AU129" s="282">
        <f>AU135+AU133</f>
        <v>0</v>
      </c>
      <c r="AV129" s="282">
        <f>AV135+AV133</f>
        <v>0</v>
      </c>
      <c r="AW129" s="282">
        <f>AW135+AW133</f>
        <v>0</v>
      </c>
      <c r="AX129" s="282">
        <f>AX135+AX133</f>
        <v>0</v>
      </c>
      <c r="AY129" s="282">
        <f>AY135+AY133</f>
        <v>0</v>
      </c>
      <c r="AZ129" s="282">
        <f>AZ135+AZ133</f>
        <v>0</v>
      </c>
      <c r="BA129" s="282">
        <f>BA135+BA133</f>
        <v>0</v>
      </c>
      <c r="BB129" s="282">
        <f>BB135+BB133</f>
        <v>0</v>
      </c>
      <c r="BC129" s="251"/>
      <c r="BD129" s="676"/>
      <c r="BE129" s="676"/>
      <c r="BF129" s="998" t="s">
        <v>543</v>
      </c>
    </row>
    <row s="1621" customFormat="1" customHeight="1" ht="44.25">
      <c r="A130" s="676"/>
      <c r="B130" s="1176"/>
      <c r="C130" s="676"/>
      <c r="D130" s="676"/>
      <c r="E130" s="611">
        <v>22.5</v>
      </c>
      <c r="F130" s="50" cm="1" t="str">
        <f t="array" ref="F130:F130">OFFSET(E130,-1,1)</f>
        <v>1</v>
      </c>
      <c r="G130" s="676"/>
      <c r="H130" s="64" t="s">
        <v>544</v>
      </c>
      <c r="I130" s="676"/>
      <c r="J130" s="676"/>
      <c r="K130" s="676"/>
      <c r="L130" s="676"/>
      <c r="M130" s="676"/>
      <c r="N130" s="676"/>
      <c r="O130" s="676"/>
      <c r="P130" s="1316"/>
      <c r="Q130" s="1316"/>
      <c r="R130" s="1316"/>
      <c r="S130" s="1316"/>
      <c r="T130" s="439" cm="1" t="str">
        <f t="array" ref="T130:T130">T129</f>
        <v>true</v>
      </c>
      <c r="U130" s="1316"/>
      <c r="V130" s="676"/>
      <c r="W130" s="1316"/>
      <c r="X130" s="1482"/>
      <c r="Y130" s="1464"/>
      <c r="Z130" s="676"/>
      <c r="AA130" s="676"/>
      <c r="AB130" s="207" t="s">
        <v>545</v>
      </c>
      <c r="AC130" s="159" t="s">
        <v>546</v>
      </c>
      <c r="AD130" s="59" t="s">
        <v>512</v>
      </c>
      <c r="AE130" s="246">
        <v>183.4584</v>
      </c>
      <c r="AF130" s="246">
        <v>163.933</v>
      </c>
      <c r="AG130" s="246">
        <v>163.933</v>
      </c>
      <c r="AH130" s="246">
        <v>151.23</v>
      </c>
      <c r="AI130" s="246">
        <v>147.98</v>
      </c>
      <c r="AJ130" s="1930"/>
      <c r="AK130" s="1930"/>
      <c r="AL130" s="246"/>
      <c r="AM130" s="246"/>
      <c r="AN130" s="246"/>
      <c r="AO130" s="246"/>
      <c r="AP130" s="246"/>
      <c r="AQ130" s="246"/>
      <c r="AR130" s="246"/>
      <c r="AS130" s="246">
        <v>163.933</v>
      </c>
      <c r="AT130" s="1930"/>
      <c r="AU130" s="1930"/>
      <c r="AV130" s="246"/>
      <c r="AW130" s="246"/>
      <c r="AX130" s="246"/>
      <c r="AY130" s="246"/>
      <c r="AZ130" s="246"/>
      <c r="BA130" s="246"/>
      <c r="BB130" s="246"/>
      <c r="BC130" s="251" t="s">
        <v>752</v>
      </c>
      <c r="BD130" s="676"/>
      <c r="BE130" s="676"/>
      <c r="BF130" s="998" t="s">
        <v>547</v>
      </c>
    </row>
    <row s="1621" customFormat="1" customHeight="1" ht="14.25">
      <c r="A131" s="676"/>
      <c r="B131" s="1176"/>
      <c r="C131" s="676"/>
      <c r="D131" s="676"/>
      <c r="E131" s="611">
        <v>15</v>
      </c>
      <c r="F131" s="50" cm="1" t="str">
        <f t="array" ref="F131:F131">OFFSET(E131,-1,1)</f>
        <v>1</v>
      </c>
      <c r="G131" s="676"/>
      <c r="H131" s="64" t="s">
        <v>548</v>
      </c>
      <c r="I131" s="676"/>
      <c r="J131" s="676"/>
      <c r="K131" s="676"/>
      <c r="L131" s="676"/>
      <c r="M131" s="676"/>
      <c r="N131" s="676"/>
      <c r="O131" s="676"/>
      <c r="P131" s="1316"/>
      <c r="Q131" s="1316"/>
      <c r="R131" s="1316"/>
      <c r="S131" s="1316"/>
      <c r="T131" s="439" cm="1" t="str">
        <f t="array" ref="T131:T131">T130</f>
        <v>true</v>
      </c>
      <c r="U131" s="1316"/>
      <c r="V131" s="676"/>
      <c r="W131" s="1316"/>
      <c r="X131" s="1482"/>
      <c r="Y131" s="1464"/>
      <c r="Z131" s="676"/>
      <c r="AA131" s="676"/>
      <c r="AB131" s="207" t="s">
        <v>549</v>
      </c>
      <c r="AC131" s="159" t="s">
        <v>550</v>
      </c>
      <c r="AD131" s="59" t="s">
        <v>512</v>
      </c>
      <c r="AE131" s="246"/>
      <c r="AF131" s="246"/>
      <c r="AG131" s="246"/>
      <c r="AH131" s="246"/>
      <c r="AI131" s="246"/>
      <c r="AJ131" s="1930"/>
      <c r="AK131" s="1930"/>
      <c r="AL131" s="246"/>
      <c r="AM131" s="246"/>
      <c r="AN131" s="246"/>
      <c r="AO131" s="246"/>
      <c r="AP131" s="246"/>
      <c r="AQ131" s="246"/>
      <c r="AR131" s="246"/>
      <c r="AS131" s="246"/>
      <c r="AT131" s="1930"/>
      <c r="AU131" s="1930"/>
      <c r="AV131" s="246"/>
      <c r="AW131" s="246"/>
      <c r="AX131" s="246"/>
      <c r="AY131" s="246"/>
      <c r="AZ131" s="246"/>
      <c r="BA131" s="246"/>
      <c r="BB131" s="246"/>
      <c r="BC131" s="251"/>
      <c r="BD131" s="676"/>
      <c r="BE131" s="676"/>
      <c r="BF131" s="998" t="s">
        <v>551</v>
      </c>
    </row>
    <row s="1621" customFormat="1" customHeight="1" ht="21.75">
      <c r="A132" s="676"/>
      <c r="B132" s="1176"/>
      <c r="C132" s="676"/>
      <c r="D132" s="676"/>
      <c r="E132" s="611">
        <v>22.5</v>
      </c>
      <c r="F132" s="50" cm="1" t="str">
        <f t="array" ref="F132:F132">OFFSET(E132,-1,1)</f>
        <v>1</v>
      </c>
      <c r="G132" s="676"/>
      <c r="H132" s="64" t="s">
        <v>552</v>
      </c>
      <c r="I132" s="676"/>
      <c r="J132" s="676"/>
      <c r="K132" s="676"/>
      <c r="L132" s="676"/>
      <c r="M132" s="676"/>
      <c r="N132" s="676"/>
      <c r="O132" s="676"/>
      <c r="P132" s="1316"/>
      <c r="Q132" s="1316"/>
      <c r="R132" s="1316"/>
      <c r="S132" s="1316"/>
      <c r="T132" s="439" cm="1" t="str">
        <f t="array" ref="T132:T132">T131</f>
        <v>true</v>
      </c>
      <c r="U132" s="1316"/>
      <c r="V132" s="676"/>
      <c r="W132" s="1316"/>
      <c r="X132" s="1482"/>
      <c r="Y132" s="1464"/>
      <c r="Z132" s="676"/>
      <c r="AA132" s="676"/>
      <c r="AB132" s="207" t="s">
        <v>553</v>
      </c>
      <c r="AC132" s="159" t="s">
        <v>554</v>
      </c>
      <c r="AD132" s="59" t="s">
        <v>512</v>
      </c>
      <c r="AE132" s="246"/>
      <c r="AF132" s="246"/>
      <c r="AG132" s="246"/>
      <c r="AH132" s="246"/>
      <c r="AI132" s="246"/>
      <c r="AJ132" s="1930"/>
      <c r="AK132" s="1930"/>
      <c r="AL132" s="246"/>
      <c r="AM132" s="246"/>
      <c r="AN132" s="246"/>
      <c r="AO132" s="246"/>
      <c r="AP132" s="246"/>
      <c r="AQ132" s="246"/>
      <c r="AR132" s="246"/>
      <c r="AS132" s="246"/>
      <c r="AT132" s="1930"/>
      <c r="AU132" s="1930"/>
      <c r="AV132" s="246"/>
      <c r="AW132" s="246"/>
      <c r="AX132" s="246"/>
      <c r="AY132" s="246"/>
      <c r="AZ132" s="246"/>
      <c r="BA132" s="246"/>
      <c r="BB132" s="246"/>
      <c r="BC132" s="251"/>
      <c r="BD132" s="676"/>
      <c r="BE132" s="676"/>
      <c r="BF132" s="998" t="s">
        <v>555</v>
      </c>
    </row>
    <row s="1621" customFormat="1" customHeight="1" ht="14.25">
      <c r="A133" s="676"/>
      <c r="B133" s="1176"/>
      <c r="C133" s="676"/>
      <c r="D133" s="676"/>
      <c r="E133" s="611">
        <v>15</v>
      </c>
      <c r="F133" s="50" cm="1" t="str">
        <f t="array" ref="F133:F133">OFFSET(E133,-1,1)</f>
        <v>1</v>
      </c>
      <c r="G133" s="676"/>
      <c r="H133" s="64" t="s">
        <v>556</v>
      </c>
      <c r="I133" s="676"/>
      <c r="J133" s="676"/>
      <c r="K133" s="676"/>
      <c r="L133" s="676"/>
      <c r="M133" s="676"/>
      <c r="N133" s="676"/>
      <c r="O133" s="676"/>
      <c r="P133" s="1316"/>
      <c r="Q133" s="1316"/>
      <c r="R133" s="1316"/>
      <c r="S133" s="1316"/>
      <c r="T133" s="439" cm="1" t="str">
        <f t="array" ref="T133:T133">T132</f>
        <v>true</v>
      </c>
      <c r="U133" s="1316"/>
      <c r="V133" s="676"/>
      <c r="W133" s="1316"/>
      <c r="X133" s="1482"/>
      <c r="Y133" s="1464"/>
      <c r="Z133" s="676"/>
      <c r="AA133" s="676"/>
      <c r="AB133" s="207" t="s">
        <v>557</v>
      </c>
      <c r="AC133" s="296" t="s">
        <v>558</v>
      </c>
      <c r="AD133" s="59" t="s">
        <v>512</v>
      </c>
      <c r="AE133" s="246"/>
      <c r="AF133" s="246"/>
      <c r="AG133" s="246"/>
      <c r="AH133" s="246"/>
      <c r="AI133" s="246"/>
      <c r="AJ133" s="1930"/>
      <c r="AK133" s="1930"/>
      <c r="AL133" s="246"/>
      <c r="AM133" s="246"/>
      <c r="AN133" s="246"/>
      <c r="AO133" s="246"/>
      <c r="AP133" s="246"/>
      <c r="AQ133" s="246"/>
      <c r="AR133" s="246"/>
      <c r="AS133" s="246"/>
      <c r="AT133" s="1930"/>
      <c r="AU133" s="1930"/>
      <c r="AV133" s="246"/>
      <c r="AW133" s="246"/>
      <c r="AX133" s="246"/>
      <c r="AY133" s="246"/>
      <c r="AZ133" s="246"/>
      <c r="BA133" s="246"/>
      <c r="BB133" s="246"/>
      <c r="BC133" s="251"/>
      <c r="BD133" s="676"/>
      <c r="BE133" s="676"/>
      <c r="BF133" s="998" t="s">
        <v>559</v>
      </c>
    </row>
    <row s="1621" customFormat="1" customHeight="1" ht="33.75">
      <c r="A134" s="676"/>
      <c r="B134" s="1176"/>
      <c r="C134" s="676"/>
      <c r="D134" s="676"/>
      <c r="E134" s="611">
        <v>15</v>
      </c>
      <c r="F134" s="50" cm="1" t="str">
        <f t="array" ref="F134:F134">OFFSET(E134,-1,1)</f>
        <v>1</v>
      </c>
      <c r="G134" s="676"/>
      <c r="H134" s="64" t="s">
        <v>560</v>
      </c>
      <c r="I134" s="676"/>
      <c r="J134" s="676"/>
      <c r="K134" s="676"/>
      <c r="L134" s="676"/>
      <c r="M134" s="676"/>
      <c r="N134" s="676"/>
      <c r="O134" s="676"/>
      <c r="P134" s="1316"/>
      <c r="Q134" s="1316"/>
      <c r="R134" s="1316"/>
      <c r="S134" s="1316"/>
      <c r="T134" s="439" cm="1" t="str">
        <f t="array" ref="T134:T134">T133</f>
        <v>true</v>
      </c>
      <c r="U134" s="1316"/>
      <c r="V134" s="676"/>
      <c r="W134" s="1316"/>
      <c r="X134" s="1482"/>
      <c r="Y134" s="1464"/>
      <c r="Z134" s="676"/>
      <c r="AA134" s="676"/>
      <c r="AB134" s="207" t="s">
        <v>561</v>
      </c>
      <c r="AC134" s="298" t="s">
        <v>562</v>
      </c>
      <c r="AD134" s="59" t="s">
        <v>437</v>
      </c>
      <c r="AE134" s="107">
        <f>IF(AE129=0,0,AE133/AE129*100)</f>
        <v>0</v>
      </c>
      <c r="AF134" s="107">
        <f>IF(AF129=0,0,AF133/AF129*100)</f>
        <v>0</v>
      </c>
      <c r="AG134" s="107">
        <f>IF(AG129=0,0,AG133/AG129*100)</f>
        <v>0</v>
      </c>
      <c r="AH134" s="107">
        <f>IF(AH129=0,0,AH133/AH129*100)</f>
        <v>0</v>
      </c>
      <c r="AI134" s="107">
        <f>IF(AI129=0,0,AI133/AI129*100)</f>
        <v>0</v>
      </c>
      <c r="AJ134" s="1764">
        <f>IF(AJ129=0,0,AJ133/AJ129*100)</f>
        <v>0</v>
      </c>
      <c r="AK134" s="1764">
        <f>IF(AK129=0,0,AK133/AK129*100)</f>
        <v>0</v>
      </c>
      <c r="AL134" s="107">
        <f>IF(AL129=0,0,AL133/AL129*100)</f>
        <v>0</v>
      </c>
      <c r="AM134" s="107">
        <f>IF(AM129=0,0,AM133/AM129*100)</f>
        <v>0</v>
      </c>
      <c r="AN134" s="107">
        <f>IF(AN129=0,0,AN133/AN129*100)</f>
        <v>0</v>
      </c>
      <c r="AO134" s="107">
        <f>IF(AO129=0,0,AO133/AO129*100)</f>
        <v>0</v>
      </c>
      <c r="AP134" s="107">
        <f>IF(AP129=0,0,AP133/AP129*100)</f>
        <v>0</v>
      </c>
      <c r="AQ134" s="107">
        <f>IF(AQ129=0,0,AQ133/AQ129*100)</f>
        <v>0</v>
      </c>
      <c r="AR134" s="107">
        <f>IF(AR129=0,0,AR133/AR129*100)</f>
        <v>0</v>
      </c>
      <c r="AS134" s="107">
        <f>IF(AS129=0,0,AS133/AS129*100)</f>
        <v>0</v>
      </c>
      <c r="AT134" s="1764">
        <f>IF(AT129=0,0,AT133/AT129*100)</f>
        <v>0</v>
      </c>
      <c r="AU134" s="1764">
        <f>IF(AU129=0,0,AU133/AU129*100)</f>
        <v>0</v>
      </c>
      <c r="AV134" s="107">
        <f>IF(AV129=0,0,AV133/AV129*100)</f>
        <v>0</v>
      </c>
      <c r="AW134" s="107">
        <f>IF(AW129=0,0,AW133/AW129*100)</f>
        <v>0</v>
      </c>
      <c r="AX134" s="107">
        <f>IF(AX129=0,0,AX133/AX129*100)</f>
        <v>0</v>
      </c>
      <c r="AY134" s="107">
        <f>IF(AY129=0,0,AY133/AY129*100)</f>
        <v>0</v>
      </c>
      <c r="AZ134" s="107">
        <f>IF(AZ129=0,0,AZ133/AZ129*100)</f>
        <v>0</v>
      </c>
      <c r="BA134" s="107">
        <f>IF(BA129=0,0,BA133/BA129*100)</f>
        <v>0</v>
      </c>
      <c r="BB134" s="107">
        <f>IF(BB129=0,0,BB133/BB129*100)</f>
        <v>0</v>
      </c>
      <c r="BC134" s="251" t="s">
        <v>753</v>
      </c>
      <c r="BD134" s="676"/>
      <c r="BE134" s="676"/>
      <c r="BF134" s="998" t="s">
        <v>563</v>
      </c>
    </row>
    <row s="1621" customFormat="1" customHeight="1" ht="14.25">
      <c r="A135" s="676"/>
      <c r="B135" s="1176"/>
      <c r="C135" s="676"/>
      <c r="D135" s="676"/>
      <c r="E135" s="611">
        <v>15</v>
      </c>
      <c r="F135" s="50" cm="1" t="str">
        <f t="array" ref="F135:F135">OFFSET(E135,-1,1)</f>
        <v>1</v>
      </c>
      <c r="G135" s="676"/>
      <c r="H135" s="64" t="s">
        <v>564</v>
      </c>
      <c r="I135" s="676"/>
      <c r="J135" s="676"/>
      <c r="K135" s="676"/>
      <c r="L135" s="676"/>
      <c r="M135" s="676"/>
      <c r="N135" s="676"/>
      <c r="O135" s="676"/>
      <c r="P135" s="1316"/>
      <c r="Q135" s="1316"/>
      <c r="R135" s="1316"/>
      <c r="S135" s="1316"/>
      <c r="T135" s="439" cm="1" t="str">
        <f t="array" ref="T135:T135">T134</f>
        <v>true</v>
      </c>
      <c r="U135" s="1316"/>
      <c r="V135" s="676"/>
      <c r="W135" s="1316"/>
      <c r="X135" s="1482"/>
      <c r="Y135" s="1464"/>
      <c r="Z135" s="676"/>
      <c r="AA135" s="676"/>
      <c r="AB135" s="207" t="s">
        <v>565</v>
      </c>
      <c r="AC135" s="296" t="s">
        <v>566</v>
      </c>
      <c r="AD135" s="59" t="s">
        <v>512</v>
      </c>
      <c r="AE135" s="282">
        <f>AE136+AE140+AE143+AE153</f>
        <v>183.4584</v>
      </c>
      <c r="AF135" s="282">
        <f>AF136+AF140+AF143+AF153</f>
        <v>163.933</v>
      </c>
      <c r="AG135" s="282">
        <f>AG136+AG140+AG143+AG153</f>
        <v>163.933</v>
      </c>
      <c r="AH135" s="282">
        <f>AH136+AH140+AH143+AH153</f>
        <v>151.23</v>
      </c>
      <c r="AI135" s="282">
        <f>AI136+AI140+AI143+AI153</f>
        <v>147.98</v>
      </c>
      <c r="AJ135" s="282">
        <f>AJ136+AJ140+AJ143+AJ153</f>
        <v>0</v>
      </c>
      <c r="AK135" s="282">
        <f>AK136+AK140+AK143+AK153</f>
        <v>0</v>
      </c>
      <c r="AL135" s="282">
        <f>AL136+AL140+AL143+AL153</f>
        <v>0</v>
      </c>
      <c r="AM135" s="282">
        <f>AM136+AM140+AM143+AM153</f>
        <v>0</v>
      </c>
      <c r="AN135" s="282">
        <f>AN136+AN140+AN143+AN153</f>
        <v>0</v>
      </c>
      <c r="AO135" s="282">
        <f>AO136+AO140+AO143+AO153</f>
        <v>0</v>
      </c>
      <c r="AP135" s="282">
        <f>AP136+AP140+AP143+AP153</f>
        <v>0</v>
      </c>
      <c r="AQ135" s="282">
        <f>AQ136+AQ140+AQ143+AQ153</f>
        <v>0</v>
      </c>
      <c r="AR135" s="282">
        <f>AR136+AR140+AR143+AR153</f>
        <v>0</v>
      </c>
      <c r="AS135" s="282">
        <f>AS136+AS140+AS143+AS153</f>
        <v>163.933</v>
      </c>
      <c r="AT135" s="282">
        <f>AT136+AT140+AT143+AT153</f>
        <v>0</v>
      </c>
      <c r="AU135" s="282">
        <f>AU136+AU140+AU143+AU153</f>
        <v>0</v>
      </c>
      <c r="AV135" s="282">
        <f>AV136+AV140+AV143+AV153</f>
        <v>0</v>
      </c>
      <c r="AW135" s="282">
        <f>AW136+AW140+AW143+AW153</f>
        <v>0</v>
      </c>
      <c r="AX135" s="282">
        <f>AX136+AX140+AX143+AX153</f>
        <v>0</v>
      </c>
      <c r="AY135" s="282">
        <f>AY136+AY140+AY143+AY153</f>
        <v>0</v>
      </c>
      <c r="AZ135" s="282">
        <f>AZ136+AZ140+AZ143+AZ153</f>
        <v>0</v>
      </c>
      <c r="BA135" s="282">
        <f>BA136+BA140+BA143+BA153</f>
        <v>0</v>
      </c>
      <c r="BB135" s="282">
        <f>BB136+BB140+BB143+BB153</f>
        <v>0</v>
      </c>
      <c r="BC135" s="251"/>
      <c r="BD135" s="676"/>
      <c r="BE135" s="676"/>
      <c r="BF135" s="998" t="s">
        <v>567</v>
      </c>
    </row>
    <row s="1621" customFormat="1" customHeight="1" ht="14.25">
      <c r="A136" s="676"/>
      <c r="B136" s="1176"/>
      <c r="C136" s="676"/>
      <c r="D136" s="676"/>
      <c r="E136" s="611">
        <v>15</v>
      </c>
      <c r="F136" s="50" cm="1" t="str">
        <f t="array" ref="F136:F136">OFFSET(E136,-1,1)</f>
        <v>1</v>
      </c>
      <c r="G136" s="64" t="str">
        <f>IF(OwnNeedsInPO="да","ПО","")</f>
        <v>ПО</v>
      </c>
      <c r="H136" s="64" t="s">
        <v>568</v>
      </c>
      <c r="I136" s="676"/>
      <c r="J136" s="676"/>
      <c r="K136" s="676"/>
      <c r="L136" s="676"/>
      <c r="M136" s="676"/>
      <c r="N136" s="676"/>
      <c r="O136" s="676"/>
      <c r="P136" s="1316"/>
      <c r="Q136" s="1316"/>
      <c r="R136" s="1316"/>
      <c r="S136" s="1316"/>
      <c r="T136" s="439" cm="1" t="str">
        <f t="array" ref="T136:T136">T135</f>
        <v>true</v>
      </c>
      <c r="U136" s="1316"/>
      <c r="V136" s="676"/>
      <c r="W136" s="1316"/>
      <c r="X136" s="1482"/>
      <c r="Y136" s="1464"/>
      <c r="Z136" s="676"/>
      <c r="AA136" s="676"/>
      <c r="AB136" s="207" t="s">
        <v>569</v>
      </c>
      <c r="AC136" s="159" t="s">
        <v>570</v>
      </c>
      <c r="AD136" s="59" t="s">
        <v>512</v>
      </c>
      <c r="AE136" s="282">
        <f>SUM(AE137:AE139)</f>
        <v>0</v>
      </c>
      <c r="AF136" s="282">
        <f>SUM(AF137:AF139)</f>
        <v>0</v>
      </c>
      <c r="AG136" s="282">
        <f>SUM(AG137:AG139)</f>
        <v>0</v>
      </c>
      <c r="AH136" s="282">
        <f>SUM(AH137:AH139)</f>
        <v>0</v>
      </c>
      <c r="AI136" s="282">
        <f>SUM(AI137:AI139)</f>
        <v>0</v>
      </c>
      <c r="AJ136" s="282">
        <f>SUM(AJ137:AJ139)</f>
        <v>0</v>
      </c>
      <c r="AK136" s="282">
        <f>SUM(AK137:AK139)</f>
        <v>0</v>
      </c>
      <c r="AL136" s="282">
        <f>SUM(AL137:AL139)</f>
        <v>0</v>
      </c>
      <c r="AM136" s="282">
        <f>SUM(AM137:AM139)</f>
        <v>0</v>
      </c>
      <c r="AN136" s="282">
        <f>SUM(AN137:AN139)</f>
        <v>0</v>
      </c>
      <c r="AO136" s="282">
        <f>SUM(AO137:AO139)</f>
        <v>0</v>
      </c>
      <c r="AP136" s="282">
        <f>SUM(AP137:AP139)</f>
        <v>0</v>
      </c>
      <c r="AQ136" s="282">
        <f>SUM(AQ137:AQ139)</f>
        <v>0</v>
      </c>
      <c r="AR136" s="282">
        <f>SUM(AR137:AR139)</f>
        <v>0</v>
      </c>
      <c r="AS136" s="282">
        <f>SUM(AS137:AS139)</f>
        <v>0</v>
      </c>
      <c r="AT136" s="282">
        <f>SUM(AT137:AT139)</f>
        <v>0</v>
      </c>
      <c r="AU136" s="282">
        <f>SUM(AU137:AU139)</f>
        <v>0</v>
      </c>
      <c r="AV136" s="282">
        <f>SUM(AV137:AV139)</f>
        <v>0</v>
      </c>
      <c r="AW136" s="282">
        <f>SUM(AW137:AW139)</f>
        <v>0</v>
      </c>
      <c r="AX136" s="282">
        <f>SUM(AX137:AX139)</f>
        <v>0</v>
      </c>
      <c r="AY136" s="282">
        <f>SUM(AY137:AY139)</f>
        <v>0</v>
      </c>
      <c r="AZ136" s="282">
        <f>SUM(AZ137:AZ139)</f>
        <v>0</v>
      </c>
      <c r="BA136" s="282">
        <f>SUM(BA137:BA139)</f>
        <v>0</v>
      </c>
      <c r="BB136" s="282">
        <f>SUM(BB137:BB139)</f>
        <v>0</v>
      </c>
      <c r="BC136" s="251"/>
      <c r="BD136" s="676"/>
      <c r="BE136" s="676"/>
      <c r="BF136" s="998" t="s">
        <v>571</v>
      </c>
    </row>
    <row s="1621" customFormat="1" customHeight="1" ht="14.25">
      <c r="A137" s="676"/>
      <c r="B137" s="1176"/>
      <c r="C137" s="676"/>
      <c r="D137" s="676"/>
      <c r="E137" s="611">
        <v>15</v>
      </c>
      <c r="F137" s="50" cm="1" t="str">
        <f t="array" ref="F137:F137">OFFSET(E137,-1,1)</f>
        <v>1</v>
      </c>
      <c r="G137" s="676"/>
      <c r="H137" s="64" t="s">
        <v>572</v>
      </c>
      <c r="I137" s="676"/>
      <c r="J137" s="676"/>
      <c r="K137" s="676"/>
      <c r="L137" s="676"/>
      <c r="M137" s="676"/>
      <c r="N137" s="676"/>
      <c r="O137" s="676"/>
      <c r="P137" s="1316"/>
      <c r="Q137" s="1316"/>
      <c r="R137" s="1316"/>
      <c r="S137" s="1316"/>
      <c r="T137" s="439" cm="1" t="str">
        <f t="array" ref="T137:T137">T136</f>
        <v>true</v>
      </c>
      <c r="U137" s="1316"/>
      <c r="V137" s="676"/>
      <c r="W137" s="1316"/>
      <c r="X137" s="1482"/>
      <c r="Y137" s="1464"/>
      <c r="Z137" s="676"/>
      <c r="AA137" s="676"/>
      <c r="AB137" s="207" t="s">
        <v>573</v>
      </c>
      <c r="AC137" s="299" t="s">
        <v>574</v>
      </c>
      <c r="AD137" s="59" t="s">
        <v>512</v>
      </c>
      <c r="AE137" s="246"/>
      <c r="AF137" s="246"/>
      <c r="AG137" s="246"/>
      <c r="AH137" s="246"/>
      <c r="AI137" s="246"/>
      <c r="AJ137" s="1930"/>
      <c r="AK137" s="1930"/>
      <c r="AL137" s="246"/>
      <c r="AM137" s="246"/>
      <c r="AN137" s="246"/>
      <c r="AO137" s="246"/>
      <c r="AP137" s="246"/>
      <c r="AQ137" s="246"/>
      <c r="AR137" s="246"/>
      <c r="AS137" s="246"/>
      <c r="AT137" s="1930"/>
      <c r="AU137" s="1930"/>
      <c r="AV137" s="246"/>
      <c r="AW137" s="246"/>
      <c r="AX137" s="246"/>
      <c r="AY137" s="246"/>
      <c r="AZ137" s="246"/>
      <c r="BA137" s="246"/>
      <c r="BB137" s="246"/>
      <c r="BC137" s="251"/>
      <c r="BD137" s="676"/>
      <c r="BE137" s="676"/>
      <c r="BF137" s="998" t="s">
        <v>575</v>
      </c>
    </row>
    <row s="1621" customFormat="1" customHeight="1" ht="14.25">
      <c r="A138" s="676"/>
      <c r="B138" s="1176"/>
      <c r="C138" s="676"/>
      <c r="D138" s="676"/>
      <c r="E138" s="611">
        <v>15</v>
      </c>
      <c r="F138" s="50" cm="1" t="str">
        <f t="array" ref="F138:F138">OFFSET(E138,-1,1)</f>
        <v>1</v>
      </c>
      <c r="G138" s="676"/>
      <c r="H138" s="64" t="s">
        <v>576</v>
      </c>
      <c r="I138" s="676"/>
      <c r="J138" s="676"/>
      <c r="K138" s="676"/>
      <c r="L138" s="676"/>
      <c r="M138" s="676"/>
      <c r="N138" s="676"/>
      <c r="O138" s="676"/>
      <c r="P138" s="1316"/>
      <c r="Q138" s="1316"/>
      <c r="R138" s="1316"/>
      <c r="S138" s="1316"/>
      <c r="T138" s="439" cm="1" t="str">
        <f t="array" ref="T138:T138">T137</f>
        <v>true</v>
      </c>
      <c r="U138" s="1316"/>
      <c r="V138" s="676"/>
      <c r="W138" s="1316"/>
      <c r="X138" s="1482"/>
      <c r="Y138" s="1464"/>
      <c r="Z138" s="676"/>
      <c r="AA138" s="676"/>
      <c r="AB138" s="207" t="s">
        <v>577</v>
      </c>
      <c r="AC138" s="299" t="s">
        <v>578</v>
      </c>
      <c r="AD138" s="59" t="s">
        <v>512</v>
      </c>
      <c r="AE138" s="246"/>
      <c r="AF138" s="246"/>
      <c r="AG138" s="246"/>
      <c r="AH138" s="246"/>
      <c r="AI138" s="246"/>
      <c r="AJ138" s="1930"/>
      <c r="AK138" s="1930"/>
      <c r="AL138" s="246"/>
      <c r="AM138" s="246"/>
      <c r="AN138" s="246"/>
      <c r="AO138" s="246"/>
      <c r="AP138" s="246"/>
      <c r="AQ138" s="246"/>
      <c r="AR138" s="246"/>
      <c r="AS138" s="246"/>
      <c r="AT138" s="1930"/>
      <c r="AU138" s="1930"/>
      <c r="AV138" s="246"/>
      <c r="AW138" s="246"/>
      <c r="AX138" s="246"/>
      <c r="AY138" s="246"/>
      <c r="AZ138" s="246"/>
      <c r="BA138" s="246"/>
      <c r="BB138" s="246"/>
      <c r="BC138" s="251"/>
      <c r="BD138" s="676"/>
      <c r="BE138" s="676"/>
      <c r="BF138" s="998" t="s">
        <v>579</v>
      </c>
    </row>
    <row s="1621" customFormat="1" customHeight="1" ht="14.25">
      <c r="A139" s="676"/>
      <c r="B139" s="1176"/>
      <c r="C139" s="676"/>
      <c r="D139" s="676"/>
      <c r="E139" s="611">
        <v>15</v>
      </c>
      <c r="F139" s="50" cm="1" t="str">
        <f t="array" ref="F139:F139">OFFSET(E139,-1,1)</f>
        <v>1</v>
      </c>
      <c r="G139" s="676"/>
      <c r="H139" s="64" t="s">
        <v>580</v>
      </c>
      <c r="I139" s="676"/>
      <c r="J139" s="676"/>
      <c r="K139" s="676"/>
      <c r="L139" s="676"/>
      <c r="M139" s="676"/>
      <c r="N139" s="676"/>
      <c r="O139" s="676"/>
      <c r="P139" s="1316"/>
      <c r="Q139" s="1316"/>
      <c r="R139" s="1316"/>
      <c r="S139" s="1316"/>
      <c r="T139" s="439" cm="1" t="str">
        <f t="array" ref="T139:T139">T138</f>
        <v>true</v>
      </c>
      <c r="U139" s="1316"/>
      <c r="V139" s="676"/>
      <c r="W139" s="1316"/>
      <c r="X139" s="1482"/>
      <c r="Y139" s="1464"/>
      <c r="Z139" s="676"/>
      <c r="AA139" s="676"/>
      <c r="AB139" s="207" t="s">
        <v>581</v>
      </c>
      <c r="AC139" s="299" t="s">
        <v>582</v>
      </c>
      <c r="AD139" s="59" t="s">
        <v>512</v>
      </c>
      <c r="AE139" s="246"/>
      <c r="AF139" s="246"/>
      <c r="AG139" s="246"/>
      <c r="AH139" s="246"/>
      <c r="AI139" s="246"/>
      <c r="AJ139" s="1930"/>
      <c r="AK139" s="1930"/>
      <c r="AL139" s="246"/>
      <c r="AM139" s="246"/>
      <c r="AN139" s="246"/>
      <c r="AO139" s="246"/>
      <c r="AP139" s="246"/>
      <c r="AQ139" s="246"/>
      <c r="AR139" s="246"/>
      <c r="AS139" s="246"/>
      <c r="AT139" s="1930"/>
      <c r="AU139" s="1930"/>
      <c r="AV139" s="246"/>
      <c r="AW139" s="246"/>
      <c r="AX139" s="246"/>
      <c r="AY139" s="246"/>
      <c r="AZ139" s="246"/>
      <c r="BA139" s="246"/>
      <c r="BB139" s="246"/>
      <c r="BC139" s="251"/>
      <c r="BD139" s="676"/>
      <c r="BE139" s="676"/>
      <c r="BF139" s="998" t="s">
        <v>583</v>
      </c>
    </row>
    <row s="1621" customFormat="1" customHeight="1" ht="14.25">
      <c r="A140" s="676"/>
      <c r="B140" s="1176"/>
      <c r="C140" s="676"/>
      <c r="D140" s="676"/>
      <c r="E140" s="611">
        <v>15</v>
      </c>
      <c r="F140" s="50" cm="1" t="str">
        <f t="array" ref="F140:F140">OFFSET(E140,-1,1)</f>
        <v>1</v>
      </c>
      <c r="G140" s="64" t="s">
        <v>584</v>
      </c>
      <c r="H140" s="64" t="s">
        <v>585</v>
      </c>
      <c r="I140" s="676"/>
      <c r="J140" s="676"/>
      <c r="K140" s="676"/>
      <c r="L140" s="676"/>
      <c r="M140" s="676"/>
      <c r="N140" s="676"/>
      <c r="O140" s="676"/>
      <c r="P140" s="1316"/>
      <c r="Q140" s="1316"/>
      <c r="R140" s="1316"/>
      <c r="S140" s="1316"/>
      <c r="T140" s="439" cm="1" t="str">
        <f t="array" ref="T140:T140">T139</f>
        <v>true</v>
      </c>
      <c r="U140" s="1316"/>
      <c r="V140" s="676"/>
      <c r="W140" s="1316"/>
      <c r="X140" s="1482"/>
      <c r="Y140" s="1464"/>
      <c r="Z140" s="676"/>
      <c r="AA140" s="676"/>
      <c r="AB140" s="207" t="s">
        <v>586</v>
      </c>
      <c r="AC140" s="159" t="s">
        <v>587</v>
      </c>
      <c r="AD140" s="59" t="s">
        <v>512</v>
      </c>
      <c r="AE140" s="282">
        <f>SUM(AE141:AE142)</f>
        <v>0</v>
      </c>
      <c r="AF140" s="282">
        <f>SUM(AF141:AF142)</f>
        <v>0</v>
      </c>
      <c r="AG140" s="282">
        <f>SUM(AG141:AG142)</f>
        <v>0</v>
      </c>
      <c r="AH140" s="282">
        <f>SUM(AH141:AH142)</f>
        <v>0</v>
      </c>
      <c r="AI140" s="282">
        <f>SUM(AI141:AI142)</f>
        <v>0</v>
      </c>
      <c r="AJ140" s="282">
        <f>SUM(AJ141:AJ142)</f>
        <v>0</v>
      </c>
      <c r="AK140" s="282">
        <f>SUM(AK141:AK142)</f>
        <v>0</v>
      </c>
      <c r="AL140" s="282">
        <f>SUM(AL141:AL142)</f>
        <v>0</v>
      </c>
      <c r="AM140" s="282">
        <f>SUM(AM141:AM142)</f>
        <v>0</v>
      </c>
      <c r="AN140" s="282">
        <f>SUM(AN141:AN142)</f>
        <v>0</v>
      </c>
      <c r="AO140" s="282">
        <f>SUM(AO141:AO142)</f>
        <v>0</v>
      </c>
      <c r="AP140" s="282">
        <f>SUM(AP141:AP142)</f>
        <v>0</v>
      </c>
      <c r="AQ140" s="282">
        <f>SUM(AQ141:AQ142)</f>
        <v>0</v>
      </c>
      <c r="AR140" s="282">
        <f>SUM(AR141:AR142)</f>
        <v>0</v>
      </c>
      <c r="AS140" s="282">
        <f>SUM(AS141:AS142)</f>
        <v>0</v>
      </c>
      <c r="AT140" s="282">
        <f>SUM(AT141:AT142)</f>
        <v>0</v>
      </c>
      <c r="AU140" s="282">
        <f>SUM(AU141:AU142)</f>
        <v>0</v>
      </c>
      <c r="AV140" s="282">
        <f>SUM(AV141:AV142)</f>
        <v>0</v>
      </c>
      <c r="AW140" s="282">
        <f>SUM(AW141:AW142)</f>
        <v>0</v>
      </c>
      <c r="AX140" s="282">
        <f>SUM(AX141:AX142)</f>
        <v>0</v>
      </c>
      <c r="AY140" s="282">
        <f>SUM(AY141:AY142)</f>
        <v>0</v>
      </c>
      <c r="AZ140" s="282">
        <f>SUM(AZ141:AZ142)</f>
        <v>0</v>
      </c>
      <c r="BA140" s="282">
        <f>SUM(BA141:BA142)</f>
        <v>0</v>
      </c>
      <c r="BB140" s="282">
        <f>SUM(BB141:BB142)</f>
        <v>0</v>
      </c>
      <c r="BC140" s="251"/>
      <c r="BD140" s="676"/>
      <c r="BE140" s="676"/>
      <c r="BF140" s="998" t="s">
        <v>588</v>
      </c>
    </row>
    <row s="1621" customFormat="1" customHeight="1" ht="14.25">
      <c r="A141" s="676"/>
      <c r="B141" s="1176"/>
      <c r="C141" s="676"/>
      <c r="D141" s="676"/>
      <c r="E141" s="611">
        <v>15</v>
      </c>
      <c r="F141" s="50" cm="1" t="str">
        <f t="array" ref="F141:F141">OFFSET(E141,-1,1)</f>
        <v>1</v>
      </c>
      <c r="G141" s="676"/>
      <c r="H141" s="64" t="s">
        <v>589</v>
      </c>
      <c r="I141" s="676"/>
      <c r="J141" s="676"/>
      <c r="K141" s="676"/>
      <c r="L141" s="676"/>
      <c r="M141" s="676"/>
      <c r="N141" s="676"/>
      <c r="O141" s="676"/>
      <c r="P141" s="1316"/>
      <c r="Q141" s="1316"/>
      <c r="R141" s="1316"/>
      <c r="S141" s="1316"/>
      <c r="T141" s="439" cm="1" t="str">
        <f t="array" ref="T141:T141">T140</f>
        <v>true</v>
      </c>
      <c r="U141" s="1316"/>
      <c r="V141" s="676"/>
      <c r="W141" s="1316"/>
      <c r="X141" s="1482"/>
      <c r="Y141" s="1464"/>
      <c r="Z141" s="676"/>
      <c r="AA141" s="676"/>
      <c r="AB141" s="207" t="s">
        <v>590</v>
      </c>
      <c r="AC141" s="299" t="s">
        <v>591</v>
      </c>
      <c r="AD141" s="59" t="s">
        <v>512</v>
      </c>
      <c r="AE141" s="246"/>
      <c r="AF141" s="246"/>
      <c r="AG141" s="246"/>
      <c r="AH141" s="246"/>
      <c r="AI141" s="246"/>
      <c r="AJ141" s="1930"/>
      <c r="AK141" s="1930"/>
      <c r="AL141" s="246"/>
      <c r="AM141" s="246"/>
      <c r="AN141" s="246"/>
      <c r="AO141" s="246"/>
      <c r="AP141" s="246"/>
      <c r="AQ141" s="246"/>
      <c r="AR141" s="246"/>
      <c r="AS141" s="246"/>
      <c r="AT141" s="1930"/>
      <c r="AU141" s="1930"/>
      <c r="AV141" s="246"/>
      <c r="AW141" s="246"/>
      <c r="AX141" s="246"/>
      <c r="AY141" s="246"/>
      <c r="AZ141" s="246"/>
      <c r="BA141" s="246"/>
      <c r="BB141" s="246"/>
      <c r="BC141" s="251"/>
      <c r="BD141" s="676"/>
      <c r="BE141" s="676"/>
      <c r="BF141" s="998" t="s">
        <v>592</v>
      </c>
    </row>
    <row s="1621" customFormat="1" customHeight="1" ht="14.25">
      <c r="A142" s="676"/>
      <c r="B142" s="1176"/>
      <c r="C142" s="676"/>
      <c r="D142" s="676"/>
      <c r="E142" s="611">
        <v>15</v>
      </c>
      <c r="F142" s="50" cm="1" t="str">
        <f t="array" ref="F142:F142">OFFSET(E142,-1,1)</f>
        <v>1</v>
      </c>
      <c r="G142" s="676"/>
      <c r="H142" s="64" t="s">
        <v>593</v>
      </c>
      <c r="I142" s="676"/>
      <c r="J142" s="676"/>
      <c r="K142" s="676"/>
      <c r="L142" s="676"/>
      <c r="M142" s="676"/>
      <c r="N142" s="676"/>
      <c r="O142" s="676"/>
      <c r="P142" s="1316"/>
      <c r="Q142" s="1316"/>
      <c r="R142" s="1316"/>
      <c r="S142" s="1316"/>
      <c r="T142" s="439" cm="1" t="str">
        <f t="array" ref="T142:T142">T141</f>
        <v>true</v>
      </c>
      <c r="U142" s="1316"/>
      <c r="V142" s="676"/>
      <c r="W142" s="1316"/>
      <c r="X142" s="1482"/>
      <c r="Y142" s="1464"/>
      <c r="Z142" s="676"/>
      <c r="AA142" s="676"/>
      <c r="AB142" s="207" t="s">
        <v>594</v>
      </c>
      <c r="AC142" s="299" t="s">
        <v>595</v>
      </c>
      <c r="AD142" s="59" t="s">
        <v>512</v>
      </c>
      <c r="AE142" s="246"/>
      <c r="AF142" s="246"/>
      <c r="AG142" s="246"/>
      <c r="AH142" s="246"/>
      <c r="AI142" s="246"/>
      <c r="AJ142" s="1930"/>
      <c r="AK142" s="1930"/>
      <c r="AL142" s="246"/>
      <c r="AM142" s="246"/>
      <c r="AN142" s="246"/>
      <c r="AO142" s="246"/>
      <c r="AP142" s="246"/>
      <c r="AQ142" s="246"/>
      <c r="AR142" s="246"/>
      <c r="AS142" s="246"/>
      <c r="AT142" s="1930"/>
      <c r="AU142" s="1930"/>
      <c r="AV142" s="246"/>
      <c r="AW142" s="246"/>
      <c r="AX142" s="246"/>
      <c r="AY142" s="246"/>
      <c r="AZ142" s="246"/>
      <c r="BA142" s="246"/>
      <c r="BB142" s="246"/>
      <c r="BC142" s="251"/>
      <c r="BD142" s="676"/>
      <c r="BE142" s="676"/>
      <c r="BF142" s="998" t="s">
        <v>596</v>
      </c>
    </row>
    <row s="1621" customFormat="1" customHeight="1" ht="14.25">
      <c r="A143" s="676"/>
      <c r="B143" s="1176"/>
      <c r="C143" s="676"/>
      <c r="D143" s="676"/>
      <c r="E143" s="611">
        <v>15</v>
      </c>
      <c r="F143" s="50" cm="1" t="str">
        <f t="array" ref="F143:F143">OFFSET(E143,-1,1)</f>
        <v>1</v>
      </c>
      <c r="G143" s="64" t="s">
        <v>584</v>
      </c>
      <c r="H143" s="64" t="s">
        <v>597</v>
      </c>
      <c r="I143" s="676"/>
      <c r="J143" s="676"/>
      <c r="K143" s="676"/>
      <c r="L143" s="676"/>
      <c r="M143" s="676"/>
      <c r="N143" s="676"/>
      <c r="O143" s="676"/>
      <c r="P143" s="1316"/>
      <c r="Q143" s="1316"/>
      <c r="R143" s="1316"/>
      <c r="S143" s="1316"/>
      <c r="T143" s="439" cm="1" t="str">
        <f t="array" ref="T143:T143">T142</f>
        <v>true</v>
      </c>
      <c r="U143" s="1316"/>
      <c r="V143" s="676"/>
      <c r="W143" s="1316"/>
      <c r="X143" s="1482"/>
      <c r="Y143" s="1464"/>
      <c r="Z143" s="676"/>
      <c r="AA143" s="676"/>
      <c r="AB143" s="207" t="s">
        <v>598</v>
      </c>
      <c r="AC143" s="159" t="s">
        <v>599</v>
      </c>
      <c r="AD143" s="59" t="s">
        <v>512</v>
      </c>
      <c r="AE143" s="282">
        <f>AE144+AE147+AE150</f>
        <v>183.4584</v>
      </c>
      <c r="AF143" s="282">
        <f>AF144+AF147+AF150</f>
        <v>163.933</v>
      </c>
      <c r="AG143" s="282">
        <f>AG144+AG147+AG150</f>
        <v>163.933</v>
      </c>
      <c r="AH143" s="282">
        <f>AH144+AH147+AH150</f>
        <v>151.23</v>
      </c>
      <c r="AI143" s="282">
        <f>AI144+AI147+AI150</f>
        <v>147.98</v>
      </c>
      <c r="AJ143" s="282">
        <f>AJ144+AJ147+AJ150</f>
        <v>0</v>
      </c>
      <c r="AK143" s="282">
        <f>AK144+AK147+AK150</f>
        <v>0</v>
      </c>
      <c r="AL143" s="282">
        <f>AL144+AL147+AL150</f>
        <v>0</v>
      </c>
      <c r="AM143" s="282">
        <f>AM144+AM147+AM150</f>
        <v>0</v>
      </c>
      <c r="AN143" s="282">
        <f>AN144+AN147+AN150</f>
        <v>0</v>
      </c>
      <c r="AO143" s="282">
        <f>AO144+AO147+AO150</f>
        <v>0</v>
      </c>
      <c r="AP143" s="282">
        <f>AP144+AP147+AP150</f>
        <v>0</v>
      </c>
      <c r="AQ143" s="282">
        <f>AQ144+AQ147+AQ150</f>
        <v>0</v>
      </c>
      <c r="AR143" s="282">
        <f>AR144+AR147+AR150</f>
        <v>0</v>
      </c>
      <c r="AS143" s="282">
        <f>AS144+AS147+AS150</f>
        <v>163.933</v>
      </c>
      <c r="AT143" s="282">
        <f>AT144+AT147+AT150</f>
        <v>0</v>
      </c>
      <c r="AU143" s="282">
        <f>AU144+AU147+AU150</f>
        <v>0</v>
      </c>
      <c r="AV143" s="282">
        <f>AV144+AV147+AV150</f>
        <v>0</v>
      </c>
      <c r="AW143" s="282">
        <f>AW144+AW147+AW150</f>
        <v>0</v>
      </c>
      <c r="AX143" s="282">
        <f>AX144+AX147+AX150</f>
        <v>0</v>
      </c>
      <c r="AY143" s="282">
        <f>AY144+AY147+AY150</f>
        <v>0</v>
      </c>
      <c r="AZ143" s="282">
        <f>AZ144+AZ147+AZ150</f>
        <v>0</v>
      </c>
      <c r="BA143" s="282">
        <f>BA144+BA147+BA150</f>
        <v>0</v>
      </c>
      <c r="BB143" s="282">
        <f>BB144+BB147+BB150</f>
        <v>0</v>
      </c>
      <c r="BC143" s="251"/>
      <c r="BD143" s="676"/>
      <c r="BE143" s="676"/>
      <c r="BF143" s="998" t="s">
        <v>600</v>
      </c>
    </row>
    <row s="1621" customFormat="1" customHeight="1" ht="14.25">
      <c r="A144" s="676"/>
      <c r="B144" s="1176"/>
      <c r="C144" s="676"/>
      <c r="D144" s="676"/>
      <c r="E144" s="611">
        <v>15</v>
      </c>
      <c r="F144" s="50" cm="1" t="str">
        <f t="array" ref="F144:F144">OFFSET(E144,-1,1)</f>
        <v>1</v>
      </c>
      <c r="G144" s="676"/>
      <c r="H144" s="64" t="s">
        <v>601</v>
      </c>
      <c r="I144" s="676"/>
      <c r="J144" s="676"/>
      <c r="K144" s="676"/>
      <c r="L144" s="676"/>
      <c r="M144" s="676"/>
      <c r="N144" s="676"/>
      <c r="O144" s="676"/>
      <c r="P144" s="1316"/>
      <c r="Q144" s="1316"/>
      <c r="R144" s="1316"/>
      <c r="S144" s="1316"/>
      <c r="T144" s="439" cm="1" t="str">
        <f t="array" ref="T144:T144">T143</f>
        <v>true</v>
      </c>
      <c r="U144" s="1316"/>
      <c r="V144" s="676"/>
      <c r="W144" s="1316"/>
      <c r="X144" s="1482"/>
      <c r="Y144" s="1464"/>
      <c r="Z144" s="676"/>
      <c r="AA144" s="676"/>
      <c r="AB144" s="207" t="s">
        <v>602</v>
      </c>
      <c r="AC144" s="299" t="s">
        <v>603</v>
      </c>
      <c r="AD144" s="59" t="s">
        <v>512</v>
      </c>
      <c r="AE144" s="282">
        <f>SUM(AE145:AE146)</f>
        <v>0</v>
      </c>
      <c r="AF144" s="282">
        <f>SUM(AF145:AF146)</f>
        <v>0</v>
      </c>
      <c r="AG144" s="282">
        <f>SUM(AG145:AG146)</f>
        <v>0</v>
      </c>
      <c r="AH144" s="282">
        <f>SUM(AH145:AH146)</f>
        <v>0</v>
      </c>
      <c r="AI144" s="282">
        <f>SUM(AI145:AI146)</f>
        <v>0</v>
      </c>
      <c r="AJ144" s="282">
        <f>SUM(AJ145:AJ146)</f>
        <v>0</v>
      </c>
      <c r="AK144" s="282">
        <f>SUM(AK145:AK146)</f>
        <v>0</v>
      </c>
      <c r="AL144" s="282">
        <f>SUM(AL145:AL146)</f>
        <v>0</v>
      </c>
      <c r="AM144" s="282">
        <f>SUM(AM145:AM146)</f>
        <v>0</v>
      </c>
      <c r="AN144" s="282">
        <f>SUM(AN145:AN146)</f>
        <v>0</v>
      </c>
      <c r="AO144" s="282">
        <f>SUM(AO145:AO146)</f>
        <v>0</v>
      </c>
      <c r="AP144" s="282">
        <f>SUM(AP145:AP146)</f>
        <v>0</v>
      </c>
      <c r="AQ144" s="282">
        <f>SUM(AQ145:AQ146)</f>
        <v>0</v>
      </c>
      <c r="AR144" s="282">
        <f>SUM(AR145:AR146)</f>
        <v>0</v>
      </c>
      <c r="AS144" s="282">
        <f>SUM(AS145:AS146)</f>
        <v>0</v>
      </c>
      <c r="AT144" s="282">
        <f>SUM(AT145:AT146)</f>
        <v>0</v>
      </c>
      <c r="AU144" s="282">
        <f>SUM(AU145:AU146)</f>
        <v>0</v>
      </c>
      <c r="AV144" s="282">
        <f>SUM(AV145:AV146)</f>
        <v>0</v>
      </c>
      <c r="AW144" s="282">
        <f>SUM(AW145:AW146)</f>
        <v>0</v>
      </c>
      <c r="AX144" s="282">
        <f>SUM(AX145:AX146)</f>
        <v>0</v>
      </c>
      <c r="AY144" s="282">
        <f>SUM(AY145:AY146)</f>
        <v>0</v>
      </c>
      <c r="AZ144" s="282">
        <f>SUM(AZ145:AZ146)</f>
        <v>0</v>
      </c>
      <c r="BA144" s="282">
        <f>SUM(BA145:BA146)</f>
        <v>0</v>
      </c>
      <c r="BB144" s="282">
        <f>SUM(BB145:BB146)</f>
        <v>0</v>
      </c>
      <c r="BC144" s="251"/>
      <c r="BD144" s="676"/>
      <c r="BE144" s="676"/>
      <c r="BF144" s="998" t="s">
        <v>604</v>
      </c>
    </row>
    <row s="1621" customFormat="1" customHeight="1" ht="14.25">
      <c r="A145" s="676"/>
      <c r="B145" s="1176"/>
      <c r="C145" s="676"/>
      <c r="D145" s="676"/>
      <c r="E145" s="611">
        <v>15</v>
      </c>
      <c r="F145" s="50" cm="1" t="str">
        <f t="array" ref="F145:F145">OFFSET(E145,-1,1)</f>
        <v>1</v>
      </c>
      <c r="G145" s="676"/>
      <c r="H145" s="64" t="s">
        <v>605</v>
      </c>
      <c r="I145" s="676"/>
      <c r="J145" s="676"/>
      <c r="K145" s="676"/>
      <c r="L145" s="676"/>
      <c r="M145" s="676"/>
      <c r="N145" s="676"/>
      <c r="O145" s="676"/>
      <c r="P145" s="1316"/>
      <c r="Q145" s="1316"/>
      <c r="R145" s="1316"/>
      <c r="S145" s="1316"/>
      <c r="T145" s="439" cm="1" t="str">
        <f t="array" ref="T145:T145">T144</f>
        <v>true</v>
      </c>
      <c r="U145" s="1316"/>
      <c r="V145" s="676"/>
      <c r="W145" s="1316"/>
      <c r="X145" s="1482"/>
      <c r="Y145" s="1464"/>
      <c r="Z145" s="676"/>
      <c r="AA145" s="676"/>
      <c r="AB145" s="207" t="s">
        <v>606</v>
      </c>
      <c r="AC145" s="300" t="s">
        <v>591</v>
      </c>
      <c r="AD145" s="59" t="s">
        <v>512</v>
      </c>
      <c r="AE145" s="246"/>
      <c r="AF145" s="246"/>
      <c r="AG145" s="246"/>
      <c r="AH145" s="246"/>
      <c r="AI145" s="246"/>
      <c r="AJ145" s="1930"/>
      <c r="AK145" s="1930"/>
      <c r="AL145" s="246"/>
      <c r="AM145" s="246"/>
      <c r="AN145" s="246"/>
      <c r="AO145" s="246"/>
      <c r="AP145" s="246"/>
      <c r="AQ145" s="246"/>
      <c r="AR145" s="246"/>
      <c r="AS145" s="246"/>
      <c r="AT145" s="1930"/>
      <c r="AU145" s="1930"/>
      <c r="AV145" s="246"/>
      <c r="AW145" s="246"/>
      <c r="AX145" s="246"/>
      <c r="AY145" s="246"/>
      <c r="AZ145" s="246"/>
      <c r="BA145" s="246"/>
      <c r="BB145" s="246"/>
      <c r="BC145" s="251"/>
      <c r="BD145" s="676"/>
      <c r="BE145" s="676"/>
      <c r="BF145" s="998" t="s">
        <v>607</v>
      </c>
    </row>
    <row s="1621" customFormat="1" customHeight="1" ht="14.25">
      <c r="A146" s="676"/>
      <c r="B146" s="1176"/>
      <c r="C146" s="676"/>
      <c r="D146" s="676"/>
      <c r="E146" s="611">
        <v>15</v>
      </c>
      <c r="F146" s="50" cm="1" t="str">
        <f t="array" ref="F146:F146">OFFSET(E146,-1,1)</f>
        <v>1</v>
      </c>
      <c r="G146" s="676"/>
      <c r="H146" s="64" t="s">
        <v>608</v>
      </c>
      <c r="I146" s="676"/>
      <c r="J146" s="676"/>
      <c r="K146" s="676"/>
      <c r="L146" s="676"/>
      <c r="M146" s="676"/>
      <c r="N146" s="676"/>
      <c r="O146" s="676"/>
      <c r="P146" s="1316"/>
      <c r="Q146" s="1316"/>
      <c r="R146" s="1316"/>
      <c r="S146" s="1316"/>
      <c r="T146" s="439" cm="1" t="str">
        <f t="array" ref="T146:T146">T145</f>
        <v>true</v>
      </c>
      <c r="U146" s="1316"/>
      <c r="V146" s="676"/>
      <c r="W146" s="1316"/>
      <c r="X146" s="1482"/>
      <c r="Y146" s="1464"/>
      <c r="Z146" s="676"/>
      <c r="AA146" s="676"/>
      <c r="AB146" s="207" t="s">
        <v>609</v>
      </c>
      <c r="AC146" s="300" t="s">
        <v>595</v>
      </c>
      <c r="AD146" s="59" t="s">
        <v>512</v>
      </c>
      <c r="AE146" s="246"/>
      <c r="AF146" s="246"/>
      <c r="AG146" s="246"/>
      <c r="AH146" s="246"/>
      <c r="AI146" s="246"/>
      <c r="AJ146" s="1930"/>
      <c r="AK146" s="1930"/>
      <c r="AL146" s="246"/>
      <c r="AM146" s="246"/>
      <c r="AN146" s="246"/>
      <c r="AO146" s="246"/>
      <c r="AP146" s="246"/>
      <c r="AQ146" s="246"/>
      <c r="AR146" s="246"/>
      <c r="AS146" s="246"/>
      <c r="AT146" s="1930"/>
      <c r="AU146" s="1930"/>
      <c r="AV146" s="246"/>
      <c r="AW146" s="246"/>
      <c r="AX146" s="246"/>
      <c r="AY146" s="246"/>
      <c r="AZ146" s="246"/>
      <c r="BA146" s="246"/>
      <c r="BB146" s="246"/>
      <c r="BC146" s="251"/>
      <c r="BD146" s="676"/>
      <c r="BE146" s="676"/>
      <c r="BF146" s="998" t="s">
        <v>610</v>
      </c>
    </row>
    <row s="1621" customFormat="1" customHeight="1" ht="14.25">
      <c r="A147" s="676"/>
      <c r="B147" s="1176"/>
      <c r="C147" s="676"/>
      <c r="D147" s="676"/>
      <c r="E147" s="611">
        <v>15</v>
      </c>
      <c r="F147" s="50" cm="1" t="str">
        <f t="array" ref="F147:F147">OFFSET(E147,-1,1)</f>
        <v>1</v>
      </c>
      <c r="G147" s="64" t="s">
        <v>611</v>
      </c>
      <c r="H147" s="64" t="s">
        <v>612</v>
      </c>
      <c r="I147" s="676"/>
      <c r="J147" s="676"/>
      <c r="K147" s="676"/>
      <c r="L147" s="676"/>
      <c r="M147" s="676"/>
      <c r="N147" s="676"/>
      <c r="O147" s="676"/>
      <c r="P147" s="1316"/>
      <c r="Q147" s="1316"/>
      <c r="R147" s="1316"/>
      <c r="S147" s="1316"/>
      <c r="T147" s="439" cm="1" t="str">
        <f t="array" ref="T147:T147">T146</f>
        <v>true</v>
      </c>
      <c r="U147" s="1316"/>
      <c r="V147" s="676"/>
      <c r="W147" s="1316"/>
      <c r="X147" s="1482"/>
      <c r="Y147" s="1464"/>
      <c r="Z147" s="676"/>
      <c r="AA147" s="676"/>
      <c r="AB147" s="207" t="s">
        <v>613</v>
      </c>
      <c r="AC147" s="299" t="s">
        <v>614</v>
      </c>
      <c r="AD147" s="59" t="s">
        <v>512</v>
      </c>
      <c r="AE147" s="282">
        <f>SUM(AE148:AE149)</f>
        <v>0</v>
      </c>
      <c r="AF147" s="282">
        <f>SUM(AF148:AF149)</f>
        <v>0</v>
      </c>
      <c r="AG147" s="282">
        <f>SUM(AG148:AG149)</f>
        <v>0</v>
      </c>
      <c r="AH147" s="282">
        <f>SUM(AH148:AH149)</f>
        <v>0</v>
      </c>
      <c r="AI147" s="282">
        <f>SUM(AI148:AI149)</f>
        <v>0</v>
      </c>
      <c r="AJ147" s="282">
        <f>SUM(AJ148:AJ149)</f>
        <v>0</v>
      </c>
      <c r="AK147" s="282">
        <f>SUM(AK148:AK149)</f>
        <v>0</v>
      </c>
      <c r="AL147" s="282">
        <f>SUM(AL148:AL149)</f>
        <v>0</v>
      </c>
      <c r="AM147" s="282">
        <f>SUM(AM148:AM149)</f>
        <v>0</v>
      </c>
      <c r="AN147" s="282">
        <f>SUM(AN148:AN149)</f>
        <v>0</v>
      </c>
      <c r="AO147" s="282">
        <f>SUM(AO148:AO149)</f>
        <v>0</v>
      </c>
      <c r="AP147" s="282">
        <f>SUM(AP148:AP149)</f>
        <v>0</v>
      </c>
      <c r="AQ147" s="282">
        <f>SUM(AQ148:AQ149)</f>
        <v>0</v>
      </c>
      <c r="AR147" s="282">
        <f>SUM(AR148:AR149)</f>
        <v>0</v>
      </c>
      <c r="AS147" s="282">
        <f>SUM(AS148:AS149)</f>
        <v>0</v>
      </c>
      <c r="AT147" s="282">
        <f>SUM(AT148:AT149)</f>
        <v>0</v>
      </c>
      <c r="AU147" s="282">
        <f>SUM(AU148:AU149)</f>
        <v>0</v>
      </c>
      <c r="AV147" s="282">
        <f>SUM(AV148:AV149)</f>
        <v>0</v>
      </c>
      <c r="AW147" s="282">
        <f>SUM(AW148:AW149)</f>
        <v>0</v>
      </c>
      <c r="AX147" s="282">
        <f>SUM(AX148:AX149)</f>
        <v>0</v>
      </c>
      <c r="AY147" s="282">
        <f>SUM(AY148:AY149)</f>
        <v>0</v>
      </c>
      <c r="AZ147" s="282">
        <f>SUM(AZ148:AZ149)</f>
        <v>0</v>
      </c>
      <c r="BA147" s="282">
        <f>SUM(BA148:BA149)</f>
        <v>0</v>
      </c>
      <c r="BB147" s="282">
        <f>SUM(BB148:BB149)</f>
        <v>0</v>
      </c>
      <c r="BC147" s="251"/>
      <c r="BD147" s="676"/>
      <c r="BE147" s="676"/>
      <c r="BF147" s="998" t="s">
        <v>615</v>
      </c>
    </row>
    <row s="1621" customFormat="1" customHeight="1" ht="14.25">
      <c r="A148" s="676"/>
      <c r="B148" s="1176"/>
      <c r="C148" s="676"/>
      <c r="D148" s="676"/>
      <c r="E148" s="611">
        <v>15</v>
      </c>
      <c r="F148" s="50" cm="1" t="str">
        <f t="array" ref="F148:F148">OFFSET(E148,-1,1)</f>
        <v>1</v>
      </c>
      <c r="G148" s="676"/>
      <c r="H148" s="64" t="s">
        <v>616</v>
      </c>
      <c r="I148" s="676"/>
      <c r="J148" s="676"/>
      <c r="K148" s="676"/>
      <c r="L148" s="676"/>
      <c r="M148" s="676"/>
      <c r="N148" s="676"/>
      <c r="O148" s="676"/>
      <c r="P148" s="1316"/>
      <c r="Q148" s="1316"/>
      <c r="R148" s="1316"/>
      <c r="S148" s="1316"/>
      <c r="T148" s="439" cm="1" t="str">
        <f t="array" ref="T148:T148">T147</f>
        <v>true</v>
      </c>
      <c r="U148" s="1316"/>
      <c r="V148" s="676"/>
      <c r="W148" s="1316"/>
      <c r="X148" s="1482"/>
      <c r="Y148" s="1464"/>
      <c r="Z148" s="676"/>
      <c r="AA148" s="676"/>
      <c r="AB148" s="207" t="s">
        <v>617</v>
      </c>
      <c r="AC148" s="300" t="s">
        <v>591</v>
      </c>
      <c r="AD148" s="59" t="s">
        <v>512</v>
      </c>
      <c r="AE148" s="246"/>
      <c r="AF148" s="246"/>
      <c r="AG148" s="246"/>
      <c r="AH148" s="246"/>
      <c r="AI148" s="246"/>
      <c r="AJ148" s="1930"/>
      <c r="AK148" s="1930"/>
      <c r="AL148" s="246"/>
      <c r="AM148" s="246"/>
      <c r="AN148" s="246"/>
      <c r="AO148" s="246"/>
      <c r="AP148" s="246"/>
      <c r="AQ148" s="246"/>
      <c r="AR148" s="246"/>
      <c r="AS148" s="246"/>
      <c r="AT148" s="1930"/>
      <c r="AU148" s="1930"/>
      <c r="AV148" s="246"/>
      <c r="AW148" s="246"/>
      <c r="AX148" s="246"/>
      <c r="AY148" s="246"/>
      <c r="AZ148" s="246"/>
      <c r="BA148" s="246"/>
      <c r="BB148" s="246"/>
      <c r="BC148" s="251"/>
      <c r="BD148" s="676"/>
      <c r="BE148" s="676"/>
      <c r="BF148" s="998" t="s">
        <v>618</v>
      </c>
    </row>
    <row s="1621" customFormat="1" customHeight="1" ht="14.25">
      <c r="A149" s="676"/>
      <c r="B149" s="1176"/>
      <c r="C149" s="676"/>
      <c r="D149" s="676"/>
      <c r="E149" s="611">
        <v>15</v>
      </c>
      <c r="F149" s="50" cm="1" t="str">
        <f t="array" ref="F149:F149">OFFSET(E149,-1,1)</f>
        <v>1</v>
      </c>
      <c r="G149" s="676"/>
      <c r="H149" s="64" t="s">
        <v>619</v>
      </c>
      <c r="I149" s="676"/>
      <c r="J149" s="676"/>
      <c r="K149" s="676"/>
      <c r="L149" s="676"/>
      <c r="M149" s="676"/>
      <c r="N149" s="676"/>
      <c r="O149" s="676"/>
      <c r="P149" s="1316"/>
      <c r="Q149" s="1316"/>
      <c r="R149" s="1316"/>
      <c r="S149" s="1316"/>
      <c r="T149" s="439" cm="1" t="str">
        <f t="array" ref="T149:T149">T148</f>
        <v>true</v>
      </c>
      <c r="U149" s="1316"/>
      <c r="V149" s="676"/>
      <c r="W149" s="1316"/>
      <c r="X149" s="1482"/>
      <c r="Y149" s="1464"/>
      <c r="Z149" s="676"/>
      <c r="AA149" s="676"/>
      <c r="AB149" s="207" t="s">
        <v>620</v>
      </c>
      <c r="AC149" s="300" t="s">
        <v>595</v>
      </c>
      <c r="AD149" s="59" t="s">
        <v>512</v>
      </c>
      <c r="AE149" s="246"/>
      <c r="AF149" s="246"/>
      <c r="AG149" s="246"/>
      <c r="AH149" s="246"/>
      <c r="AI149" s="246"/>
      <c r="AJ149" s="1930"/>
      <c r="AK149" s="1930"/>
      <c r="AL149" s="246"/>
      <c r="AM149" s="246"/>
      <c r="AN149" s="246"/>
      <c r="AO149" s="246"/>
      <c r="AP149" s="246"/>
      <c r="AQ149" s="246"/>
      <c r="AR149" s="246"/>
      <c r="AS149" s="246"/>
      <c r="AT149" s="1930"/>
      <c r="AU149" s="1930"/>
      <c r="AV149" s="246"/>
      <c r="AW149" s="246"/>
      <c r="AX149" s="246"/>
      <c r="AY149" s="246"/>
      <c r="AZ149" s="246"/>
      <c r="BA149" s="246"/>
      <c r="BB149" s="246"/>
      <c r="BC149" s="251"/>
      <c r="BD149" s="676"/>
      <c r="BE149" s="676"/>
      <c r="BF149" s="998" t="s">
        <v>621</v>
      </c>
    </row>
    <row s="1621" customFormat="1" customHeight="1" ht="14.25">
      <c r="A150" s="676"/>
      <c r="B150" s="1176"/>
      <c r="C150" s="676"/>
      <c r="D150" s="676"/>
      <c r="E150" s="611">
        <v>15</v>
      </c>
      <c r="F150" s="50" cm="1" t="str">
        <f t="array" ref="F150:F150">OFFSET(E150,-1,1)</f>
        <v>1</v>
      </c>
      <c r="G150" s="676"/>
      <c r="H150" s="64" t="s">
        <v>622</v>
      </c>
      <c r="I150" s="676"/>
      <c r="J150" s="676"/>
      <c r="K150" s="676"/>
      <c r="L150" s="676"/>
      <c r="M150" s="676"/>
      <c r="N150" s="676"/>
      <c r="O150" s="676"/>
      <c r="P150" s="1316"/>
      <c r="Q150" s="1316"/>
      <c r="R150" s="1316"/>
      <c r="S150" s="1316"/>
      <c r="T150" s="439" cm="1" t="str">
        <f t="array" ref="T150:T150">T149</f>
        <v>true</v>
      </c>
      <c r="U150" s="1316"/>
      <c r="V150" s="676"/>
      <c r="W150" s="1316"/>
      <c r="X150" s="1482"/>
      <c r="Y150" s="1464"/>
      <c r="Z150" s="676"/>
      <c r="AA150" s="676"/>
      <c r="AB150" s="207" t="s">
        <v>623</v>
      </c>
      <c r="AC150" s="299" t="s">
        <v>624</v>
      </c>
      <c r="AD150" s="59" t="s">
        <v>512</v>
      </c>
      <c r="AE150" s="282">
        <f>SUM(AE151:AE152)</f>
        <v>183.4584</v>
      </c>
      <c r="AF150" s="282">
        <f>SUM(AF151:AF152)</f>
        <v>163.933</v>
      </c>
      <c r="AG150" s="282">
        <f>SUM(AG151:AG152)</f>
        <v>163.933</v>
      </c>
      <c r="AH150" s="282">
        <f>SUM(AH151:AH152)</f>
        <v>151.23</v>
      </c>
      <c r="AI150" s="282">
        <f>SUM(AI151:AI152)</f>
        <v>147.98</v>
      </c>
      <c r="AJ150" s="282">
        <f>SUM(AJ151:AJ152)</f>
        <v>0</v>
      </c>
      <c r="AK150" s="282">
        <f>SUM(AK151:AK152)</f>
        <v>0</v>
      </c>
      <c r="AL150" s="282">
        <f>SUM(AL151:AL152)</f>
        <v>0</v>
      </c>
      <c r="AM150" s="282">
        <f>SUM(AM151:AM152)</f>
        <v>0</v>
      </c>
      <c r="AN150" s="282">
        <f>SUM(AN151:AN152)</f>
        <v>0</v>
      </c>
      <c r="AO150" s="282">
        <f>SUM(AO151:AO152)</f>
        <v>0</v>
      </c>
      <c r="AP150" s="282">
        <f>SUM(AP151:AP152)</f>
        <v>0</v>
      </c>
      <c r="AQ150" s="282">
        <f>SUM(AQ151:AQ152)</f>
        <v>0</v>
      </c>
      <c r="AR150" s="282">
        <f>SUM(AR151:AR152)</f>
        <v>0</v>
      </c>
      <c r="AS150" s="282">
        <f>SUM(AS151:AS152)</f>
        <v>163.933</v>
      </c>
      <c r="AT150" s="282">
        <f>SUM(AT151:AT152)</f>
        <v>0</v>
      </c>
      <c r="AU150" s="282">
        <f>SUM(AU151:AU152)</f>
        <v>0</v>
      </c>
      <c r="AV150" s="282">
        <f>SUM(AV151:AV152)</f>
        <v>0</v>
      </c>
      <c r="AW150" s="282">
        <f>SUM(AW151:AW152)</f>
        <v>0</v>
      </c>
      <c r="AX150" s="282">
        <f>SUM(AX151:AX152)</f>
        <v>0</v>
      </c>
      <c r="AY150" s="282">
        <f>SUM(AY151:AY152)</f>
        <v>0</v>
      </c>
      <c r="AZ150" s="282">
        <f>SUM(AZ151:AZ152)</f>
        <v>0</v>
      </c>
      <c r="BA150" s="282">
        <f>SUM(BA151:BA152)</f>
        <v>0</v>
      </c>
      <c r="BB150" s="282">
        <f>SUM(BB151:BB152)</f>
        <v>0</v>
      </c>
      <c r="BC150" s="251"/>
      <c r="BD150" s="676"/>
      <c r="BE150" s="676"/>
      <c r="BF150" s="998" t="s">
        <v>625</v>
      </c>
    </row>
    <row s="1621" customFormat="1" customHeight="1" ht="191.25">
      <c r="A151" s="676"/>
      <c r="B151" s="1176"/>
      <c r="C151" s="676"/>
      <c r="D151" s="676"/>
      <c r="E151" s="611">
        <v>15</v>
      </c>
      <c r="F151" s="50" cm="1" t="str">
        <f t="array" ref="F151:F151">OFFSET(E151,-1,1)</f>
        <v>1</v>
      </c>
      <c r="G151" s="676"/>
      <c r="H151" s="64" t="s">
        <v>626</v>
      </c>
      <c r="I151" s="676"/>
      <c r="J151" s="676"/>
      <c r="K151" s="676"/>
      <c r="L151" s="676"/>
      <c r="M151" s="676"/>
      <c r="N151" s="676"/>
      <c r="O151" s="676"/>
      <c r="P151" s="1316"/>
      <c r="Q151" s="1316"/>
      <c r="R151" s="1316"/>
      <c r="S151" s="1316"/>
      <c r="T151" s="439" cm="1" t="str">
        <f t="array" ref="T151:T151">T150</f>
        <v>true</v>
      </c>
      <c r="U151" s="1316"/>
      <c r="V151" s="676"/>
      <c r="W151" s="1316"/>
      <c r="X151" s="1482"/>
      <c r="Y151" s="1464"/>
      <c r="Z151" s="676"/>
      <c r="AA151" s="676"/>
      <c r="AB151" s="207" t="s">
        <v>627</v>
      </c>
      <c r="AC151" s="300" t="s">
        <v>591</v>
      </c>
      <c r="AD151" s="59" t="s">
        <v>512</v>
      </c>
      <c r="AE151" s="246">
        <v>183.4584</v>
      </c>
      <c r="AF151" s="246">
        <v>163.933</v>
      </c>
      <c r="AG151" s="246">
        <v>163.933</v>
      </c>
      <c r="AH151" s="246">
        <v>151.23</v>
      </c>
      <c r="AI151" s="246">
        <v>147.98</v>
      </c>
      <c r="AJ151" s="1930"/>
      <c r="AK151" s="1930"/>
      <c r="AL151" s="246"/>
      <c r="AM151" s="246"/>
      <c r="AN151" s="246"/>
      <c r="AO151" s="246"/>
      <c r="AP151" s="246"/>
      <c r="AQ151" s="246"/>
      <c r="AR151" s="246"/>
      <c r="AS151" s="246">
        <v>163.933</v>
      </c>
      <c r="AT151" s="1930"/>
      <c r="AU151" s="1930"/>
      <c r="AV151" s="246"/>
      <c r="AW151" s="246"/>
      <c r="AX151" s="246"/>
      <c r="AY151" s="246"/>
      <c r="AZ151" s="246"/>
      <c r="BA151" s="246"/>
      <c r="BB151" s="246"/>
      <c r="BC151" s="251" t="s">
        <v>754</v>
      </c>
      <c r="BD151" s="676"/>
      <c r="BE151" s="676"/>
      <c r="BF151" s="998" t="s">
        <v>628</v>
      </c>
    </row>
    <row s="1621" customFormat="1" customHeight="1" ht="14.25">
      <c r="A152" s="676"/>
      <c r="B152" s="1176"/>
      <c r="C152" s="676"/>
      <c r="D152" s="676"/>
      <c r="E152" s="611">
        <v>15</v>
      </c>
      <c r="F152" s="50" cm="1" t="str">
        <f t="array" ref="F152:F152">OFFSET(E152,-1,1)</f>
        <v>1</v>
      </c>
      <c r="G152" s="676"/>
      <c r="H152" s="64" t="s">
        <v>629</v>
      </c>
      <c r="I152" s="676"/>
      <c r="J152" s="676"/>
      <c r="K152" s="676"/>
      <c r="L152" s="676"/>
      <c r="M152" s="676"/>
      <c r="N152" s="676"/>
      <c r="O152" s="676"/>
      <c r="P152" s="1316"/>
      <c r="Q152" s="1316"/>
      <c r="R152" s="1316"/>
      <c r="S152" s="1316"/>
      <c r="T152" s="439" cm="1" t="str">
        <f t="array" ref="T152:T152">T151</f>
        <v>true</v>
      </c>
      <c r="U152" s="1316"/>
      <c r="V152" s="676"/>
      <c r="W152" s="1316"/>
      <c r="X152" s="1482"/>
      <c r="Y152" s="1464"/>
      <c r="Z152" s="676"/>
      <c r="AA152" s="676"/>
      <c r="AB152" s="207" t="s">
        <v>630</v>
      </c>
      <c r="AC152" s="300" t="s">
        <v>595</v>
      </c>
      <c r="AD152" s="59" t="s">
        <v>512</v>
      </c>
      <c r="AE152" s="246"/>
      <c r="AF152" s="246"/>
      <c r="AG152" s="246"/>
      <c r="AH152" s="246"/>
      <c r="AI152" s="246"/>
      <c r="AJ152" s="1930"/>
      <c r="AK152" s="1930"/>
      <c r="AL152" s="246"/>
      <c r="AM152" s="246"/>
      <c r="AN152" s="246"/>
      <c r="AO152" s="246"/>
      <c r="AP152" s="246"/>
      <c r="AQ152" s="246"/>
      <c r="AR152" s="246"/>
      <c r="AS152" s="246"/>
      <c r="AT152" s="1930"/>
      <c r="AU152" s="1930"/>
      <c r="AV152" s="246"/>
      <c r="AW152" s="246"/>
      <c r="AX152" s="246"/>
      <c r="AY152" s="246"/>
      <c r="AZ152" s="246"/>
      <c r="BA152" s="246"/>
      <c r="BB152" s="246"/>
      <c r="BC152" s="167"/>
      <c r="BD152" s="676"/>
      <c r="BE152" s="676"/>
      <c r="BF152" s="998" t="s">
        <v>631</v>
      </c>
    </row>
    <row s="1621" customFormat="1" customHeight="1" ht="21.75">
      <c r="A153" s="676"/>
      <c r="B153" s="1176"/>
      <c r="C153" s="676"/>
      <c r="D153" s="676"/>
      <c r="E153" s="611">
        <v>22.5</v>
      </c>
      <c r="F153" s="50" cm="1" t="str">
        <f t="array" ref="F153:F153">OFFSET(E153,-1,1)</f>
        <v>1</v>
      </c>
      <c r="G153" s="676"/>
      <c r="H153" s="64" t="s">
        <v>632</v>
      </c>
      <c r="I153" s="443"/>
      <c r="J153" s="443"/>
      <c r="K153" s="676"/>
      <c r="L153" s="676"/>
      <c r="M153" s="676"/>
      <c r="N153" s="676"/>
      <c r="O153" s="676"/>
      <c r="P153" s="1316"/>
      <c r="Q153" s="1316"/>
      <c r="R153" s="1316"/>
      <c r="S153" s="1316"/>
      <c r="T153" s="439" cm="1" t="str">
        <f t="array" ref="T153:T153">T152</f>
        <v>true</v>
      </c>
      <c r="U153" s="1316"/>
      <c r="V153" s="676"/>
      <c r="W153" s="1316"/>
      <c r="X153" s="1482"/>
      <c r="Y153" s="1464"/>
      <c r="Z153" s="676"/>
      <c r="AA153" s="676"/>
      <c r="AB153" s="207" t="s">
        <v>633</v>
      </c>
      <c r="AC153" s="301" t="s">
        <v>634</v>
      </c>
      <c r="AD153" s="59" t="s">
        <v>512</v>
      </c>
      <c r="AE153" s="243"/>
      <c r="AF153" s="243"/>
      <c r="AG153" s="243"/>
      <c r="AH153" s="243"/>
      <c r="AI153" s="243"/>
      <c r="AJ153" s="1886"/>
      <c r="AK153" s="1886"/>
      <c r="AL153" s="243"/>
      <c r="AM153" s="243"/>
      <c r="AN153" s="243"/>
      <c r="AO153" s="243"/>
      <c r="AP153" s="243"/>
      <c r="AQ153" s="243"/>
      <c r="AR153" s="243"/>
      <c r="AS153" s="243"/>
      <c r="AT153" s="1886"/>
      <c r="AU153" s="1886"/>
      <c r="AV153" s="243"/>
      <c r="AW153" s="243"/>
      <c r="AX153" s="243"/>
      <c r="AY153" s="243"/>
      <c r="AZ153" s="243"/>
      <c r="BA153" s="243"/>
      <c r="BB153" s="243"/>
      <c r="BC153" s="167"/>
      <c r="BD153" s="676"/>
      <c r="BE153" s="676"/>
      <c r="BF153" s="998" t="s">
        <v>635</v>
      </c>
    </row>
    <row s="1621" customFormat="1" customHeight="1" ht="14.25">
      <c r="A154" s="676"/>
      <c r="B154" s="1176"/>
      <c r="C154" s="676"/>
      <c r="D154" s="676"/>
      <c r="E154" s="611">
        <v>15</v>
      </c>
      <c r="F154" s="316" cm="1" t="str">
        <f t="array" ref="F154:F154">OFFSET(E154,-1,1)</f>
        <v>1</v>
      </c>
      <c r="G154" s="676"/>
      <c r="H154" s="676"/>
      <c r="I154" s="676"/>
      <c r="J154" s="676"/>
      <c r="K154" s="676"/>
      <c r="L154" s="676"/>
      <c r="M154" s="676"/>
      <c r="N154" s="676"/>
      <c r="O154" s="676"/>
      <c r="P154" s="1316"/>
      <c r="Q154" s="1316"/>
      <c r="R154" s="1316"/>
      <c r="S154" s="1316"/>
      <c r="T154" s="439" cm="1" t="str">
        <f t="array" ref="T154:T154">T153</f>
        <v>true</v>
      </c>
      <c r="U154" s="1316"/>
      <c r="V154" s="676"/>
      <c r="W154" s="1316"/>
      <c r="X154" s="1482"/>
      <c r="Y154" s="1464"/>
      <c r="Z154" s="676"/>
      <c r="AA154" s="676"/>
      <c r="AB154" s="207" t="s">
        <v>636</v>
      </c>
      <c r="AC154" s="301" t="s">
        <v>637</v>
      </c>
      <c r="AD154" s="59" t="s">
        <v>512</v>
      </c>
      <c r="AE154" s="243"/>
      <c r="AF154" s="243"/>
      <c r="AG154" s="243"/>
      <c r="AH154" s="243"/>
      <c r="AI154" s="243"/>
      <c r="AJ154" s="1886"/>
      <c r="AK154" s="1886"/>
      <c r="AL154" s="243"/>
      <c r="AM154" s="243"/>
      <c r="AN154" s="243"/>
      <c r="AO154" s="243"/>
      <c r="AP154" s="243"/>
      <c r="AQ154" s="243"/>
      <c r="AR154" s="243"/>
      <c r="AS154" s="243"/>
      <c r="AT154" s="1886"/>
      <c r="AU154" s="1886"/>
      <c r="AV154" s="243"/>
      <c r="AW154" s="243"/>
      <c r="AX154" s="243"/>
      <c r="AY154" s="243"/>
      <c r="AZ154" s="243"/>
      <c r="BA154" s="243"/>
      <c r="BB154" s="243"/>
      <c r="BC154" s="167"/>
      <c r="BD154" s="676"/>
      <c r="BE154" s="676"/>
      <c r="BF154" s="998" t="s">
        <v>638</v>
      </c>
    </row>
    <row s="1621" customFormat="1" customHeight="1" ht="11.25" hidden="1">
      <c r="A155" s="443"/>
      <c r="B155" s="638"/>
      <c r="C155" s="443"/>
      <c r="D155" s="443"/>
      <c r="E155" s="640" t="s">
        <v>366</v>
      </c>
      <c r="F155" s="1202" cm="1" t="str">
        <f t="array" ref="F155:F155">OFFSET(E155,-1,1)</f>
        <v>1</v>
      </c>
      <c r="G155" s="443"/>
      <c r="H155" s="443"/>
      <c r="I155" s="1621"/>
      <c r="J155" s="1621"/>
      <c r="K155" s="64"/>
      <c r="L155" s="443"/>
      <c r="M155" s="443"/>
      <c r="N155" s="443"/>
      <c r="O155" s="443"/>
      <c r="P155" s="443"/>
      <c r="Q155" s="443"/>
      <c r="R155" s="388"/>
      <c r="S155" s="388"/>
      <c r="T155" s="439" t="b">
        <v>0</v>
      </c>
      <c r="U155" s="443"/>
      <c r="V155" s="443"/>
      <c r="W155" s="443"/>
      <c r="X155" s="1482"/>
      <c r="Y155" s="1464"/>
      <c r="Z155" s="443"/>
      <c r="AA155" s="443"/>
      <c r="AB155" s="1621"/>
      <c r="AC155" s="66"/>
      <c r="AD155" s="66"/>
      <c r="AE155" s="311"/>
      <c r="AF155" s="311"/>
      <c r="AG155" s="311"/>
      <c r="AH155" s="311"/>
      <c r="AI155" s="311"/>
      <c r="AJ155" s="312"/>
      <c r="AK155" s="311"/>
      <c r="AL155" s="311"/>
      <c r="AM155" s="311"/>
      <c r="AN155" s="311"/>
      <c r="AO155" s="311"/>
      <c r="AP155" s="311"/>
      <c r="AQ155" s="311"/>
      <c r="AR155" s="311"/>
      <c r="AS155" s="311"/>
      <c r="AT155" s="311"/>
      <c r="AU155" s="311"/>
      <c r="AV155" s="311"/>
      <c r="AW155" s="311"/>
      <c r="AX155" s="311"/>
      <c r="AY155" s="311"/>
      <c r="AZ155" s="311"/>
      <c r="BA155" s="311"/>
      <c r="BB155" s="311"/>
      <c r="BC155" s="1621"/>
      <c r="BD155" s="1621"/>
      <c r="BE155" s="1621"/>
      <c r="BF155" s="1002"/>
    </row>
    <row s="1621" customFormat="1" customHeight="1" ht="14.25" hidden="1">
      <c r="A156" s="676"/>
      <c r="B156" s="1176"/>
      <c r="C156" s="676"/>
      <c r="D156" s="676"/>
      <c r="E156" s="611">
        <v>15</v>
      </c>
      <c r="F156" s="50" cm="1" t="str">
        <f t="array" ref="F156:F156">OFFSET(E156,-1,1)</f>
        <v>1</v>
      </c>
      <c r="G156" s="676"/>
      <c r="H156" s="676"/>
      <c r="I156" s="676"/>
      <c r="J156" s="676"/>
      <c r="K156" s="676"/>
      <c r="L156" s="676"/>
      <c r="M156" s="676"/>
      <c r="N156" s="676"/>
      <c r="O156" s="676"/>
      <c r="P156" s="1316"/>
      <c r="Q156" s="1316"/>
      <c r="R156" s="388" cm="1" t="str">
        <f t="array" ref="R156:R156">INDEX('Общие сведения'!$AN$179:$AN$222,MATCH($X118,'Общие сведения'!$Z$179:$Z$222,0))</f>
        <v>false</v>
      </c>
      <c r="S156" s="388">
        <f>IF(ISERROR(SEARCH("Водоснабжение",AB118)),FALSE,TRUE)</f>
        <v>1</v>
      </c>
      <c r="T156" s="439">
        <f>AND(X118&gt;0,S156,R156)</f>
        <v>0</v>
      </c>
      <c r="U156" s="1316"/>
      <c r="V156" s="676"/>
      <c r="W156" s="1316"/>
      <c r="X156" s="1482"/>
      <c r="Y156" s="1464"/>
      <c r="Z156" s="676"/>
      <c r="AA156" s="676"/>
      <c r="AB156" s="207" t="s">
        <v>272</v>
      </c>
      <c r="AC156" s="295" t="s">
        <v>509</v>
      </c>
      <c r="AD156" s="165"/>
      <c r="AE156" s="548" cm="1" t="str">
        <f t="array" ref="AE156:AE156">INDEX('Общие сведения'!$AH$179:$AH$222,MATCH($X118,'Общие сведения'!$Z$179:$Z$222,0))</f>
        <v>техническая вода</v>
      </c>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c r="AZ156" s="329"/>
      <c r="BA156" s="329"/>
      <c r="BB156" s="330"/>
      <c r="BC156" s="1887"/>
      <c r="BD156" s="676"/>
      <c r="BE156" s="676"/>
      <c r="BF156" s="998" t="s">
        <v>639</v>
      </c>
    </row>
    <row s="1621" customFormat="1" customHeight="1" ht="14.25" hidden="1">
      <c r="A157" s="676"/>
      <c r="B157" s="1176"/>
      <c r="C157" s="676"/>
      <c r="D157" s="676"/>
      <c r="E157" s="611">
        <v>15</v>
      </c>
      <c r="F157" s="50" cm="1" t="str">
        <f t="array" ref="F157:F157">OFFSET(E157,-1,1)</f>
        <v>1</v>
      </c>
      <c r="G157" s="676"/>
      <c r="H157" s="64" t="s">
        <v>329</v>
      </c>
      <c r="I157" s="676"/>
      <c r="J157" s="676"/>
      <c r="K157" s="676"/>
      <c r="L157" s="676"/>
      <c r="M157" s="676"/>
      <c r="N157" s="676"/>
      <c r="O157" s="676"/>
      <c r="P157" s="1316"/>
      <c r="Q157" s="1316"/>
      <c r="R157" s="1316"/>
      <c r="S157" s="1316"/>
      <c r="T157" s="439" cm="1" t="str">
        <f t="array" ref="T157:T157">T156</f>
        <v>false</v>
      </c>
      <c r="U157" s="1316"/>
      <c r="V157" s="676"/>
      <c r="W157" s="1316"/>
      <c r="X157" s="1482"/>
      <c r="Y157" s="1464"/>
      <c r="Z157" s="676"/>
      <c r="AA157" s="676"/>
      <c r="AB157" s="207" t="s">
        <v>283</v>
      </c>
      <c r="AC157" s="302" t="s">
        <v>640</v>
      </c>
      <c r="AD157" s="59" t="s">
        <v>512</v>
      </c>
      <c r="AE157" s="313">
        <f>AE161+AE163+AE166+AE169</f>
        <v>0</v>
      </c>
      <c r="AF157" s="313">
        <f>AF161+AF163+AF166+AF169</f>
        <v>0</v>
      </c>
      <c r="AG157" s="313">
        <f>AG161+AG163+AG166+AG169</f>
        <v>0</v>
      </c>
      <c r="AH157" s="313">
        <f>AH161+AH163+AH166+AH169</f>
        <v>0</v>
      </c>
      <c r="AI157" s="313">
        <f>AI161+AI163+AI166+AI169</f>
        <v>147.98</v>
      </c>
      <c r="AJ157" s="313">
        <f>AJ161+AJ163+AJ166+AJ169</f>
        <v>0</v>
      </c>
      <c r="AK157" s="313">
        <f>AK161+AK163+AK166+AK169</f>
        <v>0</v>
      </c>
      <c r="AL157" s="313">
        <f>AL161+AL163+AL166+AL169</f>
        <v>0</v>
      </c>
      <c r="AM157" s="313">
        <f>AM161+AM163+AM166+AM169</f>
        <v>0</v>
      </c>
      <c r="AN157" s="313">
        <f>AN161+AN163+AN166+AN169</f>
        <v>0</v>
      </c>
      <c r="AO157" s="313">
        <f>AO161+AO163+AO166+AO169</f>
        <v>0</v>
      </c>
      <c r="AP157" s="313">
        <f>AP161+AP163+AP166+AP169</f>
        <v>0</v>
      </c>
      <c r="AQ157" s="313">
        <f>AQ161+AQ163+AQ166+AQ169</f>
        <v>0</v>
      </c>
      <c r="AR157" s="313">
        <f>AR161+AR163+AR166+AR169</f>
        <v>0</v>
      </c>
      <c r="AS157" s="313">
        <f>AS161+AS163+AS166+AS169</f>
        <v>163.933</v>
      </c>
      <c r="AT157" s="313">
        <f>AT161+AT163+AT166+AT169</f>
        <v>0</v>
      </c>
      <c r="AU157" s="313">
        <f>AU161+AU163+AU166+AU169</f>
        <v>0</v>
      </c>
      <c r="AV157" s="313">
        <f>AV161+AV163+AV166+AV169</f>
        <v>0</v>
      </c>
      <c r="AW157" s="313">
        <f>AW161+AW163+AW166+AW169</f>
        <v>0</v>
      </c>
      <c r="AX157" s="313">
        <f>AX161+AX163+AX166+AX169</f>
        <v>0</v>
      </c>
      <c r="AY157" s="313">
        <f>AY161+AY163+AY166+AY169</f>
        <v>0</v>
      </c>
      <c r="AZ157" s="313">
        <f>AZ161+AZ163+AZ166+AZ169</f>
        <v>0</v>
      </c>
      <c r="BA157" s="313">
        <f>BA161+BA163+BA166+BA169</f>
        <v>0</v>
      </c>
      <c r="BB157" s="313">
        <f>BB161+BB163+BB166+BB169</f>
        <v>0</v>
      </c>
      <c r="BC157" s="1887"/>
      <c r="BD157" s="676"/>
      <c r="BE157" s="676"/>
      <c r="BF157" s="998" t="s">
        <v>641</v>
      </c>
    </row>
    <row s="1621" customFormat="1" customHeight="1" ht="14.25" hidden="1">
      <c r="A158" s="676"/>
      <c r="B158" s="1176"/>
      <c r="C158" s="676"/>
      <c r="D158" s="676"/>
      <c r="E158" s="611">
        <v>15</v>
      </c>
      <c r="F158" s="50" cm="1" t="str">
        <f t="array" ref="F158:F158">OFFSET(E158,-1,1)</f>
        <v>1</v>
      </c>
      <c r="G158" s="676"/>
      <c r="H158" s="64" t="s">
        <v>514</v>
      </c>
      <c r="I158" s="676"/>
      <c r="J158" s="676"/>
      <c r="K158" s="676"/>
      <c r="L158" s="676"/>
      <c r="M158" s="676"/>
      <c r="N158" s="676"/>
      <c r="O158" s="676"/>
      <c r="P158" s="1316"/>
      <c r="Q158" s="1316"/>
      <c r="R158" s="1316"/>
      <c r="S158" s="1316"/>
      <c r="T158" s="439" cm="1" t="str">
        <f t="array" ref="T158:T158">T157</f>
        <v>false</v>
      </c>
      <c r="U158" s="1316"/>
      <c r="V158" s="676"/>
      <c r="W158" s="1316"/>
      <c r="X158" s="1482"/>
      <c r="Y158" s="1464"/>
      <c r="Z158" s="676"/>
      <c r="AA158" s="676"/>
      <c r="AB158" s="207" t="s">
        <v>515</v>
      </c>
      <c r="AC158" s="303" t="s">
        <v>642</v>
      </c>
      <c r="AD158" s="59" t="s">
        <v>512</v>
      </c>
      <c r="AE158" s="1886"/>
      <c r="AF158" s="1886"/>
      <c r="AG158" s="1886"/>
      <c r="AH158" s="1886"/>
      <c r="AI158" s="243"/>
      <c r="AJ158" s="1886"/>
      <c r="AK158" s="1886"/>
      <c r="AL158" s="1886"/>
      <c r="AM158" s="1886"/>
      <c r="AN158" s="1886"/>
      <c r="AO158" s="1886"/>
      <c r="AP158" s="1886"/>
      <c r="AQ158" s="1886"/>
      <c r="AR158" s="1886"/>
      <c r="AS158" s="243"/>
      <c r="AT158" s="1886"/>
      <c r="AU158" s="1886"/>
      <c r="AV158" s="1886"/>
      <c r="AW158" s="1886"/>
      <c r="AX158" s="1886"/>
      <c r="AY158" s="1886"/>
      <c r="AZ158" s="1886"/>
      <c r="BA158" s="1886"/>
      <c r="BB158" s="1886"/>
      <c r="BC158" s="1887"/>
      <c r="BD158" s="676"/>
      <c r="BE158" s="676"/>
      <c r="BF158" s="998" t="s">
        <v>643</v>
      </c>
    </row>
    <row s="1621" customFormat="1" customHeight="1" ht="14.625" hidden="1">
      <c r="A159" s="676"/>
      <c r="B159" s="1176"/>
      <c r="C159" s="676"/>
      <c r="D159" s="676"/>
      <c r="E159" s="611">
        <v>15</v>
      </c>
      <c r="F159" s="50" cm="1" t="str">
        <f t="array" ref="F159:F159">OFFSET(E159,-1,1)</f>
        <v>1</v>
      </c>
      <c r="G159" s="676"/>
      <c r="H159" s="64" t="s">
        <v>518</v>
      </c>
      <c r="I159" s="676"/>
      <c r="J159" s="676"/>
      <c r="K159" s="676"/>
      <c r="L159" s="676"/>
      <c r="M159" s="676"/>
      <c r="N159" s="676"/>
      <c r="O159" s="676"/>
      <c r="P159" s="1316"/>
      <c r="Q159" s="1316"/>
      <c r="R159" s="1316"/>
      <c r="S159" s="1316"/>
      <c r="T159" s="439" cm="1" t="str">
        <f t="array" ref="T159:T159">T158</f>
        <v>false</v>
      </c>
      <c r="U159" s="1316"/>
      <c r="V159" s="676"/>
      <c r="W159" s="1316"/>
      <c r="X159" s="1482"/>
      <c r="Y159" s="1464"/>
      <c r="Z159" s="676"/>
      <c r="AA159" s="676"/>
      <c r="AB159" s="207" t="s">
        <v>519</v>
      </c>
      <c r="AC159" s="303" t="s">
        <v>644</v>
      </c>
      <c r="AD159" s="59" t="s">
        <v>512</v>
      </c>
      <c r="AE159" s="1886"/>
      <c r="AF159" s="1886"/>
      <c r="AG159" s="1886"/>
      <c r="AH159" s="1886"/>
      <c r="AI159" s="243">
        <v>147.98</v>
      </c>
      <c r="AJ159" s="1886"/>
      <c r="AK159" s="1886"/>
      <c r="AL159" s="1886"/>
      <c r="AM159" s="1886"/>
      <c r="AN159" s="1886"/>
      <c r="AO159" s="1886"/>
      <c r="AP159" s="1886"/>
      <c r="AQ159" s="1886"/>
      <c r="AR159" s="1886"/>
      <c r="AS159" s="243">
        <v>163.933</v>
      </c>
      <c r="AT159" s="1886"/>
      <c r="AU159" s="1886"/>
      <c r="AV159" s="1886"/>
      <c r="AW159" s="1886"/>
      <c r="AX159" s="1886"/>
      <c r="AY159" s="1886"/>
      <c r="AZ159" s="1886"/>
      <c r="BA159" s="1886"/>
      <c r="BB159" s="1886"/>
      <c r="BC159" s="1887"/>
      <c r="BD159" s="676"/>
      <c r="BE159" s="676"/>
      <c r="BF159" s="998" t="s">
        <v>645</v>
      </c>
    </row>
    <row s="1621" customFormat="1" customHeight="1" ht="21.75" hidden="1">
      <c r="A160" s="676"/>
      <c r="B160" s="1176"/>
      <c r="C160" s="676"/>
      <c r="D160" s="676"/>
      <c r="E160" s="611">
        <v>22.5</v>
      </c>
      <c r="F160" s="50" cm="1" t="str">
        <f t="array" ref="F160:F160">OFFSET(E160,-1,1)</f>
        <v>1</v>
      </c>
      <c r="G160" s="676"/>
      <c r="H160" s="64" t="s">
        <v>522</v>
      </c>
      <c r="I160" s="676"/>
      <c r="J160" s="676"/>
      <c r="K160" s="676"/>
      <c r="L160" s="676"/>
      <c r="M160" s="676"/>
      <c r="N160" s="676"/>
      <c r="O160" s="676"/>
      <c r="P160" s="1316"/>
      <c r="Q160" s="1316"/>
      <c r="R160" s="1316"/>
      <c r="S160" s="1316"/>
      <c r="T160" s="439" cm="1" t="str">
        <f t="array" ref="T160:T160">T159</f>
        <v>false</v>
      </c>
      <c r="U160" s="1316"/>
      <c r="V160" s="676"/>
      <c r="W160" s="1316"/>
      <c r="X160" s="1482"/>
      <c r="Y160" s="1464"/>
      <c r="Z160" s="676"/>
      <c r="AA160" s="676"/>
      <c r="AB160" s="207" t="s">
        <v>523</v>
      </c>
      <c r="AC160" s="303" t="s">
        <v>646</v>
      </c>
      <c r="AD160" s="59" t="s">
        <v>512</v>
      </c>
      <c r="AE160" s="1886"/>
      <c r="AF160" s="1886"/>
      <c r="AG160" s="1886"/>
      <c r="AH160" s="1886"/>
      <c r="AI160" s="243"/>
      <c r="AJ160" s="1886"/>
      <c r="AK160" s="1886"/>
      <c r="AL160" s="1886"/>
      <c r="AM160" s="1886"/>
      <c r="AN160" s="1886"/>
      <c r="AO160" s="1886"/>
      <c r="AP160" s="1886"/>
      <c r="AQ160" s="1886"/>
      <c r="AR160" s="1886"/>
      <c r="AS160" s="243"/>
      <c r="AT160" s="1886"/>
      <c r="AU160" s="1886"/>
      <c r="AV160" s="1886"/>
      <c r="AW160" s="1886"/>
      <c r="AX160" s="1886"/>
      <c r="AY160" s="1886"/>
      <c r="AZ160" s="1886"/>
      <c r="BA160" s="1886"/>
      <c r="BB160" s="1886"/>
      <c r="BC160" s="1887"/>
      <c r="BD160" s="676"/>
      <c r="BE160" s="676"/>
      <c r="BF160" s="998" t="s">
        <v>647</v>
      </c>
    </row>
    <row s="1621" customFormat="1" customHeight="1" ht="14.625" hidden="1">
      <c r="A161" s="676"/>
      <c r="B161" s="1176"/>
      <c r="C161" s="676"/>
      <c r="D161" s="676"/>
      <c r="E161" s="611">
        <v>15</v>
      </c>
      <c r="F161" s="50" cm="1" t="str">
        <f t="array" ref="F161:F161">OFFSET(E161,-1,1)</f>
        <v>1</v>
      </c>
      <c r="G161" s="676"/>
      <c r="H161" s="64" t="s">
        <v>328</v>
      </c>
      <c r="I161" s="676"/>
      <c r="J161" s="676"/>
      <c r="K161" s="676"/>
      <c r="L161" s="676"/>
      <c r="M161" s="676"/>
      <c r="N161" s="676"/>
      <c r="O161" s="676"/>
      <c r="P161" s="1316"/>
      <c r="Q161" s="1316"/>
      <c r="R161" s="1316"/>
      <c r="S161" s="1316"/>
      <c r="T161" s="439" cm="1" t="str">
        <f t="array" ref="T161:T161">T160</f>
        <v>false</v>
      </c>
      <c r="U161" s="1316"/>
      <c r="V161" s="676"/>
      <c r="W161" s="1316"/>
      <c r="X161" s="1482"/>
      <c r="Y161" s="1464"/>
      <c r="Z161" s="676"/>
      <c r="AA161" s="676"/>
      <c r="AB161" s="207" t="s">
        <v>323</v>
      </c>
      <c r="AC161" s="295" t="s">
        <v>558</v>
      </c>
      <c r="AD161" s="59" t="s">
        <v>512</v>
      </c>
      <c r="AE161" s="1886"/>
      <c r="AF161" s="1886"/>
      <c r="AG161" s="1886"/>
      <c r="AH161" s="1886"/>
      <c r="AI161" s="243">
        <v>0</v>
      </c>
      <c r="AJ161" s="1886"/>
      <c r="AK161" s="1886"/>
      <c r="AL161" s="1886"/>
      <c r="AM161" s="1886"/>
      <c r="AN161" s="1886"/>
      <c r="AO161" s="1886"/>
      <c r="AP161" s="1886"/>
      <c r="AQ161" s="1886"/>
      <c r="AR161" s="1886"/>
      <c r="AS161" s="243">
        <v>0</v>
      </c>
      <c r="AT161" s="1886"/>
      <c r="AU161" s="1886"/>
      <c r="AV161" s="1886"/>
      <c r="AW161" s="1886"/>
      <c r="AX161" s="1886"/>
      <c r="AY161" s="1886"/>
      <c r="AZ161" s="1886"/>
      <c r="BA161" s="1886"/>
      <c r="BB161" s="1886"/>
      <c r="BC161" s="1887"/>
      <c r="BD161" s="676"/>
      <c r="BE161" s="676"/>
      <c r="BF161" s="998" t="s">
        <v>648</v>
      </c>
    </row>
    <row s="1621" customFormat="1" customHeight="1" ht="14.25" hidden="1">
      <c r="A162" s="676"/>
      <c r="B162" s="1176"/>
      <c r="C162" s="676"/>
      <c r="D162" s="676"/>
      <c r="E162" s="611">
        <v>15</v>
      </c>
      <c r="F162" s="50" cm="1" t="str">
        <f t="array" ref="F162:F162">OFFSET(E162,-1,1)</f>
        <v>1</v>
      </c>
      <c r="G162" s="676"/>
      <c r="H162" s="64" t="s">
        <v>528</v>
      </c>
      <c r="I162" s="676"/>
      <c r="J162" s="676"/>
      <c r="K162" s="676"/>
      <c r="L162" s="676"/>
      <c r="M162" s="676"/>
      <c r="N162" s="676"/>
      <c r="O162" s="676"/>
      <c r="P162" s="1316"/>
      <c r="Q162" s="1316"/>
      <c r="R162" s="1316"/>
      <c r="S162" s="1316"/>
      <c r="T162" s="439" cm="1" t="str">
        <f t="array" ref="T162:T162">T161</f>
        <v>false</v>
      </c>
      <c r="U162" s="1316"/>
      <c r="V162" s="676"/>
      <c r="W162" s="1316"/>
      <c r="X162" s="1482"/>
      <c r="Y162" s="1464"/>
      <c r="Z162" s="676"/>
      <c r="AA162" s="676"/>
      <c r="AB162" s="207" t="s">
        <v>529</v>
      </c>
      <c r="AC162" s="298" t="s">
        <v>562</v>
      </c>
      <c r="AD162" s="59" t="s">
        <v>437</v>
      </c>
      <c r="AE162" s="1764">
        <f>IF(AE157=0,0,AE161/AE157*100)</f>
        <v>0</v>
      </c>
      <c r="AF162" s="1764">
        <f>IF(AF157=0,0,AF161/AF157*100)</f>
        <v>0</v>
      </c>
      <c r="AG162" s="1764">
        <f>IF(AG157=0,0,AG161/AG157*100)</f>
        <v>0</v>
      </c>
      <c r="AH162" s="1764">
        <f>IF(AH157=0,0,AH161/AH157*100)</f>
        <v>0</v>
      </c>
      <c r="AI162" s="107">
        <f>IF(AI157=0,0,AI161/AI157*100)</f>
        <v>0</v>
      </c>
      <c r="AJ162" s="1764">
        <f>IF(AJ157=0,0,AJ161/AJ157*100)</f>
        <v>0</v>
      </c>
      <c r="AK162" s="1764">
        <f>IF(AK157=0,0,AK161/AK157*100)</f>
        <v>0</v>
      </c>
      <c r="AL162" s="1764">
        <f>IF(AL157=0,0,AL161/AL157*100)</f>
        <v>0</v>
      </c>
      <c r="AM162" s="1764">
        <f>IF(AM157=0,0,AM161/AM157*100)</f>
        <v>0</v>
      </c>
      <c r="AN162" s="1764">
        <f>IF(AN157=0,0,AN161/AN157*100)</f>
        <v>0</v>
      </c>
      <c r="AO162" s="1764">
        <f>IF(AO157=0,0,AO161/AO157*100)</f>
        <v>0</v>
      </c>
      <c r="AP162" s="1764">
        <f>IF(AP157=0,0,AP161/AP157*100)</f>
        <v>0</v>
      </c>
      <c r="AQ162" s="1764">
        <f>IF(AQ157=0,0,AQ161/AQ157*100)</f>
        <v>0</v>
      </c>
      <c r="AR162" s="1764">
        <f>IF(AR157=0,0,AR161/AR157*100)</f>
        <v>0</v>
      </c>
      <c r="AS162" s="107">
        <f>IF(AS157=0,0,AS161/AS157*100)</f>
        <v>0</v>
      </c>
      <c r="AT162" s="1764">
        <f>IF(AT157=0,0,AT161/AT157*100)</f>
        <v>0</v>
      </c>
      <c r="AU162" s="1764">
        <f>IF(AU157=0,0,AU161/AU157*100)</f>
        <v>0</v>
      </c>
      <c r="AV162" s="1764">
        <f>IF(AV157=0,0,AV161/AV157*100)</f>
        <v>0</v>
      </c>
      <c r="AW162" s="1764">
        <f>IF(AW157=0,0,AW161/AW157*100)</f>
        <v>0</v>
      </c>
      <c r="AX162" s="1764">
        <f>IF(AX157=0,0,AX161/AX157*100)</f>
        <v>0</v>
      </c>
      <c r="AY162" s="1764">
        <f>IF(AY157=0,0,AY161/AY157*100)</f>
        <v>0</v>
      </c>
      <c r="AZ162" s="1764">
        <f>IF(AZ157=0,0,AZ161/AZ157*100)</f>
        <v>0</v>
      </c>
      <c r="BA162" s="1764">
        <f>IF(BA157=0,0,BA161/BA157*100)</f>
        <v>0</v>
      </c>
      <c r="BB162" s="1764">
        <f>IF(BB157=0,0,BB161/BB157*100)</f>
        <v>0</v>
      </c>
      <c r="BC162" s="1934"/>
      <c r="BD162" s="676"/>
      <c r="BE162" s="676"/>
      <c r="BF162" s="998" t="s">
        <v>649</v>
      </c>
    </row>
    <row s="1621" customFormat="1" customHeight="1" ht="14.25" hidden="1">
      <c r="A163" s="676"/>
      <c r="B163" s="1176"/>
      <c r="C163" s="676"/>
      <c r="D163" s="676"/>
      <c r="E163" s="611">
        <v>15</v>
      </c>
      <c r="F163" s="50" cm="1" t="str">
        <f t="array" ref="F163:F163">OFFSET(E163,-1,1)</f>
        <v>1</v>
      </c>
      <c r="G163" s="676"/>
      <c r="H163" s="64" t="s">
        <v>491</v>
      </c>
      <c r="I163" s="676"/>
      <c r="J163" s="676"/>
      <c r="K163" s="676"/>
      <c r="L163" s="676"/>
      <c r="M163" s="676"/>
      <c r="N163" s="676"/>
      <c r="O163" s="676"/>
      <c r="P163" s="1316"/>
      <c r="Q163" s="1316"/>
      <c r="R163" s="1316"/>
      <c r="S163" s="1316"/>
      <c r="T163" s="439" cm="1" t="str">
        <f t="array" ref="T163:T163">T162</f>
        <v>false</v>
      </c>
      <c r="U163" s="1316"/>
      <c r="V163" s="676"/>
      <c r="W163" s="1316"/>
      <c r="X163" s="1482"/>
      <c r="Y163" s="1464"/>
      <c r="Z163" s="676"/>
      <c r="AA163" s="676"/>
      <c r="AB163" s="207" t="s">
        <v>536</v>
      </c>
      <c r="AC163" s="302" t="s">
        <v>570</v>
      </c>
      <c r="AD163" s="59" t="s">
        <v>512</v>
      </c>
      <c r="AE163" s="313">
        <f>AE164+AE165</f>
        <v>0</v>
      </c>
      <c r="AF163" s="313">
        <f>AF164+AF165</f>
        <v>0</v>
      </c>
      <c r="AG163" s="313">
        <f>AG164+AG165</f>
        <v>0</v>
      </c>
      <c r="AH163" s="313">
        <f>AH164+AH165</f>
        <v>0</v>
      </c>
      <c r="AI163" s="313">
        <f>AI164+AI165</f>
        <v>0</v>
      </c>
      <c r="AJ163" s="313">
        <f>AJ164+AJ165</f>
        <v>0</v>
      </c>
      <c r="AK163" s="313">
        <f>AK164+AK165</f>
        <v>0</v>
      </c>
      <c r="AL163" s="313">
        <f>AL164+AL165</f>
        <v>0</v>
      </c>
      <c r="AM163" s="313">
        <f>AM164+AM165</f>
        <v>0</v>
      </c>
      <c r="AN163" s="313">
        <f>AN164+AN165</f>
        <v>0</v>
      </c>
      <c r="AO163" s="313">
        <f>AO164+AO165</f>
        <v>0</v>
      </c>
      <c r="AP163" s="313">
        <f>AP164+AP165</f>
        <v>0</v>
      </c>
      <c r="AQ163" s="313">
        <f>AQ164+AQ165</f>
        <v>0</v>
      </c>
      <c r="AR163" s="313">
        <f>AR164+AR165</f>
        <v>0</v>
      </c>
      <c r="AS163" s="313">
        <f>AS164+AS165</f>
        <v>0</v>
      </c>
      <c r="AT163" s="313">
        <f>AT164+AT165</f>
        <v>0</v>
      </c>
      <c r="AU163" s="313">
        <f>AU164+AU165</f>
        <v>0</v>
      </c>
      <c r="AV163" s="313">
        <f>AV164+AV165</f>
        <v>0</v>
      </c>
      <c r="AW163" s="313">
        <f>AW164+AW165</f>
        <v>0</v>
      </c>
      <c r="AX163" s="313">
        <f>AX164+AX165</f>
        <v>0</v>
      </c>
      <c r="AY163" s="313">
        <f>AY164+AY165</f>
        <v>0</v>
      </c>
      <c r="AZ163" s="313">
        <f>AZ164+AZ165</f>
        <v>0</v>
      </c>
      <c r="BA163" s="313">
        <f>BA164+BA165</f>
        <v>0</v>
      </c>
      <c r="BB163" s="313">
        <f>BB164+BB165</f>
        <v>0</v>
      </c>
      <c r="BC163" s="1887"/>
      <c r="BD163" s="676"/>
      <c r="BE163" s="676"/>
      <c r="BF163" s="998" t="s">
        <v>650</v>
      </c>
    </row>
    <row s="1621" customFormat="1" customHeight="1" ht="14.25" hidden="1">
      <c r="A164" s="676"/>
      <c r="B164" s="1176"/>
      <c r="C164" s="676"/>
      <c r="D164" s="676"/>
      <c r="E164" s="611">
        <v>15</v>
      </c>
      <c r="F164" s="50" cm="1" t="str">
        <f t="array" ref="F164:F164">OFFSET(E164,-1,1)</f>
        <v>1</v>
      </c>
      <c r="G164" s="676"/>
      <c r="H164" s="64" t="s">
        <v>651</v>
      </c>
      <c r="I164" s="676"/>
      <c r="J164" s="676"/>
      <c r="K164" s="676"/>
      <c r="L164" s="676"/>
      <c r="M164" s="676"/>
      <c r="N164" s="676"/>
      <c r="O164" s="676"/>
      <c r="P164" s="1316"/>
      <c r="Q164" s="1316"/>
      <c r="R164" s="1316"/>
      <c r="S164" s="1316"/>
      <c r="T164" s="439" cm="1" t="str">
        <f t="array" ref="T164:T164">T163</f>
        <v>false</v>
      </c>
      <c r="U164" s="1316"/>
      <c r="V164" s="676"/>
      <c r="W164" s="1316"/>
      <c r="X164" s="1482"/>
      <c r="Y164" s="1464"/>
      <c r="Z164" s="676"/>
      <c r="AA164" s="676"/>
      <c r="AB164" s="207" t="s">
        <v>652</v>
      </c>
      <c r="AC164" s="303" t="s">
        <v>574</v>
      </c>
      <c r="AD164" s="59" t="s">
        <v>512</v>
      </c>
      <c r="AE164" s="1886"/>
      <c r="AF164" s="1886"/>
      <c r="AG164" s="1886"/>
      <c r="AH164" s="1886"/>
      <c r="AI164" s="243"/>
      <c r="AJ164" s="1886"/>
      <c r="AK164" s="1886"/>
      <c r="AL164" s="1886"/>
      <c r="AM164" s="1886"/>
      <c r="AN164" s="1886"/>
      <c r="AO164" s="1886"/>
      <c r="AP164" s="1886"/>
      <c r="AQ164" s="1886"/>
      <c r="AR164" s="1886"/>
      <c r="AS164" s="243"/>
      <c r="AT164" s="1886"/>
      <c r="AU164" s="1886"/>
      <c r="AV164" s="1886"/>
      <c r="AW164" s="1886"/>
      <c r="AX164" s="1886"/>
      <c r="AY164" s="1886"/>
      <c r="AZ164" s="1886"/>
      <c r="BA164" s="1886"/>
      <c r="BB164" s="1886"/>
      <c r="BC164" s="1887"/>
      <c r="BD164" s="676"/>
      <c r="BE164" s="676"/>
      <c r="BF164" s="998" t="s">
        <v>653</v>
      </c>
    </row>
    <row s="1621" customFormat="1" customHeight="1" ht="14.25" hidden="1">
      <c r="A165" s="676"/>
      <c r="B165" s="1176"/>
      <c r="C165" s="676"/>
      <c r="D165" s="676"/>
      <c r="E165" s="611">
        <v>15</v>
      </c>
      <c r="F165" s="50" cm="1" t="str">
        <f t="array" ref="F165:F165">OFFSET(E165,-1,1)</f>
        <v>1</v>
      </c>
      <c r="G165" s="676"/>
      <c r="H165" s="64" t="s">
        <v>654</v>
      </c>
      <c r="I165" s="676"/>
      <c r="J165" s="676"/>
      <c r="K165" s="676"/>
      <c r="L165" s="676"/>
      <c r="M165" s="676"/>
      <c r="N165" s="676"/>
      <c r="O165" s="676"/>
      <c r="P165" s="1316"/>
      <c r="Q165" s="1316"/>
      <c r="R165" s="1316"/>
      <c r="S165" s="1316"/>
      <c r="T165" s="439" cm="1" t="str">
        <f t="array" ref="T165:T165">T164</f>
        <v>false</v>
      </c>
      <c r="U165" s="1316"/>
      <c r="V165" s="676"/>
      <c r="W165" s="1316"/>
      <c r="X165" s="1482"/>
      <c r="Y165" s="1464"/>
      <c r="Z165" s="676"/>
      <c r="AA165" s="676"/>
      <c r="AB165" s="207" t="s">
        <v>655</v>
      </c>
      <c r="AC165" s="303" t="s">
        <v>578</v>
      </c>
      <c r="AD165" s="59" t="s">
        <v>512</v>
      </c>
      <c r="AE165" s="1886"/>
      <c r="AF165" s="1886"/>
      <c r="AG165" s="1886"/>
      <c r="AH165" s="1886"/>
      <c r="AI165" s="243"/>
      <c r="AJ165" s="1886"/>
      <c r="AK165" s="1886"/>
      <c r="AL165" s="1886"/>
      <c r="AM165" s="1886"/>
      <c r="AN165" s="1886"/>
      <c r="AO165" s="1886"/>
      <c r="AP165" s="1886"/>
      <c r="AQ165" s="1886"/>
      <c r="AR165" s="1886"/>
      <c r="AS165" s="243"/>
      <c r="AT165" s="1886"/>
      <c r="AU165" s="1886"/>
      <c r="AV165" s="1886"/>
      <c r="AW165" s="1886"/>
      <c r="AX165" s="1886"/>
      <c r="AY165" s="1886"/>
      <c r="AZ165" s="1886"/>
      <c r="BA165" s="1886"/>
      <c r="BB165" s="1886"/>
      <c r="BC165" s="1887"/>
      <c r="BD165" s="676"/>
      <c r="BE165" s="676"/>
      <c r="BF165" s="998" t="s">
        <v>656</v>
      </c>
    </row>
    <row s="1621" customFormat="1" customHeight="1" ht="14.25" hidden="1">
      <c r="A166" s="676"/>
      <c r="B166" s="1176"/>
      <c r="C166" s="676"/>
      <c r="D166" s="676"/>
      <c r="E166" s="611">
        <v>15</v>
      </c>
      <c r="F166" s="50" cm="1" t="str">
        <f t="array" ref="F166:F166">OFFSET(E166,-1,1)</f>
        <v>1</v>
      </c>
      <c r="G166" s="64" t="s">
        <v>584</v>
      </c>
      <c r="H166" s="64" t="s">
        <v>495</v>
      </c>
      <c r="I166" s="676"/>
      <c r="J166" s="676"/>
      <c r="K166" s="676"/>
      <c r="L166" s="676"/>
      <c r="M166" s="676"/>
      <c r="N166" s="676"/>
      <c r="O166" s="676"/>
      <c r="P166" s="1316"/>
      <c r="Q166" s="1316"/>
      <c r="R166" s="1316"/>
      <c r="S166" s="1316"/>
      <c r="T166" s="439" cm="1" t="str">
        <f t="array" ref="T166:T166">T165</f>
        <v>false</v>
      </c>
      <c r="U166" s="1316"/>
      <c r="V166" s="676"/>
      <c r="W166" s="1316"/>
      <c r="X166" s="1482"/>
      <c r="Y166" s="1464"/>
      <c r="Z166" s="676"/>
      <c r="AA166" s="676"/>
      <c r="AB166" s="207" t="s">
        <v>492</v>
      </c>
      <c r="AC166" s="302" t="s">
        <v>587</v>
      </c>
      <c r="AD166" s="59" t="s">
        <v>512</v>
      </c>
      <c r="AE166" s="313">
        <f>AE167+AE168</f>
        <v>0</v>
      </c>
      <c r="AF166" s="313">
        <f>AF167+AF168</f>
        <v>0</v>
      </c>
      <c r="AG166" s="313">
        <f>AG167+AG168</f>
        <v>0</v>
      </c>
      <c r="AH166" s="313">
        <f>AH167+AH168</f>
        <v>0</v>
      </c>
      <c r="AI166" s="313">
        <f>AI167+AI168</f>
        <v>0</v>
      </c>
      <c r="AJ166" s="313">
        <f>AJ167+AJ168</f>
        <v>0</v>
      </c>
      <c r="AK166" s="313">
        <f>AK167+AK168</f>
        <v>0</v>
      </c>
      <c r="AL166" s="313">
        <f>AL167+AL168</f>
        <v>0</v>
      </c>
      <c r="AM166" s="313">
        <f>AM167+AM168</f>
        <v>0</v>
      </c>
      <c r="AN166" s="313">
        <f>AN167+AN168</f>
        <v>0</v>
      </c>
      <c r="AO166" s="313">
        <f>AO167+AO168</f>
        <v>0</v>
      </c>
      <c r="AP166" s="313">
        <f>AP167+AP168</f>
        <v>0</v>
      </c>
      <c r="AQ166" s="313">
        <f>AQ167+AQ168</f>
        <v>0</v>
      </c>
      <c r="AR166" s="313">
        <f>AR167+AR168</f>
        <v>0</v>
      </c>
      <c r="AS166" s="313">
        <f>AS167+AS168</f>
        <v>0</v>
      </c>
      <c r="AT166" s="313">
        <f>AT167+AT168</f>
        <v>0</v>
      </c>
      <c r="AU166" s="313">
        <f>AU167+AU168</f>
        <v>0</v>
      </c>
      <c r="AV166" s="313">
        <f>AV167+AV168</f>
        <v>0</v>
      </c>
      <c r="AW166" s="313">
        <f>AW167+AW168</f>
        <v>0</v>
      </c>
      <c r="AX166" s="313">
        <f>AX167+AX168</f>
        <v>0</v>
      </c>
      <c r="AY166" s="313">
        <f>AY167+AY168</f>
        <v>0</v>
      </c>
      <c r="AZ166" s="313">
        <f>AZ167+AZ168</f>
        <v>0</v>
      </c>
      <c r="BA166" s="313">
        <f>BA167+BA168</f>
        <v>0</v>
      </c>
      <c r="BB166" s="313">
        <f>BB167+BB168</f>
        <v>0</v>
      </c>
      <c r="BC166" s="1887"/>
      <c r="BD166" s="676"/>
      <c r="BE166" s="676"/>
      <c r="BF166" s="998" t="s">
        <v>657</v>
      </c>
    </row>
    <row s="1621" customFormat="1" customHeight="1" ht="14.25" hidden="1">
      <c r="A167" s="676"/>
      <c r="B167" s="1176"/>
      <c r="C167" s="676"/>
      <c r="D167" s="676"/>
      <c r="E167" s="611">
        <v>15</v>
      </c>
      <c r="F167" s="50" cm="1" t="str">
        <f t="array" ref="F167:F167">OFFSET(E167,-1,1)</f>
        <v>1</v>
      </c>
      <c r="G167" s="676"/>
      <c r="H167" s="64" t="s">
        <v>658</v>
      </c>
      <c r="I167" s="676"/>
      <c r="J167" s="676"/>
      <c r="K167" s="676"/>
      <c r="L167" s="676"/>
      <c r="M167" s="676"/>
      <c r="N167" s="676"/>
      <c r="O167" s="676"/>
      <c r="P167" s="1316"/>
      <c r="Q167" s="1316"/>
      <c r="R167" s="1316"/>
      <c r="S167" s="1316"/>
      <c r="T167" s="439" cm="1" t="str">
        <f t="array" ref="T167:T167">T166</f>
        <v>false</v>
      </c>
      <c r="U167" s="1316"/>
      <c r="V167" s="676"/>
      <c r="W167" s="1316"/>
      <c r="X167" s="1482"/>
      <c r="Y167" s="1464"/>
      <c r="Z167" s="676"/>
      <c r="AA167" s="676"/>
      <c r="AB167" s="207" t="s">
        <v>659</v>
      </c>
      <c r="AC167" s="303" t="s">
        <v>591</v>
      </c>
      <c r="AD167" s="59" t="s">
        <v>512</v>
      </c>
      <c r="AE167" s="1886"/>
      <c r="AF167" s="1886"/>
      <c r="AG167" s="1886"/>
      <c r="AH167" s="1886"/>
      <c r="AI167" s="243"/>
      <c r="AJ167" s="1886"/>
      <c r="AK167" s="1886"/>
      <c r="AL167" s="1886"/>
      <c r="AM167" s="1886"/>
      <c r="AN167" s="1886"/>
      <c r="AO167" s="1886"/>
      <c r="AP167" s="1886"/>
      <c r="AQ167" s="1886"/>
      <c r="AR167" s="1886"/>
      <c r="AS167" s="243"/>
      <c r="AT167" s="1886"/>
      <c r="AU167" s="1886"/>
      <c r="AV167" s="1886"/>
      <c r="AW167" s="1886"/>
      <c r="AX167" s="1886"/>
      <c r="AY167" s="1886"/>
      <c r="AZ167" s="1886"/>
      <c r="BA167" s="1886"/>
      <c r="BB167" s="1886"/>
      <c r="BC167" s="1887"/>
      <c r="BD167" s="676"/>
      <c r="BE167" s="676"/>
      <c r="BF167" s="998" t="s">
        <v>660</v>
      </c>
    </row>
    <row s="1621" customFormat="1" customHeight="1" ht="14.25" hidden="1">
      <c r="A168" s="676"/>
      <c r="B168" s="1176"/>
      <c r="C168" s="676"/>
      <c r="D168" s="676"/>
      <c r="E168" s="611">
        <v>15</v>
      </c>
      <c r="F168" s="50" cm="1" t="str">
        <f t="array" ref="F168:F168">OFFSET(E168,-1,1)</f>
        <v>1</v>
      </c>
      <c r="G168" s="676"/>
      <c r="H168" s="64" t="s">
        <v>661</v>
      </c>
      <c r="I168" s="676"/>
      <c r="J168" s="676"/>
      <c r="K168" s="676"/>
      <c r="L168" s="676"/>
      <c r="M168" s="676"/>
      <c r="N168" s="676"/>
      <c r="O168" s="676"/>
      <c r="P168" s="1316"/>
      <c r="Q168" s="1316"/>
      <c r="R168" s="1316"/>
      <c r="S168" s="1316"/>
      <c r="T168" s="439" cm="1" t="str">
        <f t="array" ref="T168:T168">T167</f>
        <v>false</v>
      </c>
      <c r="U168" s="1316"/>
      <c r="V168" s="676"/>
      <c r="W168" s="1316"/>
      <c r="X168" s="1482"/>
      <c r="Y168" s="1464"/>
      <c r="Z168" s="676"/>
      <c r="AA168" s="676"/>
      <c r="AB168" s="207" t="s">
        <v>662</v>
      </c>
      <c r="AC168" s="303" t="s">
        <v>595</v>
      </c>
      <c r="AD168" s="59" t="s">
        <v>512</v>
      </c>
      <c r="AE168" s="1886"/>
      <c r="AF168" s="1886"/>
      <c r="AG168" s="1886"/>
      <c r="AH168" s="1886"/>
      <c r="AI168" s="243"/>
      <c r="AJ168" s="1886"/>
      <c r="AK168" s="1886"/>
      <c r="AL168" s="1886"/>
      <c r="AM168" s="1886"/>
      <c r="AN168" s="1886"/>
      <c r="AO168" s="1886"/>
      <c r="AP168" s="1886"/>
      <c r="AQ168" s="1886"/>
      <c r="AR168" s="1886"/>
      <c r="AS168" s="243"/>
      <c r="AT168" s="1886"/>
      <c r="AU168" s="1886"/>
      <c r="AV168" s="1886"/>
      <c r="AW168" s="1886"/>
      <c r="AX168" s="1886"/>
      <c r="AY168" s="1886"/>
      <c r="AZ168" s="1886"/>
      <c r="BA168" s="1886"/>
      <c r="BB168" s="1886"/>
      <c r="BC168" s="1887"/>
      <c r="BD168" s="676"/>
      <c r="BE168" s="676"/>
      <c r="BF168" s="998" t="s">
        <v>663</v>
      </c>
    </row>
    <row s="1621" customFormat="1" customHeight="1" ht="21.9375" hidden="1">
      <c r="A169" s="676"/>
      <c r="B169" s="1176"/>
      <c r="C169" s="676"/>
      <c r="D169" s="676"/>
      <c r="E169" s="611">
        <v>22.5</v>
      </c>
      <c r="F169" s="50" cm="1" t="str">
        <f t="array" ref="F169:F169">OFFSET(E169,-1,1)</f>
        <v>1</v>
      </c>
      <c r="G169" s="676"/>
      <c r="H169" s="64" t="s">
        <v>541</v>
      </c>
      <c r="I169" s="443"/>
      <c r="J169" s="443"/>
      <c r="K169" s="676"/>
      <c r="L169" s="676"/>
      <c r="M169" s="676"/>
      <c r="N169" s="676"/>
      <c r="O169" s="676"/>
      <c r="P169" s="1316"/>
      <c r="Q169" s="1316"/>
      <c r="R169" s="1316"/>
      <c r="S169" s="1316"/>
      <c r="T169" s="439" cm="1" t="str">
        <f t="array" ref="T169:T169">T168</f>
        <v>false</v>
      </c>
      <c r="U169" s="1316"/>
      <c r="V169" s="676"/>
      <c r="W169" s="1316"/>
      <c r="X169" s="1482"/>
      <c r="Y169" s="1464"/>
      <c r="Z169" s="676"/>
      <c r="AA169" s="676"/>
      <c r="AB169" s="207" t="s">
        <v>496</v>
      </c>
      <c r="AC169" s="304" t="s">
        <v>634</v>
      </c>
      <c r="AD169" s="59" t="s">
        <v>512</v>
      </c>
      <c r="AE169" s="1886"/>
      <c r="AF169" s="1886"/>
      <c r="AG169" s="1886"/>
      <c r="AH169" s="1886"/>
      <c r="AI169" s="243">
        <v>147.98</v>
      </c>
      <c r="AJ169" s="1886"/>
      <c r="AK169" s="1886"/>
      <c r="AL169" s="1886"/>
      <c r="AM169" s="1886"/>
      <c r="AN169" s="1886"/>
      <c r="AO169" s="1886"/>
      <c r="AP169" s="1886"/>
      <c r="AQ169" s="1886"/>
      <c r="AR169" s="1886"/>
      <c r="AS169" s="243">
        <v>163.933</v>
      </c>
      <c r="AT169" s="1886"/>
      <c r="AU169" s="1886"/>
      <c r="AV169" s="1886"/>
      <c r="AW169" s="1886"/>
      <c r="AX169" s="1886"/>
      <c r="AY169" s="1886"/>
      <c r="AZ169" s="1886"/>
      <c r="BA169" s="1886"/>
      <c r="BB169" s="1886"/>
      <c r="BC169" s="1887"/>
      <c r="BD169" s="676"/>
      <c r="BE169" s="676"/>
      <c r="BF169" s="998" t="s">
        <v>664</v>
      </c>
    </row>
    <row s="1621" customFormat="1" customHeight="1" ht="14.25" hidden="1">
      <c r="A170" s="676"/>
      <c r="B170" s="1176"/>
      <c r="C170" s="676"/>
      <c r="D170" s="676"/>
      <c r="E170" s="611">
        <v>15</v>
      </c>
      <c r="F170" s="316" cm="1" t="str">
        <f t="array" ref="F170:F170">OFFSET(E170,-1,1)</f>
        <v>1</v>
      </c>
      <c r="G170" s="676"/>
      <c r="H170" s="676"/>
      <c r="I170" s="676"/>
      <c r="J170" s="676"/>
      <c r="K170" s="676"/>
      <c r="L170" s="676"/>
      <c r="M170" s="676"/>
      <c r="N170" s="676"/>
      <c r="O170" s="676"/>
      <c r="P170" s="1316"/>
      <c r="Q170" s="1316"/>
      <c r="R170" s="1316"/>
      <c r="S170" s="1316"/>
      <c r="T170" s="439" cm="1" t="str">
        <f t="array" ref="T170:T170">T169</f>
        <v>false</v>
      </c>
      <c r="U170" s="1316"/>
      <c r="V170" s="676"/>
      <c r="W170" s="1316"/>
      <c r="X170" s="1482"/>
      <c r="Y170" s="1464"/>
      <c r="Z170" s="676"/>
      <c r="AA170" s="676"/>
      <c r="AB170" s="207" t="s">
        <v>636</v>
      </c>
      <c r="AC170" s="301" t="s">
        <v>637</v>
      </c>
      <c r="AD170" s="59" t="s">
        <v>512</v>
      </c>
      <c r="AE170" s="1886"/>
      <c r="AF170" s="1886"/>
      <c r="AG170" s="1886"/>
      <c r="AH170" s="1886"/>
      <c r="AI170" s="243"/>
      <c r="AJ170" s="1886"/>
      <c r="AK170" s="1886"/>
      <c r="AL170" s="1886"/>
      <c r="AM170" s="1886"/>
      <c r="AN170" s="1886"/>
      <c r="AO170" s="1886"/>
      <c r="AP170" s="1886"/>
      <c r="AQ170" s="1886"/>
      <c r="AR170" s="1886"/>
      <c r="AS170" s="243"/>
      <c r="AT170" s="1886"/>
      <c r="AU170" s="1886"/>
      <c r="AV170" s="1886"/>
      <c r="AW170" s="1886"/>
      <c r="AX170" s="1886"/>
      <c r="AY170" s="1886"/>
      <c r="AZ170" s="1886"/>
      <c r="BA170" s="1886"/>
      <c r="BB170" s="1886"/>
      <c r="BC170" s="1887"/>
      <c r="BD170" s="676"/>
      <c r="BE170" s="676"/>
      <c r="BF170" s="998" t="s">
        <v>665</v>
      </c>
    </row>
    <row s="1621" customFormat="1" customHeight="1" ht="11.25" hidden="1">
      <c r="A171" s="443"/>
      <c r="B171" s="638"/>
      <c r="C171" s="443"/>
      <c r="D171" s="443"/>
      <c r="E171" s="640" t="s">
        <v>366</v>
      </c>
      <c r="F171" s="1202" cm="1" t="str">
        <f t="array" ref="F171:F171">OFFSET(E171,-1,1)</f>
        <v>1</v>
      </c>
      <c r="G171" s="443"/>
      <c r="H171" s="443"/>
      <c r="I171" s="1621"/>
      <c r="J171" s="1621"/>
      <c r="K171" s="64"/>
      <c r="L171" s="443"/>
      <c r="M171" s="443"/>
      <c r="N171" s="443"/>
      <c r="O171" s="443"/>
      <c r="P171" s="443"/>
      <c r="Q171" s="443"/>
      <c r="R171" s="388"/>
      <c r="S171" s="443"/>
      <c r="T171" s="439" t="b">
        <v>0</v>
      </c>
      <c r="U171" s="443"/>
      <c r="V171" s="443"/>
      <c r="W171" s="443"/>
      <c r="X171" s="1482"/>
      <c r="Y171" s="1464"/>
      <c r="Z171" s="443"/>
      <c r="AA171" s="443"/>
      <c r="AB171" s="1621"/>
      <c r="AC171" s="66"/>
      <c r="AD171" s="66"/>
      <c r="AE171" s="311"/>
      <c r="AF171" s="311"/>
      <c r="AG171" s="311"/>
      <c r="AH171" s="311"/>
      <c r="AI171" s="311"/>
      <c r="AJ171" s="312"/>
      <c r="AK171" s="311"/>
      <c r="AL171" s="311"/>
      <c r="AM171" s="311"/>
      <c r="AN171" s="311"/>
      <c r="AO171" s="311"/>
      <c r="AP171" s="311"/>
      <c r="AQ171" s="311"/>
      <c r="AR171" s="311"/>
      <c r="AS171" s="311"/>
      <c r="AT171" s="311"/>
      <c r="AU171" s="311"/>
      <c r="AV171" s="311"/>
      <c r="AW171" s="311"/>
      <c r="AX171" s="311"/>
      <c r="AY171" s="311"/>
      <c r="AZ171" s="311"/>
      <c r="BA171" s="311"/>
      <c r="BB171" s="311"/>
      <c r="BC171" s="1621"/>
      <c r="BD171" s="1621"/>
      <c r="BE171" s="1621"/>
      <c r="BF171" s="1002"/>
    </row>
    <row s="1621" customFormat="1" customHeight="1" ht="14.25" hidden="1">
      <c r="A172" s="676"/>
      <c r="B172" s="1176"/>
      <c r="C172" s="676"/>
      <c r="D172" s="676"/>
      <c r="E172" s="611">
        <v>15</v>
      </c>
      <c r="F172" s="50" cm="1" t="str">
        <f t="array" ref="F172:F172">OFFSET(E172,-1,1)</f>
        <v>1</v>
      </c>
      <c r="G172" s="676"/>
      <c r="H172" s="676"/>
      <c r="I172" s="676"/>
      <c r="J172" s="676"/>
      <c r="K172" s="676"/>
      <c r="L172" s="676"/>
      <c r="M172" s="676"/>
      <c r="N172" s="676"/>
      <c r="O172" s="676"/>
      <c r="P172" s="1316"/>
      <c r="Q172" s="1316"/>
      <c r="R172" s="388" cm="1" t="str">
        <f t="array" ref="R172:R172">INDEX('Общие сведения'!$AN$179:$AN$222,MATCH($X118,'Общие сведения'!$Z$179:$Z$222,0))</f>
        <v>false</v>
      </c>
      <c r="S172" s="456">
        <f>IF(ISERROR(SEARCH("Водоотведение",AB118)),FALSE,TRUE)</f>
        <v>0</v>
      </c>
      <c r="T172" s="439">
        <f>AND(X118&gt;0,S172,NOT(R172))</f>
        <v>0</v>
      </c>
      <c r="U172" s="1316"/>
      <c r="V172" s="676"/>
      <c r="W172" s="1316"/>
      <c r="X172" s="1482"/>
      <c r="Y172" s="1464"/>
      <c r="Z172" s="676"/>
      <c r="AA172" s="676"/>
      <c r="AB172" s="207" t="s">
        <v>272</v>
      </c>
      <c r="AC172" s="103" t="s">
        <v>666</v>
      </c>
      <c r="AD172" s="164"/>
      <c r="AE172" s="548" cm="1" t="str">
        <f t="array" ref="AE172:AE172">INDEX('Общие сведения'!$AH$179:$AH$222,MATCH($X118,'Общие сведения'!$Z$179:$Z$222,0))</f>
        <v>техническая вода</v>
      </c>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c r="AZ172" s="329"/>
      <c r="BA172" s="329"/>
      <c r="BB172" s="330"/>
      <c r="BC172" s="1887"/>
      <c r="BD172" s="676"/>
      <c r="BE172" s="676"/>
      <c r="BF172" s="998" t="s">
        <v>667</v>
      </c>
    </row>
    <row s="1621" customFormat="1" customHeight="1" ht="14.25" hidden="1">
      <c r="A173" s="676"/>
      <c r="B173" s="1176"/>
      <c r="C173" s="676"/>
      <c r="D173" s="676"/>
      <c r="E173" s="611">
        <v>15</v>
      </c>
      <c r="F173" s="50" cm="1" t="str">
        <f t="array" ref="F173:F173">OFFSET(E173,-1,1)</f>
        <v>1</v>
      </c>
      <c r="G173" s="676"/>
      <c r="H173" s="64" t="s">
        <v>329</v>
      </c>
      <c r="I173" s="676"/>
      <c r="J173" s="676"/>
      <c r="K173" s="676"/>
      <c r="L173" s="676"/>
      <c r="M173" s="676"/>
      <c r="N173" s="676"/>
      <c r="O173" s="676"/>
      <c r="P173" s="1316"/>
      <c r="Q173" s="1316"/>
      <c r="R173" s="1316"/>
      <c r="S173" s="1316"/>
      <c r="T173" s="439" cm="1" t="str">
        <f t="array" ref="T173:T173">T172</f>
        <v>false</v>
      </c>
      <c r="U173" s="1316"/>
      <c r="V173" s="676"/>
      <c r="W173" s="1316"/>
      <c r="X173" s="1482"/>
      <c r="Y173" s="1464"/>
      <c r="Z173" s="676"/>
      <c r="AA173" s="676"/>
      <c r="AB173" s="207" t="s">
        <v>283</v>
      </c>
      <c r="AC173" s="103" t="s">
        <v>668</v>
      </c>
      <c r="AD173" s="59" t="s">
        <v>512</v>
      </c>
      <c r="AE173" s="314">
        <f>AE174+AE175+AE188</f>
        <v>0</v>
      </c>
      <c r="AF173" s="314">
        <f>AF174+AF175+AF188</f>
        <v>0</v>
      </c>
      <c r="AG173" s="314">
        <f>AG174+AG175+AG188</f>
        <v>0</v>
      </c>
      <c r="AH173" s="314">
        <f>AH174+AH175+AH188</f>
        <v>0</v>
      </c>
      <c r="AI173" s="314">
        <f>AI174+AI175+AI188</f>
        <v>0</v>
      </c>
      <c r="AJ173" s="314">
        <f>AJ174+AJ175+AJ188</f>
        <v>0</v>
      </c>
      <c r="AK173" s="314">
        <f>AK174+AK175+AK188</f>
        <v>0</v>
      </c>
      <c r="AL173" s="314">
        <f>AL174+AL175+AL188</f>
        <v>0</v>
      </c>
      <c r="AM173" s="314">
        <f>AM174+AM175+AM188</f>
        <v>0</v>
      </c>
      <c r="AN173" s="314">
        <f>AN174+AN175+AN188</f>
        <v>0</v>
      </c>
      <c r="AO173" s="314">
        <f>AO174+AO175+AO188</f>
        <v>0</v>
      </c>
      <c r="AP173" s="314">
        <f>AP174+AP175+AP188</f>
        <v>0</v>
      </c>
      <c r="AQ173" s="314">
        <f>AQ174+AQ175+AQ188</f>
        <v>0</v>
      </c>
      <c r="AR173" s="314">
        <f>AR174+AR175+AR188</f>
        <v>0</v>
      </c>
      <c r="AS173" s="314">
        <f>AS174+AS175+AS188</f>
        <v>0</v>
      </c>
      <c r="AT173" s="314">
        <f>AT174+AT175+AT188</f>
        <v>0</v>
      </c>
      <c r="AU173" s="314">
        <f>AU174+AU175+AU188</f>
        <v>0</v>
      </c>
      <c r="AV173" s="314">
        <f>AV174+AV175+AV188</f>
        <v>0</v>
      </c>
      <c r="AW173" s="314">
        <f>AW174+AW175+AW188</f>
        <v>0</v>
      </c>
      <c r="AX173" s="314">
        <f>AX174+AX175+AX188</f>
        <v>0</v>
      </c>
      <c r="AY173" s="314">
        <f>AY174+AY175+AY188</f>
        <v>0</v>
      </c>
      <c r="AZ173" s="314">
        <f>AZ174+AZ175+AZ188</f>
        <v>0</v>
      </c>
      <c r="BA173" s="314">
        <f>BA174+BA175+BA188</f>
        <v>0</v>
      </c>
      <c r="BB173" s="314">
        <f>BB174+BB175+BB188</f>
        <v>0</v>
      </c>
      <c r="BC173" s="1887"/>
      <c r="BD173" s="676"/>
      <c r="BE173" s="676"/>
      <c r="BF173" s="998" t="s">
        <v>669</v>
      </c>
    </row>
    <row s="1621" customFormat="1" customHeight="1" ht="14.625" hidden="1">
      <c r="A174" s="676"/>
      <c r="B174" s="1176"/>
      <c r="C174" s="676"/>
      <c r="D174" s="676"/>
      <c r="E174" s="611">
        <v>15</v>
      </c>
      <c r="F174" s="50" cm="1" t="str">
        <f t="array" ref="F174:F174">OFFSET(E174,-1,1)</f>
        <v>1</v>
      </c>
      <c r="G174" s="64" t="str">
        <f>IF(OwnNeedsInPO="да","ПО","")</f>
        <v>ПО</v>
      </c>
      <c r="H174" s="64" t="s">
        <v>328</v>
      </c>
      <c r="I174" s="676"/>
      <c r="J174" s="676"/>
      <c r="K174" s="676"/>
      <c r="L174" s="676"/>
      <c r="M174" s="676"/>
      <c r="N174" s="676"/>
      <c r="O174" s="676"/>
      <c r="P174" s="1316"/>
      <c r="Q174" s="1316"/>
      <c r="R174" s="1316"/>
      <c r="S174" s="1316"/>
      <c r="T174" s="439" cm="1" t="str">
        <f t="array" ref="T174:T174">T173</f>
        <v>false</v>
      </c>
      <c r="U174" s="1316"/>
      <c r="V174" s="676"/>
      <c r="W174" s="1316"/>
      <c r="X174" s="1482"/>
      <c r="Y174" s="1464"/>
      <c r="Z174" s="676"/>
      <c r="AA174" s="676"/>
      <c r="AB174" s="207" t="s">
        <v>323</v>
      </c>
      <c r="AC174" s="103" t="s">
        <v>670</v>
      </c>
      <c r="AD174" s="59" t="s">
        <v>512</v>
      </c>
      <c r="AE174" s="1886"/>
      <c r="AF174" s="1886"/>
      <c r="AG174" s="1886"/>
      <c r="AH174" s="1886"/>
      <c r="AI174" s="243">
        <v>0</v>
      </c>
      <c r="AJ174" s="1886"/>
      <c r="AK174" s="1886"/>
      <c r="AL174" s="1886"/>
      <c r="AM174" s="1886"/>
      <c r="AN174" s="1886"/>
      <c r="AO174" s="1886"/>
      <c r="AP174" s="1886"/>
      <c r="AQ174" s="1886"/>
      <c r="AR174" s="1886"/>
      <c r="AS174" s="243">
        <v>0</v>
      </c>
      <c r="AT174" s="1886"/>
      <c r="AU174" s="1886"/>
      <c r="AV174" s="1886"/>
      <c r="AW174" s="1886"/>
      <c r="AX174" s="1886"/>
      <c r="AY174" s="1886"/>
      <c r="AZ174" s="1886"/>
      <c r="BA174" s="1886"/>
      <c r="BB174" s="1886"/>
      <c r="BC174" s="1887"/>
      <c r="BD174" s="676"/>
      <c r="BE174" s="676"/>
      <c r="BF174" s="998" t="s">
        <v>671</v>
      </c>
    </row>
    <row s="1621" customFormat="1" customHeight="1" ht="14.25" hidden="1">
      <c r="A175" s="676"/>
      <c r="B175" s="1176"/>
      <c r="C175" s="676"/>
      <c r="D175" s="676"/>
      <c r="E175" s="611">
        <v>15</v>
      </c>
      <c r="F175" s="50" cm="1" t="str">
        <f t="array" ref="F175:F175">OFFSET(E175,-1,1)</f>
        <v>1</v>
      </c>
      <c r="G175" s="64" t="s">
        <v>584</v>
      </c>
      <c r="H175" s="64" t="s">
        <v>491</v>
      </c>
      <c r="I175" s="676"/>
      <c r="J175" s="676"/>
      <c r="K175" s="676"/>
      <c r="L175" s="676"/>
      <c r="M175" s="676"/>
      <c r="N175" s="676"/>
      <c r="O175" s="676"/>
      <c r="P175" s="1316"/>
      <c r="Q175" s="1316"/>
      <c r="R175" s="1316"/>
      <c r="S175" s="1316"/>
      <c r="T175" s="439" cm="1" t="str">
        <f t="array" ref="T175:T175">T174</f>
        <v>false</v>
      </c>
      <c r="U175" s="1316"/>
      <c r="V175" s="676"/>
      <c r="W175" s="1316"/>
      <c r="X175" s="1482"/>
      <c r="Y175" s="1464"/>
      <c r="Z175" s="676"/>
      <c r="AA175" s="676"/>
      <c r="AB175" s="207" t="s">
        <v>536</v>
      </c>
      <c r="AC175" s="104" t="s">
        <v>672</v>
      </c>
      <c r="AD175" s="59" t="s">
        <v>512</v>
      </c>
      <c r="AE175" s="313">
        <f>AE176+AE179+AE182+AE185</f>
        <v>0</v>
      </c>
      <c r="AF175" s="313">
        <f>AF176+AF179+AF182+AF185</f>
        <v>0</v>
      </c>
      <c r="AG175" s="313">
        <f>AG176+AG179+AG182+AG185</f>
        <v>0</v>
      </c>
      <c r="AH175" s="313">
        <f>AH176+AH179+AH182+AH185</f>
        <v>0</v>
      </c>
      <c r="AI175" s="313">
        <f>AI176+AI179+AI182+AI185</f>
        <v>0</v>
      </c>
      <c r="AJ175" s="313">
        <f>AJ176+AJ179+AJ182+AJ185</f>
        <v>0</v>
      </c>
      <c r="AK175" s="313">
        <f>AK176+AK179+AK182+AK185</f>
        <v>0</v>
      </c>
      <c r="AL175" s="313">
        <f>AL176+AL179+AL182+AL185</f>
        <v>0</v>
      </c>
      <c r="AM175" s="313">
        <f>AM176+AM179+AM182+AM185</f>
        <v>0</v>
      </c>
      <c r="AN175" s="313">
        <f>AN176+AN179+AN182+AN185</f>
        <v>0</v>
      </c>
      <c r="AO175" s="313">
        <f>AO176+AO179+AO182+AO185</f>
        <v>0</v>
      </c>
      <c r="AP175" s="313">
        <f>AP176+AP179+AP182+AP185</f>
        <v>0</v>
      </c>
      <c r="AQ175" s="313">
        <f>AQ176+AQ179+AQ182+AQ185</f>
        <v>0</v>
      </c>
      <c r="AR175" s="313">
        <f>AR176+AR179+AR182+AR185</f>
        <v>0</v>
      </c>
      <c r="AS175" s="313">
        <f>AS176+AS179+AS182+AS185</f>
        <v>0</v>
      </c>
      <c r="AT175" s="313">
        <f>AT176+AT179+AT182+AT185</f>
        <v>0</v>
      </c>
      <c r="AU175" s="313">
        <f>AU176+AU179+AU182+AU185</f>
        <v>0</v>
      </c>
      <c r="AV175" s="313">
        <f>AV176+AV179+AV182+AV185</f>
        <v>0</v>
      </c>
      <c r="AW175" s="313">
        <f>AW176+AW179+AW182+AW185</f>
        <v>0</v>
      </c>
      <c r="AX175" s="313">
        <f>AX176+AX179+AX182+AX185</f>
        <v>0</v>
      </c>
      <c r="AY175" s="313">
        <f>AY176+AY179+AY182+AY185</f>
        <v>0</v>
      </c>
      <c r="AZ175" s="313">
        <f>AZ176+AZ179+AZ182+AZ185</f>
        <v>0</v>
      </c>
      <c r="BA175" s="313">
        <f>BA176+BA179+BA182+BA185</f>
        <v>0</v>
      </c>
      <c r="BB175" s="313">
        <f>BB176+BB179+BB182+BB185</f>
        <v>0</v>
      </c>
      <c r="BC175" s="1887"/>
      <c r="BD175" s="676"/>
      <c r="BE175" s="676"/>
      <c r="BF175" s="998" t="s">
        <v>673</v>
      </c>
    </row>
    <row s="1621" customFormat="1" customHeight="1" ht="14.25" hidden="1">
      <c r="A176" s="676"/>
      <c r="B176" s="1176"/>
      <c r="C176" s="676"/>
      <c r="D176" s="676"/>
      <c r="E176" s="611">
        <v>15</v>
      </c>
      <c r="F176" s="50" cm="1" t="str">
        <f t="array" ref="F176:F176">OFFSET(E176,-1,1)</f>
        <v>1</v>
      </c>
      <c r="G176" s="676"/>
      <c r="H176" s="64" t="s">
        <v>651</v>
      </c>
      <c r="I176" s="676"/>
      <c r="J176" s="676"/>
      <c r="K176" s="676"/>
      <c r="L176" s="676"/>
      <c r="M176" s="676"/>
      <c r="N176" s="676"/>
      <c r="O176" s="676"/>
      <c r="P176" s="1316"/>
      <c r="Q176" s="1316"/>
      <c r="R176" s="1316"/>
      <c r="S176" s="1316"/>
      <c r="T176" s="439" cm="1" t="str">
        <f t="array" ref="T176:T176">T175</f>
        <v>false</v>
      </c>
      <c r="U176" s="1316"/>
      <c r="V176" s="676"/>
      <c r="W176" s="1316"/>
      <c r="X176" s="1482"/>
      <c r="Y176" s="1464"/>
      <c r="Z176" s="676"/>
      <c r="AA176" s="676"/>
      <c r="AB176" s="207" t="s">
        <v>652</v>
      </c>
      <c r="AC176" s="159" t="s">
        <v>603</v>
      </c>
      <c r="AD176" s="59" t="s">
        <v>512</v>
      </c>
      <c r="AE176" s="313">
        <f>AE177+AE178</f>
        <v>0</v>
      </c>
      <c r="AF176" s="313">
        <f>AF177+AF178</f>
        <v>0</v>
      </c>
      <c r="AG176" s="313">
        <f>AG177+AG178</f>
        <v>0</v>
      </c>
      <c r="AH176" s="313">
        <f>AH177+AH178</f>
        <v>0</v>
      </c>
      <c r="AI176" s="313">
        <f>AI177+AI178</f>
        <v>0</v>
      </c>
      <c r="AJ176" s="313">
        <f>AJ177+AJ178</f>
        <v>0</v>
      </c>
      <c r="AK176" s="313">
        <f>AK177+AK178</f>
        <v>0</v>
      </c>
      <c r="AL176" s="313">
        <f>AL177+AL178</f>
        <v>0</v>
      </c>
      <c r="AM176" s="313">
        <f>AM177+AM178</f>
        <v>0</v>
      </c>
      <c r="AN176" s="313">
        <f>AN177+AN178</f>
        <v>0</v>
      </c>
      <c r="AO176" s="313">
        <f>AO177+AO178</f>
        <v>0</v>
      </c>
      <c r="AP176" s="313">
        <f>AP177+AP178</f>
        <v>0</v>
      </c>
      <c r="AQ176" s="313">
        <f>AQ177+AQ178</f>
        <v>0</v>
      </c>
      <c r="AR176" s="313">
        <f>AR177+AR178</f>
        <v>0</v>
      </c>
      <c r="AS176" s="313">
        <f>AS177+AS178</f>
        <v>0</v>
      </c>
      <c r="AT176" s="313">
        <f>AT177+AT178</f>
        <v>0</v>
      </c>
      <c r="AU176" s="313">
        <f>AU177+AU178</f>
        <v>0</v>
      </c>
      <c r="AV176" s="313">
        <f>AV177+AV178</f>
        <v>0</v>
      </c>
      <c r="AW176" s="313">
        <f>AW177+AW178</f>
        <v>0</v>
      </c>
      <c r="AX176" s="313">
        <f>AX177+AX178</f>
        <v>0</v>
      </c>
      <c r="AY176" s="313">
        <f>AY177+AY178</f>
        <v>0</v>
      </c>
      <c r="AZ176" s="313">
        <f>AZ177+AZ178</f>
        <v>0</v>
      </c>
      <c r="BA176" s="313">
        <f>BA177+BA178</f>
        <v>0</v>
      </c>
      <c r="BB176" s="313">
        <f>BB177+BB178</f>
        <v>0</v>
      </c>
      <c r="BC176" s="1887"/>
      <c r="BD176" s="676"/>
      <c r="BE176" s="676"/>
      <c r="BF176" s="998" t="s">
        <v>674</v>
      </c>
    </row>
    <row s="1621" customFormat="1" customHeight="1" ht="14.25" hidden="1">
      <c r="A177" s="676"/>
      <c r="B177" s="1176"/>
      <c r="C177" s="676"/>
      <c r="D177" s="676"/>
      <c r="E177" s="611">
        <v>15</v>
      </c>
      <c r="F177" s="50" cm="1" t="str">
        <f t="array" ref="F177:F177">OFFSET(E177,-1,1)</f>
        <v>1</v>
      </c>
      <c r="G177" s="676"/>
      <c r="H177" s="64" t="s">
        <v>675</v>
      </c>
      <c r="I177" s="676"/>
      <c r="J177" s="676"/>
      <c r="K177" s="676"/>
      <c r="L177" s="676"/>
      <c r="M177" s="676"/>
      <c r="N177" s="676"/>
      <c r="O177" s="676"/>
      <c r="P177" s="1316"/>
      <c r="Q177" s="1316"/>
      <c r="R177" s="1316"/>
      <c r="S177" s="1316"/>
      <c r="T177" s="439" cm="1" t="str">
        <f t="array" ref="T177:T177">T176</f>
        <v>false</v>
      </c>
      <c r="U177" s="1316"/>
      <c r="V177" s="676"/>
      <c r="W177" s="1316"/>
      <c r="X177" s="1482"/>
      <c r="Y177" s="1464"/>
      <c r="Z177" s="676"/>
      <c r="AA177" s="676"/>
      <c r="AB177" s="207" t="s">
        <v>676</v>
      </c>
      <c r="AC177" s="305" t="s">
        <v>591</v>
      </c>
      <c r="AD177" s="59" t="s">
        <v>512</v>
      </c>
      <c r="AE177" s="1886"/>
      <c r="AF177" s="1886"/>
      <c r="AG177" s="1886"/>
      <c r="AH177" s="1886"/>
      <c r="AI177" s="243"/>
      <c r="AJ177" s="1886"/>
      <c r="AK177" s="1886"/>
      <c r="AL177" s="1886"/>
      <c r="AM177" s="1886"/>
      <c r="AN177" s="1886"/>
      <c r="AO177" s="1886"/>
      <c r="AP177" s="1886"/>
      <c r="AQ177" s="1886"/>
      <c r="AR177" s="1886"/>
      <c r="AS177" s="243"/>
      <c r="AT177" s="1886"/>
      <c r="AU177" s="1886"/>
      <c r="AV177" s="1886"/>
      <c r="AW177" s="1886"/>
      <c r="AX177" s="1886"/>
      <c r="AY177" s="1886"/>
      <c r="AZ177" s="1886"/>
      <c r="BA177" s="1886"/>
      <c r="BB177" s="1886"/>
      <c r="BC177" s="1887"/>
      <c r="BD177" s="676"/>
      <c r="BE177" s="676"/>
      <c r="BF177" s="998" t="s">
        <v>677</v>
      </c>
    </row>
    <row s="1621" customFormat="1" customHeight="1" ht="14.25" hidden="1">
      <c r="A178" s="676"/>
      <c r="B178" s="1176"/>
      <c r="C178" s="676"/>
      <c r="D178" s="676"/>
      <c r="E178" s="611">
        <v>15</v>
      </c>
      <c r="F178" s="50" cm="1" t="str">
        <f t="array" ref="F178:F178">OFFSET(E178,-1,1)</f>
        <v>1</v>
      </c>
      <c r="G178" s="676"/>
      <c r="H178" s="64" t="s">
        <v>678</v>
      </c>
      <c r="I178" s="676"/>
      <c r="J178" s="676"/>
      <c r="K178" s="676"/>
      <c r="L178" s="676"/>
      <c r="M178" s="676"/>
      <c r="N178" s="676"/>
      <c r="O178" s="676"/>
      <c r="P178" s="1316"/>
      <c r="Q178" s="1316"/>
      <c r="R178" s="1316"/>
      <c r="S178" s="1316"/>
      <c r="T178" s="439" cm="1" t="str">
        <f t="array" ref="T178:T178">T177</f>
        <v>false</v>
      </c>
      <c r="U178" s="1316"/>
      <c r="V178" s="676"/>
      <c r="W178" s="1316"/>
      <c r="X178" s="1482"/>
      <c r="Y178" s="1464"/>
      <c r="Z178" s="676"/>
      <c r="AA178" s="676"/>
      <c r="AB178" s="207" t="s">
        <v>679</v>
      </c>
      <c r="AC178" s="305" t="s">
        <v>595</v>
      </c>
      <c r="AD178" s="59" t="s">
        <v>512</v>
      </c>
      <c r="AE178" s="1886"/>
      <c r="AF178" s="1886"/>
      <c r="AG178" s="1886"/>
      <c r="AH178" s="1886"/>
      <c r="AI178" s="243"/>
      <c r="AJ178" s="1886"/>
      <c r="AK178" s="1886"/>
      <c r="AL178" s="1886"/>
      <c r="AM178" s="1886"/>
      <c r="AN178" s="1886"/>
      <c r="AO178" s="1886"/>
      <c r="AP178" s="1886"/>
      <c r="AQ178" s="1886"/>
      <c r="AR178" s="1886"/>
      <c r="AS178" s="243"/>
      <c r="AT178" s="1886"/>
      <c r="AU178" s="1886"/>
      <c r="AV178" s="1886"/>
      <c r="AW178" s="1886"/>
      <c r="AX178" s="1886"/>
      <c r="AY178" s="1886"/>
      <c r="AZ178" s="1886"/>
      <c r="BA178" s="1886"/>
      <c r="BB178" s="1886"/>
      <c r="BC178" s="1887"/>
      <c r="BD178" s="676"/>
      <c r="BE178" s="676"/>
      <c r="BF178" s="998" t="s">
        <v>680</v>
      </c>
    </row>
    <row s="1621" customFormat="1" customHeight="1" ht="14.25" hidden="1">
      <c r="A179" s="676"/>
      <c r="B179" s="1176"/>
      <c r="C179" s="676"/>
      <c r="D179" s="676"/>
      <c r="E179" s="611">
        <v>15</v>
      </c>
      <c r="F179" s="50" cm="1" t="str">
        <f t="array" ref="F179:F179">OFFSET(E179,-1,1)</f>
        <v>1</v>
      </c>
      <c r="G179" s="64" t="s">
        <v>611</v>
      </c>
      <c r="H179" s="64" t="s">
        <v>654</v>
      </c>
      <c r="I179" s="676"/>
      <c r="J179" s="676"/>
      <c r="K179" s="676"/>
      <c r="L179" s="676"/>
      <c r="M179" s="676"/>
      <c r="N179" s="676"/>
      <c r="O179" s="676"/>
      <c r="P179" s="1316"/>
      <c r="Q179" s="1316"/>
      <c r="R179" s="1316"/>
      <c r="S179" s="1316"/>
      <c r="T179" s="439" cm="1" t="str">
        <f t="array" ref="T179:T179">T178</f>
        <v>false</v>
      </c>
      <c r="U179" s="1316"/>
      <c r="V179" s="676"/>
      <c r="W179" s="1316"/>
      <c r="X179" s="1482"/>
      <c r="Y179" s="1464"/>
      <c r="Z179" s="676"/>
      <c r="AA179" s="676"/>
      <c r="AB179" s="207" t="s">
        <v>655</v>
      </c>
      <c r="AC179" s="159" t="s">
        <v>614</v>
      </c>
      <c r="AD179" s="59" t="s">
        <v>512</v>
      </c>
      <c r="AE179" s="313">
        <f>AE180+AE181</f>
        <v>0</v>
      </c>
      <c r="AF179" s="313">
        <f>AF180+AF181</f>
        <v>0</v>
      </c>
      <c r="AG179" s="313">
        <f>AG180+AG181</f>
        <v>0</v>
      </c>
      <c r="AH179" s="313">
        <f>AH180+AH181</f>
        <v>0</v>
      </c>
      <c r="AI179" s="313">
        <f>AI180+AI181</f>
        <v>0</v>
      </c>
      <c r="AJ179" s="313">
        <f>AJ180+AJ181</f>
        <v>0</v>
      </c>
      <c r="AK179" s="313">
        <f>AK180+AK181</f>
        <v>0</v>
      </c>
      <c r="AL179" s="313">
        <f>AL180+AL181</f>
        <v>0</v>
      </c>
      <c r="AM179" s="313">
        <f>AM180+AM181</f>
        <v>0</v>
      </c>
      <c r="AN179" s="313">
        <f>AN180+AN181</f>
        <v>0</v>
      </c>
      <c r="AO179" s="313">
        <f>AO180+AO181</f>
        <v>0</v>
      </c>
      <c r="AP179" s="313">
        <f>AP180+AP181</f>
        <v>0</v>
      </c>
      <c r="AQ179" s="313">
        <f>AQ180+AQ181</f>
        <v>0</v>
      </c>
      <c r="AR179" s="313">
        <f>AR180+AR181</f>
        <v>0</v>
      </c>
      <c r="AS179" s="313">
        <f>AS180+AS181</f>
        <v>0</v>
      </c>
      <c r="AT179" s="313">
        <f>AT180+AT181</f>
        <v>0</v>
      </c>
      <c r="AU179" s="313">
        <f>AU180+AU181</f>
        <v>0</v>
      </c>
      <c r="AV179" s="313">
        <f>AV180+AV181</f>
        <v>0</v>
      </c>
      <c r="AW179" s="313">
        <f>AW180+AW181</f>
        <v>0</v>
      </c>
      <c r="AX179" s="313">
        <f>AX180+AX181</f>
        <v>0</v>
      </c>
      <c r="AY179" s="313">
        <f>AY180+AY181</f>
        <v>0</v>
      </c>
      <c r="AZ179" s="313">
        <f>AZ180+AZ181</f>
        <v>0</v>
      </c>
      <c r="BA179" s="313">
        <f>BA180+BA181</f>
        <v>0</v>
      </c>
      <c r="BB179" s="313">
        <f>BB180+BB181</f>
        <v>0</v>
      </c>
      <c r="BC179" s="1887"/>
      <c r="BD179" s="676"/>
      <c r="BE179" s="676"/>
      <c r="BF179" s="998" t="s">
        <v>681</v>
      </c>
    </row>
    <row s="1621" customFormat="1" customHeight="1" ht="14.25" hidden="1">
      <c r="A180" s="676"/>
      <c r="B180" s="1176"/>
      <c r="C180" s="676"/>
      <c r="D180" s="676"/>
      <c r="E180" s="611">
        <v>15</v>
      </c>
      <c r="F180" s="50" cm="1" t="str">
        <f t="array" ref="F180:F180">OFFSET(E180,-1,1)</f>
        <v>1</v>
      </c>
      <c r="G180" s="676"/>
      <c r="H180" s="64" t="s">
        <v>682</v>
      </c>
      <c r="I180" s="676"/>
      <c r="J180" s="676"/>
      <c r="K180" s="676"/>
      <c r="L180" s="676"/>
      <c r="M180" s="676"/>
      <c r="N180" s="676"/>
      <c r="O180" s="676"/>
      <c r="P180" s="1316"/>
      <c r="Q180" s="1316"/>
      <c r="R180" s="1316"/>
      <c r="S180" s="1316"/>
      <c r="T180" s="439" cm="1" t="str">
        <f t="array" ref="T180:T180">T179</f>
        <v>false</v>
      </c>
      <c r="U180" s="1316"/>
      <c r="V180" s="676"/>
      <c r="W180" s="1316"/>
      <c r="X180" s="1482"/>
      <c r="Y180" s="1464"/>
      <c r="Z180" s="676"/>
      <c r="AA180" s="676"/>
      <c r="AB180" s="207" t="s">
        <v>683</v>
      </c>
      <c r="AC180" s="305" t="s">
        <v>591</v>
      </c>
      <c r="AD180" s="59" t="s">
        <v>512</v>
      </c>
      <c r="AE180" s="1886"/>
      <c r="AF180" s="1886"/>
      <c r="AG180" s="1886"/>
      <c r="AH180" s="1886"/>
      <c r="AI180" s="243"/>
      <c r="AJ180" s="1886"/>
      <c r="AK180" s="1886"/>
      <c r="AL180" s="1886"/>
      <c r="AM180" s="1886"/>
      <c r="AN180" s="1886"/>
      <c r="AO180" s="1886"/>
      <c r="AP180" s="1886"/>
      <c r="AQ180" s="1886"/>
      <c r="AR180" s="1886"/>
      <c r="AS180" s="243"/>
      <c r="AT180" s="1886"/>
      <c r="AU180" s="1886"/>
      <c r="AV180" s="1886"/>
      <c r="AW180" s="1886"/>
      <c r="AX180" s="1886"/>
      <c r="AY180" s="1886"/>
      <c r="AZ180" s="1886"/>
      <c r="BA180" s="1886"/>
      <c r="BB180" s="1886"/>
      <c r="BC180" s="1887"/>
      <c r="BD180" s="676"/>
      <c r="BE180" s="676"/>
      <c r="BF180" s="998" t="s">
        <v>684</v>
      </c>
    </row>
    <row s="1621" customFormat="1" customHeight="1" ht="14.25" hidden="1">
      <c r="A181" s="676"/>
      <c r="B181" s="1176"/>
      <c r="C181" s="676"/>
      <c r="D181" s="676"/>
      <c r="E181" s="611">
        <v>15</v>
      </c>
      <c r="F181" s="50" cm="1" t="str">
        <f t="array" ref="F181:F181">OFFSET(E181,-1,1)</f>
        <v>1</v>
      </c>
      <c r="G181" s="676"/>
      <c r="H181" s="64" t="s">
        <v>685</v>
      </c>
      <c r="I181" s="676"/>
      <c r="J181" s="676"/>
      <c r="K181" s="676"/>
      <c r="L181" s="676"/>
      <c r="M181" s="676"/>
      <c r="N181" s="676"/>
      <c r="O181" s="676"/>
      <c r="P181" s="1316"/>
      <c r="Q181" s="1316"/>
      <c r="R181" s="1316"/>
      <c r="S181" s="1316"/>
      <c r="T181" s="439" cm="1" t="str">
        <f t="array" ref="T181:T181">T180</f>
        <v>false</v>
      </c>
      <c r="U181" s="1316"/>
      <c r="V181" s="676"/>
      <c r="W181" s="1316"/>
      <c r="X181" s="1482"/>
      <c r="Y181" s="1464"/>
      <c r="Z181" s="676"/>
      <c r="AA181" s="676"/>
      <c r="AB181" s="207" t="s">
        <v>686</v>
      </c>
      <c r="AC181" s="305" t="s">
        <v>595</v>
      </c>
      <c r="AD181" s="59" t="s">
        <v>512</v>
      </c>
      <c r="AE181" s="1886"/>
      <c r="AF181" s="1886"/>
      <c r="AG181" s="1886"/>
      <c r="AH181" s="1886"/>
      <c r="AI181" s="243"/>
      <c r="AJ181" s="1886"/>
      <c r="AK181" s="1886"/>
      <c r="AL181" s="1886"/>
      <c r="AM181" s="1886"/>
      <c r="AN181" s="1886"/>
      <c r="AO181" s="1886"/>
      <c r="AP181" s="1886"/>
      <c r="AQ181" s="1886"/>
      <c r="AR181" s="1886"/>
      <c r="AS181" s="243"/>
      <c r="AT181" s="1886"/>
      <c r="AU181" s="1886"/>
      <c r="AV181" s="1886"/>
      <c r="AW181" s="1886"/>
      <c r="AX181" s="1886"/>
      <c r="AY181" s="1886"/>
      <c r="AZ181" s="1886"/>
      <c r="BA181" s="1886"/>
      <c r="BB181" s="1886"/>
      <c r="BC181" s="1887"/>
      <c r="BD181" s="676"/>
      <c r="BE181" s="676"/>
      <c r="BF181" s="998" t="s">
        <v>687</v>
      </c>
    </row>
    <row s="1621" customFormat="1" customHeight="1" ht="14.25" hidden="1">
      <c r="A182" s="676"/>
      <c r="B182" s="1176"/>
      <c r="C182" s="676"/>
      <c r="D182" s="676"/>
      <c r="E182" s="611">
        <v>15</v>
      </c>
      <c r="F182" s="50" cm="1" t="str">
        <f t="array" ref="F182:F182">OFFSET(E182,-1,1)</f>
        <v>1</v>
      </c>
      <c r="G182" s="676"/>
      <c r="H182" s="64" t="s">
        <v>688</v>
      </c>
      <c r="I182" s="676"/>
      <c r="J182" s="676"/>
      <c r="K182" s="676"/>
      <c r="L182" s="676"/>
      <c r="M182" s="676"/>
      <c r="N182" s="676"/>
      <c r="O182" s="676"/>
      <c r="P182" s="1316"/>
      <c r="Q182" s="1316"/>
      <c r="R182" s="1316"/>
      <c r="S182" s="1316"/>
      <c r="T182" s="439" cm="1" t="str">
        <f t="array" ref="T182:T182">T181</f>
        <v>false</v>
      </c>
      <c r="U182" s="1316"/>
      <c r="V182" s="676"/>
      <c r="W182" s="1316"/>
      <c r="X182" s="1482"/>
      <c r="Y182" s="1464"/>
      <c r="Z182" s="676"/>
      <c r="AA182" s="676"/>
      <c r="AB182" s="207" t="s">
        <v>689</v>
      </c>
      <c r="AC182" s="159" t="s">
        <v>624</v>
      </c>
      <c r="AD182" s="59" t="s">
        <v>512</v>
      </c>
      <c r="AE182" s="313">
        <f>AE183+AE184</f>
        <v>0</v>
      </c>
      <c r="AF182" s="313">
        <f>AF183+AF184</f>
        <v>0</v>
      </c>
      <c r="AG182" s="313">
        <f>AG183+AG184</f>
        <v>0</v>
      </c>
      <c r="AH182" s="313">
        <f>AH183+AH184</f>
        <v>0</v>
      </c>
      <c r="AI182" s="313">
        <f>AI183+AI184</f>
        <v>0</v>
      </c>
      <c r="AJ182" s="313">
        <f>AJ183+AJ184</f>
        <v>0</v>
      </c>
      <c r="AK182" s="313">
        <f>AK183+AK184</f>
        <v>0</v>
      </c>
      <c r="AL182" s="313">
        <f>AL183+AL184</f>
        <v>0</v>
      </c>
      <c r="AM182" s="313">
        <f>AM183+AM184</f>
        <v>0</v>
      </c>
      <c r="AN182" s="313">
        <f>AN183+AN184</f>
        <v>0</v>
      </c>
      <c r="AO182" s="313">
        <f>AO183+AO184</f>
        <v>0</v>
      </c>
      <c r="AP182" s="313">
        <f>AP183+AP184</f>
        <v>0</v>
      </c>
      <c r="AQ182" s="313">
        <f>AQ183+AQ184</f>
        <v>0</v>
      </c>
      <c r="AR182" s="313">
        <f>AR183+AR184</f>
        <v>0</v>
      </c>
      <c r="AS182" s="313">
        <f>AS183+AS184</f>
        <v>0</v>
      </c>
      <c r="AT182" s="313">
        <f>AT183+AT184</f>
        <v>0</v>
      </c>
      <c r="AU182" s="313">
        <f>AU183+AU184</f>
        <v>0</v>
      </c>
      <c r="AV182" s="313">
        <f>AV183+AV184</f>
        <v>0</v>
      </c>
      <c r="AW182" s="313">
        <f>AW183+AW184</f>
        <v>0</v>
      </c>
      <c r="AX182" s="313">
        <f>AX183+AX184</f>
        <v>0</v>
      </c>
      <c r="AY182" s="313">
        <f>AY183+AY184</f>
        <v>0</v>
      </c>
      <c r="AZ182" s="313">
        <f>AZ183+AZ184</f>
        <v>0</v>
      </c>
      <c r="BA182" s="313">
        <f>BA183+BA184</f>
        <v>0</v>
      </c>
      <c r="BB182" s="313">
        <f>BB183+BB184</f>
        <v>0</v>
      </c>
      <c r="BC182" s="1887"/>
      <c r="BD182" s="676"/>
      <c r="BE182" s="676"/>
      <c r="BF182" s="998" t="s">
        <v>690</v>
      </c>
    </row>
    <row s="1621" customFormat="1" customHeight="1" ht="14.25" hidden="1">
      <c r="A183" s="676"/>
      <c r="B183" s="1176"/>
      <c r="C183" s="676"/>
      <c r="D183" s="676"/>
      <c r="E183" s="611">
        <v>15</v>
      </c>
      <c r="F183" s="50" cm="1" t="str">
        <f t="array" ref="F183:F183">OFFSET(E183,-1,1)</f>
        <v>1</v>
      </c>
      <c r="G183" s="676"/>
      <c r="H183" s="64" t="s">
        <v>691</v>
      </c>
      <c r="I183" s="676"/>
      <c r="J183" s="676"/>
      <c r="K183" s="676"/>
      <c r="L183" s="676"/>
      <c r="M183" s="676"/>
      <c r="N183" s="676"/>
      <c r="O183" s="676"/>
      <c r="P183" s="1316"/>
      <c r="Q183" s="1316"/>
      <c r="R183" s="1316"/>
      <c r="S183" s="1316"/>
      <c r="T183" s="439" cm="1" t="str">
        <f t="array" ref="T183:T183">T182</f>
        <v>false</v>
      </c>
      <c r="U183" s="1316"/>
      <c r="V183" s="676"/>
      <c r="W183" s="1316"/>
      <c r="X183" s="1482"/>
      <c r="Y183" s="1464"/>
      <c r="Z183" s="676"/>
      <c r="AA183" s="676"/>
      <c r="AB183" s="207" t="s">
        <v>692</v>
      </c>
      <c r="AC183" s="305" t="s">
        <v>591</v>
      </c>
      <c r="AD183" s="59" t="s">
        <v>512</v>
      </c>
      <c r="AE183" s="1886"/>
      <c r="AF183" s="1886"/>
      <c r="AG183" s="1886"/>
      <c r="AH183" s="1886"/>
      <c r="AI183" s="243"/>
      <c r="AJ183" s="1886"/>
      <c r="AK183" s="1886"/>
      <c r="AL183" s="1886"/>
      <c r="AM183" s="1886"/>
      <c r="AN183" s="1886"/>
      <c r="AO183" s="1886"/>
      <c r="AP183" s="1886"/>
      <c r="AQ183" s="1886"/>
      <c r="AR183" s="1886"/>
      <c r="AS183" s="243"/>
      <c r="AT183" s="1886"/>
      <c r="AU183" s="1886"/>
      <c r="AV183" s="1886"/>
      <c r="AW183" s="1886"/>
      <c r="AX183" s="1886"/>
      <c r="AY183" s="1886"/>
      <c r="AZ183" s="1886"/>
      <c r="BA183" s="1886"/>
      <c r="BB183" s="1886"/>
      <c r="BC183" s="1887"/>
      <c r="BD183" s="676"/>
      <c r="BE183" s="676"/>
      <c r="BF183" s="998" t="s">
        <v>693</v>
      </c>
    </row>
    <row s="1621" customFormat="1" customHeight="1" ht="14.25" hidden="1">
      <c r="A184" s="676"/>
      <c r="B184" s="1176"/>
      <c r="C184" s="676"/>
      <c r="D184" s="676"/>
      <c r="E184" s="611">
        <v>15</v>
      </c>
      <c r="F184" s="50" cm="1" t="str">
        <f t="array" ref="F184:F184">OFFSET(E184,-1,1)</f>
        <v>1</v>
      </c>
      <c r="G184" s="676"/>
      <c r="H184" s="64" t="s">
        <v>694</v>
      </c>
      <c r="I184" s="676"/>
      <c r="J184" s="676"/>
      <c r="K184" s="676"/>
      <c r="L184" s="676"/>
      <c r="M184" s="676"/>
      <c r="N184" s="676"/>
      <c r="O184" s="676"/>
      <c r="P184" s="1316"/>
      <c r="Q184" s="1316"/>
      <c r="R184" s="1316"/>
      <c r="S184" s="1316"/>
      <c r="T184" s="439" cm="1" t="str">
        <f t="array" ref="T184:T184">T183</f>
        <v>false</v>
      </c>
      <c r="U184" s="1316"/>
      <c r="V184" s="676"/>
      <c r="W184" s="1316"/>
      <c r="X184" s="1482"/>
      <c r="Y184" s="1464"/>
      <c r="Z184" s="676"/>
      <c r="AA184" s="676"/>
      <c r="AB184" s="207" t="s">
        <v>695</v>
      </c>
      <c r="AC184" s="305" t="s">
        <v>595</v>
      </c>
      <c r="AD184" s="59" t="s">
        <v>512</v>
      </c>
      <c r="AE184" s="1886"/>
      <c r="AF184" s="1886"/>
      <c r="AG184" s="1886"/>
      <c r="AH184" s="1886"/>
      <c r="AI184" s="243"/>
      <c r="AJ184" s="1886"/>
      <c r="AK184" s="1886"/>
      <c r="AL184" s="1886"/>
      <c r="AM184" s="1886"/>
      <c r="AN184" s="1886"/>
      <c r="AO184" s="1886"/>
      <c r="AP184" s="1886"/>
      <c r="AQ184" s="1886"/>
      <c r="AR184" s="1886"/>
      <c r="AS184" s="243"/>
      <c r="AT184" s="1886"/>
      <c r="AU184" s="1886"/>
      <c r="AV184" s="1886"/>
      <c r="AW184" s="1886"/>
      <c r="AX184" s="1886"/>
      <c r="AY184" s="1886"/>
      <c r="AZ184" s="1886"/>
      <c r="BA184" s="1886"/>
      <c r="BB184" s="1886"/>
      <c r="BC184" s="1887"/>
      <c r="BD184" s="676"/>
      <c r="BE184" s="676"/>
      <c r="BF184" s="998" t="s">
        <v>696</v>
      </c>
    </row>
    <row s="1621" customFormat="1" customHeight="1" ht="14.25" hidden="1">
      <c r="A185" s="676"/>
      <c r="B185" s="1176"/>
      <c r="C185" s="676"/>
      <c r="D185" s="676"/>
      <c r="E185" s="611">
        <v>15</v>
      </c>
      <c r="F185" s="50" cm="1" t="str">
        <f t="array" ref="F185:F185">OFFSET(E185,-1,1)</f>
        <v>1</v>
      </c>
      <c r="G185" s="676"/>
      <c r="H185" s="64" t="s">
        <v>697</v>
      </c>
      <c r="I185" s="676"/>
      <c r="J185" s="676"/>
      <c r="K185" s="676"/>
      <c r="L185" s="676"/>
      <c r="M185" s="676"/>
      <c r="N185" s="676"/>
      <c r="O185" s="676"/>
      <c r="P185" s="1316"/>
      <c r="Q185" s="1316"/>
      <c r="R185" s="1316"/>
      <c r="S185" s="1316"/>
      <c r="T185" s="439" cm="1" t="str">
        <f t="array" ref="T185:T185">T184</f>
        <v>false</v>
      </c>
      <c r="U185" s="1316"/>
      <c r="V185" s="676"/>
      <c r="W185" s="1316"/>
      <c r="X185" s="1482"/>
      <c r="Y185" s="1464"/>
      <c r="Z185" s="676"/>
      <c r="AA185" s="676"/>
      <c r="AB185" s="207" t="s">
        <v>698</v>
      </c>
      <c r="AC185" s="159" t="s">
        <v>699</v>
      </c>
      <c r="AD185" s="59" t="s">
        <v>512</v>
      </c>
      <c r="AE185" s="313">
        <f>AE186+AE187</f>
        <v>0</v>
      </c>
      <c r="AF185" s="313">
        <f>AF186+AF187</f>
        <v>0</v>
      </c>
      <c r="AG185" s="313">
        <f>AG186+AG187</f>
        <v>0</v>
      </c>
      <c r="AH185" s="313">
        <f>AH186+AH187</f>
        <v>0</v>
      </c>
      <c r="AI185" s="313">
        <f>AI186+AI187</f>
        <v>0</v>
      </c>
      <c r="AJ185" s="313">
        <f>AJ186+AJ187</f>
        <v>0</v>
      </c>
      <c r="AK185" s="313">
        <f>AK186+AK187</f>
        <v>0</v>
      </c>
      <c r="AL185" s="313">
        <f>AL186+AL187</f>
        <v>0</v>
      </c>
      <c r="AM185" s="313">
        <f>AM186+AM187</f>
        <v>0</v>
      </c>
      <c r="AN185" s="313">
        <f>AN186+AN187</f>
        <v>0</v>
      </c>
      <c r="AO185" s="313">
        <f>AO186+AO187</f>
        <v>0</v>
      </c>
      <c r="AP185" s="313">
        <f>AP186+AP187</f>
        <v>0</v>
      </c>
      <c r="AQ185" s="313">
        <f>AQ186+AQ187</f>
        <v>0</v>
      </c>
      <c r="AR185" s="313">
        <f>AR186+AR187</f>
        <v>0</v>
      </c>
      <c r="AS185" s="313">
        <f>AS186+AS187</f>
        <v>0</v>
      </c>
      <c r="AT185" s="313">
        <f>AT186+AT187</f>
        <v>0</v>
      </c>
      <c r="AU185" s="313">
        <f>AU186+AU187</f>
        <v>0</v>
      </c>
      <c r="AV185" s="313">
        <f>AV186+AV187</f>
        <v>0</v>
      </c>
      <c r="AW185" s="313">
        <f>AW186+AW187</f>
        <v>0</v>
      </c>
      <c r="AX185" s="313">
        <f>AX186+AX187</f>
        <v>0</v>
      </c>
      <c r="AY185" s="313">
        <f>AY186+AY187</f>
        <v>0</v>
      </c>
      <c r="AZ185" s="313">
        <f>AZ186+AZ187</f>
        <v>0</v>
      </c>
      <c r="BA185" s="313">
        <f>BA186+BA187</f>
        <v>0</v>
      </c>
      <c r="BB185" s="313">
        <f>BB186+BB187</f>
        <v>0</v>
      </c>
      <c r="BC185" s="1887"/>
      <c r="BD185" s="676"/>
      <c r="BE185" s="676"/>
      <c r="BF185" s="998" t="s">
        <v>700</v>
      </c>
    </row>
    <row s="1621" customFormat="1" customHeight="1" ht="14.25" hidden="1">
      <c r="A186" s="676"/>
      <c r="B186" s="1176"/>
      <c r="C186" s="676"/>
      <c r="D186" s="676"/>
      <c r="E186" s="611">
        <v>15</v>
      </c>
      <c r="F186" s="50" cm="1" t="str">
        <f t="array" ref="F186:F186">OFFSET(E186,-1,1)</f>
        <v>1</v>
      </c>
      <c r="G186" s="676"/>
      <c r="H186" s="64" t="s">
        <v>701</v>
      </c>
      <c r="I186" s="676"/>
      <c r="J186" s="676"/>
      <c r="K186" s="676"/>
      <c r="L186" s="676"/>
      <c r="M186" s="676"/>
      <c r="N186" s="676"/>
      <c r="O186" s="676"/>
      <c r="P186" s="1316"/>
      <c r="Q186" s="1316"/>
      <c r="R186" s="1316"/>
      <c r="S186" s="1316"/>
      <c r="T186" s="439" cm="1" t="str">
        <f t="array" ref="T186:T186">T185</f>
        <v>false</v>
      </c>
      <c r="U186" s="1316"/>
      <c r="V186" s="676"/>
      <c r="W186" s="1316"/>
      <c r="X186" s="1482"/>
      <c r="Y186" s="1464"/>
      <c r="Z186" s="676"/>
      <c r="AA186" s="676"/>
      <c r="AB186" s="207" t="s">
        <v>702</v>
      </c>
      <c r="AC186" s="299" t="s">
        <v>591</v>
      </c>
      <c r="AD186" s="59" t="s">
        <v>512</v>
      </c>
      <c r="AE186" s="1886"/>
      <c r="AF186" s="1886"/>
      <c r="AG186" s="1886"/>
      <c r="AH186" s="1886"/>
      <c r="AI186" s="243"/>
      <c r="AJ186" s="1886"/>
      <c r="AK186" s="1886"/>
      <c r="AL186" s="1886"/>
      <c r="AM186" s="1886"/>
      <c r="AN186" s="1886"/>
      <c r="AO186" s="1886"/>
      <c r="AP186" s="1886"/>
      <c r="AQ186" s="1886"/>
      <c r="AR186" s="1886"/>
      <c r="AS186" s="243"/>
      <c r="AT186" s="1886"/>
      <c r="AU186" s="1886"/>
      <c r="AV186" s="1886"/>
      <c r="AW186" s="1886"/>
      <c r="AX186" s="1886"/>
      <c r="AY186" s="1886"/>
      <c r="AZ186" s="1886"/>
      <c r="BA186" s="1886"/>
      <c r="BB186" s="1886"/>
      <c r="BC186" s="1887"/>
      <c r="BD186" s="676"/>
      <c r="BE186" s="676"/>
      <c r="BF186" s="998" t="s">
        <v>703</v>
      </c>
    </row>
    <row s="1621" customFormat="1" customHeight="1" ht="14.25" hidden="1">
      <c r="A187" s="676"/>
      <c r="B187" s="1176"/>
      <c r="C187" s="676"/>
      <c r="D187" s="676"/>
      <c r="E187" s="611">
        <v>15</v>
      </c>
      <c r="F187" s="50" cm="1" t="str">
        <f t="array" ref="F187:F187">OFFSET(E187,-1,1)</f>
        <v>1</v>
      </c>
      <c r="G187" s="676"/>
      <c r="H187" s="64" t="s">
        <v>704</v>
      </c>
      <c r="I187" s="676"/>
      <c r="J187" s="676"/>
      <c r="K187" s="676"/>
      <c r="L187" s="676"/>
      <c r="M187" s="676"/>
      <c r="N187" s="676"/>
      <c r="O187" s="676"/>
      <c r="P187" s="1316"/>
      <c r="Q187" s="1316"/>
      <c r="R187" s="1316"/>
      <c r="S187" s="1316"/>
      <c r="T187" s="439" cm="1" t="str">
        <f t="array" ref="T187:T187">T186</f>
        <v>false</v>
      </c>
      <c r="U187" s="1316"/>
      <c r="V187" s="676"/>
      <c r="W187" s="1316"/>
      <c r="X187" s="1482"/>
      <c r="Y187" s="1464"/>
      <c r="Z187" s="676"/>
      <c r="AA187" s="676"/>
      <c r="AB187" s="207" t="s">
        <v>705</v>
      </c>
      <c r="AC187" s="299" t="s">
        <v>595</v>
      </c>
      <c r="AD187" s="59" t="s">
        <v>512</v>
      </c>
      <c r="AE187" s="1886"/>
      <c r="AF187" s="1886"/>
      <c r="AG187" s="1886"/>
      <c r="AH187" s="1886"/>
      <c r="AI187" s="243"/>
      <c r="AJ187" s="1886"/>
      <c r="AK187" s="1886"/>
      <c r="AL187" s="1886"/>
      <c r="AM187" s="1886"/>
      <c r="AN187" s="1886"/>
      <c r="AO187" s="1886"/>
      <c r="AP187" s="1886"/>
      <c r="AQ187" s="1886"/>
      <c r="AR187" s="1886"/>
      <c r="AS187" s="243"/>
      <c r="AT187" s="1886"/>
      <c r="AU187" s="1886"/>
      <c r="AV187" s="1886"/>
      <c r="AW187" s="1886"/>
      <c r="AX187" s="1886"/>
      <c r="AY187" s="1886"/>
      <c r="AZ187" s="1886"/>
      <c r="BA187" s="1886"/>
      <c r="BB187" s="1886"/>
      <c r="BC187" s="1887"/>
      <c r="BD187" s="676"/>
      <c r="BE187" s="676"/>
      <c r="BF187" s="998" t="s">
        <v>706</v>
      </c>
    </row>
    <row s="1621" customFormat="1" customHeight="1" ht="21.75" hidden="1">
      <c r="A188" s="676"/>
      <c r="B188" s="1176"/>
      <c r="C188" s="676"/>
      <c r="D188" s="676"/>
      <c r="E188" s="611">
        <v>22.5</v>
      </c>
      <c r="F188" s="50" cm="1" t="str">
        <f t="array" ref="F188:F188">OFFSET(E188,-1,1)</f>
        <v>1</v>
      </c>
      <c r="G188" s="676"/>
      <c r="H188" s="64" t="s">
        <v>707</v>
      </c>
      <c r="I188" s="676"/>
      <c r="J188" s="676"/>
      <c r="K188" s="676"/>
      <c r="L188" s="676"/>
      <c r="M188" s="676"/>
      <c r="N188" s="676"/>
      <c r="O188" s="676"/>
      <c r="P188" s="1316"/>
      <c r="Q188" s="1316"/>
      <c r="R188" s="1316"/>
      <c r="S188" s="1316"/>
      <c r="T188" s="439" cm="1" t="str">
        <f t="array" ref="T188:T188">T187</f>
        <v>false</v>
      </c>
      <c r="U188" s="1316"/>
      <c r="V188" s="676"/>
      <c r="W188" s="1316"/>
      <c r="X188" s="1482"/>
      <c r="Y188" s="1464"/>
      <c r="Z188" s="676"/>
      <c r="AA188" s="676"/>
      <c r="AB188" s="207" t="s">
        <v>708</v>
      </c>
      <c r="AC188" s="306" t="s">
        <v>554</v>
      </c>
      <c r="AD188" s="59" t="s">
        <v>512</v>
      </c>
      <c r="AE188" s="1886"/>
      <c r="AF188" s="1886"/>
      <c r="AG188" s="1886"/>
      <c r="AH188" s="1886"/>
      <c r="AI188" s="243"/>
      <c r="AJ188" s="1886"/>
      <c r="AK188" s="1886"/>
      <c r="AL188" s="1886"/>
      <c r="AM188" s="1886"/>
      <c r="AN188" s="1886"/>
      <c r="AO188" s="1886"/>
      <c r="AP188" s="1886"/>
      <c r="AQ188" s="1886"/>
      <c r="AR188" s="1886"/>
      <c r="AS188" s="243"/>
      <c r="AT188" s="1886"/>
      <c r="AU188" s="1886"/>
      <c r="AV188" s="1886"/>
      <c r="AW188" s="1886"/>
      <c r="AX188" s="1886"/>
      <c r="AY188" s="1886"/>
      <c r="AZ188" s="1886"/>
      <c r="BA188" s="1886"/>
      <c r="BB188" s="1886"/>
      <c r="BC188" s="1887"/>
      <c r="BD188" s="676"/>
      <c r="BE188" s="676"/>
      <c r="BF188" s="998" t="s">
        <v>709</v>
      </c>
    </row>
    <row s="1621" customFormat="1" customHeight="1" ht="14.25" hidden="1">
      <c r="A189" s="676"/>
      <c r="B189" s="1176"/>
      <c r="C189" s="676"/>
      <c r="D189" s="676"/>
      <c r="E189" s="611">
        <v>15</v>
      </c>
      <c r="F189" s="50" cm="1" t="str">
        <f t="array" ref="F189:F189">OFFSET(E189,-1,1)</f>
        <v>1</v>
      </c>
      <c r="G189" s="676"/>
      <c r="H189" s="64" t="s">
        <v>495</v>
      </c>
      <c r="I189" s="676"/>
      <c r="J189" s="676"/>
      <c r="K189" s="676"/>
      <c r="L189" s="676"/>
      <c r="M189" s="676"/>
      <c r="N189" s="676"/>
      <c r="O189" s="676"/>
      <c r="P189" s="1316"/>
      <c r="Q189" s="1316"/>
      <c r="R189" s="1316"/>
      <c r="S189" s="1316"/>
      <c r="T189" s="439" cm="1" t="str">
        <f t="array" ref="T189:T189">T188</f>
        <v>false</v>
      </c>
      <c r="U189" s="1316"/>
      <c r="V189" s="676"/>
      <c r="W189" s="1316"/>
      <c r="X189" s="1482"/>
      <c r="Y189" s="1464"/>
      <c r="Z189" s="676"/>
      <c r="AA189" s="676"/>
      <c r="AB189" s="207" t="s">
        <v>492</v>
      </c>
      <c r="AC189" s="103" t="s">
        <v>710</v>
      </c>
      <c r="AD189" s="59" t="s">
        <v>512</v>
      </c>
      <c r="AE189" s="1886"/>
      <c r="AF189" s="1886"/>
      <c r="AG189" s="1886"/>
      <c r="AH189" s="1886"/>
      <c r="AI189" s="243"/>
      <c r="AJ189" s="1886"/>
      <c r="AK189" s="1886"/>
      <c r="AL189" s="1886"/>
      <c r="AM189" s="1886"/>
      <c r="AN189" s="1886"/>
      <c r="AO189" s="1886"/>
      <c r="AP189" s="1886"/>
      <c r="AQ189" s="1886"/>
      <c r="AR189" s="1886"/>
      <c r="AS189" s="243"/>
      <c r="AT189" s="1886"/>
      <c r="AU189" s="1886"/>
      <c r="AV189" s="1886"/>
      <c r="AW189" s="1886"/>
      <c r="AX189" s="1886"/>
      <c r="AY189" s="1886"/>
      <c r="AZ189" s="1886"/>
      <c r="BA189" s="1886"/>
      <c r="BB189" s="1886"/>
      <c r="BC189" s="1887"/>
      <c r="BD189" s="676"/>
      <c r="BE189" s="676"/>
      <c r="BF189" s="998" t="s">
        <v>711</v>
      </c>
    </row>
    <row s="1621" customFormat="1" customHeight="1" ht="14.625" hidden="1">
      <c r="A190" s="676"/>
      <c r="B190" s="1176"/>
      <c r="C190" s="676"/>
      <c r="D190" s="676"/>
      <c r="E190" s="611">
        <v>15</v>
      </c>
      <c r="F190" s="50" cm="1" t="str">
        <f t="array" ref="F190:F190">OFFSET(E190,-1,1)</f>
        <v>1</v>
      </c>
      <c r="G190" s="676"/>
      <c r="H190" s="64" t="s">
        <v>541</v>
      </c>
      <c r="I190" s="676"/>
      <c r="J190" s="676"/>
      <c r="K190" s="676"/>
      <c r="L190" s="676"/>
      <c r="M190" s="676"/>
      <c r="N190" s="676"/>
      <c r="O190" s="676"/>
      <c r="P190" s="1316"/>
      <c r="Q190" s="1316"/>
      <c r="R190" s="1316"/>
      <c r="S190" s="1316"/>
      <c r="T190" s="439" cm="1" t="str">
        <f t="array" ref="T190:T190">T189</f>
        <v>false</v>
      </c>
      <c r="U190" s="1316"/>
      <c r="V190" s="676"/>
      <c r="W190" s="1316"/>
      <c r="X190" s="1482"/>
      <c r="Y190" s="1464"/>
      <c r="Z190" s="676"/>
      <c r="AA190" s="676"/>
      <c r="AB190" s="207" t="s">
        <v>496</v>
      </c>
      <c r="AC190" s="103" t="s">
        <v>712</v>
      </c>
      <c r="AD190" s="59" t="s">
        <v>512</v>
      </c>
      <c r="AE190" s="1886"/>
      <c r="AF190" s="1886"/>
      <c r="AG190" s="1886"/>
      <c r="AH190" s="1886"/>
      <c r="AI190" s="243">
        <v>147.98</v>
      </c>
      <c r="AJ190" s="1886"/>
      <c r="AK190" s="1886"/>
      <c r="AL190" s="1886"/>
      <c r="AM190" s="1886"/>
      <c r="AN190" s="1886"/>
      <c r="AO190" s="1886"/>
      <c r="AP190" s="1886"/>
      <c r="AQ190" s="1886"/>
      <c r="AR190" s="1886"/>
      <c r="AS190" s="243">
        <v>163.933</v>
      </c>
      <c r="AT190" s="1886"/>
      <c r="AU190" s="1886"/>
      <c r="AV190" s="1886"/>
      <c r="AW190" s="1886"/>
      <c r="AX190" s="1886"/>
      <c r="AY190" s="1886"/>
      <c r="AZ190" s="1886"/>
      <c r="BA190" s="1886"/>
      <c r="BB190" s="1886"/>
      <c r="BC190" s="1887"/>
      <c r="BD190" s="676"/>
      <c r="BE190" s="676"/>
      <c r="BF190" s="998" t="s">
        <v>713</v>
      </c>
    </row>
    <row s="1621" customFormat="1" customHeight="1" ht="14.25" hidden="1">
      <c r="A191" s="676"/>
      <c r="B191" s="1176"/>
      <c r="C191" s="676"/>
      <c r="D191" s="676"/>
      <c r="E191" s="611">
        <v>15</v>
      </c>
      <c r="F191" s="50" cm="1" t="str">
        <f t="array" ref="F191:F191">OFFSET(E191,-1,1)</f>
        <v>1</v>
      </c>
      <c r="G191" s="676"/>
      <c r="H191" s="64" t="s">
        <v>556</v>
      </c>
      <c r="I191" s="676"/>
      <c r="J191" s="676"/>
      <c r="K191" s="676"/>
      <c r="L191" s="676"/>
      <c r="M191" s="676"/>
      <c r="N191" s="676"/>
      <c r="O191" s="676"/>
      <c r="P191" s="1316"/>
      <c r="Q191" s="1316"/>
      <c r="R191" s="1316"/>
      <c r="S191" s="1316"/>
      <c r="T191" s="439" cm="1" t="str">
        <f t="array" ref="T191:T191">T190</f>
        <v>false</v>
      </c>
      <c r="U191" s="1316"/>
      <c r="V191" s="676"/>
      <c r="W191" s="1316"/>
      <c r="X191" s="1482"/>
      <c r="Y191" s="1464"/>
      <c r="Z191" s="676"/>
      <c r="AA191" s="676"/>
      <c r="AB191" s="207" t="s">
        <v>557</v>
      </c>
      <c r="AC191" s="103" t="s">
        <v>714</v>
      </c>
      <c r="AD191" s="59" t="s">
        <v>512</v>
      </c>
      <c r="AE191" s="1886"/>
      <c r="AF191" s="1886"/>
      <c r="AG191" s="1886"/>
      <c r="AH191" s="1886"/>
      <c r="AI191" s="243"/>
      <c r="AJ191" s="1886"/>
      <c r="AK191" s="1886"/>
      <c r="AL191" s="1886"/>
      <c r="AM191" s="1886"/>
      <c r="AN191" s="1886"/>
      <c r="AO191" s="1886"/>
      <c r="AP191" s="1886"/>
      <c r="AQ191" s="1886"/>
      <c r="AR191" s="1886"/>
      <c r="AS191" s="243"/>
      <c r="AT191" s="1886"/>
      <c r="AU191" s="1886"/>
      <c r="AV191" s="1886"/>
      <c r="AW191" s="1886"/>
      <c r="AX191" s="1886"/>
      <c r="AY191" s="1886"/>
      <c r="AZ191" s="1886"/>
      <c r="BA191" s="1886"/>
      <c r="BB191" s="1886"/>
      <c r="BC191" s="1887"/>
      <c r="BD191" s="676"/>
      <c r="BE191" s="676"/>
      <c r="BF191" s="998" t="s">
        <v>715</v>
      </c>
    </row>
    <row s="1621" customFormat="1" customHeight="1" ht="14.25" hidden="1">
      <c r="A192" s="676"/>
      <c r="B192" s="1176"/>
      <c r="C192" s="676"/>
      <c r="D192" s="676"/>
      <c r="E192" s="611">
        <v>15</v>
      </c>
      <c r="F192" s="50" cm="1" t="str">
        <f t="array" ref="F192:F192">OFFSET(E192,-1,1)</f>
        <v>1</v>
      </c>
      <c r="G192" s="676"/>
      <c r="H192" s="64" t="s">
        <v>564</v>
      </c>
      <c r="I192" s="676"/>
      <c r="J192" s="676"/>
      <c r="K192" s="676"/>
      <c r="L192" s="676"/>
      <c r="M192" s="676"/>
      <c r="N192" s="676"/>
      <c r="O192" s="676"/>
      <c r="P192" s="1316"/>
      <c r="Q192" s="1316"/>
      <c r="R192" s="1316"/>
      <c r="S192" s="1316"/>
      <c r="T192" s="439" cm="1" t="str">
        <f t="array" ref="T192:T192">T191</f>
        <v>false</v>
      </c>
      <c r="U192" s="1316"/>
      <c r="V192" s="676"/>
      <c r="W192" s="1316"/>
      <c r="X192" s="1482"/>
      <c r="Y192" s="1464"/>
      <c r="Z192" s="676"/>
      <c r="AA192" s="676"/>
      <c r="AB192" s="207" t="s">
        <v>565</v>
      </c>
      <c r="AC192" s="104" t="s">
        <v>716</v>
      </c>
      <c r="AD192" s="59" t="s">
        <v>512</v>
      </c>
      <c r="AE192" s="313">
        <f>AE193+AE194</f>
        <v>0</v>
      </c>
      <c r="AF192" s="313">
        <f>AF193+AF194</f>
        <v>0</v>
      </c>
      <c r="AG192" s="313">
        <f>AG193+AG194</f>
        <v>0</v>
      </c>
      <c r="AH192" s="313">
        <f>AH193+AH194</f>
        <v>0</v>
      </c>
      <c r="AI192" s="313">
        <f>AI193+AI194</f>
        <v>0</v>
      </c>
      <c r="AJ192" s="313">
        <f>AJ193+AJ194</f>
        <v>0</v>
      </c>
      <c r="AK192" s="313">
        <f>AK193+AK194</f>
        <v>0</v>
      </c>
      <c r="AL192" s="313">
        <f>AL193+AL194</f>
        <v>0</v>
      </c>
      <c r="AM192" s="313">
        <f>AM193+AM194</f>
        <v>0</v>
      </c>
      <c r="AN192" s="313">
        <f>AN193+AN194</f>
        <v>0</v>
      </c>
      <c r="AO192" s="313">
        <f>AO193+AO194</f>
        <v>0</v>
      </c>
      <c r="AP192" s="313">
        <f>AP193+AP194</f>
        <v>0</v>
      </c>
      <c r="AQ192" s="313">
        <f>AQ193+AQ194</f>
        <v>0</v>
      </c>
      <c r="AR192" s="313">
        <f>AR193+AR194</f>
        <v>0</v>
      </c>
      <c r="AS192" s="313">
        <f>AS193+AS194</f>
        <v>0</v>
      </c>
      <c r="AT192" s="313">
        <f>AT193+AT194</f>
        <v>0</v>
      </c>
      <c r="AU192" s="313">
        <f>AU193+AU194</f>
        <v>0</v>
      </c>
      <c r="AV192" s="313">
        <f>AV193+AV194</f>
        <v>0</v>
      </c>
      <c r="AW192" s="313">
        <f>AW193+AW194</f>
        <v>0</v>
      </c>
      <c r="AX192" s="313">
        <f>AX193+AX194</f>
        <v>0</v>
      </c>
      <c r="AY192" s="313">
        <f>AY193+AY194</f>
        <v>0</v>
      </c>
      <c r="AZ192" s="313">
        <f>AZ193+AZ194</f>
        <v>0</v>
      </c>
      <c r="BA192" s="313">
        <f>BA193+BA194</f>
        <v>0</v>
      </c>
      <c r="BB192" s="313">
        <f>BB193+BB194</f>
        <v>0</v>
      </c>
      <c r="BC192" s="1887"/>
      <c r="BD192" s="676"/>
      <c r="BE192" s="676"/>
      <c r="BF192" s="998" t="s">
        <v>717</v>
      </c>
    </row>
    <row s="1621" customFormat="1" customHeight="1" ht="14.625" hidden="1">
      <c r="A193" s="676"/>
      <c r="B193" s="1176"/>
      <c r="C193" s="676"/>
      <c r="D193" s="676"/>
      <c r="E193" s="611">
        <v>15</v>
      </c>
      <c r="F193" s="50" cm="1" t="str">
        <f t="array" ref="F193:F193">OFFSET(E193,-1,1)</f>
        <v>1</v>
      </c>
      <c r="G193" s="676"/>
      <c r="H193" s="64" t="s">
        <v>568</v>
      </c>
      <c r="I193" s="676"/>
      <c r="J193" s="676"/>
      <c r="K193" s="676"/>
      <c r="L193" s="676"/>
      <c r="M193" s="676"/>
      <c r="N193" s="676"/>
      <c r="O193" s="676"/>
      <c r="P193" s="1316"/>
      <c r="Q193" s="1316"/>
      <c r="R193" s="1316"/>
      <c r="S193" s="1316"/>
      <c r="T193" s="439" cm="1" t="str">
        <f t="array" ref="T193:T193">T192</f>
        <v>false</v>
      </c>
      <c r="U193" s="1316"/>
      <c r="V193" s="676"/>
      <c r="W193" s="1316"/>
      <c r="X193" s="1482"/>
      <c r="Y193" s="1464"/>
      <c r="Z193" s="676"/>
      <c r="AA193" s="676"/>
      <c r="AB193" s="207" t="s">
        <v>569</v>
      </c>
      <c r="AC193" s="159" t="s">
        <v>718</v>
      </c>
      <c r="AD193" s="59" t="s">
        <v>512</v>
      </c>
      <c r="AE193" s="1886"/>
      <c r="AF193" s="1886"/>
      <c r="AG193" s="1886"/>
      <c r="AH193" s="1886"/>
      <c r="AI193" s="243">
        <v>0</v>
      </c>
      <c r="AJ193" s="1886"/>
      <c r="AK193" s="1886"/>
      <c r="AL193" s="1886"/>
      <c r="AM193" s="1886"/>
      <c r="AN193" s="1886"/>
      <c r="AO193" s="1886"/>
      <c r="AP193" s="1886"/>
      <c r="AQ193" s="1886"/>
      <c r="AR193" s="1886"/>
      <c r="AS193" s="243">
        <v>0</v>
      </c>
      <c r="AT193" s="1886"/>
      <c r="AU193" s="1886"/>
      <c r="AV193" s="1886"/>
      <c r="AW193" s="1886"/>
      <c r="AX193" s="1886"/>
      <c r="AY193" s="1886"/>
      <c r="AZ193" s="1886"/>
      <c r="BA193" s="1886"/>
      <c r="BB193" s="1886"/>
      <c r="BC193" s="1887"/>
      <c r="BD193" s="676"/>
      <c r="BE193" s="676"/>
      <c r="BF193" s="998" t="s">
        <v>719</v>
      </c>
    </row>
    <row s="1621" customFormat="1" customHeight="1" ht="14.625" hidden="1">
      <c r="A194" s="676"/>
      <c r="B194" s="1176"/>
      <c r="C194" s="676"/>
      <c r="D194" s="676"/>
      <c r="E194" s="611">
        <v>15</v>
      </c>
      <c r="F194" s="50" cm="1" t="str">
        <f t="array" ref="F194:F194">OFFSET(E194,-1,1)</f>
        <v>1</v>
      </c>
      <c r="G194" s="676"/>
      <c r="H194" s="64" t="s">
        <v>585</v>
      </c>
      <c r="I194" s="676"/>
      <c r="J194" s="676"/>
      <c r="K194" s="676"/>
      <c r="L194" s="676"/>
      <c r="M194" s="676"/>
      <c r="N194" s="676"/>
      <c r="O194" s="676"/>
      <c r="P194" s="1316"/>
      <c r="Q194" s="1316"/>
      <c r="R194" s="1316"/>
      <c r="S194" s="1316"/>
      <c r="T194" s="439" cm="1" t="str">
        <f t="array" ref="T194:T194">T193</f>
        <v>false</v>
      </c>
      <c r="U194" s="1316"/>
      <c r="V194" s="676"/>
      <c r="W194" s="1316"/>
      <c r="X194" s="1482"/>
      <c r="Y194" s="1464"/>
      <c r="Z194" s="676"/>
      <c r="AA194" s="676"/>
      <c r="AB194" s="207" t="s">
        <v>586</v>
      </c>
      <c r="AC194" s="159" t="s">
        <v>720</v>
      </c>
      <c r="AD194" s="59" t="s">
        <v>512</v>
      </c>
      <c r="AE194" s="1886"/>
      <c r="AF194" s="1886"/>
      <c r="AG194" s="1886"/>
      <c r="AH194" s="1886"/>
      <c r="AI194" s="243">
        <v>0</v>
      </c>
      <c r="AJ194" s="1886"/>
      <c r="AK194" s="1886"/>
      <c r="AL194" s="1886"/>
      <c r="AM194" s="1886"/>
      <c r="AN194" s="1886"/>
      <c r="AO194" s="1886"/>
      <c r="AP194" s="1886"/>
      <c r="AQ194" s="1886"/>
      <c r="AR194" s="1886"/>
      <c r="AS194" s="243">
        <v>0</v>
      </c>
      <c r="AT194" s="1886"/>
      <c r="AU194" s="1886"/>
      <c r="AV194" s="1886"/>
      <c r="AW194" s="1886"/>
      <c r="AX194" s="1886"/>
      <c r="AY194" s="1886"/>
      <c r="AZ194" s="1886"/>
      <c r="BA194" s="1886"/>
      <c r="BB194" s="1886"/>
      <c r="BC194" s="1887"/>
      <c r="BD194" s="676"/>
      <c r="BE194" s="676"/>
      <c r="BF194" s="998" t="s">
        <v>721</v>
      </c>
    </row>
    <row s="1621" customFormat="1" customHeight="1" ht="21.75" hidden="1">
      <c r="A195" s="676"/>
      <c r="B195" s="1176"/>
      <c r="C195" s="676"/>
      <c r="D195" s="676"/>
      <c r="E195" s="611">
        <v>22.5</v>
      </c>
      <c r="F195" s="50" cm="1" t="str">
        <f t="array" ref="F195:F195">OFFSET(E195,-1,1)</f>
        <v>1</v>
      </c>
      <c r="G195" s="676"/>
      <c r="H195" s="64" t="s">
        <v>722</v>
      </c>
      <c r="I195" s="676"/>
      <c r="J195" s="676"/>
      <c r="K195" s="676"/>
      <c r="L195" s="676"/>
      <c r="M195" s="676"/>
      <c r="N195" s="676"/>
      <c r="O195" s="676"/>
      <c r="P195" s="1316"/>
      <c r="Q195" s="1316"/>
      <c r="R195" s="1316"/>
      <c r="S195" s="1316"/>
      <c r="T195" s="439" cm="1" t="str">
        <f t="array" ref="T195:T195">T194</f>
        <v>false</v>
      </c>
      <c r="U195" s="1316"/>
      <c r="V195" s="676"/>
      <c r="W195" s="1316"/>
      <c r="X195" s="1482"/>
      <c r="Y195" s="1464"/>
      <c r="Z195" s="676"/>
      <c r="AA195" s="676"/>
      <c r="AB195" s="207" t="s">
        <v>723</v>
      </c>
      <c r="AC195" s="307" t="s">
        <v>634</v>
      </c>
      <c r="AD195" s="59" t="s">
        <v>512</v>
      </c>
      <c r="AE195" s="1886"/>
      <c r="AF195" s="1886"/>
      <c r="AG195" s="1886"/>
      <c r="AH195" s="1886"/>
      <c r="AI195" s="243"/>
      <c r="AJ195" s="1886"/>
      <c r="AK195" s="1886"/>
      <c r="AL195" s="1886"/>
      <c r="AM195" s="1886"/>
      <c r="AN195" s="1886"/>
      <c r="AO195" s="1886"/>
      <c r="AP195" s="1886"/>
      <c r="AQ195" s="1886"/>
      <c r="AR195" s="1886"/>
      <c r="AS195" s="243"/>
      <c r="AT195" s="1886"/>
      <c r="AU195" s="1886"/>
      <c r="AV195" s="1886"/>
      <c r="AW195" s="1886"/>
      <c r="AX195" s="1886"/>
      <c r="AY195" s="1886"/>
      <c r="AZ195" s="1886"/>
      <c r="BA195" s="1886"/>
      <c r="BB195" s="1886"/>
      <c r="BC195" s="1887"/>
      <c r="BD195" s="676"/>
      <c r="BE195" s="676"/>
      <c r="BF195" s="998" t="s">
        <v>724</v>
      </c>
    </row>
    <row s="1621" customFormat="1" customHeight="1" ht="14.25" hidden="1">
      <c r="A196" s="676"/>
      <c r="B196" s="1176"/>
      <c r="C196" s="676"/>
      <c r="D196" s="676"/>
      <c r="E196" s="611">
        <v>15</v>
      </c>
      <c r="F196" s="50" cm="1" t="str">
        <f t="array" ref="F196:F196">OFFSET(E196,-1,1)</f>
        <v>1</v>
      </c>
      <c r="G196" s="676"/>
      <c r="H196" s="64" t="s">
        <v>725</v>
      </c>
      <c r="I196" s="676"/>
      <c r="J196" s="676"/>
      <c r="K196" s="676"/>
      <c r="L196" s="676"/>
      <c r="M196" s="676"/>
      <c r="N196" s="676"/>
      <c r="O196" s="676"/>
      <c r="P196" s="1316"/>
      <c r="Q196" s="1316"/>
      <c r="R196" s="1316"/>
      <c r="S196" s="1316"/>
      <c r="T196" s="439" cm="1" t="str">
        <f t="array" ref="T196:T196">T195</f>
        <v>false</v>
      </c>
      <c r="U196" s="1316"/>
      <c r="V196" s="676"/>
      <c r="W196" s="1316"/>
      <c r="X196" s="1482"/>
      <c r="Y196" s="1464"/>
      <c r="Z196" s="676"/>
      <c r="AA196" s="676"/>
      <c r="AB196" s="207" t="s">
        <v>726</v>
      </c>
      <c r="AC196" s="103" t="s">
        <v>727</v>
      </c>
      <c r="AD196" s="59" t="s">
        <v>512</v>
      </c>
      <c r="AE196" s="1886"/>
      <c r="AF196" s="1886"/>
      <c r="AG196" s="1886"/>
      <c r="AH196" s="1886"/>
      <c r="AI196" s="243"/>
      <c r="AJ196" s="1886"/>
      <c r="AK196" s="1886"/>
      <c r="AL196" s="1886"/>
      <c r="AM196" s="1886"/>
      <c r="AN196" s="1886"/>
      <c r="AO196" s="1886"/>
      <c r="AP196" s="1886"/>
      <c r="AQ196" s="1886"/>
      <c r="AR196" s="1886"/>
      <c r="AS196" s="243"/>
      <c r="AT196" s="1886"/>
      <c r="AU196" s="1886"/>
      <c r="AV196" s="1886"/>
      <c r="AW196" s="1886"/>
      <c r="AX196" s="1886"/>
      <c r="AY196" s="1886"/>
      <c r="AZ196" s="1886"/>
      <c r="BA196" s="1886"/>
      <c r="BB196" s="1886"/>
      <c r="BC196" s="1887"/>
      <c r="BD196" s="676"/>
      <c r="BE196" s="676"/>
      <c r="BF196" s="998" t="s">
        <v>728</v>
      </c>
    </row>
    <row s="1621" customFormat="1" customHeight="1" ht="11.25" hidden="1">
      <c r="A197" s="443"/>
      <c r="B197" s="638"/>
      <c r="C197" s="443"/>
      <c r="D197" s="443"/>
      <c r="E197" s="640" t="s">
        <v>366</v>
      </c>
      <c r="F197" s="1202" cm="1" t="str">
        <f t="array" ref="F197:F197">OFFSET(E197,-1,1)</f>
        <v>1</v>
      </c>
      <c r="G197" s="443"/>
      <c r="H197" s="443"/>
      <c r="I197" s="443"/>
      <c r="J197" s="443"/>
      <c r="K197" s="64"/>
      <c r="L197" s="443"/>
      <c r="M197" s="443"/>
      <c r="N197" s="443"/>
      <c r="O197" s="443"/>
      <c r="P197" s="443"/>
      <c r="Q197" s="443"/>
      <c r="R197" s="388"/>
      <c r="S197" s="388"/>
      <c r="T197" s="439" t="b">
        <v>0</v>
      </c>
      <c r="U197" s="443"/>
      <c r="V197" s="443"/>
      <c r="W197" s="443"/>
      <c r="X197" s="1482"/>
      <c r="Y197" s="1464"/>
      <c r="Z197" s="443"/>
      <c r="AA197" s="443"/>
      <c r="AB197" s="1621"/>
      <c r="AC197" s="66"/>
      <c r="AD197" s="66"/>
      <c r="AE197" s="311"/>
      <c r="AF197" s="311"/>
      <c r="AG197" s="311"/>
      <c r="AH197" s="311"/>
      <c r="AI197" s="311"/>
      <c r="AJ197" s="312"/>
      <c r="AK197" s="311"/>
      <c r="AL197" s="311"/>
      <c r="AM197" s="311"/>
      <c r="AN197" s="311"/>
      <c r="AO197" s="311"/>
      <c r="AP197" s="311"/>
      <c r="AQ197" s="311"/>
      <c r="AR197" s="311"/>
      <c r="AS197" s="311"/>
      <c r="AT197" s="311"/>
      <c r="AU197" s="311"/>
      <c r="AV197" s="311"/>
      <c r="AW197" s="311"/>
      <c r="AX197" s="311"/>
      <c r="AY197" s="311"/>
      <c r="AZ197" s="311"/>
      <c r="BA197" s="311"/>
      <c r="BB197" s="311"/>
      <c r="BC197" s="1621"/>
      <c r="BD197" s="1621"/>
      <c r="BE197" s="1621"/>
      <c r="BF197" s="1002"/>
    </row>
    <row s="1621" customFormat="1" customHeight="1" ht="14.25" hidden="1">
      <c r="A198" s="676"/>
      <c r="B198" s="1176"/>
      <c r="C198" s="676"/>
      <c r="D198" s="676"/>
      <c r="E198" s="611">
        <v>15</v>
      </c>
      <c r="F198" s="50" cm="1" t="str">
        <f t="array" ref="F198:F198">OFFSET(E198,-1,1)</f>
        <v>1</v>
      </c>
      <c r="G198" s="676"/>
      <c r="H198" s="676"/>
      <c r="I198" s="676"/>
      <c r="J198" s="676"/>
      <c r="K198" s="676"/>
      <c r="L198" s="676"/>
      <c r="M198" s="676"/>
      <c r="N198" s="676"/>
      <c r="O198" s="676"/>
      <c r="P198" s="1316"/>
      <c r="Q198" s="1316"/>
      <c r="R198" s="388" cm="1" t="str">
        <f t="array" ref="R198:R198">INDEX('Общие сведения'!$AN$179:$AN$222,MATCH($X118,'Общие сведения'!$Z$179:$Z$222,0))</f>
        <v>false</v>
      </c>
      <c r="S198" s="456">
        <f>IF(ISERROR(SEARCH("Водоотведение",AB118)),FALSE,TRUE)</f>
        <v>0</v>
      </c>
      <c r="T198" s="439">
        <f>AND(X118&gt;0,S198,R198)</f>
        <v>0</v>
      </c>
      <c r="U198" s="1316"/>
      <c r="V198" s="676"/>
      <c r="W198" s="1316"/>
      <c r="X198" s="1482"/>
      <c r="Y198" s="1464"/>
      <c r="Z198" s="676"/>
      <c r="AA198" s="676"/>
      <c r="AB198" s="207" t="s">
        <v>272</v>
      </c>
      <c r="AC198" s="53" t="s">
        <v>666</v>
      </c>
      <c r="AD198" s="164"/>
      <c r="AE198" s="548" cm="1" t="str">
        <f t="array" ref="AE198:AE198">INDEX('Общие сведения'!$AH$179:$AH$222,MATCH($X118,'Общие сведения'!$Z$179:$Z$222,0))</f>
        <v>техническая вода</v>
      </c>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c r="AZ198" s="329"/>
      <c r="BA198" s="329"/>
      <c r="BB198" s="330"/>
      <c r="BC198" s="1887"/>
      <c r="BD198" s="676"/>
      <c r="BE198" s="676"/>
      <c r="BF198" s="998" t="s">
        <v>729</v>
      </c>
    </row>
    <row s="1621" customFormat="1" customHeight="1" ht="14.25" hidden="1">
      <c r="A199" s="676"/>
      <c r="B199" s="1176"/>
      <c r="C199" s="676"/>
      <c r="D199" s="676"/>
      <c r="E199" s="611">
        <v>15</v>
      </c>
      <c r="F199" s="50" cm="1" t="str">
        <f t="array" ref="F199:F199">OFFSET(E199,-1,1)</f>
        <v>1</v>
      </c>
      <c r="G199" s="676"/>
      <c r="H199" s="64" t="s">
        <v>329</v>
      </c>
      <c r="I199" s="676"/>
      <c r="J199" s="676"/>
      <c r="K199" s="676"/>
      <c r="L199" s="676"/>
      <c r="M199" s="676"/>
      <c r="N199" s="676"/>
      <c r="O199" s="676"/>
      <c r="P199" s="1316"/>
      <c r="Q199" s="1316"/>
      <c r="R199" s="1316"/>
      <c r="S199" s="1316"/>
      <c r="T199" s="439" cm="1" t="str">
        <f t="array" ref="T199:T199">T198</f>
        <v>false</v>
      </c>
      <c r="U199" s="1316"/>
      <c r="V199" s="676"/>
      <c r="W199" s="1316"/>
      <c r="X199" s="1482"/>
      <c r="Y199" s="1464"/>
      <c r="Z199" s="676"/>
      <c r="AA199" s="676"/>
      <c r="AB199" s="207" t="s">
        <v>283</v>
      </c>
      <c r="AC199" s="308" t="s">
        <v>730</v>
      </c>
      <c r="AD199" s="59" t="s">
        <v>512</v>
      </c>
      <c r="AE199" s="313">
        <f>AE200+AE202+AE201</f>
        <v>0</v>
      </c>
      <c r="AF199" s="313">
        <f>AF200+AF202+AF201</f>
        <v>0</v>
      </c>
      <c r="AG199" s="313">
        <f>AG200+AG202+AG201</f>
        <v>0</v>
      </c>
      <c r="AH199" s="313">
        <f>AH200+AH202+AH201</f>
        <v>0</v>
      </c>
      <c r="AI199" s="313">
        <f>AI200+AI202+AI201</f>
        <v>147.98</v>
      </c>
      <c r="AJ199" s="313">
        <f>AJ200+AJ202+AJ201</f>
        <v>0</v>
      </c>
      <c r="AK199" s="313">
        <f>AK200+AK202+AK201</f>
        <v>0</v>
      </c>
      <c r="AL199" s="313">
        <f>AL200+AL202+AL201</f>
        <v>0</v>
      </c>
      <c r="AM199" s="313">
        <f>AM200+AM202+AM201</f>
        <v>0</v>
      </c>
      <c r="AN199" s="313">
        <f>AN200+AN202+AN201</f>
        <v>0</v>
      </c>
      <c r="AO199" s="313">
        <f>AO200+AO202+AO201</f>
        <v>0</v>
      </c>
      <c r="AP199" s="313">
        <f>AP200+AP202+AP201</f>
        <v>0</v>
      </c>
      <c r="AQ199" s="313">
        <f>AQ200+AQ202+AQ201</f>
        <v>0</v>
      </c>
      <c r="AR199" s="313">
        <f>AR200+AR202+AR201</f>
        <v>0</v>
      </c>
      <c r="AS199" s="313">
        <f>AS200+AS202+AS201</f>
        <v>163.933</v>
      </c>
      <c r="AT199" s="313">
        <f>AT200+AT202+AT201</f>
        <v>0</v>
      </c>
      <c r="AU199" s="313">
        <f>AU200+AU202+AU201</f>
        <v>0</v>
      </c>
      <c r="AV199" s="313">
        <f>AV200+AV202+AV201</f>
        <v>0</v>
      </c>
      <c r="AW199" s="313">
        <f>AW200+AW202+AW201</f>
        <v>0</v>
      </c>
      <c r="AX199" s="313">
        <f>AX200+AX202+AX201</f>
        <v>0</v>
      </c>
      <c r="AY199" s="313">
        <f>AY200+AY202+AY201</f>
        <v>0</v>
      </c>
      <c r="AZ199" s="313">
        <f>AZ200+AZ202+AZ201</f>
        <v>0</v>
      </c>
      <c r="BA199" s="313">
        <f>BA200+BA202+BA201</f>
        <v>0</v>
      </c>
      <c r="BB199" s="313">
        <f>BB200+BB202+BB201</f>
        <v>0</v>
      </c>
      <c r="BC199" s="1887"/>
      <c r="BD199" s="676"/>
      <c r="BE199" s="676"/>
      <c r="BF199" s="998" t="s">
        <v>731</v>
      </c>
    </row>
    <row s="1621" customFormat="1" customHeight="1" ht="14.25" hidden="1">
      <c r="A200" s="676"/>
      <c r="B200" s="1176"/>
      <c r="C200" s="676"/>
      <c r="D200" s="676"/>
      <c r="E200" s="611">
        <v>15</v>
      </c>
      <c r="F200" s="50" cm="1" t="str">
        <f t="array" ref="F200:F200">OFFSET(E200,-1,1)</f>
        <v>1</v>
      </c>
      <c r="G200" s="676"/>
      <c r="H200" s="64" t="s">
        <v>514</v>
      </c>
      <c r="I200" s="676"/>
      <c r="J200" s="676"/>
      <c r="K200" s="676"/>
      <c r="L200" s="676"/>
      <c r="M200" s="676"/>
      <c r="N200" s="676"/>
      <c r="O200" s="676"/>
      <c r="P200" s="1316"/>
      <c r="Q200" s="1316"/>
      <c r="R200" s="1316"/>
      <c r="S200" s="1316"/>
      <c r="T200" s="439" cm="1" t="str">
        <f t="array" ref="T200:T200">T199</f>
        <v>false</v>
      </c>
      <c r="U200" s="1316"/>
      <c r="V200" s="676"/>
      <c r="W200" s="1316"/>
      <c r="X200" s="1482"/>
      <c r="Y200" s="1464"/>
      <c r="Z200" s="676"/>
      <c r="AA200" s="676"/>
      <c r="AB200" s="207" t="s">
        <v>515</v>
      </c>
      <c r="AC200" s="181" t="s">
        <v>732</v>
      </c>
      <c r="AD200" s="59" t="s">
        <v>512</v>
      </c>
      <c r="AE200" s="1930"/>
      <c r="AF200" s="1930"/>
      <c r="AG200" s="1930"/>
      <c r="AH200" s="1930"/>
      <c r="AI200" s="246"/>
      <c r="AJ200" s="1930"/>
      <c r="AK200" s="1930"/>
      <c r="AL200" s="1930"/>
      <c r="AM200" s="1930"/>
      <c r="AN200" s="1930"/>
      <c r="AO200" s="1930"/>
      <c r="AP200" s="1930"/>
      <c r="AQ200" s="1930"/>
      <c r="AR200" s="1930"/>
      <c r="AS200" s="246"/>
      <c r="AT200" s="1930"/>
      <c r="AU200" s="1930"/>
      <c r="AV200" s="1930"/>
      <c r="AW200" s="1930"/>
      <c r="AX200" s="1930"/>
      <c r="AY200" s="1930"/>
      <c r="AZ200" s="1930"/>
      <c r="BA200" s="1930"/>
      <c r="BB200" s="1930"/>
      <c r="BC200" s="1887"/>
      <c r="BD200" s="676"/>
      <c r="BE200" s="676"/>
      <c r="BF200" s="998" t="s">
        <v>733</v>
      </c>
    </row>
    <row s="1621" customFormat="1" customHeight="1" ht="14.625" hidden="1">
      <c r="A201" s="676"/>
      <c r="B201" s="1176"/>
      <c r="C201" s="676"/>
      <c r="D201" s="676"/>
      <c r="E201" s="611">
        <v>15</v>
      </c>
      <c r="F201" s="50" cm="1" t="str">
        <f t="array" ref="F201:F201">OFFSET(E201,-1,1)</f>
        <v>1</v>
      </c>
      <c r="G201" s="676"/>
      <c r="H201" s="64" t="s">
        <v>518</v>
      </c>
      <c r="I201" s="676"/>
      <c r="J201" s="676"/>
      <c r="K201" s="676"/>
      <c r="L201" s="676"/>
      <c r="M201" s="676"/>
      <c r="N201" s="676"/>
      <c r="O201" s="676"/>
      <c r="P201" s="1316"/>
      <c r="Q201" s="1316"/>
      <c r="R201" s="1316"/>
      <c r="S201" s="1316"/>
      <c r="T201" s="439" cm="1" t="str">
        <f t="array" ref="T201:T201">T200</f>
        <v>false</v>
      </c>
      <c r="U201" s="1316"/>
      <c r="V201" s="676"/>
      <c r="W201" s="1316"/>
      <c r="X201" s="1482"/>
      <c r="Y201" s="1464"/>
      <c r="Z201" s="676"/>
      <c r="AA201" s="676"/>
      <c r="AB201" s="207" t="s">
        <v>519</v>
      </c>
      <c r="AC201" s="181" t="s">
        <v>734</v>
      </c>
      <c r="AD201" s="59" t="s">
        <v>512</v>
      </c>
      <c r="AE201" s="1930"/>
      <c r="AF201" s="1930"/>
      <c r="AG201" s="1930"/>
      <c r="AH201" s="1930"/>
      <c r="AI201" s="246">
        <v>147.98</v>
      </c>
      <c r="AJ201" s="1930"/>
      <c r="AK201" s="1930"/>
      <c r="AL201" s="1930"/>
      <c r="AM201" s="1930"/>
      <c r="AN201" s="1930"/>
      <c r="AO201" s="1930"/>
      <c r="AP201" s="1930"/>
      <c r="AQ201" s="1930"/>
      <c r="AR201" s="1930"/>
      <c r="AS201" s="246">
        <v>163.933</v>
      </c>
      <c r="AT201" s="1930"/>
      <c r="AU201" s="1930"/>
      <c r="AV201" s="1930"/>
      <c r="AW201" s="1930"/>
      <c r="AX201" s="1930"/>
      <c r="AY201" s="1930"/>
      <c r="AZ201" s="1930"/>
      <c r="BA201" s="1930"/>
      <c r="BB201" s="1930"/>
      <c r="BC201" s="1887"/>
      <c r="BD201" s="676"/>
      <c r="BE201" s="676"/>
      <c r="BF201" s="998" t="s">
        <v>735</v>
      </c>
    </row>
    <row s="1621" customFormat="1" customHeight="1" ht="21.75" hidden="1">
      <c r="A202" s="676"/>
      <c r="B202" s="1176"/>
      <c r="C202" s="676"/>
      <c r="D202" s="676"/>
      <c r="E202" s="611">
        <v>22.5</v>
      </c>
      <c r="F202" s="50" cm="1" t="str">
        <f t="array" ref="F202:F202">OFFSET(E202,-1,1)</f>
        <v>1</v>
      </c>
      <c r="G202" s="676"/>
      <c r="H202" s="64" t="s">
        <v>522</v>
      </c>
      <c r="I202" s="676"/>
      <c r="J202" s="676"/>
      <c r="K202" s="676"/>
      <c r="L202" s="676"/>
      <c r="M202" s="676"/>
      <c r="N202" s="676"/>
      <c r="O202" s="676"/>
      <c r="P202" s="1316"/>
      <c r="Q202" s="1316"/>
      <c r="R202" s="1316"/>
      <c r="S202" s="1316"/>
      <c r="T202" s="439" cm="1" t="str">
        <f t="array" ref="T202:T202">T201</f>
        <v>false</v>
      </c>
      <c r="U202" s="1316"/>
      <c r="V202" s="676"/>
      <c r="W202" s="1316"/>
      <c r="X202" s="1482"/>
      <c r="Y202" s="1464"/>
      <c r="Z202" s="676"/>
      <c r="AA202" s="676"/>
      <c r="AB202" s="207" t="s">
        <v>523</v>
      </c>
      <c r="AC202" s="181" t="s">
        <v>634</v>
      </c>
      <c r="AD202" s="59" t="s">
        <v>512</v>
      </c>
      <c r="AE202" s="1930"/>
      <c r="AF202" s="1930"/>
      <c r="AG202" s="1930"/>
      <c r="AH202" s="1930"/>
      <c r="AI202" s="246"/>
      <c r="AJ202" s="1930"/>
      <c r="AK202" s="1930"/>
      <c r="AL202" s="1930"/>
      <c r="AM202" s="1930"/>
      <c r="AN202" s="1930"/>
      <c r="AO202" s="1930"/>
      <c r="AP202" s="1930"/>
      <c r="AQ202" s="1930"/>
      <c r="AR202" s="1930"/>
      <c r="AS202" s="246"/>
      <c r="AT202" s="1930"/>
      <c r="AU202" s="1930"/>
      <c r="AV202" s="1930"/>
      <c r="AW202" s="1930"/>
      <c r="AX202" s="1930"/>
      <c r="AY202" s="1930"/>
      <c r="AZ202" s="1930"/>
      <c r="BA202" s="1930"/>
      <c r="BB202" s="1930"/>
      <c r="BC202" s="1887"/>
      <c r="BD202" s="676"/>
      <c r="BE202" s="676"/>
      <c r="BF202" s="998" t="s">
        <v>736</v>
      </c>
    </row>
    <row s="1621" customFormat="1" customHeight="1" ht="21.75" hidden="1">
      <c r="A203" s="676"/>
      <c r="B203" s="1176"/>
      <c r="C203" s="676"/>
      <c r="D203" s="676"/>
      <c r="E203" s="611">
        <v>22.5</v>
      </c>
      <c r="F203" s="50" cm="1" t="str">
        <f t="array" ref="F203:F203">OFFSET(E203,-1,1)</f>
        <v>1</v>
      </c>
      <c r="G203" s="64" t="s">
        <v>584</v>
      </c>
      <c r="H203" s="64" t="s">
        <v>328</v>
      </c>
      <c r="I203" s="676"/>
      <c r="J203" s="676"/>
      <c r="K203" s="676"/>
      <c r="L203" s="676"/>
      <c r="M203" s="676"/>
      <c r="N203" s="676"/>
      <c r="O203" s="676"/>
      <c r="P203" s="1316"/>
      <c r="Q203" s="1316"/>
      <c r="R203" s="1316"/>
      <c r="S203" s="1316"/>
      <c r="T203" s="439" cm="1" t="str">
        <f t="array" ref="T203:T203">T202</f>
        <v>false</v>
      </c>
      <c r="U203" s="1316"/>
      <c r="V203" s="676"/>
      <c r="W203" s="1316"/>
      <c r="X203" s="1482"/>
      <c r="Y203" s="1464"/>
      <c r="Z203" s="676"/>
      <c r="AA203" s="676"/>
      <c r="AB203" s="207" t="s">
        <v>323</v>
      </c>
      <c r="AC203" s="308" t="s">
        <v>737</v>
      </c>
      <c r="AD203" s="59" t="s">
        <v>512</v>
      </c>
      <c r="AE203" s="313">
        <f>AE204+AE205+AE208</f>
        <v>0</v>
      </c>
      <c r="AF203" s="313">
        <f>AF204+AF205+AF208</f>
        <v>0</v>
      </c>
      <c r="AG203" s="313">
        <f>AG204+AG205+AG208</f>
        <v>0</v>
      </c>
      <c r="AH203" s="313">
        <f>AH204+AH205+AH208</f>
        <v>0</v>
      </c>
      <c r="AI203" s="313">
        <f>AI204+AI205+AI208</f>
        <v>0</v>
      </c>
      <c r="AJ203" s="313">
        <f>AJ204+AJ205+AJ208</f>
        <v>0</v>
      </c>
      <c r="AK203" s="313">
        <f>AK204+AK205+AK208</f>
        <v>0</v>
      </c>
      <c r="AL203" s="313">
        <f>AL204+AL205+AL208</f>
        <v>0</v>
      </c>
      <c r="AM203" s="313">
        <f>AM204+AM205+AM208</f>
        <v>0</v>
      </c>
      <c r="AN203" s="313">
        <f>AN204+AN205+AN208</f>
        <v>0</v>
      </c>
      <c r="AO203" s="313">
        <f>AO204+AO205+AO208</f>
        <v>0</v>
      </c>
      <c r="AP203" s="313">
        <f>AP204+AP205+AP208</f>
        <v>0</v>
      </c>
      <c r="AQ203" s="313">
        <f>AQ204+AQ205+AQ208</f>
        <v>0</v>
      </c>
      <c r="AR203" s="313">
        <f>AR204+AR205+AR208</f>
        <v>0</v>
      </c>
      <c r="AS203" s="313">
        <f>AS204+AS205+AS208</f>
        <v>0</v>
      </c>
      <c r="AT203" s="313">
        <f>AT204+AT205+AT208</f>
        <v>0</v>
      </c>
      <c r="AU203" s="313">
        <f>AU204+AU205+AU208</f>
        <v>0</v>
      </c>
      <c r="AV203" s="313">
        <f>AV204+AV205+AV208</f>
        <v>0</v>
      </c>
      <c r="AW203" s="313">
        <f>AW204+AW205+AW208</f>
        <v>0</v>
      </c>
      <c r="AX203" s="313">
        <f>AX204+AX205+AX208</f>
        <v>0</v>
      </c>
      <c r="AY203" s="313">
        <f>AY204+AY205+AY208</f>
        <v>0</v>
      </c>
      <c r="AZ203" s="313">
        <f>AZ204+AZ205+AZ208</f>
        <v>0</v>
      </c>
      <c r="BA203" s="313">
        <f>BA204+BA205+BA208</f>
        <v>0</v>
      </c>
      <c r="BB203" s="313">
        <f>BB204+BB205+BB208</f>
        <v>0</v>
      </c>
      <c r="BC203" s="1887"/>
      <c r="BD203" s="676"/>
      <c r="BE203" s="676"/>
      <c r="BF203" s="998" t="s">
        <v>738</v>
      </c>
    </row>
    <row s="1621" customFormat="1" customHeight="1" ht="14.25" hidden="1">
      <c r="A204" s="676"/>
      <c r="B204" s="1176"/>
      <c r="C204" s="676"/>
      <c r="D204" s="676"/>
      <c r="E204" s="611">
        <v>15</v>
      </c>
      <c r="F204" s="50" cm="1" t="str">
        <f t="array" ref="F204:F204">OFFSET(E204,-1,1)</f>
        <v>1</v>
      </c>
      <c r="G204" s="676"/>
      <c r="H204" s="64" t="s">
        <v>528</v>
      </c>
      <c r="I204" s="676"/>
      <c r="J204" s="676"/>
      <c r="K204" s="676"/>
      <c r="L204" s="676"/>
      <c r="M204" s="676"/>
      <c r="N204" s="676"/>
      <c r="O204" s="676"/>
      <c r="P204" s="1316"/>
      <c r="Q204" s="1316"/>
      <c r="R204" s="1316"/>
      <c r="S204" s="1316"/>
      <c r="T204" s="439" cm="1" t="str">
        <f t="array" ref="T204:T204">T203</f>
        <v>false</v>
      </c>
      <c r="U204" s="1316"/>
      <c r="V204" s="676"/>
      <c r="W204" s="1316"/>
      <c r="X204" s="1482"/>
      <c r="Y204" s="1464"/>
      <c r="Z204" s="676"/>
      <c r="AA204" s="676"/>
      <c r="AB204" s="207" t="s">
        <v>529</v>
      </c>
      <c r="AC204" s="181" t="s">
        <v>739</v>
      </c>
      <c r="AD204" s="59" t="s">
        <v>512</v>
      </c>
      <c r="AE204" s="1930"/>
      <c r="AF204" s="1930"/>
      <c r="AG204" s="1930"/>
      <c r="AH204" s="1930"/>
      <c r="AI204" s="246"/>
      <c r="AJ204" s="1930"/>
      <c r="AK204" s="1930"/>
      <c r="AL204" s="1930"/>
      <c r="AM204" s="1930"/>
      <c r="AN204" s="1930"/>
      <c r="AO204" s="1930"/>
      <c r="AP204" s="1930"/>
      <c r="AQ204" s="1930"/>
      <c r="AR204" s="1930"/>
      <c r="AS204" s="246"/>
      <c r="AT204" s="1930"/>
      <c r="AU204" s="1930"/>
      <c r="AV204" s="1930"/>
      <c r="AW204" s="1930"/>
      <c r="AX204" s="1930"/>
      <c r="AY204" s="1930"/>
      <c r="AZ204" s="1930"/>
      <c r="BA204" s="1930"/>
      <c r="BB204" s="1930"/>
      <c r="BC204" s="1887"/>
      <c r="BD204" s="676"/>
      <c r="BE204" s="676"/>
      <c r="BF204" s="998" t="s">
        <v>740</v>
      </c>
    </row>
    <row s="1621" customFormat="1" customHeight="1" ht="14.25" hidden="1">
      <c r="A205" s="676"/>
      <c r="B205" s="1176"/>
      <c r="C205" s="676"/>
      <c r="D205" s="676"/>
      <c r="E205" s="611">
        <v>15</v>
      </c>
      <c r="F205" s="50" cm="1" t="str">
        <f t="array" ref="F205:F205">OFFSET(E205,-1,1)</f>
        <v>1</v>
      </c>
      <c r="G205" s="676"/>
      <c r="H205" s="64" t="s">
        <v>532</v>
      </c>
      <c r="I205" s="676"/>
      <c r="J205" s="676"/>
      <c r="K205" s="676"/>
      <c r="L205" s="676"/>
      <c r="M205" s="676"/>
      <c r="N205" s="676"/>
      <c r="O205" s="676"/>
      <c r="P205" s="1316"/>
      <c r="Q205" s="1316"/>
      <c r="R205" s="1316"/>
      <c r="S205" s="1316"/>
      <c r="T205" s="439" cm="1" t="str">
        <f t="array" ref="T205:T205">T204</f>
        <v>false</v>
      </c>
      <c r="U205" s="1316"/>
      <c r="V205" s="676"/>
      <c r="W205" s="1316"/>
      <c r="X205" s="1482"/>
      <c r="Y205" s="1464"/>
      <c r="Z205" s="676"/>
      <c r="AA205" s="676"/>
      <c r="AB205" s="207" t="s">
        <v>533</v>
      </c>
      <c r="AC205" s="309" t="s">
        <v>741</v>
      </c>
      <c r="AD205" s="59" t="s">
        <v>512</v>
      </c>
      <c r="AE205" s="313">
        <f>AE206+AE207</f>
        <v>0</v>
      </c>
      <c r="AF205" s="313">
        <f>AF206+AF207</f>
        <v>0</v>
      </c>
      <c r="AG205" s="313">
        <f>AG206+AG207</f>
        <v>0</v>
      </c>
      <c r="AH205" s="313">
        <f>AH206+AH207</f>
        <v>0</v>
      </c>
      <c r="AI205" s="313">
        <f>AI206+AI207</f>
        <v>0</v>
      </c>
      <c r="AJ205" s="313">
        <f>AJ206+AJ207</f>
        <v>0</v>
      </c>
      <c r="AK205" s="313">
        <f>AK206+AK207</f>
        <v>0</v>
      </c>
      <c r="AL205" s="313">
        <f>AL206+AL207</f>
        <v>0</v>
      </c>
      <c r="AM205" s="313">
        <f>AM206+AM207</f>
        <v>0</v>
      </c>
      <c r="AN205" s="313">
        <f>AN206+AN207</f>
        <v>0</v>
      </c>
      <c r="AO205" s="313">
        <f>AO206+AO207</f>
        <v>0</v>
      </c>
      <c r="AP205" s="313">
        <f>AP206+AP207</f>
        <v>0</v>
      </c>
      <c r="AQ205" s="313">
        <f>AQ206+AQ207</f>
        <v>0</v>
      </c>
      <c r="AR205" s="313">
        <f>AR206+AR207</f>
        <v>0</v>
      </c>
      <c r="AS205" s="313">
        <f>AS206+AS207</f>
        <v>0</v>
      </c>
      <c r="AT205" s="313">
        <f>AT206+AT207</f>
        <v>0</v>
      </c>
      <c r="AU205" s="313">
        <f>AU206+AU207</f>
        <v>0</v>
      </c>
      <c r="AV205" s="313">
        <f>AV206+AV207</f>
        <v>0</v>
      </c>
      <c r="AW205" s="313">
        <f>AW206+AW207</f>
        <v>0</v>
      </c>
      <c r="AX205" s="313">
        <f>AX206+AX207</f>
        <v>0</v>
      </c>
      <c r="AY205" s="313">
        <f>AY206+AY207</f>
        <v>0</v>
      </c>
      <c r="AZ205" s="313">
        <f>AZ206+AZ207</f>
        <v>0</v>
      </c>
      <c r="BA205" s="313">
        <f>BA206+BA207</f>
        <v>0</v>
      </c>
      <c r="BB205" s="313">
        <f>BB206+BB207</f>
        <v>0</v>
      </c>
      <c r="BC205" s="1887"/>
      <c r="BD205" s="676"/>
      <c r="BE205" s="676"/>
      <c r="BF205" s="998" t="s">
        <v>742</v>
      </c>
    </row>
    <row s="1621" customFormat="1" customHeight="1" ht="14.25" hidden="1">
      <c r="A206" s="676"/>
      <c r="B206" s="1176"/>
      <c r="C206" s="676"/>
      <c r="D206" s="676"/>
      <c r="E206" s="611">
        <v>15</v>
      </c>
      <c r="F206" s="50" cm="1" t="str">
        <f t="array" ref="F206:F206">OFFSET(E206,-1,1)</f>
        <v>1</v>
      </c>
      <c r="G206" s="676"/>
      <c r="H206" s="64" t="s">
        <v>743</v>
      </c>
      <c r="I206" s="676"/>
      <c r="J206" s="676"/>
      <c r="K206" s="676"/>
      <c r="L206" s="676"/>
      <c r="M206" s="676"/>
      <c r="N206" s="676"/>
      <c r="O206" s="676"/>
      <c r="P206" s="1316"/>
      <c r="Q206" s="1316"/>
      <c r="R206" s="1316"/>
      <c r="S206" s="1316"/>
      <c r="T206" s="439" cm="1" t="str">
        <f t="array" ref="T206:T206">T205</f>
        <v>false</v>
      </c>
      <c r="U206" s="1316"/>
      <c r="V206" s="676"/>
      <c r="W206" s="1316"/>
      <c r="X206" s="1482"/>
      <c r="Y206" s="1464"/>
      <c r="Z206" s="676"/>
      <c r="AA206" s="676"/>
      <c r="AB206" s="207" t="s">
        <v>744</v>
      </c>
      <c r="AC206" s="310" t="s">
        <v>591</v>
      </c>
      <c r="AD206" s="59" t="s">
        <v>512</v>
      </c>
      <c r="AE206" s="1930"/>
      <c r="AF206" s="1930"/>
      <c r="AG206" s="1930"/>
      <c r="AH206" s="1930"/>
      <c r="AI206" s="246"/>
      <c r="AJ206" s="1930"/>
      <c r="AK206" s="1930"/>
      <c r="AL206" s="1930"/>
      <c r="AM206" s="1930"/>
      <c r="AN206" s="1930"/>
      <c r="AO206" s="1930"/>
      <c r="AP206" s="1930"/>
      <c r="AQ206" s="1930"/>
      <c r="AR206" s="1930"/>
      <c r="AS206" s="246"/>
      <c r="AT206" s="1930"/>
      <c r="AU206" s="1930"/>
      <c r="AV206" s="1930"/>
      <c r="AW206" s="1930"/>
      <c r="AX206" s="1930"/>
      <c r="AY206" s="1930"/>
      <c r="AZ206" s="1930"/>
      <c r="BA206" s="1930"/>
      <c r="BB206" s="1930"/>
      <c r="BC206" s="1887"/>
      <c r="BD206" s="676"/>
      <c r="BE206" s="676"/>
      <c r="BF206" s="998" t="s">
        <v>745</v>
      </c>
    </row>
    <row s="1621" customFormat="1" customHeight="1" ht="14.25" hidden="1">
      <c r="A207" s="676"/>
      <c r="B207" s="1176"/>
      <c r="C207" s="676"/>
      <c r="D207" s="676"/>
      <c r="E207" s="611">
        <v>15</v>
      </c>
      <c r="F207" s="50" cm="1" t="str">
        <f t="array" ref="F207:F207">OFFSET(E207,-1,1)</f>
        <v>1</v>
      </c>
      <c r="G207" s="676"/>
      <c r="H207" s="64" t="s">
        <v>746</v>
      </c>
      <c r="I207" s="676"/>
      <c r="J207" s="676"/>
      <c r="K207" s="676"/>
      <c r="L207" s="676"/>
      <c r="M207" s="676"/>
      <c r="N207" s="676"/>
      <c r="O207" s="676"/>
      <c r="P207" s="1316"/>
      <c r="Q207" s="1316"/>
      <c r="R207" s="1316"/>
      <c r="S207" s="1316"/>
      <c r="T207" s="439" cm="1" t="str">
        <f t="array" ref="T207:T207">T206</f>
        <v>false</v>
      </c>
      <c r="U207" s="1316"/>
      <c r="V207" s="676"/>
      <c r="W207" s="1316"/>
      <c r="X207" s="1482"/>
      <c r="Y207" s="1464"/>
      <c r="Z207" s="676"/>
      <c r="AA207" s="676"/>
      <c r="AB207" s="207" t="s">
        <v>747</v>
      </c>
      <c r="AC207" s="310" t="s">
        <v>595</v>
      </c>
      <c r="AD207" s="59" t="s">
        <v>512</v>
      </c>
      <c r="AE207" s="1930"/>
      <c r="AF207" s="1930"/>
      <c r="AG207" s="1930"/>
      <c r="AH207" s="1930"/>
      <c r="AI207" s="246"/>
      <c r="AJ207" s="1930"/>
      <c r="AK207" s="1930"/>
      <c r="AL207" s="1930"/>
      <c r="AM207" s="1930"/>
      <c r="AN207" s="1930"/>
      <c r="AO207" s="1930"/>
      <c r="AP207" s="1930"/>
      <c r="AQ207" s="1930"/>
      <c r="AR207" s="1930"/>
      <c r="AS207" s="246"/>
      <c r="AT207" s="1930"/>
      <c r="AU207" s="1930"/>
      <c r="AV207" s="1930"/>
      <c r="AW207" s="1930"/>
      <c r="AX207" s="1930"/>
      <c r="AY207" s="1930"/>
      <c r="AZ207" s="1930"/>
      <c r="BA207" s="1930"/>
      <c r="BB207" s="1930"/>
      <c r="BC207" s="1887"/>
      <c r="BD207" s="676"/>
      <c r="BE207" s="676"/>
      <c r="BF207" s="998" t="s">
        <v>748</v>
      </c>
    </row>
    <row s="1621" customFormat="1" customHeight="1" ht="21.75" hidden="1">
      <c r="A208" s="676"/>
      <c r="B208" s="1176"/>
      <c r="C208" s="676"/>
      <c r="D208" s="676"/>
      <c r="E208" s="611">
        <v>22.5</v>
      </c>
      <c r="F208" s="50" cm="1" t="str">
        <f t="array" ref="F208:F208">OFFSET(E208,-1,1)</f>
        <v>1</v>
      </c>
      <c r="G208" s="676"/>
      <c r="H208" s="64" t="s">
        <v>749</v>
      </c>
      <c r="I208" s="676"/>
      <c r="J208" s="676"/>
      <c r="K208" s="676"/>
      <c r="L208" s="676"/>
      <c r="M208" s="676"/>
      <c r="N208" s="676"/>
      <c r="O208" s="676"/>
      <c r="P208" s="1316"/>
      <c r="Q208" s="1316"/>
      <c r="R208" s="1316"/>
      <c r="S208" s="1316"/>
      <c r="T208" s="439" cm="1" t="str">
        <f t="array" ref="T208:T208">T207</f>
        <v>false</v>
      </c>
      <c r="U208" s="1316"/>
      <c r="V208" s="676"/>
      <c r="W208" s="1316"/>
      <c r="X208" s="1482"/>
      <c r="Y208" s="1464"/>
      <c r="Z208" s="676"/>
      <c r="AA208" s="676"/>
      <c r="AB208" s="207" t="s">
        <v>750</v>
      </c>
      <c r="AC208" s="304" t="s">
        <v>554</v>
      </c>
      <c r="AD208" s="59" t="s">
        <v>512</v>
      </c>
      <c r="AE208" s="1886"/>
      <c r="AF208" s="1886"/>
      <c r="AG208" s="1886"/>
      <c r="AH208" s="1886"/>
      <c r="AI208" s="243"/>
      <c r="AJ208" s="1886"/>
      <c r="AK208" s="1886"/>
      <c r="AL208" s="1886"/>
      <c r="AM208" s="1886"/>
      <c r="AN208" s="1886"/>
      <c r="AO208" s="1886"/>
      <c r="AP208" s="1886"/>
      <c r="AQ208" s="1886"/>
      <c r="AR208" s="1886"/>
      <c r="AS208" s="243"/>
      <c r="AT208" s="1886"/>
      <c r="AU208" s="1886"/>
      <c r="AV208" s="1886"/>
      <c r="AW208" s="1886"/>
      <c r="AX208" s="1886"/>
      <c r="AY208" s="1886"/>
      <c r="AZ208" s="1886"/>
      <c r="BA208" s="1886"/>
      <c r="BB208" s="1886"/>
      <c r="BC208" s="1887"/>
      <c r="BD208" s="676"/>
      <c r="BE208" s="676"/>
      <c r="BF208" s="998" t="s">
        <v>751</v>
      </c>
    </row>
    <row s="1621" customFormat="1" customHeight="1" ht="14.25">
      <c r="A209" s="676"/>
      <c r="B209" s="1176"/>
      <c r="C209" s="676"/>
      <c r="D209" s="676"/>
      <c r="E209" s="611">
        <v>15</v>
      </c>
      <c r="F209" s="316" cm="1" t="str">
        <f t="array" ref="F209:F209">X209</f>
        <v>2</v>
      </c>
      <c r="G209" s="676"/>
      <c r="H209" s="676"/>
      <c r="I209" s="676"/>
      <c r="J209" s="676"/>
      <c r="K209" s="676"/>
      <c r="L209" s="676"/>
      <c r="M209" s="676"/>
      <c r="N209" s="676"/>
      <c r="O209" s="676"/>
      <c r="P209" s="1316"/>
      <c r="Q209" s="1316"/>
      <c r="R209" s="1316"/>
      <c r="S209" s="1316"/>
      <c r="T209" s="439">
        <f>X209&gt;0</f>
        <v>1</v>
      </c>
      <c r="U209" s="1316"/>
      <c r="V209" s="64" cm="1" t="str">
        <f t="array" ref="V209:V209">ИИКА!$AB$37</f>
        <v>Тариф 2 (Водоотведение) - тариф на водоотведение (Оказание услуг на территории: Прокопьевский муниципальный округ (ОКТМО: 32522000) - п Калачево)</v>
      </c>
      <c r="W209" s="1316"/>
      <c r="X209" s="1482" t="s">
        <v>283</v>
      </c>
      <c r="Y209" s="1464"/>
      <c r="Z209" s="676"/>
      <c r="AA209" s="676"/>
      <c r="AB209" s="147" cm="1" t="str">
        <f t="array" ref="AB209:AB209">ИИКА!$AB$37</f>
        <v>Тариф 2 (Водоотведение) - тариф на водоотведение (Оказание услуг на территории: Прокопьевский муниципальный округ (ОКТМО: 32522000) - п Калачево)</v>
      </c>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676"/>
      <c r="BE209" s="676"/>
      <c r="BF209" s="1061"/>
    </row>
    <row s="1621" customFormat="1" customHeight="1" ht="14.25" hidden="1">
      <c r="A210" s="676"/>
      <c r="B210" s="1176"/>
      <c r="C210" s="676"/>
      <c r="D210" s="676"/>
      <c r="E210" s="611">
        <v>15</v>
      </c>
      <c r="F210" s="50" cm="1" t="str">
        <f t="array" ref="F210:F210">OFFSET(E210,-1,1)</f>
        <v>2</v>
      </c>
      <c r="G210" s="676"/>
      <c r="H210" s="676"/>
      <c r="I210" s="676"/>
      <c r="J210" s="676"/>
      <c r="K210" s="676"/>
      <c r="L210" s="676"/>
      <c r="M210" s="676"/>
      <c r="N210" s="676"/>
      <c r="O210" s="676"/>
      <c r="P210" s="1316"/>
      <c r="Q210" s="1316"/>
      <c r="R210" s="388" cm="1" t="str">
        <f t="array" ref="R210:R210">INDEX('Общие сведения'!$AN$179:$AN$222,MATCH($X209,'Общие сведения'!$Z$179:$Z$222,0))</f>
        <v>false</v>
      </c>
      <c r="S210" s="388">
        <f>IF(ISERROR(SEARCH("Водоснабжение",AB209)),FALSE,TRUE)</f>
        <v>0</v>
      </c>
      <c r="T210" s="439">
        <f>AND(X209&gt;0,S210,NOT(R210))</f>
        <v>0</v>
      </c>
      <c r="U210" s="1316"/>
      <c r="V210" s="676"/>
      <c r="W210" s="1316"/>
      <c r="X210" s="1482"/>
      <c r="Y210" s="1464"/>
      <c r="Z210" s="676"/>
      <c r="AA210" s="676"/>
      <c r="AB210" s="207" t="s">
        <v>272</v>
      </c>
      <c r="AC210" s="296" t="s">
        <v>509</v>
      </c>
      <c r="AD210" s="58"/>
      <c r="AE210" s="548" cm="1" t="str">
        <f t="array" ref="AE210:AE210">INDEX('Общие сведения'!$AH$179:$AH$222,MATCH($X209,'Общие сведения'!$Z$179:$Z$222,0))</f>
        <v>без дифференциации</v>
      </c>
      <c r="AF210" s="329"/>
      <c r="AG210" s="329"/>
      <c r="AH210" s="329"/>
      <c r="AI210" s="329"/>
      <c r="AJ210" s="329"/>
      <c r="AK210" s="329"/>
      <c r="AL210" s="329"/>
      <c r="AM210" s="329"/>
      <c r="AN210" s="329"/>
      <c r="AO210" s="329"/>
      <c r="AP210" s="329"/>
      <c r="AQ210" s="329"/>
      <c r="AR210" s="329"/>
      <c r="AS210" s="329"/>
      <c r="AT210" s="329"/>
      <c r="AU210" s="329"/>
      <c r="AV210" s="329"/>
      <c r="AW210" s="329"/>
      <c r="AX210" s="329"/>
      <c r="AY210" s="329"/>
      <c r="AZ210" s="329"/>
      <c r="BA210" s="329"/>
      <c r="BB210" s="330"/>
      <c r="BC210" s="1887"/>
      <c r="BD210" s="676"/>
      <c r="BE210" s="676"/>
      <c r="BF210" s="998" t="s">
        <v>510</v>
      </c>
    </row>
    <row s="1621" customFormat="1" customHeight="1" ht="14.25" hidden="1">
      <c r="A211" s="676"/>
      <c r="B211" s="1176"/>
      <c r="C211" s="676"/>
      <c r="D211" s="676"/>
      <c r="E211" s="611">
        <v>15</v>
      </c>
      <c r="F211" s="50" cm="1" t="str">
        <f t="array" ref="F211:F211">OFFSET(E211,-1,1)</f>
        <v>2</v>
      </c>
      <c r="G211" s="676"/>
      <c r="H211" s="64" t="s">
        <v>329</v>
      </c>
      <c r="I211" s="676"/>
      <c r="J211" s="676"/>
      <c r="K211" s="676"/>
      <c r="L211" s="676"/>
      <c r="M211" s="676"/>
      <c r="N211" s="676"/>
      <c r="O211" s="676"/>
      <c r="P211" s="1316"/>
      <c r="Q211" s="1316"/>
      <c r="R211" s="1316"/>
      <c r="S211" s="1316"/>
      <c r="T211" s="439" cm="1" t="str">
        <f t="array" ref="T211:T211">T210</f>
        <v>false</v>
      </c>
      <c r="U211" s="1316"/>
      <c r="V211" s="676"/>
      <c r="W211" s="1316"/>
      <c r="X211" s="1482"/>
      <c r="Y211" s="1464"/>
      <c r="Z211" s="676"/>
      <c r="AA211" s="676"/>
      <c r="AB211" s="207" t="s">
        <v>283</v>
      </c>
      <c r="AC211" s="297" t="s">
        <v>511</v>
      </c>
      <c r="AD211" s="59" t="s">
        <v>512</v>
      </c>
      <c r="AE211" s="282">
        <f>AE220+AE215-AE218</f>
        <v>0</v>
      </c>
      <c r="AF211" s="282">
        <f>AF220+AF215-AF218</f>
        <v>0</v>
      </c>
      <c r="AG211" s="282">
        <f>AG220+AG215-AG218</f>
        <v>0</v>
      </c>
      <c r="AH211" s="282">
        <f>AH220+AH215-AH218</f>
        <v>0</v>
      </c>
      <c r="AI211" s="282">
        <f>AI220+AI215-AI218</f>
        <v>-136.4819</v>
      </c>
      <c r="AJ211" s="282">
        <f>AJ220+AJ215-AJ218</f>
        <v>0</v>
      </c>
      <c r="AK211" s="282">
        <f>AK220+AK215-AK218</f>
        <v>0</v>
      </c>
      <c r="AL211" s="282">
        <f>AL220+AL215-AL218</f>
        <v>0</v>
      </c>
      <c r="AM211" s="282">
        <f>AM220+AM215-AM218</f>
        <v>0</v>
      </c>
      <c r="AN211" s="282">
        <f>AN220+AN215-AN218</f>
        <v>0</v>
      </c>
      <c r="AO211" s="282">
        <f>AO220+AO215-AO218</f>
        <v>0</v>
      </c>
      <c r="AP211" s="282">
        <f>AP220+AP215-AP218</f>
        <v>0</v>
      </c>
      <c r="AQ211" s="282">
        <f>AQ220+AQ215-AQ218</f>
        <v>0</v>
      </c>
      <c r="AR211" s="282">
        <f>AR220+AR215-AR218</f>
        <v>0</v>
      </c>
      <c r="AS211" s="282">
        <f>AS220+AS215-AS218</f>
        <v>-136.4819</v>
      </c>
      <c r="AT211" s="282">
        <f>AT220+AT215-AT218</f>
        <v>0</v>
      </c>
      <c r="AU211" s="282">
        <f>AU220+AU215-AU218</f>
        <v>0</v>
      </c>
      <c r="AV211" s="282">
        <f>AV220+AV215-AV218</f>
        <v>0</v>
      </c>
      <c r="AW211" s="282">
        <f>AW220+AW215-AW218</f>
        <v>0</v>
      </c>
      <c r="AX211" s="282">
        <f>AX220+AX215-AX218</f>
        <v>0</v>
      </c>
      <c r="AY211" s="282">
        <f>AY220+AY215-AY218</f>
        <v>0</v>
      </c>
      <c r="AZ211" s="282">
        <f>AZ220+AZ215-AZ218</f>
        <v>0</v>
      </c>
      <c r="BA211" s="282">
        <f>BA220+BA215-BA218</f>
        <v>0</v>
      </c>
      <c r="BB211" s="282">
        <f>BB220+BB215-BB218</f>
        <v>0</v>
      </c>
      <c r="BC211" s="1887"/>
      <c r="BD211" s="676"/>
      <c r="BE211" s="676"/>
      <c r="BF211" s="998" t="s">
        <v>513</v>
      </c>
    </row>
    <row s="1621" customFormat="1" customHeight="1" ht="14.25" hidden="1">
      <c r="A212" s="676"/>
      <c r="B212" s="1176"/>
      <c r="C212" s="676"/>
      <c r="D212" s="676"/>
      <c r="E212" s="611">
        <v>15</v>
      </c>
      <c r="F212" s="50" cm="1" t="str">
        <f t="array" ref="F212:F212">OFFSET(E212,-1,1)</f>
        <v>2</v>
      </c>
      <c r="G212" s="676"/>
      <c r="H212" s="64" t="s">
        <v>514</v>
      </c>
      <c r="I212" s="676"/>
      <c r="J212" s="676"/>
      <c r="K212" s="676"/>
      <c r="L212" s="676"/>
      <c r="M212" s="676"/>
      <c r="N212" s="676"/>
      <c r="O212" s="676"/>
      <c r="P212" s="1316"/>
      <c r="Q212" s="1316"/>
      <c r="R212" s="1316"/>
      <c r="S212" s="1316"/>
      <c r="T212" s="439" cm="1" t="str">
        <f t="array" ref="T212:T212">T211</f>
        <v>false</v>
      </c>
      <c r="U212" s="1316"/>
      <c r="V212" s="676"/>
      <c r="W212" s="1316"/>
      <c r="X212" s="1482"/>
      <c r="Y212" s="1464"/>
      <c r="Z212" s="676"/>
      <c r="AA212" s="676"/>
      <c r="AB212" s="207" t="s">
        <v>515</v>
      </c>
      <c r="AC212" s="159" t="s">
        <v>516</v>
      </c>
      <c r="AD212" s="59" t="s">
        <v>512</v>
      </c>
      <c r="AE212" s="1930"/>
      <c r="AF212" s="1930"/>
      <c r="AG212" s="1930"/>
      <c r="AH212" s="1930"/>
      <c r="AI212" s="246"/>
      <c r="AJ212" s="1930"/>
      <c r="AK212" s="1930"/>
      <c r="AL212" s="1930"/>
      <c r="AM212" s="1930"/>
      <c r="AN212" s="1930"/>
      <c r="AO212" s="1930"/>
      <c r="AP212" s="1930"/>
      <c r="AQ212" s="1930"/>
      <c r="AR212" s="1930"/>
      <c r="AS212" s="246"/>
      <c r="AT212" s="1930"/>
      <c r="AU212" s="1930"/>
      <c r="AV212" s="1930"/>
      <c r="AW212" s="1930"/>
      <c r="AX212" s="1930"/>
      <c r="AY212" s="1930"/>
      <c r="AZ212" s="1930"/>
      <c r="BA212" s="1930"/>
      <c r="BB212" s="1930"/>
      <c r="BC212" s="1934"/>
      <c r="BD212" s="676"/>
      <c r="BE212" s="676"/>
      <c r="BF212" s="998" t="s">
        <v>517</v>
      </c>
    </row>
    <row s="1621" customFormat="1" customHeight="1" ht="14.25" hidden="1">
      <c r="A213" s="676"/>
      <c r="B213" s="1176"/>
      <c r="C213" s="676"/>
      <c r="D213" s="676"/>
      <c r="E213" s="611">
        <v>15</v>
      </c>
      <c r="F213" s="50" cm="1" t="str">
        <f t="array" ref="F213:F213">OFFSET(E213,-1,1)</f>
        <v>2</v>
      </c>
      <c r="G213" s="676"/>
      <c r="H213" s="64" t="s">
        <v>518</v>
      </c>
      <c r="I213" s="676"/>
      <c r="J213" s="676"/>
      <c r="K213" s="676"/>
      <c r="L213" s="676"/>
      <c r="M213" s="676"/>
      <c r="N213" s="676"/>
      <c r="O213" s="676"/>
      <c r="P213" s="1316"/>
      <c r="Q213" s="1316"/>
      <c r="R213" s="1316"/>
      <c r="S213" s="1316"/>
      <c r="T213" s="439" cm="1" t="str">
        <f t="array" ref="T213:T213">T212</f>
        <v>false</v>
      </c>
      <c r="U213" s="1316"/>
      <c r="V213" s="676"/>
      <c r="W213" s="1316"/>
      <c r="X213" s="1482"/>
      <c r="Y213" s="1464"/>
      <c r="Z213" s="676"/>
      <c r="AA213" s="676"/>
      <c r="AB213" s="207" t="s">
        <v>519</v>
      </c>
      <c r="AC213" s="159" t="s">
        <v>520</v>
      </c>
      <c r="AD213" s="59" t="s">
        <v>512</v>
      </c>
      <c r="AE213" s="1930"/>
      <c r="AF213" s="1930"/>
      <c r="AG213" s="1930"/>
      <c r="AH213" s="1930"/>
      <c r="AI213" s="246"/>
      <c r="AJ213" s="1930"/>
      <c r="AK213" s="1930"/>
      <c r="AL213" s="1930"/>
      <c r="AM213" s="1930"/>
      <c r="AN213" s="1930"/>
      <c r="AO213" s="1930"/>
      <c r="AP213" s="1930"/>
      <c r="AQ213" s="1930"/>
      <c r="AR213" s="1930"/>
      <c r="AS213" s="246"/>
      <c r="AT213" s="1930"/>
      <c r="AU213" s="1930"/>
      <c r="AV213" s="1930"/>
      <c r="AW213" s="1930"/>
      <c r="AX213" s="1930"/>
      <c r="AY213" s="1930"/>
      <c r="AZ213" s="1930"/>
      <c r="BA213" s="1930"/>
      <c r="BB213" s="1930"/>
      <c r="BC213" s="1934"/>
      <c r="BD213" s="676"/>
      <c r="BE213" s="676"/>
      <c r="BF213" s="998" t="s">
        <v>521</v>
      </c>
    </row>
    <row s="1621" customFormat="1" customHeight="1" ht="21.75" hidden="1">
      <c r="A214" s="676"/>
      <c r="B214" s="1176"/>
      <c r="C214" s="676"/>
      <c r="D214" s="676"/>
      <c r="E214" s="611">
        <v>22.5</v>
      </c>
      <c r="F214" s="50" cm="1" t="str">
        <f t="array" ref="F214:F214">OFFSET(E214,-1,1)</f>
        <v>2</v>
      </c>
      <c r="G214" s="676"/>
      <c r="H214" s="64" t="s">
        <v>522</v>
      </c>
      <c r="I214" s="676"/>
      <c r="J214" s="676"/>
      <c r="K214" s="676"/>
      <c r="L214" s="676"/>
      <c r="M214" s="676"/>
      <c r="N214" s="676"/>
      <c r="O214" s="676"/>
      <c r="P214" s="1316"/>
      <c r="Q214" s="1316"/>
      <c r="R214" s="1316"/>
      <c r="S214" s="1316"/>
      <c r="T214" s="439" cm="1" t="str">
        <f t="array" ref="T214:T214">T213</f>
        <v>false</v>
      </c>
      <c r="U214" s="1316"/>
      <c r="V214" s="676"/>
      <c r="W214" s="1316"/>
      <c r="X214" s="1482"/>
      <c r="Y214" s="1464"/>
      <c r="Z214" s="676"/>
      <c r="AA214" s="676"/>
      <c r="AB214" s="207" t="s">
        <v>523</v>
      </c>
      <c r="AC214" s="297" t="s">
        <v>524</v>
      </c>
      <c r="AD214" s="59" t="s">
        <v>512</v>
      </c>
      <c r="AE214" s="1930"/>
      <c r="AF214" s="1930"/>
      <c r="AG214" s="1930"/>
      <c r="AH214" s="1930"/>
      <c r="AI214" s="246"/>
      <c r="AJ214" s="1930"/>
      <c r="AK214" s="1930"/>
      <c r="AL214" s="1930"/>
      <c r="AM214" s="1930"/>
      <c r="AN214" s="1930"/>
      <c r="AO214" s="1930"/>
      <c r="AP214" s="1930"/>
      <c r="AQ214" s="1930"/>
      <c r="AR214" s="1930"/>
      <c r="AS214" s="246"/>
      <c r="AT214" s="1930"/>
      <c r="AU214" s="1930"/>
      <c r="AV214" s="1930"/>
      <c r="AW214" s="1930"/>
      <c r="AX214" s="1930"/>
      <c r="AY214" s="1930"/>
      <c r="AZ214" s="1930"/>
      <c r="BA214" s="1930"/>
      <c r="BB214" s="1930"/>
      <c r="BC214" s="1934"/>
      <c r="BD214" s="676"/>
      <c r="BE214" s="676"/>
      <c r="BF214" s="998" t="s">
        <v>525</v>
      </c>
    </row>
    <row s="1621" customFormat="1" customHeight="1" ht="14.25" hidden="1">
      <c r="A215" s="676"/>
      <c r="B215" s="1176"/>
      <c r="C215" s="676"/>
      <c r="D215" s="676"/>
      <c r="E215" s="611">
        <v>15</v>
      </c>
      <c r="F215" s="50" cm="1" t="str">
        <f t="array" ref="F215:F215">OFFSET(E215,-1,1)</f>
        <v>2</v>
      </c>
      <c r="G215" s="676"/>
      <c r="H215" s="64" t="s">
        <v>328</v>
      </c>
      <c r="I215" s="676"/>
      <c r="J215" s="676"/>
      <c r="K215" s="676"/>
      <c r="L215" s="676"/>
      <c r="M215" s="676"/>
      <c r="N215" s="676"/>
      <c r="O215" s="676"/>
      <c r="P215" s="1316"/>
      <c r="Q215" s="1316"/>
      <c r="R215" s="1316"/>
      <c r="S215" s="1316"/>
      <c r="T215" s="439" cm="1" t="str">
        <f t="array" ref="T215:T215">T214</f>
        <v>false</v>
      </c>
      <c r="U215" s="1316"/>
      <c r="V215" s="676"/>
      <c r="W215" s="1316"/>
      <c r="X215" s="1482"/>
      <c r="Y215" s="1464"/>
      <c r="Z215" s="676"/>
      <c r="AA215" s="676"/>
      <c r="AB215" s="207" t="s">
        <v>323</v>
      </c>
      <c r="AC215" s="297" t="s">
        <v>526</v>
      </c>
      <c r="AD215" s="59" t="s">
        <v>512</v>
      </c>
      <c r="AE215" s="282">
        <f>SUM(AE216:AE217)</f>
        <v>0</v>
      </c>
      <c r="AF215" s="282">
        <f>SUM(AF216:AF217)</f>
        <v>0</v>
      </c>
      <c r="AG215" s="282">
        <f>SUM(AG216:AG217)</f>
        <v>0</v>
      </c>
      <c r="AH215" s="282">
        <f>SUM(AH216:AH217)</f>
        <v>0</v>
      </c>
      <c r="AI215" s="282">
        <f>SUM(AI216:AI217)</f>
        <v>0</v>
      </c>
      <c r="AJ215" s="282">
        <f>SUM(AJ216:AJ217)</f>
        <v>0</v>
      </c>
      <c r="AK215" s="282">
        <f>SUM(AK216:AK217)</f>
        <v>0</v>
      </c>
      <c r="AL215" s="282">
        <f>SUM(AL216:AL217)</f>
        <v>0</v>
      </c>
      <c r="AM215" s="282">
        <f>SUM(AM216:AM217)</f>
        <v>0</v>
      </c>
      <c r="AN215" s="282">
        <f>SUM(AN216:AN217)</f>
        <v>0</v>
      </c>
      <c r="AO215" s="282">
        <f>SUM(AO216:AO217)</f>
        <v>0</v>
      </c>
      <c r="AP215" s="282">
        <f>SUM(AP216:AP217)</f>
        <v>0</v>
      </c>
      <c r="AQ215" s="282">
        <f>SUM(AQ216:AQ217)</f>
        <v>0</v>
      </c>
      <c r="AR215" s="282">
        <f>SUM(AR216:AR217)</f>
        <v>0</v>
      </c>
      <c r="AS215" s="282">
        <f>SUM(AS216:AS217)</f>
        <v>0</v>
      </c>
      <c r="AT215" s="282">
        <f>SUM(AT216:AT217)</f>
        <v>0</v>
      </c>
      <c r="AU215" s="282">
        <f>SUM(AU216:AU217)</f>
        <v>0</v>
      </c>
      <c r="AV215" s="282">
        <f>SUM(AV216:AV217)</f>
        <v>0</v>
      </c>
      <c r="AW215" s="282">
        <f>SUM(AW216:AW217)</f>
        <v>0</v>
      </c>
      <c r="AX215" s="282">
        <f>SUM(AX216:AX217)</f>
        <v>0</v>
      </c>
      <c r="AY215" s="282">
        <f>SUM(AY216:AY217)</f>
        <v>0</v>
      </c>
      <c r="AZ215" s="282">
        <f>SUM(AZ216:AZ217)</f>
        <v>0</v>
      </c>
      <c r="BA215" s="282">
        <f>SUM(BA216:BA217)</f>
        <v>0</v>
      </c>
      <c r="BB215" s="282">
        <f>SUM(BB216:BB217)</f>
        <v>0</v>
      </c>
      <c r="BC215" s="1934"/>
      <c r="BD215" s="676"/>
      <c r="BE215" s="676"/>
      <c r="BF215" s="998" t="s">
        <v>527</v>
      </c>
    </row>
    <row s="1621" customFormat="1" customHeight="1" ht="14.25" hidden="1">
      <c r="A216" s="676"/>
      <c r="B216" s="1176"/>
      <c r="C216" s="676"/>
      <c r="D216" s="676"/>
      <c r="E216" s="611">
        <v>15</v>
      </c>
      <c r="F216" s="50" cm="1" t="str">
        <f t="array" ref="F216:F216">OFFSET(E216,-1,1)</f>
        <v>2</v>
      </c>
      <c r="G216" s="676"/>
      <c r="H216" s="64" t="s">
        <v>528</v>
      </c>
      <c r="I216" s="676"/>
      <c r="J216" s="676"/>
      <c r="K216" s="676"/>
      <c r="L216" s="676"/>
      <c r="M216" s="676"/>
      <c r="N216" s="676"/>
      <c r="O216" s="676"/>
      <c r="P216" s="1316"/>
      <c r="Q216" s="1316"/>
      <c r="R216" s="1316"/>
      <c r="S216" s="1316"/>
      <c r="T216" s="439" cm="1" t="str">
        <f t="array" ref="T216:T216">T215</f>
        <v>false</v>
      </c>
      <c r="U216" s="1316"/>
      <c r="V216" s="676"/>
      <c r="W216" s="1316"/>
      <c r="X216" s="1482"/>
      <c r="Y216" s="1464"/>
      <c r="Z216" s="676"/>
      <c r="AA216" s="676"/>
      <c r="AB216" s="207" t="s">
        <v>529</v>
      </c>
      <c r="AC216" s="159" t="s">
        <v>530</v>
      </c>
      <c r="AD216" s="59" t="s">
        <v>512</v>
      </c>
      <c r="AE216" s="1930"/>
      <c r="AF216" s="1930"/>
      <c r="AG216" s="1930"/>
      <c r="AH216" s="1930"/>
      <c r="AI216" s="246"/>
      <c r="AJ216" s="1930"/>
      <c r="AK216" s="1930"/>
      <c r="AL216" s="1930"/>
      <c r="AM216" s="1930"/>
      <c r="AN216" s="1930"/>
      <c r="AO216" s="1930"/>
      <c r="AP216" s="1930"/>
      <c r="AQ216" s="1930"/>
      <c r="AR216" s="1930"/>
      <c r="AS216" s="246"/>
      <c r="AT216" s="1930"/>
      <c r="AU216" s="1930"/>
      <c r="AV216" s="1930"/>
      <c r="AW216" s="1930"/>
      <c r="AX216" s="1930"/>
      <c r="AY216" s="1930"/>
      <c r="AZ216" s="1930"/>
      <c r="BA216" s="1930"/>
      <c r="BB216" s="1930"/>
      <c r="BC216" s="1934"/>
      <c r="BD216" s="676"/>
      <c r="BE216" s="676"/>
      <c r="BF216" s="998" t="s">
        <v>531</v>
      </c>
    </row>
    <row s="1621" customFormat="1" customHeight="1" ht="14.25" hidden="1">
      <c r="A217" s="676"/>
      <c r="B217" s="1176"/>
      <c r="C217" s="676"/>
      <c r="D217" s="676"/>
      <c r="E217" s="611">
        <v>15</v>
      </c>
      <c r="F217" s="50" cm="1" t="str">
        <f t="array" ref="F217:F217">OFFSET(E217,-1,1)</f>
        <v>2</v>
      </c>
      <c r="G217" s="676"/>
      <c r="H217" s="64" t="s">
        <v>532</v>
      </c>
      <c r="I217" s="676"/>
      <c r="J217" s="676"/>
      <c r="K217" s="676"/>
      <c r="L217" s="676"/>
      <c r="M217" s="676"/>
      <c r="N217" s="676"/>
      <c r="O217" s="676"/>
      <c r="P217" s="1316"/>
      <c r="Q217" s="1316"/>
      <c r="R217" s="1316"/>
      <c r="S217" s="1316"/>
      <c r="T217" s="439" cm="1" t="str">
        <f t="array" ref="T217:T217">T216</f>
        <v>false</v>
      </c>
      <c r="U217" s="1316"/>
      <c r="V217" s="676"/>
      <c r="W217" s="1316"/>
      <c r="X217" s="1482"/>
      <c r="Y217" s="1464"/>
      <c r="Z217" s="676"/>
      <c r="AA217" s="676"/>
      <c r="AB217" s="207" t="s">
        <v>533</v>
      </c>
      <c r="AC217" s="159" t="s">
        <v>534</v>
      </c>
      <c r="AD217" s="59" t="s">
        <v>512</v>
      </c>
      <c r="AE217" s="1930"/>
      <c r="AF217" s="1930"/>
      <c r="AG217" s="1930"/>
      <c r="AH217" s="1930"/>
      <c r="AI217" s="246"/>
      <c r="AJ217" s="1930"/>
      <c r="AK217" s="1930"/>
      <c r="AL217" s="1930"/>
      <c r="AM217" s="1930"/>
      <c r="AN217" s="1930"/>
      <c r="AO217" s="1930"/>
      <c r="AP217" s="1930"/>
      <c r="AQ217" s="1930"/>
      <c r="AR217" s="1930"/>
      <c r="AS217" s="246"/>
      <c r="AT217" s="1930"/>
      <c r="AU217" s="1930"/>
      <c r="AV217" s="1930"/>
      <c r="AW217" s="1930"/>
      <c r="AX217" s="1930"/>
      <c r="AY217" s="1930"/>
      <c r="AZ217" s="1930"/>
      <c r="BA217" s="1930"/>
      <c r="BB217" s="1930"/>
      <c r="BC217" s="1934"/>
      <c r="BD217" s="676"/>
      <c r="BE217" s="676"/>
      <c r="BF217" s="998" t="s">
        <v>535</v>
      </c>
    </row>
    <row s="1621" customFormat="1" customHeight="1" ht="14.625" hidden="1">
      <c r="A218" s="676"/>
      <c r="B218" s="1176"/>
      <c r="C218" s="676"/>
      <c r="D218" s="676"/>
      <c r="E218" s="611">
        <v>15</v>
      </c>
      <c r="F218" s="50" cm="1" t="str">
        <f t="array" ref="F218:F218">OFFSET(E218,-1,1)</f>
        <v>2</v>
      </c>
      <c r="G218" s="676"/>
      <c r="H218" s="64" t="s">
        <v>491</v>
      </c>
      <c r="I218" s="676"/>
      <c r="J218" s="676"/>
      <c r="K218" s="676"/>
      <c r="L218" s="676"/>
      <c r="M218" s="676"/>
      <c r="N218" s="676"/>
      <c r="O218" s="676"/>
      <c r="P218" s="1316"/>
      <c r="Q218" s="1316"/>
      <c r="R218" s="1316"/>
      <c r="S218" s="1316"/>
      <c r="T218" s="439" cm="1" t="str">
        <f t="array" ref="T218:T218">T217</f>
        <v>false</v>
      </c>
      <c r="U218" s="1316"/>
      <c r="V218" s="676"/>
      <c r="W218" s="1316"/>
      <c r="X218" s="1482"/>
      <c r="Y218" s="1464"/>
      <c r="Z218" s="676"/>
      <c r="AA218" s="676"/>
      <c r="AB218" s="207" t="s">
        <v>536</v>
      </c>
      <c r="AC218" s="296" t="s">
        <v>537</v>
      </c>
      <c r="AD218" s="59" t="s">
        <v>512</v>
      </c>
      <c r="AE218" s="1886"/>
      <c r="AF218" s="1886"/>
      <c r="AG218" s="1886"/>
      <c r="AH218" s="1886"/>
      <c r="AI218" s="243">
        <v>136.4819</v>
      </c>
      <c r="AJ218" s="1886"/>
      <c r="AK218" s="1886"/>
      <c r="AL218" s="1886"/>
      <c r="AM218" s="1886"/>
      <c r="AN218" s="1886"/>
      <c r="AO218" s="1886"/>
      <c r="AP218" s="1886"/>
      <c r="AQ218" s="1886"/>
      <c r="AR218" s="1886"/>
      <c r="AS218" s="243">
        <v>136.4819</v>
      </c>
      <c r="AT218" s="1886"/>
      <c r="AU218" s="1886"/>
      <c r="AV218" s="1886"/>
      <c r="AW218" s="1886"/>
      <c r="AX218" s="1886"/>
      <c r="AY218" s="1886"/>
      <c r="AZ218" s="1886"/>
      <c r="BA218" s="1886"/>
      <c r="BB218" s="1886"/>
      <c r="BC218" s="1934"/>
      <c r="BD218" s="676"/>
      <c r="BE218" s="676"/>
      <c r="BF218" s="998" t="s">
        <v>538</v>
      </c>
    </row>
    <row s="1621" customFormat="1" customHeight="1" ht="14.25" hidden="1">
      <c r="A219" s="676"/>
      <c r="B219" s="1176"/>
      <c r="C219" s="676"/>
      <c r="D219" s="676"/>
      <c r="E219" s="611">
        <v>15</v>
      </c>
      <c r="F219" s="50" cm="1" t="str">
        <f t="array" ref="F219:F219">OFFSET(E219,-1,1)</f>
        <v>2</v>
      </c>
      <c r="G219" s="676"/>
      <c r="H219" s="64" t="s">
        <v>495</v>
      </c>
      <c r="I219" s="676"/>
      <c r="J219" s="676"/>
      <c r="K219" s="676"/>
      <c r="L219" s="676"/>
      <c r="M219" s="676"/>
      <c r="N219" s="676"/>
      <c r="O219" s="676"/>
      <c r="P219" s="1316"/>
      <c r="Q219" s="1316"/>
      <c r="R219" s="1316"/>
      <c r="S219" s="1316"/>
      <c r="T219" s="439" cm="1" t="str">
        <f t="array" ref="T219:T219">T218</f>
        <v>false</v>
      </c>
      <c r="U219" s="1316"/>
      <c r="V219" s="676"/>
      <c r="W219" s="1316"/>
      <c r="X219" s="1482"/>
      <c r="Y219" s="1464"/>
      <c r="Z219" s="676"/>
      <c r="AA219" s="676"/>
      <c r="AB219" s="207" t="s">
        <v>492</v>
      </c>
      <c r="AC219" s="296" t="s">
        <v>539</v>
      </c>
      <c r="AD219" s="59" t="s">
        <v>512</v>
      </c>
      <c r="AE219" s="1930"/>
      <c r="AF219" s="1930"/>
      <c r="AG219" s="1930"/>
      <c r="AH219" s="1930"/>
      <c r="AI219" s="246"/>
      <c r="AJ219" s="1930"/>
      <c r="AK219" s="1930"/>
      <c r="AL219" s="1930"/>
      <c r="AM219" s="1930"/>
      <c r="AN219" s="1930"/>
      <c r="AO219" s="1930"/>
      <c r="AP219" s="1930"/>
      <c r="AQ219" s="1930"/>
      <c r="AR219" s="1930"/>
      <c r="AS219" s="246"/>
      <c r="AT219" s="1930"/>
      <c r="AU219" s="1930"/>
      <c r="AV219" s="1930"/>
      <c r="AW219" s="1930"/>
      <c r="AX219" s="1930"/>
      <c r="AY219" s="1930"/>
      <c r="AZ219" s="1930"/>
      <c r="BA219" s="1930"/>
      <c r="BB219" s="1930"/>
      <c r="BC219" s="1934"/>
      <c r="BD219" s="676"/>
      <c r="BE219" s="676"/>
      <c r="BF219" s="998" t="s">
        <v>540</v>
      </c>
    </row>
    <row s="1621" customFormat="1" customHeight="1" ht="14.25" hidden="1">
      <c r="A220" s="676"/>
      <c r="B220" s="1176"/>
      <c r="C220" s="676"/>
      <c r="D220" s="676"/>
      <c r="E220" s="611">
        <v>15</v>
      </c>
      <c r="F220" s="50" cm="1" t="str">
        <f t="array" ref="F220:F220">OFFSET(E220,-1,1)</f>
        <v>2</v>
      </c>
      <c r="G220" s="676"/>
      <c r="H220" s="64" t="s">
        <v>541</v>
      </c>
      <c r="I220" s="676"/>
      <c r="J220" s="676"/>
      <c r="K220" s="676"/>
      <c r="L220" s="676"/>
      <c r="M220" s="676"/>
      <c r="N220" s="676"/>
      <c r="O220" s="676"/>
      <c r="P220" s="1316"/>
      <c r="Q220" s="1316"/>
      <c r="R220" s="1316"/>
      <c r="S220" s="1316"/>
      <c r="T220" s="439" cm="1" t="str">
        <f t="array" ref="T220:T220">T219</f>
        <v>false</v>
      </c>
      <c r="U220" s="1316"/>
      <c r="V220" s="676"/>
      <c r="W220" s="1316"/>
      <c r="X220" s="1482"/>
      <c r="Y220" s="1464"/>
      <c r="Z220" s="676"/>
      <c r="AA220" s="676"/>
      <c r="AB220" s="207" t="s">
        <v>496</v>
      </c>
      <c r="AC220" s="297" t="s">
        <v>542</v>
      </c>
      <c r="AD220" s="59" t="s">
        <v>512</v>
      </c>
      <c r="AE220" s="282">
        <f>AE226+AE224</f>
        <v>0</v>
      </c>
      <c r="AF220" s="282">
        <f>AF226+AF224</f>
        <v>0</v>
      </c>
      <c r="AG220" s="282">
        <f>AG226+AG224</f>
        <v>0</v>
      </c>
      <c r="AH220" s="282">
        <f>AH226+AH224</f>
        <v>0</v>
      </c>
      <c r="AI220" s="282">
        <f>AI226+AI224</f>
        <v>0</v>
      </c>
      <c r="AJ220" s="282">
        <f>AJ226+AJ224</f>
        <v>0</v>
      </c>
      <c r="AK220" s="282">
        <f>AK226+AK224</f>
        <v>0</v>
      </c>
      <c r="AL220" s="282">
        <f>AL226+AL224</f>
        <v>0</v>
      </c>
      <c r="AM220" s="282">
        <f>AM226+AM224</f>
        <v>0</v>
      </c>
      <c r="AN220" s="282">
        <f>AN226+AN224</f>
        <v>0</v>
      </c>
      <c r="AO220" s="282">
        <f>AO226+AO224</f>
        <v>0</v>
      </c>
      <c r="AP220" s="282">
        <f>AP226+AP224</f>
        <v>0</v>
      </c>
      <c r="AQ220" s="282">
        <f>AQ226+AQ224</f>
        <v>0</v>
      </c>
      <c r="AR220" s="282">
        <f>AR226+AR224</f>
        <v>0</v>
      </c>
      <c r="AS220" s="282">
        <f>AS226+AS224</f>
        <v>0</v>
      </c>
      <c r="AT220" s="282">
        <f>AT226+AT224</f>
        <v>0</v>
      </c>
      <c r="AU220" s="282">
        <f>AU226+AU224</f>
        <v>0</v>
      </c>
      <c r="AV220" s="282">
        <f>AV226+AV224</f>
        <v>0</v>
      </c>
      <c r="AW220" s="282">
        <f>AW226+AW224</f>
        <v>0</v>
      </c>
      <c r="AX220" s="282">
        <f>AX226+AX224</f>
        <v>0</v>
      </c>
      <c r="AY220" s="282">
        <f>AY226+AY224</f>
        <v>0</v>
      </c>
      <c r="AZ220" s="282">
        <f>AZ226+AZ224</f>
        <v>0</v>
      </c>
      <c r="BA220" s="282">
        <f>BA226+BA224</f>
        <v>0</v>
      </c>
      <c r="BB220" s="282">
        <f>BB226+BB224</f>
        <v>0</v>
      </c>
      <c r="BC220" s="1934"/>
      <c r="BD220" s="676"/>
      <c r="BE220" s="676"/>
      <c r="BF220" s="998" t="s">
        <v>543</v>
      </c>
    </row>
    <row s="1621" customFormat="1" customHeight="1" ht="21.75" hidden="1">
      <c r="A221" s="676"/>
      <c r="B221" s="1176"/>
      <c r="C221" s="676"/>
      <c r="D221" s="676"/>
      <c r="E221" s="611">
        <v>22.5</v>
      </c>
      <c r="F221" s="50" cm="1" t="str">
        <f t="array" ref="F221:F221">OFFSET(E221,-1,1)</f>
        <v>2</v>
      </c>
      <c r="G221" s="676"/>
      <c r="H221" s="64" t="s">
        <v>544</v>
      </c>
      <c r="I221" s="676"/>
      <c r="J221" s="676"/>
      <c r="K221" s="676"/>
      <c r="L221" s="676"/>
      <c r="M221" s="676"/>
      <c r="N221" s="676"/>
      <c r="O221" s="676"/>
      <c r="P221" s="1316"/>
      <c r="Q221" s="1316"/>
      <c r="R221" s="1316"/>
      <c r="S221" s="1316"/>
      <c r="T221" s="439" cm="1" t="str">
        <f t="array" ref="T221:T221">T220</f>
        <v>false</v>
      </c>
      <c r="U221" s="1316"/>
      <c r="V221" s="676"/>
      <c r="W221" s="1316"/>
      <c r="X221" s="1482"/>
      <c r="Y221" s="1464"/>
      <c r="Z221" s="676"/>
      <c r="AA221" s="676"/>
      <c r="AB221" s="207" t="s">
        <v>545</v>
      </c>
      <c r="AC221" s="159" t="s">
        <v>546</v>
      </c>
      <c r="AD221" s="59" t="s">
        <v>512</v>
      </c>
      <c r="AE221" s="1930"/>
      <c r="AF221" s="1930"/>
      <c r="AG221" s="1930"/>
      <c r="AH221" s="1930"/>
      <c r="AI221" s="246"/>
      <c r="AJ221" s="1930"/>
      <c r="AK221" s="1930"/>
      <c r="AL221" s="1930"/>
      <c r="AM221" s="1930"/>
      <c r="AN221" s="1930"/>
      <c r="AO221" s="1930"/>
      <c r="AP221" s="1930"/>
      <c r="AQ221" s="1930"/>
      <c r="AR221" s="1930"/>
      <c r="AS221" s="246"/>
      <c r="AT221" s="1930"/>
      <c r="AU221" s="1930"/>
      <c r="AV221" s="1930"/>
      <c r="AW221" s="1930"/>
      <c r="AX221" s="1930"/>
      <c r="AY221" s="1930"/>
      <c r="AZ221" s="1930"/>
      <c r="BA221" s="1930"/>
      <c r="BB221" s="1930"/>
      <c r="BC221" s="1934"/>
      <c r="BD221" s="676"/>
      <c r="BE221" s="676"/>
      <c r="BF221" s="998" t="s">
        <v>547</v>
      </c>
    </row>
    <row s="1621" customFormat="1" customHeight="1" ht="14.25" hidden="1">
      <c r="A222" s="676"/>
      <c r="B222" s="1176"/>
      <c r="C222" s="676"/>
      <c r="D222" s="676"/>
      <c r="E222" s="611">
        <v>15</v>
      </c>
      <c r="F222" s="50" cm="1" t="str">
        <f t="array" ref="F222:F222">OFFSET(E222,-1,1)</f>
        <v>2</v>
      </c>
      <c r="G222" s="676"/>
      <c r="H222" s="64" t="s">
        <v>548</v>
      </c>
      <c r="I222" s="676"/>
      <c r="J222" s="676"/>
      <c r="K222" s="676"/>
      <c r="L222" s="676"/>
      <c r="M222" s="676"/>
      <c r="N222" s="676"/>
      <c r="O222" s="676"/>
      <c r="P222" s="1316"/>
      <c r="Q222" s="1316"/>
      <c r="R222" s="1316"/>
      <c r="S222" s="1316"/>
      <c r="T222" s="439" cm="1" t="str">
        <f t="array" ref="T222:T222">T221</f>
        <v>false</v>
      </c>
      <c r="U222" s="1316"/>
      <c r="V222" s="676"/>
      <c r="W222" s="1316"/>
      <c r="X222" s="1482"/>
      <c r="Y222" s="1464"/>
      <c r="Z222" s="676"/>
      <c r="AA222" s="676"/>
      <c r="AB222" s="207" t="s">
        <v>549</v>
      </c>
      <c r="AC222" s="159" t="s">
        <v>550</v>
      </c>
      <c r="AD222" s="59" t="s">
        <v>512</v>
      </c>
      <c r="AE222" s="1930"/>
      <c r="AF222" s="1930"/>
      <c r="AG222" s="1930"/>
      <c r="AH222" s="1930"/>
      <c r="AI222" s="246"/>
      <c r="AJ222" s="1930"/>
      <c r="AK222" s="1930"/>
      <c r="AL222" s="1930"/>
      <c r="AM222" s="1930"/>
      <c r="AN222" s="1930"/>
      <c r="AO222" s="1930"/>
      <c r="AP222" s="1930"/>
      <c r="AQ222" s="1930"/>
      <c r="AR222" s="1930"/>
      <c r="AS222" s="246"/>
      <c r="AT222" s="1930"/>
      <c r="AU222" s="1930"/>
      <c r="AV222" s="1930"/>
      <c r="AW222" s="1930"/>
      <c r="AX222" s="1930"/>
      <c r="AY222" s="1930"/>
      <c r="AZ222" s="1930"/>
      <c r="BA222" s="1930"/>
      <c r="BB222" s="1930"/>
      <c r="BC222" s="1934"/>
      <c r="BD222" s="676"/>
      <c r="BE222" s="676"/>
      <c r="BF222" s="998" t="s">
        <v>551</v>
      </c>
    </row>
    <row s="1621" customFormat="1" customHeight="1" ht="21.75" hidden="1">
      <c r="A223" s="676"/>
      <c r="B223" s="1176"/>
      <c r="C223" s="676"/>
      <c r="D223" s="676"/>
      <c r="E223" s="611">
        <v>22.5</v>
      </c>
      <c r="F223" s="50" cm="1" t="str">
        <f t="array" ref="F223:F223">OFFSET(E223,-1,1)</f>
        <v>2</v>
      </c>
      <c r="G223" s="676"/>
      <c r="H223" s="64" t="s">
        <v>552</v>
      </c>
      <c r="I223" s="676"/>
      <c r="J223" s="676"/>
      <c r="K223" s="676"/>
      <c r="L223" s="676"/>
      <c r="M223" s="676"/>
      <c r="N223" s="676"/>
      <c r="O223" s="676"/>
      <c r="P223" s="1316"/>
      <c r="Q223" s="1316"/>
      <c r="R223" s="1316"/>
      <c r="S223" s="1316"/>
      <c r="T223" s="439" cm="1" t="str">
        <f t="array" ref="T223:T223">T222</f>
        <v>false</v>
      </c>
      <c r="U223" s="1316"/>
      <c r="V223" s="676"/>
      <c r="W223" s="1316"/>
      <c r="X223" s="1482"/>
      <c r="Y223" s="1464"/>
      <c r="Z223" s="676"/>
      <c r="AA223" s="676"/>
      <c r="AB223" s="207" t="s">
        <v>553</v>
      </c>
      <c r="AC223" s="159" t="s">
        <v>554</v>
      </c>
      <c r="AD223" s="59" t="s">
        <v>512</v>
      </c>
      <c r="AE223" s="1930"/>
      <c r="AF223" s="1930"/>
      <c r="AG223" s="1930"/>
      <c r="AH223" s="1930"/>
      <c r="AI223" s="246"/>
      <c r="AJ223" s="1930"/>
      <c r="AK223" s="1930"/>
      <c r="AL223" s="1930"/>
      <c r="AM223" s="1930"/>
      <c r="AN223" s="1930"/>
      <c r="AO223" s="1930"/>
      <c r="AP223" s="1930"/>
      <c r="AQ223" s="1930"/>
      <c r="AR223" s="1930"/>
      <c r="AS223" s="246"/>
      <c r="AT223" s="1930"/>
      <c r="AU223" s="1930"/>
      <c r="AV223" s="1930"/>
      <c r="AW223" s="1930"/>
      <c r="AX223" s="1930"/>
      <c r="AY223" s="1930"/>
      <c r="AZ223" s="1930"/>
      <c r="BA223" s="1930"/>
      <c r="BB223" s="1930"/>
      <c r="BC223" s="1934"/>
      <c r="BD223" s="676"/>
      <c r="BE223" s="676"/>
      <c r="BF223" s="998" t="s">
        <v>555</v>
      </c>
    </row>
    <row s="1621" customFormat="1" customHeight="1" ht="14.25" hidden="1">
      <c r="A224" s="676"/>
      <c r="B224" s="1176"/>
      <c r="C224" s="676"/>
      <c r="D224" s="676"/>
      <c r="E224" s="611">
        <v>15</v>
      </c>
      <c r="F224" s="50" cm="1" t="str">
        <f t="array" ref="F224:F224">OFFSET(E224,-1,1)</f>
        <v>2</v>
      </c>
      <c r="G224" s="676"/>
      <c r="H224" s="64" t="s">
        <v>556</v>
      </c>
      <c r="I224" s="676"/>
      <c r="J224" s="676"/>
      <c r="K224" s="676"/>
      <c r="L224" s="676"/>
      <c r="M224" s="676"/>
      <c r="N224" s="676"/>
      <c r="O224" s="676"/>
      <c r="P224" s="1316"/>
      <c r="Q224" s="1316"/>
      <c r="R224" s="1316"/>
      <c r="S224" s="1316"/>
      <c r="T224" s="439" cm="1" t="str">
        <f t="array" ref="T224:T224">T223</f>
        <v>false</v>
      </c>
      <c r="U224" s="1316"/>
      <c r="V224" s="676"/>
      <c r="W224" s="1316"/>
      <c r="X224" s="1482"/>
      <c r="Y224" s="1464"/>
      <c r="Z224" s="676"/>
      <c r="AA224" s="676"/>
      <c r="AB224" s="207" t="s">
        <v>557</v>
      </c>
      <c r="AC224" s="296" t="s">
        <v>558</v>
      </c>
      <c r="AD224" s="59" t="s">
        <v>512</v>
      </c>
      <c r="AE224" s="1930"/>
      <c r="AF224" s="1930"/>
      <c r="AG224" s="1930"/>
      <c r="AH224" s="1930"/>
      <c r="AI224" s="246"/>
      <c r="AJ224" s="1930"/>
      <c r="AK224" s="1930"/>
      <c r="AL224" s="1930"/>
      <c r="AM224" s="1930"/>
      <c r="AN224" s="1930"/>
      <c r="AO224" s="1930"/>
      <c r="AP224" s="1930"/>
      <c r="AQ224" s="1930"/>
      <c r="AR224" s="1930"/>
      <c r="AS224" s="246"/>
      <c r="AT224" s="1930"/>
      <c r="AU224" s="1930"/>
      <c r="AV224" s="1930"/>
      <c r="AW224" s="1930"/>
      <c r="AX224" s="1930"/>
      <c r="AY224" s="1930"/>
      <c r="AZ224" s="1930"/>
      <c r="BA224" s="1930"/>
      <c r="BB224" s="1930"/>
      <c r="BC224" s="1934"/>
      <c r="BD224" s="676"/>
      <c r="BE224" s="676"/>
      <c r="BF224" s="998" t="s">
        <v>559</v>
      </c>
    </row>
    <row s="1621" customFormat="1" customHeight="1" ht="14.25" hidden="1">
      <c r="A225" s="676"/>
      <c r="B225" s="1176"/>
      <c r="C225" s="676"/>
      <c r="D225" s="676"/>
      <c r="E225" s="611">
        <v>15</v>
      </c>
      <c r="F225" s="50" cm="1" t="str">
        <f t="array" ref="F225:F225">OFFSET(E225,-1,1)</f>
        <v>2</v>
      </c>
      <c r="G225" s="676"/>
      <c r="H225" s="64" t="s">
        <v>560</v>
      </c>
      <c r="I225" s="676"/>
      <c r="J225" s="676"/>
      <c r="K225" s="676"/>
      <c r="L225" s="676"/>
      <c r="M225" s="676"/>
      <c r="N225" s="676"/>
      <c r="O225" s="676"/>
      <c r="P225" s="1316"/>
      <c r="Q225" s="1316"/>
      <c r="R225" s="1316"/>
      <c r="S225" s="1316"/>
      <c r="T225" s="439" cm="1" t="str">
        <f t="array" ref="T225:T225">T224</f>
        <v>false</v>
      </c>
      <c r="U225" s="1316"/>
      <c r="V225" s="676"/>
      <c r="W225" s="1316"/>
      <c r="X225" s="1482"/>
      <c r="Y225" s="1464"/>
      <c r="Z225" s="676"/>
      <c r="AA225" s="676"/>
      <c r="AB225" s="207" t="s">
        <v>561</v>
      </c>
      <c r="AC225" s="298" t="s">
        <v>562</v>
      </c>
      <c r="AD225" s="59" t="s">
        <v>437</v>
      </c>
      <c r="AE225" s="1764">
        <f>IF(AE220=0,0,AE224/AE220*100)</f>
        <v>0</v>
      </c>
      <c r="AF225" s="1764">
        <f>IF(AF220=0,0,AF224/AF220*100)</f>
        <v>0</v>
      </c>
      <c r="AG225" s="1764">
        <f>IF(AG220=0,0,AG224/AG220*100)</f>
        <v>0</v>
      </c>
      <c r="AH225" s="1764">
        <f>IF(AH220=0,0,AH224/AH220*100)</f>
        <v>0</v>
      </c>
      <c r="AI225" s="107">
        <f>IF(AI220=0,0,AI224/AI220*100)</f>
        <v>0</v>
      </c>
      <c r="AJ225" s="1764">
        <f>IF(AJ220=0,0,AJ224/AJ220*100)</f>
        <v>0</v>
      </c>
      <c r="AK225" s="1764">
        <f>IF(AK220=0,0,AK224/AK220*100)</f>
        <v>0</v>
      </c>
      <c r="AL225" s="1764">
        <f>IF(AL220=0,0,AL224/AL220*100)</f>
        <v>0</v>
      </c>
      <c r="AM225" s="1764">
        <f>IF(AM220=0,0,AM224/AM220*100)</f>
        <v>0</v>
      </c>
      <c r="AN225" s="1764">
        <f>IF(AN220=0,0,AN224/AN220*100)</f>
        <v>0</v>
      </c>
      <c r="AO225" s="1764">
        <f>IF(AO220=0,0,AO224/AO220*100)</f>
        <v>0</v>
      </c>
      <c r="AP225" s="1764">
        <f>IF(AP220=0,0,AP224/AP220*100)</f>
        <v>0</v>
      </c>
      <c r="AQ225" s="1764">
        <f>IF(AQ220=0,0,AQ224/AQ220*100)</f>
        <v>0</v>
      </c>
      <c r="AR225" s="1764">
        <f>IF(AR220=0,0,AR224/AR220*100)</f>
        <v>0</v>
      </c>
      <c r="AS225" s="107">
        <f>IF(AS220=0,0,AS224/AS220*100)</f>
        <v>0</v>
      </c>
      <c r="AT225" s="1764">
        <f>IF(AT220=0,0,AT224/AT220*100)</f>
        <v>0</v>
      </c>
      <c r="AU225" s="1764">
        <f>IF(AU220=0,0,AU224/AU220*100)</f>
        <v>0</v>
      </c>
      <c r="AV225" s="1764">
        <f>IF(AV220=0,0,AV224/AV220*100)</f>
        <v>0</v>
      </c>
      <c r="AW225" s="1764">
        <f>IF(AW220=0,0,AW224/AW220*100)</f>
        <v>0</v>
      </c>
      <c r="AX225" s="1764">
        <f>IF(AX220=0,0,AX224/AX220*100)</f>
        <v>0</v>
      </c>
      <c r="AY225" s="1764">
        <f>IF(AY220=0,0,AY224/AY220*100)</f>
        <v>0</v>
      </c>
      <c r="AZ225" s="1764">
        <f>IF(AZ220=0,0,AZ224/AZ220*100)</f>
        <v>0</v>
      </c>
      <c r="BA225" s="1764">
        <f>IF(BA220=0,0,BA224/BA220*100)</f>
        <v>0</v>
      </c>
      <c r="BB225" s="1764">
        <f>IF(BB220=0,0,BB224/BB220*100)</f>
        <v>0</v>
      </c>
      <c r="BC225" s="1934"/>
      <c r="BD225" s="676"/>
      <c r="BE225" s="676"/>
      <c r="BF225" s="998" t="s">
        <v>563</v>
      </c>
    </row>
    <row s="1621" customFormat="1" customHeight="1" ht="14.25" hidden="1">
      <c r="A226" s="676"/>
      <c r="B226" s="1176"/>
      <c r="C226" s="676"/>
      <c r="D226" s="676"/>
      <c r="E226" s="611">
        <v>15</v>
      </c>
      <c r="F226" s="50" cm="1" t="str">
        <f t="array" ref="F226:F226">OFFSET(E226,-1,1)</f>
        <v>2</v>
      </c>
      <c r="G226" s="676"/>
      <c r="H226" s="64" t="s">
        <v>564</v>
      </c>
      <c r="I226" s="676"/>
      <c r="J226" s="676"/>
      <c r="K226" s="676"/>
      <c r="L226" s="676"/>
      <c r="M226" s="676"/>
      <c r="N226" s="676"/>
      <c r="O226" s="676"/>
      <c r="P226" s="1316"/>
      <c r="Q226" s="1316"/>
      <c r="R226" s="1316"/>
      <c r="S226" s="1316"/>
      <c r="T226" s="439" cm="1" t="str">
        <f t="array" ref="T226:T226">T225</f>
        <v>false</v>
      </c>
      <c r="U226" s="1316"/>
      <c r="V226" s="676"/>
      <c r="W226" s="1316"/>
      <c r="X226" s="1482"/>
      <c r="Y226" s="1464"/>
      <c r="Z226" s="676"/>
      <c r="AA226" s="676"/>
      <c r="AB226" s="207" t="s">
        <v>565</v>
      </c>
      <c r="AC226" s="296" t="s">
        <v>566</v>
      </c>
      <c r="AD226" s="59" t="s">
        <v>512</v>
      </c>
      <c r="AE226" s="282">
        <f>AE227+AE231+AE234+AE244</f>
        <v>0</v>
      </c>
      <c r="AF226" s="282">
        <f>AF227+AF231+AF234+AF244</f>
        <v>0</v>
      </c>
      <c r="AG226" s="282">
        <f>AG227+AG231+AG234+AG244</f>
        <v>0</v>
      </c>
      <c r="AH226" s="282">
        <f>AH227+AH231+AH234+AH244</f>
        <v>0</v>
      </c>
      <c r="AI226" s="282">
        <f>AI227+AI231+AI234+AI244</f>
        <v>0</v>
      </c>
      <c r="AJ226" s="282">
        <f>AJ227+AJ231+AJ234+AJ244</f>
        <v>0</v>
      </c>
      <c r="AK226" s="282">
        <f>AK227+AK231+AK234+AK244</f>
        <v>0</v>
      </c>
      <c r="AL226" s="282">
        <f>AL227+AL231+AL234+AL244</f>
        <v>0</v>
      </c>
      <c r="AM226" s="282">
        <f>AM227+AM231+AM234+AM244</f>
        <v>0</v>
      </c>
      <c r="AN226" s="282">
        <f>AN227+AN231+AN234+AN244</f>
        <v>0</v>
      </c>
      <c r="AO226" s="282">
        <f>AO227+AO231+AO234+AO244</f>
        <v>0</v>
      </c>
      <c r="AP226" s="282">
        <f>AP227+AP231+AP234+AP244</f>
        <v>0</v>
      </c>
      <c r="AQ226" s="282">
        <f>AQ227+AQ231+AQ234+AQ244</f>
        <v>0</v>
      </c>
      <c r="AR226" s="282">
        <f>AR227+AR231+AR234+AR244</f>
        <v>0</v>
      </c>
      <c r="AS226" s="282">
        <f>AS227+AS231+AS234+AS244</f>
        <v>0</v>
      </c>
      <c r="AT226" s="282">
        <f>AT227+AT231+AT234+AT244</f>
        <v>0</v>
      </c>
      <c r="AU226" s="282">
        <f>AU227+AU231+AU234+AU244</f>
        <v>0</v>
      </c>
      <c r="AV226" s="282">
        <f>AV227+AV231+AV234+AV244</f>
        <v>0</v>
      </c>
      <c r="AW226" s="282">
        <f>AW227+AW231+AW234+AW244</f>
        <v>0</v>
      </c>
      <c r="AX226" s="282">
        <f>AX227+AX231+AX234+AX244</f>
        <v>0</v>
      </c>
      <c r="AY226" s="282">
        <f>AY227+AY231+AY234+AY244</f>
        <v>0</v>
      </c>
      <c r="AZ226" s="282">
        <f>AZ227+AZ231+AZ234+AZ244</f>
        <v>0</v>
      </c>
      <c r="BA226" s="282">
        <f>BA227+BA231+BA234+BA244</f>
        <v>0</v>
      </c>
      <c r="BB226" s="282">
        <f>BB227+BB231+BB234+BB244</f>
        <v>0</v>
      </c>
      <c r="BC226" s="1934"/>
      <c r="BD226" s="676"/>
      <c r="BE226" s="676"/>
      <c r="BF226" s="998" t="s">
        <v>567</v>
      </c>
    </row>
    <row s="1621" customFormat="1" customHeight="1" ht="14.25" hidden="1">
      <c r="A227" s="676"/>
      <c r="B227" s="1176"/>
      <c r="C227" s="676"/>
      <c r="D227" s="676"/>
      <c r="E227" s="611">
        <v>15</v>
      </c>
      <c r="F227" s="50" cm="1" t="str">
        <f t="array" ref="F227:F227">OFFSET(E227,-1,1)</f>
        <v>2</v>
      </c>
      <c r="G227" s="64" t="str">
        <f>IF(OwnNeedsInPO="да","ПО","")</f>
        <v>ПО</v>
      </c>
      <c r="H227" s="64" t="s">
        <v>568</v>
      </c>
      <c r="I227" s="676"/>
      <c r="J227" s="676"/>
      <c r="K227" s="676"/>
      <c r="L227" s="676"/>
      <c r="M227" s="676"/>
      <c r="N227" s="676"/>
      <c r="O227" s="676"/>
      <c r="P227" s="1316"/>
      <c r="Q227" s="1316"/>
      <c r="R227" s="1316"/>
      <c r="S227" s="1316"/>
      <c r="T227" s="439" cm="1" t="str">
        <f t="array" ref="T227:T227">T226</f>
        <v>false</v>
      </c>
      <c r="U227" s="1316"/>
      <c r="V227" s="676"/>
      <c r="W227" s="1316"/>
      <c r="X227" s="1482"/>
      <c r="Y227" s="1464"/>
      <c r="Z227" s="676"/>
      <c r="AA227" s="676"/>
      <c r="AB227" s="207" t="s">
        <v>569</v>
      </c>
      <c r="AC227" s="159" t="s">
        <v>570</v>
      </c>
      <c r="AD227" s="59" t="s">
        <v>512</v>
      </c>
      <c r="AE227" s="282">
        <f>SUM(AE228:AE230)</f>
        <v>0</v>
      </c>
      <c r="AF227" s="282">
        <f>SUM(AF228:AF230)</f>
        <v>0</v>
      </c>
      <c r="AG227" s="282">
        <f>SUM(AG228:AG230)</f>
        <v>0</v>
      </c>
      <c r="AH227" s="282">
        <f>SUM(AH228:AH230)</f>
        <v>0</v>
      </c>
      <c r="AI227" s="282">
        <f>SUM(AI228:AI230)</f>
        <v>0</v>
      </c>
      <c r="AJ227" s="282">
        <f>SUM(AJ228:AJ230)</f>
        <v>0</v>
      </c>
      <c r="AK227" s="282">
        <f>SUM(AK228:AK230)</f>
        <v>0</v>
      </c>
      <c r="AL227" s="282">
        <f>SUM(AL228:AL230)</f>
        <v>0</v>
      </c>
      <c r="AM227" s="282">
        <f>SUM(AM228:AM230)</f>
        <v>0</v>
      </c>
      <c r="AN227" s="282">
        <f>SUM(AN228:AN230)</f>
        <v>0</v>
      </c>
      <c r="AO227" s="282">
        <f>SUM(AO228:AO230)</f>
        <v>0</v>
      </c>
      <c r="AP227" s="282">
        <f>SUM(AP228:AP230)</f>
        <v>0</v>
      </c>
      <c r="AQ227" s="282">
        <f>SUM(AQ228:AQ230)</f>
        <v>0</v>
      </c>
      <c r="AR227" s="282">
        <f>SUM(AR228:AR230)</f>
        <v>0</v>
      </c>
      <c r="AS227" s="282">
        <f>SUM(AS228:AS230)</f>
        <v>0</v>
      </c>
      <c r="AT227" s="282">
        <f>SUM(AT228:AT230)</f>
        <v>0</v>
      </c>
      <c r="AU227" s="282">
        <f>SUM(AU228:AU230)</f>
        <v>0</v>
      </c>
      <c r="AV227" s="282">
        <f>SUM(AV228:AV230)</f>
        <v>0</v>
      </c>
      <c r="AW227" s="282">
        <f>SUM(AW228:AW230)</f>
        <v>0</v>
      </c>
      <c r="AX227" s="282">
        <f>SUM(AX228:AX230)</f>
        <v>0</v>
      </c>
      <c r="AY227" s="282">
        <f>SUM(AY228:AY230)</f>
        <v>0</v>
      </c>
      <c r="AZ227" s="282">
        <f>SUM(AZ228:AZ230)</f>
        <v>0</v>
      </c>
      <c r="BA227" s="282">
        <f>SUM(BA228:BA230)</f>
        <v>0</v>
      </c>
      <c r="BB227" s="282">
        <f>SUM(BB228:BB230)</f>
        <v>0</v>
      </c>
      <c r="BC227" s="1934"/>
      <c r="BD227" s="676"/>
      <c r="BE227" s="676"/>
      <c r="BF227" s="998" t="s">
        <v>571</v>
      </c>
    </row>
    <row s="1621" customFormat="1" customHeight="1" ht="14.25" hidden="1">
      <c r="A228" s="676"/>
      <c r="B228" s="1176"/>
      <c r="C228" s="676"/>
      <c r="D228" s="676"/>
      <c r="E228" s="611">
        <v>15</v>
      </c>
      <c r="F228" s="50" cm="1" t="str">
        <f t="array" ref="F228:F228">OFFSET(E228,-1,1)</f>
        <v>2</v>
      </c>
      <c r="G228" s="676"/>
      <c r="H228" s="64" t="s">
        <v>572</v>
      </c>
      <c r="I228" s="676"/>
      <c r="J228" s="676"/>
      <c r="K228" s="676"/>
      <c r="L228" s="676"/>
      <c r="M228" s="676"/>
      <c r="N228" s="676"/>
      <c r="O228" s="676"/>
      <c r="P228" s="1316"/>
      <c r="Q228" s="1316"/>
      <c r="R228" s="1316"/>
      <c r="S228" s="1316"/>
      <c r="T228" s="439" cm="1" t="str">
        <f t="array" ref="T228:T228">T227</f>
        <v>false</v>
      </c>
      <c r="U228" s="1316"/>
      <c r="V228" s="676"/>
      <c r="W228" s="1316"/>
      <c r="X228" s="1482"/>
      <c r="Y228" s="1464"/>
      <c r="Z228" s="676"/>
      <c r="AA228" s="676"/>
      <c r="AB228" s="207" t="s">
        <v>573</v>
      </c>
      <c r="AC228" s="299" t="s">
        <v>574</v>
      </c>
      <c r="AD228" s="59" t="s">
        <v>512</v>
      </c>
      <c r="AE228" s="1930"/>
      <c r="AF228" s="1930"/>
      <c r="AG228" s="1930"/>
      <c r="AH228" s="1930"/>
      <c r="AI228" s="246"/>
      <c r="AJ228" s="1930"/>
      <c r="AK228" s="1930"/>
      <c r="AL228" s="1930"/>
      <c r="AM228" s="1930"/>
      <c r="AN228" s="1930"/>
      <c r="AO228" s="1930"/>
      <c r="AP228" s="1930"/>
      <c r="AQ228" s="1930"/>
      <c r="AR228" s="1930"/>
      <c r="AS228" s="246"/>
      <c r="AT228" s="1930"/>
      <c r="AU228" s="1930"/>
      <c r="AV228" s="1930"/>
      <c r="AW228" s="1930"/>
      <c r="AX228" s="1930"/>
      <c r="AY228" s="1930"/>
      <c r="AZ228" s="1930"/>
      <c r="BA228" s="1930"/>
      <c r="BB228" s="1930"/>
      <c r="BC228" s="1934"/>
      <c r="BD228" s="676"/>
      <c r="BE228" s="676"/>
      <c r="BF228" s="998" t="s">
        <v>575</v>
      </c>
    </row>
    <row s="1621" customFormat="1" customHeight="1" ht="14.25" hidden="1">
      <c r="A229" s="676"/>
      <c r="B229" s="1176"/>
      <c r="C229" s="676"/>
      <c r="D229" s="676"/>
      <c r="E229" s="611">
        <v>15</v>
      </c>
      <c r="F229" s="50" cm="1" t="str">
        <f t="array" ref="F229:F229">OFFSET(E229,-1,1)</f>
        <v>2</v>
      </c>
      <c r="G229" s="676"/>
      <c r="H229" s="64" t="s">
        <v>576</v>
      </c>
      <c r="I229" s="676"/>
      <c r="J229" s="676"/>
      <c r="K229" s="676"/>
      <c r="L229" s="676"/>
      <c r="M229" s="676"/>
      <c r="N229" s="676"/>
      <c r="O229" s="676"/>
      <c r="P229" s="1316"/>
      <c r="Q229" s="1316"/>
      <c r="R229" s="1316"/>
      <c r="S229" s="1316"/>
      <c r="T229" s="439" cm="1" t="str">
        <f t="array" ref="T229:T229">T228</f>
        <v>false</v>
      </c>
      <c r="U229" s="1316"/>
      <c r="V229" s="676"/>
      <c r="W229" s="1316"/>
      <c r="X229" s="1482"/>
      <c r="Y229" s="1464"/>
      <c r="Z229" s="676"/>
      <c r="AA229" s="676"/>
      <c r="AB229" s="207" t="s">
        <v>577</v>
      </c>
      <c r="AC229" s="299" t="s">
        <v>578</v>
      </c>
      <c r="AD229" s="59" t="s">
        <v>512</v>
      </c>
      <c r="AE229" s="1930"/>
      <c r="AF229" s="1930"/>
      <c r="AG229" s="1930"/>
      <c r="AH229" s="1930"/>
      <c r="AI229" s="246"/>
      <c r="AJ229" s="1930"/>
      <c r="AK229" s="1930"/>
      <c r="AL229" s="1930"/>
      <c r="AM229" s="1930"/>
      <c r="AN229" s="1930"/>
      <c r="AO229" s="1930"/>
      <c r="AP229" s="1930"/>
      <c r="AQ229" s="1930"/>
      <c r="AR229" s="1930"/>
      <c r="AS229" s="246"/>
      <c r="AT229" s="1930"/>
      <c r="AU229" s="1930"/>
      <c r="AV229" s="1930"/>
      <c r="AW229" s="1930"/>
      <c r="AX229" s="1930"/>
      <c r="AY229" s="1930"/>
      <c r="AZ229" s="1930"/>
      <c r="BA229" s="1930"/>
      <c r="BB229" s="1930"/>
      <c r="BC229" s="1934"/>
      <c r="BD229" s="676"/>
      <c r="BE229" s="676"/>
      <c r="BF229" s="998" t="s">
        <v>579</v>
      </c>
    </row>
    <row s="1621" customFormat="1" customHeight="1" ht="14.25" hidden="1">
      <c r="A230" s="676"/>
      <c r="B230" s="1176"/>
      <c r="C230" s="676"/>
      <c r="D230" s="676"/>
      <c r="E230" s="611">
        <v>15</v>
      </c>
      <c r="F230" s="50" cm="1" t="str">
        <f t="array" ref="F230:F230">OFFSET(E230,-1,1)</f>
        <v>2</v>
      </c>
      <c r="G230" s="676"/>
      <c r="H230" s="64" t="s">
        <v>580</v>
      </c>
      <c r="I230" s="676"/>
      <c r="J230" s="676"/>
      <c r="K230" s="676"/>
      <c r="L230" s="676"/>
      <c r="M230" s="676"/>
      <c r="N230" s="676"/>
      <c r="O230" s="676"/>
      <c r="P230" s="1316"/>
      <c r="Q230" s="1316"/>
      <c r="R230" s="1316"/>
      <c r="S230" s="1316"/>
      <c r="T230" s="439" cm="1" t="str">
        <f t="array" ref="T230:T230">T229</f>
        <v>false</v>
      </c>
      <c r="U230" s="1316"/>
      <c r="V230" s="676"/>
      <c r="W230" s="1316"/>
      <c r="X230" s="1482"/>
      <c r="Y230" s="1464"/>
      <c r="Z230" s="676"/>
      <c r="AA230" s="676"/>
      <c r="AB230" s="207" t="s">
        <v>581</v>
      </c>
      <c r="AC230" s="299" t="s">
        <v>582</v>
      </c>
      <c r="AD230" s="59" t="s">
        <v>512</v>
      </c>
      <c r="AE230" s="1930"/>
      <c r="AF230" s="1930"/>
      <c r="AG230" s="1930"/>
      <c r="AH230" s="1930"/>
      <c r="AI230" s="246"/>
      <c r="AJ230" s="1930"/>
      <c r="AK230" s="1930"/>
      <c r="AL230" s="1930"/>
      <c r="AM230" s="1930"/>
      <c r="AN230" s="1930"/>
      <c r="AO230" s="1930"/>
      <c r="AP230" s="1930"/>
      <c r="AQ230" s="1930"/>
      <c r="AR230" s="1930"/>
      <c r="AS230" s="246"/>
      <c r="AT230" s="1930"/>
      <c r="AU230" s="1930"/>
      <c r="AV230" s="1930"/>
      <c r="AW230" s="1930"/>
      <c r="AX230" s="1930"/>
      <c r="AY230" s="1930"/>
      <c r="AZ230" s="1930"/>
      <c r="BA230" s="1930"/>
      <c r="BB230" s="1930"/>
      <c r="BC230" s="1934"/>
      <c r="BD230" s="676"/>
      <c r="BE230" s="676"/>
      <c r="BF230" s="998" t="s">
        <v>583</v>
      </c>
    </row>
    <row s="1621" customFormat="1" customHeight="1" ht="14.25" hidden="1">
      <c r="A231" s="676"/>
      <c r="B231" s="1176"/>
      <c r="C231" s="676"/>
      <c r="D231" s="676"/>
      <c r="E231" s="611">
        <v>15</v>
      </c>
      <c r="F231" s="50" cm="1" t="str">
        <f t="array" ref="F231:F231">OFFSET(E231,-1,1)</f>
        <v>2</v>
      </c>
      <c r="G231" s="64" t="s">
        <v>584</v>
      </c>
      <c r="H231" s="64" t="s">
        <v>585</v>
      </c>
      <c r="I231" s="676"/>
      <c r="J231" s="676"/>
      <c r="K231" s="676"/>
      <c r="L231" s="676"/>
      <c r="M231" s="676"/>
      <c r="N231" s="676"/>
      <c r="O231" s="676"/>
      <c r="P231" s="1316"/>
      <c r="Q231" s="1316"/>
      <c r="R231" s="1316"/>
      <c r="S231" s="1316"/>
      <c r="T231" s="439" cm="1" t="str">
        <f t="array" ref="T231:T231">T230</f>
        <v>false</v>
      </c>
      <c r="U231" s="1316"/>
      <c r="V231" s="676"/>
      <c r="W231" s="1316"/>
      <c r="X231" s="1482"/>
      <c r="Y231" s="1464"/>
      <c r="Z231" s="676"/>
      <c r="AA231" s="676"/>
      <c r="AB231" s="207" t="s">
        <v>586</v>
      </c>
      <c r="AC231" s="159" t="s">
        <v>587</v>
      </c>
      <c r="AD231" s="59" t="s">
        <v>512</v>
      </c>
      <c r="AE231" s="282">
        <f>SUM(AE232:AE233)</f>
        <v>0</v>
      </c>
      <c r="AF231" s="282">
        <f>SUM(AF232:AF233)</f>
        <v>0</v>
      </c>
      <c r="AG231" s="282">
        <f>SUM(AG232:AG233)</f>
        <v>0</v>
      </c>
      <c r="AH231" s="282">
        <f>SUM(AH232:AH233)</f>
        <v>0</v>
      </c>
      <c r="AI231" s="282">
        <f>SUM(AI232:AI233)</f>
        <v>0</v>
      </c>
      <c r="AJ231" s="282">
        <f>SUM(AJ232:AJ233)</f>
        <v>0</v>
      </c>
      <c r="AK231" s="282">
        <f>SUM(AK232:AK233)</f>
        <v>0</v>
      </c>
      <c r="AL231" s="282">
        <f>SUM(AL232:AL233)</f>
        <v>0</v>
      </c>
      <c r="AM231" s="282">
        <f>SUM(AM232:AM233)</f>
        <v>0</v>
      </c>
      <c r="AN231" s="282">
        <f>SUM(AN232:AN233)</f>
        <v>0</v>
      </c>
      <c r="AO231" s="282">
        <f>SUM(AO232:AO233)</f>
        <v>0</v>
      </c>
      <c r="AP231" s="282">
        <f>SUM(AP232:AP233)</f>
        <v>0</v>
      </c>
      <c r="AQ231" s="282">
        <f>SUM(AQ232:AQ233)</f>
        <v>0</v>
      </c>
      <c r="AR231" s="282">
        <f>SUM(AR232:AR233)</f>
        <v>0</v>
      </c>
      <c r="AS231" s="282">
        <f>SUM(AS232:AS233)</f>
        <v>0</v>
      </c>
      <c r="AT231" s="282">
        <f>SUM(AT232:AT233)</f>
        <v>0</v>
      </c>
      <c r="AU231" s="282">
        <f>SUM(AU232:AU233)</f>
        <v>0</v>
      </c>
      <c r="AV231" s="282">
        <f>SUM(AV232:AV233)</f>
        <v>0</v>
      </c>
      <c r="AW231" s="282">
        <f>SUM(AW232:AW233)</f>
        <v>0</v>
      </c>
      <c r="AX231" s="282">
        <f>SUM(AX232:AX233)</f>
        <v>0</v>
      </c>
      <c r="AY231" s="282">
        <f>SUM(AY232:AY233)</f>
        <v>0</v>
      </c>
      <c r="AZ231" s="282">
        <f>SUM(AZ232:AZ233)</f>
        <v>0</v>
      </c>
      <c r="BA231" s="282">
        <f>SUM(BA232:BA233)</f>
        <v>0</v>
      </c>
      <c r="BB231" s="282">
        <f>SUM(BB232:BB233)</f>
        <v>0</v>
      </c>
      <c r="BC231" s="1934"/>
      <c r="BD231" s="676"/>
      <c r="BE231" s="676"/>
      <c r="BF231" s="998" t="s">
        <v>588</v>
      </c>
    </row>
    <row s="1621" customFormat="1" customHeight="1" ht="14.25" hidden="1">
      <c r="A232" s="676"/>
      <c r="B232" s="1176"/>
      <c r="C232" s="676"/>
      <c r="D232" s="676"/>
      <c r="E232" s="611">
        <v>15</v>
      </c>
      <c r="F232" s="50" cm="1" t="str">
        <f t="array" ref="F232:F232">OFFSET(E232,-1,1)</f>
        <v>2</v>
      </c>
      <c r="G232" s="676"/>
      <c r="H232" s="64" t="s">
        <v>589</v>
      </c>
      <c r="I232" s="676"/>
      <c r="J232" s="676"/>
      <c r="K232" s="676"/>
      <c r="L232" s="676"/>
      <c r="M232" s="676"/>
      <c r="N232" s="676"/>
      <c r="O232" s="676"/>
      <c r="P232" s="1316"/>
      <c r="Q232" s="1316"/>
      <c r="R232" s="1316"/>
      <c r="S232" s="1316"/>
      <c r="T232" s="439" cm="1" t="str">
        <f t="array" ref="T232:T232">T231</f>
        <v>false</v>
      </c>
      <c r="U232" s="1316"/>
      <c r="V232" s="676"/>
      <c r="W232" s="1316"/>
      <c r="X232" s="1482"/>
      <c r="Y232" s="1464"/>
      <c r="Z232" s="676"/>
      <c r="AA232" s="676"/>
      <c r="AB232" s="207" t="s">
        <v>590</v>
      </c>
      <c r="AC232" s="299" t="s">
        <v>591</v>
      </c>
      <c r="AD232" s="59" t="s">
        <v>512</v>
      </c>
      <c r="AE232" s="1930"/>
      <c r="AF232" s="1930"/>
      <c r="AG232" s="1930"/>
      <c r="AH232" s="1930"/>
      <c r="AI232" s="246"/>
      <c r="AJ232" s="1930"/>
      <c r="AK232" s="1930"/>
      <c r="AL232" s="1930"/>
      <c r="AM232" s="1930"/>
      <c r="AN232" s="1930"/>
      <c r="AO232" s="1930"/>
      <c r="AP232" s="1930"/>
      <c r="AQ232" s="1930"/>
      <c r="AR232" s="1930"/>
      <c r="AS232" s="246"/>
      <c r="AT232" s="1930"/>
      <c r="AU232" s="1930"/>
      <c r="AV232" s="1930"/>
      <c r="AW232" s="1930"/>
      <c r="AX232" s="1930"/>
      <c r="AY232" s="1930"/>
      <c r="AZ232" s="1930"/>
      <c r="BA232" s="1930"/>
      <c r="BB232" s="1930"/>
      <c r="BC232" s="1934"/>
      <c r="BD232" s="676"/>
      <c r="BE232" s="676"/>
      <c r="BF232" s="998" t="s">
        <v>592</v>
      </c>
    </row>
    <row s="1621" customFormat="1" customHeight="1" ht="14.25" hidden="1">
      <c r="A233" s="676"/>
      <c r="B233" s="1176"/>
      <c r="C233" s="676"/>
      <c r="D233" s="676"/>
      <c r="E233" s="611">
        <v>15</v>
      </c>
      <c r="F233" s="50" cm="1" t="str">
        <f t="array" ref="F233:F233">OFFSET(E233,-1,1)</f>
        <v>2</v>
      </c>
      <c r="G233" s="676"/>
      <c r="H233" s="64" t="s">
        <v>593</v>
      </c>
      <c r="I233" s="676"/>
      <c r="J233" s="676"/>
      <c r="K233" s="676"/>
      <c r="L233" s="676"/>
      <c r="M233" s="676"/>
      <c r="N233" s="676"/>
      <c r="O233" s="676"/>
      <c r="P233" s="1316"/>
      <c r="Q233" s="1316"/>
      <c r="R233" s="1316"/>
      <c r="S233" s="1316"/>
      <c r="T233" s="439" cm="1" t="str">
        <f t="array" ref="T233:T233">T232</f>
        <v>false</v>
      </c>
      <c r="U233" s="1316"/>
      <c r="V233" s="676"/>
      <c r="W233" s="1316"/>
      <c r="X233" s="1482"/>
      <c r="Y233" s="1464"/>
      <c r="Z233" s="676"/>
      <c r="AA233" s="676"/>
      <c r="AB233" s="207" t="s">
        <v>594</v>
      </c>
      <c r="AC233" s="299" t="s">
        <v>595</v>
      </c>
      <c r="AD233" s="59" t="s">
        <v>512</v>
      </c>
      <c r="AE233" s="1930"/>
      <c r="AF233" s="1930"/>
      <c r="AG233" s="1930"/>
      <c r="AH233" s="1930"/>
      <c r="AI233" s="246"/>
      <c r="AJ233" s="1930"/>
      <c r="AK233" s="1930"/>
      <c r="AL233" s="1930"/>
      <c r="AM233" s="1930"/>
      <c r="AN233" s="1930"/>
      <c r="AO233" s="1930"/>
      <c r="AP233" s="1930"/>
      <c r="AQ233" s="1930"/>
      <c r="AR233" s="1930"/>
      <c r="AS233" s="246"/>
      <c r="AT233" s="1930"/>
      <c r="AU233" s="1930"/>
      <c r="AV233" s="1930"/>
      <c r="AW233" s="1930"/>
      <c r="AX233" s="1930"/>
      <c r="AY233" s="1930"/>
      <c r="AZ233" s="1930"/>
      <c r="BA233" s="1930"/>
      <c r="BB233" s="1930"/>
      <c r="BC233" s="1934"/>
      <c r="BD233" s="676"/>
      <c r="BE233" s="676"/>
      <c r="BF233" s="998" t="s">
        <v>596</v>
      </c>
    </row>
    <row s="1621" customFormat="1" customHeight="1" ht="14.25" hidden="1">
      <c r="A234" s="676"/>
      <c r="B234" s="1176"/>
      <c r="C234" s="676"/>
      <c r="D234" s="676"/>
      <c r="E234" s="611">
        <v>15</v>
      </c>
      <c r="F234" s="50" cm="1" t="str">
        <f t="array" ref="F234:F234">OFFSET(E234,-1,1)</f>
        <v>2</v>
      </c>
      <c r="G234" s="64" t="s">
        <v>584</v>
      </c>
      <c r="H234" s="64" t="s">
        <v>597</v>
      </c>
      <c r="I234" s="676"/>
      <c r="J234" s="676"/>
      <c r="K234" s="676"/>
      <c r="L234" s="676"/>
      <c r="M234" s="676"/>
      <c r="N234" s="676"/>
      <c r="O234" s="676"/>
      <c r="P234" s="1316"/>
      <c r="Q234" s="1316"/>
      <c r="R234" s="1316"/>
      <c r="S234" s="1316"/>
      <c r="T234" s="439" cm="1" t="str">
        <f t="array" ref="T234:T234">T233</f>
        <v>false</v>
      </c>
      <c r="U234" s="1316"/>
      <c r="V234" s="676"/>
      <c r="W234" s="1316"/>
      <c r="X234" s="1482"/>
      <c r="Y234" s="1464"/>
      <c r="Z234" s="676"/>
      <c r="AA234" s="676"/>
      <c r="AB234" s="207" t="s">
        <v>598</v>
      </c>
      <c r="AC234" s="159" t="s">
        <v>599</v>
      </c>
      <c r="AD234" s="59" t="s">
        <v>512</v>
      </c>
      <c r="AE234" s="282">
        <f>AE235+AE238+AE241</f>
        <v>0</v>
      </c>
      <c r="AF234" s="282">
        <f>AF235+AF238+AF241</f>
        <v>0</v>
      </c>
      <c r="AG234" s="282">
        <f>AG235+AG238+AG241</f>
        <v>0</v>
      </c>
      <c r="AH234" s="282">
        <f>AH235+AH238+AH241</f>
        <v>0</v>
      </c>
      <c r="AI234" s="282">
        <f>AI235+AI238+AI241</f>
        <v>0</v>
      </c>
      <c r="AJ234" s="282">
        <f>AJ235+AJ238+AJ241</f>
        <v>0</v>
      </c>
      <c r="AK234" s="282">
        <f>AK235+AK238+AK241</f>
        <v>0</v>
      </c>
      <c r="AL234" s="282">
        <f>AL235+AL238+AL241</f>
        <v>0</v>
      </c>
      <c r="AM234" s="282">
        <f>AM235+AM238+AM241</f>
        <v>0</v>
      </c>
      <c r="AN234" s="282">
        <f>AN235+AN238+AN241</f>
        <v>0</v>
      </c>
      <c r="AO234" s="282">
        <f>AO235+AO238+AO241</f>
        <v>0</v>
      </c>
      <c r="AP234" s="282">
        <f>AP235+AP238+AP241</f>
        <v>0</v>
      </c>
      <c r="AQ234" s="282">
        <f>AQ235+AQ238+AQ241</f>
        <v>0</v>
      </c>
      <c r="AR234" s="282">
        <f>AR235+AR238+AR241</f>
        <v>0</v>
      </c>
      <c r="AS234" s="282">
        <f>AS235+AS238+AS241</f>
        <v>0</v>
      </c>
      <c r="AT234" s="282">
        <f>AT235+AT238+AT241</f>
        <v>0</v>
      </c>
      <c r="AU234" s="282">
        <f>AU235+AU238+AU241</f>
        <v>0</v>
      </c>
      <c r="AV234" s="282">
        <f>AV235+AV238+AV241</f>
        <v>0</v>
      </c>
      <c r="AW234" s="282">
        <f>AW235+AW238+AW241</f>
        <v>0</v>
      </c>
      <c r="AX234" s="282">
        <f>AX235+AX238+AX241</f>
        <v>0</v>
      </c>
      <c r="AY234" s="282">
        <f>AY235+AY238+AY241</f>
        <v>0</v>
      </c>
      <c r="AZ234" s="282">
        <f>AZ235+AZ238+AZ241</f>
        <v>0</v>
      </c>
      <c r="BA234" s="282">
        <f>BA235+BA238+BA241</f>
        <v>0</v>
      </c>
      <c r="BB234" s="282">
        <f>BB235+BB238+BB241</f>
        <v>0</v>
      </c>
      <c r="BC234" s="1934"/>
      <c r="BD234" s="676"/>
      <c r="BE234" s="676"/>
      <c r="BF234" s="998" t="s">
        <v>600</v>
      </c>
    </row>
    <row s="1621" customFormat="1" customHeight="1" ht="14.25" hidden="1">
      <c r="A235" s="676"/>
      <c r="B235" s="1176"/>
      <c r="C235" s="676"/>
      <c r="D235" s="676"/>
      <c r="E235" s="611">
        <v>15</v>
      </c>
      <c r="F235" s="50" cm="1" t="str">
        <f t="array" ref="F235:F235">OFFSET(E235,-1,1)</f>
        <v>2</v>
      </c>
      <c r="G235" s="676"/>
      <c r="H235" s="64" t="s">
        <v>601</v>
      </c>
      <c r="I235" s="676"/>
      <c r="J235" s="676"/>
      <c r="K235" s="676"/>
      <c r="L235" s="676"/>
      <c r="M235" s="676"/>
      <c r="N235" s="676"/>
      <c r="O235" s="676"/>
      <c r="P235" s="1316"/>
      <c r="Q235" s="1316"/>
      <c r="R235" s="1316"/>
      <c r="S235" s="1316"/>
      <c r="T235" s="439" cm="1" t="str">
        <f t="array" ref="T235:T235">T234</f>
        <v>false</v>
      </c>
      <c r="U235" s="1316"/>
      <c r="V235" s="676"/>
      <c r="W235" s="1316"/>
      <c r="X235" s="1482"/>
      <c r="Y235" s="1464"/>
      <c r="Z235" s="676"/>
      <c r="AA235" s="676"/>
      <c r="AB235" s="207" t="s">
        <v>602</v>
      </c>
      <c r="AC235" s="299" t="s">
        <v>603</v>
      </c>
      <c r="AD235" s="59" t="s">
        <v>512</v>
      </c>
      <c r="AE235" s="282">
        <f>SUM(AE236:AE237)</f>
        <v>0</v>
      </c>
      <c r="AF235" s="282">
        <f>SUM(AF236:AF237)</f>
        <v>0</v>
      </c>
      <c r="AG235" s="282">
        <f>SUM(AG236:AG237)</f>
        <v>0</v>
      </c>
      <c r="AH235" s="282">
        <f>SUM(AH236:AH237)</f>
        <v>0</v>
      </c>
      <c r="AI235" s="282">
        <f>SUM(AI236:AI237)</f>
        <v>0</v>
      </c>
      <c r="AJ235" s="282">
        <f>SUM(AJ236:AJ237)</f>
        <v>0</v>
      </c>
      <c r="AK235" s="282">
        <f>SUM(AK236:AK237)</f>
        <v>0</v>
      </c>
      <c r="AL235" s="282">
        <f>SUM(AL236:AL237)</f>
        <v>0</v>
      </c>
      <c r="AM235" s="282">
        <f>SUM(AM236:AM237)</f>
        <v>0</v>
      </c>
      <c r="AN235" s="282">
        <f>SUM(AN236:AN237)</f>
        <v>0</v>
      </c>
      <c r="AO235" s="282">
        <f>SUM(AO236:AO237)</f>
        <v>0</v>
      </c>
      <c r="AP235" s="282">
        <f>SUM(AP236:AP237)</f>
        <v>0</v>
      </c>
      <c r="AQ235" s="282">
        <f>SUM(AQ236:AQ237)</f>
        <v>0</v>
      </c>
      <c r="AR235" s="282">
        <f>SUM(AR236:AR237)</f>
        <v>0</v>
      </c>
      <c r="AS235" s="282">
        <f>SUM(AS236:AS237)</f>
        <v>0</v>
      </c>
      <c r="AT235" s="282">
        <f>SUM(AT236:AT237)</f>
        <v>0</v>
      </c>
      <c r="AU235" s="282">
        <f>SUM(AU236:AU237)</f>
        <v>0</v>
      </c>
      <c r="AV235" s="282">
        <f>SUM(AV236:AV237)</f>
        <v>0</v>
      </c>
      <c r="AW235" s="282">
        <f>SUM(AW236:AW237)</f>
        <v>0</v>
      </c>
      <c r="AX235" s="282">
        <f>SUM(AX236:AX237)</f>
        <v>0</v>
      </c>
      <c r="AY235" s="282">
        <f>SUM(AY236:AY237)</f>
        <v>0</v>
      </c>
      <c r="AZ235" s="282">
        <f>SUM(AZ236:AZ237)</f>
        <v>0</v>
      </c>
      <c r="BA235" s="282">
        <f>SUM(BA236:BA237)</f>
        <v>0</v>
      </c>
      <c r="BB235" s="282">
        <f>SUM(BB236:BB237)</f>
        <v>0</v>
      </c>
      <c r="BC235" s="1934"/>
      <c r="BD235" s="676"/>
      <c r="BE235" s="676"/>
      <c r="BF235" s="998" t="s">
        <v>604</v>
      </c>
    </row>
    <row s="1621" customFormat="1" customHeight="1" ht="14.25" hidden="1">
      <c r="A236" s="676"/>
      <c r="B236" s="1176"/>
      <c r="C236" s="676"/>
      <c r="D236" s="676"/>
      <c r="E236" s="611">
        <v>15</v>
      </c>
      <c r="F236" s="50" cm="1" t="str">
        <f t="array" ref="F236:F236">OFFSET(E236,-1,1)</f>
        <v>2</v>
      </c>
      <c r="G236" s="676"/>
      <c r="H236" s="64" t="s">
        <v>605</v>
      </c>
      <c r="I236" s="676"/>
      <c r="J236" s="676"/>
      <c r="K236" s="676"/>
      <c r="L236" s="676"/>
      <c r="M236" s="676"/>
      <c r="N236" s="676"/>
      <c r="O236" s="676"/>
      <c r="P236" s="1316"/>
      <c r="Q236" s="1316"/>
      <c r="R236" s="1316"/>
      <c r="S236" s="1316"/>
      <c r="T236" s="439" cm="1" t="str">
        <f t="array" ref="T236:T236">T235</f>
        <v>false</v>
      </c>
      <c r="U236" s="1316"/>
      <c r="V236" s="676"/>
      <c r="W236" s="1316"/>
      <c r="X236" s="1482"/>
      <c r="Y236" s="1464"/>
      <c r="Z236" s="676"/>
      <c r="AA236" s="676"/>
      <c r="AB236" s="207" t="s">
        <v>606</v>
      </c>
      <c r="AC236" s="300" t="s">
        <v>591</v>
      </c>
      <c r="AD236" s="59" t="s">
        <v>512</v>
      </c>
      <c r="AE236" s="1930"/>
      <c r="AF236" s="1930"/>
      <c r="AG236" s="1930"/>
      <c r="AH236" s="1930"/>
      <c r="AI236" s="246"/>
      <c r="AJ236" s="1930"/>
      <c r="AK236" s="1930"/>
      <c r="AL236" s="1930"/>
      <c r="AM236" s="1930"/>
      <c r="AN236" s="1930"/>
      <c r="AO236" s="1930"/>
      <c r="AP236" s="1930"/>
      <c r="AQ236" s="1930"/>
      <c r="AR236" s="1930"/>
      <c r="AS236" s="246"/>
      <c r="AT236" s="1930"/>
      <c r="AU236" s="1930"/>
      <c r="AV236" s="1930"/>
      <c r="AW236" s="1930"/>
      <c r="AX236" s="1930"/>
      <c r="AY236" s="1930"/>
      <c r="AZ236" s="1930"/>
      <c r="BA236" s="1930"/>
      <c r="BB236" s="1930"/>
      <c r="BC236" s="1934"/>
      <c r="BD236" s="676"/>
      <c r="BE236" s="676"/>
      <c r="BF236" s="998" t="s">
        <v>607</v>
      </c>
    </row>
    <row s="1621" customFormat="1" customHeight="1" ht="14.25" hidden="1">
      <c r="A237" s="676"/>
      <c r="B237" s="1176"/>
      <c r="C237" s="676"/>
      <c r="D237" s="676"/>
      <c r="E237" s="611">
        <v>15</v>
      </c>
      <c r="F237" s="50" cm="1" t="str">
        <f t="array" ref="F237:F237">OFFSET(E237,-1,1)</f>
        <v>2</v>
      </c>
      <c r="G237" s="676"/>
      <c r="H237" s="64" t="s">
        <v>608</v>
      </c>
      <c r="I237" s="676"/>
      <c r="J237" s="676"/>
      <c r="K237" s="676"/>
      <c r="L237" s="676"/>
      <c r="M237" s="676"/>
      <c r="N237" s="676"/>
      <c r="O237" s="676"/>
      <c r="P237" s="1316"/>
      <c r="Q237" s="1316"/>
      <c r="R237" s="1316"/>
      <c r="S237" s="1316"/>
      <c r="T237" s="439" cm="1" t="str">
        <f t="array" ref="T237:T237">T236</f>
        <v>false</v>
      </c>
      <c r="U237" s="1316"/>
      <c r="V237" s="676"/>
      <c r="W237" s="1316"/>
      <c r="X237" s="1482"/>
      <c r="Y237" s="1464"/>
      <c r="Z237" s="676"/>
      <c r="AA237" s="676"/>
      <c r="AB237" s="207" t="s">
        <v>609</v>
      </c>
      <c r="AC237" s="300" t="s">
        <v>595</v>
      </c>
      <c r="AD237" s="59" t="s">
        <v>512</v>
      </c>
      <c r="AE237" s="1930"/>
      <c r="AF237" s="1930"/>
      <c r="AG237" s="1930"/>
      <c r="AH237" s="1930"/>
      <c r="AI237" s="246"/>
      <c r="AJ237" s="1930"/>
      <c r="AK237" s="1930"/>
      <c r="AL237" s="1930"/>
      <c r="AM237" s="1930"/>
      <c r="AN237" s="1930"/>
      <c r="AO237" s="1930"/>
      <c r="AP237" s="1930"/>
      <c r="AQ237" s="1930"/>
      <c r="AR237" s="1930"/>
      <c r="AS237" s="246"/>
      <c r="AT237" s="1930"/>
      <c r="AU237" s="1930"/>
      <c r="AV237" s="1930"/>
      <c r="AW237" s="1930"/>
      <c r="AX237" s="1930"/>
      <c r="AY237" s="1930"/>
      <c r="AZ237" s="1930"/>
      <c r="BA237" s="1930"/>
      <c r="BB237" s="1930"/>
      <c r="BC237" s="1934"/>
      <c r="BD237" s="676"/>
      <c r="BE237" s="676"/>
      <c r="BF237" s="998" t="s">
        <v>610</v>
      </c>
    </row>
    <row s="1621" customFormat="1" customHeight="1" ht="14.25" hidden="1">
      <c r="A238" s="676"/>
      <c r="B238" s="1176"/>
      <c r="C238" s="676"/>
      <c r="D238" s="676"/>
      <c r="E238" s="611">
        <v>15</v>
      </c>
      <c r="F238" s="50" cm="1" t="str">
        <f t="array" ref="F238:F238">OFFSET(E238,-1,1)</f>
        <v>2</v>
      </c>
      <c r="G238" s="64" t="s">
        <v>611</v>
      </c>
      <c r="H238" s="64" t="s">
        <v>612</v>
      </c>
      <c r="I238" s="676"/>
      <c r="J238" s="676"/>
      <c r="K238" s="676"/>
      <c r="L238" s="676"/>
      <c r="M238" s="676"/>
      <c r="N238" s="676"/>
      <c r="O238" s="676"/>
      <c r="P238" s="1316"/>
      <c r="Q238" s="1316"/>
      <c r="R238" s="1316"/>
      <c r="S238" s="1316"/>
      <c r="T238" s="439" cm="1" t="str">
        <f t="array" ref="T238:T238">T237</f>
        <v>false</v>
      </c>
      <c r="U238" s="1316"/>
      <c r="V238" s="676"/>
      <c r="W238" s="1316"/>
      <c r="X238" s="1482"/>
      <c r="Y238" s="1464"/>
      <c r="Z238" s="676"/>
      <c r="AA238" s="676"/>
      <c r="AB238" s="207" t="s">
        <v>613</v>
      </c>
      <c r="AC238" s="299" t="s">
        <v>614</v>
      </c>
      <c r="AD238" s="59" t="s">
        <v>512</v>
      </c>
      <c r="AE238" s="282">
        <f>SUM(AE239:AE240)</f>
        <v>0</v>
      </c>
      <c r="AF238" s="282">
        <f>SUM(AF239:AF240)</f>
        <v>0</v>
      </c>
      <c r="AG238" s="282">
        <f>SUM(AG239:AG240)</f>
        <v>0</v>
      </c>
      <c r="AH238" s="282">
        <f>SUM(AH239:AH240)</f>
        <v>0</v>
      </c>
      <c r="AI238" s="282">
        <f>SUM(AI239:AI240)</f>
        <v>0</v>
      </c>
      <c r="AJ238" s="282">
        <f>SUM(AJ239:AJ240)</f>
        <v>0</v>
      </c>
      <c r="AK238" s="282">
        <f>SUM(AK239:AK240)</f>
        <v>0</v>
      </c>
      <c r="AL238" s="282">
        <f>SUM(AL239:AL240)</f>
        <v>0</v>
      </c>
      <c r="AM238" s="282">
        <f>SUM(AM239:AM240)</f>
        <v>0</v>
      </c>
      <c r="AN238" s="282">
        <f>SUM(AN239:AN240)</f>
        <v>0</v>
      </c>
      <c r="AO238" s="282">
        <f>SUM(AO239:AO240)</f>
        <v>0</v>
      </c>
      <c r="AP238" s="282">
        <f>SUM(AP239:AP240)</f>
        <v>0</v>
      </c>
      <c r="AQ238" s="282">
        <f>SUM(AQ239:AQ240)</f>
        <v>0</v>
      </c>
      <c r="AR238" s="282">
        <f>SUM(AR239:AR240)</f>
        <v>0</v>
      </c>
      <c r="AS238" s="282">
        <f>SUM(AS239:AS240)</f>
        <v>0</v>
      </c>
      <c r="AT238" s="282">
        <f>SUM(AT239:AT240)</f>
        <v>0</v>
      </c>
      <c r="AU238" s="282">
        <f>SUM(AU239:AU240)</f>
        <v>0</v>
      </c>
      <c r="AV238" s="282">
        <f>SUM(AV239:AV240)</f>
        <v>0</v>
      </c>
      <c r="AW238" s="282">
        <f>SUM(AW239:AW240)</f>
        <v>0</v>
      </c>
      <c r="AX238" s="282">
        <f>SUM(AX239:AX240)</f>
        <v>0</v>
      </c>
      <c r="AY238" s="282">
        <f>SUM(AY239:AY240)</f>
        <v>0</v>
      </c>
      <c r="AZ238" s="282">
        <f>SUM(AZ239:AZ240)</f>
        <v>0</v>
      </c>
      <c r="BA238" s="282">
        <f>SUM(BA239:BA240)</f>
        <v>0</v>
      </c>
      <c r="BB238" s="282">
        <f>SUM(BB239:BB240)</f>
        <v>0</v>
      </c>
      <c r="BC238" s="1934"/>
      <c r="BD238" s="676"/>
      <c r="BE238" s="676"/>
      <c r="BF238" s="998" t="s">
        <v>615</v>
      </c>
    </row>
    <row s="1621" customFormat="1" customHeight="1" ht="14.25" hidden="1">
      <c r="A239" s="676"/>
      <c r="B239" s="1176"/>
      <c r="C239" s="676"/>
      <c r="D239" s="676"/>
      <c r="E239" s="611">
        <v>15</v>
      </c>
      <c r="F239" s="50" cm="1" t="str">
        <f t="array" ref="F239:F239">OFFSET(E239,-1,1)</f>
        <v>2</v>
      </c>
      <c r="G239" s="676"/>
      <c r="H239" s="64" t="s">
        <v>616</v>
      </c>
      <c r="I239" s="676"/>
      <c r="J239" s="676"/>
      <c r="K239" s="676"/>
      <c r="L239" s="676"/>
      <c r="M239" s="676"/>
      <c r="N239" s="676"/>
      <c r="O239" s="676"/>
      <c r="P239" s="1316"/>
      <c r="Q239" s="1316"/>
      <c r="R239" s="1316"/>
      <c r="S239" s="1316"/>
      <c r="T239" s="439" cm="1" t="str">
        <f t="array" ref="T239:T239">T238</f>
        <v>false</v>
      </c>
      <c r="U239" s="1316"/>
      <c r="V239" s="676"/>
      <c r="W239" s="1316"/>
      <c r="X239" s="1482"/>
      <c r="Y239" s="1464"/>
      <c r="Z239" s="676"/>
      <c r="AA239" s="676"/>
      <c r="AB239" s="207" t="s">
        <v>617</v>
      </c>
      <c r="AC239" s="300" t="s">
        <v>591</v>
      </c>
      <c r="AD239" s="59" t="s">
        <v>512</v>
      </c>
      <c r="AE239" s="1930"/>
      <c r="AF239" s="1930"/>
      <c r="AG239" s="1930"/>
      <c r="AH239" s="1930"/>
      <c r="AI239" s="246"/>
      <c r="AJ239" s="1930"/>
      <c r="AK239" s="1930"/>
      <c r="AL239" s="1930"/>
      <c r="AM239" s="1930"/>
      <c r="AN239" s="1930"/>
      <c r="AO239" s="1930"/>
      <c r="AP239" s="1930"/>
      <c r="AQ239" s="1930"/>
      <c r="AR239" s="1930"/>
      <c r="AS239" s="246"/>
      <c r="AT239" s="1930"/>
      <c r="AU239" s="1930"/>
      <c r="AV239" s="1930"/>
      <c r="AW239" s="1930"/>
      <c r="AX239" s="1930"/>
      <c r="AY239" s="1930"/>
      <c r="AZ239" s="1930"/>
      <c r="BA239" s="1930"/>
      <c r="BB239" s="1930"/>
      <c r="BC239" s="1934"/>
      <c r="BD239" s="676"/>
      <c r="BE239" s="676"/>
      <c r="BF239" s="998" t="s">
        <v>618</v>
      </c>
    </row>
    <row s="1621" customFormat="1" customHeight="1" ht="14.25" hidden="1">
      <c r="A240" s="676"/>
      <c r="B240" s="1176"/>
      <c r="C240" s="676"/>
      <c r="D240" s="676"/>
      <c r="E240" s="611">
        <v>15</v>
      </c>
      <c r="F240" s="50" cm="1" t="str">
        <f t="array" ref="F240:F240">OFFSET(E240,-1,1)</f>
        <v>2</v>
      </c>
      <c r="G240" s="676"/>
      <c r="H240" s="64" t="s">
        <v>619</v>
      </c>
      <c r="I240" s="676"/>
      <c r="J240" s="676"/>
      <c r="K240" s="676"/>
      <c r="L240" s="676"/>
      <c r="M240" s="676"/>
      <c r="N240" s="676"/>
      <c r="O240" s="676"/>
      <c r="P240" s="1316"/>
      <c r="Q240" s="1316"/>
      <c r="R240" s="1316"/>
      <c r="S240" s="1316"/>
      <c r="T240" s="439" cm="1" t="str">
        <f t="array" ref="T240:T240">T239</f>
        <v>false</v>
      </c>
      <c r="U240" s="1316"/>
      <c r="V240" s="676"/>
      <c r="W240" s="1316"/>
      <c r="X240" s="1482"/>
      <c r="Y240" s="1464"/>
      <c r="Z240" s="676"/>
      <c r="AA240" s="676"/>
      <c r="AB240" s="207" t="s">
        <v>620</v>
      </c>
      <c r="AC240" s="300" t="s">
        <v>595</v>
      </c>
      <c r="AD240" s="59" t="s">
        <v>512</v>
      </c>
      <c r="AE240" s="1930"/>
      <c r="AF240" s="1930"/>
      <c r="AG240" s="1930"/>
      <c r="AH240" s="1930"/>
      <c r="AI240" s="246"/>
      <c r="AJ240" s="1930"/>
      <c r="AK240" s="1930"/>
      <c r="AL240" s="1930"/>
      <c r="AM240" s="1930"/>
      <c r="AN240" s="1930"/>
      <c r="AO240" s="1930"/>
      <c r="AP240" s="1930"/>
      <c r="AQ240" s="1930"/>
      <c r="AR240" s="1930"/>
      <c r="AS240" s="246"/>
      <c r="AT240" s="1930"/>
      <c r="AU240" s="1930"/>
      <c r="AV240" s="1930"/>
      <c r="AW240" s="1930"/>
      <c r="AX240" s="1930"/>
      <c r="AY240" s="1930"/>
      <c r="AZ240" s="1930"/>
      <c r="BA240" s="1930"/>
      <c r="BB240" s="1930"/>
      <c r="BC240" s="1934"/>
      <c r="BD240" s="676"/>
      <c r="BE240" s="676"/>
      <c r="BF240" s="998" t="s">
        <v>621</v>
      </c>
    </row>
    <row s="1621" customFormat="1" customHeight="1" ht="14.25" hidden="1">
      <c r="A241" s="676"/>
      <c r="B241" s="1176"/>
      <c r="C241" s="676"/>
      <c r="D241" s="676"/>
      <c r="E241" s="611">
        <v>15</v>
      </c>
      <c r="F241" s="50" cm="1" t="str">
        <f t="array" ref="F241:F241">OFFSET(E241,-1,1)</f>
        <v>2</v>
      </c>
      <c r="G241" s="676"/>
      <c r="H241" s="64" t="s">
        <v>622</v>
      </c>
      <c r="I241" s="676"/>
      <c r="J241" s="676"/>
      <c r="K241" s="676"/>
      <c r="L241" s="676"/>
      <c r="M241" s="676"/>
      <c r="N241" s="676"/>
      <c r="O241" s="676"/>
      <c r="P241" s="1316"/>
      <c r="Q241" s="1316"/>
      <c r="R241" s="1316"/>
      <c r="S241" s="1316"/>
      <c r="T241" s="439" cm="1" t="str">
        <f t="array" ref="T241:T241">T240</f>
        <v>false</v>
      </c>
      <c r="U241" s="1316"/>
      <c r="V241" s="676"/>
      <c r="W241" s="1316"/>
      <c r="X241" s="1482"/>
      <c r="Y241" s="1464"/>
      <c r="Z241" s="676"/>
      <c r="AA241" s="676"/>
      <c r="AB241" s="207" t="s">
        <v>623</v>
      </c>
      <c r="AC241" s="299" t="s">
        <v>624</v>
      </c>
      <c r="AD241" s="59" t="s">
        <v>512</v>
      </c>
      <c r="AE241" s="282">
        <f>SUM(AE242:AE243)</f>
        <v>0</v>
      </c>
      <c r="AF241" s="282">
        <f>SUM(AF242:AF243)</f>
        <v>0</v>
      </c>
      <c r="AG241" s="282">
        <f>SUM(AG242:AG243)</f>
        <v>0</v>
      </c>
      <c r="AH241" s="282">
        <f>SUM(AH242:AH243)</f>
        <v>0</v>
      </c>
      <c r="AI241" s="282">
        <f>SUM(AI242:AI243)</f>
        <v>0</v>
      </c>
      <c r="AJ241" s="282">
        <f>SUM(AJ242:AJ243)</f>
        <v>0</v>
      </c>
      <c r="AK241" s="282">
        <f>SUM(AK242:AK243)</f>
        <v>0</v>
      </c>
      <c r="AL241" s="282">
        <f>SUM(AL242:AL243)</f>
        <v>0</v>
      </c>
      <c r="AM241" s="282">
        <f>SUM(AM242:AM243)</f>
        <v>0</v>
      </c>
      <c r="AN241" s="282">
        <f>SUM(AN242:AN243)</f>
        <v>0</v>
      </c>
      <c r="AO241" s="282">
        <f>SUM(AO242:AO243)</f>
        <v>0</v>
      </c>
      <c r="AP241" s="282">
        <f>SUM(AP242:AP243)</f>
        <v>0</v>
      </c>
      <c r="AQ241" s="282">
        <f>SUM(AQ242:AQ243)</f>
        <v>0</v>
      </c>
      <c r="AR241" s="282">
        <f>SUM(AR242:AR243)</f>
        <v>0</v>
      </c>
      <c r="AS241" s="282">
        <f>SUM(AS242:AS243)</f>
        <v>0</v>
      </c>
      <c r="AT241" s="282">
        <f>SUM(AT242:AT243)</f>
        <v>0</v>
      </c>
      <c r="AU241" s="282">
        <f>SUM(AU242:AU243)</f>
        <v>0</v>
      </c>
      <c r="AV241" s="282">
        <f>SUM(AV242:AV243)</f>
        <v>0</v>
      </c>
      <c r="AW241" s="282">
        <f>SUM(AW242:AW243)</f>
        <v>0</v>
      </c>
      <c r="AX241" s="282">
        <f>SUM(AX242:AX243)</f>
        <v>0</v>
      </c>
      <c r="AY241" s="282">
        <f>SUM(AY242:AY243)</f>
        <v>0</v>
      </c>
      <c r="AZ241" s="282">
        <f>SUM(AZ242:AZ243)</f>
        <v>0</v>
      </c>
      <c r="BA241" s="282">
        <f>SUM(BA242:BA243)</f>
        <v>0</v>
      </c>
      <c r="BB241" s="282">
        <f>SUM(BB242:BB243)</f>
        <v>0</v>
      </c>
      <c r="BC241" s="1934"/>
      <c r="BD241" s="676"/>
      <c r="BE241" s="676"/>
      <c r="BF241" s="998" t="s">
        <v>625</v>
      </c>
    </row>
    <row s="1621" customFormat="1" customHeight="1" ht="14.25" hidden="1">
      <c r="A242" s="676"/>
      <c r="B242" s="1176"/>
      <c r="C242" s="676"/>
      <c r="D242" s="676"/>
      <c r="E242" s="611">
        <v>15</v>
      </c>
      <c r="F242" s="50" cm="1" t="str">
        <f t="array" ref="F242:F242">OFFSET(E242,-1,1)</f>
        <v>2</v>
      </c>
      <c r="G242" s="676"/>
      <c r="H242" s="64" t="s">
        <v>626</v>
      </c>
      <c r="I242" s="676"/>
      <c r="J242" s="676"/>
      <c r="K242" s="676"/>
      <c r="L242" s="676"/>
      <c r="M242" s="676"/>
      <c r="N242" s="676"/>
      <c r="O242" s="676"/>
      <c r="P242" s="1316"/>
      <c r="Q242" s="1316"/>
      <c r="R242" s="1316"/>
      <c r="S242" s="1316"/>
      <c r="T242" s="439" cm="1" t="str">
        <f t="array" ref="T242:T242">T241</f>
        <v>false</v>
      </c>
      <c r="U242" s="1316"/>
      <c r="V242" s="676"/>
      <c r="W242" s="1316"/>
      <c r="X242" s="1482"/>
      <c r="Y242" s="1464"/>
      <c r="Z242" s="676"/>
      <c r="AA242" s="676"/>
      <c r="AB242" s="207" t="s">
        <v>627</v>
      </c>
      <c r="AC242" s="300" t="s">
        <v>591</v>
      </c>
      <c r="AD242" s="59" t="s">
        <v>512</v>
      </c>
      <c r="AE242" s="1930"/>
      <c r="AF242" s="1930"/>
      <c r="AG242" s="1930"/>
      <c r="AH242" s="1930"/>
      <c r="AI242" s="246"/>
      <c r="AJ242" s="1930"/>
      <c r="AK242" s="1930"/>
      <c r="AL242" s="1930"/>
      <c r="AM242" s="1930"/>
      <c r="AN242" s="1930"/>
      <c r="AO242" s="1930"/>
      <c r="AP242" s="1930"/>
      <c r="AQ242" s="1930"/>
      <c r="AR242" s="1930"/>
      <c r="AS242" s="246"/>
      <c r="AT242" s="1930"/>
      <c r="AU242" s="1930"/>
      <c r="AV242" s="1930"/>
      <c r="AW242" s="1930"/>
      <c r="AX242" s="1930"/>
      <c r="AY242" s="1930"/>
      <c r="AZ242" s="1930"/>
      <c r="BA242" s="1930"/>
      <c r="BB242" s="1930"/>
      <c r="BC242" s="1934"/>
      <c r="BD242" s="676"/>
      <c r="BE242" s="676"/>
      <c r="BF242" s="998" t="s">
        <v>628</v>
      </c>
    </row>
    <row s="1621" customFormat="1" customHeight="1" ht="14.25" hidden="1">
      <c r="A243" s="676"/>
      <c r="B243" s="1176"/>
      <c r="C243" s="676"/>
      <c r="D243" s="676"/>
      <c r="E243" s="611">
        <v>15</v>
      </c>
      <c r="F243" s="50" cm="1" t="str">
        <f t="array" ref="F243:F243">OFFSET(E243,-1,1)</f>
        <v>2</v>
      </c>
      <c r="G243" s="676"/>
      <c r="H243" s="64" t="s">
        <v>629</v>
      </c>
      <c r="I243" s="676"/>
      <c r="J243" s="676"/>
      <c r="K243" s="676"/>
      <c r="L243" s="676"/>
      <c r="M243" s="676"/>
      <c r="N243" s="676"/>
      <c r="O243" s="676"/>
      <c r="P243" s="1316"/>
      <c r="Q243" s="1316"/>
      <c r="R243" s="1316"/>
      <c r="S243" s="1316"/>
      <c r="T243" s="439" cm="1" t="str">
        <f t="array" ref="T243:T243">T242</f>
        <v>false</v>
      </c>
      <c r="U243" s="1316"/>
      <c r="V243" s="676"/>
      <c r="W243" s="1316"/>
      <c r="X243" s="1482"/>
      <c r="Y243" s="1464"/>
      <c r="Z243" s="676"/>
      <c r="AA243" s="676"/>
      <c r="AB243" s="207" t="s">
        <v>630</v>
      </c>
      <c r="AC243" s="300" t="s">
        <v>595</v>
      </c>
      <c r="AD243" s="59" t="s">
        <v>512</v>
      </c>
      <c r="AE243" s="1930"/>
      <c r="AF243" s="1930"/>
      <c r="AG243" s="1930"/>
      <c r="AH243" s="1930"/>
      <c r="AI243" s="246"/>
      <c r="AJ243" s="1930"/>
      <c r="AK243" s="1930"/>
      <c r="AL243" s="1930"/>
      <c r="AM243" s="1930"/>
      <c r="AN243" s="1930"/>
      <c r="AO243" s="1930"/>
      <c r="AP243" s="1930"/>
      <c r="AQ243" s="1930"/>
      <c r="AR243" s="1930"/>
      <c r="AS243" s="246"/>
      <c r="AT243" s="1930"/>
      <c r="AU243" s="1930"/>
      <c r="AV243" s="1930"/>
      <c r="AW243" s="1930"/>
      <c r="AX243" s="1930"/>
      <c r="AY243" s="1930"/>
      <c r="AZ243" s="1930"/>
      <c r="BA243" s="1930"/>
      <c r="BB243" s="1930"/>
      <c r="BC243" s="1887"/>
      <c r="BD243" s="676"/>
      <c r="BE243" s="676"/>
      <c r="BF243" s="998" t="s">
        <v>631</v>
      </c>
    </row>
    <row s="1621" customFormat="1" customHeight="1" ht="21.75" hidden="1">
      <c r="A244" s="676"/>
      <c r="B244" s="1176"/>
      <c r="C244" s="676"/>
      <c r="D244" s="676"/>
      <c r="E244" s="611">
        <v>22.5</v>
      </c>
      <c r="F244" s="50" cm="1" t="str">
        <f t="array" ref="F244:F244">OFFSET(E244,-1,1)</f>
        <v>2</v>
      </c>
      <c r="G244" s="676"/>
      <c r="H244" s="64" t="s">
        <v>632</v>
      </c>
      <c r="I244" s="443"/>
      <c r="J244" s="443"/>
      <c r="K244" s="676"/>
      <c r="L244" s="676"/>
      <c r="M244" s="676"/>
      <c r="N244" s="676"/>
      <c r="O244" s="676"/>
      <c r="P244" s="1316"/>
      <c r="Q244" s="1316"/>
      <c r="R244" s="1316"/>
      <c r="S244" s="1316"/>
      <c r="T244" s="439" cm="1" t="str">
        <f t="array" ref="T244:T244">T243</f>
        <v>false</v>
      </c>
      <c r="U244" s="1316"/>
      <c r="V244" s="676"/>
      <c r="W244" s="1316"/>
      <c r="X244" s="1482"/>
      <c r="Y244" s="1464"/>
      <c r="Z244" s="676"/>
      <c r="AA244" s="676"/>
      <c r="AB244" s="207" t="s">
        <v>633</v>
      </c>
      <c r="AC244" s="301" t="s">
        <v>634</v>
      </c>
      <c r="AD244" s="59" t="s">
        <v>512</v>
      </c>
      <c r="AE244" s="1886"/>
      <c r="AF244" s="1886"/>
      <c r="AG244" s="1886"/>
      <c r="AH244" s="1886"/>
      <c r="AI244" s="243"/>
      <c r="AJ244" s="1886"/>
      <c r="AK244" s="1886"/>
      <c r="AL244" s="1886"/>
      <c r="AM244" s="1886"/>
      <c r="AN244" s="1886"/>
      <c r="AO244" s="1886"/>
      <c r="AP244" s="1886"/>
      <c r="AQ244" s="1886"/>
      <c r="AR244" s="1886"/>
      <c r="AS244" s="243"/>
      <c r="AT244" s="1886"/>
      <c r="AU244" s="1886"/>
      <c r="AV244" s="1886"/>
      <c r="AW244" s="1886"/>
      <c r="AX244" s="1886"/>
      <c r="AY244" s="1886"/>
      <c r="AZ244" s="1886"/>
      <c r="BA244" s="1886"/>
      <c r="BB244" s="1886"/>
      <c r="BC244" s="1887"/>
      <c r="BD244" s="676"/>
      <c r="BE244" s="676"/>
      <c r="BF244" s="998" t="s">
        <v>635</v>
      </c>
    </row>
    <row s="1621" customFormat="1" customHeight="1" ht="14.25" hidden="1">
      <c r="A245" s="676"/>
      <c r="B245" s="1176"/>
      <c r="C245" s="676"/>
      <c r="D245" s="676"/>
      <c r="E245" s="611">
        <v>15</v>
      </c>
      <c r="F245" s="316" cm="1" t="str">
        <f t="array" ref="F245:F245">OFFSET(E245,-1,1)</f>
        <v>2</v>
      </c>
      <c r="G245" s="676"/>
      <c r="H245" s="676"/>
      <c r="I245" s="676"/>
      <c r="J245" s="676"/>
      <c r="K245" s="676"/>
      <c r="L245" s="676"/>
      <c r="M245" s="676"/>
      <c r="N245" s="676"/>
      <c r="O245" s="676"/>
      <c r="P245" s="1316"/>
      <c r="Q245" s="1316"/>
      <c r="R245" s="1316"/>
      <c r="S245" s="1316"/>
      <c r="T245" s="439" cm="1" t="str">
        <f t="array" ref="T245:T245">T244</f>
        <v>false</v>
      </c>
      <c r="U245" s="1316"/>
      <c r="V245" s="676"/>
      <c r="W245" s="1316"/>
      <c r="X245" s="1482"/>
      <c r="Y245" s="1464"/>
      <c r="Z245" s="676"/>
      <c r="AA245" s="676"/>
      <c r="AB245" s="207" t="s">
        <v>636</v>
      </c>
      <c r="AC245" s="301" t="s">
        <v>637</v>
      </c>
      <c r="AD245" s="59" t="s">
        <v>512</v>
      </c>
      <c r="AE245" s="1886"/>
      <c r="AF245" s="1886"/>
      <c r="AG245" s="1886"/>
      <c r="AH245" s="1886"/>
      <c r="AI245" s="243"/>
      <c r="AJ245" s="1886"/>
      <c r="AK245" s="1886"/>
      <c r="AL245" s="1886"/>
      <c r="AM245" s="1886"/>
      <c r="AN245" s="1886"/>
      <c r="AO245" s="1886"/>
      <c r="AP245" s="1886"/>
      <c r="AQ245" s="1886"/>
      <c r="AR245" s="1886"/>
      <c r="AS245" s="243"/>
      <c r="AT245" s="1886"/>
      <c r="AU245" s="1886"/>
      <c r="AV245" s="1886"/>
      <c r="AW245" s="1886"/>
      <c r="AX245" s="1886"/>
      <c r="AY245" s="1886"/>
      <c r="AZ245" s="1886"/>
      <c r="BA245" s="1886"/>
      <c r="BB245" s="1886"/>
      <c r="BC245" s="1887"/>
      <c r="BD245" s="676"/>
      <c r="BE245" s="676"/>
      <c r="BF245" s="998" t="s">
        <v>638</v>
      </c>
    </row>
    <row s="1621" customFormat="1" customHeight="1" ht="11.25" hidden="1">
      <c r="A246" s="443"/>
      <c r="B246" s="638"/>
      <c r="C246" s="443"/>
      <c r="D246" s="443"/>
      <c r="E246" s="640" t="s">
        <v>366</v>
      </c>
      <c r="F246" s="1202" cm="1" t="str">
        <f t="array" ref="F246:F246">OFFSET(E246,-1,1)</f>
        <v>2</v>
      </c>
      <c r="G246" s="443"/>
      <c r="H246" s="443"/>
      <c r="I246" s="1621"/>
      <c r="J246" s="1621"/>
      <c r="K246" s="64"/>
      <c r="L246" s="443"/>
      <c r="M246" s="443"/>
      <c r="N246" s="443"/>
      <c r="O246" s="443"/>
      <c r="P246" s="443"/>
      <c r="Q246" s="443"/>
      <c r="R246" s="388"/>
      <c r="S246" s="388"/>
      <c r="T246" s="439" t="b">
        <v>0</v>
      </c>
      <c r="U246" s="443"/>
      <c r="V246" s="443"/>
      <c r="W246" s="443"/>
      <c r="X246" s="1482"/>
      <c r="Y246" s="1464"/>
      <c r="Z246" s="443"/>
      <c r="AA246" s="443"/>
      <c r="AB246" s="1621"/>
      <c r="AC246" s="66"/>
      <c r="AD246" s="66"/>
      <c r="AE246" s="311"/>
      <c r="AF246" s="311"/>
      <c r="AG246" s="311"/>
      <c r="AH246" s="311"/>
      <c r="AI246" s="311"/>
      <c r="AJ246" s="312"/>
      <c r="AK246" s="311"/>
      <c r="AL246" s="311"/>
      <c r="AM246" s="311"/>
      <c r="AN246" s="311"/>
      <c r="AO246" s="311"/>
      <c r="AP246" s="311"/>
      <c r="AQ246" s="311"/>
      <c r="AR246" s="311"/>
      <c r="AS246" s="311"/>
      <c r="AT246" s="311"/>
      <c r="AU246" s="311"/>
      <c r="AV246" s="311"/>
      <c r="AW246" s="311"/>
      <c r="AX246" s="311"/>
      <c r="AY246" s="311"/>
      <c r="AZ246" s="311"/>
      <c r="BA246" s="311"/>
      <c r="BB246" s="311"/>
      <c r="BC246" s="1621"/>
      <c r="BD246" s="1621"/>
      <c r="BE246" s="1621"/>
      <c r="BF246" s="1002"/>
    </row>
    <row s="1621" customFormat="1" customHeight="1" ht="14.25" hidden="1">
      <c r="A247" s="676"/>
      <c r="B247" s="1176"/>
      <c r="C247" s="676"/>
      <c r="D247" s="676"/>
      <c r="E247" s="611">
        <v>15</v>
      </c>
      <c r="F247" s="50" cm="1" t="str">
        <f t="array" ref="F247:F247">OFFSET(E247,-1,1)</f>
        <v>2</v>
      </c>
      <c r="G247" s="676"/>
      <c r="H247" s="676"/>
      <c r="I247" s="676"/>
      <c r="J247" s="676"/>
      <c r="K247" s="676"/>
      <c r="L247" s="676"/>
      <c r="M247" s="676"/>
      <c r="N247" s="676"/>
      <c r="O247" s="676"/>
      <c r="P247" s="1316"/>
      <c r="Q247" s="1316"/>
      <c r="R247" s="388" cm="1" t="str">
        <f t="array" ref="R247:R247">INDEX('Общие сведения'!$AN$179:$AN$222,MATCH($X209,'Общие сведения'!$Z$179:$Z$222,0))</f>
        <v>false</v>
      </c>
      <c r="S247" s="388">
        <f>IF(ISERROR(SEARCH("Водоснабжение",AB209)),FALSE,TRUE)</f>
        <v>0</v>
      </c>
      <c r="T247" s="439">
        <f>AND(X209&gt;0,S247,R247)</f>
        <v>0</v>
      </c>
      <c r="U247" s="1316"/>
      <c r="V247" s="676"/>
      <c r="W247" s="1316"/>
      <c r="X247" s="1482"/>
      <c r="Y247" s="1464"/>
      <c r="Z247" s="676"/>
      <c r="AA247" s="676"/>
      <c r="AB247" s="207" t="s">
        <v>272</v>
      </c>
      <c r="AC247" s="295" t="s">
        <v>509</v>
      </c>
      <c r="AD247" s="165"/>
      <c r="AE247" s="548" cm="1" t="str">
        <f t="array" ref="AE247:AE247">INDEX('Общие сведения'!$AH$179:$AH$222,MATCH($X209,'Общие сведения'!$Z$179:$Z$222,0))</f>
        <v>без дифференциации</v>
      </c>
      <c r="AF247" s="329"/>
      <c r="AG247" s="329"/>
      <c r="AH247" s="329"/>
      <c r="AI247" s="329"/>
      <c r="AJ247" s="329"/>
      <c r="AK247" s="329"/>
      <c r="AL247" s="329"/>
      <c r="AM247" s="329"/>
      <c r="AN247" s="329"/>
      <c r="AO247" s="329"/>
      <c r="AP247" s="329"/>
      <c r="AQ247" s="329"/>
      <c r="AR247" s="329"/>
      <c r="AS247" s="329"/>
      <c r="AT247" s="329"/>
      <c r="AU247" s="329"/>
      <c r="AV247" s="329"/>
      <c r="AW247" s="329"/>
      <c r="AX247" s="329"/>
      <c r="AY247" s="329"/>
      <c r="AZ247" s="329"/>
      <c r="BA247" s="329"/>
      <c r="BB247" s="330"/>
      <c r="BC247" s="1887"/>
      <c r="BD247" s="676"/>
      <c r="BE247" s="676"/>
      <c r="BF247" s="998" t="s">
        <v>639</v>
      </c>
    </row>
    <row s="1621" customFormat="1" customHeight="1" ht="14.25" hidden="1">
      <c r="A248" s="676"/>
      <c r="B248" s="1176"/>
      <c r="C248" s="676"/>
      <c r="D248" s="676"/>
      <c r="E248" s="611">
        <v>15</v>
      </c>
      <c r="F248" s="50" cm="1" t="str">
        <f t="array" ref="F248:F248">OFFSET(E248,-1,1)</f>
        <v>2</v>
      </c>
      <c r="G248" s="676"/>
      <c r="H248" s="64" t="s">
        <v>329</v>
      </c>
      <c r="I248" s="676"/>
      <c r="J248" s="676"/>
      <c r="K248" s="676"/>
      <c r="L248" s="676"/>
      <c r="M248" s="676"/>
      <c r="N248" s="676"/>
      <c r="O248" s="676"/>
      <c r="P248" s="1316"/>
      <c r="Q248" s="1316"/>
      <c r="R248" s="1316"/>
      <c r="S248" s="1316"/>
      <c r="T248" s="439" cm="1" t="str">
        <f t="array" ref="T248:T248">T247</f>
        <v>false</v>
      </c>
      <c r="U248" s="1316"/>
      <c r="V248" s="676"/>
      <c r="W248" s="1316"/>
      <c r="X248" s="1482"/>
      <c r="Y248" s="1464"/>
      <c r="Z248" s="676"/>
      <c r="AA248" s="676"/>
      <c r="AB248" s="207" t="s">
        <v>283</v>
      </c>
      <c r="AC248" s="302" t="s">
        <v>640</v>
      </c>
      <c r="AD248" s="59" t="s">
        <v>512</v>
      </c>
      <c r="AE248" s="313">
        <f>AE252+AE254+AE257+AE260</f>
        <v>0</v>
      </c>
      <c r="AF248" s="313">
        <f>AF252+AF254+AF257+AF260</f>
        <v>0</v>
      </c>
      <c r="AG248" s="313">
        <f>AG252+AG254+AG257+AG260</f>
        <v>0</v>
      </c>
      <c r="AH248" s="313">
        <f>AH252+AH254+AH257+AH260</f>
        <v>0</v>
      </c>
      <c r="AI248" s="313">
        <f>AI252+AI254+AI257+AI260</f>
        <v>0</v>
      </c>
      <c r="AJ248" s="313">
        <f>AJ252+AJ254+AJ257+AJ260</f>
        <v>0</v>
      </c>
      <c r="AK248" s="313">
        <f>AK252+AK254+AK257+AK260</f>
        <v>0</v>
      </c>
      <c r="AL248" s="313">
        <f>AL252+AL254+AL257+AL260</f>
        <v>0</v>
      </c>
      <c r="AM248" s="313">
        <f>AM252+AM254+AM257+AM260</f>
        <v>0</v>
      </c>
      <c r="AN248" s="313">
        <f>AN252+AN254+AN257+AN260</f>
        <v>0</v>
      </c>
      <c r="AO248" s="313">
        <f>AO252+AO254+AO257+AO260</f>
        <v>0</v>
      </c>
      <c r="AP248" s="313">
        <f>AP252+AP254+AP257+AP260</f>
        <v>0</v>
      </c>
      <c r="AQ248" s="313">
        <f>AQ252+AQ254+AQ257+AQ260</f>
        <v>0</v>
      </c>
      <c r="AR248" s="313">
        <f>AR252+AR254+AR257+AR260</f>
        <v>0</v>
      </c>
      <c r="AS248" s="313">
        <f>AS252+AS254+AS257+AS260</f>
        <v>0</v>
      </c>
      <c r="AT248" s="313">
        <f>AT252+AT254+AT257+AT260</f>
        <v>0</v>
      </c>
      <c r="AU248" s="313">
        <f>AU252+AU254+AU257+AU260</f>
        <v>0</v>
      </c>
      <c r="AV248" s="313">
        <f>AV252+AV254+AV257+AV260</f>
        <v>0</v>
      </c>
      <c r="AW248" s="313">
        <f>AW252+AW254+AW257+AW260</f>
        <v>0</v>
      </c>
      <c r="AX248" s="313">
        <f>AX252+AX254+AX257+AX260</f>
        <v>0</v>
      </c>
      <c r="AY248" s="313">
        <f>AY252+AY254+AY257+AY260</f>
        <v>0</v>
      </c>
      <c r="AZ248" s="313">
        <f>AZ252+AZ254+AZ257+AZ260</f>
        <v>0</v>
      </c>
      <c r="BA248" s="313">
        <f>BA252+BA254+BA257+BA260</f>
        <v>0</v>
      </c>
      <c r="BB248" s="313">
        <f>BB252+BB254+BB257+BB260</f>
        <v>0</v>
      </c>
      <c r="BC248" s="1887"/>
      <c r="BD248" s="676"/>
      <c r="BE248" s="676"/>
      <c r="BF248" s="998" t="s">
        <v>641</v>
      </c>
    </row>
    <row s="1621" customFormat="1" customHeight="1" ht="14.25" hidden="1">
      <c r="A249" s="676"/>
      <c r="B249" s="1176"/>
      <c r="C249" s="676"/>
      <c r="D249" s="676"/>
      <c r="E249" s="611">
        <v>15</v>
      </c>
      <c r="F249" s="50" cm="1" t="str">
        <f t="array" ref="F249:F249">OFFSET(E249,-1,1)</f>
        <v>2</v>
      </c>
      <c r="G249" s="676"/>
      <c r="H249" s="64" t="s">
        <v>514</v>
      </c>
      <c r="I249" s="676"/>
      <c r="J249" s="676"/>
      <c r="K249" s="676"/>
      <c r="L249" s="676"/>
      <c r="M249" s="676"/>
      <c r="N249" s="676"/>
      <c r="O249" s="676"/>
      <c r="P249" s="1316"/>
      <c r="Q249" s="1316"/>
      <c r="R249" s="1316"/>
      <c r="S249" s="1316"/>
      <c r="T249" s="439" cm="1" t="str">
        <f t="array" ref="T249:T249">T248</f>
        <v>false</v>
      </c>
      <c r="U249" s="1316"/>
      <c r="V249" s="676"/>
      <c r="W249" s="1316"/>
      <c r="X249" s="1482"/>
      <c r="Y249" s="1464"/>
      <c r="Z249" s="676"/>
      <c r="AA249" s="676"/>
      <c r="AB249" s="207" t="s">
        <v>515</v>
      </c>
      <c r="AC249" s="303" t="s">
        <v>642</v>
      </c>
      <c r="AD249" s="59" t="s">
        <v>512</v>
      </c>
      <c r="AE249" s="1886"/>
      <c r="AF249" s="1886"/>
      <c r="AG249" s="1886"/>
      <c r="AH249" s="1886"/>
      <c r="AI249" s="243"/>
      <c r="AJ249" s="1886"/>
      <c r="AK249" s="1886"/>
      <c r="AL249" s="1886"/>
      <c r="AM249" s="1886"/>
      <c r="AN249" s="1886"/>
      <c r="AO249" s="1886"/>
      <c r="AP249" s="1886"/>
      <c r="AQ249" s="1886"/>
      <c r="AR249" s="1886"/>
      <c r="AS249" s="243"/>
      <c r="AT249" s="1886"/>
      <c r="AU249" s="1886"/>
      <c r="AV249" s="1886"/>
      <c r="AW249" s="1886"/>
      <c r="AX249" s="1886"/>
      <c r="AY249" s="1886"/>
      <c r="AZ249" s="1886"/>
      <c r="BA249" s="1886"/>
      <c r="BB249" s="1886"/>
      <c r="BC249" s="1887"/>
      <c r="BD249" s="676"/>
      <c r="BE249" s="676"/>
      <c r="BF249" s="998" t="s">
        <v>643</v>
      </c>
    </row>
    <row s="1621" customFormat="1" customHeight="1" ht="14.25" hidden="1">
      <c r="A250" s="676"/>
      <c r="B250" s="1176"/>
      <c r="C250" s="676"/>
      <c r="D250" s="676"/>
      <c r="E250" s="611">
        <v>15</v>
      </c>
      <c r="F250" s="50" cm="1" t="str">
        <f t="array" ref="F250:F250">OFFSET(E250,-1,1)</f>
        <v>2</v>
      </c>
      <c r="G250" s="676"/>
      <c r="H250" s="64" t="s">
        <v>518</v>
      </c>
      <c r="I250" s="676"/>
      <c r="J250" s="676"/>
      <c r="K250" s="676"/>
      <c r="L250" s="676"/>
      <c r="M250" s="676"/>
      <c r="N250" s="676"/>
      <c r="O250" s="676"/>
      <c r="P250" s="1316"/>
      <c r="Q250" s="1316"/>
      <c r="R250" s="1316"/>
      <c r="S250" s="1316"/>
      <c r="T250" s="439" cm="1" t="str">
        <f t="array" ref="T250:T250">T249</f>
        <v>false</v>
      </c>
      <c r="U250" s="1316"/>
      <c r="V250" s="676"/>
      <c r="W250" s="1316"/>
      <c r="X250" s="1482"/>
      <c r="Y250" s="1464"/>
      <c r="Z250" s="676"/>
      <c r="AA250" s="676"/>
      <c r="AB250" s="207" t="s">
        <v>519</v>
      </c>
      <c r="AC250" s="303" t="s">
        <v>644</v>
      </c>
      <c r="AD250" s="59" t="s">
        <v>512</v>
      </c>
      <c r="AE250" s="1886"/>
      <c r="AF250" s="1886"/>
      <c r="AG250" s="1886"/>
      <c r="AH250" s="1886"/>
      <c r="AI250" s="243"/>
      <c r="AJ250" s="1886"/>
      <c r="AK250" s="1886"/>
      <c r="AL250" s="1886"/>
      <c r="AM250" s="1886"/>
      <c r="AN250" s="1886"/>
      <c r="AO250" s="1886"/>
      <c r="AP250" s="1886"/>
      <c r="AQ250" s="1886"/>
      <c r="AR250" s="1886"/>
      <c r="AS250" s="243"/>
      <c r="AT250" s="1886"/>
      <c r="AU250" s="1886"/>
      <c r="AV250" s="1886"/>
      <c r="AW250" s="1886"/>
      <c r="AX250" s="1886"/>
      <c r="AY250" s="1886"/>
      <c r="AZ250" s="1886"/>
      <c r="BA250" s="1886"/>
      <c r="BB250" s="1886"/>
      <c r="BC250" s="1887"/>
      <c r="BD250" s="676"/>
      <c r="BE250" s="676"/>
      <c r="BF250" s="998" t="s">
        <v>645</v>
      </c>
    </row>
    <row s="1621" customFormat="1" customHeight="1" ht="21.75" hidden="1">
      <c r="A251" s="676"/>
      <c r="B251" s="1176"/>
      <c r="C251" s="676"/>
      <c r="D251" s="676"/>
      <c r="E251" s="611">
        <v>22.5</v>
      </c>
      <c r="F251" s="50" cm="1" t="str">
        <f t="array" ref="F251:F251">OFFSET(E251,-1,1)</f>
        <v>2</v>
      </c>
      <c r="G251" s="676"/>
      <c r="H251" s="64" t="s">
        <v>522</v>
      </c>
      <c r="I251" s="676"/>
      <c r="J251" s="676"/>
      <c r="K251" s="676"/>
      <c r="L251" s="676"/>
      <c r="M251" s="676"/>
      <c r="N251" s="676"/>
      <c r="O251" s="676"/>
      <c r="P251" s="1316"/>
      <c r="Q251" s="1316"/>
      <c r="R251" s="1316"/>
      <c r="S251" s="1316"/>
      <c r="T251" s="439" cm="1" t="str">
        <f t="array" ref="T251:T251">T250</f>
        <v>false</v>
      </c>
      <c r="U251" s="1316"/>
      <c r="V251" s="676"/>
      <c r="W251" s="1316"/>
      <c r="X251" s="1482"/>
      <c r="Y251" s="1464"/>
      <c r="Z251" s="676"/>
      <c r="AA251" s="676"/>
      <c r="AB251" s="207" t="s">
        <v>523</v>
      </c>
      <c r="AC251" s="303" t="s">
        <v>646</v>
      </c>
      <c r="AD251" s="59" t="s">
        <v>512</v>
      </c>
      <c r="AE251" s="1886"/>
      <c r="AF251" s="1886"/>
      <c r="AG251" s="1886"/>
      <c r="AH251" s="1886"/>
      <c r="AI251" s="243"/>
      <c r="AJ251" s="1886"/>
      <c r="AK251" s="1886"/>
      <c r="AL251" s="1886"/>
      <c r="AM251" s="1886"/>
      <c r="AN251" s="1886"/>
      <c r="AO251" s="1886"/>
      <c r="AP251" s="1886"/>
      <c r="AQ251" s="1886"/>
      <c r="AR251" s="1886"/>
      <c r="AS251" s="243"/>
      <c r="AT251" s="1886"/>
      <c r="AU251" s="1886"/>
      <c r="AV251" s="1886"/>
      <c r="AW251" s="1886"/>
      <c r="AX251" s="1886"/>
      <c r="AY251" s="1886"/>
      <c r="AZ251" s="1886"/>
      <c r="BA251" s="1886"/>
      <c r="BB251" s="1886"/>
      <c r="BC251" s="1887"/>
      <c r="BD251" s="676"/>
      <c r="BE251" s="676"/>
      <c r="BF251" s="998" t="s">
        <v>647</v>
      </c>
    </row>
    <row s="1621" customFormat="1" customHeight="1" ht="14.25" hidden="1">
      <c r="A252" s="676"/>
      <c r="B252" s="1176"/>
      <c r="C252" s="676"/>
      <c r="D252" s="676"/>
      <c r="E252" s="611">
        <v>15</v>
      </c>
      <c r="F252" s="50" cm="1" t="str">
        <f t="array" ref="F252:F252">OFFSET(E252,-1,1)</f>
        <v>2</v>
      </c>
      <c r="G252" s="676"/>
      <c r="H252" s="64" t="s">
        <v>328</v>
      </c>
      <c r="I252" s="676"/>
      <c r="J252" s="676"/>
      <c r="K252" s="676"/>
      <c r="L252" s="676"/>
      <c r="M252" s="676"/>
      <c r="N252" s="676"/>
      <c r="O252" s="676"/>
      <c r="P252" s="1316"/>
      <c r="Q252" s="1316"/>
      <c r="R252" s="1316"/>
      <c r="S252" s="1316"/>
      <c r="T252" s="439" cm="1" t="str">
        <f t="array" ref="T252:T252">T251</f>
        <v>false</v>
      </c>
      <c r="U252" s="1316"/>
      <c r="V252" s="676"/>
      <c r="W252" s="1316"/>
      <c r="X252" s="1482"/>
      <c r="Y252" s="1464"/>
      <c r="Z252" s="676"/>
      <c r="AA252" s="676"/>
      <c r="AB252" s="207" t="s">
        <v>323</v>
      </c>
      <c r="AC252" s="295" t="s">
        <v>558</v>
      </c>
      <c r="AD252" s="59" t="s">
        <v>512</v>
      </c>
      <c r="AE252" s="1886"/>
      <c r="AF252" s="1886"/>
      <c r="AG252" s="1886"/>
      <c r="AH252" s="1886"/>
      <c r="AI252" s="243"/>
      <c r="AJ252" s="1886"/>
      <c r="AK252" s="1886"/>
      <c r="AL252" s="1886"/>
      <c r="AM252" s="1886"/>
      <c r="AN252" s="1886"/>
      <c r="AO252" s="1886"/>
      <c r="AP252" s="1886"/>
      <c r="AQ252" s="1886"/>
      <c r="AR252" s="1886"/>
      <c r="AS252" s="243"/>
      <c r="AT252" s="1886"/>
      <c r="AU252" s="1886"/>
      <c r="AV252" s="1886"/>
      <c r="AW252" s="1886"/>
      <c r="AX252" s="1886"/>
      <c r="AY252" s="1886"/>
      <c r="AZ252" s="1886"/>
      <c r="BA252" s="1886"/>
      <c r="BB252" s="1886"/>
      <c r="BC252" s="1887"/>
      <c r="BD252" s="676"/>
      <c r="BE252" s="676"/>
      <c r="BF252" s="998" t="s">
        <v>648</v>
      </c>
    </row>
    <row s="1621" customFormat="1" customHeight="1" ht="14.25" hidden="1">
      <c r="A253" s="676"/>
      <c r="B253" s="1176"/>
      <c r="C253" s="676"/>
      <c r="D253" s="676"/>
      <c r="E253" s="611">
        <v>15</v>
      </c>
      <c r="F253" s="50" cm="1" t="str">
        <f t="array" ref="F253:F253">OFFSET(E253,-1,1)</f>
        <v>2</v>
      </c>
      <c r="G253" s="676"/>
      <c r="H253" s="64" t="s">
        <v>528</v>
      </c>
      <c r="I253" s="676"/>
      <c r="J253" s="676"/>
      <c r="K253" s="676"/>
      <c r="L253" s="676"/>
      <c r="M253" s="676"/>
      <c r="N253" s="676"/>
      <c r="O253" s="676"/>
      <c r="P253" s="1316"/>
      <c r="Q253" s="1316"/>
      <c r="R253" s="1316"/>
      <c r="S253" s="1316"/>
      <c r="T253" s="439" cm="1" t="str">
        <f t="array" ref="T253:T253">T252</f>
        <v>false</v>
      </c>
      <c r="U253" s="1316"/>
      <c r="V253" s="676"/>
      <c r="W253" s="1316"/>
      <c r="X253" s="1482"/>
      <c r="Y253" s="1464"/>
      <c r="Z253" s="676"/>
      <c r="AA253" s="676"/>
      <c r="AB253" s="207" t="s">
        <v>529</v>
      </c>
      <c r="AC253" s="298" t="s">
        <v>562</v>
      </c>
      <c r="AD253" s="59" t="s">
        <v>437</v>
      </c>
      <c r="AE253" s="1764">
        <f>IF(AE248=0,0,AE252/AE248*100)</f>
        <v>0</v>
      </c>
      <c r="AF253" s="1764">
        <f>IF(AF248=0,0,AF252/AF248*100)</f>
        <v>0</v>
      </c>
      <c r="AG253" s="1764">
        <f>IF(AG248=0,0,AG252/AG248*100)</f>
        <v>0</v>
      </c>
      <c r="AH253" s="1764">
        <f>IF(AH248=0,0,AH252/AH248*100)</f>
        <v>0</v>
      </c>
      <c r="AI253" s="107">
        <f>IF(AI248=0,0,AI252/AI248*100)</f>
        <v>0</v>
      </c>
      <c r="AJ253" s="1764">
        <f>IF(AJ248=0,0,AJ252/AJ248*100)</f>
        <v>0</v>
      </c>
      <c r="AK253" s="1764">
        <f>IF(AK248=0,0,AK252/AK248*100)</f>
        <v>0</v>
      </c>
      <c r="AL253" s="1764">
        <f>IF(AL248=0,0,AL252/AL248*100)</f>
        <v>0</v>
      </c>
      <c r="AM253" s="1764">
        <f>IF(AM248=0,0,AM252/AM248*100)</f>
        <v>0</v>
      </c>
      <c r="AN253" s="1764">
        <f>IF(AN248=0,0,AN252/AN248*100)</f>
        <v>0</v>
      </c>
      <c r="AO253" s="1764">
        <f>IF(AO248=0,0,AO252/AO248*100)</f>
        <v>0</v>
      </c>
      <c r="AP253" s="1764">
        <f>IF(AP248=0,0,AP252/AP248*100)</f>
        <v>0</v>
      </c>
      <c r="AQ253" s="1764">
        <f>IF(AQ248=0,0,AQ252/AQ248*100)</f>
        <v>0</v>
      </c>
      <c r="AR253" s="1764">
        <f>IF(AR248=0,0,AR252/AR248*100)</f>
        <v>0</v>
      </c>
      <c r="AS253" s="107">
        <f>IF(AS248=0,0,AS252/AS248*100)</f>
        <v>0</v>
      </c>
      <c r="AT253" s="1764">
        <f>IF(AT248=0,0,AT252/AT248*100)</f>
        <v>0</v>
      </c>
      <c r="AU253" s="1764">
        <f>IF(AU248=0,0,AU252/AU248*100)</f>
        <v>0</v>
      </c>
      <c r="AV253" s="1764">
        <f>IF(AV248=0,0,AV252/AV248*100)</f>
        <v>0</v>
      </c>
      <c r="AW253" s="1764">
        <f>IF(AW248=0,0,AW252/AW248*100)</f>
        <v>0</v>
      </c>
      <c r="AX253" s="1764">
        <f>IF(AX248=0,0,AX252/AX248*100)</f>
        <v>0</v>
      </c>
      <c r="AY253" s="1764">
        <f>IF(AY248=0,0,AY252/AY248*100)</f>
        <v>0</v>
      </c>
      <c r="AZ253" s="1764">
        <f>IF(AZ248=0,0,AZ252/AZ248*100)</f>
        <v>0</v>
      </c>
      <c r="BA253" s="1764">
        <f>IF(BA248=0,0,BA252/BA248*100)</f>
        <v>0</v>
      </c>
      <c r="BB253" s="1764">
        <f>IF(BB248=0,0,BB252/BB248*100)</f>
        <v>0</v>
      </c>
      <c r="BC253" s="1934"/>
      <c r="BD253" s="676"/>
      <c r="BE253" s="676"/>
      <c r="BF253" s="998" t="s">
        <v>649</v>
      </c>
    </row>
    <row s="1621" customFormat="1" customHeight="1" ht="14.25" hidden="1">
      <c r="A254" s="676"/>
      <c r="B254" s="1176"/>
      <c r="C254" s="676"/>
      <c r="D254" s="676"/>
      <c r="E254" s="611">
        <v>15</v>
      </c>
      <c r="F254" s="50" cm="1" t="str">
        <f t="array" ref="F254:F254">OFFSET(E254,-1,1)</f>
        <v>2</v>
      </c>
      <c r="G254" s="676"/>
      <c r="H254" s="64" t="s">
        <v>491</v>
      </c>
      <c r="I254" s="676"/>
      <c r="J254" s="676"/>
      <c r="K254" s="676"/>
      <c r="L254" s="676"/>
      <c r="M254" s="676"/>
      <c r="N254" s="676"/>
      <c r="O254" s="676"/>
      <c r="P254" s="1316"/>
      <c r="Q254" s="1316"/>
      <c r="R254" s="1316"/>
      <c r="S254" s="1316"/>
      <c r="T254" s="439" cm="1" t="str">
        <f t="array" ref="T254:T254">T253</f>
        <v>false</v>
      </c>
      <c r="U254" s="1316"/>
      <c r="V254" s="676"/>
      <c r="W254" s="1316"/>
      <c r="X254" s="1482"/>
      <c r="Y254" s="1464"/>
      <c r="Z254" s="676"/>
      <c r="AA254" s="676"/>
      <c r="AB254" s="207" t="s">
        <v>536</v>
      </c>
      <c r="AC254" s="302" t="s">
        <v>570</v>
      </c>
      <c r="AD254" s="59" t="s">
        <v>512</v>
      </c>
      <c r="AE254" s="313">
        <f>AE255+AE256</f>
        <v>0</v>
      </c>
      <c r="AF254" s="313">
        <f>AF255+AF256</f>
        <v>0</v>
      </c>
      <c r="AG254" s="313">
        <f>AG255+AG256</f>
        <v>0</v>
      </c>
      <c r="AH254" s="313">
        <f>AH255+AH256</f>
        <v>0</v>
      </c>
      <c r="AI254" s="313">
        <f>AI255+AI256</f>
        <v>0</v>
      </c>
      <c r="AJ254" s="313">
        <f>AJ255+AJ256</f>
        <v>0</v>
      </c>
      <c r="AK254" s="313">
        <f>AK255+AK256</f>
        <v>0</v>
      </c>
      <c r="AL254" s="313">
        <f>AL255+AL256</f>
        <v>0</v>
      </c>
      <c r="AM254" s="313">
        <f>AM255+AM256</f>
        <v>0</v>
      </c>
      <c r="AN254" s="313">
        <f>AN255+AN256</f>
        <v>0</v>
      </c>
      <c r="AO254" s="313">
        <f>AO255+AO256</f>
        <v>0</v>
      </c>
      <c r="AP254" s="313">
        <f>AP255+AP256</f>
        <v>0</v>
      </c>
      <c r="AQ254" s="313">
        <f>AQ255+AQ256</f>
        <v>0</v>
      </c>
      <c r="AR254" s="313">
        <f>AR255+AR256</f>
        <v>0</v>
      </c>
      <c r="AS254" s="313">
        <f>AS255+AS256</f>
        <v>0</v>
      </c>
      <c r="AT254" s="313">
        <f>AT255+AT256</f>
        <v>0</v>
      </c>
      <c r="AU254" s="313">
        <f>AU255+AU256</f>
        <v>0</v>
      </c>
      <c r="AV254" s="313">
        <f>AV255+AV256</f>
        <v>0</v>
      </c>
      <c r="AW254" s="313">
        <f>AW255+AW256</f>
        <v>0</v>
      </c>
      <c r="AX254" s="313">
        <f>AX255+AX256</f>
        <v>0</v>
      </c>
      <c r="AY254" s="313">
        <f>AY255+AY256</f>
        <v>0</v>
      </c>
      <c r="AZ254" s="313">
        <f>AZ255+AZ256</f>
        <v>0</v>
      </c>
      <c r="BA254" s="313">
        <f>BA255+BA256</f>
        <v>0</v>
      </c>
      <c r="BB254" s="313">
        <f>BB255+BB256</f>
        <v>0</v>
      </c>
      <c r="BC254" s="1887"/>
      <c r="BD254" s="676"/>
      <c r="BE254" s="676"/>
      <c r="BF254" s="998" t="s">
        <v>650</v>
      </c>
    </row>
    <row s="1621" customFormat="1" customHeight="1" ht="14.625" hidden="1">
      <c r="A255" s="676"/>
      <c r="B255" s="1176"/>
      <c r="C255" s="676"/>
      <c r="D255" s="676"/>
      <c r="E255" s="611">
        <v>15</v>
      </c>
      <c r="F255" s="50" cm="1" t="str">
        <f t="array" ref="F255:F255">OFFSET(E255,-1,1)</f>
        <v>2</v>
      </c>
      <c r="G255" s="676"/>
      <c r="H255" s="64" t="s">
        <v>651</v>
      </c>
      <c r="I255" s="676"/>
      <c r="J255" s="676"/>
      <c r="K255" s="676"/>
      <c r="L255" s="676"/>
      <c r="M255" s="676"/>
      <c r="N255" s="676"/>
      <c r="O255" s="676"/>
      <c r="P255" s="1316"/>
      <c r="Q255" s="1316"/>
      <c r="R255" s="1316"/>
      <c r="S255" s="1316"/>
      <c r="T255" s="439" cm="1" t="str">
        <f t="array" ref="T255:T255">T254</f>
        <v>false</v>
      </c>
      <c r="U255" s="1316"/>
      <c r="V255" s="676"/>
      <c r="W255" s="1316"/>
      <c r="X255" s="1482"/>
      <c r="Y255" s="1464"/>
      <c r="Z255" s="676"/>
      <c r="AA255" s="676"/>
      <c r="AB255" s="207" t="s">
        <v>652</v>
      </c>
      <c r="AC255" s="303" t="s">
        <v>574</v>
      </c>
      <c r="AD255" s="59" t="s">
        <v>512</v>
      </c>
      <c r="AE255" s="1886"/>
      <c r="AF255" s="1886"/>
      <c r="AG255" s="1886"/>
      <c r="AH255" s="1886"/>
      <c r="AI255" s="243">
        <v>0</v>
      </c>
      <c r="AJ255" s="1886"/>
      <c r="AK255" s="1886"/>
      <c r="AL255" s="1886"/>
      <c r="AM255" s="1886"/>
      <c r="AN255" s="1886"/>
      <c r="AO255" s="1886"/>
      <c r="AP255" s="1886"/>
      <c r="AQ255" s="1886"/>
      <c r="AR255" s="1886"/>
      <c r="AS255" s="243">
        <v>0</v>
      </c>
      <c r="AT255" s="1886"/>
      <c r="AU255" s="1886"/>
      <c r="AV255" s="1886"/>
      <c r="AW255" s="1886"/>
      <c r="AX255" s="1886"/>
      <c r="AY255" s="1886"/>
      <c r="AZ255" s="1886"/>
      <c r="BA255" s="1886"/>
      <c r="BB255" s="1886"/>
      <c r="BC255" s="1887"/>
      <c r="BD255" s="676"/>
      <c r="BE255" s="676"/>
      <c r="BF255" s="998" t="s">
        <v>653</v>
      </c>
    </row>
    <row s="1621" customFormat="1" customHeight="1" ht="14.625" hidden="1">
      <c r="A256" s="676"/>
      <c r="B256" s="1176"/>
      <c r="C256" s="676"/>
      <c r="D256" s="676"/>
      <c r="E256" s="611">
        <v>15</v>
      </c>
      <c r="F256" s="50" cm="1" t="str">
        <f t="array" ref="F256:F256">OFFSET(E256,-1,1)</f>
        <v>2</v>
      </c>
      <c r="G256" s="676"/>
      <c r="H256" s="64" t="s">
        <v>654</v>
      </c>
      <c r="I256" s="676"/>
      <c r="J256" s="676"/>
      <c r="K256" s="676"/>
      <c r="L256" s="676"/>
      <c r="M256" s="676"/>
      <c r="N256" s="676"/>
      <c r="O256" s="676"/>
      <c r="P256" s="1316"/>
      <c r="Q256" s="1316"/>
      <c r="R256" s="1316"/>
      <c r="S256" s="1316"/>
      <c r="T256" s="439" cm="1" t="str">
        <f t="array" ref="T256:T256">T255</f>
        <v>false</v>
      </c>
      <c r="U256" s="1316"/>
      <c r="V256" s="676"/>
      <c r="W256" s="1316"/>
      <c r="X256" s="1482"/>
      <c r="Y256" s="1464"/>
      <c r="Z256" s="676"/>
      <c r="AA256" s="676"/>
      <c r="AB256" s="207" t="s">
        <v>655</v>
      </c>
      <c r="AC256" s="303" t="s">
        <v>578</v>
      </c>
      <c r="AD256" s="59" t="s">
        <v>512</v>
      </c>
      <c r="AE256" s="1886"/>
      <c r="AF256" s="1886"/>
      <c r="AG256" s="1886"/>
      <c r="AH256" s="1886"/>
      <c r="AI256" s="243">
        <v>0</v>
      </c>
      <c r="AJ256" s="1886"/>
      <c r="AK256" s="1886"/>
      <c r="AL256" s="1886"/>
      <c r="AM256" s="1886"/>
      <c r="AN256" s="1886"/>
      <c r="AO256" s="1886"/>
      <c r="AP256" s="1886"/>
      <c r="AQ256" s="1886"/>
      <c r="AR256" s="1886"/>
      <c r="AS256" s="243">
        <v>0</v>
      </c>
      <c r="AT256" s="1886"/>
      <c r="AU256" s="1886"/>
      <c r="AV256" s="1886"/>
      <c r="AW256" s="1886"/>
      <c r="AX256" s="1886"/>
      <c r="AY256" s="1886"/>
      <c r="AZ256" s="1886"/>
      <c r="BA256" s="1886"/>
      <c r="BB256" s="1886"/>
      <c r="BC256" s="1887"/>
      <c r="BD256" s="676"/>
      <c r="BE256" s="676"/>
      <c r="BF256" s="998" t="s">
        <v>656</v>
      </c>
    </row>
    <row s="1621" customFormat="1" customHeight="1" ht="14.25" hidden="1">
      <c r="A257" s="676"/>
      <c r="B257" s="1176"/>
      <c r="C257" s="676"/>
      <c r="D257" s="676"/>
      <c r="E257" s="611">
        <v>15</v>
      </c>
      <c r="F257" s="50" cm="1" t="str">
        <f t="array" ref="F257:F257">OFFSET(E257,-1,1)</f>
        <v>2</v>
      </c>
      <c r="G257" s="64" t="s">
        <v>584</v>
      </c>
      <c r="H257" s="64" t="s">
        <v>495</v>
      </c>
      <c r="I257" s="676"/>
      <c r="J257" s="676"/>
      <c r="K257" s="676"/>
      <c r="L257" s="676"/>
      <c r="M257" s="676"/>
      <c r="N257" s="676"/>
      <c r="O257" s="676"/>
      <c r="P257" s="1316"/>
      <c r="Q257" s="1316"/>
      <c r="R257" s="1316"/>
      <c r="S257" s="1316"/>
      <c r="T257" s="439" cm="1" t="str">
        <f t="array" ref="T257:T257">T256</f>
        <v>false</v>
      </c>
      <c r="U257" s="1316"/>
      <c r="V257" s="676"/>
      <c r="W257" s="1316"/>
      <c r="X257" s="1482"/>
      <c r="Y257" s="1464"/>
      <c r="Z257" s="676"/>
      <c r="AA257" s="676"/>
      <c r="AB257" s="207" t="s">
        <v>492</v>
      </c>
      <c r="AC257" s="302" t="s">
        <v>587</v>
      </c>
      <c r="AD257" s="59" t="s">
        <v>512</v>
      </c>
      <c r="AE257" s="313">
        <f>AE258+AE259</f>
        <v>0</v>
      </c>
      <c r="AF257" s="313">
        <f>AF258+AF259</f>
        <v>0</v>
      </c>
      <c r="AG257" s="313">
        <f>AG258+AG259</f>
        <v>0</v>
      </c>
      <c r="AH257" s="313">
        <f>AH258+AH259</f>
        <v>0</v>
      </c>
      <c r="AI257" s="313">
        <f>AI258+AI259</f>
        <v>0</v>
      </c>
      <c r="AJ257" s="313">
        <f>AJ258+AJ259</f>
        <v>0</v>
      </c>
      <c r="AK257" s="313">
        <f>AK258+AK259</f>
        <v>0</v>
      </c>
      <c r="AL257" s="313">
        <f>AL258+AL259</f>
        <v>0</v>
      </c>
      <c r="AM257" s="313">
        <f>AM258+AM259</f>
        <v>0</v>
      </c>
      <c r="AN257" s="313">
        <f>AN258+AN259</f>
        <v>0</v>
      </c>
      <c r="AO257" s="313">
        <f>AO258+AO259</f>
        <v>0</v>
      </c>
      <c r="AP257" s="313">
        <f>AP258+AP259</f>
        <v>0</v>
      </c>
      <c r="AQ257" s="313">
        <f>AQ258+AQ259</f>
        <v>0</v>
      </c>
      <c r="AR257" s="313">
        <f>AR258+AR259</f>
        <v>0</v>
      </c>
      <c r="AS257" s="313">
        <f>AS258+AS259</f>
        <v>0</v>
      </c>
      <c r="AT257" s="313">
        <f>AT258+AT259</f>
        <v>0</v>
      </c>
      <c r="AU257" s="313">
        <f>AU258+AU259</f>
        <v>0</v>
      </c>
      <c r="AV257" s="313">
        <f>AV258+AV259</f>
        <v>0</v>
      </c>
      <c r="AW257" s="313">
        <f>AW258+AW259</f>
        <v>0</v>
      </c>
      <c r="AX257" s="313">
        <f>AX258+AX259</f>
        <v>0</v>
      </c>
      <c r="AY257" s="313">
        <f>AY258+AY259</f>
        <v>0</v>
      </c>
      <c r="AZ257" s="313">
        <f>AZ258+AZ259</f>
        <v>0</v>
      </c>
      <c r="BA257" s="313">
        <f>BA258+BA259</f>
        <v>0</v>
      </c>
      <c r="BB257" s="313">
        <f>BB258+BB259</f>
        <v>0</v>
      </c>
      <c r="BC257" s="1887"/>
      <c r="BD257" s="676"/>
      <c r="BE257" s="676"/>
      <c r="BF257" s="998" t="s">
        <v>657</v>
      </c>
    </row>
    <row s="1621" customFormat="1" customHeight="1" ht="14.25" hidden="1">
      <c r="A258" s="676"/>
      <c r="B258" s="1176"/>
      <c r="C258" s="676"/>
      <c r="D258" s="676"/>
      <c r="E258" s="611">
        <v>15</v>
      </c>
      <c r="F258" s="50" cm="1" t="str">
        <f t="array" ref="F258:F258">OFFSET(E258,-1,1)</f>
        <v>2</v>
      </c>
      <c r="G258" s="676"/>
      <c r="H258" s="64" t="s">
        <v>658</v>
      </c>
      <c r="I258" s="676"/>
      <c r="J258" s="676"/>
      <c r="K258" s="676"/>
      <c r="L258" s="676"/>
      <c r="M258" s="676"/>
      <c r="N258" s="676"/>
      <c r="O258" s="676"/>
      <c r="P258" s="1316"/>
      <c r="Q258" s="1316"/>
      <c r="R258" s="1316"/>
      <c r="S258" s="1316"/>
      <c r="T258" s="439" cm="1" t="str">
        <f t="array" ref="T258:T258">T257</f>
        <v>false</v>
      </c>
      <c r="U258" s="1316"/>
      <c r="V258" s="676"/>
      <c r="W258" s="1316"/>
      <c r="X258" s="1482"/>
      <c r="Y258" s="1464"/>
      <c r="Z258" s="676"/>
      <c r="AA258" s="676"/>
      <c r="AB258" s="207" t="s">
        <v>659</v>
      </c>
      <c r="AC258" s="303" t="s">
        <v>591</v>
      </c>
      <c r="AD258" s="59" t="s">
        <v>512</v>
      </c>
      <c r="AE258" s="1886"/>
      <c r="AF258" s="1886"/>
      <c r="AG258" s="1886"/>
      <c r="AH258" s="1886"/>
      <c r="AI258" s="243"/>
      <c r="AJ258" s="1886"/>
      <c r="AK258" s="1886"/>
      <c r="AL258" s="1886"/>
      <c r="AM258" s="1886"/>
      <c r="AN258" s="1886"/>
      <c r="AO258" s="1886"/>
      <c r="AP258" s="1886"/>
      <c r="AQ258" s="1886"/>
      <c r="AR258" s="1886"/>
      <c r="AS258" s="243"/>
      <c r="AT258" s="1886"/>
      <c r="AU258" s="1886"/>
      <c r="AV258" s="1886"/>
      <c r="AW258" s="1886"/>
      <c r="AX258" s="1886"/>
      <c r="AY258" s="1886"/>
      <c r="AZ258" s="1886"/>
      <c r="BA258" s="1886"/>
      <c r="BB258" s="1886"/>
      <c r="BC258" s="1887"/>
      <c r="BD258" s="676"/>
      <c r="BE258" s="676"/>
      <c r="BF258" s="998" t="s">
        <v>660</v>
      </c>
    </row>
    <row s="1621" customFormat="1" customHeight="1" ht="14.25" hidden="1">
      <c r="A259" s="676"/>
      <c r="B259" s="1176"/>
      <c r="C259" s="676"/>
      <c r="D259" s="676"/>
      <c r="E259" s="611">
        <v>15</v>
      </c>
      <c r="F259" s="50" cm="1" t="str">
        <f t="array" ref="F259:F259">OFFSET(E259,-1,1)</f>
        <v>2</v>
      </c>
      <c r="G259" s="676"/>
      <c r="H259" s="64" t="s">
        <v>661</v>
      </c>
      <c r="I259" s="676"/>
      <c r="J259" s="676"/>
      <c r="K259" s="676"/>
      <c r="L259" s="676"/>
      <c r="M259" s="676"/>
      <c r="N259" s="676"/>
      <c r="O259" s="676"/>
      <c r="P259" s="1316"/>
      <c r="Q259" s="1316"/>
      <c r="R259" s="1316"/>
      <c r="S259" s="1316"/>
      <c r="T259" s="439" cm="1" t="str">
        <f t="array" ref="T259:T259">T258</f>
        <v>false</v>
      </c>
      <c r="U259" s="1316"/>
      <c r="V259" s="676"/>
      <c r="W259" s="1316"/>
      <c r="X259" s="1482"/>
      <c r="Y259" s="1464"/>
      <c r="Z259" s="676"/>
      <c r="AA259" s="676"/>
      <c r="AB259" s="207" t="s">
        <v>662</v>
      </c>
      <c r="AC259" s="303" t="s">
        <v>595</v>
      </c>
      <c r="AD259" s="59" t="s">
        <v>512</v>
      </c>
      <c r="AE259" s="1886"/>
      <c r="AF259" s="1886"/>
      <c r="AG259" s="1886"/>
      <c r="AH259" s="1886"/>
      <c r="AI259" s="243"/>
      <c r="AJ259" s="1886"/>
      <c r="AK259" s="1886"/>
      <c r="AL259" s="1886"/>
      <c r="AM259" s="1886"/>
      <c r="AN259" s="1886"/>
      <c r="AO259" s="1886"/>
      <c r="AP259" s="1886"/>
      <c r="AQ259" s="1886"/>
      <c r="AR259" s="1886"/>
      <c r="AS259" s="243"/>
      <c r="AT259" s="1886"/>
      <c r="AU259" s="1886"/>
      <c r="AV259" s="1886"/>
      <c r="AW259" s="1886"/>
      <c r="AX259" s="1886"/>
      <c r="AY259" s="1886"/>
      <c r="AZ259" s="1886"/>
      <c r="BA259" s="1886"/>
      <c r="BB259" s="1886"/>
      <c r="BC259" s="1887"/>
      <c r="BD259" s="676"/>
      <c r="BE259" s="676"/>
      <c r="BF259" s="998" t="s">
        <v>663</v>
      </c>
    </row>
    <row s="1621" customFormat="1" customHeight="1" ht="21.75" hidden="1">
      <c r="A260" s="676"/>
      <c r="B260" s="1176"/>
      <c r="C260" s="676"/>
      <c r="D260" s="676"/>
      <c r="E260" s="611">
        <v>22.5</v>
      </c>
      <c r="F260" s="50" cm="1" t="str">
        <f t="array" ref="F260:F260">OFFSET(E260,-1,1)</f>
        <v>2</v>
      </c>
      <c r="G260" s="676"/>
      <c r="H260" s="64" t="s">
        <v>541</v>
      </c>
      <c r="I260" s="443"/>
      <c r="J260" s="443"/>
      <c r="K260" s="676"/>
      <c r="L260" s="676"/>
      <c r="M260" s="676"/>
      <c r="N260" s="676"/>
      <c r="O260" s="676"/>
      <c r="P260" s="1316"/>
      <c r="Q260" s="1316"/>
      <c r="R260" s="1316"/>
      <c r="S260" s="1316"/>
      <c r="T260" s="439" cm="1" t="str">
        <f t="array" ref="T260:T260">T259</f>
        <v>false</v>
      </c>
      <c r="U260" s="1316"/>
      <c r="V260" s="676"/>
      <c r="W260" s="1316"/>
      <c r="X260" s="1482"/>
      <c r="Y260" s="1464"/>
      <c r="Z260" s="676"/>
      <c r="AA260" s="676"/>
      <c r="AB260" s="207" t="s">
        <v>496</v>
      </c>
      <c r="AC260" s="304" t="s">
        <v>634</v>
      </c>
      <c r="AD260" s="59" t="s">
        <v>512</v>
      </c>
      <c r="AE260" s="1886"/>
      <c r="AF260" s="1886"/>
      <c r="AG260" s="1886"/>
      <c r="AH260" s="1886"/>
      <c r="AI260" s="243"/>
      <c r="AJ260" s="1886"/>
      <c r="AK260" s="1886"/>
      <c r="AL260" s="1886"/>
      <c r="AM260" s="1886"/>
      <c r="AN260" s="1886"/>
      <c r="AO260" s="1886"/>
      <c r="AP260" s="1886"/>
      <c r="AQ260" s="1886"/>
      <c r="AR260" s="1886"/>
      <c r="AS260" s="243"/>
      <c r="AT260" s="1886"/>
      <c r="AU260" s="1886"/>
      <c r="AV260" s="1886"/>
      <c r="AW260" s="1886"/>
      <c r="AX260" s="1886"/>
      <c r="AY260" s="1886"/>
      <c r="AZ260" s="1886"/>
      <c r="BA260" s="1886"/>
      <c r="BB260" s="1886"/>
      <c r="BC260" s="1887"/>
      <c r="BD260" s="676"/>
      <c r="BE260" s="676"/>
      <c r="BF260" s="998" t="s">
        <v>664</v>
      </c>
    </row>
    <row s="1621" customFormat="1" customHeight="1" ht="14.25" hidden="1">
      <c r="A261" s="676"/>
      <c r="B261" s="1176"/>
      <c r="C261" s="676"/>
      <c r="D261" s="676"/>
      <c r="E261" s="611">
        <v>15</v>
      </c>
      <c r="F261" s="316" cm="1" t="str">
        <f t="array" ref="F261:F261">OFFSET(E261,-1,1)</f>
        <v>2</v>
      </c>
      <c r="G261" s="676"/>
      <c r="H261" s="676"/>
      <c r="I261" s="676"/>
      <c r="J261" s="676"/>
      <c r="K261" s="676"/>
      <c r="L261" s="676"/>
      <c r="M261" s="676"/>
      <c r="N261" s="676"/>
      <c r="O261" s="676"/>
      <c r="P261" s="1316"/>
      <c r="Q261" s="1316"/>
      <c r="R261" s="1316"/>
      <c r="S261" s="1316"/>
      <c r="T261" s="439" cm="1" t="str">
        <f t="array" ref="T261:T261">T260</f>
        <v>false</v>
      </c>
      <c r="U261" s="1316"/>
      <c r="V261" s="676"/>
      <c r="W261" s="1316"/>
      <c r="X261" s="1482"/>
      <c r="Y261" s="1464"/>
      <c r="Z261" s="676"/>
      <c r="AA261" s="676"/>
      <c r="AB261" s="207" t="s">
        <v>636</v>
      </c>
      <c r="AC261" s="301" t="s">
        <v>637</v>
      </c>
      <c r="AD261" s="59" t="s">
        <v>512</v>
      </c>
      <c r="AE261" s="1886"/>
      <c r="AF261" s="1886"/>
      <c r="AG261" s="1886"/>
      <c r="AH261" s="1886"/>
      <c r="AI261" s="243"/>
      <c r="AJ261" s="1886"/>
      <c r="AK261" s="1886"/>
      <c r="AL261" s="1886"/>
      <c r="AM261" s="1886"/>
      <c r="AN261" s="1886"/>
      <c r="AO261" s="1886"/>
      <c r="AP261" s="1886"/>
      <c r="AQ261" s="1886"/>
      <c r="AR261" s="1886"/>
      <c r="AS261" s="243"/>
      <c r="AT261" s="1886"/>
      <c r="AU261" s="1886"/>
      <c r="AV261" s="1886"/>
      <c r="AW261" s="1886"/>
      <c r="AX261" s="1886"/>
      <c r="AY261" s="1886"/>
      <c r="AZ261" s="1886"/>
      <c r="BA261" s="1886"/>
      <c r="BB261" s="1886"/>
      <c r="BC261" s="1887"/>
      <c r="BD261" s="676"/>
      <c r="BE261" s="676"/>
      <c r="BF261" s="998" t="s">
        <v>665</v>
      </c>
    </row>
    <row s="1621" customFormat="1" customHeight="1" ht="11.25" hidden="1">
      <c r="A262" s="443"/>
      <c r="B262" s="638"/>
      <c r="C262" s="443"/>
      <c r="D262" s="443"/>
      <c r="E262" s="640" t="s">
        <v>366</v>
      </c>
      <c r="F262" s="1202" cm="1" t="str">
        <f t="array" ref="F262:F262">OFFSET(E262,-1,1)</f>
        <v>2</v>
      </c>
      <c r="G262" s="443"/>
      <c r="H262" s="443"/>
      <c r="I262" s="1621"/>
      <c r="J262" s="1621"/>
      <c r="K262" s="64"/>
      <c r="L262" s="443"/>
      <c r="M262" s="443"/>
      <c r="N262" s="443"/>
      <c r="O262" s="443"/>
      <c r="P262" s="443"/>
      <c r="Q262" s="443"/>
      <c r="R262" s="388"/>
      <c r="S262" s="443"/>
      <c r="T262" s="439" t="b">
        <v>0</v>
      </c>
      <c r="U262" s="443"/>
      <c r="V262" s="443"/>
      <c r="W262" s="443"/>
      <c r="X262" s="1482"/>
      <c r="Y262" s="1464"/>
      <c r="Z262" s="443"/>
      <c r="AA262" s="443"/>
      <c r="AB262" s="1621"/>
      <c r="AC262" s="66"/>
      <c r="AD262" s="66"/>
      <c r="AE262" s="311"/>
      <c r="AF262" s="311"/>
      <c r="AG262" s="311"/>
      <c r="AH262" s="311"/>
      <c r="AI262" s="311"/>
      <c r="AJ262" s="312"/>
      <c r="AK262" s="311"/>
      <c r="AL262" s="311"/>
      <c r="AM262" s="311"/>
      <c r="AN262" s="311"/>
      <c r="AO262" s="311"/>
      <c r="AP262" s="311"/>
      <c r="AQ262" s="311"/>
      <c r="AR262" s="311"/>
      <c r="AS262" s="311"/>
      <c r="AT262" s="311"/>
      <c r="AU262" s="311"/>
      <c r="AV262" s="311"/>
      <c r="AW262" s="311"/>
      <c r="AX262" s="311"/>
      <c r="AY262" s="311"/>
      <c r="AZ262" s="311"/>
      <c r="BA262" s="311"/>
      <c r="BB262" s="311"/>
      <c r="BC262" s="1621"/>
      <c r="BD262" s="1621"/>
      <c r="BE262" s="1621"/>
      <c r="BF262" s="1002"/>
    </row>
    <row s="1621" customFormat="1" customHeight="1" ht="14.25">
      <c r="A263" s="676"/>
      <c r="B263" s="1176"/>
      <c r="C263" s="676"/>
      <c r="D263" s="676"/>
      <c r="E263" s="611">
        <v>15</v>
      </c>
      <c r="F263" s="50" cm="1" t="str">
        <f t="array" ref="F263:F263">OFFSET(E263,-1,1)</f>
        <v>2</v>
      </c>
      <c r="G263" s="676"/>
      <c r="H263" s="676"/>
      <c r="I263" s="676"/>
      <c r="J263" s="676"/>
      <c r="K263" s="676"/>
      <c r="L263" s="676"/>
      <c r="M263" s="676"/>
      <c r="N263" s="676"/>
      <c r="O263" s="676"/>
      <c r="P263" s="1316"/>
      <c r="Q263" s="1316"/>
      <c r="R263" s="388" cm="1" t="str">
        <f t="array" ref="R263:R263">INDEX('Общие сведения'!$AN$179:$AN$222,MATCH($X209,'Общие сведения'!$Z$179:$Z$222,0))</f>
        <v>false</v>
      </c>
      <c r="S263" s="456">
        <f>IF(ISERROR(SEARCH("Водоотведение",AB209)),FALSE,TRUE)</f>
        <v>1</v>
      </c>
      <c r="T263" s="439">
        <f>AND(X209&gt;0,S263,NOT(R263))</f>
        <v>1</v>
      </c>
      <c r="U263" s="1316"/>
      <c r="V263" s="676"/>
      <c r="W263" s="1316"/>
      <c r="X263" s="1482"/>
      <c r="Y263" s="1464"/>
      <c r="Z263" s="676"/>
      <c r="AA263" s="676"/>
      <c r="AB263" s="207" t="s">
        <v>272</v>
      </c>
      <c r="AC263" s="103" t="s">
        <v>666</v>
      </c>
      <c r="AD263" s="164"/>
      <c r="AE263" s="548" cm="1" t="str">
        <f t="array" ref="AE263:AE263">INDEX('Общие сведения'!$AH$179:$AH$222,MATCH($X209,'Общие сведения'!$Z$179:$Z$222,0))</f>
        <v>без дифференциации</v>
      </c>
      <c r="AF263" s="329"/>
      <c r="AG263" s="329"/>
      <c r="AH263" s="329"/>
      <c r="AI263" s="329"/>
      <c r="AJ263" s="329"/>
      <c r="AK263" s="329"/>
      <c r="AL263" s="329"/>
      <c r="AM263" s="329"/>
      <c r="AN263" s="329"/>
      <c r="AO263" s="329"/>
      <c r="AP263" s="329"/>
      <c r="AQ263" s="329"/>
      <c r="AR263" s="329"/>
      <c r="AS263" s="329"/>
      <c r="AT263" s="329"/>
      <c r="AU263" s="329"/>
      <c r="AV263" s="329"/>
      <c r="AW263" s="329"/>
      <c r="AX263" s="329"/>
      <c r="AY263" s="329"/>
      <c r="AZ263" s="329"/>
      <c r="BA263" s="329"/>
      <c r="BB263" s="330"/>
      <c r="BC263" s="167"/>
      <c r="BD263" s="676"/>
      <c r="BE263" s="676"/>
      <c r="BF263" s="998" t="s">
        <v>667</v>
      </c>
    </row>
    <row s="1621" customFormat="1" customHeight="1" ht="14.25">
      <c r="A264" s="676"/>
      <c r="B264" s="1176"/>
      <c r="C264" s="676"/>
      <c r="D264" s="676"/>
      <c r="E264" s="611">
        <v>15</v>
      </c>
      <c r="F264" s="50" cm="1" t="str">
        <f t="array" ref="F264:F264">OFFSET(E264,-1,1)</f>
        <v>2</v>
      </c>
      <c r="G264" s="676"/>
      <c r="H264" s="64" t="s">
        <v>329</v>
      </c>
      <c r="I264" s="676"/>
      <c r="J264" s="676"/>
      <c r="K264" s="676"/>
      <c r="L264" s="676"/>
      <c r="M264" s="676"/>
      <c r="N264" s="676"/>
      <c r="O264" s="676"/>
      <c r="P264" s="1316"/>
      <c r="Q264" s="1316"/>
      <c r="R264" s="1316"/>
      <c r="S264" s="1316"/>
      <c r="T264" s="439" cm="1" t="str">
        <f t="array" ref="T264:T264">T263</f>
        <v>true</v>
      </c>
      <c r="U264" s="1316"/>
      <c r="V264" s="676"/>
      <c r="W264" s="1316"/>
      <c r="X264" s="1482"/>
      <c r="Y264" s="1464"/>
      <c r="Z264" s="676"/>
      <c r="AA264" s="676"/>
      <c r="AB264" s="207" t="s">
        <v>283</v>
      </c>
      <c r="AC264" s="103" t="s">
        <v>668</v>
      </c>
      <c r="AD264" s="59" t="s">
        <v>512</v>
      </c>
      <c r="AE264" s="314">
        <f>AE265+AE266+AE279</f>
        <v>146.7799942943</v>
      </c>
      <c r="AF264" s="314">
        <f>AF265+AF266+AF279</f>
        <v>82.65</v>
      </c>
      <c r="AG264" s="314">
        <f>AG265+AG266+AG279</f>
        <v>146.7799942943</v>
      </c>
      <c r="AH264" s="314">
        <f>AH265+AH266+AH279</f>
        <v>139.12</v>
      </c>
      <c r="AI264" s="314">
        <f>AI265+AI266+AI279</f>
        <v>136.4819</v>
      </c>
      <c r="AJ264" s="314">
        <f>AJ265+AJ266+AJ279</f>
        <v>0</v>
      </c>
      <c r="AK264" s="314">
        <f>AK265+AK266+AK279</f>
        <v>0</v>
      </c>
      <c r="AL264" s="314">
        <f>AL265+AL266+AL279</f>
        <v>0</v>
      </c>
      <c r="AM264" s="314">
        <f>AM265+AM266+AM279</f>
        <v>0</v>
      </c>
      <c r="AN264" s="314">
        <f>AN265+AN266+AN279</f>
        <v>0</v>
      </c>
      <c r="AO264" s="314">
        <f>AO265+AO266+AO279</f>
        <v>0</v>
      </c>
      <c r="AP264" s="314">
        <f>AP265+AP266+AP279</f>
        <v>0</v>
      </c>
      <c r="AQ264" s="314">
        <f>AQ265+AQ266+AQ279</f>
        <v>0</v>
      </c>
      <c r="AR264" s="314">
        <f>AR265+AR266+AR279</f>
        <v>0</v>
      </c>
      <c r="AS264" s="314">
        <f>AS265+AS266+AS279</f>
        <v>136.4819</v>
      </c>
      <c r="AT264" s="314">
        <f>AT265+AT266+AT279</f>
        <v>0</v>
      </c>
      <c r="AU264" s="314">
        <f>AU265+AU266+AU279</f>
        <v>0</v>
      </c>
      <c r="AV264" s="314">
        <f>AV265+AV266+AV279</f>
        <v>0</v>
      </c>
      <c r="AW264" s="314">
        <f>AW265+AW266+AW279</f>
        <v>0</v>
      </c>
      <c r="AX264" s="314">
        <f>AX265+AX266+AX279</f>
        <v>0</v>
      </c>
      <c r="AY264" s="314">
        <f>AY265+AY266+AY279</f>
        <v>0</v>
      </c>
      <c r="AZ264" s="314">
        <f>AZ265+AZ266+AZ279</f>
        <v>0</v>
      </c>
      <c r="BA264" s="314">
        <f>BA265+BA266+BA279</f>
        <v>0</v>
      </c>
      <c r="BB264" s="314">
        <f>BB265+BB266+BB279</f>
        <v>0</v>
      </c>
      <c r="BC264" s="167"/>
      <c r="BD264" s="676"/>
      <c r="BE264" s="676"/>
      <c r="BF264" s="998" t="s">
        <v>669</v>
      </c>
    </row>
    <row s="1621" customFormat="1" customHeight="1" ht="14.25">
      <c r="A265" s="676"/>
      <c r="B265" s="1176"/>
      <c r="C265" s="676"/>
      <c r="D265" s="676"/>
      <c r="E265" s="611">
        <v>15</v>
      </c>
      <c r="F265" s="50" cm="1" t="str">
        <f t="array" ref="F265:F265">OFFSET(E265,-1,1)</f>
        <v>2</v>
      </c>
      <c r="G265" s="64" t="str">
        <f>IF(OwnNeedsInPO="да","ПО","")</f>
        <v>ПО</v>
      </c>
      <c r="H265" s="64" t="s">
        <v>328</v>
      </c>
      <c r="I265" s="676"/>
      <c r="J265" s="676"/>
      <c r="K265" s="676"/>
      <c r="L265" s="676"/>
      <c r="M265" s="676"/>
      <c r="N265" s="676"/>
      <c r="O265" s="676"/>
      <c r="P265" s="1316"/>
      <c r="Q265" s="1316"/>
      <c r="R265" s="1316"/>
      <c r="S265" s="1316"/>
      <c r="T265" s="439" cm="1" t="str">
        <f t="array" ref="T265:T265">T264</f>
        <v>true</v>
      </c>
      <c r="U265" s="1316"/>
      <c r="V265" s="676"/>
      <c r="W265" s="1316"/>
      <c r="X265" s="1482"/>
      <c r="Y265" s="1464"/>
      <c r="Z265" s="676"/>
      <c r="AA265" s="676"/>
      <c r="AB265" s="207" t="s">
        <v>323</v>
      </c>
      <c r="AC265" s="103" t="s">
        <v>670</v>
      </c>
      <c r="AD265" s="59" t="s">
        <v>512</v>
      </c>
      <c r="AE265" s="243"/>
      <c r="AF265" s="243"/>
      <c r="AG265" s="243"/>
      <c r="AH265" s="243"/>
      <c r="AI265" s="243"/>
      <c r="AJ265" s="1886"/>
      <c r="AK265" s="1886"/>
      <c r="AL265" s="243"/>
      <c r="AM265" s="243"/>
      <c r="AN265" s="243"/>
      <c r="AO265" s="243"/>
      <c r="AP265" s="243"/>
      <c r="AQ265" s="243"/>
      <c r="AR265" s="243"/>
      <c r="AS265" s="243"/>
      <c r="AT265" s="1886"/>
      <c r="AU265" s="1886"/>
      <c r="AV265" s="243"/>
      <c r="AW265" s="243"/>
      <c r="AX265" s="243"/>
      <c r="AY265" s="243"/>
      <c r="AZ265" s="243"/>
      <c r="BA265" s="243"/>
      <c r="BB265" s="243"/>
      <c r="BC265" s="167"/>
      <c r="BD265" s="676"/>
      <c r="BE265" s="676"/>
      <c r="BF265" s="998" t="s">
        <v>671</v>
      </c>
    </row>
    <row s="1621" customFormat="1" customHeight="1" ht="14.25">
      <c r="A266" s="676"/>
      <c r="B266" s="1176"/>
      <c r="C266" s="676"/>
      <c r="D266" s="676"/>
      <c r="E266" s="611">
        <v>15</v>
      </c>
      <c r="F266" s="50" cm="1" t="str">
        <f t="array" ref="F266:F266">OFFSET(E266,-1,1)</f>
        <v>2</v>
      </c>
      <c r="G266" s="64" t="s">
        <v>584</v>
      </c>
      <c r="H266" s="64" t="s">
        <v>491</v>
      </c>
      <c r="I266" s="676"/>
      <c r="J266" s="676"/>
      <c r="K266" s="676"/>
      <c r="L266" s="676"/>
      <c r="M266" s="676"/>
      <c r="N266" s="676"/>
      <c r="O266" s="676"/>
      <c r="P266" s="1316"/>
      <c r="Q266" s="1316"/>
      <c r="R266" s="1316"/>
      <c r="S266" s="1316"/>
      <c r="T266" s="439" cm="1" t="str">
        <f t="array" ref="T266:T266">T265</f>
        <v>true</v>
      </c>
      <c r="U266" s="1316"/>
      <c r="V266" s="676"/>
      <c r="W266" s="1316"/>
      <c r="X266" s="1482"/>
      <c r="Y266" s="1464"/>
      <c r="Z266" s="676"/>
      <c r="AA266" s="676"/>
      <c r="AB266" s="207" t="s">
        <v>536</v>
      </c>
      <c r="AC266" s="104" t="s">
        <v>672</v>
      </c>
      <c r="AD266" s="59" t="s">
        <v>512</v>
      </c>
      <c r="AE266" s="313">
        <f>AE267+AE270+AE273+AE276</f>
        <v>146.7799942943</v>
      </c>
      <c r="AF266" s="313">
        <f>AF267+AF270+AF273+AF276</f>
        <v>82.65</v>
      </c>
      <c r="AG266" s="313">
        <f>AG267+AG270+AG273+AG276</f>
        <v>146.7799942943</v>
      </c>
      <c r="AH266" s="313">
        <f>AH267+AH270+AH273+AH276</f>
        <v>139.12</v>
      </c>
      <c r="AI266" s="313">
        <f>AI267+AI270+AI273+AI276</f>
        <v>136.4819</v>
      </c>
      <c r="AJ266" s="313">
        <f>AJ267+AJ270+AJ273+AJ276</f>
        <v>0</v>
      </c>
      <c r="AK266" s="313">
        <f>AK267+AK270+AK273+AK276</f>
        <v>0</v>
      </c>
      <c r="AL266" s="313">
        <f>AL267+AL270+AL273+AL276</f>
        <v>0</v>
      </c>
      <c r="AM266" s="313">
        <f>AM267+AM270+AM273+AM276</f>
        <v>0</v>
      </c>
      <c r="AN266" s="313">
        <f>AN267+AN270+AN273+AN276</f>
        <v>0</v>
      </c>
      <c r="AO266" s="313">
        <f>AO267+AO270+AO273+AO276</f>
        <v>0</v>
      </c>
      <c r="AP266" s="313">
        <f>AP267+AP270+AP273+AP276</f>
        <v>0</v>
      </c>
      <c r="AQ266" s="313">
        <f>AQ267+AQ270+AQ273+AQ276</f>
        <v>0</v>
      </c>
      <c r="AR266" s="313">
        <f>AR267+AR270+AR273+AR276</f>
        <v>0</v>
      </c>
      <c r="AS266" s="313">
        <f>AS267+AS270+AS273+AS276</f>
        <v>136.4819</v>
      </c>
      <c r="AT266" s="313">
        <f>AT267+AT270+AT273+AT276</f>
        <v>0</v>
      </c>
      <c r="AU266" s="313">
        <f>AU267+AU270+AU273+AU276</f>
        <v>0</v>
      </c>
      <c r="AV266" s="313">
        <f>AV267+AV270+AV273+AV276</f>
        <v>0</v>
      </c>
      <c r="AW266" s="313">
        <f>AW267+AW270+AW273+AW276</f>
        <v>0</v>
      </c>
      <c r="AX266" s="313">
        <f>AX267+AX270+AX273+AX276</f>
        <v>0</v>
      </c>
      <c r="AY266" s="313">
        <f>AY267+AY270+AY273+AY276</f>
        <v>0</v>
      </c>
      <c r="AZ266" s="313">
        <f>AZ267+AZ270+AZ273+AZ276</f>
        <v>0</v>
      </c>
      <c r="BA266" s="313">
        <f>BA267+BA270+BA273+BA276</f>
        <v>0</v>
      </c>
      <c r="BB266" s="313">
        <f>BB267+BB270+BB273+BB276</f>
        <v>0</v>
      </c>
      <c r="BC266" s="167"/>
      <c r="BD266" s="676"/>
      <c r="BE266" s="676"/>
      <c r="BF266" s="998" t="s">
        <v>673</v>
      </c>
    </row>
    <row s="1621" customFormat="1" customHeight="1" ht="14.25">
      <c r="A267" s="676"/>
      <c r="B267" s="1176"/>
      <c r="C267" s="676"/>
      <c r="D267" s="676"/>
      <c r="E267" s="611">
        <v>15</v>
      </c>
      <c r="F267" s="50" cm="1" t="str">
        <f t="array" ref="F267:F267">OFFSET(E267,-1,1)</f>
        <v>2</v>
      </c>
      <c r="G267" s="676"/>
      <c r="H267" s="64" t="s">
        <v>651</v>
      </c>
      <c r="I267" s="676"/>
      <c r="J267" s="676"/>
      <c r="K267" s="676"/>
      <c r="L267" s="676"/>
      <c r="M267" s="676"/>
      <c r="N267" s="676"/>
      <c r="O267" s="676"/>
      <c r="P267" s="1316"/>
      <c r="Q267" s="1316"/>
      <c r="R267" s="1316"/>
      <c r="S267" s="1316"/>
      <c r="T267" s="439" cm="1" t="str">
        <f t="array" ref="T267:T267">T266</f>
        <v>true</v>
      </c>
      <c r="U267" s="1316"/>
      <c r="V267" s="676"/>
      <c r="W267" s="1316"/>
      <c r="X267" s="1482"/>
      <c r="Y267" s="1464"/>
      <c r="Z267" s="676"/>
      <c r="AA267" s="676"/>
      <c r="AB267" s="207" t="s">
        <v>652</v>
      </c>
      <c r="AC267" s="159" t="s">
        <v>603</v>
      </c>
      <c r="AD267" s="59" t="s">
        <v>512</v>
      </c>
      <c r="AE267" s="313">
        <f>AE268+AE269</f>
        <v>0</v>
      </c>
      <c r="AF267" s="313">
        <f>AF268+AF269</f>
        <v>0</v>
      </c>
      <c r="AG267" s="313">
        <f>AG268+AG269</f>
        <v>0</v>
      </c>
      <c r="AH267" s="313">
        <f>AH268+AH269</f>
        <v>0</v>
      </c>
      <c r="AI267" s="313">
        <f>AI268+AI269</f>
        <v>0</v>
      </c>
      <c r="AJ267" s="313">
        <f>AJ268+AJ269</f>
        <v>0</v>
      </c>
      <c r="AK267" s="313">
        <f>AK268+AK269</f>
        <v>0</v>
      </c>
      <c r="AL267" s="313">
        <f>AL268+AL269</f>
        <v>0</v>
      </c>
      <c r="AM267" s="313">
        <f>AM268+AM269</f>
        <v>0</v>
      </c>
      <c r="AN267" s="313">
        <f>AN268+AN269</f>
        <v>0</v>
      </c>
      <c r="AO267" s="313">
        <f>AO268+AO269</f>
        <v>0</v>
      </c>
      <c r="AP267" s="313">
        <f>AP268+AP269</f>
        <v>0</v>
      </c>
      <c r="AQ267" s="313">
        <f>AQ268+AQ269</f>
        <v>0</v>
      </c>
      <c r="AR267" s="313">
        <f>AR268+AR269</f>
        <v>0</v>
      </c>
      <c r="AS267" s="313">
        <f>AS268+AS269</f>
        <v>0</v>
      </c>
      <c r="AT267" s="313">
        <f>AT268+AT269</f>
        <v>0</v>
      </c>
      <c r="AU267" s="313">
        <f>AU268+AU269</f>
        <v>0</v>
      </c>
      <c r="AV267" s="313">
        <f>AV268+AV269</f>
        <v>0</v>
      </c>
      <c r="AW267" s="313">
        <f>AW268+AW269</f>
        <v>0</v>
      </c>
      <c r="AX267" s="313">
        <f>AX268+AX269</f>
        <v>0</v>
      </c>
      <c r="AY267" s="313">
        <f>AY268+AY269</f>
        <v>0</v>
      </c>
      <c r="AZ267" s="313">
        <f>AZ268+AZ269</f>
        <v>0</v>
      </c>
      <c r="BA267" s="313">
        <f>BA268+BA269</f>
        <v>0</v>
      </c>
      <c r="BB267" s="313">
        <f>BB268+BB269</f>
        <v>0</v>
      </c>
      <c r="BC267" s="167"/>
      <c r="BD267" s="676"/>
      <c r="BE267" s="676"/>
      <c r="BF267" s="998" t="s">
        <v>674</v>
      </c>
    </row>
    <row s="1621" customFormat="1" customHeight="1" ht="14.25">
      <c r="A268" s="676"/>
      <c r="B268" s="1176"/>
      <c r="C268" s="676"/>
      <c r="D268" s="676"/>
      <c r="E268" s="611">
        <v>15</v>
      </c>
      <c r="F268" s="50" cm="1" t="str">
        <f t="array" ref="F268:F268">OFFSET(E268,-1,1)</f>
        <v>2</v>
      </c>
      <c r="G268" s="676"/>
      <c r="H268" s="64" t="s">
        <v>675</v>
      </c>
      <c r="I268" s="676"/>
      <c r="J268" s="676"/>
      <c r="K268" s="676"/>
      <c r="L268" s="676"/>
      <c r="M268" s="676"/>
      <c r="N268" s="676"/>
      <c r="O268" s="676"/>
      <c r="P268" s="1316"/>
      <c r="Q268" s="1316"/>
      <c r="R268" s="1316"/>
      <c r="S268" s="1316"/>
      <c r="T268" s="439" cm="1" t="str">
        <f t="array" ref="T268:T268">T267</f>
        <v>true</v>
      </c>
      <c r="U268" s="1316"/>
      <c r="V268" s="676"/>
      <c r="W268" s="1316"/>
      <c r="X268" s="1482"/>
      <c r="Y268" s="1464"/>
      <c r="Z268" s="676"/>
      <c r="AA268" s="676"/>
      <c r="AB268" s="207" t="s">
        <v>676</v>
      </c>
      <c r="AC268" s="305" t="s">
        <v>591</v>
      </c>
      <c r="AD268" s="59" t="s">
        <v>512</v>
      </c>
      <c r="AE268" s="243"/>
      <c r="AF268" s="243"/>
      <c r="AG268" s="243"/>
      <c r="AH268" s="243"/>
      <c r="AI268" s="243"/>
      <c r="AJ268" s="1886"/>
      <c r="AK268" s="1886"/>
      <c r="AL268" s="243"/>
      <c r="AM268" s="243"/>
      <c r="AN268" s="243"/>
      <c r="AO268" s="243"/>
      <c r="AP268" s="243"/>
      <c r="AQ268" s="243"/>
      <c r="AR268" s="243"/>
      <c r="AS268" s="243"/>
      <c r="AT268" s="1886"/>
      <c r="AU268" s="1886"/>
      <c r="AV268" s="243"/>
      <c r="AW268" s="243"/>
      <c r="AX268" s="243"/>
      <c r="AY268" s="243"/>
      <c r="AZ268" s="243"/>
      <c r="BA268" s="243"/>
      <c r="BB268" s="243"/>
      <c r="BC268" s="167"/>
      <c r="BD268" s="676"/>
      <c r="BE268" s="676"/>
      <c r="BF268" s="998" t="s">
        <v>677</v>
      </c>
    </row>
    <row s="1621" customFormat="1" customHeight="1" ht="14.25">
      <c r="A269" s="676"/>
      <c r="B269" s="1176"/>
      <c r="C269" s="676"/>
      <c r="D269" s="676"/>
      <c r="E269" s="611">
        <v>15</v>
      </c>
      <c r="F269" s="50" cm="1" t="str">
        <f t="array" ref="F269:F269">OFFSET(E269,-1,1)</f>
        <v>2</v>
      </c>
      <c r="G269" s="676"/>
      <c r="H269" s="64" t="s">
        <v>678</v>
      </c>
      <c r="I269" s="676"/>
      <c r="J269" s="676"/>
      <c r="K269" s="676"/>
      <c r="L269" s="676"/>
      <c r="M269" s="676"/>
      <c r="N269" s="676"/>
      <c r="O269" s="676"/>
      <c r="P269" s="1316"/>
      <c r="Q269" s="1316"/>
      <c r="R269" s="1316"/>
      <c r="S269" s="1316"/>
      <c r="T269" s="439" cm="1" t="str">
        <f t="array" ref="T269:T269">T268</f>
        <v>true</v>
      </c>
      <c r="U269" s="1316"/>
      <c r="V269" s="676"/>
      <c r="W269" s="1316"/>
      <c r="X269" s="1482"/>
      <c r="Y269" s="1464"/>
      <c r="Z269" s="676"/>
      <c r="AA269" s="676"/>
      <c r="AB269" s="207" t="s">
        <v>679</v>
      </c>
      <c r="AC269" s="305" t="s">
        <v>595</v>
      </c>
      <c r="AD269" s="59" t="s">
        <v>512</v>
      </c>
      <c r="AE269" s="243"/>
      <c r="AF269" s="243"/>
      <c r="AG269" s="243"/>
      <c r="AH269" s="243"/>
      <c r="AI269" s="243"/>
      <c r="AJ269" s="1886"/>
      <c r="AK269" s="1886"/>
      <c r="AL269" s="243"/>
      <c r="AM269" s="243"/>
      <c r="AN269" s="243"/>
      <c r="AO269" s="243"/>
      <c r="AP269" s="243"/>
      <c r="AQ269" s="243"/>
      <c r="AR269" s="243"/>
      <c r="AS269" s="243"/>
      <c r="AT269" s="1886"/>
      <c r="AU269" s="1886"/>
      <c r="AV269" s="243"/>
      <c r="AW269" s="243"/>
      <c r="AX269" s="243"/>
      <c r="AY269" s="243"/>
      <c r="AZ269" s="243"/>
      <c r="BA269" s="243"/>
      <c r="BB269" s="243"/>
      <c r="BC269" s="167"/>
      <c r="BD269" s="676"/>
      <c r="BE269" s="676"/>
      <c r="BF269" s="998" t="s">
        <v>680</v>
      </c>
    </row>
    <row s="1621" customFormat="1" customHeight="1" ht="14.25">
      <c r="A270" s="676"/>
      <c r="B270" s="1176"/>
      <c r="C270" s="676"/>
      <c r="D270" s="676"/>
      <c r="E270" s="611">
        <v>15</v>
      </c>
      <c r="F270" s="50" cm="1" t="str">
        <f t="array" ref="F270:F270">OFFSET(E270,-1,1)</f>
        <v>2</v>
      </c>
      <c r="G270" s="64" t="s">
        <v>611</v>
      </c>
      <c r="H270" s="64" t="s">
        <v>654</v>
      </c>
      <c r="I270" s="676"/>
      <c r="J270" s="676"/>
      <c r="K270" s="676"/>
      <c r="L270" s="676"/>
      <c r="M270" s="676"/>
      <c r="N270" s="676"/>
      <c r="O270" s="676"/>
      <c r="P270" s="1316"/>
      <c r="Q270" s="1316"/>
      <c r="R270" s="1316"/>
      <c r="S270" s="1316"/>
      <c r="T270" s="439" cm="1" t="str">
        <f t="array" ref="T270:T270">T269</f>
        <v>true</v>
      </c>
      <c r="U270" s="1316"/>
      <c r="V270" s="676"/>
      <c r="W270" s="1316"/>
      <c r="X270" s="1482"/>
      <c r="Y270" s="1464"/>
      <c r="Z270" s="676"/>
      <c r="AA270" s="676"/>
      <c r="AB270" s="207" t="s">
        <v>655</v>
      </c>
      <c r="AC270" s="159" t="s">
        <v>614</v>
      </c>
      <c r="AD270" s="59" t="s">
        <v>512</v>
      </c>
      <c r="AE270" s="313">
        <f>AE271+AE272</f>
        <v>0</v>
      </c>
      <c r="AF270" s="313">
        <f>AF271+AF272</f>
        <v>0</v>
      </c>
      <c r="AG270" s="313">
        <f>AG271+AG272</f>
        <v>0</v>
      </c>
      <c r="AH270" s="313">
        <f>AH271+AH272</f>
        <v>0</v>
      </c>
      <c r="AI270" s="313">
        <f>AI271+AI272</f>
        <v>0</v>
      </c>
      <c r="AJ270" s="313">
        <f>AJ271+AJ272</f>
        <v>0</v>
      </c>
      <c r="AK270" s="313">
        <f>AK271+AK272</f>
        <v>0</v>
      </c>
      <c r="AL270" s="313">
        <f>AL271+AL272</f>
        <v>0</v>
      </c>
      <c r="AM270" s="313">
        <f>AM271+AM272</f>
        <v>0</v>
      </c>
      <c r="AN270" s="313">
        <f>AN271+AN272</f>
        <v>0</v>
      </c>
      <c r="AO270" s="313">
        <f>AO271+AO272</f>
        <v>0</v>
      </c>
      <c r="AP270" s="313">
        <f>AP271+AP272</f>
        <v>0</v>
      </c>
      <c r="AQ270" s="313">
        <f>AQ271+AQ272</f>
        <v>0</v>
      </c>
      <c r="AR270" s="313">
        <f>AR271+AR272</f>
        <v>0</v>
      </c>
      <c r="AS270" s="313">
        <f>AS271+AS272</f>
        <v>0</v>
      </c>
      <c r="AT270" s="313">
        <f>AT271+AT272</f>
        <v>0</v>
      </c>
      <c r="AU270" s="313">
        <f>AU271+AU272</f>
        <v>0</v>
      </c>
      <c r="AV270" s="313">
        <f>AV271+AV272</f>
        <v>0</v>
      </c>
      <c r="AW270" s="313">
        <f>AW271+AW272</f>
        <v>0</v>
      </c>
      <c r="AX270" s="313">
        <f>AX271+AX272</f>
        <v>0</v>
      </c>
      <c r="AY270" s="313">
        <f>AY271+AY272</f>
        <v>0</v>
      </c>
      <c r="AZ270" s="313">
        <f>AZ271+AZ272</f>
        <v>0</v>
      </c>
      <c r="BA270" s="313">
        <f>BA271+BA272</f>
        <v>0</v>
      </c>
      <c r="BB270" s="313">
        <f>BB271+BB272</f>
        <v>0</v>
      </c>
      <c r="BC270" s="167"/>
      <c r="BD270" s="676"/>
      <c r="BE270" s="676"/>
      <c r="BF270" s="998" t="s">
        <v>681</v>
      </c>
    </row>
    <row s="1621" customFormat="1" customHeight="1" ht="14.25">
      <c r="A271" s="676"/>
      <c r="B271" s="1176"/>
      <c r="C271" s="676"/>
      <c r="D271" s="676"/>
      <c r="E271" s="611">
        <v>15</v>
      </c>
      <c r="F271" s="50" cm="1" t="str">
        <f t="array" ref="F271:F271">OFFSET(E271,-1,1)</f>
        <v>2</v>
      </c>
      <c r="G271" s="676"/>
      <c r="H271" s="64" t="s">
        <v>682</v>
      </c>
      <c r="I271" s="676"/>
      <c r="J271" s="676"/>
      <c r="K271" s="676"/>
      <c r="L271" s="676"/>
      <c r="M271" s="676"/>
      <c r="N271" s="676"/>
      <c r="O271" s="676"/>
      <c r="P271" s="1316"/>
      <c r="Q271" s="1316"/>
      <c r="R271" s="1316"/>
      <c r="S271" s="1316"/>
      <c r="T271" s="439" cm="1" t="str">
        <f t="array" ref="T271:T271">T270</f>
        <v>true</v>
      </c>
      <c r="U271" s="1316"/>
      <c r="V271" s="676"/>
      <c r="W271" s="1316"/>
      <c r="X271" s="1482"/>
      <c r="Y271" s="1464"/>
      <c r="Z271" s="676"/>
      <c r="AA271" s="676"/>
      <c r="AB271" s="207" t="s">
        <v>683</v>
      </c>
      <c r="AC271" s="305" t="s">
        <v>591</v>
      </c>
      <c r="AD271" s="59" t="s">
        <v>512</v>
      </c>
      <c r="AE271" s="243"/>
      <c r="AF271" s="243"/>
      <c r="AG271" s="243"/>
      <c r="AH271" s="243"/>
      <c r="AI271" s="243"/>
      <c r="AJ271" s="1886"/>
      <c r="AK271" s="1886"/>
      <c r="AL271" s="243"/>
      <c r="AM271" s="243"/>
      <c r="AN271" s="243"/>
      <c r="AO271" s="243"/>
      <c r="AP271" s="243"/>
      <c r="AQ271" s="243"/>
      <c r="AR271" s="243"/>
      <c r="AS271" s="243"/>
      <c r="AT271" s="1886"/>
      <c r="AU271" s="1886"/>
      <c r="AV271" s="243"/>
      <c r="AW271" s="243"/>
      <c r="AX271" s="243"/>
      <c r="AY271" s="243"/>
      <c r="AZ271" s="243"/>
      <c r="BA271" s="243"/>
      <c r="BB271" s="243"/>
      <c r="BC271" s="167"/>
      <c r="BD271" s="676"/>
      <c r="BE271" s="676"/>
      <c r="BF271" s="998" t="s">
        <v>684</v>
      </c>
    </row>
    <row s="1621" customFormat="1" customHeight="1" ht="14.25">
      <c r="A272" s="676"/>
      <c r="B272" s="1176"/>
      <c r="C272" s="676"/>
      <c r="D272" s="676"/>
      <c r="E272" s="611">
        <v>15</v>
      </c>
      <c r="F272" s="50" cm="1" t="str">
        <f t="array" ref="F272:F272">OFFSET(E272,-1,1)</f>
        <v>2</v>
      </c>
      <c r="G272" s="676"/>
      <c r="H272" s="64" t="s">
        <v>685</v>
      </c>
      <c r="I272" s="676"/>
      <c r="J272" s="676"/>
      <c r="K272" s="676"/>
      <c r="L272" s="676"/>
      <c r="M272" s="676"/>
      <c r="N272" s="676"/>
      <c r="O272" s="676"/>
      <c r="P272" s="1316"/>
      <c r="Q272" s="1316"/>
      <c r="R272" s="1316"/>
      <c r="S272" s="1316"/>
      <c r="T272" s="439" cm="1" t="str">
        <f t="array" ref="T272:T272">T271</f>
        <v>true</v>
      </c>
      <c r="U272" s="1316"/>
      <c r="V272" s="676"/>
      <c r="W272" s="1316"/>
      <c r="X272" s="1482"/>
      <c r="Y272" s="1464"/>
      <c r="Z272" s="676"/>
      <c r="AA272" s="676"/>
      <c r="AB272" s="207" t="s">
        <v>686</v>
      </c>
      <c r="AC272" s="305" t="s">
        <v>595</v>
      </c>
      <c r="AD272" s="59" t="s">
        <v>512</v>
      </c>
      <c r="AE272" s="243"/>
      <c r="AF272" s="243"/>
      <c r="AG272" s="243"/>
      <c r="AH272" s="243"/>
      <c r="AI272" s="243"/>
      <c r="AJ272" s="1886"/>
      <c r="AK272" s="1886"/>
      <c r="AL272" s="243"/>
      <c r="AM272" s="243"/>
      <c r="AN272" s="243"/>
      <c r="AO272" s="243"/>
      <c r="AP272" s="243"/>
      <c r="AQ272" s="243"/>
      <c r="AR272" s="243"/>
      <c r="AS272" s="243"/>
      <c r="AT272" s="1886"/>
      <c r="AU272" s="1886"/>
      <c r="AV272" s="243"/>
      <c r="AW272" s="243"/>
      <c r="AX272" s="243"/>
      <c r="AY272" s="243"/>
      <c r="AZ272" s="243"/>
      <c r="BA272" s="243"/>
      <c r="BB272" s="243"/>
      <c r="BC272" s="167"/>
      <c r="BD272" s="676"/>
      <c r="BE272" s="676"/>
      <c r="BF272" s="998" t="s">
        <v>687</v>
      </c>
    </row>
    <row s="1621" customFormat="1" customHeight="1" ht="14.25">
      <c r="A273" s="676"/>
      <c r="B273" s="1176"/>
      <c r="C273" s="676"/>
      <c r="D273" s="676"/>
      <c r="E273" s="611">
        <v>15</v>
      </c>
      <c r="F273" s="50" cm="1" t="str">
        <f t="array" ref="F273:F273">OFFSET(E273,-1,1)</f>
        <v>2</v>
      </c>
      <c r="G273" s="676"/>
      <c r="H273" s="64" t="s">
        <v>688</v>
      </c>
      <c r="I273" s="676"/>
      <c r="J273" s="676"/>
      <c r="K273" s="676"/>
      <c r="L273" s="676"/>
      <c r="M273" s="676"/>
      <c r="N273" s="676"/>
      <c r="O273" s="676"/>
      <c r="P273" s="1316"/>
      <c r="Q273" s="1316"/>
      <c r="R273" s="1316"/>
      <c r="S273" s="1316"/>
      <c r="T273" s="439" cm="1" t="str">
        <f t="array" ref="T273:T273">T272</f>
        <v>true</v>
      </c>
      <c r="U273" s="1316"/>
      <c r="V273" s="676"/>
      <c r="W273" s="1316"/>
      <c r="X273" s="1482"/>
      <c r="Y273" s="1464"/>
      <c r="Z273" s="676"/>
      <c r="AA273" s="676"/>
      <c r="AB273" s="207" t="s">
        <v>689</v>
      </c>
      <c r="AC273" s="159" t="s">
        <v>624</v>
      </c>
      <c r="AD273" s="59" t="s">
        <v>512</v>
      </c>
      <c r="AE273" s="313">
        <f>AE274+AE275</f>
        <v>146.7799942943</v>
      </c>
      <c r="AF273" s="313">
        <f>AF274+AF275</f>
        <v>82.65</v>
      </c>
      <c r="AG273" s="313">
        <f>AG274+AG275</f>
        <v>146.7799942943</v>
      </c>
      <c r="AH273" s="313">
        <f>AH274+AH275</f>
        <v>139.12</v>
      </c>
      <c r="AI273" s="313">
        <f>AI274+AI275</f>
        <v>136.4819</v>
      </c>
      <c r="AJ273" s="313">
        <f>AJ274+AJ275</f>
        <v>0</v>
      </c>
      <c r="AK273" s="313">
        <f>AK274+AK275</f>
        <v>0</v>
      </c>
      <c r="AL273" s="313">
        <f>AL274+AL275</f>
        <v>0</v>
      </c>
      <c r="AM273" s="313">
        <f>AM274+AM275</f>
        <v>0</v>
      </c>
      <c r="AN273" s="313">
        <f>AN274+AN275</f>
        <v>0</v>
      </c>
      <c r="AO273" s="313">
        <f>AO274+AO275</f>
        <v>0</v>
      </c>
      <c r="AP273" s="313">
        <f>AP274+AP275</f>
        <v>0</v>
      </c>
      <c r="AQ273" s="313">
        <f>AQ274+AQ275</f>
        <v>0</v>
      </c>
      <c r="AR273" s="313">
        <f>AR274+AR275</f>
        <v>0</v>
      </c>
      <c r="AS273" s="313">
        <f>AS274+AS275</f>
        <v>136.4819</v>
      </c>
      <c r="AT273" s="313">
        <f>AT274+AT275</f>
        <v>0</v>
      </c>
      <c r="AU273" s="313">
        <f>AU274+AU275</f>
        <v>0</v>
      </c>
      <c r="AV273" s="313">
        <f>AV274+AV275</f>
        <v>0</v>
      </c>
      <c r="AW273" s="313">
        <f>AW274+AW275</f>
        <v>0</v>
      </c>
      <c r="AX273" s="313">
        <f>AX274+AX275</f>
        <v>0</v>
      </c>
      <c r="AY273" s="313">
        <f>AY274+AY275</f>
        <v>0</v>
      </c>
      <c r="AZ273" s="313">
        <f>AZ274+AZ275</f>
        <v>0</v>
      </c>
      <c r="BA273" s="313">
        <f>BA274+BA275</f>
        <v>0</v>
      </c>
      <c r="BB273" s="313">
        <f>BB274+BB275</f>
        <v>0</v>
      </c>
      <c r="BC273" s="167"/>
      <c r="BD273" s="676"/>
      <c r="BE273" s="676"/>
      <c r="BF273" s="998" t="s">
        <v>690</v>
      </c>
    </row>
    <row s="1621" customFormat="1" customHeight="1" ht="191.25">
      <c r="A274" s="676"/>
      <c r="B274" s="1176"/>
      <c r="C274" s="676"/>
      <c r="D274" s="676"/>
      <c r="E274" s="611">
        <v>15</v>
      </c>
      <c r="F274" s="50" cm="1" t="str">
        <f t="array" ref="F274:F274">OFFSET(E274,-1,1)</f>
        <v>2</v>
      </c>
      <c r="G274" s="676"/>
      <c r="H274" s="64" t="s">
        <v>691</v>
      </c>
      <c r="I274" s="676"/>
      <c r="J274" s="676"/>
      <c r="K274" s="676"/>
      <c r="L274" s="676"/>
      <c r="M274" s="676"/>
      <c r="N274" s="676"/>
      <c r="O274" s="676"/>
      <c r="P274" s="1316"/>
      <c r="Q274" s="1316"/>
      <c r="R274" s="1316"/>
      <c r="S274" s="1316"/>
      <c r="T274" s="439" cm="1" t="str">
        <f t="array" ref="T274:T274">T273</f>
        <v>true</v>
      </c>
      <c r="U274" s="1316"/>
      <c r="V274" s="676"/>
      <c r="W274" s="1316"/>
      <c r="X274" s="1482"/>
      <c r="Y274" s="1464"/>
      <c r="Z274" s="676"/>
      <c r="AA274" s="676"/>
      <c r="AB274" s="207" t="s">
        <v>692</v>
      </c>
      <c r="AC274" s="305" t="s">
        <v>591</v>
      </c>
      <c r="AD274" s="59" t="s">
        <v>512</v>
      </c>
      <c r="AE274" s="243">
        <v>146.7799942943</v>
      </c>
      <c r="AF274" s="243">
        <v>82.65</v>
      </c>
      <c r="AG274" s="243">
        <v>146.7799942943</v>
      </c>
      <c r="AH274" s="243">
        <v>139.12</v>
      </c>
      <c r="AI274" s="243">
        <v>136.4819</v>
      </c>
      <c r="AJ274" s="1886"/>
      <c r="AK274" s="1886"/>
      <c r="AL274" s="243"/>
      <c r="AM274" s="243"/>
      <c r="AN274" s="243"/>
      <c r="AO274" s="243"/>
      <c r="AP274" s="243"/>
      <c r="AQ274" s="243"/>
      <c r="AR274" s="243"/>
      <c r="AS274" s="243">
        <v>136.4819</v>
      </c>
      <c r="AT274" s="1886"/>
      <c r="AU274" s="1886"/>
      <c r="AV274" s="243"/>
      <c r="AW274" s="243"/>
      <c r="AX274" s="243"/>
      <c r="AY274" s="243"/>
      <c r="AZ274" s="243"/>
      <c r="BA274" s="243"/>
      <c r="BB274" s="243"/>
      <c r="BC274" s="167" t="s">
        <v>755</v>
      </c>
      <c r="BD274" s="676"/>
      <c r="BE274" s="676"/>
      <c r="BF274" s="998" t="s">
        <v>693</v>
      </c>
    </row>
    <row s="1621" customFormat="1" customHeight="1" ht="14.25">
      <c r="A275" s="676"/>
      <c r="B275" s="1176"/>
      <c r="C275" s="676"/>
      <c r="D275" s="676"/>
      <c r="E275" s="611">
        <v>15</v>
      </c>
      <c r="F275" s="50" cm="1" t="str">
        <f t="array" ref="F275:F275">OFFSET(E275,-1,1)</f>
        <v>2</v>
      </c>
      <c r="G275" s="676"/>
      <c r="H275" s="64" t="s">
        <v>694</v>
      </c>
      <c r="I275" s="676"/>
      <c r="J275" s="676"/>
      <c r="K275" s="676"/>
      <c r="L275" s="676"/>
      <c r="M275" s="676"/>
      <c r="N275" s="676"/>
      <c r="O275" s="676"/>
      <c r="P275" s="1316"/>
      <c r="Q275" s="1316"/>
      <c r="R275" s="1316"/>
      <c r="S275" s="1316"/>
      <c r="T275" s="439" cm="1" t="str">
        <f t="array" ref="T275:T275">T274</f>
        <v>true</v>
      </c>
      <c r="U275" s="1316"/>
      <c r="V275" s="676"/>
      <c r="W275" s="1316"/>
      <c r="X275" s="1482"/>
      <c r="Y275" s="1464"/>
      <c r="Z275" s="676"/>
      <c r="AA275" s="676"/>
      <c r="AB275" s="207" t="s">
        <v>695</v>
      </c>
      <c r="AC275" s="305" t="s">
        <v>595</v>
      </c>
      <c r="AD275" s="59" t="s">
        <v>512</v>
      </c>
      <c r="AE275" s="243"/>
      <c r="AF275" s="243"/>
      <c r="AG275" s="243"/>
      <c r="AH275" s="243"/>
      <c r="AI275" s="243"/>
      <c r="AJ275" s="1886"/>
      <c r="AK275" s="1886"/>
      <c r="AL275" s="243"/>
      <c r="AM275" s="243"/>
      <c r="AN275" s="243"/>
      <c r="AO275" s="243"/>
      <c r="AP275" s="243"/>
      <c r="AQ275" s="243"/>
      <c r="AR275" s="243"/>
      <c r="AS275" s="243"/>
      <c r="AT275" s="1886"/>
      <c r="AU275" s="1886"/>
      <c r="AV275" s="243"/>
      <c r="AW275" s="243"/>
      <c r="AX275" s="243"/>
      <c r="AY275" s="243"/>
      <c r="AZ275" s="243"/>
      <c r="BA275" s="243"/>
      <c r="BB275" s="243"/>
      <c r="BC275" s="167"/>
      <c r="BD275" s="676"/>
      <c r="BE275" s="676"/>
      <c r="BF275" s="998" t="s">
        <v>696</v>
      </c>
    </row>
    <row s="1621" customFormat="1" customHeight="1" ht="14.25">
      <c r="A276" s="676"/>
      <c r="B276" s="1176"/>
      <c r="C276" s="676"/>
      <c r="D276" s="676"/>
      <c r="E276" s="611">
        <v>15</v>
      </c>
      <c r="F276" s="50" cm="1" t="str">
        <f t="array" ref="F276:F276">OFFSET(E276,-1,1)</f>
        <v>2</v>
      </c>
      <c r="G276" s="676"/>
      <c r="H276" s="64" t="s">
        <v>697</v>
      </c>
      <c r="I276" s="676"/>
      <c r="J276" s="676"/>
      <c r="K276" s="676"/>
      <c r="L276" s="676"/>
      <c r="M276" s="676"/>
      <c r="N276" s="676"/>
      <c r="O276" s="676"/>
      <c r="P276" s="1316"/>
      <c r="Q276" s="1316"/>
      <c r="R276" s="1316"/>
      <c r="S276" s="1316"/>
      <c r="T276" s="439" cm="1" t="str">
        <f t="array" ref="T276:T276">T275</f>
        <v>true</v>
      </c>
      <c r="U276" s="1316"/>
      <c r="V276" s="676"/>
      <c r="W276" s="1316"/>
      <c r="X276" s="1482"/>
      <c r="Y276" s="1464"/>
      <c r="Z276" s="676"/>
      <c r="AA276" s="676"/>
      <c r="AB276" s="207" t="s">
        <v>698</v>
      </c>
      <c r="AC276" s="159" t="s">
        <v>699</v>
      </c>
      <c r="AD276" s="59" t="s">
        <v>512</v>
      </c>
      <c r="AE276" s="313">
        <f>AE277+AE278</f>
        <v>0</v>
      </c>
      <c r="AF276" s="313">
        <f>AF277+AF278</f>
        <v>0</v>
      </c>
      <c r="AG276" s="313">
        <f>AG277+AG278</f>
        <v>0</v>
      </c>
      <c r="AH276" s="313">
        <f>AH277+AH278</f>
        <v>0</v>
      </c>
      <c r="AI276" s="313">
        <f>AI277+AI278</f>
        <v>0</v>
      </c>
      <c r="AJ276" s="313">
        <f>AJ277+AJ278</f>
        <v>0</v>
      </c>
      <c r="AK276" s="313">
        <f>AK277+AK278</f>
        <v>0</v>
      </c>
      <c r="AL276" s="313">
        <f>AL277+AL278</f>
        <v>0</v>
      </c>
      <c r="AM276" s="313">
        <f>AM277+AM278</f>
        <v>0</v>
      </c>
      <c r="AN276" s="313">
        <f>AN277+AN278</f>
        <v>0</v>
      </c>
      <c r="AO276" s="313">
        <f>AO277+AO278</f>
        <v>0</v>
      </c>
      <c r="AP276" s="313">
        <f>AP277+AP278</f>
        <v>0</v>
      </c>
      <c r="AQ276" s="313">
        <f>AQ277+AQ278</f>
        <v>0</v>
      </c>
      <c r="AR276" s="313">
        <f>AR277+AR278</f>
        <v>0</v>
      </c>
      <c r="AS276" s="313">
        <f>AS277+AS278</f>
        <v>0</v>
      </c>
      <c r="AT276" s="313">
        <f>AT277+AT278</f>
        <v>0</v>
      </c>
      <c r="AU276" s="313">
        <f>AU277+AU278</f>
        <v>0</v>
      </c>
      <c r="AV276" s="313">
        <f>AV277+AV278</f>
        <v>0</v>
      </c>
      <c r="AW276" s="313">
        <f>AW277+AW278</f>
        <v>0</v>
      </c>
      <c r="AX276" s="313">
        <f>AX277+AX278</f>
        <v>0</v>
      </c>
      <c r="AY276" s="313">
        <f>AY277+AY278</f>
        <v>0</v>
      </c>
      <c r="AZ276" s="313">
        <f>AZ277+AZ278</f>
        <v>0</v>
      </c>
      <c r="BA276" s="313">
        <f>BA277+BA278</f>
        <v>0</v>
      </c>
      <c r="BB276" s="313">
        <f>BB277+BB278</f>
        <v>0</v>
      </c>
      <c r="BC276" s="167"/>
      <c r="BD276" s="676"/>
      <c r="BE276" s="676"/>
      <c r="BF276" s="998" t="s">
        <v>700</v>
      </c>
    </row>
    <row s="1621" customFormat="1" customHeight="1" ht="14.25">
      <c r="A277" s="676"/>
      <c r="B277" s="1176"/>
      <c r="C277" s="676"/>
      <c r="D277" s="676"/>
      <c r="E277" s="611">
        <v>15</v>
      </c>
      <c r="F277" s="50" cm="1" t="str">
        <f t="array" ref="F277:F277">OFFSET(E277,-1,1)</f>
        <v>2</v>
      </c>
      <c r="G277" s="676"/>
      <c r="H277" s="64" t="s">
        <v>701</v>
      </c>
      <c r="I277" s="676"/>
      <c r="J277" s="676"/>
      <c r="K277" s="676"/>
      <c r="L277" s="676"/>
      <c r="M277" s="676"/>
      <c r="N277" s="676"/>
      <c r="O277" s="676"/>
      <c r="P277" s="1316"/>
      <c r="Q277" s="1316"/>
      <c r="R277" s="1316"/>
      <c r="S277" s="1316"/>
      <c r="T277" s="439" cm="1" t="str">
        <f t="array" ref="T277:T277">T276</f>
        <v>true</v>
      </c>
      <c r="U277" s="1316"/>
      <c r="V277" s="676"/>
      <c r="W277" s="1316"/>
      <c r="X277" s="1482"/>
      <c r="Y277" s="1464"/>
      <c r="Z277" s="676"/>
      <c r="AA277" s="676"/>
      <c r="AB277" s="207" t="s">
        <v>702</v>
      </c>
      <c r="AC277" s="299" t="s">
        <v>591</v>
      </c>
      <c r="AD277" s="59" t="s">
        <v>512</v>
      </c>
      <c r="AE277" s="243"/>
      <c r="AF277" s="243"/>
      <c r="AG277" s="243"/>
      <c r="AH277" s="243"/>
      <c r="AI277" s="243"/>
      <c r="AJ277" s="1886"/>
      <c r="AK277" s="1886"/>
      <c r="AL277" s="243"/>
      <c r="AM277" s="243"/>
      <c r="AN277" s="243"/>
      <c r="AO277" s="243"/>
      <c r="AP277" s="243"/>
      <c r="AQ277" s="243"/>
      <c r="AR277" s="243"/>
      <c r="AS277" s="243"/>
      <c r="AT277" s="1886"/>
      <c r="AU277" s="1886"/>
      <c r="AV277" s="243"/>
      <c r="AW277" s="243"/>
      <c r="AX277" s="243"/>
      <c r="AY277" s="243"/>
      <c r="AZ277" s="243"/>
      <c r="BA277" s="243"/>
      <c r="BB277" s="243"/>
      <c r="BC277" s="167"/>
      <c r="BD277" s="676"/>
      <c r="BE277" s="676"/>
      <c r="BF277" s="998" t="s">
        <v>703</v>
      </c>
    </row>
    <row s="1621" customFormat="1" customHeight="1" ht="14.25">
      <c r="A278" s="676"/>
      <c r="B278" s="1176"/>
      <c r="C278" s="676"/>
      <c r="D278" s="676"/>
      <c r="E278" s="611">
        <v>15</v>
      </c>
      <c r="F278" s="50" cm="1" t="str">
        <f t="array" ref="F278:F278">OFFSET(E278,-1,1)</f>
        <v>2</v>
      </c>
      <c r="G278" s="676"/>
      <c r="H278" s="64" t="s">
        <v>704</v>
      </c>
      <c r="I278" s="676"/>
      <c r="J278" s="676"/>
      <c r="K278" s="676"/>
      <c r="L278" s="676"/>
      <c r="M278" s="676"/>
      <c r="N278" s="676"/>
      <c r="O278" s="676"/>
      <c r="P278" s="1316"/>
      <c r="Q278" s="1316"/>
      <c r="R278" s="1316"/>
      <c r="S278" s="1316"/>
      <c r="T278" s="439" cm="1" t="str">
        <f t="array" ref="T278:T278">T277</f>
        <v>true</v>
      </c>
      <c r="U278" s="1316"/>
      <c r="V278" s="676"/>
      <c r="W278" s="1316"/>
      <c r="X278" s="1482"/>
      <c r="Y278" s="1464"/>
      <c r="Z278" s="676"/>
      <c r="AA278" s="676"/>
      <c r="AB278" s="207" t="s">
        <v>705</v>
      </c>
      <c r="AC278" s="299" t="s">
        <v>595</v>
      </c>
      <c r="AD278" s="59" t="s">
        <v>512</v>
      </c>
      <c r="AE278" s="243"/>
      <c r="AF278" s="243"/>
      <c r="AG278" s="243"/>
      <c r="AH278" s="243"/>
      <c r="AI278" s="243"/>
      <c r="AJ278" s="1886"/>
      <c r="AK278" s="1886"/>
      <c r="AL278" s="243"/>
      <c r="AM278" s="243"/>
      <c r="AN278" s="243"/>
      <c r="AO278" s="243"/>
      <c r="AP278" s="243"/>
      <c r="AQ278" s="243"/>
      <c r="AR278" s="243"/>
      <c r="AS278" s="243"/>
      <c r="AT278" s="1886"/>
      <c r="AU278" s="1886"/>
      <c r="AV278" s="243"/>
      <c r="AW278" s="243"/>
      <c r="AX278" s="243"/>
      <c r="AY278" s="243"/>
      <c r="AZ278" s="243"/>
      <c r="BA278" s="243"/>
      <c r="BB278" s="243"/>
      <c r="BC278" s="167"/>
      <c r="BD278" s="676"/>
      <c r="BE278" s="676"/>
      <c r="BF278" s="998" t="s">
        <v>706</v>
      </c>
    </row>
    <row s="1621" customFormat="1" customHeight="1" ht="21.75">
      <c r="A279" s="676"/>
      <c r="B279" s="1176"/>
      <c r="C279" s="676"/>
      <c r="D279" s="676"/>
      <c r="E279" s="611">
        <v>22.5</v>
      </c>
      <c r="F279" s="50" cm="1" t="str">
        <f t="array" ref="F279:F279">OFFSET(E279,-1,1)</f>
        <v>2</v>
      </c>
      <c r="G279" s="676"/>
      <c r="H279" s="64" t="s">
        <v>707</v>
      </c>
      <c r="I279" s="676"/>
      <c r="J279" s="676"/>
      <c r="K279" s="676"/>
      <c r="L279" s="676"/>
      <c r="M279" s="676"/>
      <c r="N279" s="676"/>
      <c r="O279" s="676"/>
      <c r="P279" s="1316"/>
      <c r="Q279" s="1316"/>
      <c r="R279" s="1316"/>
      <c r="S279" s="1316"/>
      <c r="T279" s="439" cm="1" t="str">
        <f t="array" ref="T279:T279">T278</f>
        <v>true</v>
      </c>
      <c r="U279" s="1316"/>
      <c r="V279" s="676"/>
      <c r="W279" s="1316"/>
      <c r="X279" s="1482"/>
      <c r="Y279" s="1464"/>
      <c r="Z279" s="676"/>
      <c r="AA279" s="676"/>
      <c r="AB279" s="207" t="s">
        <v>708</v>
      </c>
      <c r="AC279" s="306" t="s">
        <v>554</v>
      </c>
      <c r="AD279" s="59" t="s">
        <v>512</v>
      </c>
      <c r="AE279" s="243"/>
      <c r="AF279" s="243"/>
      <c r="AG279" s="243"/>
      <c r="AH279" s="243"/>
      <c r="AI279" s="243"/>
      <c r="AJ279" s="1886"/>
      <c r="AK279" s="1886"/>
      <c r="AL279" s="243"/>
      <c r="AM279" s="243"/>
      <c r="AN279" s="243"/>
      <c r="AO279" s="243"/>
      <c r="AP279" s="243"/>
      <c r="AQ279" s="243"/>
      <c r="AR279" s="243"/>
      <c r="AS279" s="243"/>
      <c r="AT279" s="1886"/>
      <c r="AU279" s="1886"/>
      <c r="AV279" s="243"/>
      <c r="AW279" s="243"/>
      <c r="AX279" s="243"/>
      <c r="AY279" s="243"/>
      <c r="AZ279" s="243"/>
      <c r="BA279" s="243"/>
      <c r="BB279" s="243"/>
      <c r="BC279" s="167"/>
      <c r="BD279" s="676"/>
      <c r="BE279" s="676"/>
      <c r="BF279" s="998" t="s">
        <v>709</v>
      </c>
    </row>
    <row s="1621" customFormat="1" customHeight="1" ht="14.25">
      <c r="A280" s="676"/>
      <c r="B280" s="1176"/>
      <c r="C280" s="676"/>
      <c r="D280" s="676"/>
      <c r="E280" s="611">
        <v>15</v>
      </c>
      <c r="F280" s="50" cm="1" t="str">
        <f t="array" ref="F280:F280">OFFSET(E280,-1,1)</f>
        <v>2</v>
      </c>
      <c r="G280" s="676"/>
      <c r="H280" s="64" t="s">
        <v>495</v>
      </c>
      <c r="I280" s="676"/>
      <c r="J280" s="676"/>
      <c r="K280" s="676"/>
      <c r="L280" s="676"/>
      <c r="M280" s="676"/>
      <c r="N280" s="676"/>
      <c r="O280" s="676"/>
      <c r="P280" s="1316"/>
      <c r="Q280" s="1316"/>
      <c r="R280" s="1316"/>
      <c r="S280" s="1316"/>
      <c r="T280" s="439" cm="1" t="str">
        <f t="array" ref="T280:T280">T279</f>
        <v>true</v>
      </c>
      <c r="U280" s="1316"/>
      <c r="V280" s="676"/>
      <c r="W280" s="1316"/>
      <c r="X280" s="1482"/>
      <c r="Y280" s="1464"/>
      <c r="Z280" s="676"/>
      <c r="AA280" s="676"/>
      <c r="AB280" s="207" t="s">
        <v>492</v>
      </c>
      <c r="AC280" s="103" t="s">
        <v>710</v>
      </c>
      <c r="AD280" s="59" t="s">
        <v>512</v>
      </c>
      <c r="AE280" s="243"/>
      <c r="AF280" s="243"/>
      <c r="AG280" s="243"/>
      <c r="AH280" s="243"/>
      <c r="AI280" s="243"/>
      <c r="AJ280" s="1886"/>
      <c r="AK280" s="1886"/>
      <c r="AL280" s="243"/>
      <c r="AM280" s="243"/>
      <c r="AN280" s="243"/>
      <c r="AO280" s="243"/>
      <c r="AP280" s="243"/>
      <c r="AQ280" s="243"/>
      <c r="AR280" s="243"/>
      <c r="AS280" s="243"/>
      <c r="AT280" s="1886"/>
      <c r="AU280" s="1886"/>
      <c r="AV280" s="243"/>
      <c r="AW280" s="243"/>
      <c r="AX280" s="243"/>
      <c r="AY280" s="243"/>
      <c r="AZ280" s="243"/>
      <c r="BA280" s="243"/>
      <c r="BB280" s="243"/>
      <c r="BC280" s="167"/>
      <c r="BD280" s="676"/>
      <c r="BE280" s="676"/>
      <c r="BF280" s="998" t="s">
        <v>711</v>
      </c>
    </row>
    <row s="1621" customFormat="1" customHeight="1" ht="14.25">
      <c r="A281" s="676"/>
      <c r="B281" s="1176"/>
      <c r="C281" s="676"/>
      <c r="D281" s="676"/>
      <c r="E281" s="611">
        <v>15</v>
      </c>
      <c r="F281" s="50" cm="1" t="str">
        <f t="array" ref="F281:F281">OFFSET(E281,-1,1)</f>
        <v>2</v>
      </c>
      <c r="G281" s="676"/>
      <c r="H281" s="64" t="s">
        <v>541</v>
      </c>
      <c r="I281" s="676"/>
      <c r="J281" s="676"/>
      <c r="K281" s="676"/>
      <c r="L281" s="676"/>
      <c r="M281" s="676"/>
      <c r="N281" s="676"/>
      <c r="O281" s="676"/>
      <c r="P281" s="1316"/>
      <c r="Q281" s="1316"/>
      <c r="R281" s="1316"/>
      <c r="S281" s="1316"/>
      <c r="T281" s="439" cm="1" t="str">
        <f t="array" ref="T281:T281">T280</f>
        <v>true</v>
      </c>
      <c r="U281" s="1316"/>
      <c r="V281" s="676"/>
      <c r="W281" s="1316"/>
      <c r="X281" s="1482"/>
      <c r="Y281" s="1464"/>
      <c r="Z281" s="676"/>
      <c r="AA281" s="676"/>
      <c r="AB281" s="207" t="s">
        <v>496</v>
      </c>
      <c r="AC281" s="103" t="s">
        <v>712</v>
      </c>
      <c r="AD281" s="59" t="s">
        <v>512</v>
      </c>
      <c r="AE281" s="243"/>
      <c r="AF281" s="243"/>
      <c r="AG281" s="243"/>
      <c r="AH281" s="243"/>
      <c r="AI281" s="243"/>
      <c r="AJ281" s="1886"/>
      <c r="AK281" s="1886"/>
      <c r="AL281" s="243"/>
      <c r="AM281" s="243"/>
      <c r="AN281" s="243"/>
      <c r="AO281" s="243"/>
      <c r="AP281" s="243"/>
      <c r="AQ281" s="243"/>
      <c r="AR281" s="243"/>
      <c r="AS281" s="243"/>
      <c r="AT281" s="1886"/>
      <c r="AU281" s="1886"/>
      <c r="AV281" s="243"/>
      <c r="AW281" s="243"/>
      <c r="AX281" s="243"/>
      <c r="AY281" s="243"/>
      <c r="AZ281" s="243"/>
      <c r="BA281" s="243"/>
      <c r="BB281" s="243"/>
      <c r="BC281" s="167"/>
      <c r="BD281" s="676"/>
      <c r="BE281" s="676"/>
      <c r="BF281" s="998" t="s">
        <v>713</v>
      </c>
    </row>
    <row s="1621" customFormat="1" customHeight="1" ht="14.25">
      <c r="A282" s="676"/>
      <c r="B282" s="1176"/>
      <c r="C282" s="676"/>
      <c r="D282" s="676"/>
      <c r="E282" s="611">
        <v>15</v>
      </c>
      <c r="F282" s="50" cm="1" t="str">
        <f t="array" ref="F282:F282">OFFSET(E282,-1,1)</f>
        <v>2</v>
      </c>
      <c r="G282" s="676"/>
      <c r="H282" s="64" t="s">
        <v>556</v>
      </c>
      <c r="I282" s="676"/>
      <c r="J282" s="676"/>
      <c r="K282" s="676"/>
      <c r="L282" s="676"/>
      <c r="M282" s="676"/>
      <c r="N282" s="676"/>
      <c r="O282" s="676"/>
      <c r="P282" s="1316"/>
      <c r="Q282" s="1316"/>
      <c r="R282" s="1316"/>
      <c r="S282" s="1316"/>
      <c r="T282" s="439" cm="1" t="str">
        <f t="array" ref="T282:T282">T281</f>
        <v>true</v>
      </c>
      <c r="U282" s="1316"/>
      <c r="V282" s="676"/>
      <c r="W282" s="1316"/>
      <c r="X282" s="1482"/>
      <c r="Y282" s="1464"/>
      <c r="Z282" s="676"/>
      <c r="AA282" s="676"/>
      <c r="AB282" s="207" t="s">
        <v>557</v>
      </c>
      <c r="AC282" s="103" t="s">
        <v>714</v>
      </c>
      <c r="AD282" s="59" t="s">
        <v>512</v>
      </c>
      <c r="AE282" s="243"/>
      <c r="AF282" s="243"/>
      <c r="AG282" s="243"/>
      <c r="AH282" s="243"/>
      <c r="AI282" s="243"/>
      <c r="AJ282" s="1886"/>
      <c r="AK282" s="1886"/>
      <c r="AL282" s="243"/>
      <c r="AM282" s="243"/>
      <c r="AN282" s="243"/>
      <c r="AO282" s="243"/>
      <c r="AP282" s="243"/>
      <c r="AQ282" s="243"/>
      <c r="AR282" s="243"/>
      <c r="AS282" s="243"/>
      <c r="AT282" s="1886"/>
      <c r="AU282" s="1886"/>
      <c r="AV282" s="243"/>
      <c r="AW282" s="243"/>
      <c r="AX282" s="243"/>
      <c r="AY282" s="243"/>
      <c r="AZ282" s="243"/>
      <c r="BA282" s="243"/>
      <c r="BB282" s="243"/>
      <c r="BC282" s="167"/>
      <c r="BD282" s="676"/>
      <c r="BE282" s="676"/>
      <c r="BF282" s="998" t="s">
        <v>715</v>
      </c>
    </row>
    <row s="1621" customFormat="1" customHeight="1" ht="14.25">
      <c r="A283" s="676"/>
      <c r="B283" s="1176"/>
      <c r="C283" s="676"/>
      <c r="D283" s="676"/>
      <c r="E283" s="611">
        <v>15</v>
      </c>
      <c r="F283" s="50" cm="1" t="str">
        <f t="array" ref="F283:F283">OFFSET(E283,-1,1)</f>
        <v>2</v>
      </c>
      <c r="G283" s="676"/>
      <c r="H283" s="64" t="s">
        <v>564</v>
      </c>
      <c r="I283" s="676"/>
      <c r="J283" s="676"/>
      <c r="K283" s="676"/>
      <c r="L283" s="676"/>
      <c r="M283" s="676"/>
      <c r="N283" s="676"/>
      <c r="O283" s="676"/>
      <c r="P283" s="1316"/>
      <c r="Q283" s="1316"/>
      <c r="R283" s="1316"/>
      <c r="S283" s="1316"/>
      <c r="T283" s="439" cm="1" t="str">
        <f t="array" ref="T283:T283">T282</f>
        <v>true</v>
      </c>
      <c r="U283" s="1316"/>
      <c r="V283" s="676"/>
      <c r="W283" s="1316"/>
      <c r="X283" s="1482"/>
      <c r="Y283" s="1464"/>
      <c r="Z283" s="676"/>
      <c r="AA283" s="676"/>
      <c r="AB283" s="207" t="s">
        <v>565</v>
      </c>
      <c r="AC283" s="104" t="s">
        <v>716</v>
      </c>
      <c r="AD283" s="59" t="s">
        <v>512</v>
      </c>
      <c r="AE283" s="313">
        <f>AE284+AE285</f>
        <v>0</v>
      </c>
      <c r="AF283" s="313">
        <f>AF284+AF285</f>
        <v>0</v>
      </c>
      <c r="AG283" s="313">
        <f>AG284+AG285</f>
        <v>0</v>
      </c>
      <c r="AH283" s="313">
        <f>AH284+AH285</f>
        <v>0</v>
      </c>
      <c r="AI283" s="313">
        <f>AI284+AI285</f>
        <v>0</v>
      </c>
      <c r="AJ283" s="313">
        <f>AJ284+AJ285</f>
        <v>0</v>
      </c>
      <c r="AK283" s="313">
        <f>AK284+AK285</f>
        <v>0</v>
      </c>
      <c r="AL283" s="313">
        <f>AL284+AL285</f>
        <v>0</v>
      </c>
      <c r="AM283" s="313">
        <f>AM284+AM285</f>
        <v>0</v>
      </c>
      <c r="AN283" s="313">
        <f>AN284+AN285</f>
        <v>0</v>
      </c>
      <c r="AO283" s="313">
        <f>AO284+AO285</f>
        <v>0</v>
      </c>
      <c r="AP283" s="313">
        <f>AP284+AP285</f>
        <v>0</v>
      </c>
      <c r="AQ283" s="313">
        <f>AQ284+AQ285</f>
        <v>0</v>
      </c>
      <c r="AR283" s="313">
        <f>AR284+AR285</f>
        <v>0</v>
      </c>
      <c r="AS283" s="313">
        <f>AS284+AS285</f>
        <v>0</v>
      </c>
      <c r="AT283" s="313">
        <f>AT284+AT285</f>
        <v>0</v>
      </c>
      <c r="AU283" s="313">
        <f>AU284+AU285</f>
        <v>0</v>
      </c>
      <c r="AV283" s="313">
        <f>AV284+AV285</f>
        <v>0</v>
      </c>
      <c r="AW283" s="313">
        <f>AW284+AW285</f>
        <v>0</v>
      </c>
      <c r="AX283" s="313">
        <f>AX284+AX285</f>
        <v>0</v>
      </c>
      <c r="AY283" s="313">
        <f>AY284+AY285</f>
        <v>0</v>
      </c>
      <c r="AZ283" s="313">
        <f>AZ284+AZ285</f>
        <v>0</v>
      </c>
      <c r="BA283" s="313">
        <f>BA284+BA285</f>
        <v>0</v>
      </c>
      <c r="BB283" s="313">
        <f>BB284+BB285</f>
        <v>0</v>
      </c>
      <c r="BC283" s="167"/>
      <c r="BD283" s="676"/>
      <c r="BE283" s="676"/>
      <c r="BF283" s="998" t="s">
        <v>717</v>
      </c>
    </row>
    <row s="1621" customFormat="1" customHeight="1" ht="14.25">
      <c r="A284" s="676"/>
      <c r="B284" s="1176"/>
      <c r="C284" s="676"/>
      <c r="D284" s="676"/>
      <c r="E284" s="611">
        <v>15</v>
      </c>
      <c r="F284" s="50" cm="1" t="str">
        <f t="array" ref="F284:F284">OFFSET(E284,-1,1)</f>
        <v>2</v>
      </c>
      <c r="G284" s="676"/>
      <c r="H284" s="64" t="s">
        <v>568</v>
      </c>
      <c r="I284" s="676"/>
      <c r="J284" s="676"/>
      <c r="K284" s="676"/>
      <c r="L284" s="676"/>
      <c r="M284" s="676"/>
      <c r="N284" s="676"/>
      <c r="O284" s="676"/>
      <c r="P284" s="1316"/>
      <c r="Q284" s="1316"/>
      <c r="R284" s="1316"/>
      <c r="S284" s="1316"/>
      <c r="T284" s="439" cm="1" t="str">
        <f t="array" ref="T284:T284">T283</f>
        <v>true</v>
      </c>
      <c r="U284" s="1316"/>
      <c r="V284" s="676"/>
      <c r="W284" s="1316"/>
      <c r="X284" s="1482"/>
      <c r="Y284" s="1464"/>
      <c r="Z284" s="676"/>
      <c r="AA284" s="676"/>
      <c r="AB284" s="207" t="s">
        <v>569</v>
      </c>
      <c r="AC284" s="159" t="s">
        <v>718</v>
      </c>
      <c r="AD284" s="59" t="s">
        <v>512</v>
      </c>
      <c r="AE284" s="243"/>
      <c r="AF284" s="243"/>
      <c r="AG284" s="243"/>
      <c r="AH284" s="243"/>
      <c r="AI284" s="243"/>
      <c r="AJ284" s="1886"/>
      <c r="AK284" s="1886"/>
      <c r="AL284" s="243"/>
      <c r="AM284" s="243"/>
      <c r="AN284" s="243"/>
      <c r="AO284" s="243"/>
      <c r="AP284" s="243"/>
      <c r="AQ284" s="243"/>
      <c r="AR284" s="243"/>
      <c r="AS284" s="243"/>
      <c r="AT284" s="1886"/>
      <c r="AU284" s="1886"/>
      <c r="AV284" s="243"/>
      <c r="AW284" s="243"/>
      <c r="AX284" s="243"/>
      <c r="AY284" s="243"/>
      <c r="AZ284" s="243"/>
      <c r="BA284" s="243"/>
      <c r="BB284" s="243"/>
      <c r="BC284" s="167"/>
      <c r="BD284" s="676"/>
      <c r="BE284" s="676"/>
      <c r="BF284" s="998" t="s">
        <v>719</v>
      </c>
    </row>
    <row s="1621" customFormat="1" customHeight="1" ht="14.25">
      <c r="A285" s="676"/>
      <c r="B285" s="1176"/>
      <c r="C285" s="676"/>
      <c r="D285" s="676"/>
      <c r="E285" s="611">
        <v>15</v>
      </c>
      <c r="F285" s="50" cm="1" t="str">
        <f t="array" ref="F285:F285">OFFSET(E285,-1,1)</f>
        <v>2</v>
      </c>
      <c r="G285" s="676"/>
      <c r="H285" s="64" t="s">
        <v>585</v>
      </c>
      <c r="I285" s="676"/>
      <c r="J285" s="676"/>
      <c r="K285" s="676"/>
      <c r="L285" s="676"/>
      <c r="M285" s="676"/>
      <c r="N285" s="676"/>
      <c r="O285" s="676"/>
      <c r="P285" s="1316"/>
      <c r="Q285" s="1316"/>
      <c r="R285" s="1316"/>
      <c r="S285" s="1316"/>
      <c r="T285" s="439" cm="1" t="str">
        <f t="array" ref="T285:T285">T284</f>
        <v>true</v>
      </c>
      <c r="U285" s="1316"/>
      <c r="V285" s="676"/>
      <c r="W285" s="1316"/>
      <c r="X285" s="1482"/>
      <c r="Y285" s="1464"/>
      <c r="Z285" s="676"/>
      <c r="AA285" s="676"/>
      <c r="AB285" s="207" t="s">
        <v>586</v>
      </c>
      <c r="AC285" s="159" t="s">
        <v>720</v>
      </c>
      <c r="AD285" s="59" t="s">
        <v>512</v>
      </c>
      <c r="AE285" s="243"/>
      <c r="AF285" s="243"/>
      <c r="AG285" s="243"/>
      <c r="AH285" s="243"/>
      <c r="AI285" s="243"/>
      <c r="AJ285" s="1886"/>
      <c r="AK285" s="1886"/>
      <c r="AL285" s="243"/>
      <c r="AM285" s="243"/>
      <c r="AN285" s="243"/>
      <c r="AO285" s="243"/>
      <c r="AP285" s="243"/>
      <c r="AQ285" s="243"/>
      <c r="AR285" s="243"/>
      <c r="AS285" s="243"/>
      <c r="AT285" s="1886"/>
      <c r="AU285" s="1886"/>
      <c r="AV285" s="243"/>
      <c r="AW285" s="243"/>
      <c r="AX285" s="243"/>
      <c r="AY285" s="243"/>
      <c r="AZ285" s="243"/>
      <c r="BA285" s="243"/>
      <c r="BB285" s="243"/>
      <c r="BC285" s="167"/>
      <c r="BD285" s="676"/>
      <c r="BE285" s="676"/>
      <c r="BF285" s="998" t="s">
        <v>721</v>
      </c>
    </row>
    <row s="1621" customFormat="1" customHeight="1" ht="21.75">
      <c r="A286" s="676"/>
      <c r="B286" s="1176"/>
      <c r="C286" s="676"/>
      <c r="D286" s="676"/>
      <c r="E286" s="611">
        <v>22.5</v>
      </c>
      <c r="F286" s="50" cm="1" t="str">
        <f t="array" ref="F286:F286">OFFSET(E286,-1,1)</f>
        <v>2</v>
      </c>
      <c r="G286" s="676"/>
      <c r="H286" s="64" t="s">
        <v>722</v>
      </c>
      <c r="I286" s="676"/>
      <c r="J286" s="676"/>
      <c r="K286" s="676"/>
      <c r="L286" s="676"/>
      <c r="M286" s="676"/>
      <c r="N286" s="676"/>
      <c r="O286" s="676"/>
      <c r="P286" s="1316"/>
      <c r="Q286" s="1316"/>
      <c r="R286" s="1316"/>
      <c r="S286" s="1316"/>
      <c r="T286" s="439" cm="1" t="str">
        <f t="array" ref="T286:T286">T285</f>
        <v>true</v>
      </c>
      <c r="U286" s="1316"/>
      <c r="V286" s="676"/>
      <c r="W286" s="1316"/>
      <c r="X286" s="1482"/>
      <c r="Y286" s="1464"/>
      <c r="Z286" s="676"/>
      <c r="AA286" s="676"/>
      <c r="AB286" s="207" t="s">
        <v>723</v>
      </c>
      <c r="AC286" s="307" t="s">
        <v>634</v>
      </c>
      <c r="AD286" s="59" t="s">
        <v>512</v>
      </c>
      <c r="AE286" s="243"/>
      <c r="AF286" s="243"/>
      <c r="AG286" s="243"/>
      <c r="AH286" s="243"/>
      <c r="AI286" s="243"/>
      <c r="AJ286" s="1886"/>
      <c r="AK286" s="1886"/>
      <c r="AL286" s="243"/>
      <c r="AM286" s="243"/>
      <c r="AN286" s="243"/>
      <c r="AO286" s="243"/>
      <c r="AP286" s="243"/>
      <c r="AQ286" s="243"/>
      <c r="AR286" s="243"/>
      <c r="AS286" s="243"/>
      <c r="AT286" s="1886"/>
      <c r="AU286" s="1886"/>
      <c r="AV286" s="243"/>
      <c r="AW286" s="243"/>
      <c r="AX286" s="243"/>
      <c r="AY286" s="243"/>
      <c r="AZ286" s="243"/>
      <c r="BA286" s="243"/>
      <c r="BB286" s="243"/>
      <c r="BC286" s="167"/>
      <c r="BD286" s="676"/>
      <c r="BE286" s="676"/>
      <c r="BF286" s="998" t="s">
        <v>724</v>
      </c>
    </row>
    <row s="1621" customFormat="1" customHeight="1" ht="14.25">
      <c r="A287" s="676"/>
      <c r="B287" s="1176"/>
      <c r="C287" s="676"/>
      <c r="D287" s="676"/>
      <c r="E287" s="611">
        <v>15</v>
      </c>
      <c r="F287" s="50" cm="1" t="str">
        <f t="array" ref="F287:F287">OFFSET(E287,-1,1)</f>
        <v>2</v>
      </c>
      <c r="G287" s="676"/>
      <c r="H287" s="64" t="s">
        <v>725</v>
      </c>
      <c r="I287" s="676"/>
      <c r="J287" s="676"/>
      <c r="K287" s="676"/>
      <c r="L287" s="676"/>
      <c r="M287" s="676"/>
      <c r="N287" s="676"/>
      <c r="O287" s="676"/>
      <c r="P287" s="1316"/>
      <c r="Q287" s="1316"/>
      <c r="R287" s="1316"/>
      <c r="S287" s="1316"/>
      <c r="T287" s="439" cm="1" t="str">
        <f t="array" ref="T287:T287">T286</f>
        <v>true</v>
      </c>
      <c r="U287" s="1316"/>
      <c r="V287" s="676"/>
      <c r="W287" s="1316"/>
      <c r="X287" s="1482"/>
      <c r="Y287" s="1464"/>
      <c r="Z287" s="676"/>
      <c r="AA287" s="676"/>
      <c r="AB287" s="207" t="s">
        <v>726</v>
      </c>
      <c r="AC287" s="103" t="s">
        <v>727</v>
      </c>
      <c r="AD287" s="59" t="s">
        <v>512</v>
      </c>
      <c r="AE287" s="243"/>
      <c r="AF287" s="243"/>
      <c r="AG287" s="243"/>
      <c r="AH287" s="243"/>
      <c r="AI287" s="243"/>
      <c r="AJ287" s="1886"/>
      <c r="AK287" s="1886"/>
      <c r="AL287" s="243"/>
      <c r="AM287" s="243"/>
      <c r="AN287" s="243"/>
      <c r="AO287" s="243"/>
      <c r="AP287" s="243"/>
      <c r="AQ287" s="243"/>
      <c r="AR287" s="243"/>
      <c r="AS287" s="243"/>
      <c r="AT287" s="1886"/>
      <c r="AU287" s="1886"/>
      <c r="AV287" s="243"/>
      <c r="AW287" s="243"/>
      <c r="AX287" s="243"/>
      <c r="AY287" s="243"/>
      <c r="AZ287" s="243"/>
      <c r="BA287" s="243"/>
      <c r="BB287" s="243"/>
      <c r="BC287" s="167"/>
      <c r="BD287" s="676"/>
      <c r="BE287" s="676"/>
      <c r="BF287" s="998" t="s">
        <v>728</v>
      </c>
    </row>
    <row s="1621" customFormat="1" customHeight="1" ht="11.25" hidden="1">
      <c r="A288" s="443"/>
      <c r="B288" s="638"/>
      <c r="C288" s="443"/>
      <c r="D288" s="443"/>
      <c r="E288" s="640" t="s">
        <v>366</v>
      </c>
      <c r="F288" s="1202" cm="1" t="str">
        <f t="array" ref="F288:F288">OFFSET(E288,-1,1)</f>
        <v>2</v>
      </c>
      <c r="G288" s="443"/>
      <c r="H288" s="443"/>
      <c r="I288" s="443"/>
      <c r="J288" s="443"/>
      <c r="K288" s="64"/>
      <c r="L288" s="443"/>
      <c r="M288" s="443"/>
      <c r="N288" s="443"/>
      <c r="O288" s="443"/>
      <c r="P288" s="443"/>
      <c r="Q288" s="443"/>
      <c r="R288" s="388"/>
      <c r="S288" s="388"/>
      <c r="T288" s="439" t="b">
        <v>0</v>
      </c>
      <c r="U288" s="443"/>
      <c r="V288" s="443"/>
      <c r="W288" s="443"/>
      <c r="X288" s="1482"/>
      <c r="Y288" s="1464"/>
      <c r="Z288" s="443"/>
      <c r="AA288" s="443"/>
      <c r="AB288" s="1621"/>
      <c r="AC288" s="66"/>
      <c r="AD288" s="66"/>
      <c r="AE288" s="311"/>
      <c r="AF288" s="311"/>
      <c r="AG288" s="311"/>
      <c r="AH288" s="311"/>
      <c r="AI288" s="311"/>
      <c r="AJ288" s="312"/>
      <c r="AK288" s="311"/>
      <c r="AL288" s="311"/>
      <c r="AM288" s="311"/>
      <c r="AN288" s="311"/>
      <c r="AO288" s="311"/>
      <c r="AP288" s="311"/>
      <c r="AQ288" s="311"/>
      <c r="AR288" s="311"/>
      <c r="AS288" s="311"/>
      <c r="AT288" s="311"/>
      <c r="AU288" s="311"/>
      <c r="AV288" s="311"/>
      <c r="AW288" s="311"/>
      <c r="AX288" s="311"/>
      <c r="AY288" s="311"/>
      <c r="AZ288" s="311"/>
      <c r="BA288" s="311"/>
      <c r="BB288" s="311"/>
      <c r="BC288" s="1621"/>
      <c r="BD288" s="1621"/>
      <c r="BE288" s="1621"/>
      <c r="BF288" s="1002"/>
    </row>
    <row s="1621" customFormat="1" customHeight="1" ht="14.25" hidden="1">
      <c r="A289" s="676"/>
      <c r="B289" s="1176"/>
      <c r="C289" s="676"/>
      <c r="D289" s="676"/>
      <c r="E289" s="611">
        <v>15</v>
      </c>
      <c r="F289" s="50" cm="1" t="str">
        <f t="array" ref="F289:F289">OFFSET(E289,-1,1)</f>
        <v>2</v>
      </c>
      <c r="G289" s="676"/>
      <c r="H289" s="676"/>
      <c r="I289" s="676"/>
      <c r="J289" s="676"/>
      <c r="K289" s="676"/>
      <c r="L289" s="676"/>
      <c r="M289" s="676"/>
      <c r="N289" s="676"/>
      <c r="O289" s="676"/>
      <c r="P289" s="1316"/>
      <c r="Q289" s="1316"/>
      <c r="R289" s="388" cm="1" t="str">
        <f t="array" ref="R289:R289">INDEX('Общие сведения'!$AN$179:$AN$222,MATCH($X209,'Общие сведения'!$Z$179:$Z$222,0))</f>
        <v>false</v>
      </c>
      <c r="S289" s="456">
        <f>IF(ISERROR(SEARCH("Водоотведение",AB209)),FALSE,TRUE)</f>
        <v>1</v>
      </c>
      <c r="T289" s="439">
        <f>AND(X209&gt;0,S289,R289)</f>
        <v>0</v>
      </c>
      <c r="U289" s="1316"/>
      <c r="V289" s="676"/>
      <c r="W289" s="1316"/>
      <c r="X289" s="1482"/>
      <c r="Y289" s="1464"/>
      <c r="Z289" s="676"/>
      <c r="AA289" s="676"/>
      <c r="AB289" s="207" t="s">
        <v>272</v>
      </c>
      <c r="AC289" s="53" t="s">
        <v>666</v>
      </c>
      <c r="AD289" s="164"/>
      <c r="AE289" s="548" cm="1" t="str">
        <f t="array" ref="AE289:AE289">INDEX('Общие сведения'!$AH$179:$AH$222,MATCH($X209,'Общие сведения'!$Z$179:$Z$222,0))</f>
        <v>без дифференциации</v>
      </c>
      <c r="AF289" s="329"/>
      <c r="AG289" s="329"/>
      <c r="AH289" s="329"/>
      <c r="AI289" s="329"/>
      <c r="AJ289" s="329"/>
      <c r="AK289" s="329"/>
      <c r="AL289" s="329"/>
      <c r="AM289" s="329"/>
      <c r="AN289" s="329"/>
      <c r="AO289" s="329"/>
      <c r="AP289" s="329"/>
      <c r="AQ289" s="329"/>
      <c r="AR289" s="329"/>
      <c r="AS289" s="329"/>
      <c r="AT289" s="329"/>
      <c r="AU289" s="329"/>
      <c r="AV289" s="329"/>
      <c r="AW289" s="329"/>
      <c r="AX289" s="329"/>
      <c r="AY289" s="329"/>
      <c r="AZ289" s="329"/>
      <c r="BA289" s="329"/>
      <c r="BB289" s="330"/>
      <c r="BC289" s="1887"/>
      <c r="BD289" s="676"/>
      <c r="BE289" s="676"/>
      <c r="BF289" s="998" t="s">
        <v>729</v>
      </c>
    </row>
    <row s="1621" customFormat="1" customHeight="1" ht="14.25" hidden="1">
      <c r="A290" s="676"/>
      <c r="B290" s="1176"/>
      <c r="C290" s="676"/>
      <c r="D290" s="676"/>
      <c r="E290" s="611">
        <v>15</v>
      </c>
      <c r="F290" s="50" cm="1" t="str">
        <f t="array" ref="F290:F290">OFFSET(E290,-1,1)</f>
        <v>2</v>
      </c>
      <c r="G290" s="676"/>
      <c r="H290" s="64" t="s">
        <v>329</v>
      </c>
      <c r="I290" s="676"/>
      <c r="J290" s="676"/>
      <c r="K290" s="676"/>
      <c r="L290" s="676"/>
      <c r="M290" s="676"/>
      <c r="N290" s="676"/>
      <c r="O290" s="676"/>
      <c r="P290" s="1316"/>
      <c r="Q290" s="1316"/>
      <c r="R290" s="1316"/>
      <c r="S290" s="1316"/>
      <c r="T290" s="439" cm="1" t="str">
        <f t="array" ref="T290:T290">T289</f>
        <v>false</v>
      </c>
      <c r="U290" s="1316"/>
      <c r="V290" s="676"/>
      <c r="W290" s="1316"/>
      <c r="X290" s="1482"/>
      <c r="Y290" s="1464"/>
      <c r="Z290" s="676"/>
      <c r="AA290" s="676"/>
      <c r="AB290" s="207" t="s">
        <v>283</v>
      </c>
      <c r="AC290" s="308" t="s">
        <v>730</v>
      </c>
      <c r="AD290" s="59" t="s">
        <v>512</v>
      </c>
      <c r="AE290" s="313">
        <f>AE291+AE293+AE292</f>
        <v>0</v>
      </c>
      <c r="AF290" s="313">
        <f>AF291+AF293+AF292</f>
        <v>0</v>
      </c>
      <c r="AG290" s="313">
        <f>AG291+AG293+AG292</f>
        <v>0</v>
      </c>
      <c r="AH290" s="313">
        <f>AH291+AH293+AH292</f>
        <v>0</v>
      </c>
      <c r="AI290" s="313">
        <f>AI291+AI293+AI292</f>
        <v>0</v>
      </c>
      <c r="AJ290" s="313">
        <f>AJ291+AJ293+AJ292</f>
        <v>0</v>
      </c>
      <c r="AK290" s="313">
        <f>AK291+AK293+AK292</f>
        <v>0</v>
      </c>
      <c r="AL290" s="313">
        <f>AL291+AL293+AL292</f>
        <v>0</v>
      </c>
      <c r="AM290" s="313">
        <f>AM291+AM293+AM292</f>
        <v>0</v>
      </c>
      <c r="AN290" s="313">
        <f>AN291+AN293+AN292</f>
        <v>0</v>
      </c>
      <c r="AO290" s="313">
        <f>AO291+AO293+AO292</f>
        <v>0</v>
      </c>
      <c r="AP290" s="313">
        <f>AP291+AP293+AP292</f>
        <v>0</v>
      </c>
      <c r="AQ290" s="313">
        <f>AQ291+AQ293+AQ292</f>
        <v>0</v>
      </c>
      <c r="AR290" s="313">
        <f>AR291+AR293+AR292</f>
        <v>0</v>
      </c>
      <c r="AS290" s="313">
        <f>AS291+AS293+AS292</f>
        <v>0</v>
      </c>
      <c r="AT290" s="313">
        <f>AT291+AT293+AT292</f>
        <v>0</v>
      </c>
      <c r="AU290" s="313">
        <f>AU291+AU293+AU292</f>
        <v>0</v>
      </c>
      <c r="AV290" s="313">
        <f>AV291+AV293+AV292</f>
        <v>0</v>
      </c>
      <c r="AW290" s="313">
        <f>AW291+AW293+AW292</f>
        <v>0</v>
      </c>
      <c r="AX290" s="313">
        <f>AX291+AX293+AX292</f>
        <v>0</v>
      </c>
      <c r="AY290" s="313">
        <f>AY291+AY293+AY292</f>
        <v>0</v>
      </c>
      <c r="AZ290" s="313">
        <f>AZ291+AZ293+AZ292</f>
        <v>0</v>
      </c>
      <c r="BA290" s="313">
        <f>BA291+BA293+BA292</f>
        <v>0</v>
      </c>
      <c r="BB290" s="313">
        <f>BB291+BB293+BB292</f>
        <v>0</v>
      </c>
      <c r="BC290" s="1887"/>
      <c r="BD290" s="676"/>
      <c r="BE290" s="676"/>
      <c r="BF290" s="998" t="s">
        <v>731</v>
      </c>
    </row>
    <row s="1621" customFormat="1" customHeight="1" ht="14.25" hidden="1">
      <c r="A291" s="676"/>
      <c r="B291" s="1176"/>
      <c r="C291" s="676"/>
      <c r="D291" s="676"/>
      <c r="E291" s="611">
        <v>15</v>
      </c>
      <c r="F291" s="50" cm="1" t="str">
        <f t="array" ref="F291:F291">OFFSET(E291,-1,1)</f>
        <v>2</v>
      </c>
      <c r="G291" s="676"/>
      <c r="H291" s="64" t="s">
        <v>514</v>
      </c>
      <c r="I291" s="676"/>
      <c r="J291" s="676"/>
      <c r="K291" s="676"/>
      <c r="L291" s="676"/>
      <c r="M291" s="676"/>
      <c r="N291" s="676"/>
      <c r="O291" s="676"/>
      <c r="P291" s="1316"/>
      <c r="Q291" s="1316"/>
      <c r="R291" s="1316"/>
      <c r="S291" s="1316"/>
      <c r="T291" s="439" cm="1" t="str">
        <f t="array" ref="T291:T291">T290</f>
        <v>false</v>
      </c>
      <c r="U291" s="1316"/>
      <c r="V291" s="676"/>
      <c r="W291" s="1316"/>
      <c r="X291" s="1482"/>
      <c r="Y291" s="1464"/>
      <c r="Z291" s="676"/>
      <c r="AA291" s="676"/>
      <c r="AB291" s="207" t="s">
        <v>515</v>
      </c>
      <c r="AC291" s="181" t="s">
        <v>732</v>
      </c>
      <c r="AD291" s="59" t="s">
        <v>512</v>
      </c>
      <c r="AE291" s="1930"/>
      <c r="AF291" s="1930"/>
      <c r="AG291" s="1930"/>
      <c r="AH291" s="1930"/>
      <c r="AI291" s="246"/>
      <c r="AJ291" s="1930"/>
      <c r="AK291" s="1930"/>
      <c r="AL291" s="1930"/>
      <c r="AM291" s="1930"/>
      <c r="AN291" s="1930"/>
      <c r="AO291" s="1930"/>
      <c r="AP291" s="1930"/>
      <c r="AQ291" s="1930"/>
      <c r="AR291" s="1930"/>
      <c r="AS291" s="246"/>
      <c r="AT291" s="1930"/>
      <c r="AU291" s="1930"/>
      <c r="AV291" s="1930"/>
      <c r="AW291" s="1930"/>
      <c r="AX291" s="1930"/>
      <c r="AY291" s="1930"/>
      <c r="AZ291" s="1930"/>
      <c r="BA291" s="1930"/>
      <c r="BB291" s="1930"/>
      <c r="BC291" s="1887"/>
      <c r="BD291" s="676"/>
      <c r="BE291" s="676"/>
      <c r="BF291" s="998" t="s">
        <v>733</v>
      </c>
    </row>
    <row s="1621" customFormat="1" customHeight="1" ht="14.25" hidden="1">
      <c r="A292" s="676"/>
      <c r="B292" s="1176"/>
      <c r="C292" s="676"/>
      <c r="D292" s="676"/>
      <c r="E292" s="611">
        <v>15</v>
      </c>
      <c r="F292" s="50" cm="1" t="str">
        <f t="array" ref="F292:F292">OFFSET(E292,-1,1)</f>
        <v>2</v>
      </c>
      <c r="G292" s="676"/>
      <c r="H292" s="64" t="s">
        <v>518</v>
      </c>
      <c r="I292" s="676"/>
      <c r="J292" s="676"/>
      <c r="K292" s="676"/>
      <c r="L292" s="676"/>
      <c r="M292" s="676"/>
      <c r="N292" s="676"/>
      <c r="O292" s="676"/>
      <c r="P292" s="1316"/>
      <c r="Q292" s="1316"/>
      <c r="R292" s="1316"/>
      <c r="S292" s="1316"/>
      <c r="T292" s="439" cm="1" t="str">
        <f t="array" ref="T292:T292">T291</f>
        <v>false</v>
      </c>
      <c r="U292" s="1316"/>
      <c r="V292" s="676"/>
      <c r="W292" s="1316"/>
      <c r="X292" s="1482"/>
      <c r="Y292" s="1464"/>
      <c r="Z292" s="676"/>
      <c r="AA292" s="676"/>
      <c r="AB292" s="207" t="s">
        <v>519</v>
      </c>
      <c r="AC292" s="181" t="s">
        <v>734</v>
      </c>
      <c r="AD292" s="59" t="s">
        <v>512</v>
      </c>
      <c r="AE292" s="1930"/>
      <c r="AF292" s="1930"/>
      <c r="AG292" s="1930"/>
      <c r="AH292" s="1930"/>
      <c r="AI292" s="246"/>
      <c r="AJ292" s="1930"/>
      <c r="AK292" s="1930"/>
      <c r="AL292" s="1930"/>
      <c r="AM292" s="1930"/>
      <c r="AN292" s="1930"/>
      <c r="AO292" s="1930"/>
      <c r="AP292" s="1930"/>
      <c r="AQ292" s="1930"/>
      <c r="AR292" s="1930"/>
      <c r="AS292" s="246"/>
      <c r="AT292" s="1930"/>
      <c r="AU292" s="1930"/>
      <c r="AV292" s="1930"/>
      <c r="AW292" s="1930"/>
      <c r="AX292" s="1930"/>
      <c r="AY292" s="1930"/>
      <c r="AZ292" s="1930"/>
      <c r="BA292" s="1930"/>
      <c r="BB292" s="1930"/>
      <c r="BC292" s="1887"/>
      <c r="BD292" s="676"/>
      <c r="BE292" s="676"/>
      <c r="BF292" s="998" t="s">
        <v>735</v>
      </c>
    </row>
    <row s="1621" customFormat="1" customHeight="1" ht="21.75" hidden="1">
      <c r="A293" s="676"/>
      <c r="B293" s="1176"/>
      <c r="C293" s="676"/>
      <c r="D293" s="676"/>
      <c r="E293" s="611">
        <v>22.5</v>
      </c>
      <c r="F293" s="50" cm="1" t="str">
        <f t="array" ref="F293:F293">OFFSET(E293,-1,1)</f>
        <v>2</v>
      </c>
      <c r="G293" s="676"/>
      <c r="H293" s="64" t="s">
        <v>522</v>
      </c>
      <c r="I293" s="676"/>
      <c r="J293" s="676"/>
      <c r="K293" s="676"/>
      <c r="L293" s="676"/>
      <c r="M293" s="676"/>
      <c r="N293" s="676"/>
      <c r="O293" s="676"/>
      <c r="P293" s="1316"/>
      <c r="Q293" s="1316"/>
      <c r="R293" s="1316"/>
      <c r="S293" s="1316"/>
      <c r="T293" s="439" cm="1" t="str">
        <f t="array" ref="T293:T293">T292</f>
        <v>false</v>
      </c>
      <c r="U293" s="1316"/>
      <c r="V293" s="676"/>
      <c r="W293" s="1316"/>
      <c r="X293" s="1482"/>
      <c r="Y293" s="1464"/>
      <c r="Z293" s="676"/>
      <c r="AA293" s="676"/>
      <c r="AB293" s="207" t="s">
        <v>523</v>
      </c>
      <c r="AC293" s="181" t="s">
        <v>634</v>
      </c>
      <c r="AD293" s="59" t="s">
        <v>512</v>
      </c>
      <c r="AE293" s="1930"/>
      <c r="AF293" s="1930"/>
      <c r="AG293" s="1930"/>
      <c r="AH293" s="1930"/>
      <c r="AI293" s="246"/>
      <c r="AJ293" s="1930"/>
      <c r="AK293" s="1930"/>
      <c r="AL293" s="1930"/>
      <c r="AM293" s="1930"/>
      <c r="AN293" s="1930"/>
      <c r="AO293" s="1930"/>
      <c r="AP293" s="1930"/>
      <c r="AQ293" s="1930"/>
      <c r="AR293" s="1930"/>
      <c r="AS293" s="246"/>
      <c r="AT293" s="1930"/>
      <c r="AU293" s="1930"/>
      <c r="AV293" s="1930"/>
      <c r="AW293" s="1930"/>
      <c r="AX293" s="1930"/>
      <c r="AY293" s="1930"/>
      <c r="AZ293" s="1930"/>
      <c r="BA293" s="1930"/>
      <c r="BB293" s="1930"/>
      <c r="BC293" s="1887"/>
      <c r="BD293" s="676"/>
      <c r="BE293" s="676"/>
      <c r="BF293" s="998" t="s">
        <v>736</v>
      </c>
    </row>
    <row s="1621" customFormat="1" customHeight="1" ht="21.75" hidden="1">
      <c r="A294" s="676"/>
      <c r="B294" s="1176"/>
      <c r="C294" s="676"/>
      <c r="D294" s="676"/>
      <c r="E294" s="611">
        <v>22.5</v>
      </c>
      <c r="F294" s="50" cm="1" t="str">
        <f t="array" ref="F294:F294">OFFSET(E294,-1,1)</f>
        <v>2</v>
      </c>
      <c r="G294" s="64" t="s">
        <v>584</v>
      </c>
      <c r="H294" s="64" t="s">
        <v>328</v>
      </c>
      <c r="I294" s="676"/>
      <c r="J294" s="676"/>
      <c r="K294" s="676"/>
      <c r="L294" s="676"/>
      <c r="M294" s="676"/>
      <c r="N294" s="676"/>
      <c r="O294" s="676"/>
      <c r="P294" s="1316"/>
      <c r="Q294" s="1316"/>
      <c r="R294" s="1316"/>
      <c r="S294" s="1316"/>
      <c r="T294" s="439" cm="1" t="str">
        <f t="array" ref="T294:T294">T293</f>
        <v>false</v>
      </c>
      <c r="U294" s="1316"/>
      <c r="V294" s="676"/>
      <c r="W294" s="1316"/>
      <c r="X294" s="1482"/>
      <c r="Y294" s="1464"/>
      <c r="Z294" s="676"/>
      <c r="AA294" s="676"/>
      <c r="AB294" s="207" t="s">
        <v>323</v>
      </c>
      <c r="AC294" s="308" t="s">
        <v>737</v>
      </c>
      <c r="AD294" s="59" t="s">
        <v>512</v>
      </c>
      <c r="AE294" s="313">
        <f>AE295+AE296+AE299</f>
        <v>0</v>
      </c>
      <c r="AF294" s="313">
        <f>AF295+AF296+AF299</f>
        <v>0</v>
      </c>
      <c r="AG294" s="313">
        <f>AG295+AG296+AG299</f>
        <v>0</v>
      </c>
      <c r="AH294" s="313">
        <f>AH295+AH296+AH299</f>
        <v>0</v>
      </c>
      <c r="AI294" s="313">
        <f>AI295+AI296+AI299</f>
        <v>0</v>
      </c>
      <c r="AJ294" s="313">
        <f>AJ295+AJ296+AJ299</f>
        <v>0</v>
      </c>
      <c r="AK294" s="313">
        <f>AK295+AK296+AK299</f>
        <v>0</v>
      </c>
      <c r="AL294" s="313">
        <f>AL295+AL296+AL299</f>
        <v>0</v>
      </c>
      <c r="AM294" s="313">
        <f>AM295+AM296+AM299</f>
        <v>0</v>
      </c>
      <c r="AN294" s="313">
        <f>AN295+AN296+AN299</f>
        <v>0</v>
      </c>
      <c r="AO294" s="313">
        <f>AO295+AO296+AO299</f>
        <v>0</v>
      </c>
      <c r="AP294" s="313">
        <f>AP295+AP296+AP299</f>
        <v>0</v>
      </c>
      <c r="AQ294" s="313">
        <f>AQ295+AQ296+AQ299</f>
        <v>0</v>
      </c>
      <c r="AR294" s="313">
        <f>AR295+AR296+AR299</f>
        <v>0</v>
      </c>
      <c r="AS294" s="313">
        <f>AS295+AS296+AS299</f>
        <v>0</v>
      </c>
      <c r="AT294" s="313">
        <f>AT295+AT296+AT299</f>
        <v>0</v>
      </c>
      <c r="AU294" s="313">
        <f>AU295+AU296+AU299</f>
        <v>0</v>
      </c>
      <c r="AV294" s="313">
        <f>AV295+AV296+AV299</f>
        <v>0</v>
      </c>
      <c r="AW294" s="313">
        <f>AW295+AW296+AW299</f>
        <v>0</v>
      </c>
      <c r="AX294" s="313">
        <f>AX295+AX296+AX299</f>
        <v>0</v>
      </c>
      <c r="AY294" s="313">
        <f>AY295+AY296+AY299</f>
        <v>0</v>
      </c>
      <c r="AZ294" s="313">
        <f>AZ295+AZ296+AZ299</f>
        <v>0</v>
      </c>
      <c r="BA294" s="313">
        <f>BA295+BA296+BA299</f>
        <v>0</v>
      </c>
      <c r="BB294" s="313">
        <f>BB295+BB296+BB299</f>
        <v>0</v>
      </c>
      <c r="BC294" s="1887"/>
      <c r="BD294" s="676"/>
      <c r="BE294" s="676"/>
      <c r="BF294" s="998" t="s">
        <v>738</v>
      </c>
    </row>
    <row s="1621" customFormat="1" customHeight="1" ht="14.25" hidden="1">
      <c r="A295" s="676"/>
      <c r="B295" s="1176"/>
      <c r="C295" s="676"/>
      <c r="D295" s="676"/>
      <c r="E295" s="611">
        <v>15</v>
      </c>
      <c r="F295" s="50" cm="1" t="str">
        <f t="array" ref="F295:F295">OFFSET(E295,-1,1)</f>
        <v>2</v>
      </c>
      <c r="G295" s="676"/>
      <c r="H295" s="64" t="s">
        <v>528</v>
      </c>
      <c r="I295" s="676"/>
      <c r="J295" s="676"/>
      <c r="K295" s="676"/>
      <c r="L295" s="676"/>
      <c r="M295" s="676"/>
      <c r="N295" s="676"/>
      <c r="O295" s="676"/>
      <c r="P295" s="1316"/>
      <c r="Q295" s="1316"/>
      <c r="R295" s="1316"/>
      <c r="S295" s="1316"/>
      <c r="T295" s="439" cm="1" t="str">
        <f t="array" ref="T295:T295">T294</f>
        <v>false</v>
      </c>
      <c r="U295" s="1316"/>
      <c r="V295" s="676"/>
      <c r="W295" s="1316"/>
      <c r="X295" s="1482"/>
      <c r="Y295" s="1464"/>
      <c r="Z295" s="676"/>
      <c r="AA295" s="676"/>
      <c r="AB295" s="207" t="s">
        <v>529</v>
      </c>
      <c r="AC295" s="181" t="s">
        <v>739</v>
      </c>
      <c r="AD295" s="59" t="s">
        <v>512</v>
      </c>
      <c r="AE295" s="1930"/>
      <c r="AF295" s="1930"/>
      <c r="AG295" s="1930"/>
      <c r="AH295" s="1930"/>
      <c r="AI295" s="246"/>
      <c r="AJ295" s="1930"/>
      <c r="AK295" s="1930"/>
      <c r="AL295" s="1930"/>
      <c r="AM295" s="1930"/>
      <c r="AN295" s="1930"/>
      <c r="AO295" s="1930"/>
      <c r="AP295" s="1930"/>
      <c r="AQ295" s="1930"/>
      <c r="AR295" s="1930"/>
      <c r="AS295" s="246"/>
      <c r="AT295" s="1930"/>
      <c r="AU295" s="1930"/>
      <c r="AV295" s="1930"/>
      <c r="AW295" s="1930"/>
      <c r="AX295" s="1930"/>
      <c r="AY295" s="1930"/>
      <c r="AZ295" s="1930"/>
      <c r="BA295" s="1930"/>
      <c r="BB295" s="1930"/>
      <c r="BC295" s="1887"/>
      <c r="BD295" s="676"/>
      <c r="BE295" s="676"/>
      <c r="BF295" s="998" t="s">
        <v>740</v>
      </c>
    </row>
    <row s="1621" customFormat="1" customHeight="1" ht="14.25" hidden="1">
      <c r="A296" s="676"/>
      <c r="B296" s="1176"/>
      <c r="C296" s="676"/>
      <c r="D296" s="676"/>
      <c r="E296" s="611">
        <v>15</v>
      </c>
      <c r="F296" s="50" cm="1" t="str">
        <f t="array" ref="F296:F296">OFFSET(E296,-1,1)</f>
        <v>2</v>
      </c>
      <c r="G296" s="676"/>
      <c r="H296" s="64" t="s">
        <v>532</v>
      </c>
      <c r="I296" s="676"/>
      <c r="J296" s="676"/>
      <c r="K296" s="676"/>
      <c r="L296" s="676"/>
      <c r="M296" s="676"/>
      <c r="N296" s="676"/>
      <c r="O296" s="676"/>
      <c r="P296" s="1316"/>
      <c r="Q296" s="1316"/>
      <c r="R296" s="1316"/>
      <c r="S296" s="1316"/>
      <c r="T296" s="439" cm="1" t="str">
        <f t="array" ref="T296:T296">T295</f>
        <v>false</v>
      </c>
      <c r="U296" s="1316"/>
      <c r="V296" s="676"/>
      <c r="W296" s="1316"/>
      <c r="X296" s="1482"/>
      <c r="Y296" s="1464"/>
      <c r="Z296" s="676"/>
      <c r="AA296" s="676"/>
      <c r="AB296" s="207" t="s">
        <v>533</v>
      </c>
      <c r="AC296" s="309" t="s">
        <v>741</v>
      </c>
      <c r="AD296" s="59" t="s">
        <v>512</v>
      </c>
      <c r="AE296" s="313">
        <f>AE297+AE298</f>
        <v>0</v>
      </c>
      <c r="AF296" s="313">
        <f>AF297+AF298</f>
        <v>0</v>
      </c>
      <c r="AG296" s="313">
        <f>AG297+AG298</f>
        <v>0</v>
      </c>
      <c r="AH296" s="313">
        <f>AH297+AH298</f>
        <v>0</v>
      </c>
      <c r="AI296" s="313">
        <f>AI297+AI298</f>
        <v>0</v>
      </c>
      <c r="AJ296" s="313">
        <f>AJ297+AJ298</f>
        <v>0</v>
      </c>
      <c r="AK296" s="313">
        <f>AK297+AK298</f>
        <v>0</v>
      </c>
      <c r="AL296" s="313">
        <f>AL297+AL298</f>
        <v>0</v>
      </c>
      <c r="AM296" s="313">
        <f>AM297+AM298</f>
        <v>0</v>
      </c>
      <c r="AN296" s="313">
        <f>AN297+AN298</f>
        <v>0</v>
      </c>
      <c r="AO296" s="313">
        <f>AO297+AO298</f>
        <v>0</v>
      </c>
      <c r="AP296" s="313">
        <f>AP297+AP298</f>
        <v>0</v>
      </c>
      <c r="AQ296" s="313">
        <f>AQ297+AQ298</f>
        <v>0</v>
      </c>
      <c r="AR296" s="313">
        <f>AR297+AR298</f>
        <v>0</v>
      </c>
      <c r="AS296" s="313">
        <f>AS297+AS298</f>
        <v>0</v>
      </c>
      <c r="AT296" s="313">
        <f>AT297+AT298</f>
        <v>0</v>
      </c>
      <c r="AU296" s="313">
        <f>AU297+AU298</f>
        <v>0</v>
      </c>
      <c r="AV296" s="313">
        <f>AV297+AV298</f>
        <v>0</v>
      </c>
      <c r="AW296" s="313">
        <f>AW297+AW298</f>
        <v>0</v>
      </c>
      <c r="AX296" s="313">
        <f>AX297+AX298</f>
        <v>0</v>
      </c>
      <c r="AY296" s="313">
        <f>AY297+AY298</f>
        <v>0</v>
      </c>
      <c r="AZ296" s="313">
        <f>AZ297+AZ298</f>
        <v>0</v>
      </c>
      <c r="BA296" s="313">
        <f>BA297+BA298</f>
        <v>0</v>
      </c>
      <c r="BB296" s="313">
        <f>BB297+BB298</f>
        <v>0</v>
      </c>
      <c r="BC296" s="1887"/>
      <c r="BD296" s="676"/>
      <c r="BE296" s="676"/>
      <c r="BF296" s="998" t="s">
        <v>742</v>
      </c>
    </row>
    <row s="1621" customFormat="1" customHeight="1" ht="14.25" hidden="1">
      <c r="A297" s="676"/>
      <c r="B297" s="1176"/>
      <c r="C297" s="676"/>
      <c r="D297" s="676"/>
      <c r="E297" s="611">
        <v>15</v>
      </c>
      <c r="F297" s="50" cm="1" t="str">
        <f t="array" ref="F297:F297">OFFSET(E297,-1,1)</f>
        <v>2</v>
      </c>
      <c r="G297" s="676"/>
      <c r="H297" s="64" t="s">
        <v>743</v>
      </c>
      <c r="I297" s="676"/>
      <c r="J297" s="676"/>
      <c r="K297" s="676"/>
      <c r="L297" s="676"/>
      <c r="M297" s="676"/>
      <c r="N297" s="676"/>
      <c r="O297" s="676"/>
      <c r="P297" s="1316"/>
      <c r="Q297" s="1316"/>
      <c r="R297" s="1316"/>
      <c r="S297" s="1316"/>
      <c r="T297" s="439" cm="1" t="str">
        <f t="array" ref="T297:T297">T296</f>
        <v>false</v>
      </c>
      <c r="U297" s="1316"/>
      <c r="V297" s="676"/>
      <c r="W297" s="1316"/>
      <c r="X297" s="1482"/>
      <c r="Y297" s="1464"/>
      <c r="Z297" s="676"/>
      <c r="AA297" s="676"/>
      <c r="AB297" s="207" t="s">
        <v>744</v>
      </c>
      <c r="AC297" s="310" t="s">
        <v>591</v>
      </c>
      <c r="AD297" s="59" t="s">
        <v>512</v>
      </c>
      <c r="AE297" s="1930"/>
      <c r="AF297" s="1930"/>
      <c r="AG297" s="1930"/>
      <c r="AH297" s="1930"/>
      <c r="AI297" s="246"/>
      <c r="AJ297" s="1930"/>
      <c r="AK297" s="1930"/>
      <c r="AL297" s="1930"/>
      <c r="AM297" s="1930"/>
      <c r="AN297" s="1930"/>
      <c r="AO297" s="1930"/>
      <c r="AP297" s="1930"/>
      <c r="AQ297" s="1930"/>
      <c r="AR297" s="1930"/>
      <c r="AS297" s="246"/>
      <c r="AT297" s="1930"/>
      <c r="AU297" s="1930"/>
      <c r="AV297" s="1930"/>
      <c r="AW297" s="1930"/>
      <c r="AX297" s="1930"/>
      <c r="AY297" s="1930"/>
      <c r="AZ297" s="1930"/>
      <c r="BA297" s="1930"/>
      <c r="BB297" s="1930"/>
      <c r="BC297" s="1887"/>
      <c r="BD297" s="676"/>
      <c r="BE297" s="676"/>
      <c r="BF297" s="998" t="s">
        <v>745</v>
      </c>
    </row>
    <row s="1621" customFormat="1" customHeight="1" ht="14.25" hidden="1">
      <c r="A298" s="676"/>
      <c r="B298" s="1176"/>
      <c r="C298" s="676"/>
      <c r="D298" s="676"/>
      <c r="E298" s="611">
        <v>15</v>
      </c>
      <c r="F298" s="50" cm="1" t="str">
        <f t="array" ref="F298:F298">OFFSET(E298,-1,1)</f>
        <v>2</v>
      </c>
      <c r="G298" s="676"/>
      <c r="H298" s="64" t="s">
        <v>746</v>
      </c>
      <c r="I298" s="676"/>
      <c r="J298" s="676"/>
      <c r="K298" s="676"/>
      <c r="L298" s="676"/>
      <c r="M298" s="676"/>
      <c r="N298" s="676"/>
      <c r="O298" s="676"/>
      <c r="P298" s="1316"/>
      <c r="Q298" s="1316"/>
      <c r="R298" s="1316"/>
      <c r="S298" s="1316"/>
      <c r="T298" s="439" cm="1" t="str">
        <f t="array" ref="T298:T298">T297</f>
        <v>false</v>
      </c>
      <c r="U298" s="1316"/>
      <c r="V298" s="676"/>
      <c r="W298" s="1316"/>
      <c r="X298" s="1482"/>
      <c r="Y298" s="1464"/>
      <c r="Z298" s="676"/>
      <c r="AA298" s="676"/>
      <c r="AB298" s="207" t="s">
        <v>747</v>
      </c>
      <c r="AC298" s="310" t="s">
        <v>595</v>
      </c>
      <c r="AD298" s="59" t="s">
        <v>512</v>
      </c>
      <c r="AE298" s="1930"/>
      <c r="AF298" s="1930"/>
      <c r="AG298" s="1930"/>
      <c r="AH298" s="1930"/>
      <c r="AI298" s="246"/>
      <c r="AJ298" s="1930"/>
      <c r="AK298" s="1930"/>
      <c r="AL298" s="1930"/>
      <c r="AM298" s="1930"/>
      <c r="AN298" s="1930"/>
      <c r="AO298" s="1930"/>
      <c r="AP298" s="1930"/>
      <c r="AQ298" s="1930"/>
      <c r="AR298" s="1930"/>
      <c r="AS298" s="246"/>
      <c r="AT298" s="1930"/>
      <c r="AU298" s="1930"/>
      <c r="AV298" s="1930"/>
      <c r="AW298" s="1930"/>
      <c r="AX298" s="1930"/>
      <c r="AY298" s="1930"/>
      <c r="AZ298" s="1930"/>
      <c r="BA298" s="1930"/>
      <c r="BB298" s="1930"/>
      <c r="BC298" s="1887"/>
      <c r="BD298" s="676"/>
      <c r="BE298" s="676"/>
      <c r="BF298" s="998" t="s">
        <v>748</v>
      </c>
    </row>
    <row s="1621" customFormat="1" customHeight="1" ht="21.75" hidden="1">
      <c r="A299" s="676"/>
      <c r="B299" s="1176"/>
      <c r="C299" s="676"/>
      <c r="D299" s="676"/>
      <c r="E299" s="611">
        <v>22.5</v>
      </c>
      <c r="F299" s="50" cm="1" t="str">
        <f t="array" ref="F299:F299">OFFSET(E299,-1,1)</f>
        <v>2</v>
      </c>
      <c r="G299" s="676"/>
      <c r="H299" s="64" t="s">
        <v>749</v>
      </c>
      <c r="I299" s="676"/>
      <c r="J299" s="676"/>
      <c r="K299" s="676"/>
      <c r="L299" s="676"/>
      <c r="M299" s="676"/>
      <c r="N299" s="676"/>
      <c r="O299" s="676"/>
      <c r="P299" s="1316"/>
      <c r="Q299" s="1316"/>
      <c r="R299" s="1316"/>
      <c r="S299" s="1316"/>
      <c r="T299" s="439" cm="1" t="str">
        <f t="array" ref="T299:T299">T298</f>
        <v>false</v>
      </c>
      <c r="U299" s="1316"/>
      <c r="V299" s="676"/>
      <c r="W299" s="1316"/>
      <c r="X299" s="1482"/>
      <c r="Y299" s="1464"/>
      <c r="Z299" s="676"/>
      <c r="AA299" s="676"/>
      <c r="AB299" s="207" t="s">
        <v>750</v>
      </c>
      <c r="AC299" s="304" t="s">
        <v>554</v>
      </c>
      <c r="AD299" s="59" t="s">
        <v>512</v>
      </c>
      <c r="AE299" s="1886"/>
      <c r="AF299" s="1886"/>
      <c r="AG299" s="1886"/>
      <c r="AH299" s="1886"/>
      <c r="AI299" s="243"/>
      <c r="AJ299" s="1886"/>
      <c r="AK299" s="1886"/>
      <c r="AL299" s="1886"/>
      <c r="AM299" s="1886"/>
      <c r="AN299" s="1886"/>
      <c r="AO299" s="1886"/>
      <c r="AP299" s="1886"/>
      <c r="AQ299" s="1886"/>
      <c r="AR299" s="1886"/>
      <c r="AS299" s="243"/>
      <c r="AT299" s="1886"/>
      <c r="AU299" s="1886"/>
      <c r="AV299" s="1886"/>
      <c r="AW299" s="1886"/>
      <c r="AX299" s="1886"/>
      <c r="AY299" s="1886"/>
      <c r="AZ299" s="1886"/>
      <c r="BA299" s="1886"/>
      <c r="BB299" s="1886"/>
      <c r="BC299" s="1887"/>
      <c r="BD299" s="676"/>
      <c r="BE299" s="676"/>
      <c r="BF299" s="998" t="s">
        <v>751</v>
      </c>
    </row>
    <row customHeight="1" ht="14.625">
      <c r="E300" s="611">
        <v>15</v>
      </c>
      <c r="U300" s="388" t="s">
        <v>177</v>
      </c>
      <c r="V300" s="106" t="s">
        <v>756</v>
      </c>
      <c r="AB300" s="483"/>
      <c r="AC300" s="442"/>
      <c r="AD300" s="484"/>
      <c r="AE300" s="933"/>
      <c r="AF300" s="933"/>
      <c r="AG300" s="933"/>
      <c r="AH300" s="933"/>
      <c r="AI300" s="933"/>
      <c r="AJ300" s="933"/>
      <c r="AK300" s="933"/>
      <c r="AL300" s="933"/>
      <c r="AM300" s="933"/>
      <c r="AN300" s="933"/>
      <c r="AO300" s="933"/>
      <c r="AP300" s="933"/>
      <c r="AQ300" s="933"/>
      <c r="AR300" s="933"/>
      <c r="AS300" s="933"/>
      <c r="AT300" s="933"/>
      <c r="AU300" s="933"/>
      <c r="AV300" s="933"/>
      <c r="AW300" s="933"/>
      <c r="AX300" s="933"/>
      <c r="AY300" s="933"/>
      <c r="AZ300" s="933"/>
      <c r="BA300" s="933"/>
      <c r="BB300" s="933"/>
      <c r="BC300" s="934"/>
    </row>
    <row s="676" customFormat="1" customHeight="1" ht="10.96875">
      <c r="B301" s="485"/>
      <c r="E301" s="613">
        <v>11.25</v>
      </c>
      <c r="F301" s="729"/>
      <c r="K301" s="64"/>
      <c r="P301" s="456"/>
      <c r="Q301" s="456"/>
      <c r="R301" s="456"/>
      <c r="S301" s="456"/>
      <c r="T301" s="463"/>
      <c r="U301" s="463"/>
      <c r="V301" s="478"/>
      <c r="W301" s="463"/>
      <c r="X301" s="463"/>
      <c r="Y301" s="463"/>
      <c r="Z301" s="463"/>
      <c r="AA301" s="463"/>
      <c r="AB301" s="1489" t="s">
        <v>398</v>
      </c>
      <c r="AC301" s="1489"/>
      <c r="AD301" s="1489"/>
      <c r="AE301" s="1490"/>
      <c r="AF301" s="1490"/>
      <c r="AG301" s="1490"/>
      <c r="AH301" s="1490"/>
      <c r="AI301" s="1490"/>
      <c r="AJ301" s="1490"/>
      <c r="AK301" s="1490"/>
      <c r="AL301" s="1490"/>
      <c r="AM301" s="1490"/>
      <c r="AN301" s="1490"/>
      <c r="AO301" s="1490"/>
      <c r="AP301" s="1490"/>
      <c r="AQ301" s="1490"/>
      <c r="AR301" s="1490"/>
      <c r="AS301" s="1490"/>
      <c r="AT301" s="1490"/>
      <c r="AU301" s="1490"/>
      <c r="AV301" s="1490"/>
      <c r="AW301" s="1490"/>
      <c r="AX301" s="1490"/>
      <c r="AY301" s="1490"/>
      <c r="AZ301" s="1490"/>
      <c r="BA301" s="1490"/>
      <c r="BB301" s="1490"/>
      <c r="BC301" s="1490"/>
      <c r="BD301" s="463"/>
      <c r="BF301" s="1003"/>
    </row>
    <row customHeight="1" ht="69">
      <c r="E302" s="611">
        <v>15</v>
      </c>
      <c r="T302" s="463"/>
      <c r="U302" s="463"/>
      <c r="V302" s="478"/>
      <c r="W302" s="463"/>
      <c r="X302" s="463"/>
      <c r="Y302" s="463"/>
      <c r="Z302" s="463"/>
      <c r="AA302" s="641"/>
      <c r="AB302" s="1491" t="s">
        <v>757</v>
      </c>
      <c r="AC302" s="1492"/>
      <c r="AD302" s="1492"/>
      <c r="AE302" s="1492"/>
      <c r="AF302" s="1492"/>
      <c r="AG302" s="1492"/>
      <c r="AH302" s="1492"/>
      <c r="AI302" s="1492"/>
      <c r="AJ302" s="2313"/>
      <c r="AK302" s="2313"/>
      <c r="AL302" s="2313"/>
      <c r="AM302" s="2313"/>
      <c r="AN302" s="2313"/>
      <c r="AO302" s="2313"/>
      <c r="AP302" s="2313"/>
      <c r="AQ302" s="2313"/>
      <c r="AR302" s="2313"/>
      <c r="AS302" s="1492"/>
      <c r="AT302" s="2313"/>
      <c r="AU302" s="2313"/>
      <c r="AV302" s="2313"/>
      <c r="AW302" s="2313"/>
      <c r="AX302" s="2313"/>
      <c r="AY302" s="2313"/>
      <c r="AZ302" s="2313"/>
      <c r="BA302" s="2313"/>
      <c r="BB302" s="2313"/>
      <c r="BC302" s="1493"/>
      <c r="BD302" s="463"/>
    </row>
    <row customHeight="1" ht="14.625" hidden="1">
      <c r="A303" s="676"/>
      <c r="B303" s="1176"/>
      <c r="C303" s="676"/>
      <c r="D303" s="676"/>
      <c r="E303" s="611">
        <v>15</v>
      </c>
      <c r="F303" s="729"/>
      <c r="G303" s="676"/>
      <c r="H303" s="676"/>
      <c r="I303" s="676"/>
      <c r="J303" s="676"/>
      <c r="K303" s="676"/>
      <c r="L303" s="676"/>
      <c r="M303" s="676"/>
      <c r="N303" s="676"/>
      <c r="O303" s="676"/>
      <c r="P303" s="1316"/>
      <c r="Q303" s="1316"/>
      <c r="R303" s="1316"/>
      <c r="S303" s="1316"/>
      <c r="T303" s="439">
        <f>ROW(W303)&gt;ROW(W$303)</f>
        <v>0</v>
      </c>
      <c r="U303" s="463"/>
      <c r="V303" s="478"/>
      <c r="W303" s="738" t="s">
        <v>173</v>
      </c>
      <c r="X303" s="463"/>
      <c r="Y303" s="463"/>
      <c r="Z303" s="463"/>
      <c r="AA303" s="642" t="s">
        <v>174</v>
      </c>
      <c r="AB303" s="2314"/>
      <c r="AC303" s="2315"/>
      <c r="AD303" s="2315"/>
      <c r="AE303" s="2315"/>
      <c r="AF303" s="2315"/>
      <c r="AG303" s="2315"/>
      <c r="AH303" s="2315"/>
      <c r="AI303" s="1495"/>
      <c r="AJ303" s="2315"/>
      <c r="AK303" s="2315"/>
      <c r="AL303" s="2315"/>
      <c r="AM303" s="2315"/>
      <c r="AN303" s="2315"/>
      <c r="AO303" s="2315"/>
      <c r="AP303" s="2315"/>
      <c r="AQ303" s="2315"/>
      <c r="AR303" s="2315"/>
      <c r="AS303" s="1495"/>
      <c r="AT303" s="2315"/>
      <c r="AU303" s="2315"/>
      <c r="AV303" s="2315"/>
      <c r="AW303" s="2315"/>
      <c r="AX303" s="2315"/>
      <c r="AY303" s="2315"/>
      <c r="AZ303" s="2315"/>
      <c r="BA303" s="2315"/>
      <c r="BB303" s="2315"/>
      <c r="BC303" s="2317"/>
      <c r="BD303" s="463"/>
      <c r="BE303" s="676"/>
      <c r="BF303" s="1061"/>
    </row>
    <row s="1621" customFormat="1" customHeight="1" ht="64.5">
      <c r="A304" s="676"/>
      <c r="B304" s="1176"/>
      <c r="C304" s="676"/>
      <c r="D304" s="676"/>
      <c r="E304" s="611">
        <v>15</v>
      </c>
      <c r="F304" s="729"/>
      <c r="G304" s="676"/>
      <c r="H304" s="676"/>
      <c r="I304" s="676"/>
      <c r="J304" s="676"/>
      <c r="K304" s="676"/>
      <c r="L304" s="676"/>
      <c r="M304" s="676"/>
      <c r="N304" s="676"/>
      <c r="O304" s="676"/>
      <c r="P304" s="1316"/>
      <c r="Q304" s="1316"/>
      <c r="R304" s="1316"/>
      <c r="S304" s="1316"/>
      <c r="T304" s="439">
        <f>ROW(W304)&gt;ROW(W$303)</f>
        <v>1</v>
      </c>
      <c r="U304" s="463"/>
      <c r="V304" s="478"/>
      <c r="W304" s="738"/>
      <c r="X304" s="463"/>
      <c r="Y304" s="463"/>
      <c r="Z304" s="463" t="s">
        <v>222</v>
      </c>
      <c r="AA304" s="642" t="s">
        <v>174</v>
      </c>
      <c r="AB304" s="1494" t="s">
        <v>758</v>
      </c>
      <c r="AC304" s="1495"/>
      <c r="AD304" s="1495"/>
      <c r="AE304" s="1495"/>
      <c r="AF304" s="1495"/>
      <c r="AG304" s="1495"/>
      <c r="AH304" s="1495"/>
      <c r="AI304" s="1495"/>
      <c r="AJ304" s="1495"/>
      <c r="AK304" s="1495"/>
      <c r="AL304" s="1495"/>
      <c r="AM304" s="1495"/>
      <c r="AN304" s="1495"/>
      <c r="AO304" s="1495"/>
      <c r="AP304" s="1495"/>
      <c r="AQ304" s="1495"/>
      <c r="AR304" s="1495"/>
      <c r="AS304" s="1495"/>
      <c r="AT304" s="1495"/>
      <c r="AU304" s="1495"/>
      <c r="AV304" s="1495"/>
      <c r="AW304" s="1495"/>
      <c r="AX304" s="1495"/>
      <c r="AY304" s="1495"/>
      <c r="AZ304" s="1495"/>
      <c r="BA304" s="1495"/>
      <c r="BB304" s="1495"/>
      <c r="BC304" s="1496"/>
      <c r="BD304" s="463"/>
      <c r="BE304" s="676"/>
      <c r="BF304" s="1061"/>
    </row>
    <row customHeight="1" ht="14.625">
      <c r="E305" s="611">
        <v>15</v>
      </c>
      <c r="T305" s="463"/>
      <c r="U305" s="463"/>
      <c r="V305" s="463"/>
      <c r="W305" s="738" t="s">
        <v>399</v>
      </c>
      <c r="X305" s="463"/>
      <c r="Y305" s="463"/>
      <c r="Z305" s="463"/>
      <c r="AA305" s="463"/>
      <c r="AB305" s="627"/>
      <c r="AC305" s="488" t="s">
        <v>400</v>
      </c>
      <c r="AD305" s="479"/>
      <c r="AE305" s="480"/>
      <c r="AF305" s="480"/>
      <c r="AG305" s="480"/>
      <c r="AH305" s="480"/>
      <c r="AI305" s="480"/>
      <c r="AJ305" s="480"/>
      <c r="AK305" s="480"/>
      <c r="AL305" s="480"/>
      <c r="AM305" s="480"/>
      <c r="AN305" s="480"/>
      <c r="AO305" s="480"/>
      <c r="AP305" s="480"/>
      <c r="AQ305" s="480"/>
      <c r="AR305" s="480"/>
      <c r="AS305" s="480"/>
      <c r="AT305" s="480"/>
      <c r="AU305" s="480"/>
      <c r="AV305" s="480"/>
      <c r="AW305" s="480"/>
      <c r="AX305" s="480"/>
      <c r="AY305" s="480"/>
      <c r="AZ305" s="480"/>
      <c r="BA305" s="480"/>
      <c r="BB305" s="480"/>
      <c r="BC305" s="481"/>
      <c r="BD305" s="463"/>
    </row>
    <row customHeight="1" ht="10.725000000000001">
      <c r="E306" s="611">
        <v>11</v>
      </c>
      <c r="T306" s="463"/>
      <c r="U306" s="463"/>
      <c r="V306" s="463"/>
      <c r="W306" s="463"/>
      <c r="X306" s="463"/>
      <c r="Y306" s="463"/>
      <c r="Z306" s="463"/>
      <c r="AA306" s="463"/>
      <c r="AB306" s="482"/>
      <c r="AC306" s="482"/>
      <c r="AD306" s="482"/>
      <c r="AE306" s="463"/>
      <c r="AF306" s="463"/>
      <c r="AG306" s="463"/>
      <c r="AH306" s="463"/>
      <c r="AI306" s="463"/>
      <c r="AJ306" s="463"/>
      <c r="AK306" s="463"/>
      <c r="AL306" s="463"/>
      <c r="AM306" s="463"/>
      <c r="AN306" s="463"/>
      <c r="AO306" s="463"/>
      <c r="AP306" s="463"/>
      <c r="AQ306" s="463"/>
      <c r="AR306" s="463"/>
      <c r="AS306" s="463"/>
      <c r="AT306" s="463"/>
      <c r="AU306" s="463"/>
      <c r="AV306" s="463"/>
      <c r="AW306" s="463"/>
      <c r="AX306" s="463"/>
      <c r="AY306" s="463"/>
      <c r="AZ306" s="463"/>
      <c r="BA306" s="463"/>
      <c r="BB306" s="463"/>
      <c r="BC306" s="482"/>
      <c r="BD306" s="463"/>
    </row>
  </sheetData>
  <sheetProtection formatColumns="0" formatRows="0" insertRows="0" deleteColumns="0" deleteRows="0" sort="0" autoFilter="0" insertColumns="1"/>
  <mergeCells count="14">
    <mergeCell ref="AB301:BC301"/>
    <mergeCell ref="AB302:BC302"/>
    <mergeCell ref="AB303:BC303"/>
    <mergeCell ref="AD24:AD25"/>
    <mergeCell ref="BC24:BC25"/>
    <mergeCell ref="AB24:AB25"/>
    <mergeCell ref="AC24:AC25"/>
    <mergeCell ref="X27:X117"/>
    <mergeCell ref="Y27:Y117"/>
    <mergeCell ref="X118:X208"/>
    <mergeCell ref="Y118:Y208"/>
    <mergeCell ref="X209:X299"/>
    <mergeCell ref="Y209:Y299"/>
    <mergeCell ref="AB304:BC304"/>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formula1>0</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7E8926-C7F4-B8A2-37A9-9D3D456D0938}" mc:Ignorable="x14ac xr xr2 xr3">
  <sheetPr>
    <tabColor rgb="FF002060"/>
    <outlinePr summaryRight="0" summaryBelow="0"/>
    <pageSetUpPr fitToPage="1"/>
  </sheetPr>
  <dimension ref="A1:AW43"/>
  <sheetViews>
    <sheetView showGridLines="0" workbookViewId="0">
      <pane xSplit="29" ySplit="27" topLeftCell="AD32" activePane="bottomRight" state="frozen"/>
      <selection pane="bottomLeft" activeCell="A28" sqref="A28"/>
      <selection pane="topRight" activeCell="AD1" sqref="AD1"/>
      <selection pane="bottomRight" activeCell="AA21" sqref="AA21"/>
    </sheetView>
  </sheetViews>
  <sheetFormatPr defaultColWidth="8.7109375" customHeight="1" defaultRowHeight="11.25"/>
  <cols>
    <col min="1" max="1" style="1004" width="4.57421875" hidden="1" customWidth="1"/>
    <col min="2" max="2" style="462" width="6.7109375" hidden="1" customWidth="1"/>
    <col min="3" max="3" style="462" width="3.8515625" hidden="1" customWidth="1"/>
    <col min="4" max="4" style="462" width="2.7109375" hidden="1" customWidth="1"/>
    <col min="5" max="5" style="629" width="2.7109375" hidden="1" customWidth="1"/>
    <col min="6" max="6" style="462" width="3.57421875" hidden="1" customWidth="1"/>
    <col min="7" max="19" style="462" width="2.7109375" hidden="1" customWidth="1"/>
    <col min="20" max="20" style="462" width="7.7109375" hidden="1" customWidth="1"/>
    <col min="21" max="21" style="462" width="5.8515625" hidden="1" customWidth="1"/>
    <col min="22" max="22" style="462" width="7.7109375" hidden="1" customWidth="1"/>
    <col min="23"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18.86328125" customWidth="1"/>
    <col min="30" max="30" style="1520" width="13.57421875" customWidth="1"/>
    <col min="31" max="31" style="1520" width="13.00390625" customWidth="1"/>
    <col min="32" max="32" style="1520" width="7.29296875" customWidth="1"/>
    <col min="33" max="35" style="1520" width="17.86328125" customWidth="1"/>
    <col min="36" max="36" style="1520" width="7.43359375" customWidth="1"/>
    <col min="37" max="40" style="1520" width="12.57421875" customWidth="1"/>
    <col min="41" max="42" style="462" width="20.00390625" customWidth="1"/>
    <col min="43" max="43" style="462" width="3.00390625" customWidth="1"/>
    <col min="44" max="44" style="462" width="8.7109375" hidden="1"/>
    <col min="45" max="47" style="1009" width="8.7109375" hidden="1"/>
    <col min="48" max="49" style="629" width="8.7109375" hidden="1"/>
  </cols>
  <sheetData>
    <row customHeight="1" ht="11.25" hidden="1">
      <c r="E1" s="462"/>
      <c r="F1" s="462" t="s">
        <v>313</v>
      </c>
      <c r="H1" s="462" t="s">
        <v>314</v>
      </c>
      <c r="T1" s="2321" t="s">
        <v>92</v>
      </c>
      <c r="U1" s="439" t="s">
        <v>97</v>
      </c>
      <c r="V1" s="439" t="s">
        <v>93</v>
      </c>
      <c r="W1" s="439" t="s">
        <v>94</v>
      </c>
      <c r="X1" s="439" t="s">
        <v>95</v>
      </c>
      <c r="Z1" s="439" t="s">
        <v>99</v>
      </c>
      <c r="AA1" s="439" t="s">
        <v>96</v>
      </c>
      <c r="AB1" s="439" t="s">
        <v>315</v>
      </c>
      <c r="AC1" s="439" t="s">
        <v>98</v>
      </c>
      <c r="AS1" s="1009" t="s">
        <v>316</v>
      </c>
      <c r="AT1" s="1009" t="s">
        <v>317</v>
      </c>
      <c r="AU1" s="1009" t="s">
        <v>318</v>
      </c>
      <c r="AV1" s="629" t="s">
        <v>321</v>
      </c>
      <c r="AW1" s="629" t="s">
        <v>322</v>
      </c>
    </row>
    <row customHeight="1" ht="11.25" hidden="1">
      <c r="B2" s="2322" t="s">
        <v>18</v>
      </c>
      <c r="E2" s="462"/>
    </row>
    <row customHeight="1" ht="11.25" hidden="1">
      <c r="E3" s="462"/>
      <c r="AK3" s="1342" cm="1" t="str">
        <f t="array" ref="AK3:AK3">god</f>
        <v>2026</v>
      </c>
      <c r="AL3" s="515"/>
      <c r="AM3" s="515" cm="1" t="str">
        <f t="array" ref="AM3:AM3">god</f>
        <v>2026</v>
      </c>
      <c r="AN3" s="515"/>
    </row>
    <row customHeight="1" ht="11.25" hidden="1">
      <c r="E4" s="462"/>
      <c r="AK4" s="515"/>
      <c r="AL4" s="515"/>
      <c r="AM4" s="515"/>
      <c r="AN4" s="515"/>
    </row>
    <row s="629" customFormat="1" customHeight="1" ht="11.25" hidden="1">
      <c r="A5" s="1004"/>
      <c r="B5" s="462"/>
      <c r="C5" s="462"/>
      <c r="D5" s="462"/>
      <c r="E5" s="629" t="s">
        <v>19</v>
      </c>
      <c r="AA5" s="629">
        <v>3</v>
      </c>
      <c r="AB5" s="629">
        <v>11.71</v>
      </c>
      <c r="AC5" s="629">
        <v>18.86</v>
      </c>
      <c r="AD5" s="631">
        <v>13.57</v>
      </c>
      <c r="AE5" s="631">
        <v>13</v>
      </c>
      <c r="AF5" s="631">
        <v>7.29</v>
      </c>
      <c r="AG5" s="631">
        <v>17.86</v>
      </c>
      <c r="AH5" s="631">
        <v>17.86</v>
      </c>
      <c r="AI5" s="631">
        <v>17.86</v>
      </c>
      <c r="AJ5" s="631">
        <v>7.43</v>
      </c>
      <c r="AK5" s="1343">
        <v>12.57</v>
      </c>
      <c r="AL5" s="630">
        <v>12.57</v>
      </c>
      <c r="AM5" s="630">
        <v>12.57</v>
      </c>
      <c r="AN5" s="630">
        <v>12.57</v>
      </c>
      <c r="AO5" s="629">
        <v>20</v>
      </c>
      <c r="AP5" s="629">
        <v>20</v>
      </c>
      <c r="AQ5" s="629">
        <v>3</v>
      </c>
      <c r="AS5" s="1009"/>
      <c r="AT5" s="1009"/>
      <c r="AU5" s="1009"/>
    </row>
    <row customHeight="1" ht="11.25" hidden="1">
      <c r="A6" s="1004" t="s">
        <v>324</v>
      </c>
      <c r="AC6" s="462" t="s">
        <v>325</v>
      </c>
      <c r="AD6" s="497" t="s">
        <v>326</v>
      </c>
      <c r="AE6" s="497" t="s">
        <v>327</v>
      </c>
      <c r="AF6" s="497" t="s">
        <v>329</v>
      </c>
      <c r="AG6" s="497" t="s">
        <v>328</v>
      </c>
      <c r="AH6" s="497" t="s">
        <v>491</v>
      </c>
      <c r="AI6" s="497" t="s">
        <v>495</v>
      </c>
      <c r="AJ6" s="497" t="s">
        <v>541</v>
      </c>
      <c r="AK6" s="515" t="s">
        <v>560</v>
      </c>
      <c r="AL6" s="515" t="s">
        <v>759</v>
      </c>
      <c r="AM6" s="515" t="s">
        <v>760</v>
      </c>
      <c r="AN6" s="515" t="s">
        <v>761</v>
      </c>
      <c r="AO6" s="462" t="s">
        <v>762</v>
      </c>
      <c r="AP6" s="462" t="s">
        <v>763</v>
      </c>
    </row>
    <row customHeight="1" ht="11.25" hidden="1">
      <c r="AK7" s="515"/>
      <c r="AL7" s="515"/>
      <c r="AM7" s="515"/>
      <c r="AN7" s="515"/>
    </row>
    <row customHeight="1" ht="11.25" hidden="1">
      <c r="AK8" s="515"/>
      <c r="AL8" s="515"/>
      <c r="AM8" s="515"/>
      <c r="AN8" s="515"/>
    </row>
    <row s="1009" customFormat="1" customHeight="1" ht="11.25" hidden="1">
      <c r="A9" s="1008" t="s">
        <v>764</v>
      </c>
      <c r="AD9" s="1012" cm="1" t="str">
        <f t="array" ref="AD9:AD9">AD24</f>
        <v>Тип материала трубопровода</v>
      </c>
      <c r="AE9" s="1012" cm="1" t="str">
        <f t="array" ref="AE9:AE9">AE24</f>
        <v>Тип грунта</v>
      </c>
      <c r="AF9" s="1012" cm="1" t="str">
        <f t="array" ref="AF9:AF9">AF24</f>
        <v>Глубина грунта, м</v>
      </c>
      <c r="AG9" s="1012" cm="1" t="str">
        <f t="array" ref="AG9:AG9">AG24</f>
        <v>Средняя стоимость строительства 1 км трубопровода, 
тыс. руб.</v>
      </c>
      <c r="AH9" s="1012" cm="1" t="str">
        <f t="array" ref="AH9:AH9">AH24</f>
        <v>Средняя стоимость строительства 1 км трубопровода диаметром 500 мм, тыс.руб.</v>
      </c>
      <c r="AI9" s="1012" cm="1" t="str">
        <f t="array" ref="AI9:AI9">AI24</f>
        <v>Источник информации по средней стоимости строительства</v>
      </c>
      <c r="AJ9" s="1012" cm="1" t="str">
        <f t="array" ref="AJ9:AJ9">AJ24</f>
        <v>Kd</v>
      </c>
      <c r="AK9" s="1010" cm="1" t="str">
        <f t="array" ref="AK9:AK9">AK27</f>
        <v>км</v>
      </c>
      <c r="AL9" s="1010" cm="1" t="str">
        <f t="array" ref="AL9:AL9">AL27</f>
        <v>усл.км</v>
      </c>
      <c r="AM9" s="1010" cm="1" t="str">
        <f t="array" ref="AM9:AM9">AM27</f>
        <v>км</v>
      </c>
      <c r="AN9" s="1010" cm="1" t="str">
        <f t="array" ref="AN9:AN9">AN27</f>
        <v>усл.км</v>
      </c>
      <c r="AO9" s="1012"/>
      <c r="AP9" s="1012"/>
      <c r="AV9" s="629"/>
      <c r="AW9" s="629"/>
    </row>
    <row s="1009" customFormat="1" customHeight="1" ht="11.25" hidden="1">
      <c r="A10" s="1008" t="s">
        <v>360</v>
      </c>
      <c r="AD10" s="1010"/>
      <c r="AE10" s="1010"/>
      <c r="AF10" s="1010"/>
      <c r="AG10" s="1010"/>
      <c r="AH10" s="1010"/>
      <c r="AI10" s="1010"/>
      <c r="AJ10" s="1010"/>
      <c r="AK10" s="1344" cm="1" t="str">
        <f t="array" ref="AK10:AK10">AK26</f>
        <v>Предложение организации</v>
      </c>
      <c r="AL10" s="1011" cm="1" t="str">
        <f t="array" ref="AL10:AL10">AK10</f>
        <v>Предложение организации</v>
      </c>
      <c r="AM10" s="1011" cm="1" t="str">
        <f t="array" ref="AM10:AM10">AM26</f>
        <v>Принято органом регулирования</v>
      </c>
      <c r="AN10" s="1011" cm="1" t="str">
        <f t="array" ref="AN10:AN10">AM10</f>
        <v>Принято органом регулирования</v>
      </c>
      <c r="AV10" s="629"/>
      <c r="AW10" s="629"/>
    </row>
    <row s="1009" customFormat="1" customHeight="1" ht="11.25" hidden="1">
      <c r="A11" s="1008" t="s">
        <v>361</v>
      </c>
      <c r="AD11" s="1010"/>
      <c r="AE11" s="1010"/>
      <c r="AF11" s="1010"/>
      <c r="AG11" s="1010"/>
      <c r="AH11" s="1010"/>
      <c r="AI11" s="1010"/>
      <c r="AJ11" s="1010"/>
      <c r="AK11" s="1011"/>
      <c r="AL11" s="1011"/>
      <c r="AM11" s="1011"/>
      <c r="AN11" s="1011"/>
      <c r="AO11" s="1009" cm="1" t="str">
        <f t="array" ref="AO11:AO11">AO24</f>
        <v>Ссылка на правовую норму (основание для принятия показателя в расчет тарифа)</v>
      </c>
      <c r="AP11" s="1009" cm="1" t="str">
        <f t="array" ref="AP11:AP11">AP24</f>
        <v>Комментарии</v>
      </c>
      <c r="AV11" s="629"/>
      <c r="AW11" s="629"/>
    </row>
    <row s="1009" customFormat="1" customHeight="1" ht="11.25" hidden="1">
      <c r="A12" s="1008" t="s">
        <v>331</v>
      </c>
      <c r="AC12" s="1009" t="s">
        <v>318</v>
      </c>
      <c r="AD12" s="1010"/>
      <c r="AE12" s="1010"/>
      <c r="AF12" s="1010"/>
      <c r="AG12" s="1010"/>
      <c r="AH12" s="1010"/>
      <c r="AI12" s="1010"/>
      <c r="AJ12" s="1010"/>
      <c r="AK12" s="1011"/>
      <c r="AL12" s="1011"/>
      <c r="AM12" s="1011"/>
      <c r="AN12" s="1011"/>
      <c r="AV12" s="629"/>
      <c r="AW12" s="629"/>
    </row>
    <row customHeight="1" ht="11.25" hidden="1">
      <c r="AK13" s="515"/>
      <c r="AL13" s="515"/>
      <c r="AM13" s="515"/>
      <c r="AN13" s="515"/>
    </row>
    <row customHeight="1" ht="11.25" hidden="1">
      <c r="AK14" s="1345"/>
      <c r="AL14" s="1345"/>
      <c r="AM14" s="1345"/>
      <c r="AN14" s="1345"/>
    </row>
    <row customHeight="1" ht="11.25" hidden="1">
      <c r="AK15" s="1345"/>
      <c r="AL15" s="1345"/>
      <c r="AM15" s="1345"/>
      <c r="AN15" s="1345"/>
    </row>
    <row customHeight="1" ht="11.25" hidden="1">
      <c r="AK16" s="1345"/>
      <c r="AL16" s="1345"/>
      <c r="AM16" s="1345"/>
      <c r="AN16" s="1345"/>
    </row>
    <row customHeight="1" ht="11.25" hidden="1">
      <c r="AK17" s="1345"/>
      <c r="AL17" s="1345"/>
      <c r="AM17" s="1345"/>
      <c r="AN17" s="1345"/>
    </row>
    <row customHeight="1" ht="11.25" hidden="1">
      <c r="AC18" s="462" t="s">
        <v>765</v>
      </c>
    </row>
    <row customHeight="1" ht="11.25" hidden="1"/>
    <row customHeight="1" ht="11.25" hidden="1"/>
    <row customHeight="1" ht="14.625">
      <c r="E21" s="629">
        <v>15</v>
      </c>
      <c r="AA21" s="462"/>
      <c r="AC21" s="498" cm="1" t="str">
        <f t="array" ref="AC21:AC21">tpl_title</f>
        <v>Кемеровская область / 2026 / Филиал АО "УК "Кузбассразрезуголь" "Талдинский угольный разрез" (ИНН:4205049090, КПП:423802002) / ДПР: 2024-2028</v>
      </c>
    </row>
    <row customHeight="1" ht="19.5">
      <c r="E22" s="629">
        <v>20</v>
      </c>
      <c r="AB22" s="1346" t="s">
        <v>46</v>
      </c>
      <c r="AC22" s="1347"/>
      <c r="AD22" s="1348"/>
      <c r="AE22" s="1348"/>
      <c r="AF22" s="1348"/>
      <c r="AG22" s="1348"/>
      <c r="AH22" s="1348"/>
      <c r="AI22" s="1348"/>
      <c r="AJ22" s="1348"/>
      <c r="AK22" s="516"/>
      <c r="AL22" s="516"/>
      <c r="AM22" s="516"/>
      <c r="AN22" s="516"/>
      <c r="AO22" s="1349"/>
      <c r="AP22" s="1349"/>
    </row>
    <row customHeight="1" ht="10.96875">
      <c r="E23" s="629">
        <v>11.25</v>
      </c>
      <c r="AB23" s="1497"/>
      <c r="AC23" s="1497"/>
      <c r="AD23" s="1497"/>
      <c r="AE23" s="1497"/>
      <c r="AF23" s="1497"/>
      <c r="AG23" s="1497"/>
      <c r="AH23" s="1497"/>
      <c r="AI23" s="1497"/>
      <c r="AJ23" s="1497"/>
      <c r="AK23" s="1497"/>
      <c r="AL23" s="1497"/>
      <c r="AM23" s="1497"/>
      <c r="AN23" s="499"/>
    </row>
    <row customHeight="1" ht="10.96875">
      <c r="E24" s="629">
        <v>11.25</v>
      </c>
      <c r="AB24" s="1498" t="s">
        <v>766</v>
      </c>
      <c r="AC24" s="1499" t="s">
        <v>767</v>
      </c>
      <c r="AD24" s="1500" t="s">
        <v>768</v>
      </c>
      <c r="AE24" s="1500" t="s">
        <v>769</v>
      </c>
      <c r="AF24" s="1500" t="s">
        <v>770</v>
      </c>
      <c r="AG24" s="1500" t="s">
        <v>771</v>
      </c>
      <c r="AH24" s="1500" t="s">
        <v>772</v>
      </c>
      <c r="AI24" s="1501" t="s">
        <v>773</v>
      </c>
      <c r="AJ24" s="1504" t="s">
        <v>774</v>
      </c>
      <c r="AK24" s="1506" t="s">
        <v>775</v>
      </c>
      <c r="AL24" s="1507"/>
      <c r="AM24" s="1507"/>
      <c r="AN24" s="1508"/>
      <c r="AO24" s="1509" t="s">
        <v>507</v>
      </c>
      <c r="AP24" s="1510" t="s">
        <v>364</v>
      </c>
    </row>
    <row customHeight="1" ht="14.625">
      <c r="E25" s="629">
        <v>15</v>
      </c>
      <c r="AB25" s="1498"/>
      <c r="AC25" s="1500"/>
      <c r="AD25" s="1500"/>
      <c r="AE25" s="1500"/>
      <c r="AF25" s="1500"/>
      <c r="AG25" s="1500"/>
      <c r="AH25" s="1500"/>
      <c r="AI25" s="1502"/>
      <c r="AJ25" s="1505"/>
      <c r="AK25" s="1511" t="str">
        <f>god&amp;" год"</f>
        <v>2026 год</v>
      </c>
      <c r="AL25" s="1512"/>
      <c r="AM25" s="1512"/>
      <c r="AN25" s="1513"/>
      <c r="AO25" s="1510"/>
      <c r="AP25" s="1510"/>
    </row>
    <row customHeight="1" ht="48.75">
      <c r="E26" s="629">
        <v>50</v>
      </c>
      <c r="AB26" s="1498"/>
      <c r="AC26" s="1500"/>
      <c r="AD26" s="1500"/>
      <c r="AE26" s="1500"/>
      <c r="AF26" s="1500"/>
      <c r="AG26" s="1500"/>
      <c r="AH26" s="1500"/>
      <c r="AI26" s="1502"/>
      <c r="AJ26" s="1505"/>
      <c r="AK26" s="1514" t="s">
        <v>357</v>
      </c>
      <c r="AL26" s="1515"/>
      <c r="AM26" s="1510" t="s">
        <v>356</v>
      </c>
      <c r="AN26" s="1510"/>
      <c r="AO26" s="1510"/>
      <c r="AP26" s="1510"/>
    </row>
    <row customHeight="1" ht="13.893750000000002">
      <c r="E27" s="629">
        <v>14.25</v>
      </c>
      <c r="AB27" s="1498"/>
      <c r="AC27" s="1500"/>
      <c r="AD27" s="1500"/>
      <c r="AE27" s="1500"/>
      <c r="AF27" s="1500"/>
      <c r="AG27" s="1500"/>
      <c r="AH27" s="1500"/>
      <c r="AI27" s="1503"/>
      <c r="AJ27" s="1505"/>
      <c r="AK27" s="517" t="s">
        <v>381</v>
      </c>
      <c r="AL27" s="517" t="s">
        <v>776</v>
      </c>
      <c r="AM27" s="517" t="s">
        <v>381</v>
      </c>
      <c r="AN27" s="517" t="s">
        <v>776</v>
      </c>
      <c r="AO27" s="1510"/>
      <c r="AP27" s="1510"/>
    </row>
    <row customHeight="1" ht="11.25" hidden="1">
      <c r="E28" s="629">
        <v>0</v>
      </c>
      <c r="AB28" s="705"/>
      <c r="AC28" s="1203"/>
      <c r="AD28" s="706"/>
      <c r="AE28" s="706"/>
      <c r="AF28" s="706"/>
      <c r="AG28" s="706"/>
      <c r="AH28" s="706"/>
      <c r="AI28" s="1204"/>
      <c r="AJ28" s="1205"/>
      <c r="AK28" s="699"/>
      <c r="AL28" s="699"/>
      <c r="AM28" s="699"/>
      <c r="AN28" s="699"/>
      <c r="AO28" s="699"/>
      <c r="AP28" s="699"/>
    </row>
    <row customHeight="1" ht="14.625" hidden="1">
      <c r="A29" s="1004"/>
      <c r="B29" s="462"/>
      <c r="C29" s="462"/>
      <c r="D29" s="462"/>
      <c r="E29" s="629">
        <v>15</v>
      </c>
      <c r="F29" s="1350" cm="1" t="str">
        <f t="array" ref="F29:F29">X29</f>
        <v>0</v>
      </c>
      <c r="G29" s="462" t="s">
        <v>777</v>
      </c>
      <c r="H29" s="462"/>
      <c r="I29" s="462"/>
      <c r="J29" s="462"/>
      <c r="K29" s="462"/>
      <c r="L29" s="462"/>
      <c r="M29" s="462"/>
      <c r="N29" s="462"/>
      <c r="O29" s="462"/>
      <c r="P29" s="462"/>
      <c r="Q29" s="462"/>
      <c r="R29" s="462"/>
      <c r="S29" s="462"/>
      <c r="T29" s="439">
        <f>X29&gt;0</f>
        <v>0</v>
      </c>
      <c r="U29" s="462"/>
      <c r="V29" s="462" t="s">
        <v>261</v>
      </c>
      <c r="W29" s="462"/>
      <c r="X29" s="1519">
        <v>0</v>
      </c>
      <c r="Y29" s="462"/>
      <c r="Z29" s="1520"/>
      <c r="AA29" s="462"/>
      <c r="AB29" s="1206" cm="1" t="str">
        <f t="array" ref="AB29:AB29">INDEX('Общие сведения'!$AG$179:$AG$222,MATCH($X29,'Общие сведения'!$Z$179:$Z$222,0))</f>
        <v>Тариф 0 () - </v>
      </c>
      <c r="AC29" s="1207"/>
      <c r="AD29" s="147"/>
      <c r="AE29" s="147"/>
      <c r="AF29" s="147"/>
      <c r="AG29" s="147"/>
      <c r="AH29" s="147"/>
      <c r="AI29" s="147"/>
      <c r="AJ29" s="147"/>
      <c r="AK29" s="1208">
        <f>SUM(AK30:AK31)</f>
        <v>0</v>
      </c>
      <c r="AL29" s="518">
        <f>SUM(AL30:AL31)</f>
        <v>0</v>
      </c>
      <c r="AM29" s="518">
        <f>SUM(AM30:AM31)</f>
        <v>0</v>
      </c>
      <c r="AN29" s="518">
        <f>SUM(AN30:AN31)</f>
        <v>0</v>
      </c>
      <c r="AO29" s="1207"/>
      <c r="AP29" s="1207"/>
      <c r="AQ29" s="462"/>
      <c r="AR29" s="462"/>
      <c r="AS29" s="1009"/>
      <c r="AT29" s="1009"/>
      <c r="AU29" s="1009"/>
      <c r="AV29" s="629"/>
      <c r="AW29" s="629"/>
    </row>
    <row customHeight="1" ht="14.625" hidden="1">
      <c r="A30" s="1004"/>
      <c r="B30" s="462"/>
      <c r="C30" s="462"/>
      <c r="D30" s="462"/>
      <c r="E30" s="629">
        <v>15</v>
      </c>
      <c r="F30" s="50" cm="1" t="str">
        <f t="array" ref="F30:F30">OFFSET(E30,-1,1)</f>
        <v>0</v>
      </c>
      <c r="G30" s="462"/>
      <c r="H30" s="462" cm="1" t="str">
        <f t="array" ref="H30:H30">AB30</f>
        <v>0</v>
      </c>
      <c r="I30" s="462"/>
      <c r="J30" s="462"/>
      <c r="K30" s="462"/>
      <c r="L30" s="462"/>
      <c r="M30" s="462"/>
      <c r="N30" s="462"/>
      <c r="O30" s="462"/>
      <c r="P30" s="462"/>
      <c r="Q30" s="462"/>
      <c r="R30" s="462"/>
      <c r="S30" s="462"/>
      <c r="T30" s="439">
        <f>AND(F30&gt;0,AB30&gt;0)</f>
        <v>0</v>
      </c>
      <c r="U30" s="462"/>
      <c r="V30" s="462"/>
      <c r="W30" s="738" t="s">
        <v>173</v>
      </c>
      <c r="X30" s="1519"/>
      <c r="Y30" s="462"/>
      <c r="Z30" s="1520"/>
      <c r="AA30" s="1209" t="s">
        <v>174</v>
      </c>
      <c r="AB30" s="648">
        <v>0</v>
      </c>
      <c r="AC30" s="2334"/>
      <c r="AD30" s="2335"/>
      <c r="AE30" s="2335"/>
      <c r="AF30" s="2336"/>
      <c r="AG30" s="2337"/>
      <c r="AH30" s="2337"/>
      <c r="AI30" s="2338"/>
      <c r="AJ30" s="1215">
        <f>IF(AH30=0,0,AG30/AH30)</f>
        <v>0</v>
      </c>
      <c r="AK30" s="2340"/>
      <c r="AL30" s="2341">
        <f>AK30*$AJ30</f>
        <v>0</v>
      </c>
      <c r="AM30" s="2340"/>
      <c r="AN30" s="521">
        <f>AM30*$AJ30</f>
        <v>0</v>
      </c>
      <c r="AO30" s="2343"/>
      <c r="AP30" s="2343"/>
      <c r="AQ30" s="462"/>
      <c r="AR30" s="462"/>
      <c r="AS30" s="1009" t="s">
        <v>778</v>
      </c>
      <c r="AT30" s="1009" t="s">
        <v>779</v>
      </c>
      <c r="AU30" s="1009" cm="1" t="str">
        <f t="array" ref="AU30:AU30">AC30</f>
        <v>0</v>
      </c>
      <c r="AV30" s="629"/>
      <c r="AW30" s="629" t="b">
        <v>1</v>
      </c>
    </row>
    <row customHeight="1" ht="14.625" hidden="1">
      <c r="A31" s="1004"/>
      <c r="B31" s="462"/>
      <c r="C31" s="1007"/>
      <c r="D31" s="462"/>
      <c r="E31" s="629">
        <v>15</v>
      </c>
      <c r="F31" s="50" cm="1" t="str">
        <f t="array" ref="F31:F31">OFFSET(E31,-1,1)</f>
        <v>0</v>
      </c>
      <c r="G31" s="1007"/>
      <c r="H31" s="462" t="str">
        <f>"!= 0"</f>
        <v>!= 0</v>
      </c>
      <c r="I31" s="462"/>
      <c r="J31" s="462"/>
      <c r="K31" s="462"/>
      <c r="L31" s="462"/>
      <c r="M31" s="462"/>
      <c r="N31" s="462"/>
      <c r="O31" s="462"/>
      <c r="P31" s="462"/>
      <c r="Q31" s="462"/>
      <c r="R31" s="462"/>
      <c r="S31" s="462"/>
      <c r="T31" s="439" cm="1" t="str">
        <f t="array" ref="T31:T31">T29</f>
        <v>false</v>
      </c>
      <c r="U31" s="462"/>
      <c r="V31" s="462"/>
      <c r="W31" s="738" t="s">
        <v>780</v>
      </c>
      <c r="X31" s="1519"/>
      <c r="Y31" s="462"/>
      <c r="Z31" s="1520"/>
      <c r="AA31" s="462"/>
      <c r="AB31" s="1219"/>
      <c r="AC31" s="1220" t="s">
        <v>177</v>
      </c>
      <c r="AD31" s="1351"/>
      <c r="AE31" s="1351"/>
      <c r="AF31" s="1351"/>
      <c r="AG31" s="1351"/>
      <c r="AH31" s="1351"/>
      <c r="AI31" s="1351"/>
      <c r="AJ31" s="1351"/>
      <c r="AK31" s="1351"/>
      <c r="AL31" s="1351"/>
      <c r="AM31" s="1351"/>
      <c r="AN31" s="1351"/>
      <c r="AO31" s="519"/>
      <c r="AP31" s="1221"/>
      <c r="AQ31" s="462"/>
      <c r="AR31" s="462"/>
      <c r="AS31" s="1009"/>
      <c r="AT31" s="1009"/>
      <c r="AU31" s="1009"/>
      <c r="AV31" s="629" t="s">
        <v>779</v>
      </c>
      <c r="AW31" s="629"/>
    </row>
    <row s="1621" customFormat="1" customHeight="1" ht="14.25">
      <c r="A32" s="1004"/>
      <c r="B32" s="462"/>
      <c r="C32" s="462"/>
      <c r="D32" s="462"/>
      <c r="E32" s="629">
        <v>15</v>
      </c>
      <c r="F32" s="1350" cm="1" t="str">
        <f t="array" ref="F32:F32">X32</f>
        <v>1</v>
      </c>
      <c r="G32" s="462" t="s">
        <v>777</v>
      </c>
      <c r="H32" s="462"/>
      <c r="I32" s="462"/>
      <c r="J32" s="462"/>
      <c r="K32" s="462"/>
      <c r="L32" s="462"/>
      <c r="M32" s="462"/>
      <c r="N32" s="462"/>
      <c r="O32" s="462"/>
      <c r="P32" s="462"/>
      <c r="Q32" s="462"/>
      <c r="R32" s="462"/>
      <c r="S32" s="462"/>
      <c r="T32" s="439">
        <f>X32&gt;0</f>
        <v>1</v>
      </c>
      <c r="U32" s="462"/>
      <c r="V32" s="462" cm="1" t="str">
        <f t="array" ref="V32:V32">Баланс!$AB$118</f>
        <v>Тариф 1 (Водоснабжение) - тариф на техническую воду (Оказание услуг на территории: Прокопьевский муниципальный округ (ОКТМО: 32522000) - п Калачево)</v>
      </c>
      <c r="W32" s="462"/>
      <c r="X32" s="1519" t="s">
        <v>272</v>
      </c>
      <c r="Y32" s="462"/>
      <c r="Z32" s="1520"/>
      <c r="AA32" s="462"/>
      <c r="AB32" s="1206" cm="1" t="str">
        <f t="array" ref="AB32:AB32">Баланс!$AB$118</f>
        <v>Тариф 1 (Водоснабжение) - тариф на техническую воду (Оказание услуг на территории: Прокопьевский муниципальный округ (ОКТМО: 32522000) - п Калачево)</v>
      </c>
      <c r="AC32" s="1207"/>
      <c r="AD32" s="147"/>
      <c r="AE32" s="147"/>
      <c r="AF32" s="147"/>
      <c r="AG32" s="147"/>
      <c r="AH32" s="147"/>
      <c r="AI32" s="147"/>
      <c r="AJ32" s="147"/>
      <c r="AK32" s="1208">
        <f>SUM(AK33:AK34)</f>
        <v>0</v>
      </c>
      <c r="AL32" s="518">
        <f>SUM(AL33:AL34)</f>
        <v>0</v>
      </c>
      <c r="AM32" s="518">
        <f>SUM(AM33:AM34)</f>
        <v>0</v>
      </c>
      <c r="AN32" s="518">
        <f>SUM(AN33:AN34)</f>
        <v>0</v>
      </c>
      <c r="AO32" s="1207"/>
      <c r="AP32" s="1207"/>
      <c r="AQ32" s="462"/>
      <c r="AR32" s="462"/>
      <c r="AS32" s="1009"/>
      <c r="AT32" s="1009"/>
      <c r="AU32" s="1009"/>
      <c r="AV32" s="629"/>
      <c r="AW32" s="629"/>
    </row>
    <row s="1621" customFormat="1" customHeight="1" ht="14.25" hidden="1">
      <c r="A33" s="1004"/>
      <c r="B33" s="462"/>
      <c r="C33" s="462"/>
      <c r="D33" s="462"/>
      <c r="E33" s="629">
        <v>15</v>
      </c>
      <c r="F33" s="50" cm="1" t="str">
        <f t="array" ref="F33:F33">OFFSET(E33,-1,1)</f>
        <v>1</v>
      </c>
      <c r="G33" s="462"/>
      <c r="H33" s="462" cm="1" t="str">
        <f t="array" ref="H33:H33">AB33</f>
        <v>0</v>
      </c>
      <c r="I33" s="462"/>
      <c r="J33" s="462"/>
      <c r="K33" s="462"/>
      <c r="L33" s="462"/>
      <c r="M33" s="462"/>
      <c r="N33" s="462"/>
      <c r="O33" s="462"/>
      <c r="P33" s="462"/>
      <c r="Q33" s="462"/>
      <c r="R33" s="462"/>
      <c r="S33" s="462"/>
      <c r="T33" s="439">
        <f>AND(F33&gt;0,AB33&gt;0)</f>
        <v>0</v>
      </c>
      <c r="U33" s="462"/>
      <c r="V33" s="462"/>
      <c r="W33" s="738" t="s">
        <v>173</v>
      </c>
      <c r="X33" s="1519"/>
      <c r="Y33" s="462"/>
      <c r="Z33" s="1520"/>
      <c r="AA33" s="1209" t="s">
        <v>174</v>
      </c>
      <c r="AB33" s="648">
        <v>0</v>
      </c>
      <c r="AC33" s="2334"/>
      <c r="AD33" s="2335"/>
      <c r="AE33" s="2335"/>
      <c r="AF33" s="2336"/>
      <c r="AG33" s="2337"/>
      <c r="AH33" s="2337"/>
      <c r="AI33" s="2338"/>
      <c r="AJ33" s="1215">
        <f>IF(AH33=0,0,AG33/AH33)</f>
        <v>0</v>
      </c>
      <c r="AK33" s="2340"/>
      <c r="AL33" s="2341">
        <f>AK33*$AJ33</f>
        <v>0</v>
      </c>
      <c r="AM33" s="2340"/>
      <c r="AN33" s="521">
        <f>AM33*$AJ33</f>
        <v>0</v>
      </c>
      <c r="AO33" s="2343"/>
      <c r="AP33" s="2343"/>
      <c r="AQ33" s="462"/>
      <c r="AR33" s="462"/>
      <c r="AS33" s="1009" t="s">
        <v>778</v>
      </c>
      <c r="AT33" s="1009" t="s">
        <v>779</v>
      </c>
      <c r="AU33" s="1009" cm="1" t="str">
        <f t="array" ref="AU33:AU33">AC33</f>
        <v>0</v>
      </c>
      <c r="AV33" s="629"/>
      <c r="AW33" s="629" t="b">
        <v>1</v>
      </c>
    </row>
    <row s="1621" customFormat="1" customHeight="1" ht="14.25">
      <c r="A34" s="1004"/>
      <c r="B34" s="462"/>
      <c r="C34" s="1007"/>
      <c r="D34" s="462"/>
      <c r="E34" s="629">
        <v>15</v>
      </c>
      <c r="F34" s="50" cm="1" t="str">
        <f t="array" ref="F34:F34">OFFSET(E34,-1,1)</f>
        <v>1</v>
      </c>
      <c r="G34" s="1007"/>
      <c r="H34" s="462" t="str">
        <f>"!= 0"</f>
        <v>!= 0</v>
      </c>
      <c r="I34" s="462"/>
      <c r="J34" s="462"/>
      <c r="K34" s="462"/>
      <c r="L34" s="462"/>
      <c r="M34" s="462"/>
      <c r="N34" s="462"/>
      <c r="O34" s="462"/>
      <c r="P34" s="462"/>
      <c r="Q34" s="462"/>
      <c r="R34" s="462"/>
      <c r="S34" s="462"/>
      <c r="T34" s="439" cm="1" t="str">
        <f t="array" ref="T34:T34">T32</f>
        <v>true</v>
      </c>
      <c r="U34" s="462"/>
      <c r="V34" s="462"/>
      <c r="W34" s="738" t="s">
        <v>780</v>
      </c>
      <c r="X34" s="1519"/>
      <c r="Y34" s="462"/>
      <c r="Z34" s="1520"/>
      <c r="AA34" s="462"/>
      <c r="AB34" s="1219"/>
      <c r="AC34" s="1220" t="s">
        <v>177</v>
      </c>
      <c r="AD34" s="1351"/>
      <c r="AE34" s="1351"/>
      <c r="AF34" s="1351"/>
      <c r="AG34" s="1351"/>
      <c r="AH34" s="1351"/>
      <c r="AI34" s="1351"/>
      <c r="AJ34" s="1351"/>
      <c r="AK34" s="1351"/>
      <c r="AL34" s="1351"/>
      <c r="AM34" s="1351"/>
      <c r="AN34" s="1351"/>
      <c r="AO34" s="519"/>
      <c r="AP34" s="1221"/>
      <c r="AQ34" s="462"/>
      <c r="AR34" s="462"/>
      <c r="AS34" s="1009"/>
      <c r="AT34" s="1009"/>
      <c r="AU34" s="1009"/>
      <c r="AV34" s="629" t="s">
        <v>779</v>
      </c>
      <c r="AW34" s="629"/>
    </row>
    <row s="1621" customFormat="1" customHeight="1" ht="14.25">
      <c r="A35" s="1004"/>
      <c r="B35" s="462"/>
      <c r="C35" s="462"/>
      <c r="D35" s="462"/>
      <c r="E35" s="629">
        <v>15</v>
      </c>
      <c r="F35" s="1350" cm="1" t="str">
        <f t="array" ref="F35:F35">X35</f>
        <v>2</v>
      </c>
      <c r="G35" s="462" t="s">
        <v>777</v>
      </c>
      <c r="H35" s="462"/>
      <c r="I35" s="462"/>
      <c r="J35" s="462"/>
      <c r="K35" s="462"/>
      <c r="L35" s="462"/>
      <c r="M35" s="462"/>
      <c r="N35" s="462"/>
      <c r="O35" s="462"/>
      <c r="P35" s="462"/>
      <c r="Q35" s="462"/>
      <c r="R35" s="462"/>
      <c r="S35" s="462"/>
      <c r="T35" s="439">
        <f>X35&gt;0</f>
        <v>1</v>
      </c>
      <c r="U35" s="462"/>
      <c r="V35" s="462" cm="1" t="str">
        <f t="array" ref="V35:V35">Баланс!$AB$209</f>
        <v>Тариф 2 (Водоотведение) - тариф на водоотведение (Оказание услуг на территории: Прокопьевский муниципальный округ (ОКТМО: 32522000) - п Калачево)</v>
      </c>
      <c r="W35" s="462"/>
      <c r="X35" s="1519" t="s">
        <v>283</v>
      </c>
      <c r="Y35" s="462"/>
      <c r="Z35" s="1520"/>
      <c r="AA35" s="462"/>
      <c r="AB35" s="1206" cm="1" t="str">
        <f t="array" ref="AB35:AB35">Баланс!$AB$209</f>
        <v>Тариф 2 (Водоотведение) - тариф на водоотведение (Оказание услуг на территории: Прокопьевский муниципальный округ (ОКТМО: 32522000) - п Калачево)</v>
      </c>
      <c r="AC35" s="1207"/>
      <c r="AD35" s="147"/>
      <c r="AE35" s="147"/>
      <c r="AF35" s="147"/>
      <c r="AG35" s="147"/>
      <c r="AH35" s="147"/>
      <c r="AI35" s="147"/>
      <c r="AJ35" s="147"/>
      <c r="AK35" s="1208">
        <f>SUM(AK36:AK37)</f>
        <v>0</v>
      </c>
      <c r="AL35" s="518">
        <f>SUM(AL36:AL37)</f>
        <v>0</v>
      </c>
      <c r="AM35" s="518">
        <f>SUM(AM36:AM37)</f>
        <v>0</v>
      </c>
      <c r="AN35" s="518">
        <f>SUM(AN36:AN37)</f>
        <v>0</v>
      </c>
      <c r="AO35" s="1207"/>
      <c r="AP35" s="1207"/>
      <c r="AQ35" s="462"/>
      <c r="AR35" s="462"/>
      <c r="AS35" s="1009"/>
      <c r="AT35" s="1009"/>
      <c r="AU35" s="1009"/>
      <c r="AV35" s="629"/>
      <c r="AW35" s="629"/>
    </row>
    <row s="1621" customFormat="1" customHeight="1" ht="14.25" hidden="1">
      <c r="A36" s="1004"/>
      <c r="B36" s="462"/>
      <c r="C36" s="462"/>
      <c r="D36" s="462"/>
      <c r="E36" s="629">
        <v>15</v>
      </c>
      <c r="F36" s="50" cm="1" t="str">
        <f t="array" ref="F36:F36">OFFSET(E36,-1,1)</f>
        <v>2</v>
      </c>
      <c r="G36" s="462"/>
      <c r="H36" s="462" cm="1" t="str">
        <f t="array" ref="H36:H36">AB36</f>
        <v>0</v>
      </c>
      <c r="I36" s="462"/>
      <c r="J36" s="462"/>
      <c r="K36" s="462"/>
      <c r="L36" s="462"/>
      <c r="M36" s="462"/>
      <c r="N36" s="462"/>
      <c r="O36" s="462"/>
      <c r="P36" s="462"/>
      <c r="Q36" s="462"/>
      <c r="R36" s="462"/>
      <c r="S36" s="462"/>
      <c r="T36" s="439">
        <f>AND(F36&gt;0,AB36&gt;0)</f>
        <v>0</v>
      </c>
      <c r="U36" s="462"/>
      <c r="V36" s="462"/>
      <c r="W36" s="738" t="s">
        <v>173</v>
      </c>
      <c r="X36" s="1519"/>
      <c r="Y36" s="462"/>
      <c r="Z36" s="1520"/>
      <c r="AA36" s="1209" t="s">
        <v>174</v>
      </c>
      <c r="AB36" s="648">
        <v>0</v>
      </c>
      <c r="AC36" s="2334"/>
      <c r="AD36" s="2335"/>
      <c r="AE36" s="2335"/>
      <c r="AF36" s="2336"/>
      <c r="AG36" s="2337"/>
      <c r="AH36" s="2337"/>
      <c r="AI36" s="2338"/>
      <c r="AJ36" s="1215">
        <f>IF(AH36=0,0,AG36/AH36)</f>
        <v>0</v>
      </c>
      <c r="AK36" s="2340"/>
      <c r="AL36" s="2341">
        <f>AK36*$AJ36</f>
        <v>0</v>
      </c>
      <c r="AM36" s="2340"/>
      <c r="AN36" s="521">
        <f>AM36*$AJ36</f>
        <v>0</v>
      </c>
      <c r="AO36" s="2343"/>
      <c r="AP36" s="2343"/>
      <c r="AQ36" s="462"/>
      <c r="AR36" s="462"/>
      <c r="AS36" s="1009" t="s">
        <v>778</v>
      </c>
      <c r="AT36" s="1009" t="s">
        <v>779</v>
      </c>
      <c r="AU36" s="1009" cm="1" t="str">
        <f t="array" ref="AU36:AU36">AC36</f>
        <v>0</v>
      </c>
      <c r="AV36" s="629"/>
      <c r="AW36" s="629" t="b">
        <v>1</v>
      </c>
    </row>
    <row s="1621" customFormat="1" customHeight="1" ht="14.25">
      <c r="A37" s="1004"/>
      <c r="B37" s="462"/>
      <c r="C37" s="1007"/>
      <c r="D37" s="462"/>
      <c r="E37" s="629">
        <v>15</v>
      </c>
      <c r="F37" s="50" cm="1" t="str">
        <f t="array" ref="F37:F37">OFFSET(E37,-1,1)</f>
        <v>2</v>
      </c>
      <c r="G37" s="1007"/>
      <c r="H37" s="462" t="str">
        <f>"!= 0"</f>
        <v>!= 0</v>
      </c>
      <c r="I37" s="462"/>
      <c r="J37" s="462"/>
      <c r="K37" s="462"/>
      <c r="L37" s="462"/>
      <c r="M37" s="462"/>
      <c r="N37" s="462"/>
      <c r="O37" s="462"/>
      <c r="P37" s="462"/>
      <c r="Q37" s="462"/>
      <c r="R37" s="462"/>
      <c r="S37" s="462"/>
      <c r="T37" s="439" cm="1" t="str">
        <f t="array" ref="T37:T37">T35</f>
        <v>true</v>
      </c>
      <c r="U37" s="462"/>
      <c r="V37" s="462"/>
      <c r="W37" s="738" t="s">
        <v>780</v>
      </c>
      <c r="X37" s="1519"/>
      <c r="Y37" s="462"/>
      <c r="Z37" s="1520"/>
      <c r="AA37" s="462"/>
      <c r="AB37" s="1219"/>
      <c r="AC37" s="1220" t="s">
        <v>177</v>
      </c>
      <c r="AD37" s="1351"/>
      <c r="AE37" s="1351"/>
      <c r="AF37" s="1351"/>
      <c r="AG37" s="1351"/>
      <c r="AH37" s="1351"/>
      <c r="AI37" s="1351"/>
      <c r="AJ37" s="1351"/>
      <c r="AK37" s="1351"/>
      <c r="AL37" s="1351"/>
      <c r="AM37" s="1351"/>
      <c r="AN37" s="1351"/>
      <c r="AO37" s="519"/>
      <c r="AP37" s="1221"/>
      <c r="AQ37" s="462"/>
      <c r="AR37" s="462"/>
      <c r="AS37" s="1009"/>
      <c r="AT37" s="1009"/>
      <c r="AU37" s="1009"/>
      <c r="AV37" s="629" t="s">
        <v>779</v>
      </c>
      <c r="AW37" s="629"/>
    </row>
    <row customHeight="1" ht="10.96875">
      <c r="E38" s="629">
        <v>11.25</v>
      </c>
      <c r="U38" s="1222" t="s">
        <v>177</v>
      </c>
      <c r="V38" s="1223" t="s">
        <v>781</v>
      </c>
      <c r="AB38" s="510"/>
      <c r="AC38" s="511"/>
      <c r="AD38" s="510"/>
      <c r="AE38" s="510"/>
      <c r="AF38" s="510"/>
      <c r="AG38" s="510"/>
      <c r="AH38" s="510"/>
      <c r="AI38" s="510"/>
      <c r="AJ38" s="510"/>
      <c r="AK38" s="512"/>
      <c r="AL38" s="512"/>
    </row>
    <row s="676" customFormat="1" customHeight="1" ht="14.625">
      <c r="A39" s="1006"/>
      <c r="E39" s="630">
        <v>15</v>
      </c>
      <c r="AB39" s="1485" t="s">
        <v>398</v>
      </c>
      <c r="AC39" s="1485"/>
      <c r="AD39" s="1485"/>
      <c r="AE39" s="1485"/>
      <c r="AF39" s="1485"/>
      <c r="AG39" s="1485"/>
      <c r="AH39" s="1485"/>
      <c r="AI39" s="1485"/>
      <c r="AJ39" s="1485"/>
      <c r="AK39" s="1521"/>
      <c r="AL39" s="1521"/>
      <c r="AM39" s="1521"/>
      <c r="AN39" s="1521"/>
      <c r="AO39" s="1522"/>
      <c r="AP39" s="1522"/>
      <c r="AS39" s="1011"/>
      <c r="AT39" s="1011"/>
      <c r="AU39" s="1011"/>
      <c r="AV39" s="630"/>
      <c r="AW39" s="630"/>
    </row>
    <row s="676" customFormat="1" customHeight="1" ht="14.625">
      <c r="A40" s="1006"/>
      <c r="E40" s="630">
        <v>15</v>
      </c>
      <c r="AA40" s="1352"/>
      <c r="AB40" s="1523"/>
      <c r="AC40" s="1523"/>
      <c r="AD40" s="1524"/>
      <c r="AE40" s="1524"/>
      <c r="AF40" s="1524"/>
      <c r="AG40" s="1524"/>
      <c r="AH40" s="1524"/>
      <c r="AI40" s="1524"/>
      <c r="AJ40" s="1524"/>
      <c r="AK40" s="1525"/>
      <c r="AL40" s="1525"/>
      <c r="AM40" s="1525"/>
      <c r="AN40" s="1525"/>
      <c r="AO40" s="1526"/>
      <c r="AP40" s="1526"/>
      <c r="AS40" s="1011"/>
      <c r="AT40" s="1011"/>
      <c r="AU40" s="1011"/>
      <c r="AV40" s="630"/>
      <c r="AW40" s="630"/>
    </row>
    <row s="676" customFormat="1" customHeight="1" ht="14.625" hidden="1">
      <c r="A41" s="1006"/>
      <c r="B41" s="1342"/>
      <c r="C41" s="1342"/>
      <c r="D41" s="1342"/>
      <c r="E41" s="630">
        <v>15</v>
      </c>
      <c r="F41" s="1342"/>
      <c r="G41" s="1342"/>
      <c r="H41" s="1342"/>
      <c r="I41" s="1342"/>
      <c r="J41" s="1342"/>
      <c r="K41" s="1342"/>
      <c r="L41" s="1342"/>
      <c r="M41" s="1342"/>
      <c r="N41" s="1342"/>
      <c r="O41" s="1342"/>
      <c r="P41" s="1342"/>
      <c r="Q41" s="1342"/>
      <c r="R41" s="1342"/>
      <c r="S41" s="1342"/>
      <c r="T41" s="439">
        <f>ROW(Y41)&gt;ROW(Y$41)</f>
        <v>0</v>
      </c>
      <c r="U41" s="1342"/>
      <c r="V41" s="1342"/>
      <c r="W41" s="738" t="s">
        <v>173</v>
      </c>
      <c r="X41" s="1342"/>
      <c r="Y41" s="1342"/>
      <c r="Z41" s="1342"/>
      <c r="AA41" s="1224" t="s">
        <v>174</v>
      </c>
      <c r="AB41" s="2384"/>
      <c r="AC41" s="2385"/>
      <c r="AD41" s="1831"/>
      <c r="AE41" s="1831"/>
      <c r="AF41" s="1831"/>
      <c r="AG41" s="1831"/>
      <c r="AH41" s="1831"/>
      <c r="AI41" s="1831"/>
      <c r="AJ41" s="1831"/>
      <c r="AK41" s="1831"/>
      <c r="AL41" s="1831"/>
      <c r="AM41" s="1831"/>
      <c r="AN41" s="1831"/>
      <c r="AO41" s="2385"/>
      <c r="AP41" s="2386"/>
      <c r="AQ41" s="1342"/>
      <c r="AR41" s="1342"/>
      <c r="AS41" s="1011"/>
      <c r="AT41" s="1011"/>
      <c r="AU41" s="1011"/>
      <c r="AV41" s="630"/>
      <c r="AW41" s="630"/>
    </row>
    <row s="676" customFormat="1" customHeight="1" ht="14.625">
      <c r="A42" s="1006"/>
      <c r="E42" s="630">
        <v>15</v>
      </c>
      <c r="W42" s="738" t="s">
        <v>399</v>
      </c>
      <c r="AB42" s="1353"/>
      <c r="AC42" s="1354" t="s">
        <v>400</v>
      </c>
      <c r="AD42" s="1355"/>
      <c r="AE42" s="1355"/>
      <c r="AF42" s="1355"/>
      <c r="AG42" s="1355"/>
      <c r="AH42" s="1355"/>
      <c r="AI42" s="1355"/>
      <c r="AJ42" s="1355"/>
      <c r="AK42" s="1356"/>
      <c r="AL42" s="1356"/>
      <c r="AM42" s="1356"/>
      <c r="AN42" s="1356"/>
      <c r="AO42" s="2388"/>
      <c r="AP42" s="1357"/>
      <c r="AS42" s="1011"/>
      <c r="AT42" s="1011"/>
      <c r="AU42" s="1011"/>
      <c r="AV42" s="630"/>
      <c r="AW42" s="630"/>
    </row>
    <row customHeight="1" ht="10.725000000000001">
      <c r="E43" s="629">
        <v>11</v>
      </c>
      <c r="AC43" s="513"/>
      <c r="AQ43" s="462"/>
    </row>
  </sheetData>
  <sheetProtection formatColumns="0" formatRows="0" insertRows="0" deleteColumns="0" deleteRows="0" sort="0" autoFilter="0" insertColumns="1"/>
  <mergeCells count="25">
    <mergeCell ref="AB41:AP41"/>
    <mergeCell ref="X29:X31"/>
    <mergeCell ref="Z29:Z31"/>
    <mergeCell ref="AB39:AP39"/>
    <mergeCell ref="AB40:AP40"/>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 ref="X32:X34"/>
    <mergeCell ref="Z32:Z34"/>
    <mergeCell ref="X35:X37"/>
    <mergeCell ref="Z35:Z37"/>
  </mergeCells>
  <dataValidations count="8">
    <dataValidation type="whole" allowBlank="1" showErrorMessage="1" errorTitle="Ошибка" error="Допускается ввод только неотрицательных целых чисел!" sqref="AF30 AF33 AF3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AI36">
      <formula1>ist_info_build_list</formula1>
    </dataValidation>
    <dataValidation type="list" allowBlank="1" showInputMessage="1" showErrorMessage="1" errorTitle="Ошибка" error="Выберите значение из списка" prompt="Выберите значение из списка" sqref="AC3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AE36">
      <formula1>grunt_list</formula1>
    </dataValidation>
    <dataValidation type="decimal" allowBlank="1" showErrorMessage="1" errorTitle="Ошибка" error="Допускается ввод только неотрицательных чисел!" sqref="AH29 AM30 AK30 AG30:AH30 AH32 AG33 AH33 AK33 AM33 AH35 AG36 AH36 AK36 AM36">
      <formula1>0</formula1>
      <formula2>9.99999999999999E+23</formula2>
    </dataValidation>
    <dataValidation type="list" allowBlank="1" showInputMessage="1" showErrorMessage="1" errorTitle="Ошибка" error="Выберите значение из списка" sqref="AC33">
      <formula1>diametr_list_vs</formula1>
    </dataValidation>
    <dataValidation type="list" allowBlank="1" showInputMessage="1" showErrorMessage="1" errorTitle="Ошибка" error="Выберите значение из списка" sqref="AC36">
      <formula1>diametr_list_vo</formula1>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ACC508-24B6-8B04-9648-819006C18E8B}" mc:Ignorable="x14ac xr xr2 xr3">
  <sheetPr>
    <tabColor rgb="FF002060"/>
    <outlinePr summaryRight="0" summaryBelow="0"/>
    <pageSetUpPr fitToPage="1"/>
  </sheetPr>
  <dimension ref="A1:BJ45"/>
  <sheetViews>
    <sheetView showGridLines="0" workbookViewId="0">
      <pane xSplit="30" ySplit="25" topLeftCell="AE31"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3" style="676" width="6.28125" hidden="1" customWidth="1"/>
    <col min="4" max="4" style="676" width="6.140625" hidden="1" customWidth="1"/>
    <col min="5" max="5" style="697" width="3.57421875" hidden="1" customWidth="1"/>
    <col min="6" max="10" style="676" width="3.57421875" hidden="1" customWidth="1"/>
    <col min="11" max="11" style="676" width="7.421875" hidden="1" customWidth="1"/>
    <col min="12" max="12" style="676" width="6.7109375" hidden="1" customWidth="1"/>
    <col min="13" max="19" style="676" width="3.57421875" hidden="1" customWidth="1"/>
    <col min="20" max="20" style="676" width="10.00390625" hidden="1" customWidth="1"/>
    <col min="21" max="26" style="676" width="6.8515625" hidden="1" customWidth="1"/>
    <col min="27" max="27" style="676" width="3.00390625" customWidth="1"/>
    <col min="28" max="28" style="676" width="9.7109375" customWidth="1"/>
    <col min="29" max="29" style="676" width="20.00390625" customWidth="1"/>
    <col min="30" max="30" style="676" width="8.57421875" customWidth="1"/>
    <col min="31" max="35" style="676" width="12.57421875" customWidth="1"/>
    <col min="36" max="44" style="676" width="12.57421875" hidden="1" customWidth="1"/>
    <col min="45" max="45" style="676" width="12.57421875" customWidth="1"/>
    <col min="46" max="54" style="676" width="12.57421875" hidden="1" customWidth="1"/>
    <col min="55" max="55" style="676" width="20.003906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313</v>
      </c>
      <c r="G1" s="64" t="s">
        <v>324</v>
      </c>
      <c r="H1" s="64" t="s">
        <v>351</v>
      </c>
      <c r="T1" s="439" t="s">
        <v>92</v>
      </c>
      <c r="U1" s="439" t="s">
        <v>97</v>
      </c>
      <c r="V1" s="439" t="s">
        <v>93</v>
      </c>
      <c r="W1" s="439" t="s">
        <v>94</v>
      </c>
      <c r="X1" s="439" t="s">
        <v>95</v>
      </c>
      <c r="Z1" s="439" t="s">
        <v>99</v>
      </c>
      <c r="AA1" s="441" t="s">
        <v>96</v>
      </c>
      <c r="AB1" s="441" t="s">
        <v>315</v>
      </c>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316</v>
      </c>
      <c r="BG1" s="998" t="s">
        <v>317</v>
      </c>
      <c r="BH1" s="998" t="s">
        <v>318</v>
      </c>
      <c r="BI1" s="611" t="s">
        <v>321</v>
      </c>
      <c r="BJ1" s="611" t="s">
        <v>322</v>
      </c>
    </row>
    <row s="1176" customFormat="1" customHeight="1" ht="11.25" hidden="1">
      <c r="B2" s="418"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AA5" s="611">
        <v>3</v>
      </c>
      <c r="AB5" s="611">
        <v>9.71</v>
      </c>
      <c r="AC5" s="611">
        <v>20</v>
      </c>
      <c r="AD5" s="611">
        <v>8.57</v>
      </c>
      <c r="AE5" s="611">
        <v>12.57</v>
      </c>
      <c r="AF5" s="611">
        <v>12.57</v>
      </c>
      <c r="AG5" s="611">
        <v>12.57</v>
      </c>
      <c r="AH5" s="611">
        <v>12.57</v>
      </c>
      <c r="AI5" s="611">
        <v>12.57</v>
      </c>
      <c r="AJ5" s="611">
        <v>12.57</v>
      </c>
      <c r="AK5" s="611">
        <v>12.57</v>
      </c>
      <c r="AL5" s="611">
        <v>12.57</v>
      </c>
      <c r="AM5" s="611">
        <v>12.57</v>
      </c>
      <c r="AN5" s="611">
        <v>12.57</v>
      </c>
      <c r="AO5" s="611">
        <v>12.57</v>
      </c>
      <c r="AP5" s="611">
        <v>12.57</v>
      </c>
      <c r="AQ5" s="611">
        <v>12.57</v>
      </c>
      <c r="AR5" s="611">
        <v>12.57</v>
      </c>
      <c r="AS5" s="611">
        <v>12.57</v>
      </c>
      <c r="AT5" s="611">
        <v>12.57</v>
      </c>
      <c r="AU5" s="611">
        <v>12.57</v>
      </c>
      <c r="AV5" s="611">
        <v>12.57</v>
      </c>
      <c r="AW5" s="611">
        <v>12.57</v>
      </c>
      <c r="AX5" s="611">
        <v>12.57</v>
      </c>
      <c r="AY5" s="611">
        <v>12.57</v>
      </c>
      <c r="AZ5" s="611">
        <v>12.57</v>
      </c>
      <c r="BA5" s="611">
        <v>12.57</v>
      </c>
      <c r="BB5" s="611">
        <v>12.57</v>
      </c>
      <c r="BC5" s="611">
        <v>20</v>
      </c>
      <c r="BD5" s="611">
        <v>3</v>
      </c>
      <c r="BF5" s="998"/>
      <c r="BG5" s="998"/>
      <c r="BH5" s="998"/>
    </row>
    <row customHeight="1" ht="11.25" hidden="1">
      <c r="A6" s="64" t="s">
        <v>354</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355</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I8" s="676"/>
      <c r="AJ8" s="676"/>
      <c r="AK8" s="676"/>
      <c r="AL8" s="676"/>
      <c r="AM8" s="676"/>
      <c r="AN8" s="676"/>
      <c r="AO8" s="676"/>
      <c r="AP8" s="676"/>
      <c r="AQ8" s="676"/>
      <c r="AR8" s="676"/>
      <c r="AS8" s="676"/>
      <c r="AT8" s="676"/>
      <c r="AU8" s="676"/>
      <c r="AV8" s="676"/>
      <c r="AW8" s="676"/>
      <c r="AX8" s="676"/>
      <c r="AY8" s="676"/>
      <c r="AZ8" s="676"/>
      <c r="BA8" s="676"/>
      <c r="BB8" s="676"/>
    </row>
    <row s="1061" customFormat="1" customHeight="1" ht="11.25" hidden="1">
      <c r="A9" s="998" t="s">
        <v>359</v>
      </c>
      <c r="B9" s="999"/>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360</v>
      </c>
      <c r="B10" s="999"/>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361</v>
      </c>
      <c r="B11" s="999"/>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331</v>
      </c>
      <c r="B12" s="999"/>
      <c r="AC12" s="998" t="s">
        <v>318</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332</v>
      </c>
      <c r="AC18" s="64" t="s">
        <v>194</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Филиал АО "УК "Кузбассразрезуголь" "Талдинский угольный разрез" (ИНН:4205049090, КПП:423802002) / ДПР: 2024-2028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4.625">
      <c r="B22" s="400"/>
      <c r="E22" s="612">
        <v>15</v>
      </c>
      <c r="AB22" s="287" t="s">
        <v>782</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F22" s="1001"/>
      <c r="BG22" s="1001"/>
      <c r="BH22" s="1001"/>
      <c r="BI22" s="612"/>
      <c r="BJ22" s="612"/>
    </row>
    <row s="1168" customFormat="1" customHeight="1" ht="10.96875">
      <c r="B23" s="400"/>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E24" s="609">
        <v>15</v>
      </c>
      <c r="AB24" s="1527" t="s">
        <v>21</v>
      </c>
      <c r="AC24" s="1527" t="s">
        <v>362</v>
      </c>
      <c r="AD24" s="1527" t="s">
        <v>363</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507</v>
      </c>
      <c r="BF24" s="996"/>
      <c r="BG24" s="996"/>
      <c r="BH24" s="996"/>
      <c r="BI24" s="609"/>
      <c r="BJ24" s="609"/>
    </row>
    <row s="1187" customFormat="1" customHeight="1" ht="48.75">
      <c r="B25" s="402"/>
      <c r="E25" s="609">
        <v>50</v>
      </c>
      <c r="F25" s="110" t="s">
        <v>365</v>
      </c>
      <c r="AB25" s="1527"/>
      <c r="AC25" s="1527"/>
      <c r="AD25" s="1527"/>
      <c r="AE25" s="58" t="s">
        <v>356</v>
      </c>
      <c r="AF25" s="1103" t="s">
        <v>431</v>
      </c>
      <c r="AG25" s="58" t="s">
        <v>432</v>
      </c>
      <c r="AH25" s="58" t="s">
        <v>356</v>
      </c>
      <c r="AI25" s="1107" t="s">
        <v>357</v>
      </c>
      <c r="AJ25" s="1107" t="s">
        <v>357</v>
      </c>
      <c r="AK25" s="1107" t="s">
        <v>357</v>
      </c>
      <c r="AL25" s="1107" t="s">
        <v>357</v>
      </c>
      <c r="AM25" s="1107" t="s">
        <v>357</v>
      </c>
      <c r="AN25" s="1107" t="s">
        <v>357</v>
      </c>
      <c r="AO25" s="1107" t="s">
        <v>357</v>
      </c>
      <c r="AP25" s="1107" t="s">
        <v>357</v>
      </c>
      <c r="AQ25" s="1107" t="s">
        <v>357</v>
      </c>
      <c r="AR25" s="1107" t="s">
        <v>357</v>
      </c>
      <c r="AS25" s="327" t="s">
        <v>356</v>
      </c>
      <c r="AT25" s="327" t="s">
        <v>356</v>
      </c>
      <c r="AU25" s="327" t="s">
        <v>356</v>
      </c>
      <c r="AV25" s="327" t="s">
        <v>356</v>
      </c>
      <c r="AW25" s="327" t="s">
        <v>356</v>
      </c>
      <c r="AX25" s="327" t="s">
        <v>356</v>
      </c>
      <c r="AY25" s="327" t="s">
        <v>356</v>
      </c>
      <c r="AZ25" s="327" t="s">
        <v>356</v>
      </c>
      <c r="BA25" s="327" t="s">
        <v>356</v>
      </c>
      <c r="BB25" s="327" t="s">
        <v>356</v>
      </c>
      <c r="BC25" s="1486"/>
      <c r="BF25" s="996"/>
      <c r="BG25" s="996"/>
      <c r="BH25" s="996"/>
      <c r="BI25" s="609"/>
      <c r="BJ25" s="609"/>
    </row>
    <row s="1621" customFormat="1" customHeight="1" ht="11.25" hidden="1">
      <c r="A26" s="473"/>
      <c r="B26" s="638"/>
      <c r="C26" s="473"/>
      <c r="D26" s="473"/>
      <c r="E26" s="639">
        <v>0</v>
      </c>
      <c r="F26" s="456"/>
      <c r="G26" s="473"/>
      <c r="H26" s="473"/>
      <c r="I26" s="473"/>
      <c r="J26" s="473"/>
      <c r="K26" s="473"/>
      <c r="L26" s="473"/>
      <c r="M26" s="473"/>
      <c r="N26" s="473"/>
      <c r="O26" s="473"/>
      <c r="P26" s="473"/>
      <c r="Q26" s="473"/>
      <c r="R26" s="473"/>
      <c r="S26" s="473"/>
      <c r="T26" s="473"/>
      <c r="U26" s="473"/>
      <c r="V26" s="473"/>
      <c r="W26" s="473"/>
      <c r="X26" s="473"/>
      <c r="Y26" s="473"/>
      <c r="Z26" s="473"/>
      <c r="AA26" s="473"/>
      <c r="AC26" s="66"/>
      <c r="AD26" s="66"/>
      <c r="AE26" s="66"/>
      <c r="AF26" s="66"/>
      <c r="AI26" s="1621"/>
      <c r="AJ26" s="1621"/>
      <c r="AK26" s="1621"/>
      <c r="AL26" s="1621"/>
      <c r="AM26" s="1621"/>
      <c r="AN26" s="1621"/>
      <c r="AO26" s="1621"/>
      <c r="AP26" s="1621"/>
      <c r="AQ26" s="67"/>
      <c r="AR26" s="1621"/>
      <c r="AS26" s="1621"/>
      <c r="AT26" s="1621"/>
      <c r="AU26" s="1621"/>
      <c r="AV26" s="1621"/>
      <c r="AW26" s="1621"/>
      <c r="AX26" s="1621"/>
      <c r="AY26" s="1621"/>
      <c r="AZ26" s="1621"/>
      <c r="BA26" s="1621"/>
      <c r="BB26" s="1621"/>
      <c r="BF26" s="987"/>
      <c r="BG26" s="987"/>
      <c r="BH26" s="987"/>
      <c r="BI26" s="603"/>
      <c r="BJ26" s="603"/>
    </row>
    <row s="1187" customFormat="1" customHeight="1" ht="14.625" hidden="1">
      <c r="A27" s="1187"/>
      <c r="B27" s="402"/>
      <c r="C27" s="1187"/>
      <c r="D27" s="1187"/>
      <c r="E27" s="609">
        <v>15</v>
      </c>
      <c r="F27" s="316" cm="1" t="str">
        <f t="array" ref="F27:F27">X27</f>
        <v>0</v>
      </c>
      <c r="G27" s="112"/>
      <c r="H27" s="112"/>
      <c r="I27" s="1187"/>
      <c r="J27" s="1187"/>
      <c r="K27" s="1187"/>
      <c r="L27" s="1187"/>
      <c r="M27" s="1187"/>
      <c r="N27" s="1187"/>
      <c r="O27" s="1187"/>
      <c r="P27" s="1187"/>
      <c r="Q27" s="1187"/>
      <c r="R27" s="1187"/>
      <c r="S27" s="1187"/>
      <c r="T27" s="439">
        <f>X27&gt;0</f>
        <v>0</v>
      </c>
      <c r="U27" s="1187"/>
      <c r="V27" s="110" t="s">
        <v>261</v>
      </c>
      <c r="W27" s="1187"/>
      <c r="X27" s="1462">
        <v>0</v>
      </c>
      <c r="Y27" s="1187"/>
      <c r="Z27" s="1484"/>
      <c r="AA27" s="1187"/>
      <c r="AB27" s="150" cm="1" t="str">
        <f t="array" ref="AB27:AB27">INDEX('Общие сведения'!$AG$179:$AG$222,MATCH($X27,'Общие сведения'!$Z$179:$Z$222,0))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4.625" hidden="1">
      <c r="A28" s="1484"/>
      <c r="B28" s="402"/>
      <c r="C28" s="1484"/>
      <c r="D28" s="457"/>
      <c r="E28" s="234">
        <v>15</v>
      </c>
      <c r="F28" s="50" cm="1" t="str">
        <f t="array" ref="F28:F28">OFFSET(E28,-1,1)</f>
        <v>0</v>
      </c>
      <c r="G28" s="1484"/>
      <c r="H28" s="112" cm="1" t="str">
        <f t="array" ref="H28:H28">AC28</f>
        <v>Всего по тарифу</v>
      </c>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111"/>
      <c r="AC28" s="104" t="s">
        <v>783</v>
      </c>
      <c r="AD28" s="59" t="s">
        <v>784</v>
      </c>
      <c r="AE28" s="108">
        <f>SUM(AE29:AE30)</f>
        <v>0</v>
      </c>
      <c r="AF28" s="108">
        <f>SUM(AF29:AF30)</f>
        <v>0</v>
      </c>
      <c r="AG28" s="108">
        <f>SUM(AG29:AG30)</f>
        <v>0</v>
      </c>
      <c r="AH28" s="108">
        <f>SUM(AH29:AH30)</f>
        <v>0</v>
      </c>
      <c r="AI28" s="108">
        <f>SUM(AI29:AI30)</f>
        <v>0</v>
      </c>
      <c r="AJ28" s="108">
        <f>SUM(AJ29:AJ30)</f>
        <v>0</v>
      </c>
      <c r="AK28" s="108">
        <f>SUM(AK29:AK30)</f>
        <v>0</v>
      </c>
      <c r="AL28" s="108">
        <f>SUM(AL29:AL30)</f>
        <v>0</v>
      </c>
      <c r="AM28" s="108">
        <f>SUM(AM29:AM30)</f>
        <v>0</v>
      </c>
      <c r="AN28" s="108">
        <f>SUM(AN29:AN30)</f>
        <v>0</v>
      </c>
      <c r="AO28" s="108">
        <f>SUM(AO29:AO30)</f>
        <v>0</v>
      </c>
      <c r="AP28" s="108">
        <f>SUM(AP29:AP30)</f>
        <v>0</v>
      </c>
      <c r="AQ28" s="108">
        <f>SUM(AQ29:AQ30)</f>
        <v>0</v>
      </c>
      <c r="AR28" s="108">
        <f>SUM(AR29:AR30)</f>
        <v>0</v>
      </c>
      <c r="AS28" s="108">
        <f>SUM(AS29:AS30)</f>
        <v>0</v>
      </c>
      <c r="AT28" s="108">
        <f>SUM(AT29:AT30)</f>
        <v>0</v>
      </c>
      <c r="AU28" s="108">
        <f>SUM(AU29:AU30)</f>
        <v>0</v>
      </c>
      <c r="AV28" s="108">
        <f>SUM(AV29:AV30)</f>
        <v>0</v>
      </c>
      <c r="AW28" s="108">
        <f>SUM(AW29:AW30)</f>
        <v>0</v>
      </c>
      <c r="AX28" s="108">
        <f>SUM(AX29:AX30)</f>
        <v>0</v>
      </c>
      <c r="AY28" s="108">
        <f>SUM(AY29:AY30)</f>
        <v>0</v>
      </c>
      <c r="AZ28" s="108">
        <f>SUM(AZ29:AZ30)</f>
        <v>0</v>
      </c>
      <c r="BA28" s="108">
        <f>SUM(BA29:BA30)</f>
        <v>0</v>
      </c>
      <c r="BB28" s="108">
        <f>SUM(BB29:BB30)</f>
        <v>0</v>
      </c>
      <c r="BC28" s="1887"/>
      <c r="BD28" s="1484"/>
      <c r="BE28" s="1484"/>
      <c r="BF28" s="1014" t="s">
        <v>785</v>
      </c>
      <c r="BG28" s="1014"/>
      <c r="BH28" s="1014"/>
      <c r="BI28" s="234"/>
      <c r="BJ28" s="234"/>
    </row>
    <row s="1484" customFormat="1" customHeight="1" ht="14.625" hidden="1">
      <c r="A29" s="1484"/>
      <c r="B29" s="402"/>
      <c r="C29" s="1484"/>
      <c r="D29" s="1484"/>
      <c r="E29" s="234">
        <v>15</v>
      </c>
      <c r="F29" s="50" cm="1" t="str">
        <f t="array" ref="F29:F29">OFFSET(E29,-1,1)</f>
        <v>0</v>
      </c>
      <c r="G29" s="112" t="s">
        <v>325</v>
      </c>
      <c r="H29" s="112" cm="1" t="str">
        <f t="array" ref="H29:H29">AC29</f>
        <v>0</v>
      </c>
      <c r="I29" s="1484"/>
      <c r="J29" s="1484"/>
      <c r="K29" s="1484"/>
      <c r="L29" s="1484"/>
      <c r="M29" s="1484"/>
      <c r="N29" s="1484"/>
      <c r="O29" s="1484"/>
      <c r="P29" s="1484"/>
      <c r="Q29" s="1484"/>
      <c r="R29" s="1484"/>
      <c r="S29" s="1484"/>
      <c r="T29" s="439">
        <f>AND(F29&gt;0,AB29&gt;0)</f>
        <v>0</v>
      </c>
      <c r="U29" s="1484"/>
      <c r="V29" s="1484"/>
      <c r="W29" s="738" t="s">
        <v>173</v>
      </c>
      <c r="X29" s="1462"/>
      <c r="Y29" s="1484"/>
      <c r="Z29" s="1484"/>
      <c r="AA29" s="642" t="s">
        <v>174</v>
      </c>
      <c r="AB29" s="55">
        <v>0</v>
      </c>
      <c r="AC29" s="2399"/>
      <c r="AD29" s="59" t="s">
        <v>784</v>
      </c>
      <c r="AE29" s="1764"/>
      <c r="AF29" s="1764"/>
      <c r="AG29" s="1764"/>
      <c r="AH29" s="1764"/>
      <c r="AI29" s="107"/>
      <c r="AJ29" s="1764"/>
      <c r="AK29" s="1764"/>
      <c r="AL29" s="1764"/>
      <c r="AM29" s="1764"/>
      <c r="AN29" s="1764"/>
      <c r="AO29" s="1764"/>
      <c r="AP29" s="1764"/>
      <c r="AQ29" s="1764"/>
      <c r="AR29" s="1764"/>
      <c r="AS29" s="107"/>
      <c r="AT29" s="1764"/>
      <c r="AU29" s="1764"/>
      <c r="AV29" s="1764"/>
      <c r="AW29" s="1764"/>
      <c r="AX29" s="1764"/>
      <c r="AY29" s="1764"/>
      <c r="AZ29" s="1764"/>
      <c r="BA29" s="1764"/>
      <c r="BB29" s="1764"/>
      <c r="BC29" s="1887"/>
      <c r="BD29" s="1484"/>
      <c r="BE29" s="1484"/>
      <c r="BF29" s="1014" t="s">
        <v>786</v>
      </c>
      <c r="BG29" s="1014" t="s">
        <v>787</v>
      </c>
      <c r="BH29" s="1014" cm="1" t="str">
        <f t="array" ref="BH29:BH29">AC29</f>
        <v>0</v>
      </c>
      <c r="BI29" s="234"/>
      <c r="BJ29" s="234" t="b">
        <v>1</v>
      </c>
    </row>
    <row s="1168" customFormat="1" customHeight="1" ht="14.625" hidden="1">
      <c r="A30" s="1168"/>
      <c r="B30" s="400"/>
      <c r="C30" s="1168"/>
      <c r="D30" s="1168"/>
      <c r="E30" s="612">
        <v>15</v>
      </c>
      <c r="F30" s="50" cm="1" t="str">
        <f t="array" ref="F30:F30">OFFSET(E30,-1,1)</f>
        <v>0</v>
      </c>
      <c r="G30" s="1168"/>
      <c r="H30" s="109" t="str">
        <f>"!== 'Всего по тарифу'"</f>
        <v>!== 'Всего по тарифу'</v>
      </c>
      <c r="I30" s="1168"/>
      <c r="J30" s="1168"/>
      <c r="K30" s="1168"/>
      <c r="L30" s="1168"/>
      <c r="M30" s="1168"/>
      <c r="N30" s="1168"/>
      <c r="O30" s="1168"/>
      <c r="P30" s="1168"/>
      <c r="Q30" s="1168"/>
      <c r="R30" s="1168"/>
      <c r="S30" s="1168"/>
      <c r="T30" s="439" cm="1" t="str">
        <f t="array" ref="T30:T30">T27</f>
        <v>false</v>
      </c>
      <c r="U30" s="1168"/>
      <c r="V30" s="1168"/>
      <c r="W30" s="738" t="s">
        <v>788</v>
      </c>
      <c r="X30" s="1462"/>
      <c r="Y30" s="1168"/>
      <c r="Z30" s="1484"/>
      <c r="AA30" s="1168"/>
      <c r="AB30" s="142"/>
      <c r="AC30" s="145" t="s">
        <v>177</v>
      </c>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54"/>
      <c r="BD30" s="1168"/>
      <c r="BE30" s="1168"/>
      <c r="BF30" s="1001"/>
      <c r="BG30" s="1001"/>
      <c r="BH30" s="1001"/>
      <c r="BI30" s="612" t="s">
        <v>787</v>
      </c>
      <c r="BJ30" s="612"/>
    </row>
    <row s="2402" customFormat="1" customHeight="1" ht="14.25">
      <c r="A31" s="1187"/>
      <c r="B31" s="402"/>
      <c r="C31" s="1187"/>
      <c r="D31" s="1187"/>
      <c r="E31" s="609">
        <v>15</v>
      </c>
      <c r="F31" s="316" cm="1" t="str">
        <f t="array" ref="F31:F31">X31</f>
        <v>1</v>
      </c>
      <c r="G31" s="112"/>
      <c r="H31" s="112"/>
      <c r="I31" s="1187"/>
      <c r="J31" s="1187"/>
      <c r="K31" s="1187"/>
      <c r="L31" s="1187"/>
      <c r="M31" s="1187"/>
      <c r="N31" s="1187"/>
      <c r="O31" s="1187"/>
      <c r="P31" s="1187"/>
      <c r="Q31" s="1187"/>
      <c r="R31" s="1187"/>
      <c r="S31" s="1187"/>
      <c r="T31" s="439">
        <f>X31&gt;0</f>
        <v>1</v>
      </c>
      <c r="U31" s="1187"/>
      <c r="V31" s="110" cm="1" t="str">
        <f t="array" ref="V31:V31">'Условные метры'!$AB$32</f>
        <v>Тариф 1 (Водоснабжение) - тариф на техническую воду (Оказание услуг на территории: Прокопьевский муниципальный округ (ОКТМО: 32522000) - п Калачево)</v>
      </c>
      <c r="W31" s="1187"/>
      <c r="X31" s="1462" t="s">
        <v>272</v>
      </c>
      <c r="Y31" s="1187"/>
      <c r="Z31" s="1484"/>
      <c r="AA31" s="1187"/>
      <c r="AB31" s="150" cm="1" t="str">
        <f t="array" ref="AB31:AB31">'Условные метры'!$AB$32</f>
        <v>Тариф 1 (Водоснабжение) - тариф на техническую воду (Оказание услуг на территории: Прокопьевский муниципальный округ (ОКТМО: 32522000) - п Калачево)</v>
      </c>
      <c r="AC31" s="147"/>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187"/>
      <c r="BE31" s="1187"/>
      <c r="BF31" s="996"/>
      <c r="BG31" s="996"/>
      <c r="BH31" s="996"/>
      <c r="BI31" s="609"/>
      <c r="BJ31" s="609"/>
    </row>
    <row s="1190" customFormat="1" customHeight="1" ht="14.25">
      <c r="A32" s="1484"/>
      <c r="B32" s="402"/>
      <c r="C32" s="1484"/>
      <c r="D32" s="457"/>
      <c r="E32" s="234">
        <v>15</v>
      </c>
      <c r="F32" s="50" cm="1" t="str">
        <f t="array" ref="F32:F32">OFFSET(E32,-1,1)</f>
        <v>1</v>
      </c>
      <c r="G32" s="1484"/>
      <c r="H32" s="112" cm="1" t="str">
        <f t="array" ref="H32:H32">AC32</f>
        <v>Всего по тарифу</v>
      </c>
      <c r="I32" s="1484"/>
      <c r="J32" s="1484"/>
      <c r="K32" s="457" t="str">
        <f>F32&amp;"komm"</f>
        <v>1komm</v>
      </c>
      <c r="L32" s="899" cm="1" t="str">
        <f t="array" ref="L32:L32">BC32</f>
        <v>0</v>
      </c>
      <c r="M32" s="1484"/>
      <c r="N32" s="1484"/>
      <c r="O32" s="1484"/>
      <c r="P32" s="1484"/>
      <c r="Q32" s="1484"/>
      <c r="R32" s="1484"/>
      <c r="S32" s="1484"/>
      <c r="T32" s="439" cm="1" t="str">
        <f t="array" ref="T32:T32">T31</f>
        <v>true</v>
      </c>
      <c r="U32" s="1484"/>
      <c r="V32" s="1484"/>
      <c r="W32" s="1484"/>
      <c r="X32" s="1462"/>
      <c r="Y32" s="1484"/>
      <c r="Z32" s="1484"/>
      <c r="AA32" s="1484"/>
      <c r="AB32" s="111"/>
      <c r="AC32" s="104" t="s">
        <v>783</v>
      </c>
      <c r="AD32" s="59" t="s">
        <v>784</v>
      </c>
      <c r="AE32" s="108">
        <f>SUM(AE33:AE34)</f>
        <v>0</v>
      </c>
      <c r="AF32" s="108">
        <f>SUM(AF33:AF34)</f>
        <v>0</v>
      </c>
      <c r="AG32" s="108">
        <f>SUM(AG33:AG34)</f>
        <v>0</v>
      </c>
      <c r="AH32" s="108">
        <f>SUM(AH33:AH34)</f>
        <v>0</v>
      </c>
      <c r="AI32" s="108">
        <f>SUM(AI33:AI34)</f>
        <v>0</v>
      </c>
      <c r="AJ32" s="108">
        <f>SUM(AJ33:AJ34)</f>
        <v>0</v>
      </c>
      <c r="AK32" s="108">
        <f>SUM(AK33:AK34)</f>
        <v>0</v>
      </c>
      <c r="AL32" s="108">
        <f>SUM(AL33:AL34)</f>
        <v>0</v>
      </c>
      <c r="AM32" s="108">
        <f>SUM(AM33:AM34)</f>
        <v>0</v>
      </c>
      <c r="AN32" s="108">
        <f>SUM(AN33:AN34)</f>
        <v>0</v>
      </c>
      <c r="AO32" s="108">
        <f>SUM(AO33:AO34)</f>
        <v>0</v>
      </c>
      <c r="AP32" s="108">
        <f>SUM(AP33:AP34)</f>
        <v>0</v>
      </c>
      <c r="AQ32" s="108">
        <f>SUM(AQ33:AQ34)</f>
        <v>0</v>
      </c>
      <c r="AR32" s="108">
        <f>SUM(AR33:AR34)</f>
        <v>0</v>
      </c>
      <c r="AS32" s="108">
        <f>SUM(AS33:AS34)</f>
        <v>0</v>
      </c>
      <c r="AT32" s="108">
        <f>SUM(AT33:AT34)</f>
        <v>0</v>
      </c>
      <c r="AU32" s="108">
        <f>SUM(AU33:AU34)</f>
        <v>0</v>
      </c>
      <c r="AV32" s="108">
        <f>SUM(AV33:AV34)</f>
        <v>0</v>
      </c>
      <c r="AW32" s="108">
        <f>SUM(AW33:AW34)</f>
        <v>0</v>
      </c>
      <c r="AX32" s="108">
        <f>SUM(AX33:AX34)</f>
        <v>0</v>
      </c>
      <c r="AY32" s="108">
        <f>SUM(AY33:AY34)</f>
        <v>0</v>
      </c>
      <c r="AZ32" s="108">
        <f>SUM(AZ33:AZ34)</f>
        <v>0</v>
      </c>
      <c r="BA32" s="108">
        <f>SUM(BA33:BA34)</f>
        <v>0</v>
      </c>
      <c r="BB32" s="108">
        <f>SUM(BB33:BB34)</f>
        <v>0</v>
      </c>
      <c r="BC32" s="167"/>
      <c r="BD32" s="1484"/>
      <c r="BE32" s="1484"/>
      <c r="BF32" s="1014" t="s">
        <v>785</v>
      </c>
      <c r="BG32" s="1014"/>
      <c r="BH32" s="1014"/>
      <c r="BI32" s="234"/>
      <c r="BJ32" s="234"/>
    </row>
    <row s="1190" customFormat="1" customHeight="1" ht="14.25" hidden="1">
      <c r="A33" s="1484"/>
      <c r="B33" s="402"/>
      <c r="C33" s="1484"/>
      <c r="D33" s="1484"/>
      <c r="E33" s="234">
        <v>15</v>
      </c>
      <c r="F33" s="50" cm="1" t="str">
        <f t="array" ref="F33:F33">OFFSET(E33,-1,1)</f>
        <v>1</v>
      </c>
      <c r="G33" s="112" t="s">
        <v>325</v>
      </c>
      <c r="H33" s="112" cm="1" t="str">
        <f t="array" ref="H33:H33">AC33</f>
        <v>0</v>
      </c>
      <c r="I33" s="1484"/>
      <c r="J33" s="1484"/>
      <c r="K33" s="1484"/>
      <c r="L33" s="1484"/>
      <c r="M33" s="1484"/>
      <c r="N33" s="1484"/>
      <c r="O33" s="1484"/>
      <c r="P33" s="1484"/>
      <c r="Q33" s="1484"/>
      <c r="R33" s="1484"/>
      <c r="S33" s="1484"/>
      <c r="T33" s="439">
        <f>AND(F33&gt;0,AB33&gt;0)</f>
        <v>0</v>
      </c>
      <c r="U33" s="1484"/>
      <c r="V33" s="1484"/>
      <c r="W33" s="738" t="s">
        <v>173</v>
      </c>
      <c r="X33" s="1462"/>
      <c r="Y33" s="1484"/>
      <c r="Z33" s="1484"/>
      <c r="AA33" s="642" t="s">
        <v>174</v>
      </c>
      <c r="AB33" s="55">
        <v>0</v>
      </c>
      <c r="AC33" s="2399"/>
      <c r="AD33" s="59" t="s">
        <v>784</v>
      </c>
      <c r="AE33" s="1764"/>
      <c r="AF33" s="1764"/>
      <c r="AG33" s="1764"/>
      <c r="AH33" s="1764"/>
      <c r="AI33" s="107"/>
      <c r="AJ33" s="1764"/>
      <c r="AK33" s="1764"/>
      <c r="AL33" s="1764"/>
      <c r="AM33" s="1764"/>
      <c r="AN33" s="1764"/>
      <c r="AO33" s="1764"/>
      <c r="AP33" s="1764"/>
      <c r="AQ33" s="1764"/>
      <c r="AR33" s="1764"/>
      <c r="AS33" s="107"/>
      <c r="AT33" s="1764"/>
      <c r="AU33" s="1764"/>
      <c r="AV33" s="1764"/>
      <c r="AW33" s="1764"/>
      <c r="AX33" s="1764"/>
      <c r="AY33" s="1764"/>
      <c r="AZ33" s="1764"/>
      <c r="BA33" s="1764"/>
      <c r="BB33" s="1764"/>
      <c r="BC33" s="1887"/>
      <c r="BD33" s="1484"/>
      <c r="BE33" s="1484"/>
      <c r="BF33" s="1014" t="s">
        <v>786</v>
      </c>
      <c r="BG33" s="1014" t="s">
        <v>787</v>
      </c>
      <c r="BH33" s="1014" cm="1" t="str">
        <f t="array" ref="BH33:BH33">AC33</f>
        <v>0</v>
      </c>
      <c r="BI33" s="234"/>
      <c r="BJ33" s="234" t="b">
        <v>1</v>
      </c>
    </row>
    <row s="1168" customFormat="1" customHeight="1" ht="14.25">
      <c r="A34" s="1168"/>
      <c r="B34" s="400"/>
      <c r="C34" s="1168"/>
      <c r="D34" s="1168"/>
      <c r="E34" s="612">
        <v>15</v>
      </c>
      <c r="F34" s="50" cm="1" t="str">
        <f t="array" ref="F34:F34">OFFSET(E34,-1,1)</f>
        <v>1</v>
      </c>
      <c r="G34" s="1168"/>
      <c r="H34" s="109" t="str">
        <f>"!== 'Всего по тарифу'"</f>
        <v>!== 'Всего по тарифу'</v>
      </c>
      <c r="I34" s="1168"/>
      <c r="J34" s="1168"/>
      <c r="K34" s="1168"/>
      <c r="L34" s="1168"/>
      <c r="M34" s="1168"/>
      <c r="N34" s="1168"/>
      <c r="O34" s="1168"/>
      <c r="P34" s="1168"/>
      <c r="Q34" s="1168"/>
      <c r="R34" s="1168"/>
      <c r="S34" s="1168"/>
      <c r="T34" s="439" cm="1" t="str">
        <f t="array" ref="T34:T34">T31</f>
        <v>true</v>
      </c>
      <c r="U34" s="1168"/>
      <c r="V34" s="1168"/>
      <c r="W34" s="738" t="s">
        <v>788</v>
      </c>
      <c r="X34" s="1462"/>
      <c r="Y34" s="1168"/>
      <c r="Z34" s="1484"/>
      <c r="AA34" s="1168"/>
      <c r="AB34" s="142"/>
      <c r="AC34" s="145" t="s">
        <v>177</v>
      </c>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54"/>
      <c r="BD34" s="1168"/>
      <c r="BE34" s="1168"/>
      <c r="BF34" s="1001"/>
      <c r="BG34" s="1001"/>
      <c r="BH34" s="1001"/>
      <c r="BI34" s="612" t="s">
        <v>787</v>
      </c>
      <c r="BJ34" s="612"/>
    </row>
    <row s="2431" customFormat="1" customHeight="1" ht="14.25">
      <c r="A35" s="1187"/>
      <c r="B35" s="402"/>
      <c r="C35" s="1187"/>
      <c r="D35" s="1187"/>
      <c r="E35" s="609">
        <v>15</v>
      </c>
      <c r="F35" s="316" cm="1" t="str">
        <f t="array" ref="F35:F35">X35</f>
        <v>2</v>
      </c>
      <c r="G35" s="112"/>
      <c r="H35" s="112"/>
      <c r="I35" s="1187"/>
      <c r="J35" s="1187"/>
      <c r="K35" s="1187"/>
      <c r="L35" s="1187"/>
      <c r="M35" s="1187"/>
      <c r="N35" s="1187"/>
      <c r="O35" s="1187"/>
      <c r="P35" s="1187"/>
      <c r="Q35" s="1187"/>
      <c r="R35" s="1187"/>
      <c r="S35" s="1187"/>
      <c r="T35" s="439">
        <f>X35&gt;0</f>
        <v>1</v>
      </c>
      <c r="U35" s="1187"/>
      <c r="V35" s="110" cm="1" t="str">
        <f t="array" ref="V35:V35">'Условные метры'!$AB$35</f>
        <v>Тариф 2 (Водоотведение) - тариф на водоотведение (Оказание услуг на территории: Прокопьевский муниципальный округ (ОКТМО: 32522000) - п Калачево)</v>
      </c>
      <c r="W35" s="1187"/>
      <c r="X35" s="1462" t="s">
        <v>283</v>
      </c>
      <c r="Y35" s="1187"/>
      <c r="Z35" s="1484"/>
      <c r="AA35" s="1187"/>
      <c r="AB35" s="150" cm="1" t="str">
        <f t="array" ref="AB35:AB35">'Условные метры'!$AB$35</f>
        <v>Тариф 2 (Водоотведение) - тариф на водоотведение (Оказание услуг на территории: Прокопьевский муниципальный округ (ОКТМО: 32522000) - п Калачево)</v>
      </c>
      <c r="AC35" s="147"/>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187"/>
      <c r="BE35" s="1187"/>
      <c r="BF35" s="996"/>
      <c r="BG35" s="996"/>
      <c r="BH35" s="996"/>
      <c r="BI35" s="609"/>
      <c r="BJ35" s="609"/>
    </row>
    <row s="1190" customFormat="1" customHeight="1" ht="14.25">
      <c r="A36" s="1484"/>
      <c r="B36" s="402"/>
      <c r="C36" s="1484"/>
      <c r="D36" s="457"/>
      <c r="E36" s="234">
        <v>15</v>
      </c>
      <c r="F36" s="50" cm="1" t="str">
        <f t="array" ref="F36:F36">OFFSET(E36,-1,1)</f>
        <v>2</v>
      </c>
      <c r="G36" s="1484"/>
      <c r="H36" s="112" cm="1" t="str">
        <f t="array" ref="H36:H36">AC36</f>
        <v>Всего по тарифу</v>
      </c>
      <c r="I36" s="1484"/>
      <c r="J36" s="1484"/>
      <c r="K36" s="457" t="str">
        <f>F36&amp;"komm"</f>
        <v>2komm</v>
      </c>
      <c r="L36" s="899" cm="1" t="str">
        <f t="array" ref="L36:L36">BC36</f>
        <v>0</v>
      </c>
      <c r="M36" s="1484"/>
      <c r="N36" s="1484"/>
      <c r="O36" s="1484"/>
      <c r="P36" s="1484"/>
      <c r="Q36" s="1484"/>
      <c r="R36" s="1484"/>
      <c r="S36" s="1484"/>
      <c r="T36" s="439" cm="1" t="str">
        <f t="array" ref="T36:T36">T35</f>
        <v>true</v>
      </c>
      <c r="U36" s="1484"/>
      <c r="V36" s="1484"/>
      <c r="W36" s="1484"/>
      <c r="X36" s="1462"/>
      <c r="Y36" s="1484"/>
      <c r="Z36" s="1484"/>
      <c r="AA36" s="1484"/>
      <c r="AB36" s="111"/>
      <c r="AC36" s="104" t="s">
        <v>783</v>
      </c>
      <c r="AD36" s="59" t="s">
        <v>784</v>
      </c>
      <c r="AE36" s="108">
        <f>SUM(AE37:AE38)</f>
        <v>0</v>
      </c>
      <c r="AF36" s="108">
        <f>SUM(AF37:AF38)</f>
        <v>0</v>
      </c>
      <c r="AG36" s="108">
        <f>SUM(AG37:AG38)</f>
        <v>0</v>
      </c>
      <c r="AH36" s="108">
        <f>SUM(AH37:AH38)</f>
        <v>0</v>
      </c>
      <c r="AI36" s="108">
        <f>SUM(AI37:AI38)</f>
        <v>0</v>
      </c>
      <c r="AJ36" s="108">
        <f>SUM(AJ37:AJ38)</f>
        <v>0</v>
      </c>
      <c r="AK36" s="108">
        <f>SUM(AK37:AK38)</f>
        <v>0</v>
      </c>
      <c r="AL36" s="108">
        <f>SUM(AL37:AL38)</f>
        <v>0</v>
      </c>
      <c r="AM36" s="108">
        <f>SUM(AM37:AM38)</f>
        <v>0</v>
      </c>
      <c r="AN36" s="108">
        <f>SUM(AN37:AN38)</f>
        <v>0</v>
      </c>
      <c r="AO36" s="108">
        <f>SUM(AO37:AO38)</f>
        <v>0</v>
      </c>
      <c r="AP36" s="108">
        <f>SUM(AP37:AP38)</f>
        <v>0</v>
      </c>
      <c r="AQ36" s="108">
        <f>SUM(AQ37:AQ38)</f>
        <v>0</v>
      </c>
      <c r="AR36" s="108">
        <f>SUM(AR37:AR38)</f>
        <v>0</v>
      </c>
      <c r="AS36" s="108">
        <f>SUM(AS37:AS38)</f>
        <v>0</v>
      </c>
      <c r="AT36" s="108">
        <f>SUM(AT37:AT38)</f>
        <v>0</v>
      </c>
      <c r="AU36" s="108">
        <f>SUM(AU37:AU38)</f>
        <v>0</v>
      </c>
      <c r="AV36" s="108">
        <f>SUM(AV37:AV38)</f>
        <v>0</v>
      </c>
      <c r="AW36" s="108">
        <f>SUM(AW37:AW38)</f>
        <v>0</v>
      </c>
      <c r="AX36" s="108">
        <f>SUM(AX37:AX38)</f>
        <v>0</v>
      </c>
      <c r="AY36" s="108">
        <f>SUM(AY37:AY38)</f>
        <v>0</v>
      </c>
      <c r="AZ36" s="108">
        <f>SUM(AZ37:AZ38)</f>
        <v>0</v>
      </c>
      <c r="BA36" s="108">
        <f>SUM(BA37:BA38)</f>
        <v>0</v>
      </c>
      <c r="BB36" s="108">
        <f>SUM(BB37:BB38)</f>
        <v>0</v>
      </c>
      <c r="BC36" s="167"/>
      <c r="BD36" s="1484"/>
      <c r="BE36" s="1484"/>
      <c r="BF36" s="1014" t="s">
        <v>785</v>
      </c>
      <c r="BG36" s="1014"/>
      <c r="BH36" s="1014"/>
      <c r="BI36" s="234"/>
      <c r="BJ36" s="234"/>
    </row>
    <row s="1190" customFormat="1" customHeight="1" ht="14.25" hidden="1">
      <c r="A37" s="1484"/>
      <c r="B37" s="402"/>
      <c r="C37" s="1484"/>
      <c r="D37" s="1484"/>
      <c r="E37" s="234">
        <v>15</v>
      </c>
      <c r="F37" s="50" cm="1" t="str">
        <f t="array" ref="F37:F37">OFFSET(E37,-1,1)</f>
        <v>2</v>
      </c>
      <c r="G37" s="112" t="s">
        <v>325</v>
      </c>
      <c r="H37" s="112" cm="1" t="str">
        <f t="array" ref="H37:H37">AC37</f>
        <v>0</v>
      </c>
      <c r="I37" s="1484"/>
      <c r="J37" s="1484"/>
      <c r="K37" s="1484"/>
      <c r="L37" s="1484"/>
      <c r="M37" s="1484"/>
      <c r="N37" s="1484"/>
      <c r="O37" s="1484"/>
      <c r="P37" s="1484"/>
      <c r="Q37" s="1484"/>
      <c r="R37" s="1484"/>
      <c r="S37" s="1484"/>
      <c r="T37" s="439">
        <f>AND(F37&gt;0,AB37&gt;0)</f>
        <v>0</v>
      </c>
      <c r="U37" s="1484"/>
      <c r="V37" s="1484"/>
      <c r="W37" s="738" t="s">
        <v>173</v>
      </c>
      <c r="X37" s="1462"/>
      <c r="Y37" s="1484"/>
      <c r="Z37" s="1484"/>
      <c r="AA37" s="642" t="s">
        <v>174</v>
      </c>
      <c r="AB37" s="55">
        <v>0</v>
      </c>
      <c r="AC37" s="2399"/>
      <c r="AD37" s="59" t="s">
        <v>784</v>
      </c>
      <c r="AE37" s="1764"/>
      <c r="AF37" s="1764"/>
      <c r="AG37" s="1764"/>
      <c r="AH37" s="1764"/>
      <c r="AI37" s="107"/>
      <c r="AJ37" s="1764"/>
      <c r="AK37" s="1764"/>
      <c r="AL37" s="1764"/>
      <c r="AM37" s="1764"/>
      <c r="AN37" s="1764"/>
      <c r="AO37" s="1764"/>
      <c r="AP37" s="1764"/>
      <c r="AQ37" s="1764"/>
      <c r="AR37" s="1764"/>
      <c r="AS37" s="107"/>
      <c r="AT37" s="1764"/>
      <c r="AU37" s="1764"/>
      <c r="AV37" s="1764"/>
      <c r="AW37" s="1764"/>
      <c r="AX37" s="1764"/>
      <c r="AY37" s="1764"/>
      <c r="AZ37" s="1764"/>
      <c r="BA37" s="1764"/>
      <c r="BB37" s="1764"/>
      <c r="BC37" s="1887"/>
      <c r="BD37" s="1484"/>
      <c r="BE37" s="1484"/>
      <c r="BF37" s="1014" t="s">
        <v>786</v>
      </c>
      <c r="BG37" s="1014" t="s">
        <v>787</v>
      </c>
      <c r="BH37" s="1014" cm="1" t="str">
        <f t="array" ref="BH37:BH37">AC37</f>
        <v>0</v>
      </c>
      <c r="BI37" s="234"/>
      <c r="BJ37" s="234" t="b">
        <v>1</v>
      </c>
    </row>
    <row s="1168" customFormat="1" customHeight="1" ht="14.25">
      <c r="A38" s="1168"/>
      <c r="B38" s="400"/>
      <c r="C38" s="1168"/>
      <c r="D38" s="1168"/>
      <c r="E38" s="612">
        <v>15</v>
      </c>
      <c r="F38" s="50" cm="1" t="str">
        <f t="array" ref="F38:F38">OFFSET(E38,-1,1)</f>
        <v>2</v>
      </c>
      <c r="G38" s="1168"/>
      <c r="H38" s="109" t="str">
        <f>"!== 'Всего по тарифу'"</f>
        <v>!== 'Всего по тарифу'</v>
      </c>
      <c r="I38" s="1168"/>
      <c r="J38" s="1168"/>
      <c r="K38" s="1168"/>
      <c r="L38" s="1168"/>
      <c r="M38" s="1168"/>
      <c r="N38" s="1168"/>
      <c r="O38" s="1168"/>
      <c r="P38" s="1168"/>
      <c r="Q38" s="1168"/>
      <c r="R38" s="1168"/>
      <c r="S38" s="1168"/>
      <c r="T38" s="439" cm="1" t="str">
        <f t="array" ref="T38:T38">T35</f>
        <v>true</v>
      </c>
      <c r="U38" s="1168"/>
      <c r="V38" s="1168"/>
      <c r="W38" s="738" t="s">
        <v>788</v>
      </c>
      <c r="X38" s="1462"/>
      <c r="Y38" s="1168"/>
      <c r="Z38" s="1484"/>
      <c r="AA38" s="1168"/>
      <c r="AB38" s="142"/>
      <c r="AC38" s="145" t="s">
        <v>177</v>
      </c>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54"/>
      <c r="BD38" s="1168"/>
      <c r="BE38" s="1168"/>
      <c r="BF38" s="1001"/>
      <c r="BG38" s="1001"/>
      <c r="BH38" s="1001"/>
      <c r="BI38" s="612" t="s">
        <v>787</v>
      </c>
      <c r="BJ38" s="612"/>
    </row>
    <row s="1621" customFormat="1" customHeight="1" ht="10.96875">
      <c r="A39" s="473"/>
      <c r="B39" s="638"/>
      <c r="C39" s="473"/>
      <c r="D39" s="473"/>
      <c r="E39" s="639">
        <v>11.25</v>
      </c>
      <c r="F39" s="456"/>
      <c r="G39" s="473"/>
      <c r="H39" s="473"/>
      <c r="I39" s="473"/>
      <c r="J39" s="473"/>
      <c r="K39" s="473"/>
      <c r="L39" s="473"/>
      <c r="M39" s="473"/>
      <c r="N39" s="473"/>
      <c r="O39" s="473"/>
      <c r="P39" s="473"/>
      <c r="Q39" s="473"/>
      <c r="R39" s="473"/>
      <c r="S39" s="473"/>
      <c r="T39" s="473"/>
      <c r="U39" s="388" t="s">
        <v>177</v>
      </c>
      <c r="V39" s="106" t="s">
        <v>789</v>
      </c>
      <c r="W39" s="473"/>
      <c r="X39" s="473"/>
      <c r="Y39" s="473"/>
      <c r="Z39" s="473"/>
      <c r="AA39" s="473"/>
      <c r="AC39" s="66"/>
      <c r="AD39" s="66"/>
      <c r="AE39" s="66"/>
      <c r="AF39" s="66"/>
      <c r="AI39" s="1621"/>
      <c r="AJ39" s="1621"/>
      <c r="AK39" s="1621"/>
      <c r="AL39" s="1621"/>
      <c r="AM39" s="1621"/>
      <c r="AN39" s="1621"/>
      <c r="AO39" s="1621"/>
      <c r="AP39" s="1621"/>
      <c r="AQ39" s="67"/>
      <c r="AR39" s="1621"/>
      <c r="AS39" s="1621"/>
      <c r="AT39" s="1621"/>
      <c r="AU39" s="1621"/>
      <c r="AV39" s="1621"/>
      <c r="AW39" s="1621"/>
      <c r="AX39" s="1621"/>
      <c r="AY39" s="1621"/>
      <c r="AZ39" s="1621"/>
      <c r="BA39" s="1621"/>
      <c r="BB39" s="1621"/>
      <c r="BF39" s="987"/>
      <c r="BG39" s="987"/>
      <c r="BH39" s="987"/>
      <c r="BI39" s="603"/>
      <c r="BJ39" s="603"/>
    </row>
    <row customHeight="1" ht="10.96875">
      <c r="E40" s="611">
        <v>11.25</v>
      </c>
      <c r="AI40" s="676"/>
      <c r="AJ40" s="676"/>
      <c r="AK40" s="676"/>
      <c r="AL40" s="676"/>
      <c r="AM40" s="676"/>
      <c r="AN40" s="676"/>
      <c r="AO40" s="676"/>
      <c r="AP40" s="676"/>
      <c r="AQ40" s="676"/>
      <c r="AR40" s="676"/>
      <c r="AS40" s="676"/>
      <c r="AT40" s="676"/>
      <c r="AU40" s="676"/>
      <c r="AV40" s="676"/>
      <c r="AW40" s="676"/>
      <c r="AX40" s="676"/>
      <c r="AY40" s="676"/>
      <c r="AZ40" s="676"/>
      <c r="BA40" s="676"/>
      <c r="BB40" s="676"/>
    </row>
    <row customHeight="1" ht="14.625">
      <c r="E41" s="611">
        <v>15</v>
      </c>
      <c r="AB41" s="1485" t="s">
        <v>398</v>
      </c>
      <c r="AC41" s="1485"/>
      <c r="AD41" s="1485"/>
      <c r="AE41" s="1485"/>
      <c r="AF41" s="1485"/>
      <c r="AG41" s="1485"/>
      <c r="AH41" s="1485"/>
      <c r="AI41" s="1522"/>
      <c r="AJ41" s="1522"/>
      <c r="AK41" s="1522"/>
      <c r="AL41" s="1522"/>
      <c r="AM41" s="1522"/>
      <c r="AN41" s="1522"/>
      <c r="AO41" s="1522"/>
      <c r="AP41" s="1522"/>
      <c r="AQ41" s="1522"/>
      <c r="AR41" s="1522"/>
      <c r="AS41" s="1522"/>
      <c r="AT41" s="1522"/>
      <c r="AU41" s="1522"/>
      <c r="AV41" s="1522"/>
      <c r="AW41" s="1522"/>
      <c r="AX41" s="1522"/>
      <c r="AY41" s="1522"/>
      <c r="AZ41" s="1522"/>
      <c r="BA41" s="1522"/>
      <c r="BB41" s="1522"/>
      <c r="BC41" s="1522"/>
    </row>
    <row customHeight="1" ht="14.625">
      <c r="E42" s="611">
        <v>15</v>
      </c>
      <c r="AB42" s="1528" t="s">
        <v>222</v>
      </c>
      <c r="AC42" s="1529"/>
      <c r="AD42" s="1529"/>
      <c r="AE42" s="1529"/>
      <c r="AF42" s="1529"/>
      <c r="AG42" s="1529"/>
      <c r="AH42" s="1529"/>
      <c r="AI42" s="1529"/>
      <c r="AJ42" s="2462"/>
      <c r="AK42" s="2462"/>
      <c r="AL42" s="2462"/>
      <c r="AM42" s="2462"/>
      <c r="AN42" s="2462"/>
      <c r="AO42" s="2462"/>
      <c r="AP42" s="2462"/>
      <c r="AQ42" s="2462"/>
      <c r="AR42" s="2462"/>
      <c r="AS42" s="1529"/>
      <c r="AT42" s="2462"/>
      <c r="AU42" s="2462"/>
      <c r="AV42" s="2462"/>
      <c r="AW42" s="2462"/>
      <c r="AX42" s="2462"/>
      <c r="AY42" s="2462"/>
      <c r="AZ42" s="2462"/>
      <c r="BA42" s="2462"/>
      <c r="BB42" s="2462"/>
      <c r="BC42" s="1530"/>
    </row>
    <row customHeight="1" ht="14.625" hidden="1">
      <c r="A43" s="676"/>
      <c r="B43" s="1176"/>
      <c r="C43" s="676"/>
      <c r="D43" s="676"/>
      <c r="E43" s="611">
        <v>15</v>
      </c>
      <c r="F43" s="676"/>
      <c r="G43" s="676"/>
      <c r="H43" s="676"/>
      <c r="I43" s="676"/>
      <c r="J43" s="676"/>
      <c r="K43" s="676"/>
      <c r="L43" s="676"/>
      <c r="M43" s="676"/>
      <c r="N43" s="676"/>
      <c r="O43" s="676"/>
      <c r="P43" s="676"/>
      <c r="Q43" s="676"/>
      <c r="R43" s="676"/>
      <c r="S43" s="676"/>
      <c r="T43" s="439">
        <f>ROW(W43)&gt;ROW(W$43)</f>
        <v>0</v>
      </c>
      <c r="U43" s="676"/>
      <c r="V43" s="676"/>
      <c r="W43" s="738" t="s">
        <v>173</v>
      </c>
      <c r="X43" s="676"/>
      <c r="Y43" s="676"/>
      <c r="Z43" s="676"/>
      <c r="AA43" s="642" t="s">
        <v>174</v>
      </c>
      <c r="AB43" s="2463" t="s">
        <v>222</v>
      </c>
      <c r="AC43" s="2462"/>
      <c r="AD43" s="2462"/>
      <c r="AE43" s="2462"/>
      <c r="AF43" s="2462"/>
      <c r="AG43" s="2462"/>
      <c r="AH43" s="2462"/>
      <c r="AI43" s="1529"/>
      <c r="AJ43" s="2462"/>
      <c r="AK43" s="2462"/>
      <c r="AL43" s="2462"/>
      <c r="AM43" s="2462"/>
      <c r="AN43" s="2462"/>
      <c r="AO43" s="2462"/>
      <c r="AP43" s="2462"/>
      <c r="AQ43" s="2462"/>
      <c r="AR43" s="2462"/>
      <c r="AS43" s="1529"/>
      <c r="AT43" s="2462"/>
      <c r="AU43" s="2462"/>
      <c r="AV43" s="2462"/>
      <c r="AW43" s="2462"/>
      <c r="AX43" s="2462"/>
      <c r="AY43" s="2462"/>
      <c r="AZ43" s="2462"/>
      <c r="BA43" s="2462"/>
      <c r="BB43" s="2462"/>
      <c r="BC43" s="2464"/>
      <c r="BD43" s="676"/>
      <c r="BE43" s="676"/>
      <c r="BF43" s="1061"/>
      <c r="BG43" s="1061"/>
      <c r="BH43" s="1061"/>
      <c r="BI43" s="697"/>
      <c r="BJ43" s="697"/>
    </row>
    <row customHeight="1" ht="14.625">
      <c r="E44" s="611">
        <v>15</v>
      </c>
      <c r="W44" s="738" t="s">
        <v>399</v>
      </c>
      <c r="AB44" s="627"/>
      <c r="AC44" s="488" t="s">
        <v>400</v>
      </c>
      <c r="AD44" s="277"/>
      <c r="AE44" s="277"/>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9"/>
    </row>
    <row customHeight="1" ht="10.725000000000001">
      <c r="E45" s="611">
        <v>11</v>
      </c>
      <c r="AI45" s="676"/>
      <c r="AJ45" s="676"/>
      <c r="AK45" s="676"/>
      <c r="AL45" s="676"/>
      <c r="AM45" s="676"/>
      <c r="AN45" s="676"/>
      <c r="AO45" s="676"/>
      <c r="AP45" s="676"/>
      <c r="AQ45" s="676"/>
      <c r="AR45" s="676"/>
      <c r="AS45" s="676"/>
      <c r="AT45" s="676"/>
      <c r="AU45" s="676"/>
      <c r="AV45" s="676"/>
      <c r="AW45" s="676"/>
      <c r="AX45" s="676"/>
      <c r="AY45" s="676"/>
      <c r="AZ45" s="676"/>
      <c r="BA45" s="676"/>
      <c r="BB45" s="676"/>
      <c r="BD45" s="64"/>
    </row>
  </sheetData>
  <sheetProtection formatColumns="0" formatRows="0" insertRows="0" deleteColumns="0" deleteRows="0" sort="0" autoFilter="0" insertColumns="1"/>
  <mergeCells count="13">
    <mergeCell ref="AB43:BC43"/>
    <mergeCell ref="AB42:BC42"/>
    <mergeCell ref="X27:X30"/>
    <mergeCell ref="Z27:Z30"/>
    <mergeCell ref="AB41:BC41"/>
    <mergeCell ref="AB24:AB25"/>
    <mergeCell ref="AC24:AC25"/>
    <mergeCell ref="AD24:AD25"/>
    <mergeCell ref="BC24:BC25"/>
    <mergeCell ref="X31:X34"/>
    <mergeCell ref="Z31:Z34"/>
    <mergeCell ref="X35:X38"/>
    <mergeCell ref="Z35:Z38"/>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AE37 AF37 AG37 AH37 AI37 AJ37 AK37 AL37 AM37 AN37 AO37 AP37 AQ37 AR37 AS37 AT37 AU37 AV37 AW37 AX37 AY37 AZ37 BA37 BB37">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249558-F1F8-9F18-3108-D7226411E3B8}" mc:Ignorable="x14ac xr xr2 xr3">
  <sheetPr>
    <tabColor rgb="FFFFC000"/>
    <outlinePr summaryRight="0" summaryBelow="0"/>
    <pageSetUpPr fitToPage="1"/>
  </sheetPr>
  <dimension ref="A1:BJ99"/>
  <sheetViews>
    <sheetView showGridLines="0" workbookViewId="0">
      <pane xSplit="30" ySplit="25" topLeftCell="AE92" activePane="bottomRight" state="frozen"/>
      <selection pane="bottomLeft" activeCell="A26" sqref="A26"/>
      <selection pane="topRight" activeCell="AE1" sqref="AE1"/>
      <selection pane="bottomRight" activeCell="AB98" sqref="AB98"/>
    </sheetView>
  </sheetViews>
  <sheetFormatPr defaultColWidth="9.140625" customHeight="1" defaultRowHeight="11.25"/>
  <cols>
    <col min="1" max="1" style="676" width="3.57421875" hidden="1" customWidth="1"/>
    <col min="2" max="2" style="1176" width="4.421875" hidden="1" customWidth="1"/>
    <col min="3" max="3" style="1006" width="6.7109375" hidden="1" customWidth="1"/>
    <col min="4" max="4" style="676" width="4.57421875" hidden="1" customWidth="1"/>
    <col min="5" max="5" style="697" width="3.57421875" hidden="1" customWidth="1"/>
    <col min="6" max="6" style="676" width="8.140625" hidden="1" customWidth="1"/>
    <col min="7" max="10" style="676" width="3.57421875" hidden="1" customWidth="1"/>
    <col min="11" max="11" style="676" width="5.8515625" hidden="1" customWidth="1"/>
    <col min="12" max="19" style="676" width="3.57421875" hidden="1" customWidth="1"/>
    <col min="20" max="20" style="676" width="10.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35.00390625" customWidth="1"/>
    <col min="30" max="30" style="676" width="12.57421875" customWidth="1"/>
    <col min="31" max="31" style="676" width="14.57421875" customWidth="1"/>
    <col min="32" max="32" style="676" width="12.57421875" customWidth="1"/>
    <col min="33" max="33" style="676" width="15.00390625" customWidth="1"/>
    <col min="34" max="34" style="676" width="16.00390625" customWidth="1"/>
    <col min="35" max="35" style="676" width="12.57421875" customWidth="1"/>
    <col min="36" max="44" style="676" width="12.57421875" hidden="1" customWidth="1"/>
    <col min="45" max="45" style="676" width="15.43359375" customWidth="1"/>
    <col min="46" max="54" style="676" width="15.43359375" hidden="1" customWidth="1"/>
    <col min="55" max="55" style="676" width="20.003906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313</v>
      </c>
      <c r="G1" s="64" t="s">
        <v>324</v>
      </c>
      <c r="H1" s="64" t="s">
        <v>351</v>
      </c>
      <c r="T1" s="439" t="s">
        <v>92</v>
      </c>
      <c r="U1" s="439" t="s">
        <v>97</v>
      </c>
      <c r="V1" s="439" t="s">
        <v>93</v>
      </c>
      <c r="W1" s="439" t="s">
        <v>94</v>
      </c>
      <c r="X1" s="439" t="s">
        <v>95</v>
      </c>
      <c r="Y1" s="441" t="s">
        <v>315</v>
      </c>
      <c r="Z1" s="439" t="s">
        <v>99</v>
      </c>
      <c r="AA1" s="441" t="s">
        <v>96</v>
      </c>
      <c r="AB1" s="496"/>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316</v>
      </c>
      <c r="BG1" s="998" t="s">
        <v>317</v>
      </c>
      <c r="BH1" s="998" t="s">
        <v>318</v>
      </c>
      <c r="BI1" s="611" t="s">
        <v>321</v>
      </c>
      <c r="BJ1" s="611" t="s">
        <v>322</v>
      </c>
    </row>
    <row s="1176" customFormat="1" customHeight="1" ht="11.25" hidden="1">
      <c r="B2" s="418" t="s">
        <v>18</v>
      </c>
      <c r="C2" s="459"/>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458"/>
      <c r="D5" s="64"/>
      <c r="E5" s="611" t="s">
        <v>19</v>
      </c>
      <c r="AA5" s="611">
        <v>3</v>
      </c>
      <c r="AB5" s="611">
        <v>11</v>
      </c>
      <c r="AC5" s="611">
        <v>35</v>
      </c>
      <c r="AD5" s="611">
        <v>12.57</v>
      </c>
      <c r="AE5" s="611">
        <v>14.57</v>
      </c>
      <c r="AF5" s="611">
        <v>12.57</v>
      </c>
      <c r="AG5" s="611">
        <v>15</v>
      </c>
      <c r="AH5" s="611">
        <v>16</v>
      </c>
      <c r="AI5" s="611">
        <v>12.57</v>
      </c>
      <c r="AJ5" s="611">
        <v>12.57</v>
      </c>
      <c r="AK5" s="611">
        <v>12.57</v>
      </c>
      <c r="AL5" s="611">
        <v>12.57</v>
      </c>
      <c r="AM5" s="611">
        <v>12.57</v>
      </c>
      <c r="AN5" s="611">
        <v>12.57</v>
      </c>
      <c r="AO5" s="611">
        <v>12.57</v>
      </c>
      <c r="AP5" s="611">
        <v>12.57</v>
      </c>
      <c r="AQ5" s="611">
        <v>12.57</v>
      </c>
      <c r="AR5" s="611">
        <v>12.57</v>
      </c>
      <c r="AS5" s="611">
        <v>15.43</v>
      </c>
      <c r="AT5" s="611">
        <v>15.43</v>
      </c>
      <c r="AU5" s="611">
        <v>15.43</v>
      </c>
      <c r="AV5" s="611">
        <v>15.43</v>
      </c>
      <c r="AW5" s="611">
        <v>15.43</v>
      </c>
      <c r="AX5" s="611">
        <v>15.43</v>
      </c>
      <c r="AY5" s="611">
        <v>15.43</v>
      </c>
      <c r="AZ5" s="611">
        <v>15.43</v>
      </c>
      <c r="BA5" s="611">
        <v>15.43</v>
      </c>
      <c r="BB5" s="611">
        <v>15.43</v>
      </c>
      <c r="BC5" s="611">
        <v>20</v>
      </c>
      <c r="BD5" s="611">
        <v>3</v>
      </c>
      <c r="BF5" s="998"/>
      <c r="BG5" s="998"/>
      <c r="BH5" s="998"/>
    </row>
    <row customHeight="1" ht="11.25" hidden="1">
      <c r="A6" s="64" t="s">
        <v>354</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355</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$AI$25</f>
        <v>Предложение организации</v>
      </c>
      <c r="AK7" s="64" cm="1" t="str">
        <f t="array" ref="AK7:AK7">$AI$25</f>
        <v>Предложение организации</v>
      </c>
      <c r="AL7" s="64" cm="1" t="str">
        <f t="array" ref="AL7:AL7">$AI$25</f>
        <v>Предложение организации</v>
      </c>
      <c r="AM7" s="64" cm="1" t="str">
        <f t="array" ref="AM7:AM7">$AI$25</f>
        <v>Предложение организации</v>
      </c>
      <c r="AN7" s="64" cm="1" t="str">
        <f t="array" ref="AN7:AN7">$AI$25</f>
        <v>Предложение организации</v>
      </c>
      <c r="AO7" s="64" cm="1" t="str">
        <f t="array" ref="AO7:AO7">$AI$25</f>
        <v>Предложение организации</v>
      </c>
      <c r="AP7" s="64" cm="1" t="str">
        <f t="array" ref="AP7:AP7">$AI$25</f>
        <v>Предложение организации</v>
      </c>
      <c r="AQ7" s="64" cm="1" t="str">
        <f t="array" ref="AQ7:AQ7">$AI$25</f>
        <v>Предложение организации</v>
      </c>
      <c r="AR7" s="64" cm="1" t="str">
        <f t="array" ref="AR7:AR7">$AI$25</f>
        <v>Предложение организации</v>
      </c>
      <c r="AS7" s="64" cm="1" t="str">
        <f t="array" ref="AS7:AS7">$AS$25</f>
        <v>Принято органом регулирования</v>
      </c>
      <c r="AT7" s="64" cm="1" t="str">
        <f t="array" ref="AT7:AT7">$AS$25</f>
        <v>Принято органом регулирования</v>
      </c>
      <c r="AU7" s="64" cm="1" t="str">
        <f t="array" ref="AU7:AU7">$AS$25</f>
        <v>Принято органом регулирования</v>
      </c>
      <c r="AV7" s="64" cm="1" t="str">
        <f t="array" ref="AV7:AV7">$AS$25</f>
        <v>Принято органом регулирования</v>
      </c>
      <c r="AW7" s="64" cm="1" t="str">
        <f t="array" ref="AW7:AW7">$AS$25</f>
        <v>Принято органом регулирования</v>
      </c>
      <c r="AX7" s="64" cm="1" t="str">
        <f t="array" ref="AX7:AX7">$AS$25</f>
        <v>Принято органом регулирования</v>
      </c>
      <c r="AY7" s="64" cm="1" t="str">
        <f t="array" ref="AY7:AY7">$AS$25</f>
        <v>Принято органом регулирования</v>
      </c>
      <c r="AZ7" s="64" cm="1" t="str">
        <f t="array" ref="AZ7:AZ7">$AS$25</f>
        <v>Принято органом регулирования</v>
      </c>
      <c r="BA7" s="64" cm="1" t="str">
        <f t="array" ref="BA7:BA7">$AS$25</f>
        <v>Принято органом регулирования</v>
      </c>
      <c r="BB7" s="64" cm="1" t="str">
        <f t="array" ref="BB7:BB7">$AS$25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359</v>
      </c>
      <c r="B9" s="999"/>
      <c r="C9" s="1015"/>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360</v>
      </c>
      <c r="B10" s="999"/>
      <c r="C10" s="1015"/>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361</v>
      </c>
      <c r="B11" s="999"/>
      <c r="C11" s="1015"/>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331</v>
      </c>
      <c r="B12" s="999"/>
      <c r="C12" s="1015"/>
      <c r="AC12" s="998" t="s">
        <v>318</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332</v>
      </c>
      <c r="AC18" s="64" t="s">
        <v>194</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Филиал АО "УК "Кузбассразрезуголь" "Талдинский угольный разрез" (ИНН:4205049090, КПП:423802002) / ДПР: 2024-2028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C22" s="458"/>
      <c r="E22" s="612">
        <v>20</v>
      </c>
      <c r="AB22" s="287" t="s">
        <v>50</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F22" s="1001"/>
      <c r="BG22" s="1001"/>
      <c r="BH22" s="1001"/>
      <c r="BI22" s="612"/>
      <c r="BJ22" s="612"/>
    </row>
    <row s="1168" customFormat="1" customHeight="1" ht="10.96875">
      <c r="B23" s="400"/>
      <c r="C23" s="458"/>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C24" s="460"/>
      <c r="E24" s="609">
        <v>15</v>
      </c>
      <c r="AB24" s="1527" t="s">
        <v>21</v>
      </c>
      <c r="AC24" s="1527" t="s">
        <v>362</v>
      </c>
      <c r="AD24" s="1527" t="s">
        <v>363</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507</v>
      </c>
      <c r="BF24" s="996"/>
      <c r="BG24" s="996"/>
      <c r="BH24" s="996"/>
      <c r="BI24" s="609"/>
      <c r="BJ24" s="609"/>
    </row>
    <row s="1187" customFormat="1" customHeight="1" ht="48.75">
      <c r="B25" s="402"/>
      <c r="C25" s="460"/>
      <c r="E25" s="609">
        <v>50</v>
      </c>
      <c r="AB25" s="1527"/>
      <c r="AC25" s="1527"/>
      <c r="AD25" s="1527"/>
      <c r="AE25" s="58" t="s">
        <v>356</v>
      </c>
      <c r="AF25" s="1103" t="s">
        <v>431</v>
      </c>
      <c r="AG25" s="58" t="s">
        <v>432</v>
      </c>
      <c r="AH25" s="58" t="s">
        <v>356</v>
      </c>
      <c r="AI25" s="1107" t="s">
        <v>357</v>
      </c>
      <c r="AJ25" s="1107" t="s">
        <v>357</v>
      </c>
      <c r="AK25" s="1107" t="s">
        <v>357</v>
      </c>
      <c r="AL25" s="1107" t="s">
        <v>357</v>
      </c>
      <c r="AM25" s="1107" t="s">
        <v>357</v>
      </c>
      <c r="AN25" s="1107" t="s">
        <v>357</v>
      </c>
      <c r="AO25" s="1107" t="s">
        <v>357</v>
      </c>
      <c r="AP25" s="1107" t="s">
        <v>357</v>
      </c>
      <c r="AQ25" s="1107" t="s">
        <v>357</v>
      </c>
      <c r="AR25" s="1107" t="s">
        <v>357</v>
      </c>
      <c r="AS25" s="327" t="s">
        <v>356</v>
      </c>
      <c r="AT25" s="327" t="s">
        <v>356</v>
      </c>
      <c r="AU25" s="327" t="s">
        <v>356</v>
      </c>
      <c r="AV25" s="327" t="s">
        <v>356</v>
      </c>
      <c r="AW25" s="327" t="s">
        <v>356</v>
      </c>
      <c r="AX25" s="327" t="s">
        <v>356</v>
      </c>
      <c r="AY25" s="327" t="s">
        <v>356</v>
      </c>
      <c r="AZ25" s="327" t="s">
        <v>356</v>
      </c>
      <c r="BA25" s="327" t="s">
        <v>356</v>
      </c>
      <c r="BB25" s="327" t="s">
        <v>356</v>
      </c>
      <c r="BC25" s="1486"/>
      <c r="BF25" s="996"/>
      <c r="BG25" s="996"/>
      <c r="BH25" s="996"/>
      <c r="BI25" s="609"/>
      <c r="BJ25" s="609"/>
    </row>
    <row s="1187" customFormat="1" customHeight="1" ht="14.25" hidden="1">
      <c r="B26" s="402"/>
      <c r="C26" s="460"/>
      <c r="E26" s="609">
        <v>0</v>
      </c>
      <c r="AB26" s="704"/>
      <c r="AC26" s="704"/>
      <c r="AD26" s="704"/>
      <c r="AE26" s="701"/>
      <c r="AF26" s="701"/>
      <c r="AG26" s="701"/>
      <c r="AH26" s="701"/>
      <c r="AI26" s="701"/>
      <c r="AJ26" s="701"/>
      <c r="AK26" s="701"/>
      <c r="AL26" s="701"/>
      <c r="AM26" s="701"/>
      <c r="AN26" s="701"/>
      <c r="AO26" s="701"/>
      <c r="AP26" s="701"/>
      <c r="AQ26" s="701"/>
      <c r="AR26" s="701"/>
      <c r="AS26" s="701"/>
      <c r="AT26" s="701"/>
      <c r="AU26" s="701"/>
      <c r="AV26" s="701"/>
      <c r="AW26" s="701"/>
      <c r="AX26" s="701"/>
      <c r="AY26" s="701"/>
      <c r="AZ26" s="701"/>
      <c r="BA26" s="701"/>
      <c r="BB26" s="701"/>
      <c r="BC26" s="701"/>
      <c r="BF26" s="996"/>
      <c r="BG26" s="996"/>
      <c r="BH26" s="996"/>
      <c r="BI26" s="609"/>
      <c r="BJ26" s="609"/>
    </row>
    <row s="1187" customFormat="1" customHeight="1" ht="14.625" hidden="1">
      <c r="A27" s="1187"/>
      <c r="B27" s="402"/>
      <c r="C27" s="459"/>
      <c r="D27" s="1187"/>
      <c r="E27" s="611">
        <v>15</v>
      </c>
      <c r="F27" s="64" cm="1" t="str">
        <f t="array" ref="F27:F27">X27</f>
        <v>0</v>
      </c>
      <c r="G27" s="64"/>
      <c r="H27" s="64"/>
      <c r="I27" s="1187"/>
      <c r="J27" s="1187"/>
      <c r="K27" s="1187"/>
      <c r="L27" s="1187"/>
      <c r="M27" s="1187"/>
      <c r="N27" s="1187"/>
      <c r="O27" s="1187"/>
      <c r="P27" s="1187"/>
      <c r="Q27" s="1187"/>
      <c r="R27" s="1187"/>
      <c r="S27" s="1187"/>
      <c r="T27" s="439">
        <f>X27&gt;0</f>
        <v>0</v>
      </c>
      <c r="U27" s="1187"/>
      <c r="V27" s="110" t="s">
        <v>261</v>
      </c>
      <c r="W27" s="1187"/>
      <c r="X27" s="1462">
        <v>0</v>
      </c>
      <c r="Y27" s="1187"/>
      <c r="Z27" s="1484"/>
      <c r="AA27" s="1187"/>
      <c r="AB27" s="150" cm="1" t="str">
        <f t="array" ref="AB27:AB27">INDEX('Общие сведения'!$AG$179:$AG$222,MATCH($X27,'Общие сведения'!$Z$179:$Z$222,0))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0.96875" hidden="1">
      <c r="A28" s="1484"/>
      <c r="B28" s="402"/>
      <c r="C28" s="457"/>
      <c r="D28" s="939"/>
      <c r="E28" s="234">
        <v>11.25</v>
      </c>
      <c r="F28" s="50" cm="1" t="str">
        <f t="array" ref="F28:F28">OFFSET(E28,-1,1)</f>
        <v>0</v>
      </c>
      <c r="G28" s="92" t="s">
        <v>325</v>
      </c>
      <c r="H28" s="92"/>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55" t="s">
        <v>272</v>
      </c>
      <c r="AC28" s="104" t="s">
        <v>783</v>
      </c>
      <c r="AD28" s="55" t="s">
        <v>784</v>
      </c>
      <c r="AE28" s="158">
        <f>IF(COUNTIF(AE33:AE46,"Ошибка")&gt;0,"Ошибка",SUMIF($AD33:$AD46,$AD28,AE33:AE46))</f>
        <v>0</v>
      </c>
      <c r="AF28" s="158">
        <f>IF(COUNTIF(AF33:AF46,"Ошибка")&gt;0,"Ошибка",SUMIF($AD33:$AD46,$AD28,AF33:AF46))</f>
        <v>0</v>
      </c>
      <c r="AG28" s="158">
        <f>IF(COUNTIF(AG33:AG46,"Ошибка")&gt;0,"Ошибка",SUMIF($AD33:$AD46,$AD28,AG33:AG46))</f>
        <v>0</v>
      </c>
      <c r="AH28" s="158">
        <f>IF(COUNTIF(AH33:AH46,"Ошибка")&gt;0,"Ошибка",SUMIF($AD33:$AD46,$AD28,AH33:AH46))</f>
        <v>0</v>
      </c>
      <c r="AI28" s="158">
        <f>IF(COUNTIF(AI33:AI46,"Ошибка")&gt;0,"Ошибка",SUMIF($AD33:$AD46,$AD28,AI33:AI46))</f>
        <v>0</v>
      </c>
      <c r="AJ28" s="158">
        <f>IF(COUNTIF(AJ33:AJ46,"Ошибка")&gt;0,"Ошибка",SUMIF($AD33:$AD46,$AD28,AJ33:AJ46))</f>
        <v>0</v>
      </c>
      <c r="AK28" s="158">
        <f>IF(COUNTIF(AK33:AK46,"Ошибка")&gt;0,"Ошибка",SUMIF($AD33:$AD46,$AD28,AK33:AK46))</f>
        <v>0</v>
      </c>
      <c r="AL28" s="158">
        <f>IF(COUNTIF(AL33:AL46,"Ошибка")&gt;0,"Ошибка",SUMIF($AD33:$AD46,$AD28,AL33:AL46))</f>
        <v>0</v>
      </c>
      <c r="AM28" s="158">
        <f>IF(COUNTIF(AM33:AM46,"Ошибка")&gt;0,"Ошибка",SUMIF($AD33:$AD46,$AD28,AM33:AM46))</f>
        <v>0</v>
      </c>
      <c r="AN28" s="158">
        <f>IF(COUNTIF(AN33:AN46,"Ошибка")&gt;0,"Ошибка",SUMIF($AD33:$AD46,$AD28,AN33:AN46))</f>
        <v>0</v>
      </c>
      <c r="AO28" s="158">
        <f>IF(COUNTIF(AO33:AO46,"Ошибка")&gt;0,"Ошибка",SUMIF($AD33:$AD46,$AD28,AO33:AO46))</f>
        <v>0</v>
      </c>
      <c r="AP28" s="158">
        <f>IF(COUNTIF(AP33:AP46,"Ошибка")&gt;0,"Ошибка",SUMIF($AD33:$AD46,$AD28,AP33:AP46))</f>
        <v>0</v>
      </c>
      <c r="AQ28" s="158">
        <f>IF(COUNTIF(AQ33:AQ46,"Ошибка")&gt;0,"Ошибка",SUMIF($AD33:$AD46,$AD28,AQ33:AQ46))</f>
        <v>0</v>
      </c>
      <c r="AR28" s="158">
        <f>IF(COUNTIF(AR33:AR46,"Ошибка")&gt;0,"Ошибка",SUMIF($AD33:$AD46,$AD28,AR33:AR46))</f>
        <v>0</v>
      </c>
      <c r="AS28" s="158">
        <f>IF(COUNTIF(AS33:AS46,"Ошибка")&gt;0,"Ошибка",SUMIF($AD33:$AD46,$AD28,AS33:AS46))</f>
        <v>0</v>
      </c>
      <c r="AT28" s="158">
        <f>IF(COUNTIF(AT33:AT46,"Ошибка")&gt;0,"Ошибка",SUMIF($AD33:$AD46,$AD28,AT33:AT46))</f>
        <v>0</v>
      </c>
      <c r="AU28" s="158">
        <f>IF(COUNTIF(AU33:AU46,"Ошибка")&gt;0,"Ошибка",SUMIF($AD33:$AD46,$AD28,AU33:AU46))</f>
        <v>0</v>
      </c>
      <c r="AV28" s="158">
        <f>IF(COUNTIF(AV33:AV46,"Ошибка")&gt;0,"Ошибка",SUMIF($AD33:$AD46,$AD28,AV33:AV46))</f>
        <v>0</v>
      </c>
      <c r="AW28" s="158">
        <f>IF(COUNTIF(AW33:AW46,"Ошибка")&gt;0,"Ошибка",SUMIF($AD33:$AD46,$AD28,AW33:AW46))</f>
        <v>0</v>
      </c>
      <c r="AX28" s="158">
        <f>IF(COUNTIF(AX33:AX46,"Ошибка")&gt;0,"Ошибка",SUMIF($AD33:$AD46,$AD28,AX33:AX46))</f>
        <v>0</v>
      </c>
      <c r="AY28" s="158">
        <f>IF(COUNTIF(AY33:AY46,"Ошибка")&gt;0,"Ошибка",SUMIF($AD33:$AD46,$AD28,AY33:AY46))</f>
        <v>0</v>
      </c>
      <c r="AZ28" s="158">
        <f>IF(COUNTIF(AZ33:AZ46,"Ошибка")&gt;0,"Ошибка",SUMIF($AD33:$AD46,$AD28,AZ33:AZ46))</f>
        <v>0</v>
      </c>
      <c r="BA28" s="158">
        <f>IF(COUNTIF(BA33:BA46,"Ошибка")&gt;0,"Ошибка",SUMIF($AD33:$AD46,$AD28,BA33:BA46))</f>
        <v>0</v>
      </c>
      <c r="BB28" s="158">
        <f>IF(COUNTIF(BB33:BB46,"Ошибка")&gt;0,"Ошибка",SUMIF($AD33:$AD46,$AD28,BB33:BB46))</f>
        <v>0</v>
      </c>
      <c r="BC28" s="1887"/>
      <c r="BD28" s="1484"/>
      <c r="BE28" s="1484"/>
      <c r="BF28" s="1014" t="s">
        <v>790</v>
      </c>
      <c r="BG28" s="1014"/>
      <c r="BH28" s="1014"/>
      <c r="BI28" s="234"/>
      <c r="BJ28" s="234"/>
    </row>
    <row s="1484" customFormat="1" customHeight="1" ht="10.96875" hidden="1">
      <c r="A29" s="1484"/>
      <c r="B29" s="402"/>
      <c r="C29" s="457"/>
      <c r="D29" s="1484"/>
      <c r="E29" s="234">
        <v>11.25</v>
      </c>
      <c r="F29" s="50" cm="1" t="str">
        <f t="array" ref="F29:F29">OFFSET(E29,-1,1)</f>
        <v>0</v>
      </c>
      <c r="G29" s="92" t="s">
        <v>326</v>
      </c>
      <c r="H29" s="92"/>
      <c r="I29" s="1484"/>
      <c r="J29" s="1484"/>
      <c r="K29" s="1484"/>
      <c r="L29" s="1484"/>
      <c r="M29" s="1484"/>
      <c r="N29" s="1484"/>
      <c r="O29" s="1484"/>
      <c r="P29" s="1484"/>
      <c r="Q29" s="1484"/>
      <c r="R29" s="1484"/>
      <c r="S29" s="1484"/>
      <c r="T29" s="439" cm="1" t="str">
        <f t="array" ref="T29:T29">T28</f>
        <v>false</v>
      </c>
      <c r="U29" s="1484"/>
      <c r="V29" s="1484"/>
      <c r="W29" s="1484"/>
      <c r="X29" s="1462"/>
      <c r="Y29" s="1484"/>
      <c r="Z29" s="1484"/>
      <c r="AA29" s="1484"/>
      <c r="AB29" s="55" t="s">
        <v>283</v>
      </c>
      <c r="AC29" s="104" t="s">
        <v>791</v>
      </c>
      <c r="AD29" s="58" t="s">
        <v>792</v>
      </c>
      <c r="AE29" s="158">
        <f>SUMIF(AD33:AD46,AD29,AE33:AE46)</f>
        <v>0</v>
      </c>
      <c r="AF29" s="158">
        <f>SUMIF(AD33:AD46,AD29,AF33:AF46)</f>
        <v>0</v>
      </c>
      <c r="AG29" s="158">
        <f>SUMIF(AD33:AD46,AD29,AG33:AG46)</f>
        <v>0</v>
      </c>
      <c r="AH29" s="158">
        <f>SUMIF(AD33:AD46,AD29,AH33:AH46)</f>
        <v>0</v>
      </c>
      <c r="AI29" s="158">
        <f>SUMIF(AD33:AD46,AD29,AI33:AI46)</f>
        <v>0</v>
      </c>
      <c r="AJ29" s="158">
        <f>SUMIF(AD33:AD46,AD29,AJ33:AJ46)</f>
        <v>0</v>
      </c>
      <c r="AK29" s="158">
        <f>SUMIF(AD33:AD46,AD29,AK33:AK46)</f>
        <v>0</v>
      </c>
      <c r="AL29" s="158">
        <f>SUMIF(AD33:AD46,AD29,AL33:AL46)</f>
        <v>0</v>
      </c>
      <c r="AM29" s="158">
        <f>SUMIF(AD33:AD46,AD29,AM33:AM46)</f>
        <v>0</v>
      </c>
      <c r="AN29" s="158">
        <f>SUMIF(AD33:AD46,AD29,AN33:AN46)</f>
        <v>0</v>
      </c>
      <c r="AO29" s="158">
        <f>SUMIF(AD33:AD46,AD29,AO33:AO46)</f>
        <v>0</v>
      </c>
      <c r="AP29" s="158">
        <f>SUMIF(AD33:AD46,AD29,AP33:AP46)</f>
        <v>0</v>
      </c>
      <c r="AQ29" s="158">
        <f>SUMIF(AD33:AD46,AD29,AQ33:AQ46)</f>
        <v>0</v>
      </c>
      <c r="AR29" s="158">
        <f>SUMIF(AD33:AD46,AD29,AR33:AR46)</f>
        <v>0</v>
      </c>
      <c r="AS29" s="158">
        <f>SUMIF(AD33:AD46,AD29,AS33:AS46)</f>
        <v>0</v>
      </c>
      <c r="AT29" s="158">
        <f>SUMIF(AD33:AD46,AD29,AT33:AT46)</f>
        <v>0</v>
      </c>
      <c r="AU29" s="158">
        <f>SUMIF(AD33:AD46,AD29,AU33:AU46)</f>
        <v>0</v>
      </c>
      <c r="AV29" s="158">
        <f>SUMIF(AD33:AD46,AD29,AV33:AV46)</f>
        <v>0</v>
      </c>
      <c r="AW29" s="158">
        <f>SUMIF(AD33:AD46,AD29,AW33:AW46)</f>
        <v>0</v>
      </c>
      <c r="AX29" s="158">
        <f>SUMIF(AD33:AD46,AD29,AX33:AX46)</f>
        <v>0</v>
      </c>
      <c r="AY29" s="158">
        <f>SUMIF(AD33:AD46,AD29,AY33:AY46)</f>
        <v>0</v>
      </c>
      <c r="AZ29" s="158">
        <f>SUMIF(AD33:AD46,AD29,AZ33:AZ46)</f>
        <v>0</v>
      </c>
      <c r="BA29" s="158">
        <f>SUMIF(AD33:AD46,AD29,BA33:BA46)</f>
        <v>0</v>
      </c>
      <c r="BB29" s="158">
        <f>SUMIF(AD33:AD46,AD29,BB33:BB46)</f>
        <v>0</v>
      </c>
      <c r="BC29" s="1887"/>
      <c r="BD29" s="1484"/>
      <c r="BE29" s="1484"/>
      <c r="BF29" s="1014" t="s">
        <v>793</v>
      </c>
      <c r="BG29" s="1014"/>
      <c r="BH29" s="1014"/>
      <c r="BI29" s="234"/>
      <c r="BJ29" s="234"/>
    </row>
    <row s="1484" customFormat="1" customHeight="1" ht="10.96875" hidden="1">
      <c r="A30" s="1484"/>
      <c r="B30" s="402"/>
      <c r="C30" s="457"/>
      <c r="D30" s="1484"/>
      <c r="E30" s="234">
        <v>11.25</v>
      </c>
      <c r="F30" s="50" cm="1" t="str">
        <f t="array" ref="F30:F30">OFFSET(E30,-1,1)</f>
        <v>0</v>
      </c>
      <c r="G30" s="92" t="s">
        <v>327</v>
      </c>
      <c r="H30" s="92"/>
      <c r="I30" s="1484"/>
      <c r="J30" s="1484"/>
      <c r="K30" s="1484"/>
      <c r="L30" s="1484"/>
      <c r="M30" s="1484"/>
      <c r="N30" s="1484"/>
      <c r="O30" s="1484"/>
      <c r="P30" s="1484"/>
      <c r="Q30" s="1484"/>
      <c r="R30" s="1484"/>
      <c r="S30" s="1484"/>
      <c r="T30" s="439" cm="1" t="str">
        <f t="array" ref="T30:T30">T29</f>
        <v>false</v>
      </c>
      <c r="U30" s="1484"/>
      <c r="V30" s="1484"/>
      <c r="W30" s="1484"/>
      <c r="X30" s="1462"/>
      <c r="Y30" s="1484"/>
      <c r="Z30" s="1484"/>
      <c r="AA30" s="1484"/>
      <c r="AB30" s="55" t="s">
        <v>323</v>
      </c>
      <c r="AC30" s="104" t="s">
        <v>794</v>
      </c>
      <c r="AD30" s="58" t="s">
        <v>795</v>
      </c>
      <c r="AE30" s="2472"/>
      <c r="AF30" s="2472"/>
      <c r="AG30" s="2472"/>
      <c r="AH30" s="2472"/>
      <c r="AI30" s="206"/>
      <c r="AJ30" s="2472"/>
      <c r="AK30" s="2472"/>
      <c r="AL30" s="2472"/>
      <c r="AM30" s="2472"/>
      <c r="AN30" s="2472"/>
      <c r="AO30" s="2472"/>
      <c r="AP30" s="2472"/>
      <c r="AQ30" s="2472"/>
      <c r="AR30" s="2472"/>
      <c r="AS30" s="206"/>
      <c r="AT30" s="2472"/>
      <c r="AU30" s="2472"/>
      <c r="AV30" s="2472"/>
      <c r="AW30" s="2472"/>
      <c r="AX30" s="2472"/>
      <c r="AY30" s="2472"/>
      <c r="AZ30" s="2472"/>
      <c r="BA30" s="2472"/>
      <c r="BB30" s="2472"/>
      <c r="BC30" s="1887"/>
      <c r="BD30" s="1484"/>
      <c r="BE30" s="1484"/>
      <c r="BF30" s="1014" t="s">
        <v>796</v>
      </c>
      <c r="BG30" s="1014"/>
      <c r="BH30" s="1014"/>
      <c r="BI30" s="234"/>
      <c r="BJ30" s="234"/>
    </row>
    <row s="1484" customFormat="1" customHeight="1" ht="10.96875" hidden="1">
      <c r="A31" s="1484"/>
      <c r="B31" s="402"/>
      <c r="C31" s="457"/>
      <c r="D31" s="1484"/>
      <c r="E31" s="234">
        <v>11.25</v>
      </c>
      <c r="F31" s="50" cm="1" t="str">
        <f t="array" ref="F31:F31">OFFSET(E31,-1,1)</f>
        <v>0</v>
      </c>
      <c r="G31" s="92" t="s">
        <v>329</v>
      </c>
      <c r="H31" s="92"/>
      <c r="I31" s="1484"/>
      <c r="J31" s="1484"/>
      <c r="K31" s="1484"/>
      <c r="L31" s="1484"/>
      <c r="M31" s="1484"/>
      <c r="N31" s="1484"/>
      <c r="O31" s="1484"/>
      <c r="P31" s="1484"/>
      <c r="Q31" s="1484"/>
      <c r="R31" s="1484"/>
      <c r="S31" s="1484"/>
      <c r="T31" s="439" cm="1" t="str">
        <f t="array" ref="T31:T31">T30</f>
        <v>false</v>
      </c>
      <c r="U31" s="1484"/>
      <c r="V31" s="1484"/>
      <c r="W31" s="1484"/>
      <c r="X31" s="1462"/>
      <c r="Y31" s="1484"/>
      <c r="Z31" s="1484"/>
      <c r="AA31" s="1484"/>
      <c r="AB31" s="55" t="s">
        <v>536</v>
      </c>
      <c r="AC31" s="104" t="s">
        <v>797</v>
      </c>
      <c r="AD31" s="58" t="s">
        <v>798</v>
      </c>
      <c r="AE31" s="158">
        <f>IF(AE29=0,0,AE28/AE29)</f>
        <v>0</v>
      </c>
      <c r="AF31" s="158">
        <f>IF(AF29=0,0,AF28/AF29)</f>
        <v>0</v>
      </c>
      <c r="AG31" s="158">
        <f>IF(AG29=0,0,AG28/AG29)</f>
        <v>0</v>
      </c>
      <c r="AH31" s="158">
        <f>IF(AH29=0,0,AH28/AH29)</f>
        <v>0</v>
      </c>
      <c r="AI31" s="158">
        <f>IF(AI29=0,0,AI28/AI29)</f>
        <v>0</v>
      </c>
      <c r="AJ31" s="158">
        <f>IF(AJ29=0,0,AJ28/AJ29)</f>
        <v>0</v>
      </c>
      <c r="AK31" s="158">
        <f>IF(AK29=0,0,AK28/AK29)</f>
        <v>0</v>
      </c>
      <c r="AL31" s="158">
        <f>IF(AL29=0,0,AL28/AL29)</f>
        <v>0</v>
      </c>
      <c r="AM31" s="158">
        <f>IF(AM29=0,0,AM28/AM29)</f>
        <v>0</v>
      </c>
      <c r="AN31" s="158">
        <f>IF(AN29=0,0,AN28/AN29)</f>
        <v>0</v>
      </c>
      <c r="AO31" s="158">
        <f>IF(AO29=0,0,AO28/AO29)</f>
        <v>0</v>
      </c>
      <c r="AP31" s="158">
        <f>IF(AP29=0,0,AP28/AP29)</f>
        <v>0</v>
      </c>
      <c r="AQ31" s="158">
        <f>IF(AQ29=0,0,AQ28/AQ29)</f>
        <v>0</v>
      </c>
      <c r="AR31" s="158">
        <f>IF(AR29=0,0,AR28/AR29)</f>
        <v>0</v>
      </c>
      <c r="AS31" s="158">
        <f>IF(AS29=0,0,AS28/AS29)</f>
        <v>0</v>
      </c>
      <c r="AT31" s="158">
        <f>IF(AT29=0,0,AT28/AT29)</f>
        <v>0</v>
      </c>
      <c r="AU31" s="158">
        <f>IF(AU29=0,0,AU28/AU29)</f>
        <v>0</v>
      </c>
      <c r="AV31" s="158">
        <f>IF(AV29=0,0,AV28/AV29)</f>
        <v>0</v>
      </c>
      <c r="AW31" s="158">
        <f>IF(AW29=0,0,AW28/AW29)</f>
        <v>0</v>
      </c>
      <c r="AX31" s="158">
        <f>IF(AX29=0,0,AX28/AX29)</f>
        <v>0</v>
      </c>
      <c r="AY31" s="158">
        <f>IF(AY29=0,0,AY28/AY29)</f>
        <v>0</v>
      </c>
      <c r="AZ31" s="158">
        <f>IF(AZ29=0,0,AZ28/AZ29)</f>
        <v>0</v>
      </c>
      <c r="BA31" s="158">
        <f>IF(BA29=0,0,BA28/BA29)</f>
        <v>0</v>
      </c>
      <c r="BB31" s="158">
        <f>IF(BB29=0,0,BB28/BB29)</f>
        <v>0</v>
      </c>
      <c r="BC31" s="1887"/>
      <c r="BD31" s="1484"/>
      <c r="BE31" s="1484"/>
      <c r="BF31" s="1014" t="s">
        <v>799</v>
      </c>
      <c r="BG31" s="1014"/>
      <c r="BH31" s="1014"/>
      <c r="BI31" s="234"/>
      <c r="BJ31" s="234"/>
    </row>
    <row s="1484" customFormat="1" customHeight="1" ht="10.96875" hidden="1">
      <c r="A32" s="1484"/>
      <c r="B32" s="402"/>
      <c r="C32" s="457"/>
      <c r="D32" s="1484"/>
      <c r="E32" s="234">
        <v>11.25</v>
      </c>
      <c r="F32" s="50" cm="1" t="str">
        <f t="array" ref="F32:F32">OFFSET(E32,-1,1)</f>
        <v>0</v>
      </c>
      <c r="G32" s="92" t="s">
        <v>328</v>
      </c>
      <c r="H32" s="92"/>
      <c r="I32" s="1484"/>
      <c r="J32" s="1484"/>
      <c r="K32" s="1484"/>
      <c r="L32" s="1484"/>
      <c r="M32" s="1484"/>
      <c r="N32" s="1484"/>
      <c r="O32" s="1484"/>
      <c r="P32" s="1484"/>
      <c r="Q32" s="1484"/>
      <c r="R32" s="1484"/>
      <c r="S32" s="1484"/>
      <c r="T32" s="439" cm="1" t="str">
        <f t="array" ref="T32:T32">T31</f>
        <v>false</v>
      </c>
      <c r="U32" s="1484"/>
      <c r="V32" s="1484"/>
      <c r="W32" s="1484"/>
      <c r="X32" s="1462"/>
      <c r="Y32" s="1484"/>
      <c r="Z32" s="1484"/>
      <c r="AA32" s="1484"/>
      <c r="AB32" s="55" t="s">
        <v>492</v>
      </c>
      <c r="AC32" s="104" t="s">
        <v>800</v>
      </c>
      <c r="AD32" s="58" t="s">
        <v>801</v>
      </c>
      <c r="AE32" s="282">
        <f>IF(AE30=0,0,AE29/AE30)</f>
        <v>0</v>
      </c>
      <c r="AF32" s="282">
        <f>IF(AF30=0,0,AF29/AF30)</f>
        <v>0</v>
      </c>
      <c r="AG32" s="282">
        <f>IF(AG30=0,0,AG29/AG30)</f>
        <v>0</v>
      </c>
      <c r="AH32" s="282">
        <f>IF(AH30=0,0,AH29/AH30)</f>
        <v>0</v>
      </c>
      <c r="AI32" s="282">
        <f>IF(AI30=0,0,AI29/AI30)</f>
        <v>0</v>
      </c>
      <c r="AJ32" s="282">
        <f>IF(AJ30=0,0,AJ29/AJ30)</f>
        <v>0</v>
      </c>
      <c r="AK32" s="282">
        <f>IF(AK30=0,0,AK29/AK30)</f>
        <v>0</v>
      </c>
      <c r="AL32" s="282">
        <f>IF(AL30=0,0,AL29/AL30)</f>
        <v>0</v>
      </c>
      <c r="AM32" s="282">
        <f>IF(AM30=0,0,AM29/AM30)</f>
        <v>0</v>
      </c>
      <c r="AN32" s="282">
        <f>IF(AN30=0,0,AN29/AN30)</f>
        <v>0</v>
      </c>
      <c r="AO32" s="282">
        <f>IF(AO30=0,0,AO29/AO30)</f>
        <v>0</v>
      </c>
      <c r="AP32" s="282">
        <f>IF(AP30=0,0,AP29/AP30)</f>
        <v>0</v>
      </c>
      <c r="AQ32" s="282">
        <f>IF(AQ30=0,0,AQ29/AQ30)</f>
        <v>0</v>
      </c>
      <c r="AR32" s="282">
        <f>IF(AR30=0,0,AR29/AR30)</f>
        <v>0</v>
      </c>
      <c r="AS32" s="282">
        <f>IF(AS30=0,0,AS29/AS30)</f>
        <v>0</v>
      </c>
      <c r="AT32" s="282">
        <f>IF(AT30=0,0,AT29/AT30)</f>
        <v>0</v>
      </c>
      <c r="AU32" s="282">
        <f>IF(AU30=0,0,AU29/AU30)</f>
        <v>0</v>
      </c>
      <c r="AV32" s="282">
        <f>IF(AV30=0,0,AV29/AV30)</f>
        <v>0</v>
      </c>
      <c r="AW32" s="282">
        <f>IF(AW30=0,0,AW29/AW30)</f>
        <v>0</v>
      </c>
      <c r="AX32" s="282">
        <f>IF(AX30=0,0,AX29/AX30)</f>
        <v>0</v>
      </c>
      <c r="AY32" s="282">
        <f>IF(AY30=0,0,AY29/AY30)</f>
        <v>0</v>
      </c>
      <c r="AZ32" s="282">
        <f>IF(AZ30=0,0,AZ29/AZ30)</f>
        <v>0</v>
      </c>
      <c r="BA32" s="282">
        <f>IF(BA30=0,0,BA29/BA30)</f>
        <v>0</v>
      </c>
      <c r="BB32" s="282">
        <f>IF(BB30=0,0,BB29/BB30)</f>
        <v>0</v>
      </c>
      <c r="BC32" s="1887"/>
      <c r="BD32" s="1484"/>
      <c r="BE32" s="1484"/>
      <c r="BF32" s="1014" t="s">
        <v>802</v>
      </c>
      <c r="BG32" s="1014"/>
      <c r="BH32" s="1014"/>
      <c r="BI32" s="234"/>
      <c r="BJ32" s="234"/>
    </row>
    <row s="1484" customFormat="1" customHeight="1" ht="12.675000000000002" hidden="1">
      <c r="A33" s="1484"/>
      <c r="B33" s="402"/>
      <c r="C33" s="457"/>
      <c r="D33" s="1484"/>
      <c r="E33" s="234">
        <v>13</v>
      </c>
      <c r="F33" s="50" cm="1" t="str">
        <f t="array" ref="F33:F33">OFFSET(E33,-1,1)</f>
        <v>0</v>
      </c>
      <c r="G33" s="92"/>
      <c r="H33" s="92"/>
      <c r="I33" s="1484"/>
      <c r="J33" s="1484"/>
      <c r="K33" s="1484"/>
      <c r="L33" s="1484"/>
      <c r="M33" s="1484"/>
      <c r="N33" s="1484"/>
      <c r="O33" s="1484"/>
      <c r="P33" s="1484"/>
      <c r="Q33" s="1484"/>
      <c r="R33" s="1484"/>
      <c r="S33" s="1484"/>
      <c r="T33" s="439" cm="1" t="str">
        <f t="array" ref="T33:T33">T32</f>
        <v>false</v>
      </c>
      <c r="U33" s="1484"/>
      <c r="V33" s="1484"/>
      <c r="W33" s="1484"/>
      <c r="X33" s="1462"/>
      <c r="Y33" s="1484"/>
      <c r="Z33" s="1484"/>
      <c r="AA33" s="1484"/>
      <c r="AB33" s="632"/>
      <c r="AC33" s="233" t="s">
        <v>803</v>
      </c>
      <c r="AD33" s="234"/>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6"/>
      <c r="BD33" s="1484"/>
      <c r="BE33" s="1484"/>
      <c r="BF33" s="1014"/>
      <c r="BG33" s="1014"/>
      <c r="BH33" s="1014"/>
      <c r="BI33" s="234"/>
      <c r="BJ33" s="234"/>
    </row>
    <row s="1484" customFormat="1" customHeight="1" ht="10.96875" hidden="1">
      <c r="A34" s="1484"/>
      <c r="B34" s="402"/>
      <c r="C34" s="457"/>
      <c r="D34" s="1484"/>
      <c r="E34" s="234">
        <v>11.25</v>
      </c>
      <c r="F34" s="50" cm="1" t="str">
        <f t="array" ref="F34:F34">OFFSET(E34,-1,1)</f>
        <v>0</v>
      </c>
      <c r="G34" s="92" t="s">
        <v>491</v>
      </c>
      <c r="H34" s="92" cm="1" t="str">
        <f t="array" ref="H34:H34">AC34</f>
        <v>0</v>
      </c>
      <c r="I34" s="1484"/>
      <c r="J34" s="1484"/>
      <c r="K34" s="1484"/>
      <c r="L34" s="1484"/>
      <c r="M34" s="1484"/>
      <c r="N34" s="1484"/>
      <c r="O34" s="1484"/>
      <c r="P34" s="1484"/>
      <c r="Q34" s="1484"/>
      <c r="R34" s="1484"/>
      <c r="S34" s="1484"/>
      <c r="T34" s="439">
        <f>AND(F34&gt;0,Y34&gt;0)</f>
        <v>0</v>
      </c>
      <c r="U34" s="1484"/>
      <c r="V34" s="1484"/>
      <c r="W34" s="738" t="s">
        <v>173</v>
      </c>
      <c r="X34" s="1462"/>
      <c r="Y34" s="1462">
        <v>0</v>
      </c>
      <c r="Z34" s="1484"/>
      <c r="AA34" s="1413" t="s">
        <v>174</v>
      </c>
      <c r="AB34" s="55" t="str">
        <f>"6."&amp;Y34</f>
        <v>6.0</v>
      </c>
      <c r="AC34" s="2399"/>
      <c r="AD34" s="55" t="s">
        <v>784</v>
      </c>
      <c r="AE34" s="1764"/>
      <c r="AF34" s="1764"/>
      <c r="AG34" s="1764"/>
      <c r="AH34" s="1764"/>
      <c r="AI34" s="107"/>
      <c r="AJ34" s="1764"/>
      <c r="AK34" s="1764"/>
      <c r="AL34" s="1764"/>
      <c r="AM34" s="1764"/>
      <c r="AN34" s="1764"/>
      <c r="AO34" s="1764"/>
      <c r="AP34" s="1764"/>
      <c r="AQ34" s="1764"/>
      <c r="AR34" s="1764"/>
      <c r="AS34" s="107"/>
      <c r="AT34" s="1764"/>
      <c r="AU34" s="1764"/>
      <c r="AV34" s="1764"/>
      <c r="AW34" s="1764"/>
      <c r="AX34" s="1764"/>
      <c r="AY34" s="1764"/>
      <c r="AZ34" s="1764"/>
      <c r="BA34" s="1764"/>
      <c r="BB34" s="1764"/>
      <c r="BC34" s="1887"/>
      <c r="BD34" s="1484"/>
      <c r="BE34" s="1484"/>
      <c r="BF34" s="1014" t="s">
        <v>804</v>
      </c>
      <c r="BG34" s="1014" t="s">
        <v>805</v>
      </c>
      <c r="BH34" s="1014" cm="1" t="str">
        <f t="array" ref="BH34:BH34">AC34</f>
        <v>0</v>
      </c>
      <c r="BI34" s="234"/>
      <c r="BJ34" s="234" t="b">
        <v>1</v>
      </c>
    </row>
    <row s="1484" customFormat="1" customHeight="1" ht="10.96875" hidden="1">
      <c r="A35" s="1484"/>
      <c r="B35" s="402"/>
      <c r="C35" s="457"/>
      <c r="D35" s="1484"/>
      <c r="E35" s="234">
        <v>11.25</v>
      </c>
      <c r="F35" s="50" cm="1" t="str">
        <f t="array" ref="F35:F35">OFFSET(E35,-1,1)</f>
        <v>0</v>
      </c>
      <c r="G35" s="92" t="s">
        <v>651</v>
      </c>
      <c r="H35" s="92" cm="1" t="str">
        <f t="array" ref="H35:H35">H34</f>
        <v>0</v>
      </c>
      <c r="I35" s="1484"/>
      <c r="J35" s="1484"/>
      <c r="K35" s="1484"/>
      <c r="L35" s="1484"/>
      <c r="M35" s="1484"/>
      <c r="N35" s="1484"/>
      <c r="O35" s="1484"/>
      <c r="P35" s="1484"/>
      <c r="Q35" s="1484"/>
      <c r="R35" s="1484"/>
      <c r="S35" s="1484"/>
      <c r="T35" s="439" cm="1" t="str">
        <f t="array" ref="T35:T35">T34</f>
        <v>false</v>
      </c>
      <c r="U35" s="1484"/>
      <c r="V35" s="1484"/>
      <c r="W35" s="1484"/>
      <c r="X35" s="1462"/>
      <c r="Y35" s="1462"/>
      <c r="Z35" s="1484"/>
      <c r="AA35" s="1413"/>
      <c r="AB35" s="55" t="str">
        <f>AB34&amp;".1"</f>
        <v>6.0.1</v>
      </c>
      <c r="AC35" s="159" t="s">
        <v>806</v>
      </c>
      <c r="AD35" s="58" t="s">
        <v>798</v>
      </c>
      <c r="AE35" s="158">
        <f>IF(OR(AND(AE34&lt;&gt;0,AE36=0),AND(AE34=0,AE36&lt;&gt;0)),"Ошибка",IF(AE36=0,0,AE34/AE36))</f>
        <v>0</v>
      </c>
      <c r="AF35" s="158">
        <f>IF(OR(AND(AF34&lt;&gt;0,AF36=0),AND(AF34=0,AF36&lt;&gt;0)),"Ошибка",IF(AF36=0,0,AF34/AF36))</f>
        <v>0</v>
      </c>
      <c r="AG35" s="158">
        <f>IF(OR(AND(AG34&lt;&gt;0,AG36=0),AND(AG34=0,AG36&lt;&gt;0)),"Ошибка",IF(AG36=0,0,AG34/AG36))</f>
        <v>0</v>
      </c>
      <c r="AH35" s="158">
        <f>IF(OR(AND(AH34&lt;&gt;0,AH36=0),AND(AH34=0,AH36&lt;&gt;0)),"Ошибка",IF(AH36=0,0,AH34/AH36))</f>
        <v>0</v>
      </c>
      <c r="AI35" s="158">
        <f>IF(OR(AND(AI34&lt;&gt;0,AI36=0),AND(AI34=0,AI36&lt;&gt;0)),"Ошибка",IF(AI36=0,0,AI34/AI36))</f>
        <v>0</v>
      </c>
      <c r="AJ35" s="158">
        <f>IF(OR(AND(AJ34&lt;&gt;0,AJ36=0),AND(AJ34=0,AJ36&lt;&gt;0)),"Ошибка",IF(AJ36=0,0,AJ34/AJ36))</f>
        <v>0</v>
      </c>
      <c r="AK35" s="158">
        <f>IF(OR(AND(AK34&lt;&gt;0,AK36=0),AND(AK34=0,AK36&lt;&gt;0)),"Ошибка",IF(AK36=0,0,AK34/AK36))</f>
        <v>0</v>
      </c>
      <c r="AL35" s="158">
        <f>IF(OR(AND(AL34&lt;&gt;0,AL36=0),AND(AL34=0,AL36&lt;&gt;0)),"Ошибка",IF(AL36=0,0,AL34/AL36))</f>
        <v>0</v>
      </c>
      <c r="AM35" s="158">
        <f>IF(OR(AND(AM34&lt;&gt;0,AM36=0),AND(AM34=0,AM36&lt;&gt;0)),"Ошибка",IF(AM36=0,0,AM34/AM36))</f>
        <v>0</v>
      </c>
      <c r="AN35" s="158">
        <f>IF(OR(AND(AN34&lt;&gt;0,AN36=0),AND(AN34=0,AN36&lt;&gt;0)),"Ошибка",IF(AN36=0,0,AN34/AN36))</f>
        <v>0</v>
      </c>
      <c r="AO35" s="158">
        <f>IF(OR(AND(AO34&lt;&gt;0,AO36=0),AND(AO34=0,AO36&lt;&gt;0)),"Ошибка",IF(AO36=0,0,AO34/AO36))</f>
        <v>0</v>
      </c>
      <c r="AP35" s="158">
        <f>IF(OR(AND(AP34&lt;&gt;0,AP36=0),AND(AP34=0,AP36&lt;&gt;0)),"Ошибка",IF(AP36=0,0,AP34/AP36))</f>
        <v>0</v>
      </c>
      <c r="AQ35" s="158">
        <f>IF(OR(AND(AQ34&lt;&gt;0,AQ36=0),AND(AQ34=0,AQ36&lt;&gt;0)),"Ошибка",IF(AQ36=0,0,AQ34/AQ36))</f>
        <v>0</v>
      </c>
      <c r="AR35" s="158">
        <f>IF(OR(AND(AR34&lt;&gt;0,AR36=0),AND(AR34=0,AR36&lt;&gt;0)),"Ошибка",IF(AR36=0,0,AR34/AR36))</f>
        <v>0</v>
      </c>
      <c r="AS35" s="158">
        <f>IF(OR(AND(AS34&lt;&gt;0,AS36=0),AND(AS34=0,AS36&lt;&gt;0)),"Ошибка",IF(AS36=0,0,AS34/AS36))</f>
        <v>0</v>
      </c>
      <c r="AT35" s="158">
        <f>IF(OR(AND(AT34&lt;&gt;0,AT36=0),AND(AT34=0,AT36&lt;&gt;0)),"Ошибка",IF(AT36=0,0,AT34/AT36))</f>
        <v>0</v>
      </c>
      <c r="AU35" s="158">
        <f>IF(OR(AND(AU34&lt;&gt;0,AU36=0),AND(AU34=0,AU36&lt;&gt;0)),"Ошибка",IF(AU36=0,0,AU34/AU36))</f>
        <v>0</v>
      </c>
      <c r="AV35" s="158">
        <f>IF(OR(AND(AV34&lt;&gt;0,AV36=0),AND(AV34=0,AV36&lt;&gt;0)),"Ошибка",IF(AV36=0,0,AV34/AV36))</f>
        <v>0</v>
      </c>
      <c r="AW35" s="158">
        <f>IF(OR(AND(AW34&lt;&gt;0,AW36=0),AND(AW34=0,AW36&lt;&gt;0)),"Ошибка",IF(AW36=0,0,AW34/AW36))</f>
        <v>0</v>
      </c>
      <c r="AX35" s="158">
        <f>IF(OR(AND(AX34&lt;&gt;0,AX36=0),AND(AX34=0,AX36&lt;&gt;0)),"Ошибка",IF(AX36=0,0,AX34/AX36))</f>
        <v>0</v>
      </c>
      <c r="AY35" s="158">
        <f>IF(OR(AND(AY34&lt;&gt;0,AY36=0),AND(AY34=0,AY36&lt;&gt;0)),"Ошибка",IF(AY36=0,0,AY34/AY36))</f>
        <v>0</v>
      </c>
      <c r="AZ35" s="158">
        <f>IF(OR(AND(AZ34&lt;&gt;0,AZ36=0),AND(AZ34=0,AZ36&lt;&gt;0)),"Ошибка",IF(AZ36=0,0,AZ34/AZ36))</f>
        <v>0</v>
      </c>
      <c r="BA35" s="158">
        <f>IF(OR(AND(BA34&lt;&gt;0,BA36=0),AND(BA34=0,BA36&lt;&gt;0)),"Ошибка",IF(BA36=0,0,BA34/BA36))</f>
        <v>0</v>
      </c>
      <c r="BB35" s="158">
        <f>IF(OR(AND(BB34&lt;&gt;0,BB36=0),AND(BB34=0,BB36&lt;&gt;0)),"Ошибка",IF(BB36=0,0,BB34/BB36))</f>
        <v>0</v>
      </c>
      <c r="BC35" s="1887"/>
      <c r="BD35" s="1484"/>
      <c r="BE35" s="1484"/>
      <c r="BF35" s="1014" t="s">
        <v>807</v>
      </c>
      <c r="BG35" s="1014" t="s">
        <v>805</v>
      </c>
      <c r="BH35" s="1014" cm="1" t="str">
        <f t="array" ref="BH35:BH35">BH34</f>
        <v>0</v>
      </c>
      <c r="BI35" s="234"/>
      <c r="BJ35" s="234"/>
    </row>
    <row s="1484" customFormat="1" customHeight="1" ht="10.96875" hidden="1">
      <c r="A36" s="1484"/>
      <c r="B36" s="402"/>
      <c r="C36" s="457"/>
      <c r="D36" s="1484"/>
      <c r="E36" s="234">
        <v>11.25</v>
      </c>
      <c r="F36" s="50" cm="1" t="str">
        <f t="array" ref="F36:F36">OFFSET(E36,-1,1)</f>
        <v>0</v>
      </c>
      <c r="G36" s="92" t="s">
        <v>654</v>
      </c>
      <c r="H36" s="92" cm="1" t="str">
        <f t="array" ref="H36:H36">H35</f>
        <v>0</v>
      </c>
      <c r="I36" s="1484"/>
      <c r="J36" s="1484"/>
      <c r="K36" s="1484"/>
      <c r="L36" s="1484"/>
      <c r="M36" s="1484"/>
      <c r="N36" s="1484"/>
      <c r="O36" s="1484"/>
      <c r="P36" s="1484"/>
      <c r="Q36" s="1484"/>
      <c r="R36" s="1484"/>
      <c r="S36" s="1484"/>
      <c r="T36" s="439" cm="1" t="str">
        <f t="array" ref="T36:T36">T35</f>
        <v>false</v>
      </c>
      <c r="U36" s="1484"/>
      <c r="V36" s="1484"/>
      <c r="W36" s="1484"/>
      <c r="X36" s="1462"/>
      <c r="Y36" s="1462"/>
      <c r="Z36" s="1484"/>
      <c r="AA36" s="1413"/>
      <c r="AB36" s="55" t="str">
        <f>AB34&amp;".2"</f>
        <v>6.0.2</v>
      </c>
      <c r="AC36" s="159" t="s">
        <v>808</v>
      </c>
      <c r="AD36" s="58" t="s">
        <v>792</v>
      </c>
      <c r="AE36" s="1764"/>
      <c r="AF36" s="1764"/>
      <c r="AG36" s="1764"/>
      <c r="AH36" s="1764"/>
      <c r="AI36" s="107"/>
      <c r="AJ36" s="1764"/>
      <c r="AK36" s="1764"/>
      <c r="AL36" s="1764"/>
      <c r="AM36" s="1764"/>
      <c r="AN36" s="1764"/>
      <c r="AO36" s="1764"/>
      <c r="AP36" s="1764"/>
      <c r="AQ36" s="1764"/>
      <c r="AR36" s="1764"/>
      <c r="AS36" s="107"/>
      <c r="AT36" s="1764"/>
      <c r="AU36" s="1764"/>
      <c r="AV36" s="1764"/>
      <c r="AW36" s="1764"/>
      <c r="AX36" s="1764"/>
      <c r="AY36" s="1764"/>
      <c r="AZ36" s="1764"/>
      <c r="BA36" s="1764"/>
      <c r="BB36" s="1764"/>
      <c r="BC36" s="1887"/>
      <c r="BD36" s="1484"/>
      <c r="BE36" s="1484"/>
      <c r="BF36" s="1014" t="s">
        <v>809</v>
      </c>
      <c r="BG36" s="1014" t="s">
        <v>805</v>
      </c>
      <c r="BH36" s="1014" cm="1" t="str">
        <f t="array" ref="BH36:BH36">BH35</f>
        <v>0</v>
      </c>
      <c r="BI36" s="234"/>
      <c r="BJ36" s="234"/>
    </row>
    <row s="1168" customFormat="1" customHeight="1" ht="14.625" hidden="1">
      <c r="A37" s="1168"/>
      <c r="B37" s="400"/>
      <c r="C37" s="457"/>
      <c r="D37" s="1168"/>
      <c r="E37" s="612">
        <v>15</v>
      </c>
      <c r="F37" s="50" cm="1" t="str">
        <f t="array" ref="F37:F37">OFFSET(E37,-1,1)</f>
        <v>0</v>
      </c>
      <c r="G37" s="1168"/>
      <c r="H37" s="940" t="s">
        <v>810</v>
      </c>
      <c r="I37" s="1168"/>
      <c r="J37" s="1168"/>
      <c r="K37" s="1168"/>
      <c r="L37" s="1168"/>
      <c r="M37" s="1168"/>
      <c r="N37" s="1168"/>
      <c r="O37" s="1168"/>
      <c r="P37" s="1168"/>
      <c r="Q37" s="1168"/>
      <c r="R37" s="1168"/>
      <c r="S37" s="1168"/>
      <c r="T37" s="439">
        <f>F37&gt;0</f>
        <v>0</v>
      </c>
      <c r="U37" s="1168"/>
      <c r="V37" s="1168"/>
      <c r="W37" s="738" t="s">
        <v>392</v>
      </c>
      <c r="X37" s="1462"/>
      <c r="Y37" s="1168"/>
      <c r="Z37" s="1484"/>
      <c r="AA37" s="1168"/>
      <c r="AB37" s="633"/>
      <c r="AC37" s="145" t="s">
        <v>177</v>
      </c>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54"/>
      <c r="BD37" s="1168"/>
      <c r="BE37" s="1168"/>
      <c r="BF37" s="1001"/>
      <c r="BG37" s="1001"/>
      <c r="BH37" s="1001"/>
      <c r="BI37" s="612" t="s">
        <v>805</v>
      </c>
      <c r="BJ37" s="612"/>
    </row>
    <row s="1484" customFormat="1" customHeight="1" ht="12.675000000000002" hidden="1">
      <c r="A38" s="1484"/>
      <c r="B38" s="402"/>
      <c r="C38" s="457"/>
      <c r="D38" s="1484"/>
      <c r="E38" s="234">
        <v>13</v>
      </c>
      <c r="F38" s="50" cm="1" t="str">
        <f t="array" ref="F38:F38">OFFSET(E38,-1,1)</f>
        <v>0</v>
      </c>
      <c r="G38" s="92"/>
      <c r="H38" s="92"/>
      <c r="I38" s="1484"/>
      <c r="J38" s="1484"/>
      <c r="K38" s="1484"/>
      <c r="L38" s="1484"/>
      <c r="M38" s="1484"/>
      <c r="N38" s="1484"/>
      <c r="O38" s="1484"/>
      <c r="P38" s="1484"/>
      <c r="Q38" s="1484"/>
      <c r="R38" s="1484"/>
      <c r="S38" s="1484"/>
      <c r="T38" s="439" cm="1" t="str">
        <f t="array" ref="T38:T38">T37</f>
        <v>false</v>
      </c>
      <c r="U38" s="1484"/>
      <c r="V38" s="1484"/>
      <c r="W38" s="1484"/>
      <c r="X38" s="1462"/>
      <c r="Y38" s="1484"/>
      <c r="Z38" s="1484"/>
      <c r="AA38" s="1484"/>
      <c r="AB38" s="632"/>
      <c r="AC38" s="233" t="s">
        <v>811</v>
      </c>
      <c r="AD38" s="234"/>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6"/>
      <c r="BD38" s="1484"/>
      <c r="BE38" s="1484"/>
      <c r="BF38" s="1014"/>
      <c r="BG38" s="1014"/>
      <c r="BH38" s="1014"/>
      <c r="BI38" s="234"/>
      <c r="BJ38" s="234"/>
    </row>
    <row s="1484" customFormat="1" customHeight="1" ht="10.96875" hidden="1">
      <c r="A39" s="1484"/>
      <c r="B39" s="402"/>
      <c r="C39" s="457"/>
      <c r="D39" s="1484"/>
      <c r="E39" s="234">
        <v>11.25</v>
      </c>
      <c r="F39" s="50" cm="1" t="str">
        <f t="array" ref="F39:F39">OFFSET(E39,-1,1)</f>
        <v>0</v>
      </c>
      <c r="G39" s="92" t="s">
        <v>491</v>
      </c>
      <c r="H39" s="92" cm="1" t="str">
        <f t="array" ref="H39:H39">AC39</f>
        <v>0</v>
      </c>
      <c r="I39" s="1484"/>
      <c r="J39" s="1484"/>
      <c r="K39" s="1484"/>
      <c r="L39" s="1484"/>
      <c r="M39" s="1484"/>
      <c r="N39" s="1484"/>
      <c r="O39" s="1484"/>
      <c r="P39" s="1484"/>
      <c r="Q39" s="1484"/>
      <c r="R39" s="1484"/>
      <c r="S39" s="1484"/>
      <c r="T39" s="439">
        <f>AND(F39&gt;0,Y39&gt;0)</f>
        <v>0</v>
      </c>
      <c r="U39" s="1484"/>
      <c r="V39" s="1484"/>
      <c r="W39" s="738" t="s">
        <v>173</v>
      </c>
      <c r="X39" s="1462"/>
      <c r="Y39" s="1462">
        <v>0</v>
      </c>
      <c r="Z39" s="1484"/>
      <c r="AA39" s="1413" t="s">
        <v>174</v>
      </c>
      <c r="AB39" s="55" t="str">
        <f>"7."&amp;Y39</f>
        <v>7.0</v>
      </c>
      <c r="AC39" s="2399"/>
      <c r="AD39" s="55" t="s">
        <v>784</v>
      </c>
      <c r="AE39" s="158">
        <f>AE40+AE43</f>
        <v>0</v>
      </c>
      <c r="AF39" s="158">
        <f>AF40+AF43</f>
        <v>0</v>
      </c>
      <c r="AG39" s="158">
        <f>AG40+AG43</f>
        <v>0</v>
      </c>
      <c r="AH39" s="158">
        <f>AH40+AH43</f>
        <v>0</v>
      </c>
      <c r="AI39" s="158">
        <f>AI40+AI43</f>
        <v>0</v>
      </c>
      <c r="AJ39" s="158">
        <f>AJ40+AJ43</f>
        <v>0</v>
      </c>
      <c r="AK39" s="158">
        <f>AK40+AK43</f>
        <v>0</v>
      </c>
      <c r="AL39" s="158">
        <f>AL40+AL43</f>
        <v>0</v>
      </c>
      <c r="AM39" s="158">
        <f>AM40+AM43</f>
        <v>0</v>
      </c>
      <c r="AN39" s="158">
        <f>AN40+AN43</f>
        <v>0</v>
      </c>
      <c r="AO39" s="158">
        <f>AO40+AO43</f>
        <v>0</v>
      </c>
      <c r="AP39" s="158">
        <f>AP40+AP43</f>
        <v>0</v>
      </c>
      <c r="AQ39" s="158">
        <f>AQ40+AQ43</f>
        <v>0</v>
      </c>
      <c r="AR39" s="158">
        <f>AR40+AR43</f>
        <v>0</v>
      </c>
      <c r="AS39" s="158">
        <f>AS40+AS43</f>
        <v>0</v>
      </c>
      <c r="AT39" s="158">
        <f>AT40+AT43</f>
        <v>0</v>
      </c>
      <c r="AU39" s="158">
        <f>AU40+AU43</f>
        <v>0</v>
      </c>
      <c r="AV39" s="158">
        <f>AV40+AV43</f>
        <v>0</v>
      </c>
      <c r="AW39" s="158">
        <f>AW40+AW43</f>
        <v>0</v>
      </c>
      <c r="AX39" s="158">
        <f>AX40+AX43</f>
        <v>0</v>
      </c>
      <c r="AY39" s="158">
        <f>AY40+AY43</f>
        <v>0</v>
      </c>
      <c r="AZ39" s="158">
        <f>AZ40+AZ43</f>
        <v>0</v>
      </c>
      <c r="BA39" s="158">
        <f>BA40+BA43</f>
        <v>0</v>
      </c>
      <c r="BB39" s="158">
        <f>BB40+BB43</f>
        <v>0</v>
      </c>
      <c r="BC39" s="1887"/>
      <c r="BD39" s="1484"/>
      <c r="BE39" s="1484"/>
      <c r="BF39" s="1014" t="s">
        <v>812</v>
      </c>
      <c r="BG39" s="1014" t="s">
        <v>813</v>
      </c>
      <c r="BH39" s="1014" cm="1" t="str">
        <f t="array" ref="BH39:BH39">AC39</f>
        <v>0</v>
      </c>
      <c r="BI39" s="234"/>
      <c r="BJ39" s="234"/>
    </row>
    <row s="1484" customFormat="1" customHeight="1" ht="10.96875" hidden="1">
      <c r="A40" s="1484"/>
      <c r="B40" s="402"/>
      <c r="C40" s="457"/>
      <c r="D40" s="1484"/>
      <c r="E40" s="234">
        <v>11.25</v>
      </c>
      <c r="F40" s="50" cm="1" t="str">
        <f t="array" ref="F40:F40">OFFSET(E40,-1,1)</f>
        <v>0</v>
      </c>
      <c r="G40" s="92" t="s">
        <v>658</v>
      </c>
      <c r="H40" s="92" cm="1" t="str">
        <f t="array" ref="H40:H40">H39</f>
        <v>0</v>
      </c>
      <c r="I40" s="1484"/>
      <c r="J40" s="1484"/>
      <c r="K40" s="1484"/>
      <c r="L40" s="1484"/>
      <c r="M40" s="1484"/>
      <c r="N40" s="1484"/>
      <c r="O40" s="1484"/>
      <c r="P40" s="1484"/>
      <c r="Q40" s="1484"/>
      <c r="R40" s="1484"/>
      <c r="S40" s="1484"/>
      <c r="T40" s="439" cm="1" t="str">
        <f t="array" ref="T40:T40">T39</f>
        <v>false</v>
      </c>
      <c r="U40" s="1484"/>
      <c r="V40" s="1484"/>
      <c r="W40" s="1484"/>
      <c r="X40" s="1462"/>
      <c r="Y40" s="1462"/>
      <c r="Z40" s="1484"/>
      <c r="AA40" s="1413"/>
      <c r="AB40" s="55" t="str">
        <f>AB39&amp;".1"</f>
        <v>7.0.1</v>
      </c>
      <c r="AC40" s="159" t="s">
        <v>814</v>
      </c>
      <c r="AD40" s="55" t="s">
        <v>815</v>
      </c>
      <c r="AE40" s="1764"/>
      <c r="AF40" s="1764"/>
      <c r="AG40" s="1764"/>
      <c r="AH40" s="1764"/>
      <c r="AI40" s="107"/>
      <c r="AJ40" s="1764"/>
      <c r="AK40" s="1764"/>
      <c r="AL40" s="1764"/>
      <c r="AM40" s="1764"/>
      <c r="AN40" s="1764"/>
      <c r="AO40" s="1764"/>
      <c r="AP40" s="1764"/>
      <c r="AQ40" s="1764"/>
      <c r="AR40" s="1764"/>
      <c r="AS40" s="107"/>
      <c r="AT40" s="1764"/>
      <c r="AU40" s="1764"/>
      <c r="AV40" s="1764"/>
      <c r="AW40" s="1764"/>
      <c r="AX40" s="1764"/>
      <c r="AY40" s="1764"/>
      <c r="AZ40" s="1764"/>
      <c r="BA40" s="1764"/>
      <c r="BB40" s="1764"/>
      <c r="BC40" s="1887"/>
      <c r="BD40" s="1484"/>
      <c r="BE40" s="1484"/>
      <c r="BF40" s="1014" t="s">
        <v>816</v>
      </c>
      <c r="BG40" s="1014" t="s">
        <v>813</v>
      </c>
      <c r="BH40" s="1014" cm="1" t="str">
        <f t="array" ref="BH40:BH40">BH39</f>
        <v>0</v>
      </c>
      <c r="BI40" s="234"/>
      <c r="BJ40" s="234"/>
    </row>
    <row s="1484" customFormat="1" customHeight="1" ht="10.96875" hidden="1">
      <c r="A41" s="1484"/>
      <c r="B41" s="402"/>
      <c r="C41" s="457"/>
      <c r="D41" s="1484"/>
      <c r="E41" s="234">
        <v>11.25</v>
      </c>
      <c r="F41" s="50" cm="1" t="str">
        <f t="array" ref="F41:F41">OFFSET(E41,-1,1)</f>
        <v>0</v>
      </c>
      <c r="G41" s="92" t="s">
        <v>817</v>
      </c>
      <c r="H41" s="92" cm="1" t="str">
        <f t="array" ref="H41:H41">H40</f>
        <v>0</v>
      </c>
      <c r="I41" s="1484"/>
      <c r="J41" s="1484"/>
      <c r="K41" s="1484"/>
      <c r="L41" s="1484"/>
      <c r="M41" s="1484"/>
      <c r="N41" s="1484"/>
      <c r="O41" s="1484"/>
      <c r="P41" s="1484"/>
      <c r="Q41" s="1484"/>
      <c r="R41" s="1484"/>
      <c r="S41" s="1484"/>
      <c r="T41" s="439" cm="1" t="str">
        <f t="array" ref="T41:T41">T40</f>
        <v>false</v>
      </c>
      <c r="U41" s="1484"/>
      <c r="V41" s="1484"/>
      <c r="W41" s="1484"/>
      <c r="X41" s="1462"/>
      <c r="Y41" s="1462"/>
      <c r="Z41" s="1484"/>
      <c r="AA41" s="1413"/>
      <c r="AB41" s="55" t="str">
        <f>AB39&amp;".1.1"</f>
        <v>7.0.1.1</v>
      </c>
      <c r="AC41" s="299" t="s">
        <v>806</v>
      </c>
      <c r="AD41" s="58" t="s">
        <v>798</v>
      </c>
      <c r="AE41" s="158">
        <f>IF(OR(AND(AE40&lt;&gt;0,AE42=0),AND(AE40=0,AE42&lt;&gt;0)),"Ошибка",IF(AE42=0,0,AE40/AE42))</f>
        <v>0</v>
      </c>
      <c r="AF41" s="158">
        <f>IF(OR(AND(AF40&lt;&gt;0,AF42=0),AND(AF40=0,AF42&lt;&gt;0)),"Ошибка",IF(AF42=0,0,AF40/AF42))</f>
        <v>0</v>
      </c>
      <c r="AG41" s="158">
        <f>IF(OR(AND(AG40&lt;&gt;0,AG42=0),AND(AG40=0,AG42&lt;&gt;0)),"Ошибка",IF(AG42=0,0,AG40/AG42))</f>
        <v>0</v>
      </c>
      <c r="AH41" s="158">
        <f>IF(OR(AND(AH40&lt;&gt;0,AH42=0),AND(AH40=0,AH42&lt;&gt;0)),"Ошибка",IF(AH42=0,0,AH40/AH42))</f>
        <v>0</v>
      </c>
      <c r="AI41" s="158">
        <f>IF(OR(AND(AI40&lt;&gt;0,AI42=0),AND(AI40=0,AI42&lt;&gt;0)),"Ошибка",IF(AI42=0,0,AI40/AI42))</f>
        <v>0</v>
      </c>
      <c r="AJ41" s="158">
        <f>IF(OR(AND(AJ40&lt;&gt;0,AJ42=0),AND(AJ40=0,AJ42&lt;&gt;0)),"Ошибка",IF(AJ42=0,0,AJ40/AJ42))</f>
        <v>0</v>
      </c>
      <c r="AK41" s="158">
        <f>IF(OR(AND(AK40&lt;&gt;0,AK42=0),AND(AK40=0,AK42&lt;&gt;0)),"Ошибка",IF(AK42=0,0,AK40/AK42))</f>
        <v>0</v>
      </c>
      <c r="AL41" s="158">
        <f>IF(OR(AND(AL40&lt;&gt;0,AL42=0),AND(AL40=0,AL42&lt;&gt;0)),"Ошибка",IF(AL42=0,0,AL40/AL42))</f>
        <v>0</v>
      </c>
      <c r="AM41" s="158">
        <f>IF(OR(AND(AM40&lt;&gt;0,AM42=0),AND(AM40=0,AM42&lt;&gt;0)),"Ошибка",IF(AM42=0,0,AM40/AM42))</f>
        <v>0</v>
      </c>
      <c r="AN41" s="158">
        <f>IF(OR(AND(AN40&lt;&gt;0,AN42=0),AND(AN40=0,AN42&lt;&gt;0)),"Ошибка",IF(AN42=0,0,AN40/AN42))</f>
        <v>0</v>
      </c>
      <c r="AO41" s="158">
        <f>IF(OR(AND(AO40&lt;&gt;0,AO42=0),AND(AO40=0,AO42&lt;&gt;0)),"Ошибка",IF(AO42=0,0,AO40/AO42))</f>
        <v>0</v>
      </c>
      <c r="AP41" s="158">
        <f>IF(OR(AND(AP40&lt;&gt;0,AP42=0),AND(AP40=0,AP42&lt;&gt;0)),"Ошибка",IF(AP42=0,0,AP40/AP42))</f>
        <v>0</v>
      </c>
      <c r="AQ41" s="158">
        <f>IF(OR(AND(AQ40&lt;&gt;0,AQ42=0),AND(AQ40=0,AQ42&lt;&gt;0)),"Ошибка",IF(AQ42=0,0,AQ40/AQ42))</f>
        <v>0</v>
      </c>
      <c r="AR41" s="158">
        <f>IF(OR(AND(AR40&lt;&gt;0,AR42=0),AND(AR40=0,AR42&lt;&gt;0)),"Ошибка",IF(AR42=0,0,AR40/AR42))</f>
        <v>0</v>
      </c>
      <c r="AS41" s="158">
        <f>IF(OR(AND(AS40&lt;&gt;0,AS42=0),AND(AS40=0,AS42&lt;&gt;0)),"Ошибка",IF(AS42=0,0,AS40/AS42))</f>
        <v>0</v>
      </c>
      <c r="AT41" s="158">
        <f>IF(OR(AND(AT40&lt;&gt;0,AT42=0),AND(AT40=0,AT42&lt;&gt;0)),"Ошибка",IF(AT42=0,0,AT40/AT42))</f>
        <v>0</v>
      </c>
      <c r="AU41" s="158">
        <f>IF(OR(AND(AU40&lt;&gt;0,AU42=0),AND(AU40=0,AU42&lt;&gt;0)),"Ошибка",IF(AU42=0,0,AU40/AU42))</f>
        <v>0</v>
      </c>
      <c r="AV41" s="158">
        <f>IF(OR(AND(AV40&lt;&gt;0,AV42=0),AND(AV40=0,AV42&lt;&gt;0)),"Ошибка",IF(AV42=0,0,AV40/AV42))</f>
        <v>0</v>
      </c>
      <c r="AW41" s="158">
        <f>IF(OR(AND(AW40&lt;&gt;0,AW42=0),AND(AW40=0,AW42&lt;&gt;0)),"Ошибка",IF(AW42=0,0,AW40/AW42))</f>
        <v>0</v>
      </c>
      <c r="AX41" s="158">
        <f>IF(OR(AND(AX40&lt;&gt;0,AX42=0),AND(AX40=0,AX42&lt;&gt;0)),"Ошибка",IF(AX42=0,0,AX40/AX42))</f>
        <v>0</v>
      </c>
      <c r="AY41" s="158">
        <f>IF(OR(AND(AY40&lt;&gt;0,AY42=0),AND(AY40=0,AY42&lt;&gt;0)),"Ошибка",IF(AY42=0,0,AY40/AY42))</f>
        <v>0</v>
      </c>
      <c r="AZ41" s="158">
        <f>IF(OR(AND(AZ40&lt;&gt;0,AZ42=0),AND(AZ40=0,AZ42&lt;&gt;0)),"Ошибка",IF(AZ42=0,0,AZ40/AZ42))</f>
        <v>0</v>
      </c>
      <c r="BA41" s="158">
        <f>IF(OR(AND(BA40&lt;&gt;0,BA42=0),AND(BA40=0,BA42&lt;&gt;0)),"Ошибка",IF(BA42=0,0,BA40/BA42))</f>
        <v>0</v>
      </c>
      <c r="BB41" s="158">
        <f>IF(OR(AND(BB40&lt;&gt;0,BB42=0),AND(BB40=0,BB42&lt;&gt;0)),"Ошибка",IF(BB42=0,0,BB40/BB42))</f>
        <v>0</v>
      </c>
      <c r="BC41" s="1887"/>
      <c r="BD41" s="1484"/>
      <c r="BE41" s="1484"/>
      <c r="BF41" s="1014" t="s">
        <v>818</v>
      </c>
      <c r="BG41" s="1014" t="s">
        <v>813</v>
      </c>
      <c r="BH41" s="1014" cm="1" t="str">
        <f t="array" ref="BH41:BH41">BH40</f>
        <v>0</v>
      </c>
      <c r="BI41" s="234"/>
      <c r="BJ41" s="234"/>
    </row>
    <row s="1484" customFormat="1" customHeight="1" ht="10.96875" hidden="1">
      <c r="A42" s="1484"/>
      <c r="B42" s="402"/>
      <c r="C42" s="457"/>
      <c r="D42" s="1484"/>
      <c r="E42" s="234">
        <v>11.25</v>
      </c>
      <c r="F42" s="50" cm="1" t="str">
        <f t="array" ref="F42:F42">OFFSET(E42,-1,1)</f>
        <v>0</v>
      </c>
      <c r="G42" s="92" t="s">
        <v>819</v>
      </c>
      <c r="H42" s="92" cm="1" t="str">
        <f t="array" ref="H42:H42">H41</f>
        <v>0</v>
      </c>
      <c r="I42" s="1484"/>
      <c r="J42" s="1484"/>
      <c r="K42" s="1484"/>
      <c r="L42" s="1484"/>
      <c r="M42" s="1484"/>
      <c r="N42" s="1484"/>
      <c r="O42" s="1484"/>
      <c r="P42" s="1484"/>
      <c r="Q42" s="1484"/>
      <c r="R42" s="1484"/>
      <c r="S42" s="1484"/>
      <c r="T42" s="439" cm="1" t="str">
        <f t="array" ref="T42:T42">T41</f>
        <v>false</v>
      </c>
      <c r="U42" s="1484"/>
      <c r="V42" s="1484"/>
      <c r="W42" s="1484"/>
      <c r="X42" s="1462"/>
      <c r="Y42" s="1462"/>
      <c r="Z42" s="1484"/>
      <c r="AA42" s="1413"/>
      <c r="AB42" s="55" t="str">
        <f>AB39&amp;".1.2"</f>
        <v>7.0.1.2</v>
      </c>
      <c r="AC42" s="299" t="s">
        <v>808</v>
      </c>
      <c r="AD42" s="58" t="s">
        <v>792</v>
      </c>
      <c r="AE42" s="1764"/>
      <c r="AF42" s="1764"/>
      <c r="AG42" s="1764"/>
      <c r="AH42" s="1764"/>
      <c r="AI42" s="107"/>
      <c r="AJ42" s="1764"/>
      <c r="AK42" s="1764"/>
      <c r="AL42" s="1764"/>
      <c r="AM42" s="1764"/>
      <c r="AN42" s="1764"/>
      <c r="AO42" s="1764"/>
      <c r="AP42" s="1764"/>
      <c r="AQ42" s="1764"/>
      <c r="AR42" s="1764"/>
      <c r="AS42" s="107"/>
      <c r="AT42" s="1764"/>
      <c r="AU42" s="1764"/>
      <c r="AV42" s="1764"/>
      <c r="AW42" s="1764"/>
      <c r="AX42" s="1764"/>
      <c r="AY42" s="1764"/>
      <c r="AZ42" s="1764"/>
      <c r="BA42" s="1764"/>
      <c r="BB42" s="1764"/>
      <c r="BC42" s="1887"/>
      <c r="BD42" s="1484"/>
      <c r="BE42" s="1484"/>
      <c r="BF42" s="1014" t="s">
        <v>820</v>
      </c>
      <c r="BG42" s="1014" t="s">
        <v>813</v>
      </c>
      <c r="BH42" s="1014" cm="1" t="str">
        <f t="array" ref="BH42:BH42">BH41</f>
        <v>0</v>
      </c>
      <c r="BI42" s="234"/>
      <c r="BJ42" s="234"/>
    </row>
    <row s="1484" customFormat="1" customHeight="1" ht="10.96875" hidden="1">
      <c r="A43" s="1484"/>
      <c r="B43" s="402"/>
      <c r="C43" s="457"/>
      <c r="D43" s="1484"/>
      <c r="E43" s="234">
        <v>11.25</v>
      </c>
      <c r="F43" s="50" cm="1" t="str">
        <f t="array" ref="F43:F43">OFFSET(E43,-1,1)</f>
        <v>0</v>
      </c>
      <c r="G43" s="92" t="s">
        <v>661</v>
      </c>
      <c r="H43" s="92" cm="1" t="str">
        <f t="array" ref="H43:H43">H42</f>
        <v>0</v>
      </c>
      <c r="I43" s="1484"/>
      <c r="J43" s="1484"/>
      <c r="K43" s="1484"/>
      <c r="L43" s="1484"/>
      <c r="M43" s="1484"/>
      <c r="N43" s="1484"/>
      <c r="O43" s="1484"/>
      <c r="P43" s="1484"/>
      <c r="Q43" s="1484"/>
      <c r="R43" s="1484"/>
      <c r="S43" s="1484"/>
      <c r="T43" s="439" cm="1" t="str">
        <f t="array" ref="T43:T43">T42</f>
        <v>false</v>
      </c>
      <c r="U43" s="1484"/>
      <c r="V43" s="1484"/>
      <c r="W43" s="1484"/>
      <c r="X43" s="1462"/>
      <c r="Y43" s="1462"/>
      <c r="Z43" s="1484"/>
      <c r="AA43" s="1413"/>
      <c r="AB43" s="55" t="str">
        <f>AB39&amp;".2"</f>
        <v>7.0.2</v>
      </c>
      <c r="AC43" s="159" t="s">
        <v>821</v>
      </c>
      <c r="AD43" s="55" t="s">
        <v>815</v>
      </c>
      <c r="AE43" s="1764"/>
      <c r="AF43" s="1764"/>
      <c r="AG43" s="1764"/>
      <c r="AH43" s="1764"/>
      <c r="AI43" s="107"/>
      <c r="AJ43" s="1764"/>
      <c r="AK43" s="1764"/>
      <c r="AL43" s="1764"/>
      <c r="AM43" s="1764"/>
      <c r="AN43" s="1764"/>
      <c r="AO43" s="1764"/>
      <c r="AP43" s="1764"/>
      <c r="AQ43" s="1764"/>
      <c r="AR43" s="1764"/>
      <c r="AS43" s="107"/>
      <c r="AT43" s="1764"/>
      <c r="AU43" s="1764"/>
      <c r="AV43" s="1764"/>
      <c r="AW43" s="1764"/>
      <c r="AX43" s="1764"/>
      <c r="AY43" s="1764"/>
      <c r="AZ43" s="1764"/>
      <c r="BA43" s="1764"/>
      <c r="BB43" s="1764"/>
      <c r="BC43" s="1887"/>
      <c r="BD43" s="1484"/>
      <c r="BE43" s="1484"/>
      <c r="BF43" s="1014" t="s">
        <v>822</v>
      </c>
      <c r="BG43" s="1014" t="s">
        <v>813</v>
      </c>
      <c r="BH43" s="1014" cm="1" t="str">
        <f t="array" ref="BH43:BH43">BH42</f>
        <v>0</v>
      </c>
      <c r="BI43" s="234"/>
      <c r="BJ43" s="234"/>
    </row>
    <row s="1484" customFormat="1" customHeight="1" ht="10.96875" hidden="1">
      <c r="A44" s="1484"/>
      <c r="B44" s="402"/>
      <c r="C44" s="457"/>
      <c r="D44" s="1484"/>
      <c r="E44" s="234">
        <v>11.25</v>
      </c>
      <c r="F44" s="50" cm="1" t="str">
        <f t="array" ref="F44:F44">OFFSET(E44,-1,1)</f>
        <v>0</v>
      </c>
      <c r="G44" s="92" t="s">
        <v>823</v>
      </c>
      <c r="H44" s="92" cm="1" t="str">
        <f t="array" ref="H44:H44">H43</f>
        <v>0</v>
      </c>
      <c r="I44" s="1484"/>
      <c r="J44" s="1484"/>
      <c r="K44" s="1484"/>
      <c r="L44" s="1484"/>
      <c r="M44" s="1484"/>
      <c r="N44" s="1484"/>
      <c r="O44" s="1484"/>
      <c r="P44" s="1484"/>
      <c r="Q44" s="1484"/>
      <c r="R44" s="1484"/>
      <c r="S44" s="1484"/>
      <c r="T44" s="439" cm="1" t="str">
        <f t="array" ref="T44:T44">T43</f>
        <v>false</v>
      </c>
      <c r="U44" s="1484"/>
      <c r="V44" s="1484"/>
      <c r="W44" s="1484"/>
      <c r="X44" s="1462"/>
      <c r="Y44" s="1462"/>
      <c r="Z44" s="1484"/>
      <c r="AA44" s="1413"/>
      <c r="AB44" s="55" t="str">
        <f>AB39&amp;".2.1"</f>
        <v>7.0.2.1</v>
      </c>
      <c r="AC44" s="299" t="s">
        <v>824</v>
      </c>
      <c r="AD44" s="58" t="s">
        <v>825</v>
      </c>
      <c r="AE44" s="158">
        <f>IF(OR(AND(AE43&lt;&gt;0,AE45=0),AND(AE43=0,AE45&lt;&gt;0)),"Ошибка",IF(AE45=0,0,AE43/AE45*1000/12))</f>
        <v>0</v>
      </c>
      <c r="AF44" s="158">
        <f>IF(OR(AND(AF43&lt;&gt;0,AF45=0),AND(AF43=0,AF45&lt;&gt;0)),"Ошибка",IF(AF45=0,0,AF43/AF45*1000/12))</f>
        <v>0</v>
      </c>
      <c r="AG44" s="158">
        <f>IF(OR(AND(AG43&lt;&gt;0,AG45=0),AND(AG43=0,AG45&lt;&gt;0)),"Ошибка",IF(AG45=0,0,AG43/AG45*1000/12))</f>
        <v>0</v>
      </c>
      <c r="AH44" s="158">
        <f>IF(OR(AND(AH43&lt;&gt;0,AH45=0),AND(AH43=0,AH45&lt;&gt;0)),"Ошибка",IF(AH45=0,0,AH43/AH45*1000/12))</f>
        <v>0</v>
      </c>
      <c r="AI44" s="158">
        <f>IF(OR(AND(AI43&lt;&gt;0,AI45=0),AND(AI43=0,AI45&lt;&gt;0)),"Ошибка",IF(AI45=0,0,AI43/AI45*1000/12))</f>
        <v>0</v>
      </c>
      <c r="AJ44" s="158">
        <f>IF(OR(AND(AJ43&lt;&gt;0,AJ45=0),AND(AJ43=0,AJ45&lt;&gt;0)),"Ошибка",IF(AJ45=0,0,AJ43/AJ45*1000/12))</f>
        <v>0</v>
      </c>
      <c r="AK44" s="158">
        <f>IF(OR(AND(AK43&lt;&gt;0,AK45=0),AND(AK43=0,AK45&lt;&gt;0)),"Ошибка",IF(AK45=0,0,AK43/AK45*1000/12))</f>
        <v>0</v>
      </c>
      <c r="AL44" s="158">
        <f>IF(OR(AND(AL43&lt;&gt;0,AL45=0),AND(AL43=0,AL45&lt;&gt;0)),"Ошибка",IF(AL45=0,0,AL43/AL45*1000/12))</f>
        <v>0</v>
      </c>
      <c r="AM44" s="158">
        <f>IF(OR(AND(AM43&lt;&gt;0,AM45=0),AND(AM43=0,AM45&lt;&gt;0)),"Ошибка",IF(AM45=0,0,AM43/AM45*1000/12))</f>
        <v>0</v>
      </c>
      <c r="AN44" s="158">
        <f>IF(OR(AND(AN43&lt;&gt;0,AN45=0),AND(AN43=0,AN45&lt;&gt;0)),"Ошибка",IF(AN45=0,0,AN43/AN45*1000/12))</f>
        <v>0</v>
      </c>
      <c r="AO44" s="158">
        <f>IF(OR(AND(AO43&lt;&gt;0,AO45=0),AND(AO43=0,AO45&lt;&gt;0)),"Ошибка",IF(AO45=0,0,AO43/AO45*1000/12))</f>
        <v>0</v>
      </c>
      <c r="AP44" s="158">
        <f>IF(OR(AND(AP43&lt;&gt;0,AP45=0),AND(AP43=0,AP45&lt;&gt;0)),"Ошибка",IF(AP45=0,0,AP43/AP45*1000/12))</f>
        <v>0</v>
      </c>
      <c r="AQ44" s="158">
        <f>IF(OR(AND(AQ43&lt;&gt;0,AQ45=0),AND(AQ43=0,AQ45&lt;&gt;0)),"Ошибка",IF(AQ45=0,0,AQ43/AQ45*1000/12))</f>
        <v>0</v>
      </c>
      <c r="AR44" s="158">
        <f>IF(OR(AND(AR43&lt;&gt;0,AR45=0),AND(AR43=0,AR45&lt;&gt;0)),"Ошибка",IF(AR45=0,0,AR43/AR45*1000/12))</f>
        <v>0</v>
      </c>
      <c r="AS44" s="158">
        <f>IF(OR(AND(AS43&lt;&gt;0,AS45=0),AND(AS43=0,AS45&lt;&gt;0)),"Ошибка",IF(AS45=0,0,AS43/AS45*1000/12))</f>
        <v>0</v>
      </c>
      <c r="AT44" s="158">
        <f>IF(OR(AND(AT43&lt;&gt;0,AT45=0),AND(AT43=0,AT45&lt;&gt;0)),"Ошибка",IF(AT45=0,0,AT43/AT45*1000/12))</f>
        <v>0</v>
      </c>
      <c r="AU44" s="158">
        <f>IF(OR(AND(AU43&lt;&gt;0,AU45=0),AND(AU43=0,AU45&lt;&gt;0)),"Ошибка",IF(AU45=0,0,AU43/AU45*1000/12))</f>
        <v>0</v>
      </c>
      <c r="AV44" s="158">
        <f>IF(OR(AND(AV43&lt;&gt;0,AV45=0),AND(AV43=0,AV45&lt;&gt;0)),"Ошибка",IF(AV45=0,0,AV43/AV45*1000/12))</f>
        <v>0</v>
      </c>
      <c r="AW44" s="158">
        <f>IF(OR(AND(AW43&lt;&gt;0,AW45=0),AND(AW43=0,AW45&lt;&gt;0)),"Ошибка",IF(AW45=0,0,AW43/AW45*1000/12))</f>
        <v>0</v>
      </c>
      <c r="AX44" s="158">
        <f>IF(OR(AND(AX43&lt;&gt;0,AX45=0),AND(AX43=0,AX45&lt;&gt;0)),"Ошибка",IF(AX45=0,0,AX43/AX45*1000/12))</f>
        <v>0</v>
      </c>
      <c r="AY44" s="158">
        <f>IF(OR(AND(AY43&lt;&gt;0,AY45=0),AND(AY43=0,AY45&lt;&gt;0)),"Ошибка",IF(AY45=0,0,AY43/AY45*1000/12))</f>
        <v>0</v>
      </c>
      <c r="AZ44" s="158">
        <f>IF(OR(AND(AZ43&lt;&gt;0,AZ45=0),AND(AZ43=0,AZ45&lt;&gt;0)),"Ошибка",IF(AZ45=0,0,AZ43/AZ45*1000/12))</f>
        <v>0</v>
      </c>
      <c r="BA44" s="158">
        <f>IF(OR(AND(BA43&lt;&gt;0,BA45=0),AND(BA43=0,BA45&lt;&gt;0)),"Ошибка",IF(BA45=0,0,BA43/BA45*1000/12))</f>
        <v>0</v>
      </c>
      <c r="BB44" s="158">
        <f>IF(OR(AND(BB43&lt;&gt;0,BB45=0),AND(BB43=0,BB45&lt;&gt;0)),"Ошибка",IF(BB45=0,0,BB43/BB45*1000/12))</f>
        <v>0</v>
      </c>
      <c r="BC44" s="1887"/>
      <c r="BD44" s="1484"/>
      <c r="BE44" s="1484"/>
      <c r="BF44" s="1014" t="s">
        <v>826</v>
      </c>
      <c r="BG44" s="1014" t="s">
        <v>813</v>
      </c>
      <c r="BH44" s="1014" cm="1" t="str">
        <f t="array" ref="BH44:BH44">BH43</f>
        <v>0</v>
      </c>
      <c r="BI44" s="234"/>
      <c r="BJ44" s="234"/>
    </row>
    <row s="1484" customFormat="1" customHeight="1" ht="10.96875" hidden="1">
      <c r="A45" s="1484"/>
      <c r="B45" s="402"/>
      <c r="C45" s="457"/>
      <c r="D45" s="1484"/>
      <c r="E45" s="234">
        <v>11.25</v>
      </c>
      <c r="F45" s="50" cm="1" t="str">
        <f t="array" ref="F45:F45">OFFSET(E45,-1,1)</f>
        <v>0</v>
      </c>
      <c r="G45" s="92" t="s">
        <v>827</v>
      </c>
      <c r="H45" s="92" cm="1" t="str">
        <f t="array" ref="H45:H45">H44</f>
        <v>0</v>
      </c>
      <c r="I45" s="1484"/>
      <c r="J45" s="1484"/>
      <c r="K45" s="1484"/>
      <c r="L45" s="1484"/>
      <c r="M45" s="1484"/>
      <c r="N45" s="1484"/>
      <c r="O45" s="1484"/>
      <c r="P45" s="1484"/>
      <c r="Q45" s="1484"/>
      <c r="R45" s="1484"/>
      <c r="S45" s="1484"/>
      <c r="T45" s="439" cm="1" t="str">
        <f t="array" ref="T45:T45">T44</f>
        <v>false</v>
      </c>
      <c r="U45" s="1484"/>
      <c r="V45" s="1484"/>
      <c r="W45" s="1484"/>
      <c r="X45" s="1462"/>
      <c r="Y45" s="1462"/>
      <c r="Z45" s="1484"/>
      <c r="AA45" s="1413"/>
      <c r="AB45" s="55" t="str">
        <f>AB39&amp;".2.2"</f>
        <v>7.0.2.2</v>
      </c>
      <c r="AC45" s="299" t="s">
        <v>828</v>
      </c>
      <c r="AD45" s="58" t="s">
        <v>829</v>
      </c>
      <c r="AE45" s="1764"/>
      <c r="AF45" s="1764"/>
      <c r="AG45" s="1764"/>
      <c r="AH45" s="1764"/>
      <c r="AI45" s="107"/>
      <c r="AJ45" s="1764"/>
      <c r="AK45" s="1764"/>
      <c r="AL45" s="1764"/>
      <c r="AM45" s="1764"/>
      <c r="AN45" s="1764"/>
      <c r="AO45" s="1764"/>
      <c r="AP45" s="1764"/>
      <c r="AQ45" s="1764"/>
      <c r="AR45" s="1764"/>
      <c r="AS45" s="107"/>
      <c r="AT45" s="1764"/>
      <c r="AU45" s="1764"/>
      <c r="AV45" s="1764"/>
      <c r="AW45" s="1764"/>
      <c r="AX45" s="1764"/>
      <c r="AY45" s="1764"/>
      <c r="AZ45" s="1764"/>
      <c r="BA45" s="1764"/>
      <c r="BB45" s="1764"/>
      <c r="BC45" s="1887"/>
      <c r="BD45" s="1484"/>
      <c r="BE45" s="1484"/>
      <c r="BF45" s="1014" t="s">
        <v>830</v>
      </c>
      <c r="BG45" s="1014" t="s">
        <v>813</v>
      </c>
      <c r="BH45" s="1014" cm="1" t="str">
        <f t="array" ref="BH45:BH45">BH44</f>
        <v>0</v>
      </c>
      <c r="BI45" s="234"/>
      <c r="BJ45" s="234"/>
    </row>
    <row s="1168" customFormat="1" customHeight="1" ht="14.625" hidden="1">
      <c r="A46" s="1168"/>
      <c r="B46" s="400"/>
      <c r="C46" s="457"/>
      <c r="D46" s="1168"/>
      <c r="E46" s="612">
        <v>15</v>
      </c>
      <c r="F46" s="50" cm="1" t="str">
        <f t="array" ref="F46:F46">OFFSET(E46,-1,1)</f>
        <v>0</v>
      </c>
      <c r="G46" s="1168"/>
      <c r="H46" s="940" t="s">
        <v>831</v>
      </c>
      <c r="I46" s="1168"/>
      <c r="J46" s="1168"/>
      <c r="K46" s="1168"/>
      <c r="L46" s="1168"/>
      <c r="M46" s="1168"/>
      <c r="N46" s="1168"/>
      <c r="O46" s="1168"/>
      <c r="P46" s="1168"/>
      <c r="Q46" s="1168"/>
      <c r="R46" s="1168"/>
      <c r="S46" s="1168"/>
      <c r="T46" s="439">
        <f>F46&gt;0</f>
        <v>0</v>
      </c>
      <c r="U46" s="1168"/>
      <c r="V46" s="1168"/>
      <c r="W46" s="738" t="s">
        <v>832</v>
      </c>
      <c r="X46" s="1462"/>
      <c r="Y46" s="1168"/>
      <c r="Z46" s="1484"/>
      <c r="AA46" s="1168"/>
      <c r="AB46" s="142"/>
      <c r="AC46" s="145" t="s">
        <v>833</v>
      </c>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54"/>
      <c r="BD46" s="1168"/>
      <c r="BE46" s="1168"/>
      <c r="BF46" s="1001"/>
      <c r="BG46" s="1001"/>
      <c r="BH46" s="1001"/>
      <c r="BI46" s="612" t="s">
        <v>813</v>
      </c>
      <c r="BJ46" s="612"/>
    </row>
    <row s="2480" customFormat="1" customHeight="1" ht="14.25">
      <c r="A47" s="1187"/>
      <c r="B47" s="402"/>
      <c r="C47" s="459"/>
      <c r="D47" s="1187"/>
      <c r="E47" s="611">
        <v>15</v>
      </c>
      <c r="F47" s="64" cm="1" t="str">
        <f t="array" ref="F47:F47">X47</f>
        <v>1</v>
      </c>
      <c r="G47" s="64"/>
      <c r="H47" s="64"/>
      <c r="I47" s="1187"/>
      <c r="J47" s="1187"/>
      <c r="K47" s="1187"/>
      <c r="L47" s="1187"/>
      <c r="M47" s="1187"/>
      <c r="N47" s="1187"/>
      <c r="O47" s="1187"/>
      <c r="P47" s="1187"/>
      <c r="Q47" s="1187"/>
      <c r="R47" s="1187"/>
      <c r="S47" s="1187"/>
      <c r="T47" s="439">
        <f>X47&gt;0</f>
        <v>1</v>
      </c>
      <c r="U47" s="1187"/>
      <c r="V47" s="110" cm="1" t="str">
        <f t="array" ref="V47:V47">'Сырье и материалы'!$AB$31</f>
        <v>Тариф 1 (Водоснабжение) - тариф на техническую воду (Оказание услуг на территории: Прокопьевский муниципальный округ (ОКТМО: 32522000) - п Калачево)</v>
      </c>
      <c r="W47" s="1187"/>
      <c r="X47" s="1462" t="s">
        <v>272</v>
      </c>
      <c r="Y47" s="1187"/>
      <c r="Z47" s="1484"/>
      <c r="AA47" s="1187"/>
      <c r="AB47" s="150" cm="1" t="str">
        <f t="array" ref="AB47:AB47">'Сырье и материалы'!$AB$31</f>
        <v>Тариф 1 (Водоснабжение) - тариф на техническую воду (Оказание услуг на территории: Прокопьевский муниципальный округ (ОКТМО: 32522000) - п Калачево)</v>
      </c>
      <c r="AC47" s="147"/>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187"/>
      <c r="BE47" s="1187"/>
      <c r="BF47" s="996"/>
      <c r="BG47" s="996"/>
      <c r="BH47" s="996"/>
      <c r="BI47" s="609"/>
      <c r="BJ47" s="609"/>
    </row>
    <row s="1190" customFormat="1" customHeight="1" ht="10.5">
      <c r="A48" s="1484"/>
      <c r="B48" s="402"/>
      <c r="C48" s="457"/>
      <c r="D48" s="939"/>
      <c r="E48" s="234">
        <v>11.25</v>
      </c>
      <c r="F48" s="50" cm="1" t="str">
        <f t="array" ref="F48:F48">OFFSET(E48,-1,1)</f>
        <v>1</v>
      </c>
      <c r="G48" s="92" t="s">
        <v>325</v>
      </c>
      <c r="H48" s="92"/>
      <c r="I48" s="1484"/>
      <c r="J48" s="1484"/>
      <c r="K48" s="457" t="str">
        <f>F48&amp;"komm"</f>
        <v>1komm</v>
      </c>
      <c r="L48" s="899" cm="1" t="str">
        <f t="array" ref="L48:L48">BC48</f>
        <v>0</v>
      </c>
      <c r="M48" s="1484"/>
      <c r="N48" s="1484"/>
      <c r="O48" s="1484"/>
      <c r="P48" s="1484"/>
      <c r="Q48" s="1484"/>
      <c r="R48" s="1484"/>
      <c r="S48" s="1484"/>
      <c r="T48" s="439" cm="1" t="str">
        <f t="array" ref="T48:T48">T47</f>
        <v>true</v>
      </c>
      <c r="U48" s="1484"/>
      <c r="V48" s="1484"/>
      <c r="W48" s="1484"/>
      <c r="X48" s="1462"/>
      <c r="Y48" s="1484"/>
      <c r="Z48" s="1484"/>
      <c r="AA48" s="1484"/>
      <c r="AB48" s="55" t="s">
        <v>272</v>
      </c>
      <c r="AC48" s="104" t="s">
        <v>783</v>
      </c>
      <c r="AD48" s="55" t="s">
        <v>784</v>
      </c>
      <c r="AE48" s="158">
        <f>IF(COUNTIF(AE53:AE69,"Ошибка")&gt;0,"Ошибка",SUMIF($AD53:$AD69,$AD48,AE53:AE69))</f>
        <v>609.8370458186</v>
      </c>
      <c r="AF48" s="158">
        <f>IF(COUNTIF(AF53:AF69,"Ошибка")&gt;0,"Ошибка",SUMIF($AD53:$AD69,$AD48,AF53:AF69))</f>
        <v>589.5074299695</v>
      </c>
      <c r="AG48" s="158">
        <f>IF(COUNTIF(AG53:AG69,"Ошибка")&gt;0,"Ошибка",SUMIF($AD53:$AD69,$AD48,AG53:AG69))</f>
        <v>589.5074299695</v>
      </c>
      <c r="AH48" s="158">
        <f>IF(COUNTIF(AH53:AH69,"Ошибка")&gt;0,"Ошибка",SUMIF($AD53:$AD69,$AD48,AH53:AH69))</f>
        <v>601.3424488914</v>
      </c>
      <c r="AI48" s="158">
        <f>IF(COUNTIF(AI53:AI69,"Ошибка")&gt;0,"Ошибка",SUMIF($AD53:$AD69,$AD48,AI53:AI69))</f>
        <v>612.4689</v>
      </c>
      <c r="AJ48" s="158">
        <f>IF(COUNTIF(AJ53:AJ69,"Ошибка")&gt;0,"Ошибка",SUMIF($AD53:$AD69,$AD48,AJ53:AJ69))</f>
        <v>0</v>
      </c>
      <c r="AK48" s="158">
        <f>IF(COUNTIF(AK53:AK69,"Ошибка")&gt;0,"Ошибка",SUMIF($AD53:$AD69,$AD48,AK53:AK69))</f>
        <v>0</v>
      </c>
      <c r="AL48" s="158">
        <f>IF(COUNTIF(AL53:AL69,"Ошибка")&gt;0,"Ошибка",SUMIF($AD53:$AD69,$AD48,AL53:AL69))</f>
        <v>0</v>
      </c>
      <c r="AM48" s="158">
        <f>IF(COUNTIF(AM53:AM69,"Ошибка")&gt;0,"Ошибка",SUMIF($AD53:$AD69,$AD48,AM53:AM69))</f>
        <v>0</v>
      </c>
      <c r="AN48" s="158">
        <f>IF(COUNTIF(AN53:AN69,"Ошибка")&gt;0,"Ошибка",SUMIF($AD53:$AD69,$AD48,AN53:AN69))</f>
        <v>0</v>
      </c>
      <c r="AO48" s="158">
        <f>IF(COUNTIF(AO53:AO69,"Ошибка")&gt;0,"Ошибка",SUMIF($AD53:$AD69,$AD48,AO53:AO69))</f>
        <v>0</v>
      </c>
      <c r="AP48" s="158">
        <f>IF(COUNTIF(AP53:AP69,"Ошибка")&gt;0,"Ошибка",SUMIF($AD53:$AD69,$AD48,AP53:AP69))</f>
        <v>0</v>
      </c>
      <c r="AQ48" s="158">
        <f>IF(COUNTIF(AQ53:AQ69,"Ошибка")&gt;0,"Ошибка",SUMIF($AD53:$AD69,$AD48,AQ53:AQ69))</f>
        <v>0</v>
      </c>
      <c r="AR48" s="158">
        <f>IF(COUNTIF(AR53:AR69,"Ошибка")&gt;0,"Ошибка",SUMIF($AD53:$AD69,$AD48,AR53:AR69))</f>
        <v>0</v>
      </c>
      <c r="AS48" s="158">
        <f>IF(COUNTIF(AS53:AS69,"Ошибка")&gt;0,"Ошибка",SUMIF($AD53:$AD69,$AD48,AS53:AS69))</f>
        <v>678.5030226358</v>
      </c>
      <c r="AT48" s="158">
        <f>IF(COUNTIF(AT53:AT69,"Ошибка")&gt;0,"Ошибка",SUMIF($AD53:$AD69,$AD48,AT53:AT69))</f>
        <v>0</v>
      </c>
      <c r="AU48" s="158">
        <f>IF(COUNTIF(AU53:AU69,"Ошибка")&gt;0,"Ошибка",SUMIF($AD53:$AD69,$AD48,AU53:AU69))</f>
        <v>0</v>
      </c>
      <c r="AV48" s="158">
        <f>IF(COUNTIF(AV53:AV69,"Ошибка")&gt;0,"Ошибка",SUMIF($AD53:$AD69,$AD48,AV53:AV69))</f>
        <v>0</v>
      </c>
      <c r="AW48" s="158">
        <f>IF(COUNTIF(AW53:AW69,"Ошибка")&gt;0,"Ошибка",SUMIF($AD53:$AD69,$AD48,AW53:AW69))</f>
        <v>0</v>
      </c>
      <c r="AX48" s="158">
        <f>IF(COUNTIF(AX53:AX69,"Ошибка")&gt;0,"Ошибка",SUMIF($AD53:$AD69,$AD48,AX53:AX69))</f>
        <v>0</v>
      </c>
      <c r="AY48" s="158">
        <f>IF(COUNTIF(AY53:AY69,"Ошибка")&gt;0,"Ошибка",SUMIF($AD53:$AD69,$AD48,AY53:AY69))</f>
        <v>0</v>
      </c>
      <c r="AZ48" s="158">
        <f>IF(COUNTIF(AZ53:AZ69,"Ошибка")&gt;0,"Ошибка",SUMIF($AD53:$AD69,$AD48,AZ53:AZ69))</f>
        <v>0</v>
      </c>
      <c r="BA48" s="158">
        <f>IF(COUNTIF(BA53:BA69,"Ошибка")&gt;0,"Ошибка",SUMIF($AD53:$AD69,$AD48,BA53:BA69))</f>
        <v>0</v>
      </c>
      <c r="BB48" s="158">
        <f>IF(COUNTIF(BB53:BB69,"Ошибка")&gt;0,"Ошибка",SUMIF($AD53:$AD69,$AD48,BB53:BB69))</f>
        <v>0</v>
      </c>
      <c r="BC48" s="167"/>
      <c r="BD48" s="1484"/>
      <c r="BE48" s="1484"/>
      <c r="BF48" s="1014" t="s">
        <v>790</v>
      </c>
      <c r="BG48" s="1014"/>
      <c r="BH48" s="1014"/>
      <c r="BI48" s="234"/>
      <c r="BJ48" s="234"/>
    </row>
    <row s="1190" customFormat="1" customHeight="1" ht="10.5">
      <c r="A49" s="1484"/>
      <c r="B49" s="402"/>
      <c r="C49" s="457"/>
      <c r="D49" s="1484"/>
      <c r="E49" s="234">
        <v>11.25</v>
      </c>
      <c r="F49" s="50" cm="1" t="str">
        <f t="array" ref="F49:F49">OFFSET(E49,-1,1)</f>
        <v>1</v>
      </c>
      <c r="G49" s="92" t="s">
        <v>326</v>
      </c>
      <c r="H49" s="92"/>
      <c r="I49" s="1484"/>
      <c r="J49" s="1484"/>
      <c r="K49" s="1484"/>
      <c r="L49" s="1484"/>
      <c r="M49" s="1484"/>
      <c r="N49" s="1484"/>
      <c r="O49" s="1484"/>
      <c r="P49" s="1484"/>
      <c r="Q49" s="1484"/>
      <c r="R49" s="1484"/>
      <c r="S49" s="1484"/>
      <c r="T49" s="439" cm="1" t="str">
        <f t="array" ref="T49:T49">T48</f>
        <v>true</v>
      </c>
      <c r="U49" s="1484"/>
      <c r="V49" s="1484"/>
      <c r="W49" s="1484"/>
      <c r="X49" s="1462"/>
      <c r="Y49" s="1484"/>
      <c r="Z49" s="1484"/>
      <c r="AA49" s="1484"/>
      <c r="AB49" s="55" t="s">
        <v>283</v>
      </c>
      <c r="AC49" s="104" t="s">
        <v>791</v>
      </c>
      <c r="AD49" s="58" t="s">
        <v>792</v>
      </c>
      <c r="AE49" s="158">
        <f>SUMIF(AD53:AD69,AD49,AE53:AE69)</f>
        <v>245.733588193</v>
      </c>
      <c r="AF49" s="158">
        <f>SUMIF(AD53:AD69,AD49,AF53:AF69)</f>
        <v>198.212225</v>
      </c>
      <c r="AG49" s="158">
        <f>SUMIF(AD53:AD69,AD49,AG53:AG69)</f>
        <v>198.212225</v>
      </c>
      <c r="AH49" s="158">
        <f>SUMIF(AD53:AD69,AD49,AH53:AH69)</f>
        <v>202.5652166509</v>
      </c>
      <c r="AI49" s="158">
        <f>SUMIF(AD53:AD69,AD49,AI53:AI69)</f>
        <v>198.21</v>
      </c>
      <c r="AJ49" s="158">
        <f>SUMIF(AD53:AD69,AD49,AJ53:AJ69)</f>
        <v>0</v>
      </c>
      <c r="AK49" s="158">
        <f>SUMIF(AD53:AD69,AD49,AK53:AK69)</f>
        <v>0</v>
      </c>
      <c r="AL49" s="158">
        <f>SUMIF(AD53:AD69,AD49,AL53:AL69)</f>
        <v>0</v>
      </c>
      <c r="AM49" s="158">
        <f>SUMIF(AD53:AD69,AD49,AM53:AM69)</f>
        <v>0</v>
      </c>
      <c r="AN49" s="158">
        <f>SUMIF(AD53:AD69,AD49,AN53:AN69)</f>
        <v>0</v>
      </c>
      <c r="AO49" s="158">
        <f>SUMIF(AD53:AD69,AD49,AO53:AO69)</f>
        <v>0</v>
      </c>
      <c r="AP49" s="158">
        <f>SUMIF(AD53:AD69,AD49,AP53:AP69)</f>
        <v>0</v>
      </c>
      <c r="AQ49" s="158">
        <f>SUMIF(AD53:AD69,AD49,AQ53:AQ69)</f>
        <v>0</v>
      </c>
      <c r="AR49" s="158">
        <f>SUMIF(AD53:AD69,AD49,AR53:AR69)</f>
        <v>0</v>
      </c>
      <c r="AS49" s="158">
        <f>SUMIF(AD53:AD69,AD49,AS53:AS69)</f>
        <v>219.5802662252</v>
      </c>
      <c r="AT49" s="158">
        <f>SUMIF(AD53:AD69,AD49,AT53:AT69)</f>
        <v>0</v>
      </c>
      <c r="AU49" s="158">
        <f>SUMIF(AD53:AD69,AD49,AU53:AU69)</f>
        <v>0</v>
      </c>
      <c r="AV49" s="158">
        <f>SUMIF(AD53:AD69,AD49,AV53:AV69)</f>
        <v>0</v>
      </c>
      <c r="AW49" s="158">
        <f>SUMIF(AD53:AD69,AD49,AW53:AW69)</f>
        <v>0</v>
      </c>
      <c r="AX49" s="158">
        <f>SUMIF(AD53:AD69,AD49,AX53:AX69)</f>
        <v>0</v>
      </c>
      <c r="AY49" s="158">
        <f>SUMIF(AD53:AD69,AD49,AY53:AY69)</f>
        <v>0</v>
      </c>
      <c r="AZ49" s="158">
        <f>SUMIF(AD53:AD69,AD49,AZ53:AZ69)</f>
        <v>0</v>
      </c>
      <c r="BA49" s="158">
        <f>SUMIF(AD53:AD69,AD49,BA53:BA69)</f>
        <v>0</v>
      </c>
      <c r="BB49" s="158">
        <f>SUMIF(AD53:AD69,AD49,BB53:BB69)</f>
        <v>0</v>
      </c>
      <c r="BC49" s="167"/>
      <c r="BD49" s="1484"/>
      <c r="BE49" s="1484"/>
      <c r="BF49" s="1014" t="s">
        <v>793</v>
      </c>
      <c r="BG49" s="1014"/>
      <c r="BH49" s="1014"/>
      <c r="BI49" s="234"/>
      <c r="BJ49" s="234"/>
    </row>
    <row s="1190" customFormat="1" customHeight="1" ht="12.75">
      <c r="A50" s="1484"/>
      <c r="B50" s="402"/>
      <c r="C50" s="457"/>
      <c r="D50" s="1484"/>
      <c r="E50" s="234">
        <v>11.25</v>
      </c>
      <c r="F50" s="50" cm="1" t="str">
        <f t="array" ref="F50:F50">OFFSET(E50,-1,1)</f>
        <v>1</v>
      </c>
      <c r="G50" s="92" t="s">
        <v>327</v>
      </c>
      <c r="H50" s="92"/>
      <c r="I50" s="1484"/>
      <c r="J50" s="1484"/>
      <c r="K50" s="1484"/>
      <c r="L50" s="1484"/>
      <c r="M50" s="1484"/>
      <c r="N50" s="1484"/>
      <c r="O50" s="1484"/>
      <c r="P50" s="1484"/>
      <c r="Q50" s="1484"/>
      <c r="R50" s="1484"/>
      <c r="S50" s="1484"/>
      <c r="T50" s="439" cm="1" t="str">
        <f t="array" ref="T50:T50">T49</f>
        <v>true</v>
      </c>
      <c r="U50" s="1484"/>
      <c r="V50" s="1484"/>
      <c r="W50" s="1484"/>
      <c r="X50" s="1462"/>
      <c r="Y50" s="1484"/>
      <c r="Z50" s="1484"/>
      <c r="AA50" s="1484"/>
      <c r="AB50" s="55" t="s">
        <v>323</v>
      </c>
      <c r="AC50" s="104" t="s">
        <v>794</v>
      </c>
      <c r="AD50" s="58" t="s">
        <v>795</v>
      </c>
      <c r="AE50" s="206">
        <v>183.4584</v>
      </c>
      <c r="AF50" s="206">
        <v>163.933</v>
      </c>
      <c r="AG50" s="206">
        <v>163.933</v>
      </c>
      <c r="AH50" s="206">
        <v>151.23</v>
      </c>
      <c r="AI50" s="206">
        <v>147.98</v>
      </c>
      <c r="AJ50" s="2472"/>
      <c r="AK50" s="2472"/>
      <c r="AL50" s="206"/>
      <c r="AM50" s="206"/>
      <c r="AN50" s="206"/>
      <c r="AO50" s="206"/>
      <c r="AP50" s="206"/>
      <c r="AQ50" s="206"/>
      <c r="AR50" s="206"/>
      <c r="AS50" s="206">
        <v>163.933</v>
      </c>
      <c r="AT50" s="2472"/>
      <c r="AU50" s="2472"/>
      <c r="AV50" s="206"/>
      <c r="AW50" s="206"/>
      <c r="AX50" s="206"/>
      <c r="AY50" s="206"/>
      <c r="AZ50" s="206"/>
      <c r="BA50" s="206"/>
      <c r="BB50" s="206"/>
      <c r="BC50" s="167"/>
      <c r="BD50" s="1484"/>
      <c r="BE50" s="1484"/>
      <c r="BF50" s="1014" t="s">
        <v>796</v>
      </c>
      <c r="BG50" s="1014"/>
      <c r="BH50" s="1014"/>
      <c r="BI50" s="234"/>
      <c r="BJ50" s="234"/>
    </row>
    <row s="1190" customFormat="1" customHeight="1" ht="10.5">
      <c r="A51" s="1484"/>
      <c r="B51" s="402"/>
      <c r="C51" s="457"/>
      <c r="D51" s="1484"/>
      <c r="E51" s="234">
        <v>11.25</v>
      </c>
      <c r="F51" s="50" cm="1" t="str">
        <f t="array" ref="F51:F51">OFFSET(E51,-1,1)</f>
        <v>1</v>
      </c>
      <c r="G51" s="92" t="s">
        <v>329</v>
      </c>
      <c r="H51" s="92"/>
      <c r="I51" s="1484"/>
      <c r="J51" s="1484"/>
      <c r="K51" s="1484"/>
      <c r="L51" s="1484"/>
      <c r="M51" s="1484"/>
      <c r="N51" s="1484"/>
      <c r="O51" s="1484"/>
      <c r="P51" s="1484"/>
      <c r="Q51" s="1484"/>
      <c r="R51" s="1484"/>
      <c r="S51" s="1484"/>
      <c r="T51" s="439" cm="1" t="str">
        <f t="array" ref="T51:T51">T50</f>
        <v>true</v>
      </c>
      <c r="U51" s="1484"/>
      <c r="V51" s="1484"/>
      <c r="W51" s="1484"/>
      <c r="X51" s="1462"/>
      <c r="Y51" s="1484"/>
      <c r="Z51" s="1484"/>
      <c r="AA51" s="1484"/>
      <c r="AB51" s="55" t="s">
        <v>536</v>
      </c>
      <c r="AC51" s="104" t="s">
        <v>797</v>
      </c>
      <c r="AD51" s="58" t="s">
        <v>798</v>
      </c>
      <c r="AE51" s="158">
        <f>IF(AE49=0,0,AE48/AE49)</f>
        <v>2.48170000000013</v>
      </c>
      <c r="AF51" s="158">
        <f>IF(AF49=0,0,AF48/AF49)</f>
        <v>2.97412245874088</v>
      </c>
      <c r="AG51" s="158">
        <f>IF(AG49=0,0,AG48/AG49)</f>
        <v>2.97412245874088</v>
      </c>
      <c r="AH51" s="158">
        <f>IF(AH49=0,0,AH48/AH49)</f>
        <v>2.96863626852458</v>
      </c>
      <c r="AI51" s="158">
        <f>IF(AI49=0,0,AI48/AI49)</f>
        <v>3.09</v>
      </c>
      <c r="AJ51" s="158">
        <f>IF(AJ49=0,0,AJ48/AJ49)</f>
        <v>0</v>
      </c>
      <c r="AK51" s="158">
        <f>IF(AK49=0,0,AK48/AK49)</f>
        <v>0</v>
      </c>
      <c r="AL51" s="158">
        <f>IF(AL49=0,0,AL48/AL49)</f>
        <v>0</v>
      </c>
      <c r="AM51" s="158">
        <f>IF(AM49=0,0,AM48/AM49)</f>
        <v>0</v>
      </c>
      <c r="AN51" s="158">
        <f>IF(AN49=0,0,AN48/AN49)</f>
        <v>0</v>
      </c>
      <c r="AO51" s="158">
        <f>IF(AO49=0,0,AO48/AO49)</f>
        <v>0</v>
      </c>
      <c r="AP51" s="158">
        <f>IF(AP49=0,0,AP48/AP49)</f>
        <v>0</v>
      </c>
      <c r="AQ51" s="158">
        <f>IF(AQ49=0,0,AQ48/AQ49)</f>
        <v>0</v>
      </c>
      <c r="AR51" s="158">
        <f>IF(AR49=0,0,AR48/AR49)</f>
        <v>0</v>
      </c>
      <c r="AS51" s="158">
        <f>IF(AS49=0,0,AS48/AS49)</f>
        <v>3.08999999999969</v>
      </c>
      <c r="AT51" s="158">
        <f>IF(AT49=0,0,AT48/AT49)</f>
        <v>0</v>
      </c>
      <c r="AU51" s="158">
        <f>IF(AU49=0,0,AU48/AU49)</f>
        <v>0</v>
      </c>
      <c r="AV51" s="158">
        <f>IF(AV49=0,0,AV48/AV49)</f>
        <v>0</v>
      </c>
      <c r="AW51" s="158">
        <f>IF(AW49=0,0,AW48/AW49)</f>
        <v>0</v>
      </c>
      <c r="AX51" s="158">
        <f>IF(AX49=0,0,AX48/AX49)</f>
        <v>0</v>
      </c>
      <c r="AY51" s="158">
        <f>IF(AY49=0,0,AY48/AY49)</f>
        <v>0</v>
      </c>
      <c r="AZ51" s="158">
        <f>IF(AZ49=0,0,AZ48/AZ49)</f>
        <v>0</v>
      </c>
      <c r="BA51" s="158">
        <f>IF(BA49=0,0,BA48/BA49)</f>
        <v>0</v>
      </c>
      <c r="BB51" s="158">
        <f>IF(BB49=0,0,BB48/BB49)</f>
        <v>0</v>
      </c>
      <c r="BC51" s="167"/>
      <c r="BD51" s="1484"/>
      <c r="BE51" s="1484"/>
      <c r="BF51" s="1014" t="s">
        <v>799</v>
      </c>
      <c r="BG51" s="1014"/>
      <c r="BH51" s="1014"/>
      <c r="BI51" s="234"/>
      <c r="BJ51" s="234"/>
    </row>
    <row s="1190" customFormat="1" customHeight="1" ht="10.5">
      <c r="A52" s="1484"/>
      <c r="B52" s="402"/>
      <c r="C52" s="457"/>
      <c r="D52" s="1484"/>
      <c r="E52" s="234">
        <v>11.25</v>
      </c>
      <c r="F52" s="50" cm="1" t="str">
        <f t="array" ref="F52:F52">OFFSET(E52,-1,1)</f>
        <v>1</v>
      </c>
      <c r="G52" s="92" t="s">
        <v>328</v>
      </c>
      <c r="H52" s="92"/>
      <c r="I52" s="1484"/>
      <c r="J52" s="1484"/>
      <c r="K52" s="1484"/>
      <c r="L52" s="1484"/>
      <c r="M52" s="1484"/>
      <c r="N52" s="1484"/>
      <c r="O52" s="1484"/>
      <c r="P52" s="1484"/>
      <c r="Q52" s="1484"/>
      <c r="R52" s="1484"/>
      <c r="S52" s="1484"/>
      <c r="T52" s="439" cm="1" t="str">
        <f t="array" ref="T52:T52">T51</f>
        <v>true</v>
      </c>
      <c r="U52" s="1484"/>
      <c r="V52" s="1484"/>
      <c r="W52" s="1484"/>
      <c r="X52" s="1462"/>
      <c r="Y52" s="1484"/>
      <c r="Z52" s="1484"/>
      <c r="AA52" s="1484"/>
      <c r="AB52" s="55" t="s">
        <v>492</v>
      </c>
      <c r="AC52" s="104" t="s">
        <v>800</v>
      </c>
      <c r="AD52" s="58" t="s">
        <v>801</v>
      </c>
      <c r="AE52" s="282">
        <f>IF(AE50=0,0,AE49/AE50)</f>
        <v>1.33945127719963</v>
      </c>
      <c r="AF52" s="282">
        <f>IF(AF50=0,0,AF49/AF50)</f>
        <v>1.2091050917143</v>
      </c>
      <c r="AG52" s="282">
        <f>IF(AG50=0,0,AG49/AG50)</f>
        <v>1.2091050917143</v>
      </c>
      <c r="AH52" s="282">
        <f>IF(AH50=0,0,AH49/AH50)</f>
        <v>1.33945127719963</v>
      </c>
      <c r="AI52" s="282">
        <f>IF(AI50=0,0,AI49/AI50)</f>
        <v>1.33943776185971</v>
      </c>
      <c r="AJ52" s="282">
        <f>IF(AJ50=0,0,AJ49/AJ50)</f>
        <v>0</v>
      </c>
      <c r="AK52" s="282">
        <f>IF(AK50=0,0,AK49/AK50)</f>
        <v>0</v>
      </c>
      <c r="AL52" s="282">
        <f>IF(AL50=0,0,AL49/AL50)</f>
        <v>0</v>
      </c>
      <c r="AM52" s="282">
        <f>IF(AM50=0,0,AM49/AM50)</f>
        <v>0</v>
      </c>
      <c r="AN52" s="282">
        <f>IF(AN50=0,0,AN49/AN50)</f>
        <v>0</v>
      </c>
      <c r="AO52" s="282">
        <f>IF(AO50=0,0,AO49/AO50)</f>
        <v>0</v>
      </c>
      <c r="AP52" s="282">
        <f>IF(AP50=0,0,AP49/AP50)</f>
        <v>0</v>
      </c>
      <c r="AQ52" s="282">
        <f>IF(AQ50=0,0,AQ49/AQ50)</f>
        <v>0</v>
      </c>
      <c r="AR52" s="282">
        <f>IF(AR50=0,0,AR49/AR50)</f>
        <v>0</v>
      </c>
      <c r="AS52" s="282">
        <f>IF(AS50=0,0,AS49/AS50)</f>
        <v>1.33945127719983</v>
      </c>
      <c r="AT52" s="282">
        <f>IF(AT50=0,0,AT49/AT50)</f>
        <v>0</v>
      </c>
      <c r="AU52" s="282">
        <f>IF(AU50=0,0,AU49/AU50)</f>
        <v>0</v>
      </c>
      <c r="AV52" s="282">
        <f>IF(AV50=0,0,AV49/AV50)</f>
        <v>0</v>
      </c>
      <c r="AW52" s="282">
        <f>IF(AW50=0,0,AW49/AW50)</f>
        <v>0</v>
      </c>
      <c r="AX52" s="282">
        <f>IF(AX50=0,0,AX49/AX50)</f>
        <v>0</v>
      </c>
      <c r="AY52" s="282">
        <f>IF(AY50=0,0,AY49/AY50)</f>
        <v>0</v>
      </c>
      <c r="AZ52" s="282">
        <f>IF(AZ50=0,0,AZ49/AZ50)</f>
        <v>0</v>
      </c>
      <c r="BA52" s="282">
        <f>IF(BA50=0,0,BA49/BA50)</f>
        <v>0</v>
      </c>
      <c r="BB52" s="282">
        <f>IF(BB50=0,0,BB49/BB50)</f>
        <v>0</v>
      </c>
      <c r="BC52" s="167"/>
      <c r="BD52" s="1484"/>
      <c r="BE52" s="1484"/>
      <c r="BF52" s="1014" t="s">
        <v>802</v>
      </c>
      <c r="BG52" s="1014"/>
      <c r="BH52" s="1014"/>
      <c r="BI52" s="234"/>
      <c r="BJ52" s="234"/>
    </row>
    <row s="1190" customFormat="1" customHeight="1" ht="12">
      <c r="A53" s="1484"/>
      <c r="B53" s="402"/>
      <c r="C53" s="457"/>
      <c r="D53" s="1484"/>
      <c r="E53" s="234">
        <v>13</v>
      </c>
      <c r="F53" s="50" cm="1" t="str">
        <f t="array" ref="F53:F53">OFFSET(E53,-1,1)</f>
        <v>1</v>
      </c>
      <c r="G53" s="92"/>
      <c r="H53" s="92"/>
      <c r="I53" s="1484"/>
      <c r="J53" s="1484"/>
      <c r="K53" s="1484"/>
      <c r="L53" s="1484"/>
      <c r="M53" s="1484"/>
      <c r="N53" s="1484"/>
      <c r="O53" s="1484"/>
      <c r="P53" s="1484"/>
      <c r="Q53" s="1484"/>
      <c r="R53" s="1484"/>
      <c r="S53" s="1484"/>
      <c r="T53" s="439" cm="1" t="str">
        <f t="array" ref="T53:T53">T52</f>
        <v>true</v>
      </c>
      <c r="U53" s="1484"/>
      <c r="V53" s="1484"/>
      <c r="W53" s="1484"/>
      <c r="X53" s="1462"/>
      <c r="Y53" s="1484"/>
      <c r="Z53" s="1484"/>
      <c r="AA53" s="1484"/>
      <c r="AB53" s="632"/>
      <c r="AC53" s="233" t="s">
        <v>803</v>
      </c>
      <c r="AD53" s="234"/>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6"/>
      <c r="BD53" s="1484"/>
      <c r="BE53" s="1484"/>
      <c r="BF53" s="1014"/>
      <c r="BG53" s="1014"/>
      <c r="BH53" s="1014"/>
      <c r="BI53" s="234"/>
      <c r="BJ53" s="234"/>
    </row>
    <row s="1190" customFormat="1" customHeight="1" ht="10.5" hidden="1">
      <c r="A54" s="1484"/>
      <c r="B54" s="402"/>
      <c r="C54" s="457"/>
      <c r="D54" s="1484"/>
      <c r="E54" s="234">
        <v>11.25</v>
      </c>
      <c r="F54" s="50" cm="1" t="str">
        <f t="array" ref="F54:F54">OFFSET(E54,-1,1)</f>
        <v>1</v>
      </c>
      <c r="G54" s="92" t="s">
        <v>491</v>
      </c>
      <c r="H54" s="92" cm="1" t="str">
        <f t="array" ref="H54:H54">AC54</f>
        <v>0</v>
      </c>
      <c r="I54" s="1484"/>
      <c r="J54" s="1484"/>
      <c r="K54" s="1484"/>
      <c r="L54" s="1484"/>
      <c r="M54" s="1484"/>
      <c r="N54" s="1484"/>
      <c r="O54" s="1484"/>
      <c r="P54" s="1484"/>
      <c r="Q54" s="1484"/>
      <c r="R54" s="1484"/>
      <c r="S54" s="1484"/>
      <c r="T54" s="439">
        <f>AND(F54&gt;0,Y54&gt;0)</f>
        <v>0</v>
      </c>
      <c r="U54" s="1484"/>
      <c r="V54" s="1484"/>
      <c r="W54" s="738" t="s">
        <v>173</v>
      </c>
      <c r="X54" s="1462"/>
      <c r="Y54" s="1462">
        <v>0</v>
      </c>
      <c r="Z54" s="1484"/>
      <c r="AA54" s="1413" t="s">
        <v>174</v>
      </c>
      <c r="AB54" s="55" t="str">
        <f>"6."&amp;Y54</f>
        <v>6.0</v>
      </c>
      <c r="AC54" s="2399"/>
      <c r="AD54" s="55" t="s">
        <v>784</v>
      </c>
      <c r="AE54" s="1764"/>
      <c r="AF54" s="1764"/>
      <c r="AG54" s="1764"/>
      <c r="AH54" s="1764"/>
      <c r="AI54" s="107"/>
      <c r="AJ54" s="1764"/>
      <c r="AK54" s="1764"/>
      <c r="AL54" s="1764"/>
      <c r="AM54" s="1764"/>
      <c r="AN54" s="1764"/>
      <c r="AO54" s="1764"/>
      <c r="AP54" s="1764"/>
      <c r="AQ54" s="1764"/>
      <c r="AR54" s="1764"/>
      <c r="AS54" s="107"/>
      <c r="AT54" s="1764"/>
      <c r="AU54" s="1764"/>
      <c r="AV54" s="1764"/>
      <c r="AW54" s="1764"/>
      <c r="AX54" s="1764"/>
      <c r="AY54" s="1764"/>
      <c r="AZ54" s="1764"/>
      <c r="BA54" s="1764"/>
      <c r="BB54" s="1764"/>
      <c r="BC54" s="1887"/>
      <c r="BD54" s="1484"/>
      <c r="BE54" s="1484"/>
      <c r="BF54" s="1014" t="s">
        <v>804</v>
      </c>
      <c r="BG54" s="1014" t="s">
        <v>805</v>
      </c>
      <c r="BH54" s="1014" cm="1" t="str">
        <f t="array" ref="BH54:BH54">AC54</f>
        <v>0</v>
      </c>
      <c r="BI54" s="234"/>
      <c r="BJ54" s="234" t="b">
        <v>1</v>
      </c>
    </row>
    <row s="1190" customFormat="1" customHeight="1" ht="10.5" hidden="1">
      <c r="A55" s="1484"/>
      <c r="B55" s="402"/>
      <c r="C55" s="457"/>
      <c r="D55" s="1484"/>
      <c r="E55" s="234">
        <v>11.25</v>
      </c>
      <c r="F55" s="50" cm="1" t="str">
        <f t="array" ref="F55:F55">OFFSET(E55,-1,1)</f>
        <v>1</v>
      </c>
      <c r="G55" s="92" t="s">
        <v>651</v>
      </c>
      <c r="H55" s="92" cm="1" t="str">
        <f t="array" ref="H55:H55">H54</f>
        <v>0</v>
      </c>
      <c r="I55" s="1484"/>
      <c r="J55" s="1484"/>
      <c r="K55" s="1484"/>
      <c r="L55" s="1484"/>
      <c r="M55" s="1484"/>
      <c r="N55" s="1484"/>
      <c r="O55" s="1484"/>
      <c r="P55" s="1484"/>
      <c r="Q55" s="1484"/>
      <c r="R55" s="1484"/>
      <c r="S55" s="1484"/>
      <c r="T55" s="439" cm="1" t="str">
        <f t="array" ref="T55:T55">T54</f>
        <v>false</v>
      </c>
      <c r="U55" s="1484"/>
      <c r="V55" s="1484"/>
      <c r="W55" s="1484"/>
      <c r="X55" s="1462"/>
      <c r="Y55" s="1462"/>
      <c r="Z55" s="1484"/>
      <c r="AA55" s="1413"/>
      <c r="AB55" s="55" t="str">
        <f>AB54&amp;".1"</f>
        <v>6.0.1</v>
      </c>
      <c r="AC55" s="159" t="s">
        <v>806</v>
      </c>
      <c r="AD55" s="58" t="s">
        <v>798</v>
      </c>
      <c r="AE55" s="158">
        <f>IF(OR(AND(AE54&lt;&gt;0,AE56=0),AND(AE54=0,AE56&lt;&gt;0)),"Ошибка",IF(AE56=0,0,AE54/AE56))</f>
        <v>0</v>
      </c>
      <c r="AF55" s="158">
        <f>IF(OR(AND(AF54&lt;&gt;0,AF56=0),AND(AF54=0,AF56&lt;&gt;0)),"Ошибка",IF(AF56=0,0,AF54/AF56))</f>
        <v>0</v>
      </c>
      <c r="AG55" s="158">
        <f>IF(OR(AND(AG54&lt;&gt;0,AG56=0),AND(AG54=0,AG56&lt;&gt;0)),"Ошибка",IF(AG56=0,0,AG54/AG56))</f>
        <v>0</v>
      </c>
      <c r="AH55" s="158">
        <f>IF(OR(AND(AH54&lt;&gt;0,AH56=0),AND(AH54=0,AH56&lt;&gt;0)),"Ошибка",IF(AH56=0,0,AH54/AH56))</f>
        <v>0</v>
      </c>
      <c r="AI55" s="158">
        <f>IF(OR(AND(AI54&lt;&gt;0,AI56=0),AND(AI54=0,AI56&lt;&gt;0)),"Ошибка",IF(AI56=0,0,AI54/AI56))</f>
        <v>0</v>
      </c>
      <c r="AJ55" s="158">
        <f>IF(OR(AND(AJ54&lt;&gt;0,AJ56=0),AND(AJ54=0,AJ56&lt;&gt;0)),"Ошибка",IF(AJ56=0,0,AJ54/AJ56))</f>
        <v>0</v>
      </c>
      <c r="AK55" s="158">
        <f>IF(OR(AND(AK54&lt;&gt;0,AK56=0),AND(AK54=0,AK56&lt;&gt;0)),"Ошибка",IF(AK56=0,0,AK54/AK56))</f>
        <v>0</v>
      </c>
      <c r="AL55" s="158">
        <f>IF(OR(AND(AL54&lt;&gt;0,AL56=0),AND(AL54=0,AL56&lt;&gt;0)),"Ошибка",IF(AL56=0,0,AL54/AL56))</f>
        <v>0</v>
      </c>
      <c r="AM55" s="158">
        <f>IF(OR(AND(AM54&lt;&gt;0,AM56=0),AND(AM54=0,AM56&lt;&gt;0)),"Ошибка",IF(AM56=0,0,AM54/AM56))</f>
        <v>0</v>
      </c>
      <c r="AN55" s="158">
        <f>IF(OR(AND(AN54&lt;&gt;0,AN56=0),AND(AN54=0,AN56&lt;&gt;0)),"Ошибка",IF(AN56=0,0,AN54/AN56))</f>
        <v>0</v>
      </c>
      <c r="AO55" s="158">
        <f>IF(OR(AND(AO54&lt;&gt;0,AO56=0),AND(AO54=0,AO56&lt;&gt;0)),"Ошибка",IF(AO56=0,0,AO54/AO56))</f>
        <v>0</v>
      </c>
      <c r="AP55" s="158">
        <f>IF(OR(AND(AP54&lt;&gt;0,AP56=0),AND(AP54=0,AP56&lt;&gt;0)),"Ошибка",IF(AP56=0,0,AP54/AP56))</f>
        <v>0</v>
      </c>
      <c r="AQ55" s="158">
        <f>IF(OR(AND(AQ54&lt;&gt;0,AQ56=0),AND(AQ54=0,AQ56&lt;&gt;0)),"Ошибка",IF(AQ56=0,0,AQ54/AQ56))</f>
        <v>0</v>
      </c>
      <c r="AR55" s="158">
        <f>IF(OR(AND(AR54&lt;&gt;0,AR56=0),AND(AR54=0,AR56&lt;&gt;0)),"Ошибка",IF(AR56=0,0,AR54/AR56))</f>
        <v>0</v>
      </c>
      <c r="AS55" s="158">
        <f>IF(OR(AND(AS54&lt;&gt;0,AS56=0),AND(AS54=0,AS56&lt;&gt;0)),"Ошибка",IF(AS56=0,0,AS54/AS56))</f>
        <v>0</v>
      </c>
      <c r="AT55" s="158">
        <f>IF(OR(AND(AT54&lt;&gt;0,AT56=0),AND(AT54=0,AT56&lt;&gt;0)),"Ошибка",IF(AT56=0,0,AT54/AT56))</f>
        <v>0</v>
      </c>
      <c r="AU55" s="158">
        <f>IF(OR(AND(AU54&lt;&gt;0,AU56=0),AND(AU54=0,AU56&lt;&gt;0)),"Ошибка",IF(AU56=0,0,AU54/AU56))</f>
        <v>0</v>
      </c>
      <c r="AV55" s="158">
        <f>IF(OR(AND(AV54&lt;&gt;0,AV56=0),AND(AV54=0,AV56&lt;&gt;0)),"Ошибка",IF(AV56=0,0,AV54/AV56))</f>
        <v>0</v>
      </c>
      <c r="AW55" s="158">
        <f>IF(OR(AND(AW54&lt;&gt;0,AW56=0),AND(AW54=0,AW56&lt;&gt;0)),"Ошибка",IF(AW56=0,0,AW54/AW56))</f>
        <v>0</v>
      </c>
      <c r="AX55" s="158">
        <f>IF(OR(AND(AX54&lt;&gt;0,AX56=0),AND(AX54=0,AX56&lt;&gt;0)),"Ошибка",IF(AX56=0,0,AX54/AX56))</f>
        <v>0</v>
      </c>
      <c r="AY55" s="158">
        <f>IF(OR(AND(AY54&lt;&gt;0,AY56=0),AND(AY54=0,AY56&lt;&gt;0)),"Ошибка",IF(AY56=0,0,AY54/AY56))</f>
        <v>0</v>
      </c>
      <c r="AZ55" s="158">
        <f>IF(OR(AND(AZ54&lt;&gt;0,AZ56=0),AND(AZ54=0,AZ56&lt;&gt;0)),"Ошибка",IF(AZ56=0,0,AZ54/AZ56))</f>
        <v>0</v>
      </c>
      <c r="BA55" s="158">
        <f>IF(OR(AND(BA54&lt;&gt;0,BA56=0),AND(BA54=0,BA56&lt;&gt;0)),"Ошибка",IF(BA56=0,0,BA54/BA56))</f>
        <v>0</v>
      </c>
      <c r="BB55" s="158">
        <f>IF(OR(AND(BB54&lt;&gt;0,BB56=0),AND(BB54=0,BB56&lt;&gt;0)),"Ошибка",IF(BB56=0,0,BB54/BB56))</f>
        <v>0</v>
      </c>
      <c r="BC55" s="1887"/>
      <c r="BD55" s="1484"/>
      <c r="BE55" s="1484"/>
      <c r="BF55" s="1014" t="s">
        <v>807</v>
      </c>
      <c r="BG55" s="1014" t="s">
        <v>805</v>
      </c>
      <c r="BH55" s="1014" cm="1" t="str">
        <f t="array" ref="BH55:BH55">BH54</f>
        <v>0</v>
      </c>
      <c r="BI55" s="234"/>
      <c r="BJ55" s="234"/>
    </row>
    <row s="1190" customFormat="1" customHeight="1" ht="10.5" hidden="1">
      <c r="A56" s="1484"/>
      <c r="B56" s="402"/>
      <c r="C56" s="457"/>
      <c r="D56" s="1484"/>
      <c r="E56" s="234">
        <v>11.25</v>
      </c>
      <c r="F56" s="50" cm="1" t="str">
        <f t="array" ref="F56:F56">OFFSET(E56,-1,1)</f>
        <v>1</v>
      </c>
      <c r="G56" s="92" t="s">
        <v>654</v>
      </c>
      <c r="H56" s="92" cm="1" t="str">
        <f t="array" ref="H56:H56">H55</f>
        <v>0</v>
      </c>
      <c r="I56" s="1484"/>
      <c r="J56" s="1484"/>
      <c r="K56" s="1484"/>
      <c r="L56" s="1484"/>
      <c r="M56" s="1484"/>
      <c r="N56" s="1484"/>
      <c r="O56" s="1484"/>
      <c r="P56" s="1484"/>
      <c r="Q56" s="1484"/>
      <c r="R56" s="1484"/>
      <c r="S56" s="1484"/>
      <c r="T56" s="439" cm="1" t="str">
        <f t="array" ref="T56:T56">T55</f>
        <v>false</v>
      </c>
      <c r="U56" s="1484"/>
      <c r="V56" s="1484"/>
      <c r="W56" s="1484"/>
      <c r="X56" s="1462"/>
      <c r="Y56" s="1462"/>
      <c r="Z56" s="1484"/>
      <c r="AA56" s="1413"/>
      <c r="AB56" s="55" t="str">
        <f>AB54&amp;".2"</f>
        <v>6.0.2</v>
      </c>
      <c r="AC56" s="159" t="s">
        <v>808</v>
      </c>
      <c r="AD56" s="58" t="s">
        <v>792</v>
      </c>
      <c r="AE56" s="1764"/>
      <c r="AF56" s="1764"/>
      <c r="AG56" s="1764"/>
      <c r="AH56" s="1764"/>
      <c r="AI56" s="107"/>
      <c r="AJ56" s="1764"/>
      <c r="AK56" s="1764"/>
      <c r="AL56" s="1764"/>
      <c r="AM56" s="1764"/>
      <c r="AN56" s="1764"/>
      <c r="AO56" s="1764"/>
      <c r="AP56" s="1764"/>
      <c r="AQ56" s="1764"/>
      <c r="AR56" s="1764"/>
      <c r="AS56" s="107"/>
      <c r="AT56" s="1764"/>
      <c r="AU56" s="1764"/>
      <c r="AV56" s="1764"/>
      <c r="AW56" s="1764"/>
      <c r="AX56" s="1764"/>
      <c r="AY56" s="1764"/>
      <c r="AZ56" s="1764"/>
      <c r="BA56" s="1764"/>
      <c r="BB56" s="1764"/>
      <c r="BC56" s="1887"/>
      <c r="BD56" s="1484"/>
      <c r="BE56" s="1484"/>
      <c r="BF56" s="1014" t="s">
        <v>809</v>
      </c>
      <c r="BG56" s="1014" t="s">
        <v>805</v>
      </c>
      <c r="BH56" s="1014" cm="1" t="str">
        <f t="array" ref="BH56:BH56">BH55</f>
        <v>0</v>
      </c>
      <c r="BI56" s="234"/>
      <c r="BJ56" s="234"/>
    </row>
    <row s="1190" customFormat="1" customHeight="1" ht="12.75">
      <c r="A57" s="1484"/>
      <c r="B57" s="402"/>
      <c r="C57" s="457"/>
      <c r="D57" s="1484"/>
      <c r="E57" s="234">
        <v>11.25</v>
      </c>
      <c r="F57" s="50" cm="1" t="str">
        <f t="array" ref="F57:F57">OFFSET(E57,-1,1)</f>
        <v>1</v>
      </c>
      <c r="G57" s="92" t="s">
        <v>491</v>
      </c>
      <c r="H57" s="92" cm="1" t="str">
        <f t="array" ref="H57:H57">AC57</f>
        <v>СН2</v>
      </c>
      <c r="I57" s="1484"/>
      <c r="J57" s="1484"/>
      <c r="K57" s="1484"/>
      <c r="L57" s="1484"/>
      <c r="M57" s="1484"/>
      <c r="N57" s="1484"/>
      <c r="O57" s="1484"/>
      <c r="P57" s="1484"/>
      <c r="Q57" s="1484"/>
      <c r="R57" s="1484"/>
      <c r="S57" s="1484"/>
      <c r="T57" s="439">
        <f>AND(F57&gt;0,Y57&gt;0)</f>
        <v>1</v>
      </c>
      <c r="U57" s="1484"/>
      <c r="V57" s="1484"/>
      <c r="W57" s="738"/>
      <c r="X57" s="1462"/>
      <c r="Y57" s="1462" t="s">
        <v>272</v>
      </c>
      <c r="Z57" s="1484"/>
      <c r="AA57" s="1413" t="s">
        <v>174</v>
      </c>
      <c r="AB57" s="55" t="str">
        <f>"6."&amp;Y57</f>
        <v>6.1</v>
      </c>
      <c r="AC57" s="166" t="s">
        <v>834</v>
      </c>
      <c r="AD57" s="55" t="s">
        <v>784</v>
      </c>
      <c r="AE57" s="107">
        <v>609.8370458186</v>
      </c>
      <c r="AF57" s="107">
        <v>589.5074299695</v>
      </c>
      <c r="AG57" s="107">
        <v>589.5074299695</v>
      </c>
      <c r="AH57" s="107">
        <v>601.3424488914</v>
      </c>
      <c r="AI57" s="107">
        <v>612.4689</v>
      </c>
      <c r="AJ57" s="1764"/>
      <c r="AK57" s="1764"/>
      <c r="AL57" s="107"/>
      <c r="AM57" s="107"/>
      <c r="AN57" s="107"/>
      <c r="AO57" s="107"/>
      <c r="AP57" s="107"/>
      <c r="AQ57" s="107"/>
      <c r="AR57" s="107"/>
      <c r="AS57" s="107">
        <v>678.5030226358</v>
      </c>
      <c r="AT57" s="1764"/>
      <c r="AU57" s="1764"/>
      <c r="AV57" s="107"/>
      <c r="AW57" s="107"/>
      <c r="AX57" s="107"/>
      <c r="AY57" s="107"/>
      <c r="AZ57" s="107"/>
      <c r="BA57" s="107"/>
      <c r="BB57" s="107"/>
      <c r="BC57" s="167"/>
      <c r="BD57" s="1484"/>
      <c r="BE57" s="1484"/>
      <c r="BF57" s="1014" t="s">
        <v>804</v>
      </c>
      <c r="BG57" s="1014" t="s">
        <v>805</v>
      </c>
      <c r="BH57" s="1014" cm="1" t="str">
        <f t="array" ref="BH57:BH57">AC57</f>
        <v>СН2</v>
      </c>
      <c r="BI57" s="234"/>
      <c r="BJ57" s="234" t="b">
        <v>1</v>
      </c>
    </row>
    <row s="1190" customFormat="1" customHeight="1" ht="170.25">
      <c r="A58" s="1484"/>
      <c r="B58" s="402"/>
      <c r="C58" s="457"/>
      <c r="D58" s="1484"/>
      <c r="E58" s="234">
        <v>11.25</v>
      </c>
      <c r="F58" s="50" cm="1" t="str">
        <f t="array" ref="F58:F58">OFFSET(E58,-1,1)</f>
        <v>1</v>
      </c>
      <c r="G58" s="92" t="s">
        <v>651</v>
      </c>
      <c r="H58" s="92" cm="1" t="str">
        <f t="array" ref="H58:H58">H57</f>
        <v>СН2</v>
      </c>
      <c r="I58" s="1484"/>
      <c r="J58" s="1484"/>
      <c r="K58" s="1484"/>
      <c r="L58" s="1484"/>
      <c r="M58" s="1484"/>
      <c r="N58" s="1484"/>
      <c r="O58" s="1484"/>
      <c r="P58" s="1484"/>
      <c r="Q58" s="1484"/>
      <c r="R58" s="1484"/>
      <c r="S58" s="1484"/>
      <c r="T58" s="439" cm="1" t="str">
        <f t="array" ref="T58:T58">T57</f>
        <v>true</v>
      </c>
      <c r="U58" s="1484"/>
      <c r="V58" s="1484"/>
      <c r="W58" s="1484"/>
      <c r="X58" s="1462"/>
      <c r="Y58" s="1462"/>
      <c r="Z58" s="1484"/>
      <c r="AA58" s="1413"/>
      <c r="AB58" s="55" t="str">
        <f>AB57&amp;".1"</f>
        <v>6.1.1</v>
      </c>
      <c r="AC58" s="159" t="s">
        <v>806</v>
      </c>
      <c r="AD58" s="58" t="s">
        <v>798</v>
      </c>
      <c r="AE58" s="158">
        <f>IF(OR(AND(AE57&lt;&gt;0,AE59=0),AND(AE57=0,AE59&lt;&gt;0)),"Ошибка",IF(AE59=0,0,AE57/AE59))</f>
        <v>2.48170000000013</v>
      </c>
      <c r="AF58" s="158">
        <f>IF(OR(AND(AF57&lt;&gt;0,AF59=0),AND(AF57=0,AF59&lt;&gt;0)),"Ошибка",IF(AF59=0,0,AF57/AF59))</f>
        <v>2.97412245874088</v>
      </c>
      <c r="AG58" s="158">
        <f>IF(OR(AND(AG57&lt;&gt;0,AG59=0),AND(AG57=0,AG59&lt;&gt;0)),"Ошибка",IF(AG59=0,0,AG57/AG59))</f>
        <v>2.97412245874088</v>
      </c>
      <c r="AH58" s="158">
        <f>IF(OR(AND(AH57&lt;&gt;0,AH59=0),AND(AH57=0,AH59&lt;&gt;0)),"Ошибка",IF(AH59=0,0,AH57/AH59))</f>
        <v>2.96863626852458</v>
      </c>
      <c r="AI58" s="158">
        <f>IF(OR(AND(AI57&lt;&gt;0,AI59=0),AND(AI57=0,AI59&lt;&gt;0)),"Ошибка",IF(AI59=0,0,AI57/AI59))</f>
        <v>3.09</v>
      </c>
      <c r="AJ58" s="158">
        <f>IF(OR(AND(AJ57&lt;&gt;0,AJ59=0),AND(AJ57=0,AJ59&lt;&gt;0)),"Ошибка",IF(AJ59=0,0,AJ57/AJ59))</f>
        <v>0</v>
      </c>
      <c r="AK58" s="158">
        <f>IF(OR(AND(AK57&lt;&gt;0,AK59=0),AND(AK57=0,AK59&lt;&gt;0)),"Ошибка",IF(AK59=0,0,AK57/AK59))</f>
        <v>0</v>
      </c>
      <c r="AL58" s="158">
        <f>IF(OR(AND(AL57&lt;&gt;0,AL59=0),AND(AL57=0,AL59&lt;&gt;0)),"Ошибка",IF(AL59=0,0,AL57/AL59))</f>
        <v>0</v>
      </c>
      <c r="AM58" s="158">
        <f>IF(OR(AND(AM57&lt;&gt;0,AM59=0),AND(AM57=0,AM59&lt;&gt;0)),"Ошибка",IF(AM59=0,0,AM57/AM59))</f>
        <v>0</v>
      </c>
      <c r="AN58" s="158">
        <f>IF(OR(AND(AN57&lt;&gt;0,AN59=0),AND(AN57=0,AN59&lt;&gt;0)),"Ошибка",IF(AN59=0,0,AN57/AN59))</f>
        <v>0</v>
      </c>
      <c r="AO58" s="158">
        <f>IF(OR(AND(AO57&lt;&gt;0,AO59=0),AND(AO57=0,AO59&lt;&gt;0)),"Ошибка",IF(AO59=0,0,AO57/AO59))</f>
        <v>0</v>
      </c>
      <c r="AP58" s="158">
        <f>IF(OR(AND(AP57&lt;&gt;0,AP59=0),AND(AP57=0,AP59&lt;&gt;0)),"Ошибка",IF(AP59=0,0,AP57/AP59))</f>
        <v>0</v>
      </c>
      <c r="AQ58" s="158">
        <f>IF(OR(AND(AQ57&lt;&gt;0,AQ59=0),AND(AQ57=0,AQ59&lt;&gt;0)),"Ошибка",IF(AQ59=0,0,AQ57/AQ59))</f>
        <v>0</v>
      </c>
      <c r="AR58" s="158">
        <f>IF(OR(AND(AR57&lt;&gt;0,AR59=0),AND(AR57=0,AR59&lt;&gt;0)),"Ошибка",IF(AR59=0,0,AR57/AR59))</f>
        <v>0</v>
      </c>
      <c r="AS58" s="158">
        <f>IF(OR(AND(AS57&lt;&gt;0,AS59=0),AND(AS57=0,AS59&lt;&gt;0)),"Ошибка",IF(AS59=0,0,AS57/AS59))</f>
        <v>3.08999999999969</v>
      </c>
      <c r="AT58" s="158">
        <f>IF(OR(AND(AT57&lt;&gt;0,AT59=0),AND(AT57=0,AT59&lt;&gt;0)),"Ошибка",IF(AT59=0,0,AT57/AT59))</f>
        <v>0</v>
      </c>
      <c r="AU58" s="158">
        <f>IF(OR(AND(AU57&lt;&gt;0,AU59=0),AND(AU57=0,AU59&lt;&gt;0)),"Ошибка",IF(AU59=0,0,AU57/AU59))</f>
        <v>0</v>
      </c>
      <c r="AV58" s="158">
        <f>IF(OR(AND(AV57&lt;&gt;0,AV59=0),AND(AV57=0,AV59&lt;&gt;0)),"Ошибка",IF(AV59=0,0,AV57/AV59))</f>
        <v>0</v>
      </c>
      <c r="AW58" s="158">
        <f>IF(OR(AND(AW57&lt;&gt;0,AW59=0),AND(AW57=0,AW59&lt;&gt;0)),"Ошибка",IF(AW59=0,0,AW57/AW59))</f>
        <v>0</v>
      </c>
      <c r="AX58" s="158">
        <f>IF(OR(AND(AX57&lt;&gt;0,AX59=0),AND(AX57=0,AX59&lt;&gt;0)),"Ошибка",IF(AX59=0,0,AX57/AX59))</f>
        <v>0</v>
      </c>
      <c r="AY58" s="158">
        <f>IF(OR(AND(AY57&lt;&gt;0,AY59=0),AND(AY57=0,AY59&lt;&gt;0)),"Ошибка",IF(AY59=0,0,AY57/AY59))</f>
        <v>0</v>
      </c>
      <c r="AZ58" s="158">
        <f>IF(OR(AND(AZ57&lt;&gt;0,AZ59=0),AND(AZ57=0,AZ59&lt;&gt;0)),"Ошибка",IF(AZ59=0,0,AZ57/AZ59))</f>
        <v>0</v>
      </c>
      <c r="BA58" s="158">
        <f>IF(OR(AND(BA57&lt;&gt;0,BA59=0),AND(BA57=0,BA59&lt;&gt;0)),"Ошибка",IF(BA59=0,0,BA57/BA59))</f>
        <v>0</v>
      </c>
      <c r="BB58" s="158">
        <f>IF(OR(AND(BB57&lt;&gt;0,BB59=0),AND(BB57=0,BB59&lt;&gt;0)),"Ошибка",IF(BB59=0,0,BB57/BB59))</f>
        <v>0</v>
      </c>
      <c r="BC58" s="167" t="s">
        <v>835</v>
      </c>
      <c r="BD58" s="1484"/>
      <c r="BE58" s="1484"/>
      <c r="BF58" s="1014" t="s">
        <v>807</v>
      </c>
      <c r="BG58" s="1014" t="s">
        <v>805</v>
      </c>
      <c r="BH58" s="1014" cm="1" t="str">
        <f t="array" ref="BH58:BH58">BH57</f>
        <v>СН2</v>
      </c>
      <c r="BI58" s="234"/>
      <c r="BJ58" s="234"/>
    </row>
    <row s="1190" customFormat="1" customHeight="1" ht="75.75">
      <c r="A59" s="1484"/>
      <c r="B59" s="402"/>
      <c r="C59" s="457"/>
      <c r="D59" s="1484"/>
      <c r="E59" s="234">
        <v>11.25</v>
      </c>
      <c r="F59" s="50" cm="1" t="str">
        <f t="array" ref="F59:F59">OFFSET(E59,-1,1)</f>
        <v>1</v>
      </c>
      <c r="G59" s="92" t="s">
        <v>654</v>
      </c>
      <c r="H59" s="92" cm="1" t="str">
        <f t="array" ref="H59:H59">H58</f>
        <v>СН2</v>
      </c>
      <c r="I59" s="1484"/>
      <c r="J59" s="1484"/>
      <c r="K59" s="1484"/>
      <c r="L59" s="1484"/>
      <c r="M59" s="1484"/>
      <c r="N59" s="1484"/>
      <c r="O59" s="1484"/>
      <c r="P59" s="1484"/>
      <c r="Q59" s="1484"/>
      <c r="R59" s="1484"/>
      <c r="S59" s="1484"/>
      <c r="T59" s="439" cm="1" t="str">
        <f t="array" ref="T59:T59">T58</f>
        <v>true</v>
      </c>
      <c r="U59" s="1484"/>
      <c r="V59" s="1484"/>
      <c r="W59" s="1484"/>
      <c r="X59" s="1462"/>
      <c r="Y59" s="1462"/>
      <c r="Z59" s="1484"/>
      <c r="AA59" s="1413"/>
      <c r="AB59" s="55" t="str">
        <f>AB57&amp;".2"</f>
        <v>6.1.2</v>
      </c>
      <c r="AC59" s="159" t="s">
        <v>808</v>
      </c>
      <c r="AD59" s="58" t="s">
        <v>792</v>
      </c>
      <c r="AE59" s="107">
        <v>245.733588193</v>
      </c>
      <c r="AF59" s="107">
        <v>198.212225</v>
      </c>
      <c r="AG59" s="107">
        <v>198.212225</v>
      </c>
      <c r="AH59" s="107">
        <v>202.5652166509</v>
      </c>
      <c r="AI59" s="107">
        <v>198.21</v>
      </c>
      <c r="AJ59" s="1764"/>
      <c r="AK59" s="1764"/>
      <c r="AL59" s="107"/>
      <c r="AM59" s="107"/>
      <c r="AN59" s="107"/>
      <c r="AO59" s="107"/>
      <c r="AP59" s="107"/>
      <c r="AQ59" s="107"/>
      <c r="AR59" s="107"/>
      <c r="AS59" s="107">
        <v>219.5802662252</v>
      </c>
      <c r="AT59" s="1764"/>
      <c r="AU59" s="1764"/>
      <c r="AV59" s="107"/>
      <c r="AW59" s="107"/>
      <c r="AX59" s="107"/>
      <c r="AY59" s="107"/>
      <c r="AZ59" s="107"/>
      <c r="BA59" s="107"/>
      <c r="BB59" s="107"/>
      <c r="BC59" s="167" t="s">
        <v>836</v>
      </c>
      <c r="BD59" s="1484"/>
      <c r="BE59" s="1484"/>
      <c r="BF59" s="1014" t="s">
        <v>809</v>
      </c>
      <c r="BG59" s="1014" t="s">
        <v>805</v>
      </c>
      <c r="BH59" s="1014" cm="1" t="str">
        <f t="array" ref="BH59:BH59">BH58</f>
        <v>СН2</v>
      </c>
      <c r="BI59" s="234"/>
      <c r="BJ59" s="234"/>
    </row>
    <row s="1168" customFormat="1" customHeight="1" ht="14.25">
      <c r="A60" s="1168"/>
      <c r="B60" s="400"/>
      <c r="C60" s="457"/>
      <c r="D60" s="1168"/>
      <c r="E60" s="612">
        <v>15</v>
      </c>
      <c r="F60" s="50" cm="1" t="str">
        <f t="array" ref="F60:F60">OFFSET(E60,-1,1)</f>
        <v>1</v>
      </c>
      <c r="G60" s="1168"/>
      <c r="H60" s="940" t="s">
        <v>810</v>
      </c>
      <c r="I60" s="1168"/>
      <c r="J60" s="1168"/>
      <c r="K60" s="1168"/>
      <c r="L60" s="1168"/>
      <c r="M60" s="1168"/>
      <c r="N60" s="1168"/>
      <c r="O60" s="1168"/>
      <c r="P60" s="1168"/>
      <c r="Q60" s="1168"/>
      <c r="R60" s="1168"/>
      <c r="S60" s="1168"/>
      <c r="T60" s="439">
        <f>F60&gt;0</f>
        <v>1</v>
      </c>
      <c r="U60" s="1168"/>
      <c r="V60" s="1168"/>
      <c r="W60" s="738" t="s">
        <v>392</v>
      </c>
      <c r="X60" s="1462"/>
      <c r="Y60" s="1168"/>
      <c r="Z60" s="1484"/>
      <c r="AA60" s="1168"/>
      <c r="AB60" s="633"/>
      <c r="AC60" s="145" t="s">
        <v>177</v>
      </c>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54"/>
      <c r="BD60" s="1168"/>
      <c r="BE60" s="1168"/>
      <c r="BF60" s="1001"/>
      <c r="BG60" s="1001"/>
      <c r="BH60" s="1001"/>
      <c r="BI60" s="612" t="s">
        <v>805</v>
      </c>
      <c r="BJ60" s="612"/>
    </row>
    <row s="1190" customFormat="1" customHeight="1" ht="12">
      <c r="A61" s="1484"/>
      <c r="B61" s="402"/>
      <c r="C61" s="457"/>
      <c r="D61" s="1484"/>
      <c r="E61" s="234">
        <v>13</v>
      </c>
      <c r="F61" s="50" cm="1" t="str">
        <f t="array" ref="F61:F61">OFFSET(E61,-1,1)</f>
        <v>1</v>
      </c>
      <c r="G61" s="92"/>
      <c r="H61" s="92"/>
      <c r="I61" s="1484"/>
      <c r="J61" s="1484"/>
      <c r="K61" s="1484"/>
      <c r="L61" s="1484"/>
      <c r="M61" s="1484"/>
      <c r="N61" s="1484"/>
      <c r="O61" s="1484"/>
      <c r="P61" s="1484"/>
      <c r="Q61" s="1484"/>
      <c r="R61" s="1484"/>
      <c r="S61" s="1484"/>
      <c r="T61" s="439" cm="1" t="str">
        <f t="array" ref="T61:T61">T60</f>
        <v>true</v>
      </c>
      <c r="U61" s="1484"/>
      <c r="V61" s="1484"/>
      <c r="W61" s="1484"/>
      <c r="X61" s="1462"/>
      <c r="Y61" s="1484"/>
      <c r="Z61" s="1484"/>
      <c r="AA61" s="1484"/>
      <c r="AB61" s="632"/>
      <c r="AC61" s="233" t="s">
        <v>811</v>
      </c>
      <c r="AD61" s="234"/>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6"/>
      <c r="BD61" s="1484"/>
      <c r="BE61" s="1484"/>
      <c r="BF61" s="1014"/>
      <c r="BG61" s="1014"/>
      <c r="BH61" s="1014"/>
      <c r="BI61" s="234"/>
      <c r="BJ61" s="234"/>
    </row>
    <row s="1190" customFormat="1" customHeight="1" ht="10.5" hidden="1">
      <c r="A62" s="1484"/>
      <c r="B62" s="402"/>
      <c r="C62" s="457"/>
      <c r="D62" s="1484"/>
      <c r="E62" s="234">
        <v>11.25</v>
      </c>
      <c r="F62" s="50" cm="1" t="str">
        <f t="array" ref="F62:F62">OFFSET(E62,-1,1)</f>
        <v>1</v>
      </c>
      <c r="G62" s="92" t="s">
        <v>491</v>
      </c>
      <c r="H62" s="92" cm="1" t="str">
        <f t="array" ref="H62:H62">AC62</f>
        <v>0</v>
      </c>
      <c r="I62" s="1484"/>
      <c r="J62" s="1484"/>
      <c r="K62" s="1484"/>
      <c r="L62" s="1484"/>
      <c r="M62" s="1484"/>
      <c r="N62" s="1484"/>
      <c r="O62" s="1484"/>
      <c r="P62" s="1484"/>
      <c r="Q62" s="1484"/>
      <c r="R62" s="1484"/>
      <c r="S62" s="1484"/>
      <c r="T62" s="439">
        <f>AND(F62&gt;0,Y62&gt;0)</f>
        <v>0</v>
      </c>
      <c r="U62" s="1484"/>
      <c r="V62" s="1484"/>
      <c r="W62" s="738" t="s">
        <v>173</v>
      </c>
      <c r="X62" s="1462"/>
      <c r="Y62" s="1462">
        <v>0</v>
      </c>
      <c r="Z62" s="1484"/>
      <c r="AA62" s="1413" t="s">
        <v>174</v>
      </c>
      <c r="AB62" s="55" t="str">
        <f>"7."&amp;Y62</f>
        <v>7.0</v>
      </c>
      <c r="AC62" s="2399"/>
      <c r="AD62" s="55" t="s">
        <v>784</v>
      </c>
      <c r="AE62" s="158">
        <f>AE63+AE66</f>
        <v>0</v>
      </c>
      <c r="AF62" s="158">
        <f>AF63+AF66</f>
        <v>0</v>
      </c>
      <c r="AG62" s="158">
        <f>AG63+AG66</f>
        <v>0</v>
      </c>
      <c r="AH62" s="158">
        <f>AH63+AH66</f>
        <v>0</v>
      </c>
      <c r="AI62" s="158">
        <f>AI63+AI66</f>
        <v>0</v>
      </c>
      <c r="AJ62" s="158">
        <f>AJ63+AJ66</f>
        <v>0</v>
      </c>
      <c r="AK62" s="158">
        <f>AK63+AK66</f>
        <v>0</v>
      </c>
      <c r="AL62" s="158">
        <f>AL63+AL66</f>
        <v>0</v>
      </c>
      <c r="AM62" s="158">
        <f>AM63+AM66</f>
        <v>0</v>
      </c>
      <c r="AN62" s="158">
        <f>AN63+AN66</f>
        <v>0</v>
      </c>
      <c r="AO62" s="158">
        <f>AO63+AO66</f>
        <v>0</v>
      </c>
      <c r="AP62" s="158">
        <f>AP63+AP66</f>
        <v>0</v>
      </c>
      <c r="AQ62" s="158">
        <f>AQ63+AQ66</f>
        <v>0</v>
      </c>
      <c r="AR62" s="158">
        <f>AR63+AR66</f>
        <v>0</v>
      </c>
      <c r="AS62" s="158">
        <f>AS63+AS66</f>
        <v>0</v>
      </c>
      <c r="AT62" s="158">
        <f>AT63+AT66</f>
        <v>0</v>
      </c>
      <c r="AU62" s="158">
        <f>AU63+AU66</f>
        <v>0</v>
      </c>
      <c r="AV62" s="158">
        <f>AV63+AV66</f>
        <v>0</v>
      </c>
      <c r="AW62" s="158">
        <f>AW63+AW66</f>
        <v>0</v>
      </c>
      <c r="AX62" s="158">
        <f>AX63+AX66</f>
        <v>0</v>
      </c>
      <c r="AY62" s="158">
        <f>AY63+AY66</f>
        <v>0</v>
      </c>
      <c r="AZ62" s="158">
        <f>AZ63+AZ66</f>
        <v>0</v>
      </c>
      <c r="BA62" s="158">
        <f>BA63+BA66</f>
        <v>0</v>
      </c>
      <c r="BB62" s="158">
        <f>BB63+BB66</f>
        <v>0</v>
      </c>
      <c r="BC62" s="1887"/>
      <c r="BD62" s="1484"/>
      <c r="BE62" s="1484"/>
      <c r="BF62" s="1014" t="s">
        <v>812</v>
      </c>
      <c r="BG62" s="1014" t="s">
        <v>813</v>
      </c>
      <c r="BH62" s="1014" cm="1" t="str">
        <f t="array" ref="BH62:BH62">AC62</f>
        <v>0</v>
      </c>
      <c r="BI62" s="234"/>
      <c r="BJ62" s="234"/>
    </row>
    <row s="1190" customFormat="1" customHeight="1" ht="10.5" hidden="1">
      <c r="A63" s="1484"/>
      <c r="B63" s="402"/>
      <c r="C63" s="457"/>
      <c r="D63" s="1484"/>
      <c r="E63" s="234">
        <v>11.25</v>
      </c>
      <c r="F63" s="50" cm="1" t="str">
        <f t="array" ref="F63:F63">OFFSET(E63,-1,1)</f>
        <v>1</v>
      </c>
      <c r="G63" s="92" t="s">
        <v>658</v>
      </c>
      <c r="H63" s="92" cm="1" t="str">
        <f t="array" ref="H63:H63">H62</f>
        <v>0</v>
      </c>
      <c r="I63" s="1484"/>
      <c r="J63" s="1484"/>
      <c r="K63" s="1484"/>
      <c r="L63" s="1484"/>
      <c r="M63" s="1484"/>
      <c r="N63" s="1484"/>
      <c r="O63" s="1484"/>
      <c r="P63" s="1484"/>
      <c r="Q63" s="1484"/>
      <c r="R63" s="1484"/>
      <c r="S63" s="1484"/>
      <c r="T63" s="439" cm="1" t="str">
        <f t="array" ref="T63:T63">T62</f>
        <v>false</v>
      </c>
      <c r="U63" s="1484"/>
      <c r="V63" s="1484"/>
      <c r="W63" s="1484"/>
      <c r="X63" s="1462"/>
      <c r="Y63" s="1462"/>
      <c r="Z63" s="1484"/>
      <c r="AA63" s="1413"/>
      <c r="AB63" s="55" t="str">
        <f>AB62&amp;".1"</f>
        <v>7.0.1</v>
      </c>
      <c r="AC63" s="159" t="s">
        <v>814</v>
      </c>
      <c r="AD63" s="55" t="s">
        <v>815</v>
      </c>
      <c r="AE63" s="1764"/>
      <c r="AF63" s="1764"/>
      <c r="AG63" s="1764"/>
      <c r="AH63" s="1764"/>
      <c r="AI63" s="107"/>
      <c r="AJ63" s="1764"/>
      <c r="AK63" s="1764"/>
      <c r="AL63" s="1764"/>
      <c r="AM63" s="1764"/>
      <c r="AN63" s="1764"/>
      <c r="AO63" s="1764"/>
      <c r="AP63" s="1764"/>
      <c r="AQ63" s="1764"/>
      <c r="AR63" s="1764"/>
      <c r="AS63" s="107"/>
      <c r="AT63" s="1764"/>
      <c r="AU63" s="1764"/>
      <c r="AV63" s="1764"/>
      <c r="AW63" s="1764"/>
      <c r="AX63" s="1764"/>
      <c r="AY63" s="1764"/>
      <c r="AZ63" s="1764"/>
      <c r="BA63" s="1764"/>
      <c r="BB63" s="1764"/>
      <c r="BC63" s="1887"/>
      <c r="BD63" s="1484"/>
      <c r="BE63" s="1484"/>
      <c r="BF63" s="1014" t="s">
        <v>816</v>
      </c>
      <c r="BG63" s="1014" t="s">
        <v>813</v>
      </c>
      <c r="BH63" s="1014" cm="1" t="str">
        <f t="array" ref="BH63:BH63">BH62</f>
        <v>0</v>
      </c>
      <c r="BI63" s="234"/>
      <c r="BJ63" s="234"/>
    </row>
    <row s="1190" customFormat="1" customHeight="1" ht="10.5" hidden="1">
      <c r="A64" s="1484"/>
      <c r="B64" s="402"/>
      <c r="C64" s="457"/>
      <c r="D64" s="1484"/>
      <c r="E64" s="234">
        <v>11.25</v>
      </c>
      <c r="F64" s="50" cm="1" t="str">
        <f t="array" ref="F64:F64">OFFSET(E64,-1,1)</f>
        <v>1</v>
      </c>
      <c r="G64" s="92" t="s">
        <v>817</v>
      </c>
      <c r="H64" s="92" cm="1" t="str">
        <f t="array" ref="H64:H64">H63</f>
        <v>0</v>
      </c>
      <c r="I64" s="1484"/>
      <c r="J64" s="1484"/>
      <c r="K64" s="1484"/>
      <c r="L64" s="1484"/>
      <c r="M64" s="1484"/>
      <c r="N64" s="1484"/>
      <c r="O64" s="1484"/>
      <c r="P64" s="1484"/>
      <c r="Q64" s="1484"/>
      <c r="R64" s="1484"/>
      <c r="S64" s="1484"/>
      <c r="T64" s="439" cm="1" t="str">
        <f t="array" ref="T64:T64">T63</f>
        <v>false</v>
      </c>
      <c r="U64" s="1484"/>
      <c r="V64" s="1484"/>
      <c r="W64" s="1484"/>
      <c r="X64" s="1462"/>
      <c r="Y64" s="1462"/>
      <c r="Z64" s="1484"/>
      <c r="AA64" s="1413"/>
      <c r="AB64" s="55" t="str">
        <f>AB62&amp;".1.1"</f>
        <v>7.0.1.1</v>
      </c>
      <c r="AC64" s="299" t="s">
        <v>806</v>
      </c>
      <c r="AD64" s="58" t="s">
        <v>798</v>
      </c>
      <c r="AE64" s="158">
        <f>IF(OR(AND(AE63&lt;&gt;0,AE65=0),AND(AE63=0,AE65&lt;&gt;0)),"Ошибка",IF(AE65=0,0,AE63/AE65))</f>
        <v>0</v>
      </c>
      <c r="AF64" s="158">
        <f>IF(OR(AND(AF63&lt;&gt;0,AF65=0),AND(AF63=0,AF65&lt;&gt;0)),"Ошибка",IF(AF65=0,0,AF63/AF65))</f>
        <v>0</v>
      </c>
      <c r="AG64" s="158">
        <f>IF(OR(AND(AG63&lt;&gt;0,AG65=0),AND(AG63=0,AG65&lt;&gt;0)),"Ошибка",IF(AG65=0,0,AG63/AG65))</f>
        <v>0</v>
      </c>
      <c r="AH64" s="158">
        <f>IF(OR(AND(AH63&lt;&gt;0,AH65=0),AND(AH63=0,AH65&lt;&gt;0)),"Ошибка",IF(AH65=0,0,AH63/AH65))</f>
        <v>0</v>
      </c>
      <c r="AI64" s="158">
        <f>IF(OR(AND(AI63&lt;&gt;0,AI65=0),AND(AI63=0,AI65&lt;&gt;0)),"Ошибка",IF(AI65=0,0,AI63/AI65))</f>
        <v>0</v>
      </c>
      <c r="AJ64" s="158">
        <f>IF(OR(AND(AJ63&lt;&gt;0,AJ65=0),AND(AJ63=0,AJ65&lt;&gt;0)),"Ошибка",IF(AJ65=0,0,AJ63/AJ65))</f>
        <v>0</v>
      </c>
      <c r="AK64" s="158">
        <f>IF(OR(AND(AK63&lt;&gt;0,AK65=0),AND(AK63=0,AK65&lt;&gt;0)),"Ошибка",IF(AK65=0,0,AK63/AK65))</f>
        <v>0</v>
      </c>
      <c r="AL64" s="158">
        <f>IF(OR(AND(AL63&lt;&gt;0,AL65=0),AND(AL63=0,AL65&lt;&gt;0)),"Ошибка",IF(AL65=0,0,AL63/AL65))</f>
        <v>0</v>
      </c>
      <c r="AM64" s="158">
        <f>IF(OR(AND(AM63&lt;&gt;0,AM65=0),AND(AM63=0,AM65&lt;&gt;0)),"Ошибка",IF(AM65=0,0,AM63/AM65))</f>
        <v>0</v>
      </c>
      <c r="AN64" s="158">
        <f>IF(OR(AND(AN63&lt;&gt;0,AN65=0),AND(AN63=0,AN65&lt;&gt;0)),"Ошибка",IF(AN65=0,0,AN63/AN65))</f>
        <v>0</v>
      </c>
      <c r="AO64" s="158">
        <f>IF(OR(AND(AO63&lt;&gt;0,AO65=0),AND(AO63=0,AO65&lt;&gt;0)),"Ошибка",IF(AO65=0,0,AO63/AO65))</f>
        <v>0</v>
      </c>
      <c r="AP64" s="158">
        <f>IF(OR(AND(AP63&lt;&gt;0,AP65=0),AND(AP63=0,AP65&lt;&gt;0)),"Ошибка",IF(AP65=0,0,AP63/AP65))</f>
        <v>0</v>
      </c>
      <c r="AQ64" s="158">
        <f>IF(OR(AND(AQ63&lt;&gt;0,AQ65=0),AND(AQ63=0,AQ65&lt;&gt;0)),"Ошибка",IF(AQ65=0,0,AQ63/AQ65))</f>
        <v>0</v>
      </c>
      <c r="AR64" s="158">
        <f>IF(OR(AND(AR63&lt;&gt;0,AR65=0),AND(AR63=0,AR65&lt;&gt;0)),"Ошибка",IF(AR65=0,0,AR63/AR65))</f>
        <v>0</v>
      </c>
      <c r="AS64" s="158">
        <f>IF(OR(AND(AS63&lt;&gt;0,AS65=0),AND(AS63=0,AS65&lt;&gt;0)),"Ошибка",IF(AS65=0,0,AS63/AS65))</f>
        <v>0</v>
      </c>
      <c r="AT64" s="158">
        <f>IF(OR(AND(AT63&lt;&gt;0,AT65=0),AND(AT63=0,AT65&lt;&gt;0)),"Ошибка",IF(AT65=0,0,AT63/AT65))</f>
        <v>0</v>
      </c>
      <c r="AU64" s="158">
        <f>IF(OR(AND(AU63&lt;&gt;0,AU65=0),AND(AU63=0,AU65&lt;&gt;0)),"Ошибка",IF(AU65=0,0,AU63/AU65))</f>
        <v>0</v>
      </c>
      <c r="AV64" s="158">
        <f>IF(OR(AND(AV63&lt;&gt;0,AV65=0),AND(AV63=0,AV65&lt;&gt;0)),"Ошибка",IF(AV65=0,0,AV63/AV65))</f>
        <v>0</v>
      </c>
      <c r="AW64" s="158">
        <f>IF(OR(AND(AW63&lt;&gt;0,AW65=0),AND(AW63=0,AW65&lt;&gt;0)),"Ошибка",IF(AW65=0,0,AW63/AW65))</f>
        <v>0</v>
      </c>
      <c r="AX64" s="158">
        <f>IF(OR(AND(AX63&lt;&gt;0,AX65=0),AND(AX63=0,AX65&lt;&gt;0)),"Ошибка",IF(AX65=0,0,AX63/AX65))</f>
        <v>0</v>
      </c>
      <c r="AY64" s="158">
        <f>IF(OR(AND(AY63&lt;&gt;0,AY65=0),AND(AY63=0,AY65&lt;&gt;0)),"Ошибка",IF(AY65=0,0,AY63/AY65))</f>
        <v>0</v>
      </c>
      <c r="AZ64" s="158">
        <f>IF(OR(AND(AZ63&lt;&gt;0,AZ65=0),AND(AZ63=0,AZ65&lt;&gt;0)),"Ошибка",IF(AZ65=0,0,AZ63/AZ65))</f>
        <v>0</v>
      </c>
      <c r="BA64" s="158">
        <f>IF(OR(AND(BA63&lt;&gt;0,BA65=0),AND(BA63=0,BA65&lt;&gt;0)),"Ошибка",IF(BA65=0,0,BA63/BA65))</f>
        <v>0</v>
      </c>
      <c r="BB64" s="158">
        <f>IF(OR(AND(BB63&lt;&gt;0,BB65=0),AND(BB63=0,BB65&lt;&gt;0)),"Ошибка",IF(BB65=0,0,BB63/BB65))</f>
        <v>0</v>
      </c>
      <c r="BC64" s="1887"/>
      <c r="BD64" s="1484"/>
      <c r="BE64" s="1484"/>
      <c r="BF64" s="1014" t="s">
        <v>818</v>
      </c>
      <c r="BG64" s="1014" t="s">
        <v>813</v>
      </c>
      <c r="BH64" s="1014" cm="1" t="str">
        <f t="array" ref="BH64:BH64">BH63</f>
        <v>0</v>
      </c>
      <c r="BI64" s="234"/>
      <c r="BJ64" s="234"/>
    </row>
    <row s="1190" customFormat="1" customHeight="1" ht="10.5" hidden="1">
      <c r="A65" s="1484"/>
      <c r="B65" s="402"/>
      <c r="C65" s="457"/>
      <c r="D65" s="1484"/>
      <c r="E65" s="234">
        <v>11.25</v>
      </c>
      <c r="F65" s="50" cm="1" t="str">
        <f t="array" ref="F65:F65">OFFSET(E65,-1,1)</f>
        <v>1</v>
      </c>
      <c r="G65" s="92" t="s">
        <v>819</v>
      </c>
      <c r="H65" s="92" cm="1" t="str">
        <f t="array" ref="H65:H65">H64</f>
        <v>0</v>
      </c>
      <c r="I65" s="1484"/>
      <c r="J65" s="1484"/>
      <c r="K65" s="1484"/>
      <c r="L65" s="1484"/>
      <c r="M65" s="1484"/>
      <c r="N65" s="1484"/>
      <c r="O65" s="1484"/>
      <c r="P65" s="1484"/>
      <c r="Q65" s="1484"/>
      <c r="R65" s="1484"/>
      <c r="S65" s="1484"/>
      <c r="T65" s="439" cm="1" t="str">
        <f t="array" ref="T65:T65">T64</f>
        <v>false</v>
      </c>
      <c r="U65" s="1484"/>
      <c r="V65" s="1484"/>
      <c r="W65" s="1484"/>
      <c r="X65" s="1462"/>
      <c r="Y65" s="1462"/>
      <c r="Z65" s="1484"/>
      <c r="AA65" s="1413"/>
      <c r="AB65" s="55" t="str">
        <f>AB62&amp;".1.2"</f>
        <v>7.0.1.2</v>
      </c>
      <c r="AC65" s="299" t="s">
        <v>808</v>
      </c>
      <c r="AD65" s="58" t="s">
        <v>792</v>
      </c>
      <c r="AE65" s="1764"/>
      <c r="AF65" s="1764"/>
      <c r="AG65" s="1764"/>
      <c r="AH65" s="1764"/>
      <c r="AI65" s="107"/>
      <c r="AJ65" s="1764"/>
      <c r="AK65" s="1764"/>
      <c r="AL65" s="1764"/>
      <c r="AM65" s="1764"/>
      <c r="AN65" s="1764"/>
      <c r="AO65" s="1764"/>
      <c r="AP65" s="1764"/>
      <c r="AQ65" s="1764"/>
      <c r="AR65" s="1764"/>
      <c r="AS65" s="107"/>
      <c r="AT65" s="1764"/>
      <c r="AU65" s="1764"/>
      <c r="AV65" s="1764"/>
      <c r="AW65" s="1764"/>
      <c r="AX65" s="1764"/>
      <c r="AY65" s="1764"/>
      <c r="AZ65" s="1764"/>
      <c r="BA65" s="1764"/>
      <c r="BB65" s="1764"/>
      <c r="BC65" s="1887"/>
      <c r="BD65" s="1484"/>
      <c r="BE65" s="1484"/>
      <c r="BF65" s="1014" t="s">
        <v>820</v>
      </c>
      <c r="BG65" s="1014" t="s">
        <v>813</v>
      </c>
      <c r="BH65" s="1014" cm="1" t="str">
        <f t="array" ref="BH65:BH65">BH64</f>
        <v>0</v>
      </c>
      <c r="BI65" s="234"/>
      <c r="BJ65" s="234"/>
    </row>
    <row s="1190" customFormat="1" customHeight="1" ht="10.5" hidden="1">
      <c r="A66" s="1484"/>
      <c r="B66" s="402"/>
      <c r="C66" s="457"/>
      <c r="D66" s="1484"/>
      <c r="E66" s="234">
        <v>11.25</v>
      </c>
      <c r="F66" s="50" cm="1" t="str">
        <f t="array" ref="F66:F66">OFFSET(E66,-1,1)</f>
        <v>1</v>
      </c>
      <c r="G66" s="92" t="s">
        <v>661</v>
      </c>
      <c r="H66" s="92" cm="1" t="str">
        <f t="array" ref="H66:H66">H65</f>
        <v>0</v>
      </c>
      <c r="I66" s="1484"/>
      <c r="J66" s="1484"/>
      <c r="K66" s="1484"/>
      <c r="L66" s="1484"/>
      <c r="M66" s="1484"/>
      <c r="N66" s="1484"/>
      <c r="O66" s="1484"/>
      <c r="P66" s="1484"/>
      <c r="Q66" s="1484"/>
      <c r="R66" s="1484"/>
      <c r="S66" s="1484"/>
      <c r="T66" s="439" cm="1" t="str">
        <f t="array" ref="T66:T66">T65</f>
        <v>false</v>
      </c>
      <c r="U66" s="1484"/>
      <c r="V66" s="1484"/>
      <c r="W66" s="1484"/>
      <c r="X66" s="1462"/>
      <c r="Y66" s="1462"/>
      <c r="Z66" s="1484"/>
      <c r="AA66" s="1413"/>
      <c r="AB66" s="55" t="str">
        <f>AB62&amp;".2"</f>
        <v>7.0.2</v>
      </c>
      <c r="AC66" s="159" t="s">
        <v>821</v>
      </c>
      <c r="AD66" s="55" t="s">
        <v>815</v>
      </c>
      <c r="AE66" s="1764"/>
      <c r="AF66" s="1764"/>
      <c r="AG66" s="1764"/>
      <c r="AH66" s="1764"/>
      <c r="AI66" s="107"/>
      <c r="AJ66" s="1764"/>
      <c r="AK66" s="1764"/>
      <c r="AL66" s="1764"/>
      <c r="AM66" s="1764"/>
      <c r="AN66" s="1764"/>
      <c r="AO66" s="1764"/>
      <c r="AP66" s="1764"/>
      <c r="AQ66" s="1764"/>
      <c r="AR66" s="1764"/>
      <c r="AS66" s="107"/>
      <c r="AT66" s="1764"/>
      <c r="AU66" s="1764"/>
      <c r="AV66" s="1764"/>
      <c r="AW66" s="1764"/>
      <c r="AX66" s="1764"/>
      <c r="AY66" s="1764"/>
      <c r="AZ66" s="1764"/>
      <c r="BA66" s="1764"/>
      <c r="BB66" s="1764"/>
      <c r="BC66" s="1887"/>
      <c r="BD66" s="1484"/>
      <c r="BE66" s="1484"/>
      <c r="BF66" s="1014" t="s">
        <v>822</v>
      </c>
      <c r="BG66" s="1014" t="s">
        <v>813</v>
      </c>
      <c r="BH66" s="1014" cm="1" t="str">
        <f t="array" ref="BH66:BH66">BH65</f>
        <v>0</v>
      </c>
      <c r="BI66" s="234"/>
      <c r="BJ66" s="234"/>
    </row>
    <row s="1190" customFormat="1" customHeight="1" ht="10.5" hidden="1">
      <c r="A67" s="1484"/>
      <c r="B67" s="402"/>
      <c r="C67" s="457"/>
      <c r="D67" s="1484"/>
      <c r="E67" s="234">
        <v>11.25</v>
      </c>
      <c r="F67" s="50" cm="1" t="str">
        <f t="array" ref="F67:F67">OFFSET(E67,-1,1)</f>
        <v>1</v>
      </c>
      <c r="G67" s="92" t="s">
        <v>823</v>
      </c>
      <c r="H67" s="92" cm="1" t="str">
        <f t="array" ref="H67:H67">H66</f>
        <v>0</v>
      </c>
      <c r="I67" s="1484"/>
      <c r="J67" s="1484"/>
      <c r="K67" s="1484"/>
      <c r="L67" s="1484"/>
      <c r="M67" s="1484"/>
      <c r="N67" s="1484"/>
      <c r="O67" s="1484"/>
      <c r="P67" s="1484"/>
      <c r="Q67" s="1484"/>
      <c r="R67" s="1484"/>
      <c r="S67" s="1484"/>
      <c r="T67" s="439" cm="1" t="str">
        <f t="array" ref="T67:T67">T66</f>
        <v>false</v>
      </c>
      <c r="U67" s="1484"/>
      <c r="V67" s="1484"/>
      <c r="W67" s="1484"/>
      <c r="X67" s="1462"/>
      <c r="Y67" s="1462"/>
      <c r="Z67" s="1484"/>
      <c r="AA67" s="1413"/>
      <c r="AB67" s="55" t="str">
        <f>AB62&amp;".2.1"</f>
        <v>7.0.2.1</v>
      </c>
      <c r="AC67" s="299" t="s">
        <v>824</v>
      </c>
      <c r="AD67" s="58" t="s">
        <v>825</v>
      </c>
      <c r="AE67" s="158">
        <f>IF(OR(AND(AE66&lt;&gt;0,AE68=0),AND(AE66=0,AE68&lt;&gt;0)),"Ошибка",IF(AE68=0,0,AE66/AE68*1000/12))</f>
        <v>0</v>
      </c>
      <c r="AF67" s="158">
        <f>IF(OR(AND(AF66&lt;&gt;0,AF68=0),AND(AF66=0,AF68&lt;&gt;0)),"Ошибка",IF(AF68=0,0,AF66/AF68*1000/12))</f>
        <v>0</v>
      </c>
      <c r="AG67" s="158">
        <f>IF(OR(AND(AG66&lt;&gt;0,AG68=0),AND(AG66=0,AG68&lt;&gt;0)),"Ошибка",IF(AG68=0,0,AG66/AG68*1000/12))</f>
        <v>0</v>
      </c>
      <c r="AH67" s="158">
        <f>IF(OR(AND(AH66&lt;&gt;0,AH68=0),AND(AH66=0,AH68&lt;&gt;0)),"Ошибка",IF(AH68=0,0,AH66/AH68*1000/12))</f>
        <v>0</v>
      </c>
      <c r="AI67" s="158">
        <f>IF(OR(AND(AI66&lt;&gt;0,AI68=0),AND(AI66=0,AI68&lt;&gt;0)),"Ошибка",IF(AI68=0,0,AI66/AI68*1000/12))</f>
        <v>0</v>
      </c>
      <c r="AJ67" s="158">
        <f>IF(OR(AND(AJ66&lt;&gt;0,AJ68=0),AND(AJ66=0,AJ68&lt;&gt;0)),"Ошибка",IF(AJ68=0,0,AJ66/AJ68*1000/12))</f>
        <v>0</v>
      </c>
      <c r="AK67" s="158">
        <f>IF(OR(AND(AK66&lt;&gt;0,AK68=0),AND(AK66=0,AK68&lt;&gt;0)),"Ошибка",IF(AK68=0,0,AK66/AK68*1000/12))</f>
        <v>0</v>
      </c>
      <c r="AL67" s="158">
        <f>IF(OR(AND(AL66&lt;&gt;0,AL68=0),AND(AL66=0,AL68&lt;&gt;0)),"Ошибка",IF(AL68=0,0,AL66/AL68*1000/12))</f>
        <v>0</v>
      </c>
      <c r="AM67" s="158">
        <f>IF(OR(AND(AM66&lt;&gt;0,AM68=0),AND(AM66=0,AM68&lt;&gt;0)),"Ошибка",IF(AM68=0,0,AM66/AM68*1000/12))</f>
        <v>0</v>
      </c>
      <c r="AN67" s="158">
        <f>IF(OR(AND(AN66&lt;&gt;0,AN68=0),AND(AN66=0,AN68&lt;&gt;0)),"Ошибка",IF(AN68=0,0,AN66/AN68*1000/12))</f>
        <v>0</v>
      </c>
      <c r="AO67" s="158">
        <f>IF(OR(AND(AO66&lt;&gt;0,AO68=0),AND(AO66=0,AO68&lt;&gt;0)),"Ошибка",IF(AO68=0,0,AO66/AO68*1000/12))</f>
        <v>0</v>
      </c>
      <c r="AP67" s="158">
        <f>IF(OR(AND(AP66&lt;&gt;0,AP68=0),AND(AP66=0,AP68&lt;&gt;0)),"Ошибка",IF(AP68=0,0,AP66/AP68*1000/12))</f>
        <v>0</v>
      </c>
      <c r="AQ67" s="158">
        <f>IF(OR(AND(AQ66&lt;&gt;0,AQ68=0),AND(AQ66=0,AQ68&lt;&gt;0)),"Ошибка",IF(AQ68=0,0,AQ66/AQ68*1000/12))</f>
        <v>0</v>
      </c>
      <c r="AR67" s="158">
        <f>IF(OR(AND(AR66&lt;&gt;0,AR68=0),AND(AR66=0,AR68&lt;&gt;0)),"Ошибка",IF(AR68=0,0,AR66/AR68*1000/12))</f>
        <v>0</v>
      </c>
      <c r="AS67" s="158">
        <f>IF(OR(AND(AS66&lt;&gt;0,AS68=0),AND(AS66=0,AS68&lt;&gt;0)),"Ошибка",IF(AS68=0,0,AS66/AS68*1000/12))</f>
        <v>0</v>
      </c>
      <c r="AT67" s="158">
        <f>IF(OR(AND(AT66&lt;&gt;0,AT68=0),AND(AT66=0,AT68&lt;&gt;0)),"Ошибка",IF(AT68=0,0,AT66/AT68*1000/12))</f>
        <v>0</v>
      </c>
      <c r="AU67" s="158">
        <f>IF(OR(AND(AU66&lt;&gt;0,AU68=0),AND(AU66=0,AU68&lt;&gt;0)),"Ошибка",IF(AU68=0,0,AU66/AU68*1000/12))</f>
        <v>0</v>
      </c>
      <c r="AV67" s="158">
        <f>IF(OR(AND(AV66&lt;&gt;0,AV68=0),AND(AV66=0,AV68&lt;&gt;0)),"Ошибка",IF(AV68=0,0,AV66/AV68*1000/12))</f>
        <v>0</v>
      </c>
      <c r="AW67" s="158">
        <f>IF(OR(AND(AW66&lt;&gt;0,AW68=0),AND(AW66=0,AW68&lt;&gt;0)),"Ошибка",IF(AW68=0,0,AW66/AW68*1000/12))</f>
        <v>0</v>
      </c>
      <c r="AX67" s="158">
        <f>IF(OR(AND(AX66&lt;&gt;0,AX68=0),AND(AX66=0,AX68&lt;&gt;0)),"Ошибка",IF(AX68=0,0,AX66/AX68*1000/12))</f>
        <v>0</v>
      </c>
      <c r="AY67" s="158">
        <f>IF(OR(AND(AY66&lt;&gt;0,AY68=0),AND(AY66=0,AY68&lt;&gt;0)),"Ошибка",IF(AY68=0,0,AY66/AY68*1000/12))</f>
        <v>0</v>
      </c>
      <c r="AZ67" s="158">
        <f>IF(OR(AND(AZ66&lt;&gt;0,AZ68=0),AND(AZ66=0,AZ68&lt;&gt;0)),"Ошибка",IF(AZ68=0,0,AZ66/AZ68*1000/12))</f>
        <v>0</v>
      </c>
      <c r="BA67" s="158">
        <f>IF(OR(AND(BA66&lt;&gt;0,BA68=0),AND(BA66=0,BA68&lt;&gt;0)),"Ошибка",IF(BA68=0,0,BA66/BA68*1000/12))</f>
        <v>0</v>
      </c>
      <c r="BB67" s="158">
        <f>IF(OR(AND(BB66&lt;&gt;0,BB68=0),AND(BB66=0,BB68&lt;&gt;0)),"Ошибка",IF(BB68=0,0,BB66/BB68*1000/12))</f>
        <v>0</v>
      </c>
      <c r="BC67" s="1887"/>
      <c r="BD67" s="1484"/>
      <c r="BE67" s="1484"/>
      <c r="BF67" s="1014" t="s">
        <v>826</v>
      </c>
      <c r="BG67" s="1014" t="s">
        <v>813</v>
      </c>
      <c r="BH67" s="1014" cm="1" t="str">
        <f t="array" ref="BH67:BH67">BH66</f>
        <v>0</v>
      </c>
      <c r="BI67" s="234"/>
      <c r="BJ67" s="234"/>
    </row>
    <row s="1190" customFormat="1" customHeight="1" ht="10.5" hidden="1">
      <c r="A68" s="1484"/>
      <c r="B68" s="402"/>
      <c r="C68" s="457"/>
      <c r="D68" s="1484"/>
      <c r="E68" s="234">
        <v>11.25</v>
      </c>
      <c r="F68" s="50" cm="1" t="str">
        <f t="array" ref="F68:F68">OFFSET(E68,-1,1)</f>
        <v>1</v>
      </c>
      <c r="G68" s="92" t="s">
        <v>827</v>
      </c>
      <c r="H68" s="92" cm="1" t="str">
        <f t="array" ref="H68:H68">H67</f>
        <v>0</v>
      </c>
      <c r="I68" s="1484"/>
      <c r="J68" s="1484"/>
      <c r="K68" s="1484"/>
      <c r="L68" s="1484"/>
      <c r="M68" s="1484"/>
      <c r="N68" s="1484"/>
      <c r="O68" s="1484"/>
      <c r="P68" s="1484"/>
      <c r="Q68" s="1484"/>
      <c r="R68" s="1484"/>
      <c r="S68" s="1484"/>
      <c r="T68" s="439" cm="1" t="str">
        <f t="array" ref="T68:T68">T67</f>
        <v>false</v>
      </c>
      <c r="U68" s="1484"/>
      <c r="V68" s="1484"/>
      <c r="W68" s="1484"/>
      <c r="X68" s="1462"/>
      <c r="Y68" s="1462"/>
      <c r="Z68" s="1484"/>
      <c r="AA68" s="1413"/>
      <c r="AB68" s="55" t="str">
        <f>AB62&amp;".2.2"</f>
        <v>7.0.2.2</v>
      </c>
      <c r="AC68" s="299" t="s">
        <v>828</v>
      </c>
      <c r="AD68" s="58" t="s">
        <v>829</v>
      </c>
      <c r="AE68" s="1764"/>
      <c r="AF68" s="1764"/>
      <c r="AG68" s="1764"/>
      <c r="AH68" s="1764"/>
      <c r="AI68" s="107"/>
      <c r="AJ68" s="1764"/>
      <c r="AK68" s="1764"/>
      <c r="AL68" s="1764"/>
      <c r="AM68" s="1764"/>
      <c r="AN68" s="1764"/>
      <c r="AO68" s="1764"/>
      <c r="AP68" s="1764"/>
      <c r="AQ68" s="1764"/>
      <c r="AR68" s="1764"/>
      <c r="AS68" s="107"/>
      <c r="AT68" s="1764"/>
      <c r="AU68" s="1764"/>
      <c r="AV68" s="1764"/>
      <c r="AW68" s="1764"/>
      <c r="AX68" s="1764"/>
      <c r="AY68" s="1764"/>
      <c r="AZ68" s="1764"/>
      <c r="BA68" s="1764"/>
      <c r="BB68" s="1764"/>
      <c r="BC68" s="1887"/>
      <c r="BD68" s="1484"/>
      <c r="BE68" s="1484"/>
      <c r="BF68" s="1014" t="s">
        <v>830</v>
      </c>
      <c r="BG68" s="1014" t="s">
        <v>813</v>
      </c>
      <c r="BH68" s="1014" cm="1" t="str">
        <f t="array" ref="BH68:BH68">BH67</f>
        <v>0</v>
      </c>
      <c r="BI68" s="234"/>
      <c r="BJ68" s="234"/>
    </row>
    <row s="1168" customFormat="1" customHeight="1" ht="14.25">
      <c r="A69" s="1168"/>
      <c r="B69" s="400"/>
      <c r="C69" s="457"/>
      <c r="D69" s="1168"/>
      <c r="E69" s="612">
        <v>15</v>
      </c>
      <c r="F69" s="50" cm="1" t="str">
        <f t="array" ref="F69:F69">OFFSET(E69,-1,1)</f>
        <v>1</v>
      </c>
      <c r="G69" s="1168"/>
      <c r="H69" s="940" t="s">
        <v>831</v>
      </c>
      <c r="I69" s="1168"/>
      <c r="J69" s="1168"/>
      <c r="K69" s="1168"/>
      <c r="L69" s="1168"/>
      <c r="M69" s="1168"/>
      <c r="N69" s="1168"/>
      <c r="O69" s="1168"/>
      <c r="P69" s="1168"/>
      <c r="Q69" s="1168"/>
      <c r="R69" s="1168"/>
      <c r="S69" s="1168"/>
      <c r="T69" s="439">
        <f>F69&gt;0</f>
        <v>1</v>
      </c>
      <c r="U69" s="1168"/>
      <c r="V69" s="1168"/>
      <c r="W69" s="738" t="s">
        <v>832</v>
      </c>
      <c r="X69" s="1462"/>
      <c r="Y69" s="1168"/>
      <c r="Z69" s="1484"/>
      <c r="AA69" s="1168"/>
      <c r="AB69" s="142"/>
      <c r="AC69" s="145" t="s">
        <v>833</v>
      </c>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54"/>
      <c r="BD69" s="1168"/>
      <c r="BE69" s="1168"/>
      <c r="BF69" s="1001"/>
      <c r="BG69" s="1001"/>
      <c r="BH69" s="1001"/>
      <c r="BI69" s="612" t="s">
        <v>813</v>
      </c>
      <c r="BJ69" s="612"/>
    </row>
    <row s="2538" customFormat="1" customHeight="1" ht="14.25">
      <c r="A70" s="1187"/>
      <c r="B70" s="402"/>
      <c r="C70" s="459"/>
      <c r="D70" s="1187"/>
      <c r="E70" s="611">
        <v>15</v>
      </c>
      <c r="F70" s="64" cm="1" t="str">
        <f t="array" ref="F70:F70">X70</f>
        <v>2</v>
      </c>
      <c r="G70" s="64"/>
      <c r="H70" s="64"/>
      <c r="I70" s="1187"/>
      <c r="J70" s="1187"/>
      <c r="K70" s="1187"/>
      <c r="L70" s="1187"/>
      <c r="M70" s="1187"/>
      <c r="N70" s="1187"/>
      <c r="O70" s="1187"/>
      <c r="P70" s="1187"/>
      <c r="Q70" s="1187"/>
      <c r="R70" s="1187"/>
      <c r="S70" s="1187"/>
      <c r="T70" s="439">
        <f>X70&gt;0</f>
        <v>1</v>
      </c>
      <c r="U70" s="1187"/>
      <c r="V70" s="110" cm="1" t="str">
        <f t="array" ref="V70:V70">'Сырье и материалы'!$AB$35</f>
        <v>Тариф 2 (Водоотведение) - тариф на водоотведение (Оказание услуг на территории: Прокопьевский муниципальный округ (ОКТМО: 32522000) - п Калачево)</v>
      </c>
      <c r="W70" s="1187"/>
      <c r="X70" s="1462" t="s">
        <v>283</v>
      </c>
      <c r="Y70" s="1187"/>
      <c r="Z70" s="1484"/>
      <c r="AA70" s="1187"/>
      <c r="AB70" s="150" cm="1" t="str">
        <f t="array" ref="AB70:AB70">'Сырье и материалы'!$AB$35</f>
        <v>Тариф 2 (Водоотведение) - тариф на водоотведение (Оказание услуг на территории: Прокопьевский муниципальный округ (ОКТМО: 32522000) - п Калачево)</v>
      </c>
      <c r="AC70" s="147"/>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187"/>
      <c r="BE70" s="1187"/>
      <c r="BF70" s="996"/>
      <c r="BG70" s="996"/>
      <c r="BH70" s="996"/>
      <c r="BI70" s="609"/>
      <c r="BJ70" s="609"/>
    </row>
    <row s="1190" customFormat="1" customHeight="1" ht="10.5">
      <c r="A71" s="1484"/>
      <c r="B71" s="402"/>
      <c r="C71" s="457"/>
      <c r="D71" s="939"/>
      <c r="E71" s="234">
        <v>11.25</v>
      </c>
      <c r="F71" s="50" cm="1" t="str">
        <f t="array" ref="F71:F71">OFFSET(E71,-1,1)</f>
        <v>2</v>
      </c>
      <c r="G71" s="92" t="s">
        <v>325</v>
      </c>
      <c r="H71" s="92"/>
      <c r="I71" s="1484"/>
      <c r="J71" s="1484"/>
      <c r="K71" s="457" t="str">
        <f>F71&amp;"komm"</f>
        <v>2komm</v>
      </c>
      <c r="L71" s="899" cm="1" t="str">
        <f t="array" ref="L71:L71">BC71</f>
        <v>0</v>
      </c>
      <c r="M71" s="1484"/>
      <c r="N71" s="1484"/>
      <c r="O71" s="1484"/>
      <c r="P71" s="1484"/>
      <c r="Q71" s="1484"/>
      <c r="R71" s="1484"/>
      <c r="S71" s="1484"/>
      <c r="T71" s="439" cm="1" t="str">
        <f t="array" ref="T71:T71">T70</f>
        <v>true</v>
      </c>
      <c r="U71" s="1484"/>
      <c r="V71" s="1484"/>
      <c r="W71" s="1484"/>
      <c r="X71" s="1462"/>
      <c r="Y71" s="1484"/>
      <c r="Z71" s="1484"/>
      <c r="AA71" s="1484"/>
      <c r="AB71" s="55" t="s">
        <v>272</v>
      </c>
      <c r="AC71" s="104" t="s">
        <v>783</v>
      </c>
      <c r="AD71" s="55" t="s">
        <v>784</v>
      </c>
      <c r="AE71" s="158">
        <f>IF(COUNTIF(AE76:AE92,"Ошибка")&gt;0,"Ошибка",SUMIF($AD76:$AD92,$AD71,AE76:AE92))</f>
        <v>515.5806411857</v>
      </c>
      <c r="AF71" s="158">
        <f>IF(COUNTIF(AF76:AF92,"Ошибка")&gt;0,"Ошибка",SUMIF($AD76:$AD92,$AD71,AF76:AF92))</f>
        <v>301.8922260161</v>
      </c>
      <c r="AG71" s="158">
        <f>IF(COUNTIF(AG76:AG92,"Ошибка")&gt;0,"Ошибка",SUMIF($AD76:$AD92,$AD71,AG76:AG92))</f>
        <v>301.8922260161</v>
      </c>
      <c r="AH71" s="158">
        <f>IF(COUNTIF(AH76:AH92,"Ошибка")&gt;0,"Ошибка",SUMIF($AD76:$AD92,$AD71,AH76:AH92))</f>
        <v>590.1692517201</v>
      </c>
      <c r="AI71" s="158">
        <f>IF(COUNTIF(AI76:AI92,"Ошибка")&gt;0,"Ошибка",SUMIF($AD76:$AD92,$AD71,AI76:AI92))</f>
        <v>313.6659</v>
      </c>
      <c r="AJ71" s="158">
        <f>IF(COUNTIF(AJ76:AJ92,"Ошибка")&gt;0,"Ошибка",SUMIF($AD76:$AD92,$AD71,AJ76:AJ92))</f>
        <v>0</v>
      </c>
      <c r="AK71" s="158">
        <f>IF(COUNTIF(AK76:AK92,"Ошибка")&gt;0,"Ошибка",SUMIF($AD76:$AD92,$AD71,AK76:AK92))</f>
        <v>0</v>
      </c>
      <c r="AL71" s="158">
        <f>IF(COUNTIF(AL76:AL92,"Ошибка")&gt;0,"Ошибка",SUMIF($AD76:$AD92,$AD71,AL76:AL92))</f>
        <v>0</v>
      </c>
      <c r="AM71" s="158">
        <f>IF(COUNTIF(AM76:AM92,"Ошибка")&gt;0,"Ошибка",SUMIF($AD76:$AD92,$AD71,AM76:AM92))</f>
        <v>0</v>
      </c>
      <c r="AN71" s="158">
        <f>IF(COUNTIF(AN76:AN92,"Ошибка")&gt;0,"Ошибка",SUMIF($AD76:$AD92,$AD71,AN76:AN92))</f>
        <v>0</v>
      </c>
      <c r="AO71" s="158">
        <f>IF(COUNTIF(AO76:AO92,"Ошибка")&gt;0,"Ошибка",SUMIF($AD76:$AD92,$AD71,AO76:AO92))</f>
        <v>0</v>
      </c>
      <c r="AP71" s="158">
        <f>IF(COUNTIF(AP76:AP92,"Ошибка")&gt;0,"Ошибка",SUMIF($AD76:$AD92,$AD71,AP76:AP92))</f>
        <v>0</v>
      </c>
      <c r="AQ71" s="158">
        <f>IF(COUNTIF(AQ76:AQ92,"Ошибка")&gt;0,"Ошибка",SUMIF($AD76:$AD92,$AD71,AQ76:AQ92))</f>
        <v>0</v>
      </c>
      <c r="AR71" s="158">
        <f>IF(COUNTIF(AR76:AR92,"Ошибка")&gt;0,"Ошибка",SUMIF($AD76:$AD92,$AD71,AR76:AR92))</f>
        <v>0</v>
      </c>
      <c r="AS71" s="158">
        <f>IF(COUNTIF(AS76:AS92,"Ошибка")&gt;0,"Ошибка",SUMIF($AD76:$AD92,$AD71,AS76:AS92))</f>
        <v>602.6409307544</v>
      </c>
      <c r="AT71" s="158">
        <f>IF(COUNTIF(AT76:AT92,"Ошибка")&gt;0,"Ошибка",SUMIF($AD76:$AD92,$AD71,AT76:AT92))</f>
        <v>0</v>
      </c>
      <c r="AU71" s="158">
        <f>IF(COUNTIF(AU76:AU92,"Ошибка")&gt;0,"Ошибка",SUMIF($AD76:$AD92,$AD71,AU76:AU92))</f>
        <v>0</v>
      </c>
      <c r="AV71" s="158">
        <f>IF(COUNTIF(AV76:AV92,"Ошибка")&gt;0,"Ошибка",SUMIF($AD76:$AD92,$AD71,AV76:AV92))</f>
        <v>0</v>
      </c>
      <c r="AW71" s="158">
        <f>IF(COUNTIF(AW76:AW92,"Ошибка")&gt;0,"Ошибка",SUMIF($AD76:$AD92,$AD71,AW76:AW92))</f>
        <v>0</v>
      </c>
      <c r="AX71" s="158">
        <f>IF(COUNTIF(AX76:AX92,"Ошибка")&gt;0,"Ошибка",SUMIF($AD76:$AD92,$AD71,AX76:AX92))</f>
        <v>0</v>
      </c>
      <c r="AY71" s="158">
        <f>IF(COUNTIF(AY76:AY92,"Ошибка")&gt;0,"Ошибка",SUMIF($AD76:$AD92,$AD71,AY76:AY92))</f>
        <v>0</v>
      </c>
      <c r="AZ71" s="158">
        <f>IF(COUNTIF(AZ76:AZ92,"Ошибка")&gt;0,"Ошибка",SUMIF($AD76:$AD92,$AD71,AZ76:AZ92))</f>
        <v>0</v>
      </c>
      <c r="BA71" s="158">
        <f>IF(COUNTIF(BA76:BA92,"Ошибка")&gt;0,"Ошибка",SUMIF($AD76:$AD92,$AD71,BA76:BA92))</f>
        <v>0</v>
      </c>
      <c r="BB71" s="158">
        <f>IF(COUNTIF(BB76:BB92,"Ошибка")&gt;0,"Ошибка",SUMIF($AD76:$AD92,$AD71,BB76:BB92))</f>
        <v>0</v>
      </c>
      <c r="BC71" s="167"/>
      <c r="BD71" s="1484"/>
      <c r="BE71" s="1484"/>
      <c r="BF71" s="1014" t="s">
        <v>790</v>
      </c>
      <c r="BG71" s="1014"/>
      <c r="BH71" s="1014"/>
      <c r="BI71" s="234"/>
      <c r="BJ71" s="234"/>
    </row>
    <row s="1190" customFormat="1" customHeight="1" ht="10.5">
      <c r="A72" s="1484"/>
      <c r="B72" s="402"/>
      <c r="C72" s="457"/>
      <c r="D72" s="1484"/>
      <c r="E72" s="234">
        <v>11.25</v>
      </c>
      <c r="F72" s="50" cm="1" t="str">
        <f t="array" ref="F72:F72">OFFSET(E72,-1,1)</f>
        <v>2</v>
      </c>
      <c r="G72" s="92" t="s">
        <v>326</v>
      </c>
      <c r="H72" s="92"/>
      <c r="I72" s="1484"/>
      <c r="J72" s="1484"/>
      <c r="K72" s="1484"/>
      <c r="L72" s="1484"/>
      <c r="M72" s="1484"/>
      <c r="N72" s="1484"/>
      <c r="O72" s="1484"/>
      <c r="P72" s="1484"/>
      <c r="Q72" s="1484"/>
      <c r="R72" s="1484"/>
      <c r="S72" s="1484"/>
      <c r="T72" s="439" cm="1" t="str">
        <f t="array" ref="T72:T72">T71</f>
        <v>true</v>
      </c>
      <c r="U72" s="1484"/>
      <c r="V72" s="1484"/>
      <c r="W72" s="1484"/>
      <c r="X72" s="1462"/>
      <c r="Y72" s="1484"/>
      <c r="Z72" s="1484"/>
      <c r="AA72" s="1484"/>
      <c r="AB72" s="55" t="s">
        <v>283</v>
      </c>
      <c r="AC72" s="104" t="s">
        <v>791</v>
      </c>
      <c r="AD72" s="58" t="s">
        <v>792</v>
      </c>
      <c r="AE72" s="158">
        <f>SUMIF(AD76:AD92,AD72,AE76:AE92)</f>
        <v>209.7375583393</v>
      </c>
      <c r="AF72" s="158">
        <f>SUMIF(AD76:AD92,AD72,AF76:AF92)</f>
        <v>101.50632</v>
      </c>
      <c r="AG72" s="158">
        <f>SUMIF(AD76:AD92,AD72,AG76:AG92)</f>
        <v>101.50632</v>
      </c>
      <c r="AH72" s="158">
        <f>SUMIF(AD76:AD92,AD72,AH76:AH92)</f>
        <v>198.7920033411</v>
      </c>
      <c r="AI72" s="158">
        <f>SUMIF(AD76:AD92,AD72,AI76:AI92)</f>
        <v>101.50632</v>
      </c>
      <c r="AJ72" s="158">
        <f>SUMIF(AD76:AD92,AD72,AJ76:AJ92)</f>
        <v>0</v>
      </c>
      <c r="AK72" s="158">
        <f>SUMIF(AD76:AD92,AD72,AK76:AK92)</f>
        <v>0</v>
      </c>
      <c r="AL72" s="158">
        <f>SUMIF(AD76:AD92,AD72,AL76:AL92)</f>
        <v>0</v>
      </c>
      <c r="AM72" s="158">
        <f>SUMIF(AD76:AD92,AD72,AM76:AM92)</f>
        <v>0</v>
      </c>
      <c r="AN72" s="158">
        <f>SUMIF(AD76:AD92,AD72,AN76:AN92)</f>
        <v>0</v>
      </c>
      <c r="AO72" s="158">
        <f>SUMIF(AD76:AD92,AD72,AO76:AO92)</f>
        <v>0</v>
      </c>
      <c r="AP72" s="158">
        <f>SUMIF(AD76:AD92,AD72,AP76:AP92)</f>
        <v>0</v>
      </c>
      <c r="AQ72" s="158">
        <f>SUMIF(AD76:AD92,AD72,AQ76:AQ92)</f>
        <v>0</v>
      </c>
      <c r="AR72" s="158">
        <f>SUMIF(AD76:AD92,AD72,AR76:AR92)</f>
        <v>0</v>
      </c>
      <c r="AS72" s="158">
        <f>SUMIF(AD76:AD92,AD72,AS76:AS92)</f>
        <v>195.0223571075</v>
      </c>
      <c r="AT72" s="158">
        <f>SUMIF(AD76:AD92,AD72,AT76:AT92)</f>
        <v>0</v>
      </c>
      <c r="AU72" s="158">
        <f>SUMIF(AD76:AD92,AD72,AU76:AU92)</f>
        <v>0</v>
      </c>
      <c r="AV72" s="158">
        <f>SUMIF(AD76:AD92,AD72,AV76:AV92)</f>
        <v>0</v>
      </c>
      <c r="AW72" s="158">
        <f>SUMIF(AD76:AD92,AD72,AW76:AW92)</f>
        <v>0</v>
      </c>
      <c r="AX72" s="158">
        <f>SUMIF(AD76:AD92,AD72,AX76:AX92)</f>
        <v>0</v>
      </c>
      <c r="AY72" s="158">
        <f>SUMIF(AD76:AD92,AD72,AY76:AY92)</f>
        <v>0</v>
      </c>
      <c r="AZ72" s="158">
        <f>SUMIF(AD76:AD92,AD72,AZ76:AZ92)</f>
        <v>0</v>
      </c>
      <c r="BA72" s="158">
        <f>SUMIF(AD76:AD92,AD72,BA76:BA92)</f>
        <v>0</v>
      </c>
      <c r="BB72" s="158">
        <f>SUMIF(AD76:AD92,AD72,BB76:BB92)</f>
        <v>0</v>
      </c>
      <c r="BC72" s="167"/>
      <c r="BD72" s="1484"/>
      <c r="BE72" s="1484"/>
      <c r="BF72" s="1014" t="s">
        <v>793</v>
      </c>
      <c r="BG72" s="1014"/>
      <c r="BH72" s="1014"/>
      <c r="BI72" s="234"/>
      <c r="BJ72" s="234"/>
    </row>
    <row s="1190" customFormat="1" customHeight="1" ht="12.75">
      <c r="A73" s="1484"/>
      <c r="B73" s="402"/>
      <c r="C73" s="457"/>
      <c r="D73" s="1484"/>
      <c r="E73" s="234">
        <v>11.25</v>
      </c>
      <c r="F73" s="50" cm="1" t="str">
        <f t="array" ref="F73:F73">OFFSET(E73,-1,1)</f>
        <v>2</v>
      </c>
      <c r="G73" s="92" t="s">
        <v>327</v>
      </c>
      <c r="H73" s="92"/>
      <c r="I73" s="1484"/>
      <c r="J73" s="1484"/>
      <c r="K73" s="1484"/>
      <c r="L73" s="1484"/>
      <c r="M73" s="1484"/>
      <c r="N73" s="1484"/>
      <c r="O73" s="1484"/>
      <c r="P73" s="1484"/>
      <c r="Q73" s="1484"/>
      <c r="R73" s="1484"/>
      <c r="S73" s="1484"/>
      <c r="T73" s="439" cm="1" t="str">
        <f t="array" ref="T73:T73">T72</f>
        <v>true</v>
      </c>
      <c r="U73" s="1484"/>
      <c r="V73" s="1484"/>
      <c r="W73" s="1484"/>
      <c r="X73" s="1462"/>
      <c r="Y73" s="1484"/>
      <c r="Z73" s="1484"/>
      <c r="AA73" s="1484"/>
      <c r="AB73" s="55" t="s">
        <v>323</v>
      </c>
      <c r="AC73" s="104" t="s">
        <v>794</v>
      </c>
      <c r="AD73" s="58" t="s">
        <v>795</v>
      </c>
      <c r="AE73" s="206">
        <v>146.7799942943</v>
      </c>
      <c r="AF73" s="206">
        <v>82.65</v>
      </c>
      <c r="AG73" s="206"/>
      <c r="AH73" s="206">
        <v>139.12</v>
      </c>
      <c r="AI73" s="206">
        <v>136.4819</v>
      </c>
      <c r="AJ73" s="2472"/>
      <c r="AK73" s="2472"/>
      <c r="AL73" s="206"/>
      <c r="AM73" s="206"/>
      <c r="AN73" s="206"/>
      <c r="AO73" s="206"/>
      <c r="AP73" s="206"/>
      <c r="AQ73" s="206"/>
      <c r="AR73" s="206"/>
      <c r="AS73" s="206">
        <v>136.4819</v>
      </c>
      <c r="AT73" s="2472"/>
      <c r="AU73" s="2472"/>
      <c r="AV73" s="206"/>
      <c r="AW73" s="206"/>
      <c r="AX73" s="206"/>
      <c r="AY73" s="206"/>
      <c r="AZ73" s="206"/>
      <c r="BA73" s="206"/>
      <c r="BB73" s="206"/>
      <c r="BC73" s="167"/>
      <c r="BD73" s="1484"/>
      <c r="BE73" s="1484"/>
      <c r="BF73" s="1014" t="s">
        <v>796</v>
      </c>
      <c r="BG73" s="1014"/>
      <c r="BH73" s="1014"/>
      <c r="BI73" s="234"/>
      <c r="BJ73" s="234"/>
    </row>
    <row s="1190" customFormat="1" customHeight="1" ht="10.5">
      <c r="A74" s="1484"/>
      <c r="B74" s="402"/>
      <c r="C74" s="457"/>
      <c r="D74" s="1484"/>
      <c r="E74" s="234">
        <v>11.25</v>
      </c>
      <c r="F74" s="50" cm="1" t="str">
        <f t="array" ref="F74:F74">OFFSET(E74,-1,1)</f>
        <v>2</v>
      </c>
      <c r="G74" s="92" t="s">
        <v>329</v>
      </c>
      <c r="H74" s="92"/>
      <c r="I74" s="1484"/>
      <c r="J74" s="1484"/>
      <c r="K74" s="1484"/>
      <c r="L74" s="1484"/>
      <c r="M74" s="1484"/>
      <c r="N74" s="1484"/>
      <c r="O74" s="1484"/>
      <c r="P74" s="1484"/>
      <c r="Q74" s="1484"/>
      <c r="R74" s="1484"/>
      <c r="S74" s="1484"/>
      <c r="T74" s="439" cm="1" t="str">
        <f t="array" ref="T74:T74">T73</f>
        <v>true</v>
      </c>
      <c r="U74" s="1484"/>
      <c r="V74" s="1484"/>
      <c r="W74" s="1484"/>
      <c r="X74" s="1462"/>
      <c r="Y74" s="1484"/>
      <c r="Z74" s="1484"/>
      <c r="AA74" s="1484"/>
      <c r="AB74" s="55" t="s">
        <v>536</v>
      </c>
      <c r="AC74" s="104" t="s">
        <v>797</v>
      </c>
      <c r="AD74" s="58" t="s">
        <v>798</v>
      </c>
      <c r="AE74" s="158">
        <f>IF(AE72=0,0,AE71/AE72)</f>
        <v>2.45821799999992</v>
      </c>
      <c r="AF74" s="158">
        <f>IF(AF72=0,0,AF71/AF72)</f>
        <v>2.9741224587405</v>
      </c>
      <c r="AG74" s="158">
        <f>IF(AG72=0,0,AG71/AG72)</f>
        <v>2.9741224587405</v>
      </c>
      <c r="AH74" s="158">
        <f>IF(AH72=0,0,AH71/AH72)</f>
        <v>2.96877762586581</v>
      </c>
      <c r="AI74" s="158">
        <f>IF(AI72=0,0,AI71/AI72)</f>
        <v>3.09011202455177</v>
      </c>
      <c r="AJ74" s="158">
        <f>IF(AJ72=0,0,AJ71/AJ72)</f>
        <v>0</v>
      </c>
      <c r="AK74" s="158">
        <f>IF(AK72=0,0,AK71/AK72)</f>
        <v>0</v>
      </c>
      <c r="AL74" s="158">
        <f>IF(AL72=0,0,AL71/AL72)</f>
        <v>0</v>
      </c>
      <c r="AM74" s="158">
        <f>IF(AM72=0,0,AM71/AM72)</f>
        <v>0</v>
      </c>
      <c r="AN74" s="158">
        <f>IF(AN72=0,0,AN71/AN72)</f>
        <v>0</v>
      </c>
      <c r="AO74" s="158">
        <f>IF(AO72=0,0,AO71/AO72)</f>
        <v>0</v>
      </c>
      <c r="AP74" s="158">
        <f>IF(AP72=0,0,AP71/AP72)</f>
        <v>0</v>
      </c>
      <c r="AQ74" s="158">
        <f>IF(AQ72=0,0,AQ71/AQ72)</f>
        <v>0</v>
      </c>
      <c r="AR74" s="158">
        <f>IF(AR72=0,0,AR71/AR72)</f>
        <v>0</v>
      </c>
      <c r="AS74" s="158">
        <f>IF(AS72=0,0,AS71/AS72)</f>
        <v>3.09011202455221</v>
      </c>
      <c r="AT74" s="158">
        <f>IF(AT72=0,0,AT71/AT72)</f>
        <v>0</v>
      </c>
      <c r="AU74" s="158">
        <f>IF(AU72=0,0,AU71/AU72)</f>
        <v>0</v>
      </c>
      <c r="AV74" s="158">
        <f>IF(AV72=0,0,AV71/AV72)</f>
        <v>0</v>
      </c>
      <c r="AW74" s="158">
        <f>IF(AW72=0,0,AW71/AW72)</f>
        <v>0</v>
      </c>
      <c r="AX74" s="158">
        <f>IF(AX72=0,0,AX71/AX72)</f>
        <v>0</v>
      </c>
      <c r="AY74" s="158">
        <f>IF(AY72=0,0,AY71/AY72)</f>
        <v>0</v>
      </c>
      <c r="AZ74" s="158">
        <f>IF(AZ72=0,0,AZ71/AZ72)</f>
        <v>0</v>
      </c>
      <c r="BA74" s="158">
        <f>IF(BA72=0,0,BA71/BA72)</f>
        <v>0</v>
      </c>
      <c r="BB74" s="158">
        <f>IF(BB72=0,0,BB71/BB72)</f>
        <v>0</v>
      </c>
      <c r="BC74" s="167"/>
      <c r="BD74" s="1484"/>
      <c r="BE74" s="1484"/>
      <c r="BF74" s="1014" t="s">
        <v>799</v>
      </c>
      <c r="BG74" s="1014"/>
      <c r="BH74" s="1014"/>
      <c r="BI74" s="234"/>
      <c r="BJ74" s="234"/>
    </row>
    <row s="1190" customFormat="1" customHeight="1" ht="10.5">
      <c r="A75" s="1484"/>
      <c r="B75" s="402"/>
      <c r="C75" s="457"/>
      <c r="D75" s="1484"/>
      <c r="E75" s="234">
        <v>11.25</v>
      </c>
      <c r="F75" s="50" cm="1" t="str">
        <f t="array" ref="F75:F75">OFFSET(E75,-1,1)</f>
        <v>2</v>
      </c>
      <c r="G75" s="92" t="s">
        <v>328</v>
      </c>
      <c r="H75" s="92"/>
      <c r="I75" s="1484"/>
      <c r="J75" s="1484"/>
      <c r="K75" s="1484"/>
      <c r="L75" s="1484"/>
      <c r="M75" s="1484"/>
      <c r="N75" s="1484"/>
      <c r="O75" s="1484"/>
      <c r="P75" s="1484"/>
      <c r="Q75" s="1484"/>
      <c r="R75" s="1484"/>
      <c r="S75" s="1484"/>
      <c r="T75" s="439" cm="1" t="str">
        <f t="array" ref="T75:T75">T74</f>
        <v>true</v>
      </c>
      <c r="U75" s="1484"/>
      <c r="V75" s="1484"/>
      <c r="W75" s="1484"/>
      <c r="X75" s="1462"/>
      <c r="Y75" s="1484"/>
      <c r="Z75" s="1484"/>
      <c r="AA75" s="1484"/>
      <c r="AB75" s="55" t="s">
        <v>492</v>
      </c>
      <c r="AC75" s="104" t="s">
        <v>800</v>
      </c>
      <c r="AD75" s="58" t="s">
        <v>801</v>
      </c>
      <c r="AE75" s="282">
        <f>IF(AE73=0,0,AE72/AE73)</f>
        <v>1.42892469336637</v>
      </c>
      <c r="AF75" s="282">
        <f>IF(AF73=0,0,AF72/AF73)</f>
        <v>1.22814664246824</v>
      </c>
      <c r="AG75" s="282">
        <f>IF(AG73=0,0,AG72/AG73)</f>
        <v>0</v>
      </c>
      <c r="AH75" s="282">
        <f>IF(AH73=0,0,AH72/AH73)</f>
        <v>1.42892469336616</v>
      </c>
      <c r="AI75" s="282">
        <f>IF(AI73=0,0,AI72/AI73)</f>
        <v>0.743734663717313</v>
      </c>
      <c r="AJ75" s="282">
        <f>IF(AJ73=0,0,AJ72/AJ73)</f>
        <v>0</v>
      </c>
      <c r="AK75" s="282">
        <f>IF(AK73=0,0,AK72/AK73)</f>
        <v>0</v>
      </c>
      <c r="AL75" s="282">
        <f>IF(AL73=0,0,AL72/AL73)</f>
        <v>0</v>
      </c>
      <c r="AM75" s="282">
        <f>IF(AM73=0,0,AM72/AM73)</f>
        <v>0</v>
      </c>
      <c r="AN75" s="282">
        <f>IF(AN73=0,0,AN72/AN73)</f>
        <v>0</v>
      </c>
      <c r="AO75" s="282">
        <f>IF(AO73=0,0,AO72/AO73)</f>
        <v>0</v>
      </c>
      <c r="AP75" s="282">
        <f>IF(AP73=0,0,AP72/AP73)</f>
        <v>0</v>
      </c>
      <c r="AQ75" s="282">
        <f>IF(AQ73=0,0,AQ72/AQ73)</f>
        <v>0</v>
      </c>
      <c r="AR75" s="282">
        <f>IF(AR73=0,0,AR72/AR73)</f>
        <v>0</v>
      </c>
      <c r="AS75" s="282">
        <f>IF(AS73=0,0,AS72/AS73)</f>
        <v>1.42892469336593</v>
      </c>
      <c r="AT75" s="282">
        <f>IF(AT73=0,0,AT72/AT73)</f>
        <v>0</v>
      </c>
      <c r="AU75" s="282">
        <f>IF(AU73=0,0,AU72/AU73)</f>
        <v>0</v>
      </c>
      <c r="AV75" s="282">
        <f>IF(AV73=0,0,AV72/AV73)</f>
        <v>0</v>
      </c>
      <c r="AW75" s="282">
        <f>IF(AW73=0,0,AW72/AW73)</f>
        <v>0</v>
      </c>
      <c r="AX75" s="282">
        <f>IF(AX73=0,0,AX72/AX73)</f>
        <v>0</v>
      </c>
      <c r="AY75" s="282">
        <f>IF(AY73=0,0,AY72/AY73)</f>
        <v>0</v>
      </c>
      <c r="AZ75" s="282">
        <f>IF(AZ73=0,0,AZ72/AZ73)</f>
        <v>0</v>
      </c>
      <c r="BA75" s="282">
        <f>IF(BA73=0,0,BA72/BA73)</f>
        <v>0</v>
      </c>
      <c r="BB75" s="282">
        <f>IF(BB73=0,0,BB72/BB73)</f>
        <v>0</v>
      </c>
      <c r="BC75" s="167"/>
      <c r="BD75" s="1484"/>
      <c r="BE75" s="1484"/>
      <c r="BF75" s="1014" t="s">
        <v>802</v>
      </c>
      <c r="BG75" s="1014"/>
      <c r="BH75" s="1014"/>
      <c r="BI75" s="234"/>
      <c r="BJ75" s="234"/>
    </row>
    <row s="1190" customFormat="1" customHeight="1" ht="12">
      <c r="A76" s="1484"/>
      <c r="B76" s="402"/>
      <c r="C76" s="457"/>
      <c r="D76" s="1484"/>
      <c r="E76" s="234">
        <v>13</v>
      </c>
      <c r="F76" s="50" cm="1" t="str">
        <f t="array" ref="F76:F76">OFFSET(E76,-1,1)</f>
        <v>2</v>
      </c>
      <c r="G76" s="92"/>
      <c r="H76" s="92"/>
      <c r="I76" s="1484"/>
      <c r="J76" s="1484"/>
      <c r="K76" s="1484"/>
      <c r="L76" s="1484"/>
      <c r="M76" s="1484"/>
      <c r="N76" s="1484"/>
      <c r="O76" s="1484"/>
      <c r="P76" s="1484"/>
      <c r="Q76" s="1484"/>
      <c r="R76" s="1484"/>
      <c r="S76" s="1484"/>
      <c r="T76" s="439" cm="1" t="str">
        <f t="array" ref="T76:T76">T75</f>
        <v>true</v>
      </c>
      <c r="U76" s="1484"/>
      <c r="V76" s="1484"/>
      <c r="W76" s="1484"/>
      <c r="X76" s="1462"/>
      <c r="Y76" s="1484"/>
      <c r="Z76" s="1484"/>
      <c r="AA76" s="1484"/>
      <c r="AB76" s="632"/>
      <c r="AC76" s="233" t="s">
        <v>803</v>
      </c>
      <c r="AD76" s="234"/>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6"/>
      <c r="BD76" s="1484"/>
      <c r="BE76" s="1484"/>
      <c r="BF76" s="1014"/>
      <c r="BG76" s="1014"/>
      <c r="BH76" s="1014"/>
      <c r="BI76" s="234"/>
      <c r="BJ76" s="234"/>
    </row>
    <row s="1190" customFormat="1" customHeight="1" ht="10.5" hidden="1">
      <c r="A77" s="1484"/>
      <c r="B77" s="402"/>
      <c r="C77" s="457"/>
      <c r="D77" s="1484"/>
      <c r="E77" s="234">
        <v>11.25</v>
      </c>
      <c r="F77" s="50" cm="1" t="str">
        <f t="array" ref="F77:F77">OFFSET(E77,-1,1)</f>
        <v>2</v>
      </c>
      <c r="G77" s="92" t="s">
        <v>491</v>
      </c>
      <c r="H77" s="92" cm="1" t="str">
        <f t="array" ref="H77:H77">AC77</f>
        <v>0</v>
      </c>
      <c r="I77" s="1484"/>
      <c r="J77" s="1484"/>
      <c r="K77" s="1484"/>
      <c r="L77" s="1484"/>
      <c r="M77" s="1484"/>
      <c r="N77" s="1484"/>
      <c r="O77" s="1484"/>
      <c r="P77" s="1484"/>
      <c r="Q77" s="1484"/>
      <c r="R77" s="1484"/>
      <c r="S77" s="1484"/>
      <c r="T77" s="439">
        <f>AND(F77&gt;0,Y77&gt;0)</f>
        <v>0</v>
      </c>
      <c r="U77" s="1484"/>
      <c r="V77" s="1484"/>
      <c r="W77" s="738" t="s">
        <v>173</v>
      </c>
      <c r="X77" s="1462"/>
      <c r="Y77" s="1462">
        <v>0</v>
      </c>
      <c r="Z77" s="1484"/>
      <c r="AA77" s="1413" t="s">
        <v>174</v>
      </c>
      <c r="AB77" s="55" t="str">
        <f>"6."&amp;Y77</f>
        <v>6.0</v>
      </c>
      <c r="AC77" s="2399"/>
      <c r="AD77" s="55" t="s">
        <v>784</v>
      </c>
      <c r="AE77" s="1764"/>
      <c r="AF77" s="1764"/>
      <c r="AG77" s="1764"/>
      <c r="AH77" s="1764"/>
      <c r="AI77" s="107"/>
      <c r="AJ77" s="1764"/>
      <c r="AK77" s="1764"/>
      <c r="AL77" s="1764"/>
      <c r="AM77" s="1764"/>
      <c r="AN77" s="1764"/>
      <c r="AO77" s="1764"/>
      <c r="AP77" s="1764"/>
      <c r="AQ77" s="1764"/>
      <c r="AR77" s="1764"/>
      <c r="AS77" s="107"/>
      <c r="AT77" s="1764"/>
      <c r="AU77" s="1764"/>
      <c r="AV77" s="1764"/>
      <c r="AW77" s="1764"/>
      <c r="AX77" s="1764"/>
      <c r="AY77" s="1764"/>
      <c r="AZ77" s="1764"/>
      <c r="BA77" s="1764"/>
      <c r="BB77" s="1764"/>
      <c r="BC77" s="1887"/>
      <c r="BD77" s="1484"/>
      <c r="BE77" s="1484"/>
      <c r="BF77" s="1014" t="s">
        <v>804</v>
      </c>
      <c r="BG77" s="1014" t="s">
        <v>805</v>
      </c>
      <c r="BH77" s="1014" cm="1" t="str">
        <f t="array" ref="BH77:BH77">AC77</f>
        <v>0</v>
      </c>
      <c r="BI77" s="234"/>
      <c r="BJ77" s="234" t="b">
        <v>1</v>
      </c>
    </row>
    <row s="1190" customFormat="1" customHeight="1" ht="10.5" hidden="1">
      <c r="A78" s="1484"/>
      <c r="B78" s="402"/>
      <c r="C78" s="457"/>
      <c r="D78" s="1484"/>
      <c r="E78" s="234">
        <v>11.25</v>
      </c>
      <c r="F78" s="50" cm="1" t="str">
        <f t="array" ref="F78:F78">OFFSET(E78,-1,1)</f>
        <v>2</v>
      </c>
      <c r="G78" s="92" t="s">
        <v>651</v>
      </c>
      <c r="H78" s="92" cm="1" t="str">
        <f t="array" ref="H78:H78">H77</f>
        <v>0</v>
      </c>
      <c r="I78" s="1484"/>
      <c r="J78" s="1484"/>
      <c r="K78" s="1484"/>
      <c r="L78" s="1484"/>
      <c r="M78" s="1484"/>
      <c r="N78" s="1484"/>
      <c r="O78" s="1484"/>
      <c r="P78" s="1484"/>
      <c r="Q78" s="1484"/>
      <c r="R78" s="1484"/>
      <c r="S78" s="1484"/>
      <c r="T78" s="439" cm="1" t="str">
        <f t="array" ref="T78:T78">T77</f>
        <v>false</v>
      </c>
      <c r="U78" s="1484"/>
      <c r="V78" s="1484"/>
      <c r="W78" s="1484"/>
      <c r="X78" s="1462"/>
      <c r="Y78" s="1462"/>
      <c r="Z78" s="1484"/>
      <c r="AA78" s="1413"/>
      <c r="AB78" s="55" t="str">
        <f>AB77&amp;".1"</f>
        <v>6.0.1</v>
      </c>
      <c r="AC78" s="159" t="s">
        <v>806</v>
      </c>
      <c r="AD78" s="58" t="s">
        <v>798</v>
      </c>
      <c r="AE78" s="158">
        <f>IF(OR(AND(AE77&lt;&gt;0,AE79=0),AND(AE77=0,AE79&lt;&gt;0)),"Ошибка",IF(AE79=0,0,AE77/AE79))</f>
        <v>0</v>
      </c>
      <c r="AF78" s="158">
        <f>IF(OR(AND(AF77&lt;&gt;0,AF79=0),AND(AF77=0,AF79&lt;&gt;0)),"Ошибка",IF(AF79=0,0,AF77/AF79))</f>
        <v>0</v>
      </c>
      <c r="AG78" s="158">
        <f>IF(OR(AND(AG77&lt;&gt;0,AG79=0),AND(AG77=0,AG79&lt;&gt;0)),"Ошибка",IF(AG79=0,0,AG77/AG79))</f>
        <v>0</v>
      </c>
      <c r="AH78" s="158">
        <f>IF(OR(AND(AH77&lt;&gt;0,AH79=0),AND(AH77=0,AH79&lt;&gt;0)),"Ошибка",IF(AH79=0,0,AH77/AH79))</f>
        <v>0</v>
      </c>
      <c r="AI78" s="158">
        <f>IF(OR(AND(AI77&lt;&gt;0,AI79=0),AND(AI77=0,AI79&lt;&gt;0)),"Ошибка",IF(AI79=0,0,AI77/AI79))</f>
        <v>0</v>
      </c>
      <c r="AJ78" s="158">
        <f>IF(OR(AND(AJ77&lt;&gt;0,AJ79=0),AND(AJ77=0,AJ79&lt;&gt;0)),"Ошибка",IF(AJ79=0,0,AJ77/AJ79))</f>
        <v>0</v>
      </c>
      <c r="AK78" s="158">
        <f>IF(OR(AND(AK77&lt;&gt;0,AK79=0),AND(AK77=0,AK79&lt;&gt;0)),"Ошибка",IF(AK79=0,0,AK77/AK79))</f>
        <v>0</v>
      </c>
      <c r="AL78" s="158">
        <f>IF(OR(AND(AL77&lt;&gt;0,AL79=0),AND(AL77=0,AL79&lt;&gt;0)),"Ошибка",IF(AL79=0,0,AL77/AL79))</f>
        <v>0</v>
      </c>
      <c r="AM78" s="158">
        <f>IF(OR(AND(AM77&lt;&gt;0,AM79=0),AND(AM77=0,AM79&lt;&gt;0)),"Ошибка",IF(AM79=0,0,AM77/AM79))</f>
        <v>0</v>
      </c>
      <c r="AN78" s="158">
        <f>IF(OR(AND(AN77&lt;&gt;0,AN79=0),AND(AN77=0,AN79&lt;&gt;0)),"Ошибка",IF(AN79=0,0,AN77/AN79))</f>
        <v>0</v>
      </c>
      <c r="AO78" s="158">
        <f>IF(OR(AND(AO77&lt;&gt;0,AO79=0),AND(AO77=0,AO79&lt;&gt;0)),"Ошибка",IF(AO79=0,0,AO77/AO79))</f>
        <v>0</v>
      </c>
      <c r="AP78" s="158">
        <f>IF(OR(AND(AP77&lt;&gt;0,AP79=0),AND(AP77=0,AP79&lt;&gt;0)),"Ошибка",IF(AP79=0,0,AP77/AP79))</f>
        <v>0</v>
      </c>
      <c r="AQ78" s="158">
        <f>IF(OR(AND(AQ77&lt;&gt;0,AQ79=0),AND(AQ77=0,AQ79&lt;&gt;0)),"Ошибка",IF(AQ79=0,0,AQ77/AQ79))</f>
        <v>0</v>
      </c>
      <c r="AR78" s="158">
        <f>IF(OR(AND(AR77&lt;&gt;0,AR79=0),AND(AR77=0,AR79&lt;&gt;0)),"Ошибка",IF(AR79=0,0,AR77/AR79))</f>
        <v>0</v>
      </c>
      <c r="AS78" s="158">
        <f>IF(OR(AND(AS77&lt;&gt;0,AS79=0),AND(AS77=0,AS79&lt;&gt;0)),"Ошибка",IF(AS79=0,0,AS77/AS79))</f>
        <v>0</v>
      </c>
      <c r="AT78" s="158">
        <f>IF(OR(AND(AT77&lt;&gt;0,AT79=0),AND(AT77=0,AT79&lt;&gt;0)),"Ошибка",IF(AT79=0,0,AT77/AT79))</f>
        <v>0</v>
      </c>
      <c r="AU78" s="158">
        <f>IF(OR(AND(AU77&lt;&gt;0,AU79=0),AND(AU77=0,AU79&lt;&gt;0)),"Ошибка",IF(AU79=0,0,AU77/AU79))</f>
        <v>0</v>
      </c>
      <c r="AV78" s="158">
        <f>IF(OR(AND(AV77&lt;&gt;0,AV79=0),AND(AV77=0,AV79&lt;&gt;0)),"Ошибка",IF(AV79=0,0,AV77/AV79))</f>
        <v>0</v>
      </c>
      <c r="AW78" s="158">
        <f>IF(OR(AND(AW77&lt;&gt;0,AW79=0),AND(AW77=0,AW79&lt;&gt;0)),"Ошибка",IF(AW79=0,0,AW77/AW79))</f>
        <v>0</v>
      </c>
      <c r="AX78" s="158">
        <f>IF(OR(AND(AX77&lt;&gt;0,AX79=0),AND(AX77=0,AX79&lt;&gt;0)),"Ошибка",IF(AX79=0,0,AX77/AX79))</f>
        <v>0</v>
      </c>
      <c r="AY78" s="158">
        <f>IF(OR(AND(AY77&lt;&gt;0,AY79=0),AND(AY77=0,AY79&lt;&gt;0)),"Ошибка",IF(AY79=0,0,AY77/AY79))</f>
        <v>0</v>
      </c>
      <c r="AZ78" s="158">
        <f>IF(OR(AND(AZ77&lt;&gt;0,AZ79=0),AND(AZ77=0,AZ79&lt;&gt;0)),"Ошибка",IF(AZ79=0,0,AZ77/AZ79))</f>
        <v>0</v>
      </c>
      <c r="BA78" s="158">
        <f>IF(OR(AND(BA77&lt;&gt;0,BA79=0),AND(BA77=0,BA79&lt;&gt;0)),"Ошибка",IF(BA79=0,0,BA77/BA79))</f>
        <v>0</v>
      </c>
      <c r="BB78" s="158">
        <f>IF(OR(AND(BB77&lt;&gt;0,BB79=0),AND(BB77=0,BB79&lt;&gt;0)),"Ошибка",IF(BB79=0,0,BB77/BB79))</f>
        <v>0</v>
      </c>
      <c r="BC78" s="1887"/>
      <c r="BD78" s="1484"/>
      <c r="BE78" s="1484"/>
      <c r="BF78" s="1014" t="s">
        <v>807</v>
      </c>
      <c r="BG78" s="1014" t="s">
        <v>805</v>
      </c>
      <c r="BH78" s="1014" cm="1" t="str">
        <f t="array" ref="BH78:BH78">BH77</f>
        <v>0</v>
      </c>
      <c r="BI78" s="234"/>
      <c r="BJ78" s="234"/>
    </row>
    <row s="1190" customFormat="1" customHeight="1" ht="10.5" hidden="1">
      <c r="A79" s="1484"/>
      <c r="B79" s="402"/>
      <c r="C79" s="457"/>
      <c r="D79" s="1484"/>
      <c r="E79" s="234">
        <v>11.25</v>
      </c>
      <c r="F79" s="50" cm="1" t="str">
        <f t="array" ref="F79:F79">OFFSET(E79,-1,1)</f>
        <v>2</v>
      </c>
      <c r="G79" s="92" t="s">
        <v>654</v>
      </c>
      <c r="H79" s="92" cm="1" t="str">
        <f t="array" ref="H79:H79">H78</f>
        <v>0</v>
      </c>
      <c r="I79" s="1484"/>
      <c r="J79" s="1484"/>
      <c r="K79" s="1484"/>
      <c r="L79" s="1484"/>
      <c r="M79" s="1484"/>
      <c r="N79" s="1484"/>
      <c r="O79" s="1484"/>
      <c r="P79" s="1484"/>
      <c r="Q79" s="1484"/>
      <c r="R79" s="1484"/>
      <c r="S79" s="1484"/>
      <c r="T79" s="439" cm="1" t="str">
        <f t="array" ref="T79:T79">T78</f>
        <v>false</v>
      </c>
      <c r="U79" s="1484"/>
      <c r="V79" s="1484"/>
      <c r="W79" s="1484"/>
      <c r="X79" s="1462"/>
      <c r="Y79" s="1462"/>
      <c r="Z79" s="1484"/>
      <c r="AA79" s="1413"/>
      <c r="AB79" s="55" t="str">
        <f>AB77&amp;".2"</f>
        <v>6.0.2</v>
      </c>
      <c r="AC79" s="159" t="s">
        <v>808</v>
      </c>
      <c r="AD79" s="58" t="s">
        <v>792</v>
      </c>
      <c r="AE79" s="1764"/>
      <c r="AF79" s="1764"/>
      <c r="AG79" s="1764"/>
      <c r="AH79" s="1764"/>
      <c r="AI79" s="107"/>
      <c r="AJ79" s="1764"/>
      <c r="AK79" s="1764"/>
      <c r="AL79" s="1764"/>
      <c r="AM79" s="1764"/>
      <c r="AN79" s="1764"/>
      <c r="AO79" s="1764"/>
      <c r="AP79" s="1764"/>
      <c r="AQ79" s="1764"/>
      <c r="AR79" s="1764"/>
      <c r="AS79" s="107"/>
      <c r="AT79" s="1764"/>
      <c r="AU79" s="1764"/>
      <c r="AV79" s="1764"/>
      <c r="AW79" s="1764"/>
      <c r="AX79" s="1764"/>
      <c r="AY79" s="1764"/>
      <c r="AZ79" s="1764"/>
      <c r="BA79" s="1764"/>
      <c r="BB79" s="1764"/>
      <c r="BC79" s="1887"/>
      <c r="BD79" s="1484"/>
      <c r="BE79" s="1484"/>
      <c r="BF79" s="1014" t="s">
        <v>809</v>
      </c>
      <c r="BG79" s="1014" t="s">
        <v>805</v>
      </c>
      <c r="BH79" s="1014" cm="1" t="str">
        <f t="array" ref="BH79:BH79">BH78</f>
        <v>0</v>
      </c>
      <c r="BI79" s="234"/>
      <c r="BJ79" s="234"/>
    </row>
    <row s="1190" customFormat="1" customHeight="1" ht="12.75">
      <c r="A80" s="1484"/>
      <c r="B80" s="402"/>
      <c r="C80" s="457"/>
      <c r="D80" s="1484"/>
      <c r="E80" s="234">
        <v>11.25</v>
      </c>
      <c r="F80" s="50" cm="1" t="str">
        <f t="array" ref="F80:F80">OFFSET(E80,-1,1)</f>
        <v>2</v>
      </c>
      <c r="G80" s="92" t="s">
        <v>491</v>
      </c>
      <c r="H80" s="92" cm="1" t="str">
        <f t="array" ref="H80:H80">AC80</f>
        <v>СН2</v>
      </c>
      <c r="I80" s="1484"/>
      <c r="J80" s="1484"/>
      <c r="K80" s="1484"/>
      <c r="L80" s="1484"/>
      <c r="M80" s="1484"/>
      <c r="N80" s="1484"/>
      <c r="O80" s="1484"/>
      <c r="P80" s="1484"/>
      <c r="Q80" s="1484"/>
      <c r="R80" s="1484"/>
      <c r="S80" s="1484"/>
      <c r="T80" s="439">
        <f>AND(F80&gt;0,Y80&gt;0)</f>
        <v>1</v>
      </c>
      <c r="U80" s="1484"/>
      <c r="V80" s="1484"/>
      <c r="W80" s="738"/>
      <c r="X80" s="1462"/>
      <c r="Y80" s="1462" t="s">
        <v>272</v>
      </c>
      <c r="Z80" s="1484"/>
      <c r="AA80" s="1413" t="s">
        <v>174</v>
      </c>
      <c r="AB80" s="55" t="str">
        <f>"6."&amp;Y80</f>
        <v>6.1</v>
      </c>
      <c r="AC80" s="166" t="s">
        <v>834</v>
      </c>
      <c r="AD80" s="55" t="s">
        <v>784</v>
      </c>
      <c r="AE80" s="107">
        <v>515.5806411857</v>
      </c>
      <c r="AF80" s="107">
        <v>301.8922260161</v>
      </c>
      <c r="AG80" s="107">
        <v>301.8922260161</v>
      </c>
      <c r="AH80" s="107">
        <v>590.1692517201</v>
      </c>
      <c r="AI80" s="107">
        <v>313.6659</v>
      </c>
      <c r="AJ80" s="1764"/>
      <c r="AK80" s="1764"/>
      <c r="AL80" s="107"/>
      <c r="AM80" s="107"/>
      <c r="AN80" s="107"/>
      <c r="AO80" s="107"/>
      <c r="AP80" s="107"/>
      <c r="AQ80" s="107"/>
      <c r="AR80" s="107"/>
      <c r="AS80" s="107">
        <v>602.6409307544</v>
      </c>
      <c r="AT80" s="1764"/>
      <c r="AU80" s="1764"/>
      <c r="AV80" s="107"/>
      <c r="AW80" s="107"/>
      <c r="AX80" s="107"/>
      <c r="AY80" s="107"/>
      <c r="AZ80" s="107"/>
      <c r="BA80" s="107"/>
      <c r="BB80" s="107"/>
      <c r="BC80" s="167"/>
      <c r="BD80" s="1484"/>
      <c r="BE80" s="1484"/>
      <c r="BF80" s="1014" t="s">
        <v>804</v>
      </c>
      <c r="BG80" s="1014" t="s">
        <v>805</v>
      </c>
      <c r="BH80" s="1014" cm="1" t="str">
        <f t="array" ref="BH80:BH80">AC80</f>
        <v>СН2</v>
      </c>
      <c r="BI80" s="234"/>
      <c r="BJ80" s="234" t="b">
        <v>1</v>
      </c>
    </row>
    <row s="1190" customFormat="1" customHeight="1" ht="170.25">
      <c r="A81" s="1484"/>
      <c r="B81" s="402"/>
      <c r="C81" s="457"/>
      <c r="D81" s="1484"/>
      <c r="E81" s="234">
        <v>11.25</v>
      </c>
      <c r="F81" s="50" cm="1" t="str">
        <f t="array" ref="F81:F81">OFFSET(E81,-1,1)</f>
        <v>2</v>
      </c>
      <c r="G81" s="92" t="s">
        <v>651</v>
      </c>
      <c r="H81" s="92" cm="1" t="str">
        <f t="array" ref="H81:H81">H80</f>
        <v>СН2</v>
      </c>
      <c r="I81" s="1484"/>
      <c r="J81" s="1484"/>
      <c r="K81" s="1484"/>
      <c r="L81" s="1484"/>
      <c r="M81" s="1484"/>
      <c r="N81" s="1484"/>
      <c r="O81" s="1484"/>
      <c r="P81" s="1484"/>
      <c r="Q81" s="1484"/>
      <c r="R81" s="1484"/>
      <c r="S81" s="1484"/>
      <c r="T81" s="439" cm="1" t="str">
        <f t="array" ref="T81:T81">T80</f>
        <v>true</v>
      </c>
      <c r="U81" s="1484"/>
      <c r="V81" s="1484"/>
      <c r="W81" s="1484"/>
      <c r="X81" s="1462"/>
      <c r="Y81" s="1462"/>
      <c r="Z81" s="1484"/>
      <c r="AA81" s="1413"/>
      <c r="AB81" s="55" t="str">
        <f>AB80&amp;".1"</f>
        <v>6.1.1</v>
      </c>
      <c r="AC81" s="159" t="s">
        <v>806</v>
      </c>
      <c r="AD81" s="58" t="s">
        <v>798</v>
      </c>
      <c r="AE81" s="158">
        <f>IF(OR(AND(AE80&lt;&gt;0,AE82=0),AND(AE80=0,AE82&lt;&gt;0)),"Ошибка",IF(AE82=0,0,AE80/AE82))</f>
        <v>2.45821799999992</v>
      </c>
      <c r="AF81" s="158">
        <f>IF(OR(AND(AF80&lt;&gt;0,AF82=0),AND(AF80=0,AF82&lt;&gt;0)),"Ошибка",IF(AF82=0,0,AF80/AF82))</f>
        <v>2.9741224587405</v>
      </c>
      <c r="AG81" s="158">
        <f>IF(OR(AND(AG80&lt;&gt;0,AG82=0),AND(AG80=0,AG82&lt;&gt;0)),"Ошибка",IF(AG82=0,0,AG80/AG82))</f>
        <v>2.9741224587405</v>
      </c>
      <c r="AH81" s="158">
        <f>IF(OR(AND(AH80&lt;&gt;0,AH82=0),AND(AH80=0,AH82&lt;&gt;0)),"Ошибка",IF(AH82=0,0,AH80/AH82))</f>
        <v>2.96877762586581</v>
      </c>
      <c r="AI81" s="158">
        <f>IF(OR(AND(AI80&lt;&gt;0,AI82=0),AND(AI80=0,AI82&lt;&gt;0)),"Ошибка",IF(AI82=0,0,AI80/AI82))</f>
        <v>3.09011202455177</v>
      </c>
      <c r="AJ81" s="158">
        <f>IF(OR(AND(AJ80&lt;&gt;0,AJ82=0),AND(AJ80=0,AJ82&lt;&gt;0)),"Ошибка",IF(AJ82=0,0,AJ80/AJ82))</f>
        <v>0</v>
      </c>
      <c r="AK81" s="158">
        <f>IF(OR(AND(AK80&lt;&gt;0,AK82=0),AND(AK80=0,AK82&lt;&gt;0)),"Ошибка",IF(AK82=0,0,AK80/AK82))</f>
        <v>0</v>
      </c>
      <c r="AL81" s="158">
        <f>IF(OR(AND(AL80&lt;&gt;0,AL82=0),AND(AL80=0,AL82&lt;&gt;0)),"Ошибка",IF(AL82=0,0,AL80/AL82))</f>
        <v>0</v>
      </c>
      <c r="AM81" s="158">
        <f>IF(OR(AND(AM80&lt;&gt;0,AM82=0),AND(AM80=0,AM82&lt;&gt;0)),"Ошибка",IF(AM82=0,0,AM80/AM82))</f>
        <v>0</v>
      </c>
      <c r="AN81" s="158">
        <f>IF(OR(AND(AN80&lt;&gt;0,AN82=0),AND(AN80=0,AN82&lt;&gt;0)),"Ошибка",IF(AN82=0,0,AN80/AN82))</f>
        <v>0</v>
      </c>
      <c r="AO81" s="158">
        <f>IF(OR(AND(AO80&lt;&gt;0,AO82=0),AND(AO80=0,AO82&lt;&gt;0)),"Ошибка",IF(AO82=0,0,AO80/AO82))</f>
        <v>0</v>
      </c>
      <c r="AP81" s="158">
        <f>IF(OR(AND(AP80&lt;&gt;0,AP82=0),AND(AP80=0,AP82&lt;&gt;0)),"Ошибка",IF(AP82=0,0,AP80/AP82))</f>
        <v>0</v>
      </c>
      <c r="AQ81" s="158">
        <f>IF(OR(AND(AQ80&lt;&gt;0,AQ82=0),AND(AQ80=0,AQ82&lt;&gt;0)),"Ошибка",IF(AQ82=0,0,AQ80/AQ82))</f>
        <v>0</v>
      </c>
      <c r="AR81" s="158">
        <f>IF(OR(AND(AR80&lt;&gt;0,AR82=0),AND(AR80=0,AR82&lt;&gt;0)),"Ошибка",IF(AR82=0,0,AR80/AR82))</f>
        <v>0</v>
      </c>
      <c r="AS81" s="158">
        <f>IF(OR(AND(AS80&lt;&gt;0,AS82=0),AND(AS80=0,AS82&lt;&gt;0)),"Ошибка",IF(AS82=0,0,AS80/AS82))</f>
        <v>3.09011202455221</v>
      </c>
      <c r="AT81" s="158">
        <f>IF(OR(AND(AT80&lt;&gt;0,AT82=0),AND(AT80=0,AT82&lt;&gt;0)),"Ошибка",IF(AT82=0,0,AT80/AT82))</f>
        <v>0</v>
      </c>
      <c r="AU81" s="158">
        <f>IF(OR(AND(AU80&lt;&gt;0,AU82=0),AND(AU80=0,AU82&lt;&gt;0)),"Ошибка",IF(AU82=0,0,AU80/AU82))</f>
        <v>0</v>
      </c>
      <c r="AV81" s="158">
        <f>IF(OR(AND(AV80&lt;&gt;0,AV82=0),AND(AV80=0,AV82&lt;&gt;0)),"Ошибка",IF(AV82=0,0,AV80/AV82))</f>
        <v>0</v>
      </c>
      <c r="AW81" s="158">
        <f>IF(OR(AND(AW80&lt;&gt;0,AW82=0),AND(AW80=0,AW82&lt;&gt;0)),"Ошибка",IF(AW82=0,0,AW80/AW82))</f>
        <v>0</v>
      </c>
      <c r="AX81" s="158">
        <f>IF(OR(AND(AX80&lt;&gt;0,AX82=0),AND(AX80=0,AX82&lt;&gt;0)),"Ошибка",IF(AX82=0,0,AX80/AX82))</f>
        <v>0</v>
      </c>
      <c r="AY81" s="158">
        <f>IF(OR(AND(AY80&lt;&gt;0,AY82=0),AND(AY80=0,AY82&lt;&gt;0)),"Ошибка",IF(AY82=0,0,AY80/AY82))</f>
        <v>0</v>
      </c>
      <c r="AZ81" s="158">
        <f>IF(OR(AND(AZ80&lt;&gt;0,AZ82=0),AND(AZ80=0,AZ82&lt;&gt;0)),"Ошибка",IF(AZ82=0,0,AZ80/AZ82))</f>
        <v>0</v>
      </c>
      <c r="BA81" s="158">
        <f>IF(OR(AND(BA80&lt;&gt;0,BA82=0),AND(BA80=0,BA82&lt;&gt;0)),"Ошибка",IF(BA82=0,0,BA80/BA82))</f>
        <v>0</v>
      </c>
      <c r="BB81" s="158">
        <f>IF(OR(AND(BB80&lt;&gt;0,BB82=0),AND(BB80=0,BB82&lt;&gt;0)),"Ошибка",IF(BB82=0,0,BB80/BB82))</f>
        <v>0</v>
      </c>
      <c r="BC81" s="167" t="s">
        <v>835</v>
      </c>
      <c r="BD81" s="1484"/>
      <c r="BE81" s="1484"/>
      <c r="BF81" s="1014" t="s">
        <v>807</v>
      </c>
      <c r="BG81" s="1014" t="s">
        <v>805</v>
      </c>
      <c r="BH81" s="1014" cm="1" t="str">
        <f t="array" ref="BH81:BH81">BH80</f>
        <v>СН2</v>
      </c>
      <c r="BI81" s="234"/>
      <c r="BJ81" s="234"/>
    </row>
    <row s="1190" customFormat="1" customHeight="1" ht="86.25">
      <c r="A82" s="1484"/>
      <c r="B82" s="402"/>
      <c r="C82" s="457"/>
      <c r="D82" s="1484"/>
      <c r="E82" s="234">
        <v>11.25</v>
      </c>
      <c r="F82" s="50" cm="1" t="str">
        <f t="array" ref="F82:F82">OFFSET(E82,-1,1)</f>
        <v>2</v>
      </c>
      <c r="G82" s="92" t="s">
        <v>654</v>
      </c>
      <c r="H82" s="92" cm="1" t="str">
        <f t="array" ref="H82:H82">H81</f>
        <v>СН2</v>
      </c>
      <c r="I82" s="1484"/>
      <c r="J82" s="1484"/>
      <c r="K82" s="1484"/>
      <c r="L82" s="1484"/>
      <c r="M82" s="1484"/>
      <c r="N82" s="1484"/>
      <c r="O82" s="1484"/>
      <c r="P82" s="1484"/>
      <c r="Q82" s="1484"/>
      <c r="R82" s="1484"/>
      <c r="S82" s="1484"/>
      <c r="T82" s="439" cm="1" t="str">
        <f t="array" ref="T82:T82">T81</f>
        <v>true</v>
      </c>
      <c r="U82" s="1484"/>
      <c r="V82" s="1484"/>
      <c r="W82" s="1484"/>
      <c r="X82" s="1462"/>
      <c r="Y82" s="1462"/>
      <c r="Z82" s="1484"/>
      <c r="AA82" s="1413"/>
      <c r="AB82" s="55" t="str">
        <f>AB80&amp;".2"</f>
        <v>6.1.2</v>
      </c>
      <c r="AC82" s="159" t="s">
        <v>808</v>
      </c>
      <c r="AD82" s="58" t="s">
        <v>792</v>
      </c>
      <c r="AE82" s="107">
        <v>209.7375583393</v>
      </c>
      <c r="AF82" s="107">
        <v>101.50632</v>
      </c>
      <c r="AG82" s="107">
        <v>101.50632</v>
      </c>
      <c r="AH82" s="107">
        <v>198.7920033411</v>
      </c>
      <c r="AI82" s="107">
        <v>101.50632</v>
      </c>
      <c r="AJ82" s="1764"/>
      <c r="AK82" s="1764"/>
      <c r="AL82" s="107"/>
      <c r="AM82" s="107"/>
      <c r="AN82" s="107"/>
      <c r="AO82" s="107"/>
      <c r="AP82" s="107"/>
      <c r="AQ82" s="107"/>
      <c r="AR82" s="107"/>
      <c r="AS82" s="107">
        <v>195.0223571075</v>
      </c>
      <c r="AT82" s="1764"/>
      <c r="AU82" s="1764"/>
      <c r="AV82" s="107"/>
      <c r="AW82" s="107"/>
      <c r="AX82" s="107"/>
      <c r="AY82" s="107"/>
      <c r="AZ82" s="107"/>
      <c r="BA82" s="107"/>
      <c r="BB82" s="107"/>
      <c r="BC82" s="167" t="s">
        <v>837</v>
      </c>
      <c r="BD82" s="1484"/>
      <c r="BE82" s="1484"/>
      <c r="BF82" s="1014" t="s">
        <v>809</v>
      </c>
      <c r="BG82" s="1014" t="s">
        <v>805</v>
      </c>
      <c r="BH82" s="1014" cm="1" t="str">
        <f t="array" ref="BH82:BH82">BH81</f>
        <v>СН2</v>
      </c>
      <c r="BI82" s="234"/>
      <c r="BJ82" s="234"/>
    </row>
    <row s="1168" customFormat="1" customHeight="1" ht="14.25">
      <c r="A83" s="1168"/>
      <c r="B83" s="400"/>
      <c r="C83" s="457"/>
      <c r="D83" s="1168"/>
      <c r="E83" s="612">
        <v>15</v>
      </c>
      <c r="F83" s="50" cm="1" t="str">
        <f t="array" ref="F83:F83">OFFSET(E83,-1,1)</f>
        <v>2</v>
      </c>
      <c r="G83" s="1168"/>
      <c r="H83" s="940" t="s">
        <v>810</v>
      </c>
      <c r="I83" s="1168"/>
      <c r="J83" s="1168"/>
      <c r="K83" s="1168"/>
      <c r="L83" s="1168"/>
      <c r="M83" s="1168"/>
      <c r="N83" s="1168"/>
      <c r="O83" s="1168"/>
      <c r="P83" s="1168"/>
      <c r="Q83" s="1168"/>
      <c r="R83" s="1168"/>
      <c r="S83" s="1168"/>
      <c r="T83" s="439">
        <f>F83&gt;0</f>
        <v>1</v>
      </c>
      <c r="U83" s="1168"/>
      <c r="V83" s="1168"/>
      <c r="W83" s="738" t="s">
        <v>392</v>
      </c>
      <c r="X83" s="1462"/>
      <c r="Y83" s="1168"/>
      <c r="Z83" s="1484"/>
      <c r="AA83" s="1168"/>
      <c r="AB83" s="633"/>
      <c r="AC83" s="145" t="s">
        <v>177</v>
      </c>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54"/>
      <c r="BD83" s="1168"/>
      <c r="BE83" s="1168"/>
      <c r="BF83" s="1001"/>
      <c r="BG83" s="1001"/>
      <c r="BH83" s="1001"/>
      <c r="BI83" s="612" t="s">
        <v>805</v>
      </c>
      <c r="BJ83" s="612"/>
    </row>
    <row s="1190" customFormat="1" customHeight="1" ht="12">
      <c r="A84" s="1484"/>
      <c r="B84" s="402"/>
      <c r="C84" s="457"/>
      <c r="D84" s="1484"/>
      <c r="E84" s="234">
        <v>13</v>
      </c>
      <c r="F84" s="50" cm="1" t="str">
        <f t="array" ref="F84:F84">OFFSET(E84,-1,1)</f>
        <v>2</v>
      </c>
      <c r="G84" s="92"/>
      <c r="H84" s="92"/>
      <c r="I84" s="1484"/>
      <c r="J84" s="1484"/>
      <c r="K84" s="1484"/>
      <c r="L84" s="1484"/>
      <c r="M84" s="1484"/>
      <c r="N84" s="1484"/>
      <c r="O84" s="1484"/>
      <c r="P84" s="1484"/>
      <c r="Q84" s="1484"/>
      <c r="R84" s="1484"/>
      <c r="S84" s="1484"/>
      <c r="T84" s="439" cm="1" t="str">
        <f t="array" ref="T84:T84">T83</f>
        <v>true</v>
      </c>
      <c r="U84" s="1484"/>
      <c r="V84" s="1484"/>
      <c r="W84" s="1484"/>
      <c r="X84" s="1462"/>
      <c r="Y84" s="1484"/>
      <c r="Z84" s="1484"/>
      <c r="AA84" s="1484"/>
      <c r="AB84" s="632"/>
      <c r="AC84" s="233" t="s">
        <v>811</v>
      </c>
      <c r="AD84" s="234"/>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6"/>
      <c r="BD84" s="1484"/>
      <c r="BE84" s="1484"/>
      <c r="BF84" s="1014"/>
      <c r="BG84" s="1014"/>
      <c r="BH84" s="1014"/>
      <c r="BI84" s="234"/>
      <c r="BJ84" s="234"/>
    </row>
    <row s="1190" customFormat="1" customHeight="1" ht="10.5" hidden="1">
      <c r="A85" s="1484"/>
      <c r="B85" s="402"/>
      <c r="C85" s="457"/>
      <c r="D85" s="1484"/>
      <c r="E85" s="234">
        <v>11.25</v>
      </c>
      <c r="F85" s="50" cm="1" t="str">
        <f t="array" ref="F85:F85">OFFSET(E85,-1,1)</f>
        <v>2</v>
      </c>
      <c r="G85" s="92" t="s">
        <v>491</v>
      </c>
      <c r="H85" s="92" cm="1" t="str">
        <f t="array" ref="H85:H85">AC85</f>
        <v>0</v>
      </c>
      <c r="I85" s="1484"/>
      <c r="J85" s="1484"/>
      <c r="K85" s="1484"/>
      <c r="L85" s="1484"/>
      <c r="M85" s="1484"/>
      <c r="N85" s="1484"/>
      <c r="O85" s="1484"/>
      <c r="P85" s="1484"/>
      <c r="Q85" s="1484"/>
      <c r="R85" s="1484"/>
      <c r="S85" s="1484"/>
      <c r="T85" s="439">
        <f>AND(F85&gt;0,Y85&gt;0)</f>
        <v>0</v>
      </c>
      <c r="U85" s="1484"/>
      <c r="V85" s="1484"/>
      <c r="W85" s="738" t="s">
        <v>173</v>
      </c>
      <c r="X85" s="1462"/>
      <c r="Y85" s="1462">
        <v>0</v>
      </c>
      <c r="Z85" s="1484"/>
      <c r="AA85" s="1413" t="s">
        <v>174</v>
      </c>
      <c r="AB85" s="55" t="str">
        <f>"7."&amp;Y85</f>
        <v>7.0</v>
      </c>
      <c r="AC85" s="2399"/>
      <c r="AD85" s="55" t="s">
        <v>784</v>
      </c>
      <c r="AE85" s="158">
        <f>AE86+AE89</f>
        <v>0</v>
      </c>
      <c r="AF85" s="158">
        <f>AF86+AF89</f>
        <v>0</v>
      </c>
      <c r="AG85" s="158">
        <f>AG86+AG89</f>
        <v>0</v>
      </c>
      <c r="AH85" s="158">
        <f>AH86+AH89</f>
        <v>0</v>
      </c>
      <c r="AI85" s="158">
        <f>AI86+AI89</f>
        <v>0</v>
      </c>
      <c r="AJ85" s="158">
        <f>AJ86+AJ89</f>
        <v>0</v>
      </c>
      <c r="AK85" s="158">
        <f>AK86+AK89</f>
        <v>0</v>
      </c>
      <c r="AL85" s="158">
        <f>AL86+AL89</f>
        <v>0</v>
      </c>
      <c r="AM85" s="158">
        <f>AM86+AM89</f>
        <v>0</v>
      </c>
      <c r="AN85" s="158">
        <f>AN86+AN89</f>
        <v>0</v>
      </c>
      <c r="AO85" s="158">
        <f>AO86+AO89</f>
        <v>0</v>
      </c>
      <c r="AP85" s="158">
        <f>AP86+AP89</f>
        <v>0</v>
      </c>
      <c r="AQ85" s="158">
        <f>AQ86+AQ89</f>
        <v>0</v>
      </c>
      <c r="AR85" s="158">
        <f>AR86+AR89</f>
        <v>0</v>
      </c>
      <c r="AS85" s="158">
        <f>AS86+AS89</f>
        <v>0</v>
      </c>
      <c r="AT85" s="158">
        <f>AT86+AT89</f>
        <v>0</v>
      </c>
      <c r="AU85" s="158">
        <f>AU86+AU89</f>
        <v>0</v>
      </c>
      <c r="AV85" s="158">
        <f>AV86+AV89</f>
        <v>0</v>
      </c>
      <c r="AW85" s="158">
        <f>AW86+AW89</f>
        <v>0</v>
      </c>
      <c r="AX85" s="158">
        <f>AX86+AX89</f>
        <v>0</v>
      </c>
      <c r="AY85" s="158">
        <f>AY86+AY89</f>
        <v>0</v>
      </c>
      <c r="AZ85" s="158">
        <f>AZ86+AZ89</f>
        <v>0</v>
      </c>
      <c r="BA85" s="158">
        <f>BA86+BA89</f>
        <v>0</v>
      </c>
      <c r="BB85" s="158">
        <f>BB86+BB89</f>
        <v>0</v>
      </c>
      <c r="BC85" s="1887"/>
      <c r="BD85" s="1484"/>
      <c r="BE85" s="1484"/>
      <c r="BF85" s="1014" t="s">
        <v>812</v>
      </c>
      <c r="BG85" s="1014" t="s">
        <v>813</v>
      </c>
      <c r="BH85" s="1014" cm="1" t="str">
        <f t="array" ref="BH85:BH85">AC85</f>
        <v>0</v>
      </c>
      <c r="BI85" s="234"/>
      <c r="BJ85" s="234"/>
    </row>
    <row s="1190" customFormat="1" customHeight="1" ht="10.5" hidden="1">
      <c r="A86" s="1484"/>
      <c r="B86" s="402"/>
      <c r="C86" s="457"/>
      <c r="D86" s="1484"/>
      <c r="E86" s="234">
        <v>11.25</v>
      </c>
      <c r="F86" s="50" cm="1" t="str">
        <f t="array" ref="F86:F86">OFFSET(E86,-1,1)</f>
        <v>2</v>
      </c>
      <c r="G86" s="92" t="s">
        <v>658</v>
      </c>
      <c r="H86" s="92" cm="1" t="str">
        <f t="array" ref="H86:H86">H85</f>
        <v>0</v>
      </c>
      <c r="I86" s="1484"/>
      <c r="J86" s="1484"/>
      <c r="K86" s="1484"/>
      <c r="L86" s="1484"/>
      <c r="M86" s="1484"/>
      <c r="N86" s="1484"/>
      <c r="O86" s="1484"/>
      <c r="P86" s="1484"/>
      <c r="Q86" s="1484"/>
      <c r="R86" s="1484"/>
      <c r="S86" s="1484"/>
      <c r="T86" s="439" cm="1" t="str">
        <f t="array" ref="T86:T86">T85</f>
        <v>false</v>
      </c>
      <c r="U86" s="1484"/>
      <c r="V86" s="1484"/>
      <c r="W86" s="1484"/>
      <c r="X86" s="1462"/>
      <c r="Y86" s="1462"/>
      <c r="Z86" s="1484"/>
      <c r="AA86" s="1413"/>
      <c r="AB86" s="55" t="str">
        <f>AB85&amp;".1"</f>
        <v>7.0.1</v>
      </c>
      <c r="AC86" s="159" t="s">
        <v>814</v>
      </c>
      <c r="AD86" s="55" t="s">
        <v>815</v>
      </c>
      <c r="AE86" s="1764"/>
      <c r="AF86" s="1764"/>
      <c r="AG86" s="1764"/>
      <c r="AH86" s="1764"/>
      <c r="AI86" s="107"/>
      <c r="AJ86" s="1764"/>
      <c r="AK86" s="1764"/>
      <c r="AL86" s="1764"/>
      <c r="AM86" s="1764"/>
      <c r="AN86" s="1764"/>
      <c r="AO86" s="1764"/>
      <c r="AP86" s="1764"/>
      <c r="AQ86" s="1764"/>
      <c r="AR86" s="1764"/>
      <c r="AS86" s="107"/>
      <c r="AT86" s="1764"/>
      <c r="AU86" s="1764"/>
      <c r="AV86" s="1764"/>
      <c r="AW86" s="1764"/>
      <c r="AX86" s="1764"/>
      <c r="AY86" s="1764"/>
      <c r="AZ86" s="1764"/>
      <c r="BA86" s="1764"/>
      <c r="BB86" s="1764"/>
      <c r="BC86" s="1887"/>
      <c r="BD86" s="1484"/>
      <c r="BE86" s="1484"/>
      <c r="BF86" s="1014" t="s">
        <v>816</v>
      </c>
      <c r="BG86" s="1014" t="s">
        <v>813</v>
      </c>
      <c r="BH86" s="1014" cm="1" t="str">
        <f t="array" ref="BH86:BH86">BH85</f>
        <v>0</v>
      </c>
      <c r="BI86" s="234"/>
      <c r="BJ86" s="234"/>
    </row>
    <row s="1190" customFormat="1" customHeight="1" ht="10.5" hidden="1">
      <c r="A87" s="1484"/>
      <c r="B87" s="402"/>
      <c r="C87" s="457"/>
      <c r="D87" s="1484"/>
      <c r="E87" s="234">
        <v>11.25</v>
      </c>
      <c r="F87" s="50" cm="1" t="str">
        <f t="array" ref="F87:F87">OFFSET(E87,-1,1)</f>
        <v>2</v>
      </c>
      <c r="G87" s="92" t="s">
        <v>817</v>
      </c>
      <c r="H87" s="92" cm="1" t="str">
        <f t="array" ref="H87:H87">H86</f>
        <v>0</v>
      </c>
      <c r="I87" s="1484"/>
      <c r="J87" s="1484"/>
      <c r="K87" s="1484"/>
      <c r="L87" s="1484"/>
      <c r="M87" s="1484"/>
      <c r="N87" s="1484"/>
      <c r="O87" s="1484"/>
      <c r="P87" s="1484"/>
      <c r="Q87" s="1484"/>
      <c r="R87" s="1484"/>
      <c r="S87" s="1484"/>
      <c r="T87" s="439" cm="1" t="str">
        <f t="array" ref="T87:T87">T86</f>
        <v>false</v>
      </c>
      <c r="U87" s="1484"/>
      <c r="V87" s="1484"/>
      <c r="W87" s="1484"/>
      <c r="X87" s="1462"/>
      <c r="Y87" s="1462"/>
      <c r="Z87" s="1484"/>
      <c r="AA87" s="1413"/>
      <c r="AB87" s="55" t="str">
        <f>AB85&amp;".1.1"</f>
        <v>7.0.1.1</v>
      </c>
      <c r="AC87" s="299" t="s">
        <v>806</v>
      </c>
      <c r="AD87" s="58" t="s">
        <v>798</v>
      </c>
      <c r="AE87" s="158">
        <f>IF(OR(AND(AE86&lt;&gt;0,AE88=0),AND(AE86=0,AE88&lt;&gt;0)),"Ошибка",IF(AE88=0,0,AE86/AE88))</f>
        <v>0</v>
      </c>
      <c r="AF87" s="158">
        <f>IF(OR(AND(AF86&lt;&gt;0,AF88=0),AND(AF86=0,AF88&lt;&gt;0)),"Ошибка",IF(AF88=0,0,AF86/AF88))</f>
        <v>0</v>
      </c>
      <c r="AG87" s="158">
        <f>IF(OR(AND(AG86&lt;&gt;0,AG88=0),AND(AG86=0,AG88&lt;&gt;0)),"Ошибка",IF(AG88=0,0,AG86/AG88))</f>
        <v>0</v>
      </c>
      <c r="AH87" s="158">
        <f>IF(OR(AND(AH86&lt;&gt;0,AH88=0),AND(AH86=0,AH88&lt;&gt;0)),"Ошибка",IF(AH88=0,0,AH86/AH88))</f>
        <v>0</v>
      </c>
      <c r="AI87" s="158">
        <f>IF(OR(AND(AI86&lt;&gt;0,AI88=0),AND(AI86=0,AI88&lt;&gt;0)),"Ошибка",IF(AI88=0,0,AI86/AI88))</f>
        <v>0</v>
      </c>
      <c r="AJ87" s="158">
        <f>IF(OR(AND(AJ86&lt;&gt;0,AJ88=0),AND(AJ86=0,AJ88&lt;&gt;0)),"Ошибка",IF(AJ88=0,0,AJ86/AJ88))</f>
        <v>0</v>
      </c>
      <c r="AK87" s="158">
        <f>IF(OR(AND(AK86&lt;&gt;0,AK88=0),AND(AK86=0,AK88&lt;&gt;0)),"Ошибка",IF(AK88=0,0,AK86/AK88))</f>
        <v>0</v>
      </c>
      <c r="AL87" s="158">
        <f>IF(OR(AND(AL86&lt;&gt;0,AL88=0),AND(AL86=0,AL88&lt;&gt;0)),"Ошибка",IF(AL88=0,0,AL86/AL88))</f>
        <v>0</v>
      </c>
      <c r="AM87" s="158">
        <f>IF(OR(AND(AM86&lt;&gt;0,AM88=0),AND(AM86=0,AM88&lt;&gt;0)),"Ошибка",IF(AM88=0,0,AM86/AM88))</f>
        <v>0</v>
      </c>
      <c r="AN87" s="158">
        <f>IF(OR(AND(AN86&lt;&gt;0,AN88=0),AND(AN86=0,AN88&lt;&gt;0)),"Ошибка",IF(AN88=0,0,AN86/AN88))</f>
        <v>0</v>
      </c>
      <c r="AO87" s="158">
        <f>IF(OR(AND(AO86&lt;&gt;0,AO88=0),AND(AO86=0,AO88&lt;&gt;0)),"Ошибка",IF(AO88=0,0,AO86/AO88))</f>
        <v>0</v>
      </c>
      <c r="AP87" s="158">
        <f>IF(OR(AND(AP86&lt;&gt;0,AP88=0),AND(AP86=0,AP88&lt;&gt;0)),"Ошибка",IF(AP88=0,0,AP86/AP88))</f>
        <v>0</v>
      </c>
      <c r="AQ87" s="158">
        <f>IF(OR(AND(AQ86&lt;&gt;0,AQ88=0),AND(AQ86=0,AQ88&lt;&gt;0)),"Ошибка",IF(AQ88=0,0,AQ86/AQ88))</f>
        <v>0</v>
      </c>
      <c r="AR87" s="158">
        <f>IF(OR(AND(AR86&lt;&gt;0,AR88=0),AND(AR86=0,AR88&lt;&gt;0)),"Ошибка",IF(AR88=0,0,AR86/AR88))</f>
        <v>0</v>
      </c>
      <c r="AS87" s="158">
        <f>IF(OR(AND(AS86&lt;&gt;0,AS88=0),AND(AS86=0,AS88&lt;&gt;0)),"Ошибка",IF(AS88=0,0,AS86/AS88))</f>
        <v>0</v>
      </c>
      <c r="AT87" s="158">
        <f>IF(OR(AND(AT86&lt;&gt;0,AT88=0),AND(AT86=0,AT88&lt;&gt;0)),"Ошибка",IF(AT88=0,0,AT86/AT88))</f>
        <v>0</v>
      </c>
      <c r="AU87" s="158">
        <f>IF(OR(AND(AU86&lt;&gt;0,AU88=0),AND(AU86=0,AU88&lt;&gt;0)),"Ошибка",IF(AU88=0,0,AU86/AU88))</f>
        <v>0</v>
      </c>
      <c r="AV87" s="158">
        <f>IF(OR(AND(AV86&lt;&gt;0,AV88=0),AND(AV86=0,AV88&lt;&gt;0)),"Ошибка",IF(AV88=0,0,AV86/AV88))</f>
        <v>0</v>
      </c>
      <c r="AW87" s="158">
        <f>IF(OR(AND(AW86&lt;&gt;0,AW88=0),AND(AW86=0,AW88&lt;&gt;0)),"Ошибка",IF(AW88=0,0,AW86/AW88))</f>
        <v>0</v>
      </c>
      <c r="AX87" s="158">
        <f>IF(OR(AND(AX86&lt;&gt;0,AX88=0),AND(AX86=0,AX88&lt;&gt;0)),"Ошибка",IF(AX88=0,0,AX86/AX88))</f>
        <v>0</v>
      </c>
      <c r="AY87" s="158">
        <f>IF(OR(AND(AY86&lt;&gt;0,AY88=0),AND(AY86=0,AY88&lt;&gt;0)),"Ошибка",IF(AY88=0,0,AY86/AY88))</f>
        <v>0</v>
      </c>
      <c r="AZ87" s="158">
        <f>IF(OR(AND(AZ86&lt;&gt;0,AZ88=0),AND(AZ86=0,AZ88&lt;&gt;0)),"Ошибка",IF(AZ88=0,0,AZ86/AZ88))</f>
        <v>0</v>
      </c>
      <c r="BA87" s="158">
        <f>IF(OR(AND(BA86&lt;&gt;0,BA88=0),AND(BA86=0,BA88&lt;&gt;0)),"Ошибка",IF(BA88=0,0,BA86/BA88))</f>
        <v>0</v>
      </c>
      <c r="BB87" s="158">
        <f>IF(OR(AND(BB86&lt;&gt;0,BB88=0),AND(BB86=0,BB88&lt;&gt;0)),"Ошибка",IF(BB88=0,0,BB86/BB88))</f>
        <v>0</v>
      </c>
      <c r="BC87" s="1887"/>
      <c r="BD87" s="1484"/>
      <c r="BE87" s="1484"/>
      <c r="BF87" s="1014" t="s">
        <v>818</v>
      </c>
      <c r="BG87" s="1014" t="s">
        <v>813</v>
      </c>
      <c r="BH87" s="1014" cm="1" t="str">
        <f t="array" ref="BH87:BH87">BH86</f>
        <v>0</v>
      </c>
      <c r="BI87" s="234"/>
      <c r="BJ87" s="234"/>
    </row>
    <row s="1190" customFormat="1" customHeight="1" ht="10.5" hidden="1">
      <c r="A88" s="1484"/>
      <c r="B88" s="402"/>
      <c r="C88" s="457"/>
      <c r="D88" s="1484"/>
      <c r="E88" s="234">
        <v>11.25</v>
      </c>
      <c r="F88" s="50" cm="1" t="str">
        <f t="array" ref="F88:F88">OFFSET(E88,-1,1)</f>
        <v>2</v>
      </c>
      <c r="G88" s="92" t="s">
        <v>819</v>
      </c>
      <c r="H88" s="92" cm="1" t="str">
        <f t="array" ref="H88:H88">H87</f>
        <v>0</v>
      </c>
      <c r="I88" s="1484"/>
      <c r="J88" s="1484"/>
      <c r="K88" s="1484"/>
      <c r="L88" s="1484"/>
      <c r="M88" s="1484"/>
      <c r="N88" s="1484"/>
      <c r="O88" s="1484"/>
      <c r="P88" s="1484"/>
      <c r="Q88" s="1484"/>
      <c r="R88" s="1484"/>
      <c r="S88" s="1484"/>
      <c r="T88" s="439" cm="1" t="str">
        <f t="array" ref="T88:T88">T87</f>
        <v>false</v>
      </c>
      <c r="U88" s="1484"/>
      <c r="V88" s="1484"/>
      <c r="W88" s="1484"/>
      <c r="X88" s="1462"/>
      <c r="Y88" s="1462"/>
      <c r="Z88" s="1484"/>
      <c r="AA88" s="1413"/>
      <c r="AB88" s="55" t="str">
        <f>AB85&amp;".1.2"</f>
        <v>7.0.1.2</v>
      </c>
      <c r="AC88" s="299" t="s">
        <v>808</v>
      </c>
      <c r="AD88" s="58" t="s">
        <v>792</v>
      </c>
      <c r="AE88" s="1764"/>
      <c r="AF88" s="1764"/>
      <c r="AG88" s="1764"/>
      <c r="AH88" s="1764"/>
      <c r="AI88" s="107"/>
      <c r="AJ88" s="1764"/>
      <c r="AK88" s="1764"/>
      <c r="AL88" s="1764"/>
      <c r="AM88" s="1764"/>
      <c r="AN88" s="1764"/>
      <c r="AO88" s="1764"/>
      <c r="AP88" s="1764"/>
      <c r="AQ88" s="1764"/>
      <c r="AR88" s="1764"/>
      <c r="AS88" s="107"/>
      <c r="AT88" s="1764"/>
      <c r="AU88" s="1764"/>
      <c r="AV88" s="1764"/>
      <c r="AW88" s="1764"/>
      <c r="AX88" s="1764"/>
      <c r="AY88" s="1764"/>
      <c r="AZ88" s="1764"/>
      <c r="BA88" s="1764"/>
      <c r="BB88" s="1764"/>
      <c r="BC88" s="1887"/>
      <c r="BD88" s="1484"/>
      <c r="BE88" s="1484"/>
      <c r="BF88" s="1014" t="s">
        <v>820</v>
      </c>
      <c r="BG88" s="1014" t="s">
        <v>813</v>
      </c>
      <c r="BH88" s="1014" cm="1" t="str">
        <f t="array" ref="BH88:BH88">BH87</f>
        <v>0</v>
      </c>
      <c r="BI88" s="234"/>
      <c r="BJ88" s="234"/>
    </row>
    <row s="1190" customFormat="1" customHeight="1" ht="10.5" hidden="1">
      <c r="A89" s="1484"/>
      <c r="B89" s="402"/>
      <c r="C89" s="457"/>
      <c r="D89" s="1484"/>
      <c r="E89" s="234">
        <v>11.25</v>
      </c>
      <c r="F89" s="50" cm="1" t="str">
        <f t="array" ref="F89:F89">OFFSET(E89,-1,1)</f>
        <v>2</v>
      </c>
      <c r="G89" s="92" t="s">
        <v>661</v>
      </c>
      <c r="H89" s="92" cm="1" t="str">
        <f t="array" ref="H89:H89">H88</f>
        <v>0</v>
      </c>
      <c r="I89" s="1484"/>
      <c r="J89" s="1484"/>
      <c r="K89" s="1484"/>
      <c r="L89" s="1484"/>
      <c r="M89" s="1484"/>
      <c r="N89" s="1484"/>
      <c r="O89" s="1484"/>
      <c r="P89" s="1484"/>
      <c r="Q89" s="1484"/>
      <c r="R89" s="1484"/>
      <c r="S89" s="1484"/>
      <c r="T89" s="439" cm="1" t="str">
        <f t="array" ref="T89:T89">T88</f>
        <v>false</v>
      </c>
      <c r="U89" s="1484"/>
      <c r="V89" s="1484"/>
      <c r="W89" s="1484"/>
      <c r="X89" s="1462"/>
      <c r="Y89" s="1462"/>
      <c r="Z89" s="1484"/>
      <c r="AA89" s="1413"/>
      <c r="AB89" s="55" t="str">
        <f>AB85&amp;".2"</f>
        <v>7.0.2</v>
      </c>
      <c r="AC89" s="159" t="s">
        <v>821</v>
      </c>
      <c r="AD89" s="55" t="s">
        <v>815</v>
      </c>
      <c r="AE89" s="1764"/>
      <c r="AF89" s="1764"/>
      <c r="AG89" s="1764"/>
      <c r="AH89" s="1764"/>
      <c r="AI89" s="107"/>
      <c r="AJ89" s="1764"/>
      <c r="AK89" s="1764"/>
      <c r="AL89" s="1764"/>
      <c r="AM89" s="1764"/>
      <c r="AN89" s="1764"/>
      <c r="AO89" s="1764"/>
      <c r="AP89" s="1764"/>
      <c r="AQ89" s="1764"/>
      <c r="AR89" s="1764"/>
      <c r="AS89" s="107"/>
      <c r="AT89" s="1764"/>
      <c r="AU89" s="1764"/>
      <c r="AV89" s="1764"/>
      <c r="AW89" s="1764"/>
      <c r="AX89" s="1764"/>
      <c r="AY89" s="1764"/>
      <c r="AZ89" s="1764"/>
      <c r="BA89" s="1764"/>
      <c r="BB89" s="1764"/>
      <c r="BC89" s="1887"/>
      <c r="BD89" s="1484"/>
      <c r="BE89" s="1484"/>
      <c r="BF89" s="1014" t="s">
        <v>822</v>
      </c>
      <c r="BG89" s="1014" t="s">
        <v>813</v>
      </c>
      <c r="BH89" s="1014" cm="1" t="str">
        <f t="array" ref="BH89:BH89">BH88</f>
        <v>0</v>
      </c>
      <c r="BI89" s="234"/>
      <c r="BJ89" s="234"/>
    </row>
    <row s="1190" customFormat="1" customHeight="1" ht="10.5" hidden="1">
      <c r="A90" s="1484"/>
      <c r="B90" s="402"/>
      <c r="C90" s="457"/>
      <c r="D90" s="1484"/>
      <c r="E90" s="234">
        <v>11.25</v>
      </c>
      <c r="F90" s="50" cm="1" t="str">
        <f t="array" ref="F90:F90">OFFSET(E90,-1,1)</f>
        <v>2</v>
      </c>
      <c r="G90" s="92" t="s">
        <v>823</v>
      </c>
      <c r="H90" s="92" cm="1" t="str">
        <f t="array" ref="H90:H90">H89</f>
        <v>0</v>
      </c>
      <c r="I90" s="1484"/>
      <c r="J90" s="1484"/>
      <c r="K90" s="1484"/>
      <c r="L90" s="1484"/>
      <c r="M90" s="1484"/>
      <c r="N90" s="1484"/>
      <c r="O90" s="1484"/>
      <c r="P90" s="1484"/>
      <c r="Q90" s="1484"/>
      <c r="R90" s="1484"/>
      <c r="S90" s="1484"/>
      <c r="T90" s="439" cm="1" t="str">
        <f t="array" ref="T90:T90">T89</f>
        <v>false</v>
      </c>
      <c r="U90" s="1484"/>
      <c r="V90" s="1484"/>
      <c r="W90" s="1484"/>
      <c r="X90" s="1462"/>
      <c r="Y90" s="1462"/>
      <c r="Z90" s="1484"/>
      <c r="AA90" s="1413"/>
      <c r="AB90" s="55" t="str">
        <f>AB85&amp;".2.1"</f>
        <v>7.0.2.1</v>
      </c>
      <c r="AC90" s="299" t="s">
        <v>824</v>
      </c>
      <c r="AD90" s="58" t="s">
        <v>825</v>
      </c>
      <c r="AE90" s="158">
        <f>IF(OR(AND(AE89&lt;&gt;0,AE91=0),AND(AE89=0,AE91&lt;&gt;0)),"Ошибка",IF(AE91=0,0,AE89/AE91*1000/12))</f>
        <v>0</v>
      </c>
      <c r="AF90" s="158">
        <f>IF(OR(AND(AF89&lt;&gt;0,AF91=0),AND(AF89=0,AF91&lt;&gt;0)),"Ошибка",IF(AF91=0,0,AF89/AF91*1000/12))</f>
        <v>0</v>
      </c>
      <c r="AG90" s="158">
        <f>IF(OR(AND(AG89&lt;&gt;0,AG91=0),AND(AG89=0,AG91&lt;&gt;0)),"Ошибка",IF(AG91=0,0,AG89/AG91*1000/12))</f>
        <v>0</v>
      </c>
      <c r="AH90" s="158">
        <f>IF(OR(AND(AH89&lt;&gt;0,AH91=0),AND(AH89=0,AH91&lt;&gt;0)),"Ошибка",IF(AH91=0,0,AH89/AH91*1000/12))</f>
        <v>0</v>
      </c>
      <c r="AI90" s="158">
        <f>IF(OR(AND(AI89&lt;&gt;0,AI91=0),AND(AI89=0,AI91&lt;&gt;0)),"Ошибка",IF(AI91=0,0,AI89/AI91*1000/12))</f>
        <v>0</v>
      </c>
      <c r="AJ90" s="158">
        <f>IF(OR(AND(AJ89&lt;&gt;0,AJ91=0),AND(AJ89=0,AJ91&lt;&gt;0)),"Ошибка",IF(AJ91=0,0,AJ89/AJ91*1000/12))</f>
        <v>0</v>
      </c>
      <c r="AK90" s="158">
        <f>IF(OR(AND(AK89&lt;&gt;0,AK91=0),AND(AK89=0,AK91&lt;&gt;0)),"Ошибка",IF(AK91=0,0,AK89/AK91*1000/12))</f>
        <v>0</v>
      </c>
      <c r="AL90" s="158">
        <f>IF(OR(AND(AL89&lt;&gt;0,AL91=0),AND(AL89=0,AL91&lt;&gt;0)),"Ошибка",IF(AL91=0,0,AL89/AL91*1000/12))</f>
        <v>0</v>
      </c>
      <c r="AM90" s="158">
        <f>IF(OR(AND(AM89&lt;&gt;0,AM91=0),AND(AM89=0,AM91&lt;&gt;0)),"Ошибка",IF(AM91=0,0,AM89/AM91*1000/12))</f>
        <v>0</v>
      </c>
      <c r="AN90" s="158">
        <f>IF(OR(AND(AN89&lt;&gt;0,AN91=0),AND(AN89=0,AN91&lt;&gt;0)),"Ошибка",IF(AN91=0,0,AN89/AN91*1000/12))</f>
        <v>0</v>
      </c>
      <c r="AO90" s="158">
        <f>IF(OR(AND(AO89&lt;&gt;0,AO91=0),AND(AO89=0,AO91&lt;&gt;0)),"Ошибка",IF(AO91=0,0,AO89/AO91*1000/12))</f>
        <v>0</v>
      </c>
      <c r="AP90" s="158">
        <f>IF(OR(AND(AP89&lt;&gt;0,AP91=0),AND(AP89=0,AP91&lt;&gt;0)),"Ошибка",IF(AP91=0,0,AP89/AP91*1000/12))</f>
        <v>0</v>
      </c>
      <c r="AQ90" s="158">
        <f>IF(OR(AND(AQ89&lt;&gt;0,AQ91=0),AND(AQ89=0,AQ91&lt;&gt;0)),"Ошибка",IF(AQ91=0,0,AQ89/AQ91*1000/12))</f>
        <v>0</v>
      </c>
      <c r="AR90" s="158">
        <f>IF(OR(AND(AR89&lt;&gt;0,AR91=0),AND(AR89=0,AR91&lt;&gt;0)),"Ошибка",IF(AR91=0,0,AR89/AR91*1000/12))</f>
        <v>0</v>
      </c>
      <c r="AS90" s="158">
        <f>IF(OR(AND(AS89&lt;&gt;0,AS91=0),AND(AS89=0,AS91&lt;&gt;0)),"Ошибка",IF(AS91=0,0,AS89/AS91*1000/12))</f>
        <v>0</v>
      </c>
      <c r="AT90" s="158">
        <f>IF(OR(AND(AT89&lt;&gt;0,AT91=0),AND(AT89=0,AT91&lt;&gt;0)),"Ошибка",IF(AT91=0,0,AT89/AT91*1000/12))</f>
        <v>0</v>
      </c>
      <c r="AU90" s="158">
        <f>IF(OR(AND(AU89&lt;&gt;0,AU91=0),AND(AU89=0,AU91&lt;&gt;0)),"Ошибка",IF(AU91=0,0,AU89/AU91*1000/12))</f>
        <v>0</v>
      </c>
      <c r="AV90" s="158">
        <f>IF(OR(AND(AV89&lt;&gt;0,AV91=0),AND(AV89=0,AV91&lt;&gt;0)),"Ошибка",IF(AV91=0,0,AV89/AV91*1000/12))</f>
        <v>0</v>
      </c>
      <c r="AW90" s="158">
        <f>IF(OR(AND(AW89&lt;&gt;0,AW91=0),AND(AW89=0,AW91&lt;&gt;0)),"Ошибка",IF(AW91=0,0,AW89/AW91*1000/12))</f>
        <v>0</v>
      </c>
      <c r="AX90" s="158">
        <f>IF(OR(AND(AX89&lt;&gt;0,AX91=0),AND(AX89=0,AX91&lt;&gt;0)),"Ошибка",IF(AX91=0,0,AX89/AX91*1000/12))</f>
        <v>0</v>
      </c>
      <c r="AY90" s="158">
        <f>IF(OR(AND(AY89&lt;&gt;0,AY91=0),AND(AY89=0,AY91&lt;&gt;0)),"Ошибка",IF(AY91=0,0,AY89/AY91*1000/12))</f>
        <v>0</v>
      </c>
      <c r="AZ90" s="158">
        <f>IF(OR(AND(AZ89&lt;&gt;0,AZ91=0),AND(AZ89=0,AZ91&lt;&gt;0)),"Ошибка",IF(AZ91=0,0,AZ89/AZ91*1000/12))</f>
        <v>0</v>
      </c>
      <c r="BA90" s="158">
        <f>IF(OR(AND(BA89&lt;&gt;0,BA91=0),AND(BA89=0,BA91&lt;&gt;0)),"Ошибка",IF(BA91=0,0,BA89/BA91*1000/12))</f>
        <v>0</v>
      </c>
      <c r="BB90" s="158">
        <f>IF(OR(AND(BB89&lt;&gt;0,BB91=0),AND(BB89=0,BB91&lt;&gt;0)),"Ошибка",IF(BB91=0,0,BB89/BB91*1000/12))</f>
        <v>0</v>
      </c>
      <c r="BC90" s="1887"/>
      <c r="BD90" s="1484"/>
      <c r="BE90" s="1484"/>
      <c r="BF90" s="1014" t="s">
        <v>826</v>
      </c>
      <c r="BG90" s="1014" t="s">
        <v>813</v>
      </c>
      <c r="BH90" s="1014" cm="1" t="str">
        <f t="array" ref="BH90:BH90">BH89</f>
        <v>0</v>
      </c>
      <c r="BI90" s="234"/>
      <c r="BJ90" s="234"/>
    </row>
    <row s="1190" customFormat="1" customHeight="1" ht="10.5" hidden="1">
      <c r="A91" s="1484"/>
      <c r="B91" s="402"/>
      <c r="C91" s="457"/>
      <c r="D91" s="1484"/>
      <c r="E91" s="234">
        <v>11.25</v>
      </c>
      <c r="F91" s="50" cm="1" t="str">
        <f t="array" ref="F91:F91">OFFSET(E91,-1,1)</f>
        <v>2</v>
      </c>
      <c r="G91" s="92" t="s">
        <v>827</v>
      </c>
      <c r="H91" s="92" cm="1" t="str">
        <f t="array" ref="H91:H91">H90</f>
        <v>0</v>
      </c>
      <c r="I91" s="1484"/>
      <c r="J91" s="1484"/>
      <c r="K91" s="1484"/>
      <c r="L91" s="1484"/>
      <c r="M91" s="1484"/>
      <c r="N91" s="1484"/>
      <c r="O91" s="1484"/>
      <c r="P91" s="1484"/>
      <c r="Q91" s="1484"/>
      <c r="R91" s="1484"/>
      <c r="S91" s="1484"/>
      <c r="T91" s="439" cm="1" t="str">
        <f t="array" ref="T91:T91">T90</f>
        <v>false</v>
      </c>
      <c r="U91" s="1484"/>
      <c r="V91" s="1484"/>
      <c r="W91" s="1484"/>
      <c r="X91" s="1462"/>
      <c r="Y91" s="1462"/>
      <c r="Z91" s="1484"/>
      <c r="AA91" s="1413"/>
      <c r="AB91" s="55" t="str">
        <f>AB85&amp;".2.2"</f>
        <v>7.0.2.2</v>
      </c>
      <c r="AC91" s="299" t="s">
        <v>828</v>
      </c>
      <c r="AD91" s="58" t="s">
        <v>829</v>
      </c>
      <c r="AE91" s="1764"/>
      <c r="AF91" s="1764"/>
      <c r="AG91" s="1764"/>
      <c r="AH91" s="1764"/>
      <c r="AI91" s="107"/>
      <c r="AJ91" s="1764"/>
      <c r="AK91" s="1764"/>
      <c r="AL91" s="1764"/>
      <c r="AM91" s="1764"/>
      <c r="AN91" s="1764"/>
      <c r="AO91" s="1764"/>
      <c r="AP91" s="1764"/>
      <c r="AQ91" s="1764"/>
      <c r="AR91" s="1764"/>
      <c r="AS91" s="107"/>
      <c r="AT91" s="1764"/>
      <c r="AU91" s="1764"/>
      <c r="AV91" s="1764"/>
      <c r="AW91" s="1764"/>
      <c r="AX91" s="1764"/>
      <c r="AY91" s="1764"/>
      <c r="AZ91" s="1764"/>
      <c r="BA91" s="1764"/>
      <c r="BB91" s="1764"/>
      <c r="BC91" s="1887"/>
      <c r="BD91" s="1484"/>
      <c r="BE91" s="1484"/>
      <c r="BF91" s="1014" t="s">
        <v>830</v>
      </c>
      <c r="BG91" s="1014" t="s">
        <v>813</v>
      </c>
      <c r="BH91" s="1014" cm="1" t="str">
        <f t="array" ref="BH91:BH91">BH90</f>
        <v>0</v>
      </c>
      <c r="BI91" s="234"/>
      <c r="BJ91" s="234"/>
    </row>
    <row s="1168" customFormat="1" customHeight="1" ht="14.25">
      <c r="A92" s="1168"/>
      <c r="B92" s="400"/>
      <c r="C92" s="457"/>
      <c r="D92" s="1168"/>
      <c r="E92" s="612">
        <v>15</v>
      </c>
      <c r="F92" s="50" cm="1" t="str">
        <f t="array" ref="F92:F92">OFFSET(E92,-1,1)</f>
        <v>2</v>
      </c>
      <c r="G92" s="1168"/>
      <c r="H92" s="940" t="s">
        <v>831</v>
      </c>
      <c r="I92" s="1168"/>
      <c r="J92" s="1168"/>
      <c r="K92" s="1168"/>
      <c r="L92" s="1168"/>
      <c r="M92" s="1168"/>
      <c r="N92" s="1168"/>
      <c r="O92" s="1168"/>
      <c r="P92" s="1168"/>
      <c r="Q92" s="1168"/>
      <c r="R92" s="1168"/>
      <c r="S92" s="1168"/>
      <c r="T92" s="439">
        <f>F92&gt;0</f>
        <v>1</v>
      </c>
      <c r="U92" s="1168"/>
      <c r="V92" s="1168"/>
      <c r="W92" s="738" t="s">
        <v>832</v>
      </c>
      <c r="X92" s="1462"/>
      <c r="Y92" s="1168"/>
      <c r="Z92" s="1484"/>
      <c r="AA92" s="1168"/>
      <c r="AB92" s="142"/>
      <c r="AC92" s="145" t="s">
        <v>833</v>
      </c>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54"/>
      <c r="BD92" s="1168"/>
      <c r="BE92" s="1168"/>
      <c r="BF92" s="1001"/>
      <c r="BG92" s="1001"/>
      <c r="BH92" s="1001"/>
      <c r="BI92" s="612" t="s">
        <v>813</v>
      </c>
      <c r="BJ92" s="612"/>
    </row>
    <row customHeight="1" ht="10.96875">
      <c r="E93" s="639">
        <v>11.25</v>
      </c>
      <c r="U93" s="64" t="s">
        <v>177</v>
      </c>
      <c r="V93" s="106" t="s">
        <v>838</v>
      </c>
      <c r="AI93" s="676"/>
      <c r="AJ93" s="676"/>
      <c r="AK93" s="676"/>
      <c r="AL93" s="676"/>
      <c r="AM93" s="676"/>
      <c r="AN93" s="676"/>
      <c r="AO93" s="676"/>
      <c r="AP93" s="676"/>
      <c r="AQ93" s="676"/>
      <c r="AR93" s="676"/>
      <c r="AS93" s="676"/>
      <c r="AT93" s="676"/>
      <c r="AU93" s="676"/>
      <c r="AV93" s="676"/>
      <c r="AW93" s="676"/>
      <c r="AX93" s="676"/>
      <c r="AY93" s="676"/>
      <c r="AZ93" s="676"/>
      <c r="BA93" s="676"/>
      <c r="BB93" s="676"/>
    </row>
    <row customHeight="1" ht="14.625">
      <c r="E94" s="611">
        <v>15</v>
      </c>
      <c r="AB94" s="1531" t="s">
        <v>398</v>
      </c>
      <c r="AC94" s="1532"/>
      <c r="AD94" s="1532"/>
      <c r="AE94" s="1532"/>
      <c r="AF94" s="1532"/>
      <c r="AG94" s="1532"/>
      <c r="AH94" s="1532"/>
      <c r="AI94" s="1532"/>
      <c r="AJ94" s="1532"/>
      <c r="AK94" s="1532"/>
      <c r="AL94" s="1532"/>
      <c r="AM94" s="1532"/>
      <c r="AN94" s="1532"/>
      <c r="AO94" s="1532"/>
      <c r="AP94" s="1532"/>
      <c r="AQ94" s="1532"/>
      <c r="AR94" s="1532"/>
      <c r="AS94" s="1532"/>
      <c r="AT94" s="1532"/>
      <c r="AU94" s="1532"/>
      <c r="AV94" s="1532"/>
      <c r="AW94" s="1532"/>
      <c r="AX94" s="1532"/>
      <c r="AY94" s="1532"/>
      <c r="AZ94" s="1532"/>
      <c r="BA94" s="1532"/>
      <c r="BB94" s="1532"/>
      <c r="BC94" s="1533"/>
    </row>
    <row customHeight="1" ht="55.5">
      <c r="E95" s="611">
        <v>15</v>
      </c>
      <c r="AA95" s="641"/>
      <c r="AB95" s="1528" t="s">
        <v>839</v>
      </c>
      <c r="AC95" s="1529"/>
      <c r="AD95" s="1529"/>
      <c r="AE95" s="1529"/>
      <c r="AF95" s="1529"/>
      <c r="AG95" s="1529"/>
      <c r="AH95" s="1529"/>
      <c r="AI95" s="1529"/>
      <c r="AJ95" s="2462"/>
      <c r="AK95" s="2462"/>
      <c r="AL95" s="2462"/>
      <c r="AM95" s="2462"/>
      <c r="AN95" s="2462"/>
      <c r="AO95" s="2462"/>
      <c r="AP95" s="2462"/>
      <c r="AQ95" s="2462"/>
      <c r="AR95" s="2462"/>
      <c r="AS95" s="1529"/>
      <c r="AT95" s="2462"/>
      <c r="AU95" s="2462"/>
      <c r="AV95" s="2462"/>
      <c r="AW95" s="2462"/>
      <c r="AX95" s="2462"/>
      <c r="AY95" s="2462"/>
      <c r="AZ95" s="2462"/>
      <c r="BA95" s="2462"/>
      <c r="BB95" s="2462"/>
      <c r="BC95" s="1530"/>
    </row>
    <row customHeight="1" ht="14.625" hidden="1">
      <c r="A96" s="676"/>
      <c r="B96" s="1176"/>
      <c r="C96" s="1006"/>
      <c r="D96" s="676"/>
      <c r="E96" s="611">
        <v>15</v>
      </c>
      <c r="F96" s="676"/>
      <c r="G96" s="676"/>
      <c r="H96" s="676"/>
      <c r="I96" s="676"/>
      <c r="J96" s="676"/>
      <c r="K96" s="676"/>
      <c r="L96" s="676"/>
      <c r="M96" s="676"/>
      <c r="N96" s="676"/>
      <c r="O96" s="676"/>
      <c r="P96" s="676"/>
      <c r="Q96" s="676"/>
      <c r="R96" s="676"/>
      <c r="S96" s="676"/>
      <c r="T96" s="439">
        <f>ROW(W96)&gt;ROW(W$96)</f>
        <v>0</v>
      </c>
      <c r="U96" s="676"/>
      <c r="V96" s="676"/>
      <c r="W96" s="738" t="s">
        <v>173</v>
      </c>
      <c r="X96" s="676"/>
      <c r="Y96" s="676"/>
      <c r="Z96" s="676"/>
      <c r="AA96" s="652" t="s">
        <v>174</v>
      </c>
      <c r="AB96" s="2463" t="s">
        <v>222</v>
      </c>
      <c r="AC96" s="2462"/>
      <c r="AD96" s="2462"/>
      <c r="AE96" s="2462"/>
      <c r="AF96" s="2462"/>
      <c r="AG96" s="2462"/>
      <c r="AH96" s="2462"/>
      <c r="AI96" s="1529"/>
      <c r="AJ96" s="2462"/>
      <c r="AK96" s="2462"/>
      <c r="AL96" s="2462"/>
      <c r="AM96" s="2462"/>
      <c r="AN96" s="2462"/>
      <c r="AO96" s="2462"/>
      <c r="AP96" s="2462"/>
      <c r="AQ96" s="2462"/>
      <c r="AR96" s="2462"/>
      <c r="AS96" s="1529"/>
      <c r="AT96" s="2462"/>
      <c r="AU96" s="2462"/>
      <c r="AV96" s="2462"/>
      <c r="AW96" s="2462"/>
      <c r="AX96" s="2462"/>
      <c r="AY96" s="2462"/>
      <c r="AZ96" s="2462"/>
      <c r="BA96" s="2462"/>
      <c r="BB96" s="2462"/>
      <c r="BC96" s="2464"/>
      <c r="BD96" s="676"/>
      <c r="BE96" s="676"/>
      <c r="BF96" s="1061"/>
      <c r="BG96" s="1061"/>
      <c r="BH96" s="1061"/>
      <c r="BI96" s="697"/>
      <c r="BJ96" s="697"/>
    </row>
    <row s="1621" customFormat="1" customHeight="1" ht="30.75">
      <c r="A97" s="676"/>
      <c r="B97" s="1176"/>
      <c r="C97" s="1006"/>
      <c r="D97" s="676"/>
      <c r="E97" s="611">
        <v>15</v>
      </c>
      <c r="F97" s="676"/>
      <c r="G97" s="676"/>
      <c r="H97" s="676"/>
      <c r="I97" s="676"/>
      <c r="J97" s="676"/>
      <c r="K97" s="676"/>
      <c r="L97" s="676"/>
      <c r="M97" s="676"/>
      <c r="N97" s="676"/>
      <c r="O97" s="676"/>
      <c r="P97" s="676"/>
      <c r="Q97" s="676"/>
      <c r="R97" s="676"/>
      <c r="S97" s="676"/>
      <c r="T97" s="439">
        <f>ROW(W97)&gt;ROW(W$96)</f>
        <v>1</v>
      </c>
      <c r="U97" s="676"/>
      <c r="V97" s="676"/>
      <c r="W97" s="738"/>
      <c r="X97" s="676"/>
      <c r="Y97" s="676" t="s">
        <v>222</v>
      </c>
      <c r="Z97" s="676"/>
      <c r="AA97" s="652" t="s">
        <v>174</v>
      </c>
      <c r="AB97" s="1528" t="s">
        <v>840</v>
      </c>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30"/>
      <c r="BD97" s="676"/>
      <c r="BE97" s="676"/>
      <c r="BF97" s="1061"/>
      <c r="BG97" s="1061"/>
      <c r="BH97" s="1061"/>
      <c r="BI97" s="697"/>
      <c r="BJ97" s="697"/>
    </row>
    <row customHeight="1" ht="14.625">
      <c r="E98" s="611">
        <v>15</v>
      </c>
      <c r="W98" s="738" t="s">
        <v>399</v>
      </c>
      <c r="AA98" s="653"/>
      <c r="AB98" s="627"/>
      <c r="AC98" s="488" t="s">
        <v>400</v>
      </c>
      <c r="AD98" s="277"/>
      <c r="AE98" s="277"/>
      <c r="AF98" s="278"/>
      <c r="AG98" s="278"/>
      <c r="AH98" s="278"/>
      <c r="AI98" s="278"/>
      <c r="AJ98" s="278"/>
      <c r="AK98" s="278"/>
      <c r="AL98" s="278"/>
      <c r="AM98" s="278"/>
      <c r="AN98" s="278"/>
      <c r="AO98" s="278"/>
      <c r="AP98" s="278"/>
      <c r="AQ98" s="278"/>
      <c r="AR98" s="278"/>
      <c r="AS98" s="278"/>
      <c r="AT98" s="278"/>
      <c r="AU98" s="278"/>
      <c r="AV98" s="278"/>
      <c r="AW98" s="278"/>
      <c r="AX98" s="278"/>
      <c r="AY98" s="278"/>
      <c r="AZ98" s="278"/>
      <c r="BA98" s="278"/>
      <c r="BB98" s="278"/>
      <c r="BC98" s="279"/>
    </row>
    <row customHeight="1" ht="10.96875">
      <c r="E99" s="611">
        <v>11.25</v>
      </c>
      <c r="AA99" s="714"/>
      <c r="AB99" s="715"/>
      <c r="AI99" s="676"/>
      <c r="AJ99" s="676"/>
      <c r="AK99" s="676"/>
      <c r="AL99" s="676"/>
      <c r="AM99" s="676"/>
      <c r="AN99" s="676"/>
      <c r="AO99" s="676"/>
      <c r="AP99" s="676"/>
      <c r="AQ99" s="676"/>
      <c r="AR99" s="676"/>
      <c r="AS99" s="676"/>
      <c r="AT99" s="676"/>
      <c r="AU99" s="676"/>
      <c r="AV99" s="676"/>
      <c r="AW99" s="676"/>
      <c r="AX99" s="676"/>
      <c r="AY99" s="676"/>
      <c r="AZ99" s="676"/>
      <c r="BA99" s="676"/>
      <c r="BB99" s="676"/>
      <c r="BD99" s="399"/>
    </row>
  </sheetData>
  <sheetProtection formatColumns="0" formatRows="0" insertRows="0" deleteColumns="0" deleteRows="0" sort="0" autoFilter="0" insertColumns="1"/>
  <mergeCells count="30">
    <mergeCell ref="AB96:BC96"/>
    <mergeCell ref="AB24:AB25"/>
    <mergeCell ref="AC24:AC25"/>
    <mergeCell ref="AD24:AD25"/>
    <mergeCell ref="BC24:BC25"/>
    <mergeCell ref="X27:X46"/>
    <mergeCell ref="Z27:Z46"/>
    <mergeCell ref="AB94:BC94"/>
    <mergeCell ref="AB95:BC95"/>
    <mergeCell ref="AA34:AA36"/>
    <mergeCell ref="AA39:AA45"/>
    <mergeCell ref="Y34:Y36"/>
    <mergeCell ref="Y39:Y45"/>
    <mergeCell ref="X47:X69"/>
    <mergeCell ref="Z47:Z69"/>
    <mergeCell ref="AA54:AA56"/>
    <mergeCell ref="AA62:AA68"/>
    <mergeCell ref="Y54:Y56"/>
    <mergeCell ref="Y62:Y68"/>
    <mergeCell ref="AA57:AA59"/>
    <mergeCell ref="Y57:Y59"/>
    <mergeCell ref="X70:X92"/>
    <mergeCell ref="Z70:Z92"/>
    <mergeCell ref="AA77:AA79"/>
    <mergeCell ref="AA85:AA91"/>
    <mergeCell ref="Y77:Y79"/>
    <mergeCell ref="Y85:Y91"/>
    <mergeCell ref="AA80:AA82"/>
    <mergeCell ref="Y80:Y82"/>
    <mergeCell ref="AB97:BC97"/>
  </mergeCells>
  <dataValidations count="3">
    <dataValidation type="list" allowBlank="1" showInputMessage="1" showErrorMessage="1" errorTitle="Ошибка" error="Выберите значение из списка" prompt="Выберите значение из списка" sqref="AC39 AC62 AC85">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77 AC8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AE77 AF77 AG77 AH77 AI77 AJ77 AK77 AL77 AM77 AN77 AO77 AP77 AQ77 AR77 AS77 AT77 AU77 AV77 AW77 AX77 AY77 AZ77 BA77 BB77 AE79:AE80 AE82 AF79:AF80 AF82 AG79:AG80 AG82 AH79:AH80 AH82 AI79:AI80 AI82 AJ79:AJ80 AJ82 AK79:AK80 AK82 AL79:AL80 AL82 AM79:AM80 AM82 AN79:AN80 AN82 AO79:AO80 AO82 AP79:AP80 AP82 AQ79:AQ80 AQ82 AR79:AR80 AR82 AS79:AS80 AS82 AT79:AT80 AT82 AU79:AU80 AU82 AV79:AV80 AV82 AW79:AW80 AW82 AX79:AX80 AX82 AY79:AY80 AY82 AZ79:AZ80 AZ82 BA79:BA80 BA82 BB79:BB80 BB82 AE86 AF86 AG86 AH86 AI86 AJ86 AK86 AL86 AM86 AN86 AO86 AP86 AQ86 AR86 AS86 AT86 AU86 AV86 AW86 AX86 AY86 AZ86 BA86 BB86 AE88 AF88 AG88 AH88 AI88 AJ88 AK88 AL88 AM88 AN88 AO88 AP88 AQ88 AR88 AS88 AT88 AU88 AV88 AW88 AX88 AY88 AZ88 BA88 BB88 AE89 AF89 AG89 AH89 AI89 AJ89 AK89 AL89 AM89 AN89 AO89 AP89 AQ89 AR89 AS89 AT89 AU89 AV89 AW89 AX89 AY89 AZ89 BA89 BB89 AE91 AF91 AG91 AH91 AI91 AJ91 AK91 AL91 AM91 AN91 AO91 AP91 AQ91 AR91 AS91 AT91 AU91 AV91 AW91 AX91 AY91 AZ91 BA91 BB91">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F7FE17-FF25-E7E8-FAD1-6A219E1CDD34}" mc:Ignorable="x14ac xr xr2 xr3">
  <sheetPr>
    <tabColor rgb="FF002060"/>
    <outlinePr summaryRight="0" summaryBelow="0"/>
    <pageSetUpPr fitToPage="1"/>
  </sheetPr>
  <dimension ref="A1:BF182"/>
  <sheetViews>
    <sheetView showGridLines="0" workbookViewId="0">
      <pane xSplit="30" ySplit="25" topLeftCell="AE172" activePane="bottomRight" state="frozen"/>
      <selection pane="bottomLeft" activeCell="A26" sqref="A26"/>
      <selection pane="topRight" activeCell="AE1" sqref="AE1"/>
      <selection pane="bottomRight" activeCell="AA181" sqref="AA181"/>
    </sheetView>
  </sheetViews>
  <sheetFormatPr defaultColWidth="8.7109375" customHeight="1" defaultRowHeight="11.25"/>
  <cols>
    <col min="1" max="1" style="1248" width="3.57421875" hidden="1" customWidth="1"/>
    <col min="2" max="2" style="1160" width="6.7109375" hidden="1" customWidth="1"/>
    <col min="3" max="4" style="1248" width="3.57421875" hidden="1" customWidth="1"/>
    <col min="5" max="5" style="1163" width="7.8515625" hidden="1" customWidth="1"/>
    <col min="6" max="19" style="1248" width="3.57421875" hidden="1" customWidth="1"/>
    <col min="20" max="20" style="1248" width="11.140625" hidden="1" customWidth="1"/>
    <col min="21" max="21" style="1248" width="5.8515625" hidden="1" customWidth="1"/>
    <col min="22" max="23" style="1248" width="6.140625" hidden="1" customWidth="1"/>
    <col min="24" max="25" style="1248" width="5.57421875" hidden="1" customWidth="1"/>
    <col min="26" max="26" style="1248" width="5.28125" hidden="1" customWidth="1"/>
    <col min="27" max="27" style="1248" width="3.00390625" customWidth="1"/>
    <col min="28" max="28" style="1248" width="11.00390625" customWidth="1"/>
    <col min="29" max="29" style="1248" width="41.7109375" customWidth="1"/>
    <col min="30" max="30" style="1535" width="11.00390625" customWidth="1"/>
    <col min="31" max="35" style="1535" width="12.57421875" customWidth="1"/>
    <col min="36" max="44" style="1535" width="12.57421875" hidden="1" customWidth="1"/>
    <col min="45" max="45" style="1535" width="12.57421875" customWidth="1"/>
    <col min="46" max="54" style="1535" width="12.57421875" hidden="1" customWidth="1"/>
    <col min="55" max="55" style="1248" width="20.00390625" customWidth="1"/>
    <col min="56" max="56" style="1248" width="3.00390625" customWidth="1"/>
    <col min="57" max="57" style="1248" width="8.7109375" hidden="1"/>
    <col min="58" max="58" style="1166" width="8.7109375" hidden="1"/>
  </cols>
  <sheetData>
    <row customHeight="1" ht="11.25" hidden="1">
      <c r="E1" s="70"/>
      <c r="F1" s="70" t="s">
        <v>313</v>
      </c>
      <c r="G1" s="70" t="s">
        <v>324</v>
      </c>
      <c r="T1" s="439" t="s">
        <v>92</v>
      </c>
      <c r="U1" s="439" t="s">
        <v>97</v>
      </c>
      <c r="V1" s="439" t="s">
        <v>93</v>
      </c>
      <c r="W1" s="439" t="s">
        <v>94</v>
      </c>
      <c r="X1" s="439" t="s">
        <v>95</v>
      </c>
      <c r="Y1" s="441" t="s">
        <v>315</v>
      </c>
      <c r="Z1" s="439" t="s">
        <v>99</v>
      </c>
      <c r="AA1" s="440" t="s">
        <v>96</v>
      </c>
      <c r="AB1" s="51"/>
      <c r="AC1" s="440" t="s">
        <v>98</v>
      </c>
      <c r="AI1" s="1535"/>
      <c r="AJ1" s="1535"/>
      <c r="AK1" s="1535"/>
      <c r="AL1" s="1535"/>
      <c r="AM1" s="1535"/>
      <c r="AN1" s="1535"/>
      <c r="AO1" s="1535"/>
      <c r="AP1" s="1535"/>
      <c r="AQ1" s="1535"/>
      <c r="AR1" s="1535"/>
      <c r="AS1" s="1535"/>
      <c r="AT1" s="1535"/>
      <c r="AU1" s="1535"/>
      <c r="AV1" s="1535"/>
      <c r="AW1" s="1535"/>
      <c r="AX1" s="1535"/>
      <c r="AY1" s="1535"/>
      <c r="AZ1" s="1535"/>
      <c r="BA1" s="1535"/>
      <c r="BB1" s="1535"/>
      <c r="BF1" s="983" t="s">
        <v>316</v>
      </c>
    </row>
    <row s="1160" customFormat="1" customHeight="1" ht="11.25" hidden="1">
      <c r="B2" s="419"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2"/>
    </row>
    <row customHeight="1" ht="11.25" hidden="1">
      <c r="E3" s="70"/>
      <c r="AI3" s="1535"/>
      <c r="AJ3" s="1535"/>
      <c r="AK3" s="1535"/>
      <c r="AL3" s="1535"/>
      <c r="AM3" s="1535"/>
      <c r="AN3" s="1535"/>
      <c r="AO3" s="1535"/>
      <c r="AP3" s="1535"/>
      <c r="AQ3" s="1535"/>
      <c r="AR3" s="1535"/>
      <c r="AS3" s="1535"/>
      <c r="AT3" s="1535"/>
      <c r="AU3" s="1535"/>
      <c r="AV3" s="1535"/>
      <c r="AW3" s="1535"/>
      <c r="AX3" s="1535"/>
      <c r="AY3" s="1535"/>
      <c r="AZ3" s="1535"/>
      <c r="BA3" s="1535"/>
      <c r="BB3" s="1535"/>
    </row>
    <row customHeight="1" ht="11.25" hidden="1">
      <c r="E4" s="70"/>
      <c r="AI4" s="1535"/>
      <c r="AJ4" s="1535"/>
      <c r="AK4" s="1535"/>
      <c r="AL4" s="1535"/>
      <c r="AM4" s="1535"/>
      <c r="AN4" s="1535"/>
      <c r="AO4" s="1535"/>
      <c r="AP4" s="1535"/>
      <c r="AQ4" s="1535"/>
      <c r="AR4" s="1535"/>
      <c r="AS4" s="1535"/>
      <c r="AT4" s="1535"/>
      <c r="AU4" s="1535"/>
      <c r="AV4" s="1535"/>
      <c r="AW4" s="1535"/>
      <c r="AX4" s="1535"/>
      <c r="AY4" s="1535"/>
      <c r="AZ4" s="1535"/>
      <c r="BA4" s="1535"/>
      <c r="BB4" s="1535"/>
    </row>
    <row s="1163" customFormat="1" customHeight="1" ht="11.25" hidden="1">
      <c r="A5" s="70"/>
      <c r="B5" s="401"/>
      <c r="C5" s="70"/>
      <c r="D5" s="70"/>
      <c r="E5" s="607" t="s">
        <v>19</v>
      </c>
      <c r="T5" s="598"/>
      <c r="AA5" s="607">
        <v>3</v>
      </c>
      <c r="AB5" s="607">
        <v>11</v>
      </c>
      <c r="AC5" s="607">
        <v>41.71</v>
      </c>
      <c r="AD5" s="650">
        <v>11</v>
      </c>
      <c r="AE5" s="650">
        <v>12.57</v>
      </c>
      <c r="AF5" s="650">
        <v>12.57</v>
      </c>
      <c r="AG5" s="650">
        <v>12.57</v>
      </c>
      <c r="AH5" s="650">
        <v>12.57</v>
      </c>
      <c r="AI5" s="650">
        <v>12.57</v>
      </c>
      <c r="AJ5" s="650">
        <v>12.57</v>
      </c>
      <c r="AK5" s="650">
        <v>12.57</v>
      </c>
      <c r="AL5" s="650">
        <v>12.57</v>
      </c>
      <c r="AM5" s="650">
        <v>12.57</v>
      </c>
      <c r="AN5" s="650">
        <v>12.57</v>
      </c>
      <c r="AO5" s="650">
        <v>12.57</v>
      </c>
      <c r="AP5" s="650">
        <v>12.57</v>
      </c>
      <c r="AQ5" s="650">
        <v>12.57</v>
      </c>
      <c r="AR5" s="650">
        <v>12.57</v>
      </c>
      <c r="AS5" s="650">
        <v>12.57</v>
      </c>
      <c r="AT5" s="650">
        <v>12.57</v>
      </c>
      <c r="AU5" s="650">
        <v>12.57</v>
      </c>
      <c r="AV5" s="650">
        <v>12.57</v>
      </c>
      <c r="AW5" s="650">
        <v>12.57</v>
      </c>
      <c r="AX5" s="650">
        <v>12.57</v>
      </c>
      <c r="AY5" s="650">
        <v>12.57</v>
      </c>
      <c r="AZ5" s="650">
        <v>12.57</v>
      </c>
      <c r="BA5" s="650">
        <v>12.57</v>
      </c>
      <c r="BB5" s="650">
        <v>12.57</v>
      </c>
      <c r="BC5" s="607">
        <v>20</v>
      </c>
      <c r="BD5" s="607">
        <v>3</v>
      </c>
      <c r="BF5" s="983"/>
    </row>
    <row customHeight="1" ht="11.25" hidden="1">
      <c r="A6" s="70" t="s">
        <v>354</v>
      </c>
      <c r="AE6" s="94">
        <f>god-2</f>
        <v>2024</v>
      </c>
      <c r="AF6" s="94">
        <f>god-2</f>
        <v>2024</v>
      </c>
      <c r="AG6" s="94">
        <f>god-2</f>
        <v>2024</v>
      </c>
      <c r="AH6" s="9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70" t="s">
        <v>355</v>
      </c>
      <c r="AE7" s="342" cm="1" t="str">
        <f t="array" ref="AE7:AE7">AE25</f>
        <v>Принято органом регулирования</v>
      </c>
      <c r="AF7" s="342" cm="1" t="str">
        <f t="array" ref="AF7:AF7">AF25</f>
        <v>Факт по данным организации</v>
      </c>
      <c r="AG7" s="342" cm="1" t="str">
        <f t="array" ref="AG7:AG7">AG25</f>
        <v>Факт, принятый органом регулирования</v>
      </c>
      <c r="AH7" s="342" cm="1" t="str">
        <f t="array" ref="AH7:AH7">AH25</f>
        <v>Принято органом регулирования</v>
      </c>
      <c r="AI7" s="342" cm="1" t="str">
        <f t="array" ref="AI7:AI7">AI25</f>
        <v>Предложение организации</v>
      </c>
      <c r="AJ7" s="342" cm="1" t="str">
        <f t="array" ref="AJ7:AJ7">AJ25</f>
        <v>Предложение организации</v>
      </c>
      <c r="AK7" s="342" cm="1" t="str">
        <f t="array" ref="AK7:AK7">AK25</f>
        <v>Предложение организации</v>
      </c>
      <c r="AL7" s="342" cm="1" t="str">
        <f t="array" ref="AL7:AL7">AL25</f>
        <v>Предложение организации</v>
      </c>
      <c r="AM7" s="342" cm="1" t="str">
        <f t="array" ref="AM7:AM7">AM25</f>
        <v>Предложение организации</v>
      </c>
      <c r="AN7" s="342" cm="1" t="str">
        <f t="array" ref="AN7:AN7">AN25</f>
        <v>Предложение организации</v>
      </c>
      <c r="AO7" s="342" cm="1" t="str">
        <f t="array" ref="AO7:AO7">AO25</f>
        <v>Предложение организации</v>
      </c>
      <c r="AP7" s="342" cm="1" t="str">
        <f t="array" ref="AP7:AP7">AP25</f>
        <v>Предложение организации</v>
      </c>
      <c r="AQ7" s="342" cm="1" t="str">
        <f t="array" ref="AQ7:AQ7">AQ25</f>
        <v>Предложение организации</v>
      </c>
      <c r="AR7" s="342" cm="1" t="str">
        <f t="array" ref="AR7:AR7">AR25</f>
        <v>Предложение организации</v>
      </c>
      <c r="AS7" s="342" cm="1" t="str">
        <f t="array" ref="AS7:AS7">AS25</f>
        <v>Принято органом регулирования</v>
      </c>
      <c r="AT7" s="342" cm="1" t="str">
        <f t="array" ref="AT7:AT7">AT25</f>
        <v>Принято органом регулирования</v>
      </c>
      <c r="AU7" s="342" cm="1" t="str">
        <f t="array" ref="AU7:AU7">AU25</f>
        <v>Принято органом регулирования</v>
      </c>
      <c r="AV7" s="342" cm="1" t="str">
        <f t="array" ref="AV7:AV7">AV25</f>
        <v>Принято органом регулирования</v>
      </c>
      <c r="AW7" s="342" cm="1" t="str">
        <f t="array" ref="AW7:AW7">AW25</f>
        <v>Принято органом регулирования</v>
      </c>
      <c r="AX7" s="342" cm="1" t="str">
        <f t="array" ref="AX7:AX7">AX25</f>
        <v>Принято органом регулирования</v>
      </c>
      <c r="AY7" s="342" cm="1" t="str">
        <f t="array" ref="AY7:AY7">AY25</f>
        <v>Принято органом регулирования</v>
      </c>
      <c r="AZ7" s="342" cm="1" t="str">
        <f t="array" ref="AZ7:AZ7">AZ25</f>
        <v>Принято органом регулирования</v>
      </c>
      <c r="BA7" s="342" cm="1" t="str">
        <f t="array" ref="BA7:BA7">BA25</f>
        <v>Принято органом регулирования</v>
      </c>
      <c r="BB7" s="342" cm="1" t="str">
        <f t="array" ref="BB7:BB7">BB25</f>
        <v>Принято органом регулирования</v>
      </c>
    </row>
    <row customHeight="1" ht="11.25" hidden="1">
      <c r="AI8" s="1535"/>
      <c r="AJ8" s="1535"/>
      <c r="AK8" s="1535"/>
      <c r="AL8" s="1535"/>
      <c r="AM8" s="1535"/>
      <c r="AN8" s="1535"/>
      <c r="AO8" s="1535"/>
      <c r="AP8" s="1535"/>
      <c r="AQ8" s="1535"/>
      <c r="AR8" s="1535"/>
      <c r="AS8" s="1535"/>
      <c r="AT8" s="1535"/>
      <c r="AU8" s="1535"/>
      <c r="AV8" s="1535"/>
      <c r="AW8" s="1535"/>
      <c r="AX8" s="1535"/>
      <c r="AY8" s="1535"/>
      <c r="AZ8" s="1535"/>
      <c r="BA8" s="1535"/>
      <c r="BB8" s="1535"/>
    </row>
    <row s="1166" customFormat="1" customHeight="1" ht="11.25" hidden="1">
      <c r="A9" s="998" t="s">
        <v>359</v>
      </c>
      <c r="B9" s="992"/>
      <c r="AD9" s="1017"/>
      <c r="AE9" s="1017" cm="1" t="str">
        <f t="array" ref="AE9:AE9">AE6</f>
        <v>2024</v>
      </c>
      <c r="AF9" s="1017" cm="1" t="str">
        <f t="array" ref="AF9:AF9">AF6</f>
        <v>2024</v>
      </c>
      <c r="AG9" s="1017" cm="1" t="str">
        <f t="array" ref="AG9:AG9">AG6</f>
        <v>2024</v>
      </c>
      <c r="AH9" s="1017" cm="1" t="str">
        <f t="array" ref="AH9:AH9">AH6</f>
        <v>2025</v>
      </c>
      <c r="AI9" s="1017" cm="1" t="str">
        <f t="array" ref="AI9:AI9">AI6</f>
        <v>2026</v>
      </c>
      <c r="AJ9" s="1017" cm="1" t="str">
        <f t="array" ref="AJ9:AJ9">AJ6</f>
        <v>2027</v>
      </c>
      <c r="AK9" s="1017" cm="1" t="str">
        <f t="array" ref="AK9:AK9">AK6</f>
        <v>2028</v>
      </c>
      <c r="AL9" s="1017" cm="1" t="str">
        <f t="array" ref="AL9:AL9">AL6</f>
        <v>2029</v>
      </c>
      <c r="AM9" s="1017" cm="1" t="str">
        <f t="array" ref="AM9:AM9">AM6</f>
        <v>2030</v>
      </c>
      <c r="AN9" s="1017" cm="1" t="str">
        <f t="array" ref="AN9:AN9">AN6</f>
        <v>2031</v>
      </c>
      <c r="AO9" s="1017" cm="1" t="str">
        <f t="array" ref="AO9:AO9">AO6</f>
        <v>2032</v>
      </c>
      <c r="AP9" s="1017" cm="1" t="str">
        <f t="array" ref="AP9:AP9">AP6</f>
        <v>2033</v>
      </c>
      <c r="AQ9" s="1017" cm="1" t="str">
        <f t="array" ref="AQ9:AQ9">AQ6</f>
        <v>2034</v>
      </c>
      <c r="AR9" s="1017" cm="1" t="str">
        <f t="array" ref="AR9:AR9">AR6</f>
        <v>2035</v>
      </c>
      <c r="AS9" s="1017" cm="1" t="str">
        <f t="array" ref="AS9:AS9">AS6</f>
        <v>2026</v>
      </c>
      <c r="AT9" s="1017" cm="1" t="str">
        <f t="array" ref="AT9:AT9">AT6</f>
        <v>2027</v>
      </c>
      <c r="AU9" s="1017" cm="1" t="str">
        <f t="array" ref="AU9:AU9">AU6</f>
        <v>2028</v>
      </c>
      <c r="AV9" s="1017" cm="1" t="str">
        <f t="array" ref="AV9:AV9">AV6</f>
        <v>2029</v>
      </c>
      <c r="AW9" s="1017" cm="1" t="str">
        <f t="array" ref="AW9:AW9">AW6</f>
        <v>2030</v>
      </c>
      <c r="AX9" s="1017" cm="1" t="str">
        <f t="array" ref="AX9:AX9">AX6</f>
        <v>2031</v>
      </c>
      <c r="AY9" s="1017" cm="1" t="str">
        <f t="array" ref="AY9:AY9">AY6</f>
        <v>2032</v>
      </c>
      <c r="AZ9" s="1017" cm="1" t="str">
        <f t="array" ref="AZ9:AZ9">AZ6</f>
        <v>2033</v>
      </c>
      <c r="BA9" s="1017" cm="1" t="str">
        <f t="array" ref="BA9:BA9">BA6</f>
        <v>2034</v>
      </c>
      <c r="BB9" s="1017" cm="1" t="str">
        <f t="array" ref="BB9:BB9">BB6</f>
        <v>2035</v>
      </c>
    </row>
    <row s="1166" customFormat="1" customHeight="1" ht="11.25" hidden="1">
      <c r="A10" s="998" t="s">
        <v>360</v>
      </c>
      <c r="B10" s="992"/>
      <c r="AD10" s="1017"/>
      <c r="AE10" s="1017" cm="1" t="str">
        <f t="array" ref="AE10:AE10">AE25</f>
        <v>Принято органом регулирования</v>
      </c>
      <c r="AF10" s="1017" cm="1" t="str">
        <f t="array" ref="AF10:AF10">AF25</f>
        <v>Факт по данным организации</v>
      </c>
      <c r="AG10" s="1017" cm="1" t="str">
        <f t="array" ref="AG10:AG10">AG25</f>
        <v>Факт, принятый органом регулирования</v>
      </c>
      <c r="AH10" s="1017" cm="1" t="str">
        <f t="array" ref="AH10:AH10">AH25</f>
        <v>Принято органом регулирования</v>
      </c>
      <c r="AI10" s="1017" cm="1" t="str">
        <f t="array" ref="AI10:AI10">AI25</f>
        <v>Предложение организации</v>
      </c>
      <c r="AJ10" s="1017" cm="1" t="str">
        <f t="array" ref="AJ10:AJ10">AJ25</f>
        <v>Предложение организации</v>
      </c>
      <c r="AK10" s="1017" cm="1" t="str">
        <f t="array" ref="AK10:AK10">AK25</f>
        <v>Предложение организации</v>
      </c>
      <c r="AL10" s="1017" cm="1" t="str">
        <f t="array" ref="AL10:AL10">AL25</f>
        <v>Предложение организации</v>
      </c>
      <c r="AM10" s="1017" cm="1" t="str">
        <f t="array" ref="AM10:AM10">AM25</f>
        <v>Предложение организации</v>
      </c>
      <c r="AN10" s="1017" cm="1" t="str">
        <f t="array" ref="AN10:AN10">AN25</f>
        <v>Предложение организации</v>
      </c>
      <c r="AO10" s="1017" cm="1" t="str">
        <f t="array" ref="AO10:AO10">AO25</f>
        <v>Предложение организации</v>
      </c>
      <c r="AP10" s="1017" cm="1" t="str">
        <f t="array" ref="AP10:AP10">AP25</f>
        <v>Предложение организации</v>
      </c>
      <c r="AQ10" s="1017" cm="1" t="str">
        <f t="array" ref="AQ10:AQ10">AQ25</f>
        <v>Предложение организации</v>
      </c>
      <c r="AR10" s="1017" cm="1" t="str">
        <f t="array" ref="AR10:AR10">AR25</f>
        <v>Предложение организации</v>
      </c>
      <c r="AS10" s="1017" cm="1" t="str">
        <f t="array" ref="AS10:AS10">AS25</f>
        <v>Принято органом регулирования</v>
      </c>
      <c r="AT10" s="1017" cm="1" t="str">
        <f t="array" ref="AT10:AT10">AT25</f>
        <v>Принято органом регулирования</v>
      </c>
      <c r="AU10" s="1017" cm="1" t="str">
        <f t="array" ref="AU10:AU10">AU25</f>
        <v>Принято органом регулирования</v>
      </c>
      <c r="AV10" s="1017" cm="1" t="str">
        <f t="array" ref="AV10:AV10">AV25</f>
        <v>Принято органом регулирования</v>
      </c>
      <c r="AW10" s="1017" cm="1" t="str">
        <f t="array" ref="AW10:AW10">AW25</f>
        <v>Принято органом регулирования</v>
      </c>
      <c r="AX10" s="1017" cm="1" t="str">
        <f t="array" ref="AX10:AX10">AX25</f>
        <v>Принято органом регулирования</v>
      </c>
      <c r="AY10" s="1017" cm="1" t="str">
        <f t="array" ref="AY10:AY10">AY25</f>
        <v>Принято органом регулирования</v>
      </c>
      <c r="AZ10" s="1017" cm="1" t="str">
        <f t="array" ref="AZ10:AZ10">AZ25</f>
        <v>Принято органом регулирования</v>
      </c>
      <c r="BA10" s="1017" cm="1" t="str">
        <f t="array" ref="BA10:BA10">BA25</f>
        <v>Принято органом регулирования</v>
      </c>
      <c r="BB10" s="1017" cm="1" t="str">
        <f t="array" ref="BB10:BB10">BB25</f>
        <v>Принято органом регулирования</v>
      </c>
    </row>
    <row s="1166" customFormat="1" customHeight="1" ht="11.25" hidden="1">
      <c r="A11" s="998" t="s">
        <v>361</v>
      </c>
      <c r="B11" s="992"/>
      <c r="AD11" s="1017"/>
      <c r="AE11" s="1017"/>
      <c r="AF11" s="1017"/>
      <c r="AG11" s="1017"/>
      <c r="AH11" s="1017"/>
      <c r="AI11" s="1017"/>
      <c r="AJ11" s="1017"/>
      <c r="AK11" s="1017"/>
      <c r="AL11" s="1017"/>
      <c r="AM11" s="1017"/>
      <c r="AN11" s="1017"/>
      <c r="AO11" s="1017"/>
      <c r="AP11" s="1017"/>
      <c r="AQ11" s="1017"/>
      <c r="AR11" s="1017"/>
      <c r="AS11" s="1017"/>
      <c r="AT11" s="1017"/>
      <c r="AU11" s="1017"/>
      <c r="AV11" s="1017"/>
      <c r="AW11" s="1017"/>
      <c r="AX11" s="1017"/>
      <c r="AY11" s="1017"/>
      <c r="AZ11" s="1017"/>
      <c r="BA11" s="1017"/>
      <c r="BB11" s="1017"/>
      <c r="BC11" s="983" cm="1" t="str">
        <f t="array" ref="BC11:BC11">BC24</f>
        <v>Ссылка на правовую норму (основание для принятия показателя в расчет тарифа)</v>
      </c>
    </row>
    <row customHeight="1" ht="11.25" hidden="1">
      <c r="AI12" s="1535"/>
      <c r="AJ12" s="1535"/>
      <c r="AK12" s="1535"/>
      <c r="AL12" s="1535"/>
      <c r="AM12" s="1535"/>
      <c r="AN12" s="1535"/>
      <c r="AO12" s="1535"/>
      <c r="AP12" s="1535"/>
      <c r="AQ12" s="1535"/>
      <c r="AR12" s="1535"/>
      <c r="AS12" s="1535"/>
      <c r="AT12" s="1535"/>
      <c r="AU12" s="1535"/>
      <c r="AV12" s="1535"/>
      <c r="AW12" s="1535"/>
      <c r="AX12" s="1535"/>
      <c r="AY12" s="1535"/>
      <c r="AZ12" s="1535"/>
      <c r="BA12" s="1535"/>
      <c r="BB12" s="1535"/>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535"/>
      <c r="AJ17" s="1535"/>
      <c r="AK17" s="1535"/>
      <c r="AL17" s="1535"/>
      <c r="AM17" s="1535"/>
      <c r="AN17" s="1535"/>
      <c r="AO17" s="1535"/>
      <c r="AP17" s="1535"/>
      <c r="AQ17" s="1535"/>
      <c r="AR17" s="1535"/>
      <c r="AS17" s="1535"/>
      <c r="AT17" s="1535"/>
      <c r="AU17" s="1535"/>
      <c r="AV17" s="1535"/>
      <c r="AW17" s="1535"/>
      <c r="AX17" s="1535"/>
      <c r="AY17" s="1535"/>
      <c r="AZ17" s="1535"/>
      <c r="BA17" s="1535"/>
      <c r="BB17" s="1535"/>
    </row>
    <row customHeight="1" ht="11.25" hidden="1">
      <c r="AI18" s="1535"/>
      <c r="AJ18" s="1535"/>
      <c r="AK18" s="1535"/>
      <c r="AL18" s="1535"/>
      <c r="AM18" s="1535"/>
      <c r="AN18" s="1535"/>
      <c r="AO18" s="1535"/>
      <c r="AP18" s="1535"/>
      <c r="AQ18" s="1535"/>
      <c r="AR18" s="1535"/>
      <c r="AS18" s="1535"/>
      <c r="AT18" s="1535"/>
      <c r="AU18" s="1535"/>
      <c r="AV18" s="1535"/>
      <c r="AW18" s="1535"/>
      <c r="AX18" s="1535"/>
      <c r="AY18" s="1535"/>
      <c r="AZ18" s="1535"/>
      <c r="BA18" s="1535"/>
      <c r="BB18" s="1535"/>
    </row>
    <row customHeight="1" ht="11.25" hidden="1">
      <c r="AI19" s="1535"/>
      <c r="AJ19" s="1535"/>
      <c r="AK19" s="1535"/>
      <c r="AL19" s="1535"/>
      <c r="AM19" s="1535"/>
      <c r="AN19" s="1535"/>
      <c r="AO19" s="1535"/>
      <c r="AP19" s="1535"/>
      <c r="AQ19" s="1535"/>
      <c r="AR19" s="1535"/>
      <c r="AS19" s="1535"/>
      <c r="AT19" s="1535"/>
      <c r="AU19" s="1535"/>
      <c r="AV19" s="1535"/>
      <c r="AW19" s="1535"/>
      <c r="AX19" s="1535"/>
      <c r="AY19" s="1535"/>
      <c r="AZ19" s="1535"/>
      <c r="BA19" s="1535"/>
      <c r="BB19" s="1535"/>
    </row>
    <row customHeight="1" ht="11.25" hidden="1">
      <c r="AI20" s="1535"/>
      <c r="AJ20" s="1535"/>
      <c r="AK20" s="1535"/>
      <c r="AL20" s="1535"/>
      <c r="AM20" s="1535"/>
      <c r="AN20" s="1535"/>
      <c r="AO20" s="1535"/>
      <c r="AP20" s="1535"/>
      <c r="AQ20" s="1535"/>
      <c r="AR20" s="1535"/>
      <c r="AS20" s="1535"/>
      <c r="AT20" s="1535"/>
      <c r="AU20" s="1535"/>
      <c r="AV20" s="1535"/>
      <c r="AW20" s="1535"/>
      <c r="AX20" s="1535"/>
      <c r="AY20" s="1535"/>
      <c r="AZ20" s="1535"/>
      <c r="BA20" s="1535"/>
      <c r="BB20" s="1535"/>
    </row>
    <row customHeight="1" ht="14.625">
      <c r="E21" s="607">
        <v>15</v>
      </c>
      <c r="AA21" s="398"/>
      <c r="AC21" s="50" cm="1" t="str">
        <f t="array" ref="AC21:AC21">tpl_title</f>
        <v>Кемеровская область / 2026 / Филиал АО "УК "Кузбассразрезуголь" "Талдинский угольный разрез" (ИНН:4205049090, КПП:423802002) / ДПР: 2024-2028</v>
      </c>
      <c r="AI21" s="1535"/>
      <c r="AJ21" s="1535"/>
      <c r="AK21" s="1535"/>
      <c r="AL21" s="1535"/>
      <c r="AM21" s="1535"/>
      <c r="AN21" s="1535"/>
      <c r="AO21" s="1535"/>
      <c r="AP21" s="1535"/>
      <c r="AQ21" s="1535"/>
      <c r="AR21" s="1535"/>
      <c r="AS21" s="1535"/>
      <c r="AT21" s="1535"/>
      <c r="AU21" s="1535"/>
      <c r="AV21" s="1535"/>
      <c r="AW21" s="1535"/>
      <c r="AX21" s="1535"/>
      <c r="AY21" s="1535"/>
      <c r="AZ21" s="1535"/>
      <c r="BA21" s="1535"/>
      <c r="BB21" s="1535"/>
    </row>
    <row customHeight="1" ht="19.5">
      <c r="E22" s="607">
        <v>20</v>
      </c>
      <c r="AB22" s="287" t="s">
        <v>841</v>
      </c>
      <c r="AC22" s="173"/>
      <c r="AD22" s="176"/>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5"/>
    </row>
    <row customHeight="1" ht="10.725000000000001">
      <c r="E23" s="607">
        <v>11</v>
      </c>
      <c r="AB23" s="1536"/>
      <c r="AC23" s="1536"/>
      <c r="AD23" s="1536"/>
      <c r="AE23" s="1536"/>
      <c r="AF23" s="1536"/>
      <c r="AG23" s="1536"/>
      <c r="AH23" s="1536"/>
      <c r="AI23" s="1536"/>
      <c r="AJ23" s="1536"/>
      <c r="AK23" s="1536"/>
      <c r="AL23" s="1536"/>
      <c r="AM23" s="1536"/>
      <c r="AN23" s="1536"/>
      <c r="AO23" s="1536"/>
      <c r="AP23" s="1536"/>
      <c r="AQ23" s="1536"/>
      <c r="AR23" s="1536"/>
      <c r="AS23" s="1536"/>
      <c r="AT23" s="1536"/>
      <c r="AU23" s="1536"/>
      <c r="AV23" s="1536"/>
      <c r="AW23" s="1536"/>
      <c r="AX23" s="1536"/>
      <c r="AY23" s="1536"/>
      <c r="AZ23" s="1536"/>
      <c r="BA23" s="1536"/>
      <c r="BB23" s="1536"/>
    </row>
    <row customHeight="1" ht="14.625">
      <c r="E24" s="607">
        <v>15</v>
      </c>
      <c r="AB24" s="1485" t="s">
        <v>766</v>
      </c>
      <c r="AC24" s="1537" t="s">
        <v>194</v>
      </c>
      <c r="AD24" s="1485" t="s">
        <v>363</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38" t="s">
        <v>507</v>
      </c>
    </row>
    <row customHeight="1" ht="48.75">
      <c r="E25" s="607">
        <v>50</v>
      </c>
      <c r="AB25" s="1485"/>
      <c r="AC25" s="1537"/>
      <c r="AD25" s="1485"/>
      <c r="AE25" s="58" t="s">
        <v>356</v>
      </c>
      <c r="AF25" s="1103" t="s">
        <v>431</v>
      </c>
      <c r="AG25" s="58" t="s">
        <v>432</v>
      </c>
      <c r="AH25" s="58" t="s">
        <v>356</v>
      </c>
      <c r="AI25" s="1107" t="s">
        <v>357</v>
      </c>
      <c r="AJ25" s="1107" t="s">
        <v>357</v>
      </c>
      <c r="AK25" s="1107" t="s">
        <v>357</v>
      </c>
      <c r="AL25" s="1107" t="s">
        <v>357</v>
      </c>
      <c r="AM25" s="1107" t="s">
        <v>357</v>
      </c>
      <c r="AN25" s="1107" t="s">
        <v>357</v>
      </c>
      <c r="AO25" s="1107" t="s">
        <v>357</v>
      </c>
      <c r="AP25" s="1107" t="s">
        <v>357</v>
      </c>
      <c r="AQ25" s="1107" t="s">
        <v>357</v>
      </c>
      <c r="AR25" s="1107" t="s">
        <v>357</v>
      </c>
      <c r="AS25" s="327" t="s">
        <v>356</v>
      </c>
      <c r="AT25" s="327" t="s">
        <v>356</v>
      </c>
      <c r="AU25" s="327" t="s">
        <v>356</v>
      </c>
      <c r="AV25" s="327" t="s">
        <v>356</v>
      </c>
      <c r="AW25" s="327" t="s">
        <v>356</v>
      </c>
      <c r="AX25" s="327" t="s">
        <v>356</v>
      </c>
      <c r="AY25" s="327" t="s">
        <v>356</v>
      </c>
      <c r="AZ25" s="327" t="s">
        <v>356</v>
      </c>
      <c r="BA25" s="327" t="s">
        <v>356</v>
      </c>
      <c r="BB25" s="327" t="s">
        <v>356</v>
      </c>
      <c r="BC25" s="1539"/>
    </row>
    <row s="1621" customFormat="1" customHeight="1" ht="11.25">
      <c r="B26" s="403"/>
      <c r="E26" s="651" t="s">
        <v>366</v>
      </c>
      <c r="F26" s="139" t="s">
        <v>842</v>
      </c>
      <c r="T26" s="0"/>
      <c r="AC26" s="66"/>
      <c r="AD26" s="66"/>
      <c r="AE26" s="66"/>
      <c r="AF26" s="66"/>
      <c r="AI26" s="1621"/>
      <c r="AJ26" s="1621"/>
      <c r="AK26" s="1621"/>
      <c r="AL26" s="1621"/>
      <c r="AM26" s="1621"/>
      <c r="AN26" s="1621"/>
      <c r="AO26" s="1621"/>
      <c r="AP26" s="1621"/>
      <c r="AQ26" s="67"/>
      <c r="AR26" s="1621"/>
      <c r="AS26" s="1621"/>
      <c r="AT26" s="1621"/>
      <c r="AU26" s="1621"/>
      <c r="AV26" s="1621"/>
      <c r="AW26" s="1621"/>
      <c r="AX26" s="1621"/>
      <c r="AY26" s="1621"/>
      <c r="AZ26" s="1621"/>
      <c r="BA26" s="1621"/>
      <c r="BB26" s="1621"/>
      <c r="BF26" s="987"/>
    </row>
    <row customHeight="1" ht="14.625" hidden="1">
      <c r="A27" s="1248"/>
      <c r="B27" s="1160"/>
      <c r="C27" s="1248"/>
      <c r="D27" s="1248"/>
      <c r="E27" s="607">
        <v>15</v>
      </c>
      <c r="F27" s="700" cm="1" t="str">
        <f t="array" ref="F27:F27">X27</f>
        <v>0</v>
      </c>
      <c r="G27" s="1248"/>
      <c r="H27" s="1248"/>
      <c r="I27" s="1248"/>
      <c r="J27" s="1248"/>
      <c r="K27" s="1248"/>
      <c r="L27" s="1248"/>
      <c r="M27" s="1248"/>
      <c r="N27" s="1248"/>
      <c r="O27" s="1248"/>
      <c r="P27" s="1248"/>
      <c r="Q27" s="1248"/>
      <c r="R27" s="1248"/>
      <c r="S27" s="1248"/>
      <c r="T27" s="439">
        <f>X27&gt;0</f>
        <v>0</v>
      </c>
      <c r="U27" s="1248"/>
      <c r="V27" s="70" t="s">
        <v>261</v>
      </c>
      <c r="W27" s="1248"/>
      <c r="X27" s="1534">
        <v>0</v>
      </c>
      <c r="Y27" s="1248"/>
      <c r="Z27" s="1535"/>
      <c r="AA27" s="1248"/>
      <c r="AB27" s="150" cm="1" t="str">
        <f t="array" ref="AB27:AB27">INDEX('Общие сведения'!$AG$179:$AG$222,MATCH($X27,'Общие сведения'!$Z$179:$Z$222,0))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248"/>
      <c r="BE27" s="1248"/>
      <c r="BF27" s="1166"/>
    </row>
    <row s="113" customFormat="1" customHeight="1" ht="21.9375" hidden="1">
      <c r="A28" s="113"/>
      <c r="B28" s="404"/>
      <c r="C28" s="113"/>
      <c r="D28" s="113"/>
      <c r="E28" s="649">
        <v>22.5</v>
      </c>
      <c r="F28" s="50" cm="1" t="str">
        <f t="array" ref="F28:F28">OFFSET(E28,-1,1)</f>
        <v>0</v>
      </c>
      <c r="G28" s="70" t="s">
        <v>325</v>
      </c>
      <c r="H28" s="113"/>
      <c r="I28" s="113"/>
      <c r="J28" s="113"/>
      <c r="K28" s="113"/>
      <c r="L28" s="113"/>
      <c r="M28" s="113"/>
      <c r="N28" s="113"/>
      <c r="O28" s="113"/>
      <c r="P28" s="113"/>
      <c r="Q28" s="113"/>
      <c r="R28" s="113"/>
      <c r="S28" s="113"/>
      <c r="T28" s="439" cm="1" t="str">
        <f t="array" ref="T28:T28">T27</f>
        <v>false</v>
      </c>
      <c r="U28" s="113"/>
      <c r="V28" s="113"/>
      <c r="W28" s="113"/>
      <c r="X28" s="1534"/>
      <c r="Y28" s="113"/>
      <c r="Z28" s="1535"/>
      <c r="AA28" s="113"/>
      <c r="AB28" s="178">
        <v>1</v>
      </c>
      <c r="AC28" s="179" t="s">
        <v>843</v>
      </c>
      <c r="AD28" s="55" t="s">
        <v>784</v>
      </c>
      <c r="AE28" s="2611">
        <f>SUM(AE29:AE33)</f>
        <v>0</v>
      </c>
      <c r="AF28" s="2611">
        <f>SUM(AF29:AF33)</f>
        <v>0</v>
      </c>
      <c r="AG28" s="2611">
        <f>SUM(AG29:AG33)</f>
        <v>0</v>
      </c>
      <c r="AH28" s="2611">
        <f>SUM(AH29:AH33)</f>
        <v>0</v>
      </c>
      <c r="AI28" s="1225">
        <f>SUM(AI29:AI33)</f>
        <v>0</v>
      </c>
      <c r="AJ28" s="2611">
        <f>SUM(AJ29:AJ33)</f>
        <v>0</v>
      </c>
      <c r="AK28" s="2611">
        <f>SUM(AK29:AK33)</f>
        <v>0</v>
      </c>
      <c r="AL28" s="2611">
        <f>SUM(AL29:AL33)</f>
        <v>0</v>
      </c>
      <c r="AM28" s="2611">
        <f>SUM(AM29:AM33)</f>
        <v>0</v>
      </c>
      <c r="AN28" s="2611">
        <f>SUM(AN29:AN33)</f>
        <v>0</v>
      </c>
      <c r="AO28" s="2611">
        <f>SUM(AO29:AO33)</f>
        <v>0</v>
      </c>
      <c r="AP28" s="2611">
        <f>SUM(AP29:AP33)</f>
        <v>0</v>
      </c>
      <c r="AQ28" s="2611">
        <f>SUM(AQ29:AQ33)</f>
        <v>0</v>
      </c>
      <c r="AR28" s="2611">
        <f>SUM(AR29:AR33)</f>
        <v>0</v>
      </c>
      <c r="AS28" s="1225">
        <f>SUM(AS29:AS33)</f>
        <v>0</v>
      </c>
      <c r="AT28" s="2611">
        <f>SUM(AT29:AT33)</f>
        <v>0</v>
      </c>
      <c r="AU28" s="2611">
        <f>SUM(AU29:AU33)</f>
        <v>0</v>
      </c>
      <c r="AV28" s="2611">
        <f>SUM(AV29:AV33)</f>
        <v>0</v>
      </c>
      <c r="AW28" s="2611">
        <f>SUM(AW29:AW33)</f>
        <v>0</v>
      </c>
      <c r="AX28" s="2611">
        <f>SUM(AX29:AX33)</f>
        <v>0</v>
      </c>
      <c r="AY28" s="2611">
        <f>SUM(AY29:AY33)</f>
        <v>0</v>
      </c>
      <c r="AZ28" s="2611">
        <f>SUM(AZ29:AZ33)</f>
        <v>0</v>
      </c>
      <c r="BA28" s="2611">
        <f>SUM(BA29:BA33)</f>
        <v>0</v>
      </c>
      <c r="BB28" s="2611">
        <f>SUM(BB29:BB33)</f>
        <v>0</v>
      </c>
      <c r="BC28" s="1887"/>
      <c r="BD28" s="113"/>
      <c r="BE28" s="113"/>
      <c r="BF28" s="1018" t="s">
        <v>844</v>
      </c>
    </row>
    <row customHeight="1" ht="14.625" hidden="1">
      <c r="A29" s="1248"/>
      <c r="B29" s="1160"/>
      <c r="C29" s="1248"/>
      <c r="D29" s="1248"/>
      <c r="E29" s="607">
        <v>15</v>
      </c>
      <c r="F29" s="50" cm="1" t="str">
        <f t="array" ref="F29:F29">OFFSET(E29,-1,1)</f>
        <v>0</v>
      </c>
      <c r="G29" s="70" t="s">
        <v>441</v>
      </c>
      <c r="H29" s="1248"/>
      <c r="I29" s="1248"/>
      <c r="J29" s="1248"/>
      <c r="K29" s="1248"/>
      <c r="L29" s="1248"/>
      <c r="M29" s="1248"/>
      <c r="N29" s="1248"/>
      <c r="O29" s="1248"/>
      <c r="P29" s="1248"/>
      <c r="Q29" s="1248"/>
      <c r="R29" s="1248"/>
      <c r="S29" s="1248"/>
      <c r="T29" s="439" cm="1" t="str">
        <f t="array" ref="T29:T29">T28</f>
        <v>false</v>
      </c>
      <c r="U29" s="1248"/>
      <c r="V29" s="1248"/>
      <c r="W29" s="1248"/>
      <c r="X29" s="1534"/>
      <c r="Y29" s="1248"/>
      <c r="Z29" s="1535"/>
      <c r="AA29" s="1248"/>
      <c r="AB29" s="54" t="s">
        <v>845</v>
      </c>
      <c r="AC29" s="181" t="s">
        <v>846</v>
      </c>
      <c r="AD29" s="55" t="s">
        <v>784</v>
      </c>
      <c r="AE29" s="2614"/>
      <c r="AF29" s="2614"/>
      <c r="AG29" s="2614"/>
      <c r="AH29" s="2614"/>
      <c r="AI29" s="182"/>
      <c r="AJ29" s="2614"/>
      <c r="AK29" s="2614"/>
      <c r="AL29" s="2614"/>
      <c r="AM29" s="2614"/>
      <c r="AN29" s="2614"/>
      <c r="AO29" s="2614"/>
      <c r="AP29" s="2614"/>
      <c r="AQ29" s="2614"/>
      <c r="AR29" s="2614"/>
      <c r="AS29" s="182"/>
      <c r="AT29" s="2614"/>
      <c r="AU29" s="2614"/>
      <c r="AV29" s="2614"/>
      <c r="AW29" s="2614"/>
      <c r="AX29" s="2614"/>
      <c r="AY29" s="2614"/>
      <c r="AZ29" s="2614"/>
      <c r="BA29" s="2614"/>
      <c r="BB29" s="2614"/>
      <c r="BC29" s="1887"/>
      <c r="BD29" s="1248"/>
      <c r="BE29" s="1248"/>
      <c r="BF29" s="1018" t="s">
        <v>847</v>
      </c>
    </row>
    <row customHeight="1" ht="14.625" hidden="1">
      <c r="A30" s="1248"/>
      <c r="B30" s="1160"/>
      <c r="C30" s="1248"/>
      <c r="D30" s="1248"/>
      <c r="E30" s="607">
        <v>15</v>
      </c>
      <c r="F30" s="50" cm="1" t="str">
        <f t="array" ref="F30:F30">OFFSET(E30,-1,1)</f>
        <v>0</v>
      </c>
      <c r="G30" s="70" t="s">
        <v>445</v>
      </c>
      <c r="H30" s="1248"/>
      <c r="I30" s="1248"/>
      <c r="J30" s="1248"/>
      <c r="K30" s="1248"/>
      <c r="L30" s="1248"/>
      <c r="M30" s="1248"/>
      <c r="N30" s="1248"/>
      <c r="O30" s="1248"/>
      <c r="P30" s="1248"/>
      <c r="Q30" s="1248"/>
      <c r="R30" s="1248"/>
      <c r="S30" s="1248"/>
      <c r="T30" s="439" cm="1" t="str">
        <f t="array" ref="T30:T30">T29</f>
        <v>false</v>
      </c>
      <c r="U30" s="1248"/>
      <c r="V30" s="1248"/>
      <c r="W30" s="1248"/>
      <c r="X30" s="1534"/>
      <c r="Y30" s="1248"/>
      <c r="Z30" s="1535"/>
      <c r="AA30" s="1248"/>
      <c r="AB30" s="54" t="s">
        <v>848</v>
      </c>
      <c r="AC30" s="181" t="s">
        <v>849</v>
      </c>
      <c r="AD30" s="55" t="s">
        <v>784</v>
      </c>
      <c r="AE30" s="2614"/>
      <c r="AF30" s="2614"/>
      <c r="AG30" s="2614"/>
      <c r="AH30" s="2614"/>
      <c r="AI30" s="182"/>
      <c r="AJ30" s="2614"/>
      <c r="AK30" s="2614"/>
      <c r="AL30" s="2614"/>
      <c r="AM30" s="2614"/>
      <c r="AN30" s="2614"/>
      <c r="AO30" s="2614"/>
      <c r="AP30" s="2614"/>
      <c r="AQ30" s="2614"/>
      <c r="AR30" s="2614"/>
      <c r="AS30" s="182"/>
      <c r="AT30" s="2614"/>
      <c r="AU30" s="2614"/>
      <c r="AV30" s="2614"/>
      <c r="AW30" s="2614"/>
      <c r="AX30" s="2614"/>
      <c r="AY30" s="2614"/>
      <c r="AZ30" s="2614"/>
      <c r="BA30" s="2614"/>
      <c r="BB30" s="2614"/>
      <c r="BC30" s="1887"/>
      <c r="BD30" s="1248"/>
      <c r="BE30" s="1248"/>
      <c r="BF30" s="1018" t="s">
        <v>850</v>
      </c>
    </row>
    <row customHeight="1" ht="14.625" hidden="1">
      <c r="A31" s="1248"/>
      <c r="B31" s="1160"/>
      <c r="C31" s="1248"/>
      <c r="D31" s="1248"/>
      <c r="E31" s="607">
        <v>15</v>
      </c>
      <c r="F31" s="50" cm="1" t="str">
        <f t="array" ref="F31:F31">OFFSET(E31,-1,1)</f>
        <v>0</v>
      </c>
      <c r="G31" s="70" t="s">
        <v>448</v>
      </c>
      <c r="H31" s="1248"/>
      <c r="I31" s="1248"/>
      <c r="J31" s="1248"/>
      <c r="K31" s="1248"/>
      <c r="L31" s="1248"/>
      <c r="M31" s="1248"/>
      <c r="N31" s="1248"/>
      <c r="O31" s="1248"/>
      <c r="P31" s="1248"/>
      <c r="Q31" s="1248"/>
      <c r="R31" s="1248"/>
      <c r="S31" s="1248"/>
      <c r="T31" s="439" cm="1" t="str">
        <f t="array" ref="T31:T31">T30</f>
        <v>false</v>
      </c>
      <c r="U31" s="1248"/>
      <c r="V31" s="1248"/>
      <c r="W31" s="1248"/>
      <c r="X31" s="1534"/>
      <c r="Y31" s="1248"/>
      <c r="Z31" s="1535"/>
      <c r="AA31" s="1248"/>
      <c r="AB31" s="54" t="s">
        <v>851</v>
      </c>
      <c r="AC31" s="181" t="s">
        <v>852</v>
      </c>
      <c r="AD31" s="55" t="s">
        <v>784</v>
      </c>
      <c r="AE31" s="2614"/>
      <c r="AF31" s="2614"/>
      <c r="AG31" s="2614"/>
      <c r="AH31" s="2614"/>
      <c r="AI31" s="182"/>
      <c r="AJ31" s="2614"/>
      <c r="AK31" s="2614"/>
      <c r="AL31" s="2614"/>
      <c r="AM31" s="2614"/>
      <c r="AN31" s="2614"/>
      <c r="AO31" s="2614"/>
      <c r="AP31" s="2614"/>
      <c r="AQ31" s="2614"/>
      <c r="AR31" s="2614"/>
      <c r="AS31" s="182"/>
      <c r="AT31" s="2614"/>
      <c r="AU31" s="2614"/>
      <c r="AV31" s="2614"/>
      <c r="AW31" s="2614"/>
      <c r="AX31" s="2614"/>
      <c r="AY31" s="2614"/>
      <c r="AZ31" s="2614"/>
      <c r="BA31" s="2614"/>
      <c r="BB31" s="2614"/>
      <c r="BC31" s="1887"/>
      <c r="BD31" s="1248"/>
      <c r="BE31" s="1248"/>
      <c r="BF31" s="1018" t="s">
        <v>853</v>
      </c>
    </row>
    <row customHeight="1" ht="14.625" hidden="1">
      <c r="A32" s="1248"/>
      <c r="B32" s="1160"/>
      <c r="C32" s="1248"/>
      <c r="D32" s="1248"/>
      <c r="E32" s="607">
        <v>15</v>
      </c>
      <c r="F32" s="50" cm="1" t="str">
        <f t="array" ref="F32:F32">OFFSET(E32,-1,1)</f>
        <v>0</v>
      </c>
      <c r="G32" s="70" t="s">
        <v>452</v>
      </c>
      <c r="H32" s="1248"/>
      <c r="I32" s="1248"/>
      <c r="J32" s="1248"/>
      <c r="K32" s="1248"/>
      <c r="L32" s="1248"/>
      <c r="M32" s="1248"/>
      <c r="N32" s="1248"/>
      <c r="O32" s="1248"/>
      <c r="P32" s="1248"/>
      <c r="Q32" s="1248"/>
      <c r="R32" s="1248"/>
      <c r="S32" s="1248"/>
      <c r="T32" s="439" cm="1" t="str">
        <f t="array" ref="T32:T32">T31</f>
        <v>false</v>
      </c>
      <c r="U32" s="1248"/>
      <c r="V32" s="1248"/>
      <c r="W32" s="1248"/>
      <c r="X32" s="1534"/>
      <c r="Y32" s="1248"/>
      <c r="Z32" s="1535"/>
      <c r="AA32" s="1248"/>
      <c r="AB32" s="54" t="s">
        <v>854</v>
      </c>
      <c r="AC32" s="181" t="s">
        <v>855</v>
      </c>
      <c r="AD32" s="55" t="s">
        <v>784</v>
      </c>
      <c r="AE32" s="2614"/>
      <c r="AF32" s="2614"/>
      <c r="AG32" s="2614"/>
      <c r="AH32" s="2614"/>
      <c r="AI32" s="182"/>
      <c r="AJ32" s="2614"/>
      <c r="AK32" s="2614"/>
      <c r="AL32" s="2614"/>
      <c r="AM32" s="2614"/>
      <c r="AN32" s="2614"/>
      <c r="AO32" s="2614"/>
      <c r="AP32" s="2614"/>
      <c r="AQ32" s="2614"/>
      <c r="AR32" s="2614"/>
      <c r="AS32" s="182"/>
      <c r="AT32" s="2614"/>
      <c r="AU32" s="2614"/>
      <c r="AV32" s="2614"/>
      <c r="AW32" s="2614"/>
      <c r="AX32" s="2614"/>
      <c r="AY32" s="2614"/>
      <c r="AZ32" s="2614"/>
      <c r="BA32" s="2614"/>
      <c r="BB32" s="2614"/>
      <c r="BC32" s="1887"/>
      <c r="BD32" s="1248"/>
      <c r="BE32" s="1248"/>
      <c r="BF32" s="1018" t="s">
        <v>856</v>
      </c>
    </row>
    <row customHeight="1" ht="14.625" hidden="1">
      <c r="A33" s="1248"/>
      <c r="B33" s="1160"/>
      <c r="C33" s="1248"/>
      <c r="D33" s="1248"/>
      <c r="E33" s="607">
        <v>15</v>
      </c>
      <c r="F33" s="50" cm="1" t="str">
        <f t="array" ref="F33:F33">OFFSET(E33,-1,1)</f>
        <v>0</v>
      </c>
      <c r="G33" s="70" t="s">
        <v>857</v>
      </c>
      <c r="H33" s="1248"/>
      <c r="I33" s="1248"/>
      <c r="J33" s="1248"/>
      <c r="K33" s="1248"/>
      <c r="L33" s="1248"/>
      <c r="M33" s="1248"/>
      <c r="N33" s="1248"/>
      <c r="O33" s="1248"/>
      <c r="P33" s="1248"/>
      <c r="Q33" s="1248"/>
      <c r="R33" s="1248"/>
      <c r="S33" s="1248"/>
      <c r="T33" s="439" cm="1" t="str">
        <f t="array" ref="T33:T33">T32</f>
        <v>false</v>
      </c>
      <c r="U33" s="1248"/>
      <c r="V33" s="1248"/>
      <c r="W33" s="1248"/>
      <c r="X33" s="1534"/>
      <c r="Y33" s="1248"/>
      <c r="Z33" s="1535"/>
      <c r="AA33" s="1248"/>
      <c r="AB33" s="54" t="s">
        <v>858</v>
      </c>
      <c r="AC33" s="181" t="s">
        <v>859</v>
      </c>
      <c r="AD33" s="55" t="s">
        <v>784</v>
      </c>
      <c r="AE33" s="2614"/>
      <c r="AF33" s="2614"/>
      <c r="AG33" s="2614"/>
      <c r="AH33" s="2614"/>
      <c r="AI33" s="182"/>
      <c r="AJ33" s="2614"/>
      <c r="AK33" s="2614"/>
      <c r="AL33" s="2614"/>
      <c r="AM33" s="2614"/>
      <c r="AN33" s="2614"/>
      <c r="AO33" s="2614"/>
      <c r="AP33" s="2614"/>
      <c r="AQ33" s="2614"/>
      <c r="AR33" s="2614"/>
      <c r="AS33" s="182"/>
      <c r="AT33" s="2614"/>
      <c r="AU33" s="2614"/>
      <c r="AV33" s="2614"/>
      <c r="AW33" s="2614"/>
      <c r="AX33" s="2614"/>
      <c r="AY33" s="2614"/>
      <c r="AZ33" s="2614"/>
      <c r="BA33" s="2614"/>
      <c r="BB33" s="2614"/>
      <c r="BC33" s="1887"/>
      <c r="BD33" s="1248"/>
      <c r="BE33" s="1248"/>
      <c r="BF33" s="1018" t="s">
        <v>860</v>
      </c>
    </row>
    <row s="113" customFormat="1" customHeight="1" ht="14.625" hidden="1">
      <c r="A34" s="113"/>
      <c r="B34" s="404"/>
      <c r="C34" s="113"/>
      <c r="D34" s="113"/>
      <c r="E34" s="607">
        <v>15</v>
      </c>
      <c r="F34" s="50" cm="1" t="str">
        <f t="array" ref="F34:F34">OFFSET(E34,-1,1)</f>
        <v>0</v>
      </c>
      <c r="G34" s="70" t="s">
        <v>326</v>
      </c>
      <c r="H34" s="113"/>
      <c r="I34" s="113"/>
      <c r="J34" s="113"/>
      <c r="K34" s="113"/>
      <c r="L34" s="113"/>
      <c r="M34" s="113"/>
      <c r="N34" s="113"/>
      <c r="O34" s="113"/>
      <c r="P34" s="113"/>
      <c r="Q34" s="113"/>
      <c r="R34" s="113"/>
      <c r="S34" s="113"/>
      <c r="T34" s="439" cm="1" t="str">
        <f t="array" ref="T34:T34">T33</f>
        <v>false</v>
      </c>
      <c r="U34" s="113"/>
      <c r="V34" s="113"/>
      <c r="W34" s="113"/>
      <c r="X34" s="1534"/>
      <c r="Y34" s="113"/>
      <c r="Z34" s="1535"/>
      <c r="AA34" s="113"/>
      <c r="AB34" s="178">
        <v>2</v>
      </c>
      <c r="AC34" s="179" t="s">
        <v>861</v>
      </c>
      <c r="AD34" s="55" t="s">
        <v>784</v>
      </c>
      <c r="AE34" s="2611">
        <f>SUM(AE35:AE39)</f>
        <v>0</v>
      </c>
      <c r="AF34" s="2611">
        <f>SUM(AF35:AF39)</f>
        <v>0</v>
      </c>
      <c r="AG34" s="2611">
        <f>SUM(AG35:AG39)</f>
        <v>0</v>
      </c>
      <c r="AH34" s="2611">
        <f>SUM(AH35:AH39)</f>
        <v>0</v>
      </c>
      <c r="AI34" s="1225">
        <f>SUM(AI35:AI39)</f>
        <v>0</v>
      </c>
      <c r="AJ34" s="2611">
        <f>SUM(AJ35:AJ39)</f>
        <v>0</v>
      </c>
      <c r="AK34" s="2611">
        <f>SUM(AK35:AK39)</f>
        <v>0</v>
      </c>
      <c r="AL34" s="2611">
        <f>SUM(AL35:AL39)</f>
        <v>0</v>
      </c>
      <c r="AM34" s="2611">
        <f>SUM(AM35:AM39)</f>
        <v>0</v>
      </c>
      <c r="AN34" s="2611">
        <f>SUM(AN35:AN39)</f>
        <v>0</v>
      </c>
      <c r="AO34" s="2611">
        <f>SUM(AO35:AO39)</f>
        <v>0</v>
      </c>
      <c r="AP34" s="2611">
        <f>SUM(AP35:AP39)</f>
        <v>0</v>
      </c>
      <c r="AQ34" s="2611">
        <f>SUM(AQ35:AQ39)</f>
        <v>0</v>
      </c>
      <c r="AR34" s="2611">
        <f>SUM(AR35:AR39)</f>
        <v>0</v>
      </c>
      <c r="AS34" s="1225">
        <f>SUM(AS35:AS39)</f>
        <v>0</v>
      </c>
      <c r="AT34" s="2611">
        <f>SUM(AT35:AT39)</f>
        <v>0</v>
      </c>
      <c r="AU34" s="2611">
        <f>SUM(AU35:AU39)</f>
        <v>0</v>
      </c>
      <c r="AV34" s="2611">
        <f>SUM(AV35:AV39)</f>
        <v>0</v>
      </c>
      <c r="AW34" s="2611">
        <f>SUM(AW35:AW39)</f>
        <v>0</v>
      </c>
      <c r="AX34" s="2611">
        <f>SUM(AX35:AX39)</f>
        <v>0</v>
      </c>
      <c r="AY34" s="2611">
        <f>SUM(AY35:AY39)</f>
        <v>0</v>
      </c>
      <c r="AZ34" s="2611">
        <f>SUM(AZ35:AZ39)</f>
        <v>0</v>
      </c>
      <c r="BA34" s="2611">
        <f>SUM(BA35:BA39)</f>
        <v>0</v>
      </c>
      <c r="BB34" s="2611">
        <f>SUM(BB35:BB39)</f>
        <v>0</v>
      </c>
      <c r="BC34" s="1887"/>
      <c r="BD34" s="113"/>
      <c r="BE34" s="113"/>
      <c r="BF34" s="1018" t="s">
        <v>862</v>
      </c>
    </row>
    <row customHeight="1" ht="14.625" hidden="1">
      <c r="A35" s="1248"/>
      <c r="B35" s="1160"/>
      <c r="C35" s="1248"/>
      <c r="D35" s="1248"/>
      <c r="E35" s="607">
        <v>15</v>
      </c>
      <c r="F35" s="50" cm="1" t="str">
        <f t="array" ref="F35:F35">OFFSET(E35,-1,1)</f>
        <v>0</v>
      </c>
      <c r="G35" s="70" t="s">
        <v>459</v>
      </c>
      <c r="H35" s="1248"/>
      <c r="I35" s="1248"/>
      <c r="J35" s="1248"/>
      <c r="K35" s="1248"/>
      <c r="L35" s="1248"/>
      <c r="M35" s="1248"/>
      <c r="N35" s="1248"/>
      <c r="O35" s="1248"/>
      <c r="P35" s="1248"/>
      <c r="Q35" s="1248"/>
      <c r="R35" s="1248"/>
      <c r="S35" s="1248"/>
      <c r="T35" s="439" cm="1" t="str">
        <f t="array" ref="T35:T35">T34</f>
        <v>false</v>
      </c>
      <c r="U35" s="1248"/>
      <c r="V35" s="1248"/>
      <c r="W35" s="1248"/>
      <c r="X35" s="1534"/>
      <c r="Y35" s="1248"/>
      <c r="Z35" s="1535"/>
      <c r="AA35" s="1248"/>
      <c r="AB35" s="54" t="s">
        <v>515</v>
      </c>
      <c r="AC35" s="181" t="s">
        <v>846</v>
      </c>
      <c r="AD35" s="55" t="s">
        <v>784</v>
      </c>
      <c r="AE35" s="2614"/>
      <c r="AF35" s="2614"/>
      <c r="AG35" s="2614"/>
      <c r="AH35" s="2614"/>
      <c r="AI35" s="182"/>
      <c r="AJ35" s="2614"/>
      <c r="AK35" s="2614"/>
      <c r="AL35" s="2614"/>
      <c r="AM35" s="2614"/>
      <c r="AN35" s="2614"/>
      <c r="AO35" s="2614"/>
      <c r="AP35" s="2614"/>
      <c r="AQ35" s="2614"/>
      <c r="AR35" s="2614"/>
      <c r="AS35" s="182"/>
      <c r="AT35" s="2614"/>
      <c r="AU35" s="2614"/>
      <c r="AV35" s="2614"/>
      <c r="AW35" s="2614"/>
      <c r="AX35" s="2614"/>
      <c r="AY35" s="2614"/>
      <c r="AZ35" s="2614"/>
      <c r="BA35" s="2614"/>
      <c r="BB35" s="2614"/>
      <c r="BC35" s="1887"/>
      <c r="BD35" s="1248"/>
      <c r="BE35" s="1248"/>
      <c r="BF35" s="1018" t="s">
        <v>863</v>
      </c>
    </row>
    <row customHeight="1" ht="14.625" hidden="1">
      <c r="A36" s="1248"/>
      <c r="B36" s="1160"/>
      <c r="C36" s="1248"/>
      <c r="D36" s="1248"/>
      <c r="E36" s="607">
        <v>15</v>
      </c>
      <c r="F36" s="50" cm="1" t="str">
        <f t="array" ref="F36:F36">OFFSET(E36,-1,1)</f>
        <v>0</v>
      </c>
      <c r="G36" s="70" t="s">
        <v>462</v>
      </c>
      <c r="H36" s="1248"/>
      <c r="I36" s="1248"/>
      <c r="J36" s="1248"/>
      <c r="K36" s="1248"/>
      <c r="L36" s="1248"/>
      <c r="M36" s="1248"/>
      <c r="N36" s="1248"/>
      <c r="O36" s="1248"/>
      <c r="P36" s="1248"/>
      <c r="Q36" s="1248"/>
      <c r="R36" s="1248"/>
      <c r="S36" s="1248"/>
      <c r="T36" s="439" cm="1" t="str">
        <f t="array" ref="T36:T36">T35</f>
        <v>false</v>
      </c>
      <c r="U36" s="1248"/>
      <c r="V36" s="1248"/>
      <c r="W36" s="1248"/>
      <c r="X36" s="1534"/>
      <c r="Y36" s="1248"/>
      <c r="Z36" s="1535"/>
      <c r="AA36" s="1248"/>
      <c r="AB36" s="54" t="s">
        <v>519</v>
      </c>
      <c r="AC36" s="181" t="s">
        <v>849</v>
      </c>
      <c r="AD36" s="55" t="s">
        <v>784</v>
      </c>
      <c r="AE36" s="2614"/>
      <c r="AF36" s="2614"/>
      <c r="AG36" s="2614"/>
      <c r="AH36" s="2614"/>
      <c r="AI36" s="182"/>
      <c r="AJ36" s="2614"/>
      <c r="AK36" s="2614"/>
      <c r="AL36" s="2614"/>
      <c r="AM36" s="2614"/>
      <c r="AN36" s="2614"/>
      <c r="AO36" s="2614"/>
      <c r="AP36" s="2614"/>
      <c r="AQ36" s="2614"/>
      <c r="AR36" s="2614"/>
      <c r="AS36" s="182"/>
      <c r="AT36" s="2614"/>
      <c r="AU36" s="2614"/>
      <c r="AV36" s="2614"/>
      <c r="AW36" s="2614"/>
      <c r="AX36" s="2614"/>
      <c r="AY36" s="2614"/>
      <c r="AZ36" s="2614"/>
      <c r="BA36" s="2614"/>
      <c r="BB36" s="2614"/>
      <c r="BC36" s="1887"/>
      <c r="BD36" s="1248"/>
      <c r="BE36" s="1248"/>
      <c r="BF36" s="1018" t="s">
        <v>864</v>
      </c>
    </row>
    <row customHeight="1" ht="14.625" hidden="1">
      <c r="A37" s="1248"/>
      <c r="B37" s="1160"/>
      <c r="C37" s="1248"/>
      <c r="D37" s="1248"/>
      <c r="E37" s="607">
        <v>15</v>
      </c>
      <c r="F37" s="50" cm="1" t="str">
        <f t="array" ref="F37:F37">OFFSET(E37,-1,1)</f>
        <v>0</v>
      </c>
      <c r="G37" s="70" t="s">
        <v>865</v>
      </c>
      <c r="H37" s="1248"/>
      <c r="I37" s="1248"/>
      <c r="J37" s="1248"/>
      <c r="K37" s="1248"/>
      <c r="L37" s="1248"/>
      <c r="M37" s="1248"/>
      <c r="N37" s="1248"/>
      <c r="O37" s="1248"/>
      <c r="P37" s="1248"/>
      <c r="Q37" s="1248"/>
      <c r="R37" s="1248"/>
      <c r="S37" s="1248"/>
      <c r="T37" s="439" cm="1" t="str">
        <f t="array" ref="T37:T37">T36</f>
        <v>false</v>
      </c>
      <c r="U37" s="1248"/>
      <c r="V37" s="1248"/>
      <c r="W37" s="1248"/>
      <c r="X37" s="1534"/>
      <c r="Y37" s="1248"/>
      <c r="Z37" s="1535"/>
      <c r="AA37" s="1248"/>
      <c r="AB37" s="54" t="s">
        <v>523</v>
      </c>
      <c r="AC37" s="181" t="s">
        <v>852</v>
      </c>
      <c r="AD37" s="55" t="s">
        <v>784</v>
      </c>
      <c r="AE37" s="2614"/>
      <c r="AF37" s="2614"/>
      <c r="AG37" s="2614"/>
      <c r="AH37" s="2614"/>
      <c r="AI37" s="182"/>
      <c r="AJ37" s="2614"/>
      <c r="AK37" s="2614"/>
      <c r="AL37" s="2614"/>
      <c r="AM37" s="2614"/>
      <c r="AN37" s="2614"/>
      <c r="AO37" s="2614"/>
      <c r="AP37" s="2614"/>
      <c r="AQ37" s="2614"/>
      <c r="AR37" s="2614"/>
      <c r="AS37" s="182"/>
      <c r="AT37" s="2614"/>
      <c r="AU37" s="2614"/>
      <c r="AV37" s="2614"/>
      <c r="AW37" s="2614"/>
      <c r="AX37" s="2614"/>
      <c r="AY37" s="2614"/>
      <c r="AZ37" s="2614"/>
      <c r="BA37" s="2614"/>
      <c r="BB37" s="2614"/>
      <c r="BC37" s="1887"/>
      <c r="BD37" s="1248"/>
      <c r="BE37" s="1248"/>
      <c r="BF37" s="1018" t="s">
        <v>866</v>
      </c>
    </row>
    <row customHeight="1" ht="14.625" hidden="1">
      <c r="A38" s="1248"/>
      <c r="B38" s="1160"/>
      <c r="C38" s="1248"/>
      <c r="D38" s="1248"/>
      <c r="E38" s="607">
        <v>15</v>
      </c>
      <c r="F38" s="50" cm="1" t="str">
        <f t="array" ref="F38:F38">OFFSET(E38,-1,1)</f>
        <v>0</v>
      </c>
      <c r="G38" s="70" t="s">
        <v>867</v>
      </c>
      <c r="H38" s="1248"/>
      <c r="I38" s="1248"/>
      <c r="J38" s="1248"/>
      <c r="K38" s="1248"/>
      <c r="L38" s="1248"/>
      <c r="M38" s="1248"/>
      <c r="N38" s="1248"/>
      <c r="O38" s="1248"/>
      <c r="P38" s="1248"/>
      <c r="Q38" s="1248"/>
      <c r="R38" s="1248"/>
      <c r="S38" s="1248"/>
      <c r="T38" s="439" cm="1" t="str">
        <f t="array" ref="T38:T38">T37</f>
        <v>false</v>
      </c>
      <c r="U38" s="1248"/>
      <c r="V38" s="1248"/>
      <c r="W38" s="1248"/>
      <c r="X38" s="1534"/>
      <c r="Y38" s="1248"/>
      <c r="Z38" s="1535"/>
      <c r="AA38" s="1248"/>
      <c r="AB38" s="54" t="s">
        <v>868</v>
      </c>
      <c r="AC38" s="181" t="s">
        <v>855</v>
      </c>
      <c r="AD38" s="55" t="s">
        <v>784</v>
      </c>
      <c r="AE38" s="2614"/>
      <c r="AF38" s="2614"/>
      <c r="AG38" s="2614"/>
      <c r="AH38" s="2614"/>
      <c r="AI38" s="182"/>
      <c r="AJ38" s="2614"/>
      <c r="AK38" s="2614"/>
      <c r="AL38" s="2614"/>
      <c r="AM38" s="2614"/>
      <c r="AN38" s="2614"/>
      <c r="AO38" s="2614"/>
      <c r="AP38" s="2614"/>
      <c r="AQ38" s="2614"/>
      <c r="AR38" s="2614"/>
      <c r="AS38" s="182"/>
      <c r="AT38" s="2614"/>
      <c r="AU38" s="2614"/>
      <c r="AV38" s="2614"/>
      <c r="AW38" s="2614"/>
      <c r="AX38" s="2614"/>
      <c r="AY38" s="2614"/>
      <c r="AZ38" s="2614"/>
      <c r="BA38" s="2614"/>
      <c r="BB38" s="2614"/>
      <c r="BC38" s="1887"/>
      <c r="BD38" s="1248"/>
      <c r="BE38" s="1248"/>
      <c r="BF38" s="1018" t="s">
        <v>869</v>
      </c>
    </row>
    <row customHeight="1" ht="14.625" hidden="1">
      <c r="A39" s="1248"/>
      <c r="B39" s="1160"/>
      <c r="C39" s="1248"/>
      <c r="D39" s="1248"/>
      <c r="E39" s="607">
        <v>15</v>
      </c>
      <c r="F39" s="50" cm="1" t="str">
        <f t="array" ref="F39:F39">OFFSET(E39,-1,1)</f>
        <v>0</v>
      </c>
      <c r="G39" s="70" t="s">
        <v>870</v>
      </c>
      <c r="H39" s="1248"/>
      <c r="I39" s="1248"/>
      <c r="J39" s="1248"/>
      <c r="K39" s="1248"/>
      <c r="L39" s="1248"/>
      <c r="M39" s="1248"/>
      <c r="N39" s="1248"/>
      <c r="O39" s="1248"/>
      <c r="P39" s="1248"/>
      <c r="Q39" s="1248"/>
      <c r="R39" s="1248"/>
      <c r="S39" s="1248"/>
      <c r="T39" s="439" cm="1" t="str">
        <f t="array" ref="T39:T39">T38</f>
        <v>false</v>
      </c>
      <c r="U39" s="1248"/>
      <c r="V39" s="1248"/>
      <c r="W39" s="1248"/>
      <c r="X39" s="1534"/>
      <c r="Y39" s="1248"/>
      <c r="Z39" s="1535"/>
      <c r="AA39" s="1248"/>
      <c r="AB39" s="54" t="s">
        <v>871</v>
      </c>
      <c r="AC39" s="181" t="s">
        <v>859</v>
      </c>
      <c r="AD39" s="55" t="s">
        <v>784</v>
      </c>
      <c r="AE39" s="2614"/>
      <c r="AF39" s="2614"/>
      <c r="AG39" s="2614"/>
      <c r="AH39" s="2614"/>
      <c r="AI39" s="182"/>
      <c r="AJ39" s="2614"/>
      <c r="AK39" s="2614"/>
      <c r="AL39" s="2614"/>
      <c r="AM39" s="2614"/>
      <c r="AN39" s="2614"/>
      <c r="AO39" s="2614"/>
      <c r="AP39" s="2614"/>
      <c r="AQ39" s="2614"/>
      <c r="AR39" s="2614"/>
      <c r="AS39" s="182"/>
      <c r="AT39" s="2614"/>
      <c r="AU39" s="2614"/>
      <c r="AV39" s="2614"/>
      <c r="AW39" s="2614"/>
      <c r="AX39" s="2614"/>
      <c r="AY39" s="2614"/>
      <c r="AZ39" s="2614"/>
      <c r="BA39" s="2614"/>
      <c r="BB39" s="2614"/>
      <c r="BC39" s="1887"/>
      <c r="BD39" s="1248"/>
      <c r="BE39" s="1248"/>
      <c r="BF39" s="1018" t="s">
        <v>872</v>
      </c>
    </row>
    <row s="113" customFormat="1" customHeight="1" ht="14.625" hidden="1">
      <c r="A40" s="113"/>
      <c r="B40" s="404"/>
      <c r="C40" s="113"/>
      <c r="D40" s="113"/>
      <c r="E40" s="607">
        <v>15</v>
      </c>
      <c r="F40" s="50" cm="1" t="str">
        <f t="array" ref="F40:F40">OFFSET(E40,-1,1)</f>
        <v>0</v>
      </c>
      <c r="G40" s="70" t="s">
        <v>327</v>
      </c>
      <c r="H40" s="113"/>
      <c r="I40" s="113"/>
      <c r="J40" s="113"/>
      <c r="K40" s="113"/>
      <c r="L40" s="113"/>
      <c r="M40" s="113"/>
      <c r="N40" s="113"/>
      <c r="O40" s="113"/>
      <c r="P40" s="113"/>
      <c r="Q40" s="113"/>
      <c r="R40" s="113"/>
      <c r="S40" s="113"/>
      <c r="T40" s="439" cm="1" t="str">
        <f t="array" ref="T40:T40">T39</f>
        <v>false</v>
      </c>
      <c r="U40" s="113"/>
      <c r="V40" s="113"/>
      <c r="W40" s="113"/>
      <c r="X40" s="1534"/>
      <c r="Y40" s="113"/>
      <c r="Z40" s="1535"/>
      <c r="AA40" s="113"/>
      <c r="AB40" s="178">
        <v>3</v>
      </c>
      <c r="AC40" s="179" t="s">
        <v>873</v>
      </c>
      <c r="AD40" s="55" t="s">
        <v>784</v>
      </c>
      <c r="AE40" s="2611">
        <f>SUM(AE41:AE45)</f>
        <v>0</v>
      </c>
      <c r="AF40" s="2611">
        <f>SUM(AF41:AF45)</f>
        <v>0</v>
      </c>
      <c r="AG40" s="2611">
        <f>SUM(AG41:AG45)</f>
        <v>0</v>
      </c>
      <c r="AH40" s="2611">
        <f>SUM(AH41:AH45)</f>
        <v>0</v>
      </c>
      <c r="AI40" s="1225">
        <f>SUM(AI41:AI45)</f>
        <v>0</v>
      </c>
      <c r="AJ40" s="2611">
        <f>SUM(AJ41:AJ45)</f>
        <v>0</v>
      </c>
      <c r="AK40" s="2611">
        <f>SUM(AK41:AK45)</f>
        <v>0</v>
      </c>
      <c r="AL40" s="2611">
        <f>SUM(AL41:AL45)</f>
        <v>0</v>
      </c>
      <c r="AM40" s="2611">
        <f>SUM(AM41:AM45)</f>
        <v>0</v>
      </c>
      <c r="AN40" s="2611">
        <f>SUM(AN41:AN45)</f>
        <v>0</v>
      </c>
      <c r="AO40" s="2611">
        <f>SUM(AO41:AO45)</f>
        <v>0</v>
      </c>
      <c r="AP40" s="2611">
        <f>SUM(AP41:AP45)</f>
        <v>0</v>
      </c>
      <c r="AQ40" s="2611">
        <f>SUM(AQ41:AQ45)</f>
        <v>0</v>
      </c>
      <c r="AR40" s="2611">
        <f>SUM(AR41:AR45)</f>
        <v>0</v>
      </c>
      <c r="AS40" s="1225">
        <f>SUM(AS41:AS45)</f>
        <v>0</v>
      </c>
      <c r="AT40" s="2611">
        <f>SUM(AT41:AT45)</f>
        <v>0</v>
      </c>
      <c r="AU40" s="2611">
        <f>SUM(AU41:AU45)</f>
        <v>0</v>
      </c>
      <c r="AV40" s="2611">
        <f>SUM(AV41:AV45)</f>
        <v>0</v>
      </c>
      <c r="AW40" s="2611">
        <f>SUM(AW41:AW45)</f>
        <v>0</v>
      </c>
      <c r="AX40" s="2611">
        <f>SUM(AX41:AX45)</f>
        <v>0</v>
      </c>
      <c r="AY40" s="2611">
        <f>SUM(AY41:AY45)</f>
        <v>0</v>
      </c>
      <c r="AZ40" s="2611">
        <f>SUM(AZ41:AZ45)</f>
        <v>0</v>
      </c>
      <c r="BA40" s="2611">
        <f>SUM(BA41:BA45)</f>
        <v>0</v>
      </c>
      <c r="BB40" s="2611">
        <f>SUM(BB41:BB45)</f>
        <v>0</v>
      </c>
      <c r="BC40" s="1887"/>
      <c r="BD40" s="113"/>
      <c r="BE40" s="113"/>
      <c r="BF40" s="1018" t="s">
        <v>874</v>
      </c>
    </row>
    <row customHeight="1" ht="14.625" hidden="1">
      <c r="A41" s="1248"/>
      <c r="B41" s="1160"/>
      <c r="C41" s="1248"/>
      <c r="D41" s="1248"/>
      <c r="E41" s="607">
        <v>15</v>
      </c>
      <c r="F41" s="50" cm="1" t="str">
        <f t="array" ref="F41:F41">OFFSET(E41,-1,1)</f>
        <v>0</v>
      </c>
      <c r="G41" s="70" t="s">
        <v>875</v>
      </c>
      <c r="H41" s="1248"/>
      <c r="I41" s="1248"/>
      <c r="J41" s="1248"/>
      <c r="K41" s="1248"/>
      <c r="L41" s="1248"/>
      <c r="M41" s="1248"/>
      <c r="N41" s="1248"/>
      <c r="O41" s="1248"/>
      <c r="P41" s="1248"/>
      <c r="Q41" s="1248"/>
      <c r="R41" s="1248"/>
      <c r="S41" s="1248"/>
      <c r="T41" s="439" cm="1" t="str">
        <f t="array" ref="T41:T41">T40</f>
        <v>false</v>
      </c>
      <c r="U41" s="1248"/>
      <c r="V41" s="1248"/>
      <c r="W41" s="1248"/>
      <c r="X41" s="1534"/>
      <c r="Y41" s="1248"/>
      <c r="Z41" s="1535"/>
      <c r="AA41" s="1248"/>
      <c r="AB41" s="54" t="s">
        <v>529</v>
      </c>
      <c r="AC41" s="181" t="s">
        <v>846</v>
      </c>
      <c r="AD41" s="55" t="s">
        <v>784</v>
      </c>
      <c r="AE41" s="2614"/>
      <c r="AF41" s="2614"/>
      <c r="AG41" s="2614"/>
      <c r="AH41" s="2614"/>
      <c r="AI41" s="182"/>
      <c r="AJ41" s="2614"/>
      <c r="AK41" s="2614"/>
      <c r="AL41" s="2614"/>
      <c r="AM41" s="2614"/>
      <c r="AN41" s="2614"/>
      <c r="AO41" s="2614"/>
      <c r="AP41" s="2614"/>
      <c r="AQ41" s="2614"/>
      <c r="AR41" s="2614"/>
      <c r="AS41" s="182"/>
      <c r="AT41" s="2614"/>
      <c r="AU41" s="2614"/>
      <c r="AV41" s="2614"/>
      <c r="AW41" s="2614"/>
      <c r="AX41" s="2614"/>
      <c r="AY41" s="2614"/>
      <c r="AZ41" s="2614"/>
      <c r="BA41" s="2614"/>
      <c r="BB41" s="2614"/>
      <c r="BC41" s="1887"/>
      <c r="BD41" s="1248"/>
      <c r="BE41" s="1248"/>
      <c r="BF41" s="1018" t="s">
        <v>876</v>
      </c>
    </row>
    <row customHeight="1" ht="14.625" hidden="1">
      <c r="A42" s="1248"/>
      <c r="B42" s="1160"/>
      <c r="C42" s="1248"/>
      <c r="D42" s="1248"/>
      <c r="E42" s="607">
        <v>15</v>
      </c>
      <c r="F42" s="50" cm="1" t="str">
        <f t="array" ref="F42:F42">OFFSET(E42,-1,1)</f>
        <v>0</v>
      </c>
      <c r="G42" s="70" t="s">
        <v>877</v>
      </c>
      <c r="H42" s="1248"/>
      <c r="I42" s="1248"/>
      <c r="J42" s="1248"/>
      <c r="K42" s="1248"/>
      <c r="L42" s="1248"/>
      <c r="M42" s="1248"/>
      <c r="N42" s="1248"/>
      <c r="O42" s="1248"/>
      <c r="P42" s="1248"/>
      <c r="Q42" s="1248"/>
      <c r="R42" s="1248"/>
      <c r="S42" s="1248"/>
      <c r="T42" s="439" cm="1" t="str">
        <f t="array" ref="T42:T42">T41</f>
        <v>false</v>
      </c>
      <c r="U42" s="1248"/>
      <c r="V42" s="1248"/>
      <c r="W42" s="1248"/>
      <c r="X42" s="1534"/>
      <c r="Y42" s="1248"/>
      <c r="Z42" s="1535"/>
      <c r="AA42" s="1248"/>
      <c r="AB42" s="54" t="s">
        <v>533</v>
      </c>
      <c r="AC42" s="181" t="s">
        <v>849</v>
      </c>
      <c r="AD42" s="55" t="s">
        <v>784</v>
      </c>
      <c r="AE42" s="2614"/>
      <c r="AF42" s="2614"/>
      <c r="AG42" s="2614"/>
      <c r="AH42" s="2614"/>
      <c r="AI42" s="182"/>
      <c r="AJ42" s="2614"/>
      <c r="AK42" s="2614"/>
      <c r="AL42" s="2614"/>
      <c r="AM42" s="2614"/>
      <c r="AN42" s="2614"/>
      <c r="AO42" s="2614"/>
      <c r="AP42" s="2614"/>
      <c r="AQ42" s="2614"/>
      <c r="AR42" s="2614"/>
      <c r="AS42" s="182"/>
      <c r="AT42" s="2614"/>
      <c r="AU42" s="2614"/>
      <c r="AV42" s="2614"/>
      <c r="AW42" s="2614"/>
      <c r="AX42" s="2614"/>
      <c r="AY42" s="2614"/>
      <c r="AZ42" s="2614"/>
      <c r="BA42" s="2614"/>
      <c r="BB42" s="2614"/>
      <c r="BC42" s="1887"/>
      <c r="BD42" s="1248"/>
      <c r="BE42" s="1248"/>
      <c r="BF42" s="1018" t="s">
        <v>878</v>
      </c>
    </row>
    <row customHeight="1" ht="14.625" hidden="1">
      <c r="A43" s="1248"/>
      <c r="B43" s="1160"/>
      <c r="C43" s="1248"/>
      <c r="D43" s="1248"/>
      <c r="E43" s="607">
        <v>15</v>
      </c>
      <c r="F43" s="50" cm="1" t="str">
        <f t="array" ref="F43:F43">OFFSET(E43,-1,1)</f>
        <v>0</v>
      </c>
      <c r="G43" s="70" t="s">
        <v>879</v>
      </c>
      <c r="H43" s="1248"/>
      <c r="I43" s="1248"/>
      <c r="J43" s="1248"/>
      <c r="K43" s="1248"/>
      <c r="L43" s="1248"/>
      <c r="M43" s="1248"/>
      <c r="N43" s="1248"/>
      <c r="O43" s="1248"/>
      <c r="P43" s="1248"/>
      <c r="Q43" s="1248"/>
      <c r="R43" s="1248"/>
      <c r="S43" s="1248"/>
      <c r="T43" s="439" cm="1" t="str">
        <f t="array" ref="T43:T43">T42</f>
        <v>false</v>
      </c>
      <c r="U43" s="1248"/>
      <c r="V43" s="1248"/>
      <c r="W43" s="1248"/>
      <c r="X43" s="1534"/>
      <c r="Y43" s="1248"/>
      <c r="Z43" s="1535"/>
      <c r="AA43" s="1248"/>
      <c r="AB43" s="54" t="s">
        <v>750</v>
      </c>
      <c r="AC43" s="181" t="s">
        <v>852</v>
      </c>
      <c r="AD43" s="55" t="s">
        <v>784</v>
      </c>
      <c r="AE43" s="2614"/>
      <c r="AF43" s="2614"/>
      <c r="AG43" s="2614"/>
      <c r="AH43" s="2614"/>
      <c r="AI43" s="182"/>
      <c r="AJ43" s="2614"/>
      <c r="AK43" s="2614"/>
      <c r="AL43" s="2614"/>
      <c r="AM43" s="2614"/>
      <c r="AN43" s="2614"/>
      <c r="AO43" s="2614"/>
      <c r="AP43" s="2614"/>
      <c r="AQ43" s="2614"/>
      <c r="AR43" s="2614"/>
      <c r="AS43" s="182"/>
      <c r="AT43" s="2614"/>
      <c r="AU43" s="2614"/>
      <c r="AV43" s="2614"/>
      <c r="AW43" s="2614"/>
      <c r="AX43" s="2614"/>
      <c r="AY43" s="2614"/>
      <c r="AZ43" s="2614"/>
      <c r="BA43" s="2614"/>
      <c r="BB43" s="2614"/>
      <c r="BC43" s="1887"/>
      <c r="BD43" s="1248"/>
      <c r="BE43" s="1248"/>
      <c r="BF43" s="1018" t="s">
        <v>880</v>
      </c>
    </row>
    <row customHeight="1" ht="14.625" hidden="1">
      <c r="A44" s="1248"/>
      <c r="B44" s="1160"/>
      <c r="C44" s="1248"/>
      <c r="D44" s="1248"/>
      <c r="E44" s="607">
        <v>15</v>
      </c>
      <c r="F44" s="50" cm="1" t="str">
        <f t="array" ref="F44:F44">OFFSET(E44,-1,1)</f>
        <v>0</v>
      </c>
      <c r="G44" s="70" t="s">
        <v>881</v>
      </c>
      <c r="H44" s="1248"/>
      <c r="I44" s="1248"/>
      <c r="J44" s="1248"/>
      <c r="K44" s="1248"/>
      <c r="L44" s="1248"/>
      <c r="M44" s="1248"/>
      <c r="N44" s="1248"/>
      <c r="O44" s="1248"/>
      <c r="P44" s="1248"/>
      <c r="Q44" s="1248"/>
      <c r="R44" s="1248"/>
      <c r="S44" s="1248"/>
      <c r="T44" s="439" cm="1" t="str">
        <f t="array" ref="T44:T44">T43</f>
        <v>false</v>
      </c>
      <c r="U44" s="1248"/>
      <c r="V44" s="1248"/>
      <c r="W44" s="1248"/>
      <c r="X44" s="1534"/>
      <c r="Y44" s="1248"/>
      <c r="Z44" s="1535"/>
      <c r="AA44" s="1248"/>
      <c r="AB44" s="54" t="s">
        <v>882</v>
      </c>
      <c r="AC44" s="181" t="s">
        <v>855</v>
      </c>
      <c r="AD44" s="55" t="s">
        <v>784</v>
      </c>
      <c r="AE44" s="2614"/>
      <c r="AF44" s="2614"/>
      <c r="AG44" s="2614"/>
      <c r="AH44" s="2614"/>
      <c r="AI44" s="182"/>
      <c r="AJ44" s="2614"/>
      <c r="AK44" s="2614"/>
      <c r="AL44" s="2614"/>
      <c r="AM44" s="2614"/>
      <c r="AN44" s="2614"/>
      <c r="AO44" s="2614"/>
      <c r="AP44" s="2614"/>
      <c r="AQ44" s="2614"/>
      <c r="AR44" s="2614"/>
      <c r="AS44" s="182"/>
      <c r="AT44" s="2614"/>
      <c r="AU44" s="2614"/>
      <c r="AV44" s="2614"/>
      <c r="AW44" s="2614"/>
      <c r="AX44" s="2614"/>
      <c r="AY44" s="2614"/>
      <c r="AZ44" s="2614"/>
      <c r="BA44" s="2614"/>
      <c r="BB44" s="2614"/>
      <c r="BC44" s="1887"/>
      <c r="BD44" s="1248"/>
      <c r="BE44" s="1248"/>
      <c r="BF44" s="1018" t="s">
        <v>883</v>
      </c>
    </row>
    <row customHeight="1" ht="14.625" hidden="1">
      <c r="A45" s="1248"/>
      <c r="B45" s="1160"/>
      <c r="C45" s="1248"/>
      <c r="D45" s="1248"/>
      <c r="E45" s="607">
        <v>15</v>
      </c>
      <c r="F45" s="50" cm="1" t="str">
        <f t="array" ref="F45:F45">OFFSET(E45,-1,1)</f>
        <v>0</v>
      </c>
      <c r="G45" s="70" t="s">
        <v>884</v>
      </c>
      <c r="H45" s="1248"/>
      <c r="I45" s="1248"/>
      <c r="J45" s="1248"/>
      <c r="K45" s="1248"/>
      <c r="L45" s="1248"/>
      <c r="M45" s="1248"/>
      <c r="N45" s="1248"/>
      <c r="O45" s="1248"/>
      <c r="P45" s="1248"/>
      <c r="Q45" s="1248"/>
      <c r="R45" s="1248"/>
      <c r="S45" s="1248"/>
      <c r="T45" s="439" cm="1" t="str">
        <f t="array" ref="T45:T45">T44</f>
        <v>false</v>
      </c>
      <c r="U45" s="1248"/>
      <c r="V45" s="1248"/>
      <c r="W45" s="1248"/>
      <c r="X45" s="1534"/>
      <c r="Y45" s="1248"/>
      <c r="Z45" s="1535"/>
      <c r="AA45" s="1248"/>
      <c r="AB45" s="54" t="s">
        <v>885</v>
      </c>
      <c r="AC45" s="181" t="s">
        <v>859</v>
      </c>
      <c r="AD45" s="55" t="s">
        <v>784</v>
      </c>
      <c r="AE45" s="2614"/>
      <c r="AF45" s="2614"/>
      <c r="AG45" s="2614"/>
      <c r="AH45" s="2614"/>
      <c r="AI45" s="182"/>
      <c r="AJ45" s="2614"/>
      <c r="AK45" s="2614"/>
      <c r="AL45" s="2614"/>
      <c r="AM45" s="2614"/>
      <c r="AN45" s="2614"/>
      <c r="AO45" s="2614"/>
      <c r="AP45" s="2614"/>
      <c r="AQ45" s="2614"/>
      <c r="AR45" s="2614"/>
      <c r="AS45" s="182"/>
      <c r="AT45" s="2614"/>
      <c r="AU45" s="2614"/>
      <c r="AV45" s="2614"/>
      <c r="AW45" s="2614"/>
      <c r="AX45" s="2614"/>
      <c r="AY45" s="2614"/>
      <c r="AZ45" s="2614"/>
      <c r="BA45" s="2614"/>
      <c r="BB45" s="2614"/>
      <c r="BC45" s="1887"/>
      <c r="BD45" s="1248"/>
      <c r="BE45" s="1248"/>
      <c r="BF45" s="1018" t="s">
        <v>886</v>
      </c>
    </row>
    <row s="113" customFormat="1" customHeight="1" ht="21.9375" hidden="1">
      <c r="A46" s="113"/>
      <c r="B46" s="404"/>
      <c r="C46" s="113"/>
      <c r="D46" s="113"/>
      <c r="E46" s="649">
        <v>22.5</v>
      </c>
      <c r="F46" s="50" cm="1" t="str">
        <f t="array" ref="F46:F46">OFFSET(E46,-1,1)</f>
        <v>0</v>
      </c>
      <c r="G46" s="70" t="s">
        <v>329</v>
      </c>
      <c r="H46" s="113"/>
      <c r="I46" s="113"/>
      <c r="J46" s="113"/>
      <c r="K46" s="113"/>
      <c r="L46" s="113"/>
      <c r="M46" s="113"/>
      <c r="N46" s="113"/>
      <c r="O46" s="113"/>
      <c r="P46" s="113"/>
      <c r="Q46" s="113"/>
      <c r="R46" s="113"/>
      <c r="S46" s="113"/>
      <c r="T46" s="439" cm="1" t="str">
        <f t="array" ref="T46:T46">T45</f>
        <v>false</v>
      </c>
      <c r="U46" s="113"/>
      <c r="V46" s="113"/>
      <c r="W46" s="113"/>
      <c r="X46" s="1534"/>
      <c r="Y46" s="113"/>
      <c r="Z46" s="1535"/>
      <c r="AA46" s="113"/>
      <c r="AB46" s="178">
        <v>4</v>
      </c>
      <c r="AC46" s="179" t="s">
        <v>887</v>
      </c>
      <c r="AD46" s="55" t="s">
        <v>784</v>
      </c>
      <c r="AE46" s="2611">
        <f>SUM(AE47:AE51)</f>
        <v>0</v>
      </c>
      <c r="AF46" s="2611">
        <f>SUM(AF47:AF51)</f>
        <v>0</v>
      </c>
      <c r="AG46" s="2611">
        <f>SUM(AG47:AG51)</f>
        <v>0</v>
      </c>
      <c r="AH46" s="2611">
        <f>SUM(AH47:AH51)</f>
        <v>0</v>
      </c>
      <c r="AI46" s="1225">
        <f>SUM(AI47:AI51)</f>
        <v>0</v>
      </c>
      <c r="AJ46" s="2611">
        <f>SUM(AJ47:AJ51)</f>
        <v>0</v>
      </c>
      <c r="AK46" s="2611">
        <f>SUM(AK47:AK51)</f>
        <v>0</v>
      </c>
      <c r="AL46" s="2611">
        <f>SUM(AL47:AL51)</f>
        <v>0</v>
      </c>
      <c r="AM46" s="2611">
        <f>SUM(AM47:AM51)</f>
        <v>0</v>
      </c>
      <c r="AN46" s="2611">
        <f>SUM(AN47:AN51)</f>
        <v>0</v>
      </c>
      <c r="AO46" s="2611">
        <f>SUM(AO47:AO51)</f>
        <v>0</v>
      </c>
      <c r="AP46" s="2611">
        <f>SUM(AP47:AP51)</f>
        <v>0</v>
      </c>
      <c r="AQ46" s="2611">
        <f>SUM(AQ47:AQ51)</f>
        <v>0</v>
      </c>
      <c r="AR46" s="2611">
        <f>SUM(AR47:AR51)</f>
        <v>0</v>
      </c>
      <c r="AS46" s="1225">
        <f>SUM(AS47:AS51)</f>
        <v>0</v>
      </c>
      <c r="AT46" s="2611">
        <f>SUM(AT47:AT51)</f>
        <v>0</v>
      </c>
      <c r="AU46" s="2611">
        <f>SUM(AU47:AU51)</f>
        <v>0</v>
      </c>
      <c r="AV46" s="2611">
        <f>SUM(AV47:AV51)</f>
        <v>0</v>
      </c>
      <c r="AW46" s="2611">
        <f>SUM(AW47:AW51)</f>
        <v>0</v>
      </c>
      <c r="AX46" s="2611">
        <f>SUM(AX47:AX51)</f>
        <v>0</v>
      </c>
      <c r="AY46" s="2611">
        <f>SUM(AY47:AY51)</f>
        <v>0</v>
      </c>
      <c r="AZ46" s="2611">
        <f>SUM(AZ47:AZ51)</f>
        <v>0</v>
      </c>
      <c r="BA46" s="2611">
        <f>SUM(BA47:BA51)</f>
        <v>0</v>
      </c>
      <c r="BB46" s="2611">
        <f>SUM(BB47:BB51)</f>
        <v>0</v>
      </c>
      <c r="BC46" s="1887"/>
      <c r="BD46" s="113"/>
      <c r="BE46" s="113"/>
      <c r="BF46" s="1018" t="s">
        <v>888</v>
      </c>
    </row>
    <row customHeight="1" ht="14.625" hidden="1">
      <c r="A47" s="1248"/>
      <c r="B47" s="1160"/>
      <c r="C47" s="1248"/>
      <c r="D47" s="1248"/>
      <c r="E47" s="607">
        <v>15</v>
      </c>
      <c r="F47" s="50" cm="1" t="str">
        <f t="array" ref="F47:F47">OFFSET(E47,-1,1)</f>
        <v>0</v>
      </c>
      <c r="G47" s="70" t="s">
        <v>514</v>
      </c>
      <c r="H47" s="1248"/>
      <c r="I47" s="1248"/>
      <c r="J47" s="1248"/>
      <c r="K47" s="1248"/>
      <c r="L47" s="1248"/>
      <c r="M47" s="1248"/>
      <c r="N47" s="1248"/>
      <c r="O47" s="1248"/>
      <c r="P47" s="1248"/>
      <c r="Q47" s="1248"/>
      <c r="R47" s="1248"/>
      <c r="S47" s="1248"/>
      <c r="T47" s="439" cm="1" t="str">
        <f t="array" ref="T47:T47">T46</f>
        <v>false</v>
      </c>
      <c r="U47" s="1248"/>
      <c r="V47" s="1248"/>
      <c r="W47" s="1248"/>
      <c r="X47" s="1534"/>
      <c r="Y47" s="1248"/>
      <c r="Z47" s="1535"/>
      <c r="AA47" s="1248"/>
      <c r="AB47" s="54" t="s">
        <v>652</v>
      </c>
      <c r="AC47" s="181" t="s">
        <v>846</v>
      </c>
      <c r="AD47" s="55" t="s">
        <v>784</v>
      </c>
      <c r="AE47" s="2614">
        <f>AE29+AE35-AE41</f>
        <v>0</v>
      </c>
      <c r="AF47" s="2614">
        <f>AF29+AF35-AF41</f>
        <v>0</v>
      </c>
      <c r="AG47" s="2614">
        <f>AG29+AG35-AG41</f>
        <v>0</v>
      </c>
      <c r="AH47" s="2614">
        <f>AH29+AH35-AH41</f>
        <v>0</v>
      </c>
      <c r="AI47" s="182">
        <f>AI29+AI35-AI41</f>
        <v>0</v>
      </c>
      <c r="AJ47" s="2614">
        <f>AJ29+AJ35-AJ41</f>
        <v>0</v>
      </c>
      <c r="AK47" s="2614">
        <f>AK29+AK35-AK41</f>
        <v>0</v>
      </c>
      <c r="AL47" s="2614">
        <f>AL29+AL35-AL41</f>
        <v>0</v>
      </c>
      <c r="AM47" s="2614">
        <f>AM29+AM35-AM41</f>
        <v>0</v>
      </c>
      <c r="AN47" s="2614">
        <f>AN29+AN35-AN41</f>
        <v>0</v>
      </c>
      <c r="AO47" s="2614">
        <f>AO29+AO35-AO41</f>
        <v>0</v>
      </c>
      <c r="AP47" s="2614">
        <f>AP29+AP35-AP41</f>
        <v>0</v>
      </c>
      <c r="AQ47" s="2614">
        <f>AQ29+AQ35-AQ41</f>
        <v>0</v>
      </c>
      <c r="AR47" s="2614">
        <f>AR29+AR35-AR41</f>
        <v>0</v>
      </c>
      <c r="AS47" s="182">
        <f>AS29+AS35-AS41</f>
        <v>0</v>
      </c>
      <c r="AT47" s="2614">
        <f>AT29+AT35-AT41</f>
        <v>0</v>
      </c>
      <c r="AU47" s="2614">
        <f>AU29+AU35-AU41</f>
        <v>0</v>
      </c>
      <c r="AV47" s="2614">
        <f>AV29+AV35-AV41</f>
        <v>0</v>
      </c>
      <c r="AW47" s="2614">
        <f>AW29+AW35-AW41</f>
        <v>0</v>
      </c>
      <c r="AX47" s="2614">
        <f>AX29+AX35-AX41</f>
        <v>0</v>
      </c>
      <c r="AY47" s="2614">
        <f>AY29+AY35-AY41</f>
        <v>0</v>
      </c>
      <c r="AZ47" s="2614">
        <f>AZ29+AZ35-AZ41</f>
        <v>0</v>
      </c>
      <c r="BA47" s="2614">
        <f>BA29+BA35-BA41</f>
        <v>0</v>
      </c>
      <c r="BB47" s="2614">
        <f>BB29+BB35-BB41</f>
        <v>0</v>
      </c>
      <c r="BC47" s="1887"/>
      <c r="BD47" s="1248"/>
      <c r="BE47" s="1248"/>
      <c r="BF47" s="1018" t="s">
        <v>889</v>
      </c>
    </row>
    <row customHeight="1" ht="14.625" hidden="1">
      <c r="A48" s="1248"/>
      <c r="B48" s="1160"/>
      <c r="C48" s="1248"/>
      <c r="D48" s="1248"/>
      <c r="E48" s="607">
        <v>15</v>
      </c>
      <c r="F48" s="50" cm="1" t="str">
        <f t="array" ref="F48:F48">OFFSET(E48,-1,1)</f>
        <v>0</v>
      </c>
      <c r="G48" s="70" t="s">
        <v>518</v>
      </c>
      <c r="H48" s="1248"/>
      <c r="I48" s="1248"/>
      <c r="J48" s="1248"/>
      <c r="K48" s="1248"/>
      <c r="L48" s="1248"/>
      <c r="M48" s="1248"/>
      <c r="N48" s="1248"/>
      <c r="O48" s="1248"/>
      <c r="P48" s="1248"/>
      <c r="Q48" s="1248"/>
      <c r="R48" s="1248"/>
      <c r="S48" s="1248"/>
      <c r="T48" s="439" cm="1" t="str">
        <f t="array" ref="T48:T48">T47</f>
        <v>false</v>
      </c>
      <c r="U48" s="1248"/>
      <c r="V48" s="1248"/>
      <c r="W48" s="1248"/>
      <c r="X48" s="1534"/>
      <c r="Y48" s="1248"/>
      <c r="Z48" s="1535"/>
      <c r="AA48" s="1248"/>
      <c r="AB48" s="54" t="s">
        <v>655</v>
      </c>
      <c r="AC48" s="181" t="s">
        <v>849</v>
      </c>
      <c r="AD48" s="55" t="s">
        <v>784</v>
      </c>
      <c r="AE48" s="2614">
        <f>AE30+AE36-AE42</f>
        <v>0</v>
      </c>
      <c r="AF48" s="2614">
        <f>AF30+AF36-AF42</f>
        <v>0</v>
      </c>
      <c r="AG48" s="2614">
        <f>AG30+AG36-AG42</f>
        <v>0</v>
      </c>
      <c r="AH48" s="2614">
        <f>AH30+AH36-AH42</f>
        <v>0</v>
      </c>
      <c r="AI48" s="182">
        <f>AI30+AI36-AI42</f>
        <v>0</v>
      </c>
      <c r="AJ48" s="2614">
        <f>AJ30+AJ36-AJ42</f>
        <v>0</v>
      </c>
      <c r="AK48" s="2614">
        <f>AK30+AK36-AK42</f>
        <v>0</v>
      </c>
      <c r="AL48" s="2614">
        <f>AL30+AL36-AL42</f>
        <v>0</v>
      </c>
      <c r="AM48" s="2614">
        <f>AM30+AM36-AM42</f>
        <v>0</v>
      </c>
      <c r="AN48" s="2614">
        <f>AN30+AN36-AN42</f>
        <v>0</v>
      </c>
      <c r="AO48" s="2614">
        <f>AO30+AO36-AO42</f>
        <v>0</v>
      </c>
      <c r="AP48" s="2614">
        <f>AP30+AP36-AP42</f>
        <v>0</v>
      </c>
      <c r="AQ48" s="2614">
        <f>AQ30+AQ36-AQ42</f>
        <v>0</v>
      </c>
      <c r="AR48" s="2614">
        <f>AR30+AR36-AR42</f>
        <v>0</v>
      </c>
      <c r="AS48" s="182">
        <f>AS30+AS36-AS42</f>
        <v>0</v>
      </c>
      <c r="AT48" s="2614">
        <f>AT30+AT36-AT42</f>
        <v>0</v>
      </c>
      <c r="AU48" s="2614">
        <f>AU30+AU36-AU42</f>
        <v>0</v>
      </c>
      <c r="AV48" s="2614">
        <f>AV30+AV36-AV42</f>
        <v>0</v>
      </c>
      <c r="AW48" s="2614">
        <f>AW30+AW36-AW42</f>
        <v>0</v>
      </c>
      <c r="AX48" s="2614">
        <f>AX30+AX36-AX42</f>
        <v>0</v>
      </c>
      <c r="AY48" s="2614">
        <f>AY30+AY36-AY42</f>
        <v>0</v>
      </c>
      <c r="AZ48" s="2614">
        <f>AZ30+AZ36-AZ42</f>
        <v>0</v>
      </c>
      <c r="BA48" s="2614">
        <f>BA30+BA36-BA42</f>
        <v>0</v>
      </c>
      <c r="BB48" s="2614">
        <f>BB30+BB36-BB42</f>
        <v>0</v>
      </c>
      <c r="BC48" s="1887"/>
      <c r="BD48" s="1248"/>
      <c r="BE48" s="1248"/>
      <c r="BF48" s="1018" t="s">
        <v>890</v>
      </c>
    </row>
    <row customHeight="1" ht="14.625" hidden="1">
      <c r="A49" s="1248"/>
      <c r="B49" s="1160"/>
      <c r="C49" s="1248"/>
      <c r="D49" s="1248"/>
      <c r="E49" s="607">
        <v>15</v>
      </c>
      <c r="F49" s="50" cm="1" t="str">
        <f t="array" ref="F49:F49">OFFSET(E49,-1,1)</f>
        <v>0</v>
      </c>
      <c r="G49" s="70" t="s">
        <v>522</v>
      </c>
      <c r="H49" s="1248"/>
      <c r="I49" s="1248"/>
      <c r="J49" s="1248"/>
      <c r="K49" s="1248"/>
      <c r="L49" s="1248"/>
      <c r="M49" s="1248"/>
      <c r="N49" s="1248"/>
      <c r="O49" s="1248"/>
      <c r="P49" s="1248"/>
      <c r="Q49" s="1248"/>
      <c r="R49" s="1248"/>
      <c r="S49" s="1248"/>
      <c r="T49" s="439" cm="1" t="str">
        <f t="array" ref="T49:T49">T48</f>
        <v>false</v>
      </c>
      <c r="U49" s="1248"/>
      <c r="V49" s="1248"/>
      <c r="W49" s="1248"/>
      <c r="X49" s="1534"/>
      <c r="Y49" s="1248"/>
      <c r="Z49" s="1535"/>
      <c r="AA49" s="1248"/>
      <c r="AB49" s="54" t="s">
        <v>689</v>
      </c>
      <c r="AC49" s="181" t="s">
        <v>852</v>
      </c>
      <c r="AD49" s="55" t="s">
        <v>784</v>
      </c>
      <c r="AE49" s="2614">
        <f>AE31+AE37-AE43</f>
        <v>0</v>
      </c>
      <c r="AF49" s="2614">
        <f>AF31+AF37-AF43</f>
        <v>0</v>
      </c>
      <c r="AG49" s="2614">
        <f>AG31+AG37-AG43</f>
        <v>0</v>
      </c>
      <c r="AH49" s="2614">
        <f>AH31+AH37-AH43</f>
        <v>0</v>
      </c>
      <c r="AI49" s="182">
        <f>AI31+AI37-AI43</f>
        <v>0</v>
      </c>
      <c r="AJ49" s="2614">
        <f>AJ31+AJ37-AJ43</f>
        <v>0</v>
      </c>
      <c r="AK49" s="2614">
        <f>AK31+AK37-AK43</f>
        <v>0</v>
      </c>
      <c r="AL49" s="2614">
        <f>AL31+AL37-AL43</f>
        <v>0</v>
      </c>
      <c r="AM49" s="2614">
        <f>AM31+AM37-AM43</f>
        <v>0</v>
      </c>
      <c r="AN49" s="2614">
        <f>AN31+AN37-AN43</f>
        <v>0</v>
      </c>
      <c r="AO49" s="2614">
        <f>AO31+AO37-AO43</f>
        <v>0</v>
      </c>
      <c r="AP49" s="2614">
        <f>AP31+AP37-AP43</f>
        <v>0</v>
      </c>
      <c r="AQ49" s="2614">
        <f>AQ31+AQ37-AQ43</f>
        <v>0</v>
      </c>
      <c r="AR49" s="2614">
        <f>AR31+AR37-AR43</f>
        <v>0</v>
      </c>
      <c r="AS49" s="182">
        <f>AS31+AS37-AS43</f>
        <v>0</v>
      </c>
      <c r="AT49" s="2614">
        <f>AT31+AT37-AT43</f>
        <v>0</v>
      </c>
      <c r="AU49" s="2614">
        <f>AU31+AU37-AU43</f>
        <v>0</v>
      </c>
      <c r="AV49" s="2614">
        <f>AV31+AV37-AV43</f>
        <v>0</v>
      </c>
      <c r="AW49" s="2614">
        <f>AW31+AW37-AW43</f>
        <v>0</v>
      </c>
      <c r="AX49" s="2614">
        <f>AX31+AX37-AX43</f>
        <v>0</v>
      </c>
      <c r="AY49" s="2614">
        <f>AY31+AY37-AY43</f>
        <v>0</v>
      </c>
      <c r="AZ49" s="2614">
        <f>AZ31+AZ37-AZ43</f>
        <v>0</v>
      </c>
      <c r="BA49" s="2614">
        <f>BA31+BA37-BA43</f>
        <v>0</v>
      </c>
      <c r="BB49" s="2614">
        <f>BB31+BB37-BB43</f>
        <v>0</v>
      </c>
      <c r="BC49" s="1887"/>
      <c r="BD49" s="1248"/>
      <c r="BE49" s="1248"/>
      <c r="BF49" s="1018" t="s">
        <v>891</v>
      </c>
    </row>
    <row customHeight="1" ht="14.625" hidden="1">
      <c r="A50" s="1248"/>
      <c r="B50" s="1160"/>
      <c r="C50" s="1248"/>
      <c r="D50" s="1248"/>
      <c r="E50" s="607">
        <v>15</v>
      </c>
      <c r="F50" s="50" cm="1" t="str">
        <f t="array" ref="F50:F50">OFFSET(E50,-1,1)</f>
        <v>0</v>
      </c>
      <c r="G50" s="70" t="s">
        <v>892</v>
      </c>
      <c r="H50" s="1248"/>
      <c r="I50" s="1248"/>
      <c r="J50" s="1248"/>
      <c r="K50" s="1248"/>
      <c r="L50" s="1248"/>
      <c r="M50" s="1248"/>
      <c r="N50" s="1248"/>
      <c r="O50" s="1248"/>
      <c r="P50" s="1248"/>
      <c r="Q50" s="1248"/>
      <c r="R50" s="1248"/>
      <c r="S50" s="1248"/>
      <c r="T50" s="439" cm="1" t="str">
        <f t="array" ref="T50:T50">T49</f>
        <v>false</v>
      </c>
      <c r="U50" s="1248"/>
      <c r="V50" s="1248"/>
      <c r="W50" s="1248"/>
      <c r="X50" s="1534"/>
      <c r="Y50" s="1248"/>
      <c r="Z50" s="1535"/>
      <c r="AA50" s="1248"/>
      <c r="AB50" s="54" t="s">
        <v>698</v>
      </c>
      <c r="AC50" s="181" t="s">
        <v>855</v>
      </c>
      <c r="AD50" s="55" t="s">
        <v>784</v>
      </c>
      <c r="AE50" s="2614">
        <f>AE32+AE38-AE44</f>
        <v>0</v>
      </c>
      <c r="AF50" s="2614">
        <f>AF32+AF38-AF44</f>
        <v>0</v>
      </c>
      <c r="AG50" s="2614">
        <f>AG32+AG38-AG44</f>
        <v>0</v>
      </c>
      <c r="AH50" s="2614">
        <f>AH32+AH38-AH44</f>
        <v>0</v>
      </c>
      <c r="AI50" s="182">
        <f>AI32+AI38-AI44</f>
        <v>0</v>
      </c>
      <c r="AJ50" s="2614">
        <f>AJ32+AJ38-AJ44</f>
        <v>0</v>
      </c>
      <c r="AK50" s="2614">
        <f>AK32+AK38-AK44</f>
        <v>0</v>
      </c>
      <c r="AL50" s="2614">
        <f>AL32+AL38-AL44</f>
        <v>0</v>
      </c>
      <c r="AM50" s="2614">
        <f>AM32+AM38-AM44</f>
        <v>0</v>
      </c>
      <c r="AN50" s="2614">
        <f>AN32+AN38-AN44</f>
        <v>0</v>
      </c>
      <c r="AO50" s="2614">
        <f>AO32+AO38-AO44</f>
        <v>0</v>
      </c>
      <c r="AP50" s="2614">
        <f>AP32+AP38-AP44</f>
        <v>0</v>
      </c>
      <c r="AQ50" s="2614">
        <f>AQ32+AQ38-AQ44</f>
        <v>0</v>
      </c>
      <c r="AR50" s="2614">
        <f>AR32+AR38-AR44</f>
        <v>0</v>
      </c>
      <c r="AS50" s="182">
        <f>AS32+AS38-AS44</f>
        <v>0</v>
      </c>
      <c r="AT50" s="2614">
        <f>AT32+AT38-AT44</f>
        <v>0</v>
      </c>
      <c r="AU50" s="2614">
        <f>AU32+AU38-AU44</f>
        <v>0</v>
      </c>
      <c r="AV50" s="2614">
        <f>AV32+AV38-AV44</f>
        <v>0</v>
      </c>
      <c r="AW50" s="2614">
        <f>AW32+AW38-AW44</f>
        <v>0</v>
      </c>
      <c r="AX50" s="2614">
        <f>AX32+AX38-AX44</f>
        <v>0</v>
      </c>
      <c r="AY50" s="2614">
        <f>AY32+AY38-AY44</f>
        <v>0</v>
      </c>
      <c r="AZ50" s="2614">
        <f>AZ32+AZ38-AZ44</f>
        <v>0</v>
      </c>
      <c r="BA50" s="2614">
        <f>BA32+BA38-BA44</f>
        <v>0</v>
      </c>
      <c r="BB50" s="2614">
        <f>BB32+BB38-BB44</f>
        <v>0</v>
      </c>
      <c r="BC50" s="1887"/>
      <c r="BD50" s="1248"/>
      <c r="BE50" s="1248"/>
      <c r="BF50" s="1018" t="s">
        <v>893</v>
      </c>
    </row>
    <row customHeight="1" ht="14.625" hidden="1">
      <c r="A51" s="1248"/>
      <c r="B51" s="1160"/>
      <c r="C51" s="1248"/>
      <c r="D51" s="1248"/>
      <c r="E51" s="607">
        <v>15</v>
      </c>
      <c r="F51" s="50" cm="1" t="str">
        <f t="array" ref="F51:F51">OFFSET(E51,-1,1)</f>
        <v>0</v>
      </c>
      <c r="G51" s="70" t="s">
        <v>894</v>
      </c>
      <c r="H51" s="1248"/>
      <c r="I51" s="1248"/>
      <c r="J51" s="1248"/>
      <c r="K51" s="1248"/>
      <c r="L51" s="1248"/>
      <c r="M51" s="1248"/>
      <c r="N51" s="1248"/>
      <c r="O51" s="1248"/>
      <c r="P51" s="1248"/>
      <c r="Q51" s="1248"/>
      <c r="R51" s="1248"/>
      <c r="S51" s="1248"/>
      <c r="T51" s="439" cm="1" t="str">
        <f t="array" ref="T51:T51">T50</f>
        <v>false</v>
      </c>
      <c r="U51" s="1248"/>
      <c r="V51" s="1248"/>
      <c r="W51" s="1248"/>
      <c r="X51" s="1534"/>
      <c r="Y51" s="1248"/>
      <c r="Z51" s="1535"/>
      <c r="AA51" s="1248"/>
      <c r="AB51" s="54" t="s">
        <v>708</v>
      </c>
      <c r="AC51" s="181" t="s">
        <v>859</v>
      </c>
      <c r="AD51" s="55" t="s">
        <v>784</v>
      </c>
      <c r="AE51" s="2614">
        <f>AE33+AE39-AE45</f>
        <v>0</v>
      </c>
      <c r="AF51" s="2614">
        <f>AF33+AF39-AF45</f>
        <v>0</v>
      </c>
      <c r="AG51" s="2614">
        <f>AG33+AG39-AG45</f>
        <v>0</v>
      </c>
      <c r="AH51" s="2614">
        <f>AH33+AH39-AH45</f>
        <v>0</v>
      </c>
      <c r="AI51" s="182">
        <f>AI33+AI39-AI45</f>
        <v>0</v>
      </c>
      <c r="AJ51" s="2614">
        <f>AJ33+AJ39-AJ45</f>
        <v>0</v>
      </c>
      <c r="AK51" s="2614">
        <f>AK33+AK39-AK45</f>
        <v>0</v>
      </c>
      <c r="AL51" s="2614">
        <f>AL33+AL39-AL45</f>
        <v>0</v>
      </c>
      <c r="AM51" s="2614">
        <f>AM33+AM39-AM45</f>
        <v>0</v>
      </c>
      <c r="AN51" s="2614">
        <f>AN33+AN39-AN45</f>
        <v>0</v>
      </c>
      <c r="AO51" s="2614">
        <f>AO33+AO39-AO45</f>
        <v>0</v>
      </c>
      <c r="AP51" s="2614">
        <f>AP33+AP39-AP45</f>
        <v>0</v>
      </c>
      <c r="AQ51" s="2614">
        <f>AQ33+AQ39-AQ45</f>
        <v>0</v>
      </c>
      <c r="AR51" s="2614">
        <f>AR33+AR39-AR45</f>
        <v>0</v>
      </c>
      <c r="AS51" s="182">
        <f>AS33+AS39-AS45</f>
        <v>0</v>
      </c>
      <c r="AT51" s="2614">
        <f>AT33+AT39-AT45</f>
        <v>0</v>
      </c>
      <c r="AU51" s="2614">
        <f>AU33+AU39-AU45</f>
        <v>0</v>
      </c>
      <c r="AV51" s="2614">
        <f>AV33+AV39-AV45</f>
        <v>0</v>
      </c>
      <c r="AW51" s="2614">
        <f>AW33+AW39-AW45</f>
        <v>0</v>
      </c>
      <c r="AX51" s="2614">
        <f>AX33+AX39-AX45</f>
        <v>0</v>
      </c>
      <c r="AY51" s="2614">
        <f>AY33+AY39-AY45</f>
        <v>0</v>
      </c>
      <c r="AZ51" s="2614">
        <f>AZ33+AZ39-AZ45</f>
        <v>0</v>
      </c>
      <c r="BA51" s="2614">
        <f>BA33+BA39-BA45</f>
        <v>0</v>
      </c>
      <c r="BB51" s="2614">
        <f>BB33+BB39-BB45</f>
        <v>0</v>
      </c>
      <c r="BC51" s="1887"/>
      <c r="BD51" s="1248"/>
      <c r="BE51" s="1248"/>
      <c r="BF51" s="1018" t="s">
        <v>895</v>
      </c>
    </row>
    <row s="113" customFormat="1" customHeight="1" ht="14.625" hidden="1">
      <c r="A52" s="113"/>
      <c r="B52" s="404"/>
      <c r="C52" s="113"/>
      <c r="D52" s="113"/>
      <c r="E52" s="607">
        <v>15</v>
      </c>
      <c r="F52" s="50" cm="1" t="str">
        <f t="array" ref="F52:F52">OFFSET(E52,-1,1)</f>
        <v>0</v>
      </c>
      <c r="G52" s="70" t="s">
        <v>328</v>
      </c>
      <c r="H52" s="113"/>
      <c r="I52" s="113"/>
      <c r="J52" s="113"/>
      <c r="K52" s="113"/>
      <c r="L52" s="113"/>
      <c r="M52" s="113"/>
      <c r="N52" s="113"/>
      <c r="O52" s="113"/>
      <c r="P52" s="113"/>
      <c r="Q52" s="113"/>
      <c r="R52" s="113"/>
      <c r="S52" s="113"/>
      <c r="T52" s="439" cm="1" t="str">
        <f t="array" ref="T52:T52">T51</f>
        <v>false</v>
      </c>
      <c r="U52" s="113"/>
      <c r="V52" s="113"/>
      <c r="W52" s="113"/>
      <c r="X52" s="1534"/>
      <c r="Y52" s="113"/>
      <c r="Z52" s="1535"/>
      <c r="AA52" s="113"/>
      <c r="AB52" s="178">
        <v>5</v>
      </c>
      <c r="AC52" s="179" t="s">
        <v>896</v>
      </c>
      <c r="AD52" s="55" t="s">
        <v>784</v>
      </c>
      <c r="AE52" s="2611">
        <f>SUM(AE53:AE57)</f>
        <v>0</v>
      </c>
      <c r="AF52" s="2611">
        <f>SUM(AF53:AF57)</f>
        <v>0</v>
      </c>
      <c r="AG52" s="2611">
        <f>SUM(AG53:AG57)</f>
        <v>0</v>
      </c>
      <c r="AH52" s="2611">
        <f>SUM(AH53:AH57)</f>
        <v>0</v>
      </c>
      <c r="AI52" s="1225">
        <f>SUM(AI53:AI57)</f>
        <v>0</v>
      </c>
      <c r="AJ52" s="2611">
        <f>SUM(AJ53:AJ57)</f>
        <v>0</v>
      </c>
      <c r="AK52" s="2611">
        <f>SUM(AK53:AK57)</f>
        <v>0</v>
      </c>
      <c r="AL52" s="2611">
        <f>SUM(AL53:AL57)</f>
        <v>0</v>
      </c>
      <c r="AM52" s="2611">
        <f>SUM(AM53:AM57)</f>
        <v>0</v>
      </c>
      <c r="AN52" s="2611">
        <f>SUM(AN53:AN57)</f>
        <v>0</v>
      </c>
      <c r="AO52" s="2611">
        <f>SUM(AO53:AO57)</f>
        <v>0</v>
      </c>
      <c r="AP52" s="2611">
        <f>SUM(AP53:AP57)</f>
        <v>0</v>
      </c>
      <c r="AQ52" s="2611">
        <f>SUM(AQ53:AQ57)</f>
        <v>0</v>
      </c>
      <c r="AR52" s="2611">
        <f>SUM(AR53:AR57)</f>
        <v>0</v>
      </c>
      <c r="AS52" s="1225">
        <f>SUM(AS53:AS57)</f>
        <v>0</v>
      </c>
      <c r="AT52" s="2611">
        <f>SUM(AT53:AT57)</f>
        <v>0</v>
      </c>
      <c r="AU52" s="2611">
        <f>SUM(AU53:AU57)</f>
        <v>0</v>
      </c>
      <c r="AV52" s="2611">
        <f>SUM(AV53:AV57)</f>
        <v>0</v>
      </c>
      <c r="AW52" s="2611">
        <f>SUM(AW53:AW57)</f>
        <v>0</v>
      </c>
      <c r="AX52" s="2611">
        <f>SUM(AX53:AX57)</f>
        <v>0</v>
      </c>
      <c r="AY52" s="2611">
        <f>SUM(AY53:AY57)</f>
        <v>0</v>
      </c>
      <c r="AZ52" s="2611">
        <f>SUM(AZ53:AZ57)</f>
        <v>0</v>
      </c>
      <c r="BA52" s="2611">
        <f>SUM(BA53:BA57)</f>
        <v>0</v>
      </c>
      <c r="BB52" s="2611">
        <f>SUM(BB53:BB57)</f>
        <v>0</v>
      </c>
      <c r="BC52" s="1887"/>
      <c r="BD52" s="113"/>
      <c r="BE52" s="113"/>
      <c r="BF52" s="1018" t="s">
        <v>897</v>
      </c>
    </row>
    <row customHeight="1" ht="14.625" hidden="1">
      <c r="A53" s="1248"/>
      <c r="B53" s="1160"/>
      <c r="C53" s="1248"/>
      <c r="D53" s="1248"/>
      <c r="E53" s="607">
        <v>15</v>
      </c>
      <c r="F53" s="50" cm="1" t="str">
        <f t="array" ref="F53:F53">OFFSET(E53,-1,1)</f>
        <v>0</v>
      </c>
      <c r="G53" s="70" t="s">
        <v>528</v>
      </c>
      <c r="H53" s="1248"/>
      <c r="I53" s="1248"/>
      <c r="J53" s="1248"/>
      <c r="K53" s="1248"/>
      <c r="L53" s="1248"/>
      <c r="M53" s="1248"/>
      <c r="N53" s="1248"/>
      <c r="O53" s="1248"/>
      <c r="P53" s="1248"/>
      <c r="Q53" s="1248"/>
      <c r="R53" s="1248"/>
      <c r="S53" s="1248"/>
      <c r="T53" s="439" cm="1" t="str">
        <f t="array" ref="T53:T53">T52</f>
        <v>false</v>
      </c>
      <c r="U53" s="1248"/>
      <c r="V53" s="1248"/>
      <c r="W53" s="1248"/>
      <c r="X53" s="1534"/>
      <c r="Y53" s="1248"/>
      <c r="Z53" s="1535"/>
      <c r="AA53" s="1248"/>
      <c r="AB53" s="54" t="s">
        <v>659</v>
      </c>
      <c r="AC53" s="181" t="s">
        <v>846</v>
      </c>
      <c r="AD53" s="55" t="s">
        <v>784</v>
      </c>
      <c r="AE53" s="2614">
        <f>(AE47+AE29)/2</f>
        <v>0</v>
      </c>
      <c r="AF53" s="2614">
        <f>(AF47+AF29)/2</f>
        <v>0</v>
      </c>
      <c r="AG53" s="2614">
        <f>(AG47+AG29)/2</f>
        <v>0</v>
      </c>
      <c r="AH53" s="2614">
        <f>(AH47+AH29)/2</f>
        <v>0</v>
      </c>
      <c r="AI53" s="182">
        <f>(AI47+AI29)/2</f>
        <v>0</v>
      </c>
      <c r="AJ53" s="2614">
        <f>(AJ47+AJ29)/2</f>
        <v>0</v>
      </c>
      <c r="AK53" s="2614">
        <f>(AK47+AK29)/2</f>
        <v>0</v>
      </c>
      <c r="AL53" s="2614">
        <f>(AL47+AL29)/2</f>
        <v>0</v>
      </c>
      <c r="AM53" s="2614">
        <f>(AM47+AM29)/2</f>
        <v>0</v>
      </c>
      <c r="AN53" s="2614">
        <f>(AN47+AN29)/2</f>
        <v>0</v>
      </c>
      <c r="AO53" s="2614">
        <f>(AO47+AO29)/2</f>
        <v>0</v>
      </c>
      <c r="AP53" s="2614">
        <f>(AP47+AP29)/2</f>
        <v>0</v>
      </c>
      <c r="AQ53" s="2614">
        <f>(AQ47+AQ29)/2</f>
        <v>0</v>
      </c>
      <c r="AR53" s="2614">
        <f>(AR47+AR29)/2</f>
        <v>0</v>
      </c>
      <c r="AS53" s="182">
        <f>(AS47+AS29)/2</f>
        <v>0</v>
      </c>
      <c r="AT53" s="2614">
        <f>(AT47+AT29)/2</f>
        <v>0</v>
      </c>
      <c r="AU53" s="2614">
        <f>(AU47+AU29)/2</f>
        <v>0</v>
      </c>
      <c r="AV53" s="2614">
        <f>(AV47+AV29)/2</f>
        <v>0</v>
      </c>
      <c r="AW53" s="2614">
        <f>(AW47+AW29)/2</f>
        <v>0</v>
      </c>
      <c r="AX53" s="2614">
        <f>(AX47+AX29)/2</f>
        <v>0</v>
      </c>
      <c r="AY53" s="2614">
        <f>(AY47+AY29)/2</f>
        <v>0</v>
      </c>
      <c r="AZ53" s="2614">
        <f>(AZ47+AZ29)/2</f>
        <v>0</v>
      </c>
      <c r="BA53" s="2614">
        <f>(BA47+BA29)/2</f>
        <v>0</v>
      </c>
      <c r="BB53" s="2614">
        <f>(BB47+BB29)/2</f>
        <v>0</v>
      </c>
      <c r="BC53" s="1887"/>
      <c r="BD53" s="1248"/>
      <c r="BE53" s="1248"/>
      <c r="BF53" s="1018" t="s">
        <v>898</v>
      </c>
    </row>
    <row customHeight="1" ht="14.625" hidden="1">
      <c r="A54" s="1248"/>
      <c r="B54" s="1160"/>
      <c r="C54" s="1248"/>
      <c r="D54" s="1248"/>
      <c r="E54" s="607">
        <v>15</v>
      </c>
      <c r="F54" s="50" cm="1" t="str">
        <f t="array" ref="F54:F54">OFFSET(E54,-1,1)</f>
        <v>0</v>
      </c>
      <c r="G54" s="70" t="s">
        <v>532</v>
      </c>
      <c r="H54" s="1248"/>
      <c r="I54" s="1248"/>
      <c r="J54" s="1248"/>
      <c r="K54" s="1248"/>
      <c r="L54" s="1248"/>
      <c r="M54" s="1248"/>
      <c r="N54" s="1248"/>
      <c r="O54" s="1248"/>
      <c r="P54" s="1248"/>
      <c r="Q54" s="1248"/>
      <c r="R54" s="1248"/>
      <c r="S54" s="1248"/>
      <c r="T54" s="439" cm="1" t="str">
        <f t="array" ref="T54:T54">T53</f>
        <v>false</v>
      </c>
      <c r="U54" s="1248"/>
      <c r="V54" s="1248"/>
      <c r="W54" s="1248"/>
      <c r="X54" s="1534"/>
      <c r="Y54" s="1248"/>
      <c r="Z54" s="1535"/>
      <c r="AA54" s="1248"/>
      <c r="AB54" s="54" t="s">
        <v>662</v>
      </c>
      <c r="AC54" s="181" t="s">
        <v>849</v>
      </c>
      <c r="AD54" s="55" t="s">
        <v>784</v>
      </c>
      <c r="AE54" s="2614">
        <f>(AE48+AE30)/2</f>
        <v>0</v>
      </c>
      <c r="AF54" s="2614">
        <f>(AF48+AF30)/2</f>
        <v>0</v>
      </c>
      <c r="AG54" s="2614">
        <f>(AG48+AG30)/2</f>
        <v>0</v>
      </c>
      <c r="AH54" s="2614">
        <f>(AH48+AH30)/2</f>
        <v>0</v>
      </c>
      <c r="AI54" s="182">
        <f>(AI48+AI30)/2</f>
        <v>0</v>
      </c>
      <c r="AJ54" s="2614">
        <f>(AJ48+AJ30)/2</f>
        <v>0</v>
      </c>
      <c r="AK54" s="2614">
        <f>(AK48+AK30)/2</f>
        <v>0</v>
      </c>
      <c r="AL54" s="2614">
        <f>(AL48+AL30)/2</f>
        <v>0</v>
      </c>
      <c r="AM54" s="2614">
        <f>(AM48+AM30)/2</f>
        <v>0</v>
      </c>
      <c r="AN54" s="2614">
        <f>(AN48+AN30)/2</f>
        <v>0</v>
      </c>
      <c r="AO54" s="2614">
        <f>(AO48+AO30)/2</f>
        <v>0</v>
      </c>
      <c r="AP54" s="2614">
        <f>(AP48+AP30)/2</f>
        <v>0</v>
      </c>
      <c r="AQ54" s="2614">
        <f>(AQ48+AQ30)/2</f>
        <v>0</v>
      </c>
      <c r="AR54" s="2614">
        <f>(AR48+AR30)/2</f>
        <v>0</v>
      </c>
      <c r="AS54" s="182">
        <f>(AS48+AS30)/2</f>
        <v>0</v>
      </c>
      <c r="AT54" s="2614">
        <f>(AT48+AT30)/2</f>
        <v>0</v>
      </c>
      <c r="AU54" s="2614">
        <f>(AU48+AU30)/2</f>
        <v>0</v>
      </c>
      <c r="AV54" s="2614">
        <f>(AV48+AV30)/2</f>
        <v>0</v>
      </c>
      <c r="AW54" s="2614">
        <f>(AW48+AW30)/2</f>
        <v>0</v>
      </c>
      <c r="AX54" s="2614">
        <f>(AX48+AX30)/2</f>
        <v>0</v>
      </c>
      <c r="AY54" s="2614">
        <f>(AY48+AY30)/2</f>
        <v>0</v>
      </c>
      <c r="AZ54" s="2614">
        <f>(AZ48+AZ30)/2</f>
        <v>0</v>
      </c>
      <c r="BA54" s="2614">
        <f>(BA48+BA30)/2</f>
        <v>0</v>
      </c>
      <c r="BB54" s="2614">
        <f>(BB48+BB30)/2</f>
        <v>0</v>
      </c>
      <c r="BC54" s="1887"/>
      <c r="BD54" s="1248"/>
      <c r="BE54" s="1248"/>
      <c r="BF54" s="1018" t="s">
        <v>899</v>
      </c>
    </row>
    <row customHeight="1" ht="14.625" hidden="1">
      <c r="A55" s="1248"/>
      <c r="B55" s="1160"/>
      <c r="C55" s="1248"/>
      <c r="D55" s="1248"/>
      <c r="E55" s="607">
        <v>15</v>
      </c>
      <c r="F55" s="50" cm="1" t="str">
        <f t="array" ref="F55:F55">OFFSET(E55,-1,1)</f>
        <v>0</v>
      </c>
      <c r="G55" s="70" t="s">
        <v>749</v>
      </c>
      <c r="H55" s="1248"/>
      <c r="I55" s="1248"/>
      <c r="J55" s="1248"/>
      <c r="K55" s="1248"/>
      <c r="L55" s="1248"/>
      <c r="M55" s="1248"/>
      <c r="N55" s="1248"/>
      <c r="O55" s="1248"/>
      <c r="P55" s="1248"/>
      <c r="Q55" s="1248"/>
      <c r="R55" s="1248"/>
      <c r="S55" s="1248"/>
      <c r="T55" s="439" cm="1" t="str">
        <f t="array" ref="T55:T55">T54</f>
        <v>false</v>
      </c>
      <c r="U55" s="1248"/>
      <c r="V55" s="1248"/>
      <c r="W55" s="1248"/>
      <c r="X55" s="1534"/>
      <c r="Y55" s="1248"/>
      <c r="Z55" s="1535"/>
      <c r="AA55" s="1248"/>
      <c r="AB55" s="54" t="s">
        <v>900</v>
      </c>
      <c r="AC55" s="181" t="s">
        <v>852</v>
      </c>
      <c r="AD55" s="55" t="s">
        <v>784</v>
      </c>
      <c r="AE55" s="2614">
        <f>(AE49+AE31)/2</f>
        <v>0</v>
      </c>
      <c r="AF55" s="2614">
        <f>(AF49+AF31)/2</f>
        <v>0</v>
      </c>
      <c r="AG55" s="2614">
        <f>(AG49+AG31)/2</f>
        <v>0</v>
      </c>
      <c r="AH55" s="2614">
        <f>(AH49+AH31)/2</f>
        <v>0</v>
      </c>
      <c r="AI55" s="182">
        <f>(AI49+AI31)/2</f>
        <v>0</v>
      </c>
      <c r="AJ55" s="2614">
        <f>(AJ49+AJ31)/2</f>
        <v>0</v>
      </c>
      <c r="AK55" s="2614">
        <f>(AK49+AK31)/2</f>
        <v>0</v>
      </c>
      <c r="AL55" s="2614">
        <f>(AL49+AL31)/2</f>
        <v>0</v>
      </c>
      <c r="AM55" s="2614">
        <f>(AM49+AM31)/2</f>
        <v>0</v>
      </c>
      <c r="AN55" s="2614">
        <f>(AN49+AN31)/2</f>
        <v>0</v>
      </c>
      <c r="AO55" s="2614">
        <f>(AO49+AO31)/2</f>
        <v>0</v>
      </c>
      <c r="AP55" s="2614">
        <f>(AP49+AP31)/2</f>
        <v>0</v>
      </c>
      <c r="AQ55" s="2614">
        <f>(AQ49+AQ31)/2</f>
        <v>0</v>
      </c>
      <c r="AR55" s="2614">
        <f>(AR49+AR31)/2</f>
        <v>0</v>
      </c>
      <c r="AS55" s="182">
        <f>(AS49+AS31)/2</f>
        <v>0</v>
      </c>
      <c r="AT55" s="2614">
        <f>(AT49+AT31)/2</f>
        <v>0</v>
      </c>
      <c r="AU55" s="2614">
        <f>(AU49+AU31)/2</f>
        <v>0</v>
      </c>
      <c r="AV55" s="2614">
        <f>(AV49+AV31)/2</f>
        <v>0</v>
      </c>
      <c r="AW55" s="2614">
        <f>(AW49+AW31)/2</f>
        <v>0</v>
      </c>
      <c r="AX55" s="2614">
        <f>(AX49+AX31)/2</f>
        <v>0</v>
      </c>
      <c r="AY55" s="2614">
        <f>(AY49+AY31)/2</f>
        <v>0</v>
      </c>
      <c r="AZ55" s="2614">
        <f>(AZ49+AZ31)/2</f>
        <v>0</v>
      </c>
      <c r="BA55" s="2614">
        <f>(BA49+BA31)/2</f>
        <v>0</v>
      </c>
      <c r="BB55" s="2614">
        <f>(BB49+BB31)/2</f>
        <v>0</v>
      </c>
      <c r="BC55" s="1887"/>
      <c r="BD55" s="1248"/>
      <c r="BE55" s="1248"/>
      <c r="BF55" s="1018" t="s">
        <v>901</v>
      </c>
    </row>
    <row customHeight="1" ht="14.625" hidden="1">
      <c r="A56" s="1248"/>
      <c r="B56" s="1160"/>
      <c r="C56" s="1248"/>
      <c r="D56" s="1248"/>
      <c r="E56" s="607">
        <v>15</v>
      </c>
      <c r="F56" s="50" cm="1" t="str">
        <f t="array" ref="F56:F56">OFFSET(E56,-1,1)</f>
        <v>0</v>
      </c>
      <c r="G56" s="70" t="s">
        <v>902</v>
      </c>
      <c r="H56" s="1248"/>
      <c r="I56" s="1248"/>
      <c r="J56" s="1248"/>
      <c r="K56" s="1248"/>
      <c r="L56" s="1248"/>
      <c r="M56" s="1248"/>
      <c r="N56" s="1248"/>
      <c r="O56" s="1248"/>
      <c r="P56" s="1248"/>
      <c r="Q56" s="1248"/>
      <c r="R56" s="1248"/>
      <c r="S56" s="1248"/>
      <c r="T56" s="439" cm="1" t="str">
        <f t="array" ref="T56:T56">T55</f>
        <v>false</v>
      </c>
      <c r="U56" s="1248"/>
      <c r="V56" s="1248"/>
      <c r="W56" s="1248"/>
      <c r="X56" s="1534"/>
      <c r="Y56" s="1248"/>
      <c r="Z56" s="1535"/>
      <c r="AA56" s="1248"/>
      <c r="AB56" s="54" t="s">
        <v>903</v>
      </c>
      <c r="AC56" s="181" t="s">
        <v>855</v>
      </c>
      <c r="AD56" s="55" t="s">
        <v>784</v>
      </c>
      <c r="AE56" s="2614">
        <f>(AE50+AE32)/2</f>
        <v>0</v>
      </c>
      <c r="AF56" s="2614">
        <f>(AF50+AF32)/2</f>
        <v>0</v>
      </c>
      <c r="AG56" s="2614">
        <f>(AG50+AG32)/2</f>
        <v>0</v>
      </c>
      <c r="AH56" s="2614">
        <f>(AH50+AH32)/2</f>
        <v>0</v>
      </c>
      <c r="AI56" s="182">
        <f>(AI50+AI32)/2</f>
        <v>0</v>
      </c>
      <c r="AJ56" s="2614">
        <f>(AJ50+AJ32)/2</f>
        <v>0</v>
      </c>
      <c r="AK56" s="2614">
        <f>(AK50+AK32)/2</f>
        <v>0</v>
      </c>
      <c r="AL56" s="2614">
        <f>(AL50+AL32)/2</f>
        <v>0</v>
      </c>
      <c r="AM56" s="2614">
        <f>(AM50+AM32)/2</f>
        <v>0</v>
      </c>
      <c r="AN56" s="2614">
        <f>(AN50+AN32)/2</f>
        <v>0</v>
      </c>
      <c r="AO56" s="2614">
        <f>(AO50+AO32)/2</f>
        <v>0</v>
      </c>
      <c r="AP56" s="2614">
        <f>(AP50+AP32)/2</f>
        <v>0</v>
      </c>
      <c r="AQ56" s="2614">
        <f>(AQ50+AQ32)/2</f>
        <v>0</v>
      </c>
      <c r="AR56" s="2614">
        <f>(AR50+AR32)/2</f>
        <v>0</v>
      </c>
      <c r="AS56" s="182">
        <f>(AS50+AS32)/2</f>
        <v>0</v>
      </c>
      <c r="AT56" s="2614">
        <f>(AT50+AT32)/2</f>
        <v>0</v>
      </c>
      <c r="AU56" s="2614">
        <f>(AU50+AU32)/2</f>
        <v>0</v>
      </c>
      <c r="AV56" s="2614">
        <f>(AV50+AV32)/2</f>
        <v>0</v>
      </c>
      <c r="AW56" s="2614">
        <f>(AW50+AW32)/2</f>
        <v>0</v>
      </c>
      <c r="AX56" s="2614">
        <f>(AX50+AX32)/2</f>
        <v>0</v>
      </c>
      <c r="AY56" s="2614">
        <f>(AY50+AY32)/2</f>
        <v>0</v>
      </c>
      <c r="AZ56" s="2614">
        <f>(AZ50+AZ32)/2</f>
        <v>0</v>
      </c>
      <c r="BA56" s="2614">
        <f>(BA50+BA32)/2</f>
        <v>0</v>
      </c>
      <c r="BB56" s="2614">
        <f>(BB50+BB32)/2</f>
        <v>0</v>
      </c>
      <c r="BC56" s="1887"/>
      <c r="BD56" s="1248"/>
      <c r="BE56" s="1248"/>
      <c r="BF56" s="1018" t="s">
        <v>904</v>
      </c>
    </row>
    <row customHeight="1" ht="14.625" hidden="1">
      <c r="A57" s="1248"/>
      <c r="B57" s="1160"/>
      <c r="C57" s="1248"/>
      <c r="D57" s="1248"/>
      <c r="E57" s="607">
        <v>15</v>
      </c>
      <c r="F57" s="50" cm="1" t="str">
        <f t="array" ref="F57:F57">OFFSET(E57,-1,1)</f>
        <v>0</v>
      </c>
      <c r="G57" s="70" t="s">
        <v>905</v>
      </c>
      <c r="H57" s="1248"/>
      <c r="I57" s="1248"/>
      <c r="J57" s="1248"/>
      <c r="K57" s="1248"/>
      <c r="L57" s="1248"/>
      <c r="M57" s="1248"/>
      <c r="N57" s="1248"/>
      <c r="O57" s="1248"/>
      <c r="P57" s="1248"/>
      <c r="Q57" s="1248"/>
      <c r="R57" s="1248"/>
      <c r="S57" s="1248"/>
      <c r="T57" s="439" cm="1" t="str">
        <f t="array" ref="T57:T57">T56</f>
        <v>false</v>
      </c>
      <c r="U57" s="1248"/>
      <c r="V57" s="1248"/>
      <c r="W57" s="1248"/>
      <c r="X57" s="1534"/>
      <c r="Y57" s="1248"/>
      <c r="Z57" s="1535"/>
      <c r="AA57" s="1248"/>
      <c r="AB57" s="54" t="s">
        <v>906</v>
      </c>
      <c r="AC57" s="181" t="s">
        <v>859</v>
      </c>
      <c r="AD57" s="55" t="s">
        <v>784</v>
      </c>
      <c r="AE57" s="2614">
        <f>(AE51+AE33)/2</f>
        <v>0</v>
      </c>
      <c r="AF57" s="2614">
        <f>(AF51+AF33)/2</f>
        <v>0</v>
      </c>
      <c r="AG57" s="2614">
        <f>(AG51+AG33)/2</f>
        <v>0</v>
      </c>
      <c r="AH57" s="2614">
        <f>(AH51+AH33)/2</f>
        <v>0</v>
      </c>
      <c r="AI57" s="182">
        <f>(AI51+AI33)/2</f>
        <v>0</v>
      </c>
      <c r="AJ57" s="2614">
        <f>(AJ51+AJ33)/2</f>
        <v>0</v>
      </c>
      <c r="AK57" s="2614">
        <f>(AK51+AK33)/2</f>
        <v>0</v>
      </c>
      <c r="AL57" s="2614">
        <f>(AL51+AL33)/2</f>
        <v>0</v>
      </c>
      <c r="AM57" s="2614">
        <f>(AM51+AM33)/2</f>
        <v>0</v>
      </c>
      <c r="AN57" s="2614">
        <f>(AN51+AN33)/2</f>
        <v>0</v>
      </c>
      <c r="AO57" s="2614">
        <f>(AO51+AO33)/2</f>
        <v>0</v>
      </c>
      <c r="AP57" s="2614">
        <f>(AP51+AP33)/2</f>
        <v>0</v>
      </c>
      <c r="AQ57" s="2614">
        <f>(AQ51+AQ33)/2</f>
        <v>0</v>
      </c>
      <c r="AR57" s="2614">
        <f>(AR51+AR33)/2</f>
        <v>0</v>
      </c>
      <c r="AS57" s="182">
        <f>(AS51+AS33)/2</f>
        <v>0</v>
      </c>
      <c r="AT57" s="2614">
        <f>(AT51+AT33)/2</f>
        <v>0</v>
      </c>
      <c r="AU57" s="2614">
        <f>(AU51+AU33)/2</f>
        <v>0</v>
      </c>
      <c r="AV57" s="2614">
        <f>(AV51+AV33)/2</f>
        <v>0</v>
      </c>
      <c r="AW57" s="2614">
        <f>(AW51+AW33)/2</f>
        <v>0</v>
      </c>
      <c r="AX57" s="2614">
        <f>(AX51+AX33)/2</f>
        <v>0</v>
      </c>
      <c r="AY57" s="2614">
        <f>(AY51+AY33)/2</f>
        <v>0</v>
      </c>
      <c r="AZ57" s="2614">
        <f>(AZ51+AZ33)/2</f>
        <v>0</v>
      </c>
      <c r="BA57" s="2614">
        <f>(BA51+BA33)/2</f>
        <v>0</v>
      </c>
      <c r="BB57" s="2614">
        <f>(BB51+BB33)/2</f>
        <v>0</v>
      </c>
      <c r="BC57" s="1887"/>
      <c r="BD57" s="1248"/>
      <c r="BE57" s="1248"/>
      <c r="BF57" s="1018" t="s">
        <v>907</v>
      </c>
    </row>
    <row s="113" customFormat="1" customHeight="1" ht="21.9375" hidden="1">
      <c r="A58" s="113"/>
      <c r="B58" s="404"/>
      <c r="C58" s="113"/>
      <c r="D58" s="113"/>
      <c r="E58" s="649">
        <v>22.5</v>
      </c>
      <c r="F58" s="50" cm="1" t="str">
        <f t="array" ref="F58:F58">OFFSET(E58,-1,1)</f>
        <v>0</v>
      </c>
      <c r="G58" s="70" t="s">
        <v>491</v>
      </c>
      <c r="H58" s="113"/>
      <c r="I58" s="113"/>
      <c r="J58" s="113"/>
      <c r="K58" s="113"/>
      <c r="L58" s="113"/>
      <c r="M58" s="113"/>
      <c r="N58" s="113"/>
      <c r="O58" s="113"/>
      <c r="P58" s="113"/>
      <c r="Q58" s="113"/>
      <c r="R58" s="113"/>
      <c r="S58" s="113"/>
      <c r="T58" s="439" cm="1" t="str">
        <f t="array" ref="T58:T58">T57</f>
        <v>false</v>
      </c>
      <c r="U58" s="113"/>
      <c r="V58" s="113"/>
      <c r="W58" s="113"/>
      <c r="X58" s="1534"/>
      <c r="Y58" s="113"/>
      <c r="Z58" s="1535"/>
      <c r="AA58" s="113"/>
      <c r="AB58" s="178">
        <v>6</v>
      </c>
      <c r="AC58" s="179" t="s">
        <v>908</v>
      </c>
      <c r="AD58" s="178"/>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87"/>
      <c r="BD58" s="113"/>
      <c r="BE58" s="113"/>
      <c r="BF58" s="1018" t="s">
        <v>909</v>
      </c>
    </row>
    <row customHeight="1" ht="14.625" hidden="1">
      <c r="A59" s="1248"/>
      <c r="B59" s="1160"/>
      <c r="C59" s="1248"/>
      <c r="D59" s="1248"/>
      <c r="E59" s="607">
        <v>15</v>
      </c>
      <c r="F59" s="50" cm="1" t="str">
        <f t="array" ref="F59:F59">OFFSET(E59,-1,1)</f>
        <v>0</v>
      </c>
      <c r="G59" s="70" t="s">
        <v>651</v>
      </c>
      <c r="H59" s="1248"/>
      <c r="I59" s="1248"/>
      <c r="J59" s="1248"/>
      <c r="K59" s="1248"/>
      <c r="L59" s="1248"/>
      <c r="M59" s="1248"/>
      <c r="N59" s="1248"/>
      <c r="O59" s="1248"/>
      <c r="P59" s="1248"/>
      <c r="Q59" s="1248"/>
      <c r="R59" s="1248"/>
      <c r="S59" s="1248"/>
      <c r="T59" s="439" cm="1" t="str">
        <f t="array" ref="T59:T59">T58</f>
        <v>false</v>
      </c>
      <c r="U59" s="1248"/>
      <c r="V59" s="1248"/>
      <c r="W59" s="1248"/>
      <c r="X59" s="1534"/>
      <c r="Y59" s="1248"/>
      <c r="Z59" s="1535"/>
      <c r="AA59" s="1248"/>
      <c r="AB59" s="54" t="s">
        <v>545</v>
      </c>
      <c r="AC59" s="181" t="s">
        <v>846</v>
      </c>
      <c r="AD59" s="54" t="s">
        <v>437</v>
      </c>
      <c r="AE59" s="2614">
        <f>IF(AE53=0,0,AE65/AE53*100)</f>
        <v>0</v>
      </c>
      <c r="AF59" s="2614">
        <f>IF(AF53=0,0,AF65/AF53*100)</f>
        <v>0</v>
      </c>
      <c r="AG59" s="2614">
        <f>IF(AG53=0,0,AG65/AG53*100)</f>
        <v>0</v>
      </c>
      <c r="AH59" s="2614">
        <f>IF(AH53=0,0,AH65/AH53*100)</f>
        <v>0</v>
      </c>
      <c r="AI59" s="182">
        <f>IF(AI53=0,0,AI65/AI53*100)</f>
        <v>0</v>
      </c>
      <c r="AJ59" s="2614">
        <f>IF(AJ53=0,0,AJ65/AJ53*100)</f>
        <v>0</v>
      </c>
      <c r="AK59" s="2614">
        <f>IF(AK53=0,0,AK65/AK53*100)</f>
        <v>0</v>
      </c>
      <c r="AL59" s="2614">
        <f>IF(AL53=0,0,AL65/AL53*100)</f>
        <v>0</v>
      </c>
      <c r="AM59" s="2614">
        <f>IF(AM53=0,0,AM65/AM53*100)</f>
        <v>0</v>
      </c>
      <c r="AN59" s="2614">
        <f>IF(AN53=0,0,AN65/AN53*100)</f>
        <v>0</v>
      </c>
      <c r="AO59" s="2614">
        <f>IF(AO53=0,0,AO65/AO53*100)</f>
        <v>0</v>
      </c>
      <c r="AP59" s="2614">
        <f>IF(AP53=0,0,AP65/AP53*100)</f>
        <v>0</v>
      </c>
      <c r="AQ59" s="2614">
        <f>IF(AQ53=0,0,AQ65/AQ53*100)</f>
        <v>0</v>
      </c>
      <c r="AR59" s="2614">
        <f>IF(AR53=0,0,AR65/AR53*100)</f>
        <v>0</v>
      </c>
      <c r="AS59" s="182">
        <f>IF(AS53=0,0,AS65/AS53*100)</f>
        <v>0</v>
      </c>
      <c r="AT59" s="2614">
        <f>IF(AT53=0,0,AT65/AT53*100)</f>
        <v>0</v>
      </c>
      <c r="AU59" s="2614">
        <f>IF(AU53=0,0,AU65/AU53*100)</f>
        <v>0</v>
      </c>
      <c r="AV59" s="2614">
        <f>IF(AV53=0,0,AV65/AV53*100)</f>
        <v>0</v>
      </c>
      <c r="AW59" s="2614">
        <f>IF(AW53=0,0,AW65/AW53*100)</f>
        <v>0</v>
      </c>
      <c r="AX59" s="2614">
        <f>IF(AX53=0,0,AX65/AX53*100)</f>
        <v>0</v>
      </c>
      <c r="AY59" s="2614">
        <f>IF(AY53=0,0,AY65/AY53*100)</f>
        <v>0</v>
      </c>
      <c r="AZ59" s="2614">
        <f>IF(AZ53=0,0,AZ65/AZ53*100)</f>
        <v>0</v>
      </c>
      <c r="BA59" s="2614">
        <f>IF(BA53=0,0,BA65/BA53*100)</f>
        <v>0</v>
      </c>
      <c r="BB59" s="2614">
        <f>IF(BB53=0,0,BB65/BB53*100)</f>
        <v>0</v>
      </c>
      <c r="BC59" s="1887"/>
      <c r="BD59" s="1248"/>
      <c r="BE59" s="1248"/>
      <c r="BF59" s="1018" t="s">
        <v>910</v>
      </c>
    </row>
    <row customHeight="1" ht="14.625" hidden="1">
      <c r="A60" s="1248"/>
      <c r="B60" s="1160"/>
      <c r="C60" s="1248"/>
      <c r="D60" s="1248"/>
      <c r="E60" s="607">
        <v>15</v>
      </c>
      <c r="F60" s="50" cm="1" t="str">
        <f t="array" ref="F60:F60">OFFSET(E60,-1,1)</f>
        <v>0</v>
      </c>
      <c r="G60" s="70" t="s">
        <v>654</v>
      </c>
      <c r="H60" s="1248"/>
      <c r="I60" s="1248"/>
      <c r="J60" s="1248"/>
      <c r="K60" s="1248"/>
      <c r="L60" s="1248"/>
      <c r="M60" s="1248"/>
      <c r="N60" s="1248"/>
      <c r="O60" s="1248"/>
      <c r="P60" s="1248"/>
      <c r="Q60" s="1248"/>
      <c r="R60" s="1248"/>
      <c r="S60" s="1248"/>
      <c r="T60" s="439" cm="1" t="str">
        <f t="array" ref="T60:T60">T59</f>
        <v>false</v>
      </c>
      <c r="U60" s="1248"/>
      <c r="V60" s="1248"/>
      <c r="W60" s="1248"/>
      <c r="X60" s="1534"/>
      <c r="Y60" s="1248"/>
      <c r="Z60" s="1535"/>
      <c r="AA60" s="1248"/>
      <c r="AB60" s="54" t="s">
        <v>549</v>
      </c>
      <c r="AC60" s="181" t="s">
        <v>849</v>
      </c>
      <c r="AD60" s="54" t="s">
        <v>437</v>
      </c>
      <c r="AE60" s="2614">
        <f>IF(AE54=0,0,AE66/AE54*100)</f>
        <v>0</v>
      </c>
      <c r="AF60" s="2614">
        <f>IF(AF54=0,0,AF66/AF54*100)</f>
        <v>0</v>
      </c>
      <c r="AG60" s="2614">
        <f>IF(AG54=0,0,AG66/AG54*100)</f>
        <v>0</v>
      </c>
      <c r="AH60" s="2614">
        <f>IF(AH54=0,0,AH66/AH54*100)</f>
        <v>0</v>
      </c>
      <c r="AI60" s="182">
        <f>IF(AI54=0,0,AI66/AI54*100)</f>
        <v>0</v>
      </c>
      <c r="AJ60" s="2614">
        <f>IF(AJ54=0,0,AJ66/AJ54*100)</f>
        <v>0</v>
      </c>
      <c r="AK60" s="2614">
        <f>IF(AK54=0,0,AK66/AK54*100)</f>
        <v>0</v>
      </c>
      <c r="AL60" s="2614">
        <f>IF(AL54=0,0,AL66/AL54*100)</f>
        <v>0</v>
      </c>
      <c r="AM60" s="2614">
        <f>IF(AM54=0,0,AM66/AM54*100)</f>
        <v>0</v>
      </c>
      <c r="AN60" s="2614">
        <f>IF(AN54=0,0,AN66/AN54*100)</f>
        <v>0</v>
      </c>
      <c r="AO60" s="2614">
        <f>IF(AO54=0,0,AO66/AO54*100)</f>
        <v>0</v>
      </c>
      <c r="AP60" s="2614">
        <f>IF(AP54=0,0,AP66/AP54*100)</f>
        <v>0</v>
      </c>
      <c r="AQ60" s="2614">
        <f>IF(AQ54=0,0,AQ66/AQ54*100)</f>
        <v>0</v>
      </c>
      <c r="AR60" s="2614">
        <f>IF(AR54=0,0,AR66/AR54*100)</f>
        <v>0</v>
      </c>
      <c r="AS60" s="182">
        <f>IF(AS54=0,0,AS66/AS54*100)</f>
        <v>0</v>
      </c>
      <c r="AT60" s="2614">
        <f>IF(AT54=0,0,AT66/AT54*100)</f>
        <v>0</v>
      </c>
      <c r="AU60" s="2614">
        <f>IF(AU54=0,0,AU66/AU54*100)</f>
        <v>0</v>
      </c>
      <c r="AV60" s="2614">
        <f>IF(AV54=0,0,AV66/AV54*100)</f>
        <v>0</v>
      </c>
      <c r="AW60" s="2614">
        <f>IF(AW54=0,0,AW66/AW54*100)</f>
        <v>0</v>
      </c>
      <c r="AX60" s="2614">
        <f>IF(AX54=0,0,AX66/AX54*100)</f>
        <v>0</v>
      </c>
      <c r="AY60" s="2614">
        <f>IF(AY54=0,0,AY66/AY54*100)</f>
        <v>0</v>
      </c>
      <c r="AZ60" s="2614">
        <f>IF(AZ54=0,0,AZ66/AZ54*100)</f>
        <v>0</v>
      </c>
      <c r="BA60" s="2614">
        <f>IF(BA54=0,0,BA66/BA54*100)</f>
        <v>0</v>
      </c>
      <c r="BB60" s="2614">
        <f>IF(BB54=0,0,BB66/BB54*100)</f>
        <v>0</v>
      </c>
      <c r="BC60" s="1887"/>
      <c r="BD60" s="1248"/>
      <c r="BE60" s="1248"/>
      <c r="BF60" s="1018" t="s">
        <v>911</v>
      </c>
    </row>
    <row customHeight="1" ht="14.625" hidden="1">
      <c r="A61" s="1248"/>
      <c r="B61" s="1160"/>
      <c r="C61" s="1248"/>
      <c r="D61" s="1248"/>
      <c r="E61" s="607">
        <v>15</v>
      </c>
      <c r="F61" s="50" cm="1" t="str">
        <f t="array" ref="F61:F61">OFFSET(E61,-1,1)</f>
        <v>0</v>
      </c>
      <c r="G61" s="70" t="s">
        <v>688</v>
      </c>
      <c r="H61" s="1248"/>
      <c r="I61" s="1248"/>
      <c r="J61" s="1248"/>
      <c r="K61" s="1248"/>
      <c r="L61" s="1248"/>
      <c r="M61" s="1248"/>
      <c r="N61" s="1248"/>
      <c r="O61" s="1248"/>
      <c r="P61" s="1248"/>
      <c r="Q61" s="1248"/>
      <c r="R61" s="1248"/>
      <c r="S61" s="1248"/>
      <c r="T61" s="439" cm="1" t="str">
        <f t="array" ref="T61:T61">T60</f>
        <v>false</v>
      </c>
      <c r="U61" s="1248"/>
      <c r="V61" s="1248"/>
      <c r="W61" s="1248"/>
      <c r="X61" s="1534"/>
      <c r="Y61" s="1248"/>
      <c r="Z61" s="1535"/>
      <c r="AA61" s="1248"/>
      <c r="AB61" s="54" t="s">
        <v>553</v>
      </c>
      <c r="AC61" s="181" t="s">
        <v>852</v>
      </c>
      <c r="AD61" s="54" t="s">
        <v>437</v>
      </c>
      <c r="AE61" s="2614">
        <f>IF(AE55=0,0,AE67/AE55*100)</f>
        <v>0</v>
      </c>
      <c r="AF61" s="2614">
        <f>IF(AF55=0,0,AF67/AF55*100)</f>
        <v>0</v>
      </c>
      <c r="AG61" s="2614">
        <f>IF(AG55=0,0,AG67/AG55*100)</f>
        <v>0</v>
      </c>
      <c r="AH61" s="2614">
        <f>IF(AH55=0,0,AH67/AH55*100)</f>
        <v>0</v>
      </c>
      <c r="AI61" s="182">
        <f>IF(AI55=0,0,AI67/AI55*100)</f>
        <v>0</v>
      </c>
      <c r="AJ61" s="2614">
        <f>IF(AJ55=0,0,AJ67/AJ55*100)</f>
        <v>0</v>
      </c>
      <c r="AK61" s="2614">
        <f>IF(AK55=0,0,AK67/AK55*100)</f>
        <v>0</v>
      </c>
      <c r="AL61" s="2614">
        <f>IF(AL55=0,0,AL67/AL55*100)</f>
        <v>0</v>
      </c>
      <c r="AM61" s="2614">
        <f>IF(AM55=0,0,AM67/AM55*100)</f>
        <v>0</v>
      </c>
      <c r="AN61" s="2614">
        <f>IF(AN55=0,0,AN67/AN55*100)</f>
        <v>0</v>
      </c>
      <c r="AO61" s="2614">
        <f>IF(AO55=0,0,AO67/AO55*100)</f>
        <v>0</v>
      </c>
      <c r="AP61" s="2614">
        <f>IF(AP55=0,0,AP67/AP55*100)</f>
        <v>0</v>
      </c>
      <c r="AQ61" s="2614">
        <f>IF(AQ55=0,0,AQ67/AQ55*100)</f>
        <v>0</v>
      </c>
      <c r="AR61" s="2614">
        <f>IF(AR55=0,0,AR67/AR55*100)</f>
        <v>0</v>
      </c>
      <c r="AS61" s="182">
        <f>IF(AS55=0,0,AS67/AS55*100)</f>
        <v>0</v>
      </c>
      <c r="AT61" s="2614">
        <f>IF(AT55=0,0,AT67/AT55*100)</f>
        <v>0</v>
      </c>
      <c r="AU61" s="2614">
        <f>IF(AU55=0,0,AU67/AU55*100)</f>
        <v>0</v>
      </c>
      <c r="AV61" s="2614">
        <f>IF(AV55=0,0,AV67/AV55*100)</f>
        <v>0</v>
      </c>
      <c r="AW61" s="2614">
        <f>IF(AW55=0,0,AW67/AW55*100)</f>
        <v>0</v>
      </c>
      <c r="AX61" s="2614">
        <f>IF(AX55=0,0,AX67/AX55*100)</f>
        <v>0</v>
      </c>
      <c r="AY61" s="2614">
        <f>IF(AY55=0,0,AY67/AY55*100)</f>
        <v>0</v>
      </c>
      <c r="AZ61" s="2614">
        <f>IF(AZ55=0,0,AZ67/AZ55*100)</f>
        <v>0</v>
      </c>
      <c r="BA61" s="2614">
        <f>IF(BA55=0,0,BA67/BA55*100)</f>
        <v>0</v>
      </c>
      <c r="BB61" s="2614">
        <f>IF(BB55=0,0,BB67/BB55*100)</f>
        <v>0</v>
      </c>
      <c r="BC61" s="1887"/>
      <c r="BD61" s="1248"/>
      <c r="BE61" s="1248"/>
      <c r="BF61" s="1018" t="s">
        <v>912</v>
      </c>
    </row>
    <row customHeight="1" ht="14.625" hidden="1">
      <c r="A62" s="1248"/>
      <c r="B62" s="1160"/>
      <c r="C62" s="1248"/>
      <c r="D62" s="1248"/>
      <c r="E62" s="607">
        <v>15</v>
      </c>
      <c r="F62" s="50" cm="1" t="str">
        <f t="array" ref="F62:F62">OFFSET(E62,-1,1)</f>
        <v>0</v>
      </c>
      <c r="G62" s="70" t="s">
        <v>697</v>
      </c>
      <c r="H62" s="1248"/>
      <c r="I62" s="1248"/>
      <c r="J62" s="1248"/>
      <c r="K62" s="1248"/>
      <c r="L62" s="1248"/>
      <c r="M62" s="1248"/>
      <c r="N62" s="1248"/>
      <c r="O62" s="1248"/>
      <c r="P62" s="1248"/>
      <c r="Q62" s="1248"/>
      <c r="R62" s="1248"/>
      <c r="S62" s="1248"/>
      <c r="T62" s="439" cm="1" t="str">
        <f t="array" ref="T62:T62">T61</f>
        <v>false</v>
      </c>
      <c r="U62" s="1248"/>
      <c r="V62" s="1248"/>
      <c r="W62" s="1248"/>
      <c r="X62" s="1534"/>
      <c r="Y62" s="1248"/>
      <c r="Z62" s="1535"/>
      <c r="AA62" s="1248"/>
      <c r="AB62" s="54" t="s">
        <v>913</v>
      </c>
      <c r="AC62" s="181" t="s">
        <v>855</v>
      </c>
      <c r="AD62" s="54" t="s">
        <v>437</v>
      </c>
      <c r="AE62" s="2614">
        <f>IF(AE56=0,0,AE68/AE56*100)</f>
        <v>0</v>
      </c>
      <c r="AF62" s="2614">
        <f>IF(AF56=0,0,AF68/AF56*100)</f>
        <v>0</v>
      </c>
      <c r="AG62" s="2614">
        <f>IF(AG56=0,0,AG68/AG56*100)</f>
        <v>0</v>
      </c>
      <c r="AH62" s="2614">
        <f>IF(AH56=0,0,AH68/AH56*100)</f>
        <v>0</v>
      </c>
      <c r="AI62" s="182">
        <f>IF(AI56=0,0,AI68/AI56*100)</f>
        <v>0</v>
      </c>
      <c r="AJ62" s="2614">
        <f>IF(AJ56=0,0,AJ68/AJ56*100)</f>
        <v>0</v>
      </c>
      <c r="AK62" s="2614">
        <f>IF(AK56=0,0,AK68/AK56*100)</f>
        <v>0</v>
      </c>
      <c r="AL62" s="2614">
        <f>IF(AL56=0,0,AL68/AL56*100)</f>
        <v>0</v>
      </c>
      <c r="AM62" s="2614">
        <f>IF(AM56=0,0,AM68/AM56*100)</f>
        <v>0</v>
      </c>
      <c r="AN62" s="2614">
        <f>IF(AN56=0,0,AN68/AN56*100)</f>
        <v>0</v>
      </c>
      <c r="AO62" s="2614">
        <f>IF(AO56=0,0,AO68/AO56*100)</f>
        <v>0</v>
      </c>
      <c r="AP62" s="2614">
        <f>IF(AP56=0,0,AP68/AP56*100)</f>
        <v>0</v>
      </c>
      <c r="AQ62" s="2614">
        <f>IF(AQ56=0,0,AQ68/AQ56*100)</f>
        <v>0</v>
      </c>
      <c r="AR62" s="2614">
        <f>IF(AR56=0,0,AR68/AR56*100)</f>
        <v>0</v>
      </c>
      <c r="AS62" s="182">
        <f>IF(AS56=0,0,AS68/AS56*100)</f>
        <v>0</v>
      </c>
      <c r="AT62" s="2614">
        <f>IF(AT56=0,0,AT68/AT56*100)</f>
        <v>0</v>
      </c>
      <c r="AU62" s="2614">
        <f>IF(AU56=0,0,AU68/AU56*100)</f>
        <v>0</v>
      </c>
      <c r="AV62" s="2614">
        <f>IF(AV56=0,0,AV68/AV56*100)</f>
        <v>0</v>
      </c>
      <c r="AW62" s="2614">
        <f>IF(AW56=0,0,AW68/AW56*100)</f>
        <v>0</v>
      </c>
      <c r="AX62" s="2614">
        <f>IF(AX56=0,0,AX68/AX56*100)</f>
        <v>0</v>
      </c>
      <c r="AY62" s="2614">
        <f>IF(AY56=0,0,AY68/AY56*100)</f>
        <v>0</v>
      </c>
      <c r="AZ62" s="2614">
        <f>IF(AZ56=0,0,AZ68/AZ56*100)</f>
        <v>0</v>
      </c>
      <c r="BA62" s="2614">
        <f>IF(BA56=0,0,BA68/BA56*100)</f>
        <v>0</v>
      </c>
      <c r="BB62" s="2614">
        <f>IF(BB56=0,0,BB68/BB56*100)</f>
        <v>0</v>
      </c>
      <c r="BC62" s="1887"/>
      <c r="BD62" s="1248"/>
      <c r="BE62" s="1248"/>
      <c r="BF62" s="1018" t="s">
        <v>914</v>
      </c>
    </row>
    <row customHeight="1" ht="14.625" hidden="1">
      <c r="A63" s="1248"/>
      <c r="B63" s="1160"/>
      <c r="C63" s="1248"/>
      <c r="D63" s="1248"/>
      <c r="E63" s="607">
        <v>15</v>
      </c>
      <c r="F63" s="50" cm="1" t="str">
        <f t="array" ref="F63:F63">OFFSET(E63,-1,1)</f>
        <v>0</v>
      </c>
      <c r="G63" s="70" t="s">
        <v>707</v>
      </c>
      <c r="H63" s="1248"/>
      <c r="I63" s="1248"/>
      <c r="J63" s="1248"/>
      <c r="K63" s="1248"/>
      <c r="L63" s="1248"/>
      <c r="M63" s="1248"/>
      <c r="N63" s="1248"/>
      <c r="O63" s="1248"/>
      <c r="P63" s="1248"/>
      <c r="Q63" s="1248"/>
      <c r="R63" s="1248"/>
      <c r="S63" s="1248"/>
      <c r="T63" s="439" cm="1" t="str">
        <f t="array" ref="T63:T63">T62</f>
        <v>false</v>
      </c>
      <c r="U63" s="1248"/>
      <c r="V63" s="1248"/>
      <c r="W63" s="1248"/>
      <c r="X63" s="1534"/>
      <c r="Y63" s="1248"/>
      <c r="Z63" s="1535"/>
      <c r="AA63" s="1248"/>
      <c r="AB63" s="54" t="s">
        <v>915</v>
      </c>
      <c r="AC63" s="181" t="s">
        <v>859</v>
      </c>
      <c r="AD63" s="54" t="s">
        <v>437</v>
      </c>
      <c r="AE63" s="2614">
        <f>IF(AE57=0,0,AE69/AE57*100)</f>
        <v>0</v>
      </c>
      <c r="AF63" s="2614">
        <f>IF(AF57=0,0,AF69/AF57*100)</f>
        <v>0</v>
      </c>
      <c r="AG63" s="2614">
        <f>IF(AG57=0,0,AG69/AG57*100)</f>
        <v>0</v>
      </c>
      <c r="AH63" s="2614">
        <f>IF(AH57=0,0,AH69/AH57*100)</f>
        <v>0</v>
      </c>
      <c r="AI63" s="182">
        <f>IF(AI57=0,0,AI69/AI57*100)</f>
        <v>0</v>
      </c>
      <c r="AJ63" s="2614">
        <f>IF(AJ57=0,0,AJ69/AJ57*100)</f>
        <v>0</v>
      </c>
      <c r="AK63" s="2614">
        <f>IF(AK57=0,0,AK69/AK57*100)</f>
        <v>0</v>
      </c>
      <c r="AL63" s="2614">
        <f>IF(AL57=0,0,AL69/AL57*100)</f>
        <v>0</v>
      </c>
      <c r="AM63" s="2614">
        <f>IF(AM57=0,0,AM69/AM57*100)</f>
        <v>0</v>
      </c>
      <c r="AN63" s="2614">
        <f>IF(AN57=0,0,AN69/AN57*100)</f>
        <v>0</v>
      </c>
      <c r="AO63" s="2614">
        <f>IF(AO57=0,0,AO69/AO57*100)</f>
        <v>0</v>
      </c>
      <c r="AP63" s="2614">
        <f>IF(AP57=0,0,AP69/AP57*100)</f>
        <v>0</v>
      </c>
      <c r="AQ63" s="2614">
        <f>IF(AQ57=0,0,AQ69/AQ57*100)</f>
        <v>0</v>
      </c>
      <c r="AR63" s="2614">
        <f>IF(AR57=0,0,AR69/AR57*100)</f>
        <v>0</v>
      </c>
      <c r="AS63" s="182">
        <f>IF(AS57=0,0,AS69/AS57*100)</f>
        <v>0</v>
      </c>
      <c r="AT63" s="2614">
        <f>IF(AT57=0,0,AT69/AT57*100)</f>
        <v>0</v>
      </c>
      <c r="AU63" s="2614">
        <f>IF(AU57=0,0,AU69/AU57*100)</f>
        <v>0</v>
      </c>
      <c r="AV63" s="2614">
        <f>IF(AV57=0,0,AV69/AV57*100)</f>
        <v>0</v>
      </c>
      <c r="AW63" s="2614">
        <f>IF(AW57=0,0,AW69/AW57*100)</f>
        <v>0</v>
      </c>
      <c r="AX63" s="2614">
        <f>IF(AX57=0,0,AX69/AX57*100)</f>
        <v>0</v>
      </c>
      <c r="AY63" s="2614">
        <f>IF(AY57=0,0,AY69/AY57*100)</f>
        <v>0</v>
      </c>
      <c r="AZ63" s="2614">
        <f>IF(AZ57=0,0,AZ69/AZ57*100)</f>
        <v>0</v>
      </c>
      <c r="BA63" s="2614">
        <f>IF(BA57=0,0,BA69/BA57*100)</f>
        <v>0</v>
      </c>
      <c r="BB63" s="2614">
        <f>IF(BB57=0,0,BB69/BB57*100)</f>
        <v>0</v>
      </c>
      <c r="BC63" s="1887"/>
      <c r="BD63" s="1248"/>
      <c r="BE63" s="1248"/>
      <c r="BF63" s="1018" t="s">
        <v>916</v>
      </c>
    </row>
    <row s="113" customFormat="1" customHeight="1" ht="14.625" hidden="1">
      <c r="A64" s="113"/>
      <c r="B64" s="404"/>
      <c r="C64" s="113"/>
      <c r="D64" s="113"/>
      <c r="E64" s="607">
        <v>15</v>
      </c>
      <c r="F64" s="50" cm="1" t="str">
        <f t="array" ref="F64:F64">OFFSET(E64,-1,1)</f>
        <v>0</v>
      </c>
      <c r="G64" s="70" t="s">
        <v>495</v>
      </c>
      <c r="H64" s="113"/>
      <c r="I64" s="113"/>
      <c r="J64" s="113"/>
      <c r="K64" s="90" t="str">
        <f>F64&amp;"komm"</f>
        <v>0komm</v>
      </c>
      <c r="L64" s="901" cm="1" t="str">
        <f t="array" ref="L64:L64">BC64</f>
        <v>0</v>
      </c>
      <c r="M64" s="113"/>
      <c r="N64" s="113"/>
      <c r="O64" s="113"/>
      <c r="P64" s="113"/>
      <c r="Q64" s="113"/>
      <c r="R64" s="113"/>
      <c r="S64" s="113"/>
      <c r="T64" s="439" cm="1" t="str">
        <f t="array" ref="T64:T64">T63</f>
        <v>false</v>
      </c>
      <c r="U64" s="113"/>
      <c r="V64" s="113"/>
      <c r="W64" s="113"/>
      <c r="X64" s="1534"/>
      <c r="Y64" s="113"/>
      <c r="Z64" s="1535"/>
      <c r="AA64" s="113"/>
      <c r="AB64" s="178">
        <v>7</v>
      </c>
      <c r="AC64" s="179" t="s">
        <v>917</v>
      </c>
      <c r="AD64" s="55" t="s">
        <v>784</v>
      </c>
      <c r="AE64" s="2611">
        <f>SUM(AE65:AE69)</f>
        <v>0</v>
      </c>
      <c r="AF64" s="2611">
        <f>SUM(AF65:AF69)</f>
        <v>0</v>
      </c>
      <c r="AG64" s="2611">
        <f>SUM(AG65:AG69)</f>
        <v>0</v>
      </c>
      <c r="AH64" s="2611">
        <f>SUM(AH65:AH69)</f>
        <v>0</v>
      </c>
      <c r="AI64" s="1225">
        <f>SUM(AI65:AI69)</f>
        <v>0</v>
      </c>
      <c r="AJ64" s="2611">
        <f>SUM(AJ65:AJ69)</f>
        <v>0</v>
      </c>
      <c r="AK64" s="2611">
        <f>SUM(AK65:AK69)</f>
        <v>0</v>
      </c>
      <c r="AL64" s="2611">
        <f>SUM(AL65:AL69)</f>
        <v>0</v>
      </c>
      <c r="AM64" s="2611">
        <f>SUM(AM65:AM69)</f>
        <v>0</v>
      </c>
      <c r="AN64" s="2611">
        <f>SUM(AN65:AN69)</f>
        <v>0</v>
      </c>
      <c r="AO64" s="2611">
        <f>SUM(AO65:AO69)</f>
        <v>0</v>
      </c>
      <c r="AP64" s="2611">
        <f>SUM(AP65:AP69)</f>
        <v>0</v>
      </c>
      <c r="AQ64" s="2611">
        <f>SUM(AQ65:AQ69)</f>
        <v>0</v>
      </c>
      <c r="AR64" s="2611">
        <f>SUM(AR65:AR69)</f>
        <v>0</v>
      </c>
      <c r="AS64" s="1225">
        <f>SUM(AS65:AS69)</f>
        <v>0</v>
      </c>
      <c r="AT64" s="2611">
        <f>SUM(AT65:AT69)</f>
        <v>0</v>
      </c>
      <c r="AU64" s="2611">
        <f>SUM(AU65:AU69)</f>
        <v>0</v>
      </c>
      <c r="AV64" s="2611">
        <f>SUM(AV65:AV69)</f>
        <v>0</v>
      </c>
      <c r="AW64" s="2611">
        <f>SUM(AW65:AW69)</f>
        <v>0</v>
      </c>
      <c r="AX64" s="2611">
        <f>SUM(AX65:AX69)</f>
        <v>0</v>
      </c>
      <c r="AY64" s="2611">
        <f>SUM(AY65:AY69)</f>
        <v>0</v>
      </c>
      <c r="AZ64" s="2611">
        <f>SUM(AZ65:AZ69)</f>
        <v>0</v>
      </c>
      <c r="BA64" s="2611">
        <f>SUM(BA65:BA69)</f>
        <v>0</v>
      </c>
      <c r="BB64" s="2611">
        <f>SUM(BB65:BB69)</f>
        <v>0</v>
      </c>
      <c r="BC64" s="1887"/>
      <c r="BD64" s="113"/>
      <c r="BE64" s="113"/>
      <c r="BF64" s="1018" t="s">
        <v>918</v>
      </c>
    </row>
    <row customHeight="1" ht="14.625" hidden="1">
      <c r="A65" s="1248"/>
      <c r="B65" s="1160"/>
      <c r="C65" s="1248"/>
      <c r="D65" s="1248"/>
      <c r="E65" s="607">
        <v>15</v>
      </c>
      <c r="F65" s="50" cm="1" t="str">
        <f t="array" ref="F65:F65">OFFSET(E65,-1,1)</f>
        <v>0</v>
      </c>
      <c r="G65" s="70" t="s">
        <v>658</v>
      </c>
      <c r="H65" s="1248"/>
      <c r="I65" s="1248"/>
      <c r="J65" s="1248"/>
      <c r="K65" s="1248"/>
      <c r="L65" s="1248"/>
      <c r="M65" s="1248"/>
      <c r="N65" s="1248"/>
      <c r="O65" s="1248"/>
      <c r="P65" s="1248"/>
      <c r="Q65" s="1248"/>
      <c r="R65" s="1248"/>
      <c r="S65" s="1248"/>
      <c r="T65" s="439" cm="1" t="str">
        <f t="array" ref="T65:T65">T64</f>
        <v>false</v>
      </c>
      <c r="U65" s="1248"/>
      <c r="V65" s="1248"/>
      <c r="W65" s="1248"/>
      <c r="X65" s="1534"/>
      <c r="Y65" s="1248"/>
      <c r="Z65" s="1535"/>
      <c r="AA65" s="1248"/>
      <c r="AB65" s="54" t="s">
        <v>561</v>
      </c>
      <c r="AC65" s="181" t="s">
        <v>846</v>
      </c>
      <c r="AD65" s="55" t="s">
        <v>784</v>
      </c>
      <c r="AE65" s="2614"/>
      <c r="AF65" s="2614"/>
      <c r="AG65" s="2614"/>
      <c r="AH65" s="2614"/>
      <c r="AI65" s="182"/>
      <c r="AJ65" s="2614"/>
      <c r="AK65" s="2614"/>
      <c r="AL65" s="2614"/>
      <c r="AM65" s="2614"/>
      <c r="AN65" s="2614"/>
      <c r="AO65" s="2614"/>
      <c r="AP65" s="2614"/>
      <c r="AQ65" s="2614"/>
      <c r="AR65" s="2614"/>
      <c r="AS65" s="182"/>
      <c r="AT65" s="2614"/>
      <c r="AU65" s="2614"/>
      <c r="AV65" s="2614"/>
      <c r="AW65" s="2614"/>
      <c r="AX65" s="2614"/>
      <c r="AY65" s="2614"/>
      <c r="AZ65" s="2614"/>
      <c r="BA65" s="2614"/>
      <c r="BB65" s="2614"/>
      <c r="BC65" s="1887"/>
      <c r="BD65" s="1248"/>
      <c r="BE65" s="1248"/>
      <c r="BF65" s="1018" t="s">
        <v>919</v>
      </c>
    </row>
    <row customHeight="1" ht="14.625" hidden="1">
      <c r="A66" s="1248"/>
      <c r="B66" s="1160"/>
      <c r="C66" s="1248"/>
      <c r="D66" s="1248"/>
      <c r="E66" s="607">
        <v>15</v>
      </c>
      <c r="F66" s="50" cm="1" t="str">
        <f t="array" ref="F66:F66">OFFSET(E66,-1,1)</f>
        <v>0</v>
      </c>
      <c r="G66" s="70" t="s">
        <v>661</v>
      </c>
      <c r="H66" s="1248"/>
      <c r="I66" s="1248"/>
      <c r="J66" s="1248"/>
      <c r="K66" s="1248"/>
      <c r="L66" s="1248"/>
      <c r="M66" s="1248"/>
      <c r="N66" s="1248"/>
      <c r="O66" s="1248"/>
      <c r="P66" s="1248"/>
      <c r="Q66" s="1248"/>
      <c r="R66" s="1248"/>
      <c r="S66" s="1248"/>
      <c r="T66" s="439" cm="1" t="str">
        <f t="array" ref="T66:T66">T65</f>
        <v>false</v>
      </c>
      <c r="U66" s="1248"/>
      <c r="V66" s="1248"/>
      <c r="W66" s="1248"/>
      <c r="X66" s="1534"/>
      <c r="Y66" s="1248"/>
      <c r="Z66" s="1535"/>
      <c r="AA66" s="1248"/>
      <c r="AB66" s="54" t="s">
        <v>920</v>
      </c>
      <c r="AC66" s="181" t="s">
        <v>849</v>
      </c>
      <c r="AD66" s="55" t="s">
        <v>784</v>
      </c>
      <c r="AE66" s="2614"/>
      <c r="AF66" s="2614"/>
      <c r="AG66" s="2614"/>
      <c r="AH66" s="2614"/>
      <c r="AI66" s="182"/>
      <c r="AJ66" s="2614"/>
      <c r="AK66" s="2614"/>
      <c r="AL66" s="2614"/>
      <c r="AM66" s="2614"/>
      <c r="AN66" s="2614"/>
      <c r="AO66" s="2614"/>
      <c r="AP66" s="2614"/>
      <c r="AQ66" s="2614"/>
      <c r="AR66" s="2614"/>
      <c r="AS66" s="182"/>
      <c r="AT66" s="2614"/>
      <c r="AU66" s="2614"/>
      <c r="AV66" s="2614"/>
      <c r="AW66" s="2614"/>
      <c r="AX66" s="2614"/>
      <c r="AY66" s="2614"/>
      <c r="AZ66" s="2614"/>
      <c r="BA66" s="2614"/>
      <c r="BB66" s="2614"/>
      <c r="BC66" s="1887"/>
      <c r="BD66" s="1248"/>
      <c r="BE66" s="1248"/>
      <c r="BF66" s="1018" t="s">
        <v>921</v>
      </c>
    </row>
    <row customHeight="1" ht="14.625" hidden="1">
      <c r="A67" s="1248"/>
      <c r="B67" s="1160"/>
      <c r="C67" s="1248"/>
      <c r="D67" s="1248"/>
      <c r="E67" s="607">
        <v>15</v>
      </c>
      <c r="F67" s="50" cm="1" t="str">
        <f t="array" ref="F67:F67">OFFSET(E67,-1,1)</f>
        <v>0</v>
      </c>
      <c r="G67" s="70" t="s">
        <v>922</v>
      </c>
      <c r="H67" s="1248"/>
      <c r="I67" s="1248"/>
      <c r="J67" s="1248"/>
      <c r="K67" s="1248"/>
      <c r="L67" s="1248"/>
      <c r="M67" s="1248"/>
      <c r="N67" s="1248"/>
      <c r="O67" s="1248"/>
      <c r="P67" s="1248"/>
      <c r="Q67" s="1248"/>
      <c r="R67" s="1248"/>
      <c r="S67" s="1248"/>
      <c r="T67" s="439" cm="1" t="str">
        <f t="array" ref="T67:T67">T66</f>
        <v>false</v>
      </c>
      <c r="U67" s="1248"/>
      <c r="V67" s="1248"/>
      <c r="W67" s="1248"/>
      <c r="X67" s="1534"/>
      <c r="Y67" s="1248"/>
      <c r="Z67" s="1535"/>
      <c r="AA67" s="1248"/>
      <c r="AB67" s="54" t="s">
        <v>923</v>
      </c>
      <c r="AC67" s="181" t="s">
        <v>852</v>
      </c>
      <c r="AD67" s="55" t="s">
        <v>784</v>
      </c>
      <c r="AE67" s="2614"/>
      <c r="AF67" s="2614"/>
      <c r="AG67" s="2614"/>
      <c r="AH67" s="2614"/>
      <c r="AI67" s="182"/>
      <c r="AJ67" s="2614"/>
      <c r="AK67" s="2614"/>
      <c r="AL67" s="2614"/>
      <c r="AM67" s="2614"/>
      <c r="AN67" s="2614"/>
      <c r="AO67" s="2614"/>
      <c r="AP67" s="2614"/>
      <c r="AQ67" s="2614"/>
      <c r="AR67" s="2614"/>
      <c r="AS67" s="182"/>
      <c r="AT67" s="2614"/>
      <c r="AU67" s="2614"/>
      <c r="AV67" s="2614"/>
      <c r="AW67" s="2614"/>
      <c r="AX67" s="2614"/>
      <c r="AY67" s="2614"/>
      <c r="AZ67" s="2614"/>
      <c r="BA67" s="2614"/>
      <c r="BB67" s="2614"/>
      <c r="BC67" s="1887"/>
      <c r="BD67" s="1248"/>
      <c r="BE67" s="1248"/>
      <c r="BF67" s="1018" t="s">
        <v>924</v>
      </c>
    </row>
    <row customHeight="1" ht="14.625" hidden="1">
      <c r="A68" s="1248"/>
      <c r="B68" s="1160"/>
      <c r="C68" s="1248"/>
      <c r="D68" s="1248"/>
      <c r="E68" s="607">
        <v>15</v>
      </c>
      <c r="F68" s="50" cm="1" t="str">
        <f t="array" ref="F68:F68">OFFSET(E68,-1,1)</f>
        <v>0</v>
      </c>
      <c r="G68" s="70" t="s">
        <v>925</v>
      </c>
      <c r="H68" s="1248"/>
      <c r="I68" s="1248"/>
      <c r="J68" s="1248"/>
      <c r="K68" s="1248"/>
      <c r="L68" s="1248"/>
      <c r="M68" s="1248"/>
      <c r="N68" s="1248"/>
      <c r="O68" s="1248"/>
      <c r="P68" s="1248"/>
      <c r="Q68" s="1248"/>
      <c r="R68" s="1248"/>
      <c r="S68" s="1248"/>
      <c r="T68" s="439" cm="1" t="str">
        <f t="array" ref="T68:T68">T67</f>
        <v>false</v>
      </c>
      <c r="U68" s="1248"/>
      <c r="V68" s="1248"/>
      <c r="W68" s="1248"/>
      <c r="X68" s="1534"/>
      <c r="Y68" s="1248"/>
      <c r="Z68" s="1535"/>
      <c r="AA68" s="1248"/>
      <c r="AB68" s="54" t="s">
        <v>926</v>
      </c>
      <c r="AC68" s="181" t="s">
        <v>855</v>
      </c>
      <c r="AD68" s="55" t="s">
        <v>784</v>
      </c>
      <c r="AE68" s="2614"/>
      <c r="AF68" s="2614"/>
      <c r="AG68" s="2614"/>
      <c r="AH68" s="2614"/>
      <c r="AI68" s="182"/>
      <c r="AJ68" s="2614"/>
      <c r="AK68" s="2614"/>
      <c r="AL68" s="2614"/>
      <c r="AM68" s="2614"/>
      <c r="AN68" s="2614"/>
      <c r="AO68" s="2614"/>
      <c r="AP68" s="2614"/>
      <c r="AQ68" s="2614"/>
      <c r="AR68" s="2614"/>
      <c r="AS68" s="182"/>
      <c r="AT68" s="2614"/>
      <c r="AU68" s="2614"/>
      <c r="AV68" s="2614"/>
      <c r="AW68" s="2614"/>
      <c r="AX68" s="2614"/>
      <c r="AY68" s="2614"/>
      <c r="AZ68" s="2614"/>
      <c r="BA68" s="2614"/>
      <c r="BB68" s="2614"/>
      <c r="BC68" s="1887"/>
      <c r="BD68" s="1248"/>
      <c r="BE68" s="1248"/>
      <c r="BF68" s="1018" t="s">
        <v>927</v>
      </c>
    </row>
    <row customHeight="1" ht="14.625" hidden="1">
      <c r="A69" s="1248"/>
      <c r="B69" s="1160"/>
      <c r="C69" s="1248"/>
      <c r="D69" s="1248"/>
      <c r="E69" s="607">
        <v>15</v>
      </c>
      <c r="F69" s="50" cm="1" t="str">
        <f t="array" ref="F69:F69">OFFSET(E69,-1,1)</f>
        <v>0</v>
      </c>
      <c r="G69" s="70" t="s">
        <v>928</v>
      </c>
      <c r="H69" s="1248"/>
      <c r="I69" s="1248"/>
      <c r="J69" s="1248"/>
      <c r="K69" s="1248"/>
      <c r="L69" s="1248"/>
      <c r="M69" s="1248"/>
      <c r="N69" s="1248"/>
      <c r="O69" s="1248"/>
      <c r="P69" s="1248"/>
      <c r="Q69" s="1248"/>
      <c r="R69" s="1248"/>
      <c r="S69" s="1248"/>
      <c r="T69" s="439" cm="1" t="str">
        <f t="array" ref="T69:T69">T68</f>
        <v>false</v>
      </c>
      <c r="U69" s="1248"/>
      <c r="V69" s="1248"/>
      <c r="W69" s="1248"/>
      <c r="X69" s="1534"/>
      <c r="Y69" s="1248"/>
      <c r="Z69" s="1535"/>
      <c r="AA69" s="1248"/>
      <c r="AB69" s="54" t="s">
        <v>929</v>
      </c>
      <c r="AC69" s="181" t="s">
        <v>859</v>
      </c>
      <c r="AD69" s="55" t="s">
        <v>784</v>
      </c>
      <c r="AE69" s="2614"/>
      <c r="AF69" s="2614"/>
      <c r="AG69" s="2614"/>
      <c r="AH69" s="2614"/>
      <c r="AI69" s="182"/>
      <c r="AJ69" s="2614"/>
      <c r="AK69" s="2614"/>
      <c r="AL69" s="2614"/>
      <c r="AM69" s="2614"/>
      <c r="AN69" s="2614"/>
      <c r="AO69" s="2614"/>
      <c r="AP69" s="2614"/>
      <c r="AQ69" s="2614"/>
      <c r="AR69" s="2614"/>
      <c r="AS69" s="182"/>
      <c r="AT69" s="2614"/>
      <c r="AU69" s="2614"/>
      <c r="AV69" s="2614"/>
      <c r="AW69" s="2614"/>
      <c r="AX69" s="2614"/>
      <c r="AY69" s="2614"/>
      <c r="AZ69" s="2614"/>
      <c r="BA69" s="2614"/>
      <c r="BB69" s="2614"/>
      <c r="BC69" s="1887"/>
      <c r="BD69" s="1248"/>
      <c r="BE69" s="1248"/>
      <c r="BF69" s="1018" t="s">
        <v>930</v>
      </c>
    </row>
    <row s="113" customFormat="1" customHeight="1" ht="14.625" hidden="1">
      <c r="A70" s="113"/>
      <c r="B70" s="404"/>
      <c r="C70" s="113"/>
      <c r="D70" s="113"/>
      <c r="E70" s="607">
        <v>15</v>
      </c>
      <c r="F70" s="50" cm="1" t="str">
        <f t="array" ref="F70:F70">OFFSET(E70,-1,1)</f>
        <v>0</v>
      </c>
      <c r="G70" s="70" t="s">
        <v>541</v>
      </c>
      <c r="H70" s="113"/>
      <c r="I70" s="113"/>
      <c r="J70" s="113"/>
      <c r="K70" s="113"/>
      <c r="L70" s="113"/>
      <c r="M70" s="113"/>
      <c r="N70" s="113"/>
      <c r="O70" s="113"/>
      <c r="P70" s="113"/>
      <c r="Q70" s="113"/>
      <c r="R70" s="113"/>
      <c r="S70" s="113"/>
      <c r="T70" s="439" cm="1" t="str">
        <f t="array" ref="T70:T70">T69</f>
        <v>false</v>
      </c>
      <c r="U70" s="113"/>
      <c r="V70" s="113"/>
      <c r="W70" s="113"/>
      <c r="X70" s="1534"/>
      <c r="Y70" s="113"/>
      <c r="Z70" s="1535"/>
      <c r="AA70" s="113"/>
      <c r="AB70" s="178">
        <v>8</v>
      </c>
      <c r="AC70" s="179" t="s">
        <v>931</v>
      </c>
      <c r="AD70" s="55" t="s">
        <v>784</v>
      </c>
      <c r="AE70" s="2611">
        <f>SUM(AE71:AE75)</f>
        <v>0</v>
      </c>
      <c r="AF70" s="2611">
        <f>SUM(AF71:AF75)</f>
        <v>0</v>
      </c>
      <c r="AG70" s="2611">
        <f>SUM(AG71:AG75)</f>
        <v>0</v>
      </c>
      <c r="AH70" s="2611">
        <f>SUM(AH71:AH75)</f>
        <v>0</v>
      </c>
      <c r="AI70" s="1225">
        <f>SUM(AI71:AI75)</f>
        <v>0</v>
      </c>
      <c r="AJ70" s="2611">
        <f>SUM(AJ71:AJ75)</f>
        <v>0</v>
      </c>
      <c r="AK70" s="2611">
        <f>SUM(AK71:AK75)</f>
        <v>0</v>
      </c>
      <c r="AL70" s="2611">
        <f>SUM(AL71:AL75)</f>
        <v>0</v>
      </c>
      <c r="AM70" s="2611">
        <f>SUM(AM71:AM75)</f>
        <v>0</v>
      </c>
      <c r="AN70" s="2611">
        <f>SUM(AN71:AN75)</f>
        <v>0</v>
      </c>
      <c r="AO70" s="2611">
        <f>SUM(AO71:AO75)</f>
        <v>0</v>
      </c>
      <c r="AP70" s="2611">
        <f>SUM(AP71:AP75)</f>
        <v>0</v>
      </c>
      <c r="AQ70" s="2611">
        <f>SUM(AQ71:AQ75)</f>
        <v>0</v>
      </c>
      <c r="AR70" s="2611">
        <f>SUM(AR71:AR75)</f>
        <v>0</v>
      </c>
      <c r="AS70" s="1225">
        <f>SUM(AS71:AS75)</f>
        <v>0</v>
      </c>
      <c r="AT70" s="2611">
        <f>SUM(AT71:AT75)</f>
        <v>0</v>
      </c>
      <c r="AU70" s="2611">
        <f>SUM(AU71:AU75)</f>
        <v>0</v>
      </c>
      <c r="AV70" s="2611">
        <f>SUM(AV71:AV75)</f>
        <v>0</v>
      </c>
      <c r="AW70" s="2611">
        <f>SUM(AW71:AW75)</f>
        <v>0</v>
      </c>
      <c r="AX70" s="2611">
        <f>SUM(AX71:AX75)</f>
        <v>0</v>
      </c>
      <c r="AY70" s="2611">
        <f>SUM(AY71:AY75)</f>
        <v>0</v>
      </c>
      <c r="AZ70" s="2611">
        <f>SUM(AZ71:AZ75)</f>
        <v>0</v>
      </c>
      <c r="BA70" s="2611">
        <f>SUM(BA71:BA75)</f>
        <v>0</v>
      </c>
      <c r="BB70" s="2611">
        <f>SUM(BB71:BB75)</f>
        <v>0</v>
      </c>
      <c r="BC70" s="1887"/>
      <c r="BD70" s="113"/>
      <c r="BE70" s="113"/>
      <c r="BF70" s="1018" t="s">
        <v>932</v>
      </c>
    </row>
    <row customHeight="1" ht="14.625" hidden="1">
      <c r="A71" s="1248"/>
      <c r="B71" s="1160"/>
      <c r="C71" s="1248"/>
      <c r="D71" s="1248"/>
      <c r="E71" s="607">
        <v>15</v>
      </c>
      <c r="F71" s="50" cm="1" t="str">
        <f t="array" ref="F71:F71">OFFSET(E71,-1,1)</f>
        <v>0</v>
      </c>
      <c r="G71" s="70" t="s">
        <v>544</v>
      </c>
      <c r="H71" s="1248"/>
      <c r="I71" s="1248"/>
      <c r="J71" s="1248"/>
      <c r="K71" s="1248"/>
      <c r="L71" s="1248"/>
      <c r="M71" s="1248"/>
      <c r="N71" s="1248"/>
      <c r="O71" s="1248"/>
      <c r="P71" s="1248"/>
      <c r="Q71" s="1248"/>
      <c r="R71" s="1248"/>
      <c r="S71" s="1248"/>
      <c r="T71" s="439" cm="1" t="str">
        <f t="array" ref="T71:T71">T70</f>
        <v>false</v>
      </c>
      <c r="U71" s="1248"/>
      <c r="V71" s="1248"/>
      <c r="W71" s="1248"/>
      <c r="X71" s="1534"/>
      <c r="Y71" s="1248"/>
      <c r="Z71" s="1535"/>
      <c r="AA71" s="1248"/>
      <c r="AB71" s="54" t="s">
        <v>569</v>
      </c>
      <c r="AC71" s="181" t="s">
        <v>846</v>
      </c>
      <c r="AD71" s="55" t="s">
        <v>784</v>
      </c>
      <c r="AE71" s="2614"/>
      <c r="AF71" s="2614"/>
      <c r="AG71" s="2614"/>
      <c r="AH71" s="2614"/>
      <c r="AI71" s="182"/>
      <c r="AJ71" s="2614"/>
      <c r="AK71" s="2614"/>
      <c r="AL71" s="2614"/>
      <c r="AM71" s="2614"/>
      <c r="AN71" s="2614"/>
      <c r="AO71" s="2614"/>
      <c r="AP71" s="2614"/>
      <c r="AQ71" s="2614"/>
      <c r="AR71" s="2614"/>
      <c r="AS71" s="182"/>
      <c r="AT71" s="2614"/>
      <c r="AU71" s="2614"/>
      <c r="AV71" s="2614"/>
      <c r="AW71" s="2614"/>
      <c r="AX71" s="2614"/>
      <c r="AY71" s="2614"/>
      <c r="AZ71" s="2614"/>
      <c r="BA71" s="2614"/>
      <c r="BB71" s="2614"/>
      <c r="BC71" s="1887"/>
      <c r="BD71" s="1248"/>
      <c r="BE71" s="1248"/>
      <c r="BF71" s="1018" t="s">
        <v>933</v>
      </c>
    </row>
    <row customHeight="1" ht="14.625" hidden="1">
      <c r="A72" s="1248"/>
      <c r="B72" s="1160"/>
      <c r="C72" s="1248"/>
      <c r="D72" s="1248"/>
      <c r="E72" s="607">
        <v>15</v>
      </c>
      <c r="F72" s="50" cm="1" t="str">
        <f t="array" ref="F72:F72">OFFSET(E72,-1,1)</f>
        <v>0</v>
      </c>
      <c r="G72" s="70" t="s">
        <v>548</v>
      </c>
      <c r="H72" s="1248"/>
      <c r="I72" s="1248"/>
      <c r="J72" s="1248"/>
      <c r="K72" s="1248"/>
      <c r="L72" s="1248"/>
      <c r="M72" s="1248"/>
      <c r="N72" s="1248"/>
      <c r="O72" s="1248"/>
      <c r="P72" s="1248"/>
      <c r="Q72" s="1248"/>
      <c r="R72" s="1248"/>
      <c r="S72" s="1248"/>
      <c r="T72" s="439" cm="1" t="str">
        <f t="array" ref="T72:T72">T71</f>
        <v>false</v>
      </c>
      <c r="U72" s="1248"/>
      <c r="V72" s="1248"/>
      <c r="W72" s="1248"/>
      <c r="X72" s="1534"/>
      <c r="Y72" s="1248"/>
      <c r="Z72" s="1535"/>
      <c r="AA72" s="1248"/>
      <c r="AB72" s="54" t="s">
        <v>586</v>
      </c>
      <c r="AC72" s="181" t="s">
        <v>849</v>
      </c>
      <c r="AD72" s="55" t="s">
        <v>784</v>
      </c>
      <c r="AE72" s="2614"/>
      <c r="AF72" s="2614"/>
      <c r="AG72" s="2614"/>
      <c r="AH72" s="2614"/>
      <c r="AI72" s="182"/>
      <c r="AJ72" s="2614"/>
      <c r="AK72" s="2614"/>
      <c r="AL72" s="2614"/>
      <c r="AM72" s="2614"/>
      <c r="AN72" s="2614"/>
      <c r="AO72" s="2614"/>
      <c r="AP72" s="2614"/>
      <c r="AQ72" s="2614"/>
      <c r="AR72" s="2614"/>
      <c r="AS72" s="182"/>
      <c r="AT72" s="2614"/>
      <c r="AU72" s="2614"/>
      <c r="AV72" s="2614"/>
      <c r="AW72" s="2614"/>
      <c r="AX72" s="2614"/>
      <c r="AY72" s="2614"/>
      <c r="AZ72" s="2614"/>
      <c r="BA72" s="2614"/>
      <c r="BB72" s="2614"/>
      <c r="BC72" s="1887"/>
      <c r="BD72" s="1248"/>
      <c r="BE72" s="1248"/>
      <c r="BF72" s="1018" t="s">
        <v>934</v>
      </c>
    </row>
    <row customHeight="1" ht="14.625" hidden="1">
      <c r="A73" s="1248"/>
      <c r="B73" s="1160"/>
      <c r="C73" s="1248"/>
      <c r="D73" s="1248"/>
      <c r="E73" s="607">
        <v>15</v>
      </c>
      <c r="F73" s="50" cm="1" t="str">
        <f t="array" ref="F73:F73">OFFSET(E73,-1,1)</f>
        <v>0</v>
      </c>
      <c r="G73" s="70" t="s">
        <v>552</v>
      </c>
      <c r="H73" s="1248"/>
      <c r="I73" s="1248"/>
      <c r="J73" s="1248"/>
      <c r="K73" s="1248"/>
      <c r="L73" s="1248"/>
      <c r="M73" s="1248"/>
      <c r="N73" s="1248"/>
      <c r="O73" s="1248"/>
      <c r="P73" s="1248"/>
      <c r="Q73" s="1248"/>
      <c r="R73" s="1248"/>
      <c r="S73" s="1248"/>
      <c r="T73" s="439" cm="1" t="str">
        <f t="array" ref="T73:T73">T72</f>
        <v>false</v>
      </c>
      <c r="U73" s="1248"/>
      <c r="V73" s="1248"/>
      <c r="W73" s="1248"/>
      <c r="X73" s="1534"/>
      <c r="Y73" s="1248"/>
      <c r="Z73" s="1535"/>
      <c r="AA73" s="1248"/>
      <c r="AB73" s="54" t="s">
        <v>598</v>
      </c>
      <c r="AC73" s="181" t="s">
        <v>852</v>
      </c>
      <c r="AD73" s="55" t="s">
        <v>784</v>
      </c>
      <c r="AE73" s="2614"/>
      <c r="AF73" s="2614"/>
      <c r="AG73" s="2614"/>
      <c r="AH73" s="2614"/>
      <c r="AI73" s="182"/>
      <c r="AJ73" s="2614"/>
      <c r="AK73" s="2614"/>
      <c r="AL73" s="2614"/>
      <c r="AM73" s="2614"/>
      <c r="AN73" s="2614"/>
      <c r="AO73" s="2614"/>
      <c r="AP73" s="2614"/>
      <c r="AQ73" s="2614"/>
      <c r="AR73" s="2614"/>
      <c r="AS73" s="182"/>
      <c r="AT73" s="2614"/>
      <c r="AU73" s="2614"/>
      <c r="AV73" s="2614"/>
      <c r="AW73" s="2614"/>
      <c r="AX73" s="2614"/>
      <c r="AY73" s="2614"/>
      <c r="AZ73" s="2614"/>
      <c r="BA73" s="2614"/>
      <c r="BB73" s="2614"/>
      <c r="BC73" s="1887"/>
      <c r="BD73" s="1248"/>
      <c r="BE73" s="1248"/>
      <c r="BF73" s="1018" t="s">
        <v>935</v>
      </c>
    </row>
    <row customHeight="1" ht="14.625" hidden="1">
      <c r="A74" s="1248"/>
      <c r="B74" s="1160"/>
      <c r="C74" s="1248"/>
      <c r="D74" s="1248"/>
      <c r="E74" s="607">
        <v>15</v>
      </c>
      <c r="F74" s="50" cm="1" t="str">
        <f t="array" ref="F74:F74">OFFSET(E74,-1,1)</f>
        <v>0</v>
      </c>
      <c r="G74" s="70" t="s">
        <v>936</v>
      </c>
      <c r="H74" s="1248"/>
      <c r="I74" s="1248"/>
      <c r="J74" s="1248"/>
      <c r="K74" s="1248"/>
      <c r="L74" s="1248"/>
      <c r="M74" s="1248"/>
      <c r="N74" s="1248"/>
      <c r="O74" s="1248"/>
      <c r="P74" s="1248"/>
      <c r="Q74" s="1248"/>
      <c r="R74" s="1248"/>
      <c r="S74" s="1248"/>
      <c r="T74" s="439" cm="1" t="str">
        <f t="array" ref="T74:T74">T73</f>
        <v>false</v>
      </c>
      <c r="U74" s="1248"/>
      <c r="V74" s="1248"/>
      <c r="W74" s="1248"/>
      <c r="X74" s="1534"/>
      <c r="Y74" s="1248"/>
      <c r="Z74" s="1535"/>
      <c r="AA74" s="1248"/>
      <c r="AB74" s="54" t="s">
        <v>633</v>
      </c>
      <c r="AC74" s="181" t="s">
        <v>855</v>
      </c>
      <c r="AD74" s="55" t="s">
        <v>784</v>
      </c>
      <c r="AE74" s="2614"/>
      <c r="AF74" s="2614"/>
      <c r="AG74" s="2614"/>
      <c r="AH74" s="2614"/>
      <c r="AI74" s="182"/>
      <c r="AJ74" s="2614"/>
      <c r="AK74" s="2614"/>
      <c r="AL74" s="2614"/>
      <c r="AM74" s="2614"/>
      <c r="AN74" s="2614"/>
      <c r="AO74" s="2614"/>
      <c r="AP74" s="2614"/>
      <c r="AQ74" s="2614"/>
      <c r="AR74" s="2614"/>
      <c r="AS74" s="182"/>
      <c r="AT74" s="2614"/>
      <c r="AU74" s="2614"/>
      <c r="AV74" s="2614"/>
      <c r="AW74" s="2614"/>
      <c r="AX74" s="2614"/>
      <c r="AY74" s="2614"/>
      <c r="AZ74" s="2614"/>
      <c r="BA74" s="2614"/>
      <c r="BB74" s="2614"/>
      <c r="BC74" s="1887"/>
      <c r="BD74" s="1248"/>
      <c r="BE74" s="1248"/>
      <c r="BF74" s="1018" t="s">
        <v>937</v>
      </c>
    </row>
    <row customHeight="1" ht="14.625" hidden="1">
      <c r="A75" s="1248"/>
      <c r="B75" s="1160"/>
      <c r="C75" s="1248"/>
      <c r="D75" s="1248"/>
      <c r="E75" s="607">
        <v>15</v>
      </c>
      <c r="F75" s="50" cm="1" t="str">
        <f t="array" ref="F75:F75">OFFSET(E75,-1,1)</f>
        <v>0</v>
      </c>
      <c r="G75" s="70" t="s">
        <v>938</v>
      </c>
      <c r="H75" s="1248"/>
      <c r="I75" s="1248"/>
      <c r="J75" s="1248"/>
      <c r="K75" s="1248"/>
      <c r="L75" s="1248"/>
      <c r="M75" s="1248"/>
      <c r="N75" s="1248"/>
      <c r="O75" s="1248"/>
      <c r="P75" s="1248"/>
      <c r="Q75" s="1248"/>
      <c r="R75" s="1248"/>
      <c r="S75" s="1248"/>
      <c r="T75" s="439" cm="1" t="str">
        <f t="array" ref="T75:T75">T74</f>
        <v>false</v>
      </c>
      <c r="U75" s="1248"/>
      <c r="V75" s="1248"/>
      <c r="W75" s="1248"/>
      <c r="X75" s="1534"/>
      <c r="Y75" s="1248"/>
      <c r="Z75" s="1535"/>
      <c r="AA75" s="1248"/>
      <c r="AB75" s="54" t="s">
        <v>636</v>
      </c>
      <c r="AC75" s="181" t="s">
        <v>859</v>
      </c>
      <c r="AD75" s="55" t="s">
        <v>784</v>
      </c>
      <c r="AE75" s="2614"/>
      <c r="AF75" s="2614"/>
      <c r="AG75" s="2614"/>
      <c r="AH75" s="2614"/>
      <c r="AI75" s="182"/>
      <c r="AJ75" s="2614"/>
      <c r="AK75" s="2614"/>
      <c r="AL75" s="2614"/>
      <c r="AM75" s="2614"/>
      <c r="AN75" s="2614"/>
      <c r="AO75" s="2614"/>
      <c r="AP75" s="2614"/>
      <c r="AQ75" s="2614"/>
      <c r="AR75" s="2614"/>
      <c r="AS75" s="182"/>
      <c r="AT75" s="2614"/>
      <c r="AU75" s="2614"/>
      <c r="AV75" s="2614"/>
      <c r="AW75" s="2614"/>
      <c r="AX75" s="2614"/>
      <c r="AY75" s="2614"/>
      <c r="AZ75" s="2614"/>
      <c r="BA75" s="2614"/>
      <c r="BB75" s="2614"/>
      <c r="BC75" s="1887"/>
      <c r="BD75" s="1248"/>
      <c r="BE75" s="1248"/>
      <c r="BF75" s="1018" t="s">
        <v>939</v>
      </c>
    </row>
    <row s="1621" customFormat="1" customHeight="1" ht="14.25">
      <c r="A76" s="1248"/>
      <c r="B76" s="1160"/>
      <c r="C76" s="1248"/>
      <c r="D76" s="1248"/>
      <c r="E76" s="607">
        <v>15</v>
      </c>
      <c r="F76" s="700" cm="1" t="str">
        <f t="array" ref="F76:F76">X76</f>
        <v>1</v>
      </c>
      <c r="G76" s="1248"/>
      <c r="H76" s="1248"/>
      <c r="I76" s="1248"/>
      <c r="J76" s="1248"/>
      <c r="K76" s="1248"/>
      <c r="L76" s="1248"/>
      <c r="M76" s="1248"/>
      <c r="N76" s="1248"/>
      <c r="O76" s="1248"/>
      <c r="P76" s="1248"/>
      <c r="Q76" s="1248"/>
      <c r="R76" s="1248"/>
      <c r="S76" s="1248"/>
      <c r="T76" s="439">
        <f>X76&gt;0</f>
        <v>1</v>
      </c>
      <c r="U76" s="1248"/>
      <c r="V76" s="70" cm="1" t="str">
        <f t="array" ref="V76:V76">ЭЭ!$AB$47</f>
        <v>Тариф 1 (Водоснабжение) - тариф на техническую воду (Оказание услуг на территории: Прокопьевский муниципальный округ (ОКТМО: 32522000) - п Калачево)</v>
      </c>
      <c r="W76" s="1248"/>
      <c r="X76" s="1534" t="s">
        <v>272</v>
      </c>
      <c r="Y76" s="1248"/>
      <c r="Z76" s="1535"/>
      <c r="AA76" s="1248"/>
      <c r="AB76" s="150" cm="1" t="str">
        <f t="array" ref="AB76:AB76">ЭЭ!$AB$47</f>
        <v>Тариф 1 (Водоснабжение) - тариф на техническую воду (Оказание услуг на территории: Прокопьевский муниципальный округ (ОКТМО: 32522000) - п Калачево)</v>
      </c>
      <c r="AC76" s="147"/>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77"/>
      <c r="BD76" s="1248"/>
      <c r="BE76" s="1248"/>
      <c r="BF76" s="1166"/>
    </row>
    <row s="113" customFormat="1" customHeight="1" ht="21.75">
      <c r="A77" s="113"/>
      <c r="B77" s="404"/>
      <c r="C77" s="113"/>
      <c r="D77" s="113"/>
      <c r="E77" s="649">
        <v>22.5</v>
      </c>
      <c r="F77" s="50" cm="1" t="str">
        <f t="array" ref="F77:F77">OFFSET(E77,-1,1)</f>
        <v>1</v>
      </c>
      <c r="G77" s="70" t="s">
        <v>325</v>
      </c>
      <c r="H77" s="113"/>
      <c r="I77" s="113"/>
      <c r="J77" s="113"/>
      <c r="K77" s="113"/>
      <c r="L77" s="113"/>
      <c r="M77" s="113"/>
      <c r="N77" s="113"/>
      <c r="O77" s="113"/>
      <c r="P77" s="113"/>
      <c r="Q77" s="113"/>
      <c r="R77" s="113"/>
      <c r="S77" s="113"/>
      <c r="T77" s="439" cm="1" t="str">
        <f t="array" ref="T77:T77">T76</f>
        <v>true</v>
      </c>
      <c r="U77" s="113"/>
      <c r="V77" s="113"/>
      <c r="W77" s="113"/>
      <c r="X77" s="1534"/>
      <c r="Y77" s="113"/>
      <c r="Z77" s="1535"/>
      <c r="AA77" s="113"/>
      <c r="AB77" s="178">
        <v>1</v>
      </c>
      <c r="AC77" s="179" t="s">
        <v>843</v>
      </c>
      <c r="AD77" s="55" t="s">
        <v>784</v>
      </c>
      <c r="AE77" s="1225">
        <f>SUM(AE78:AE82)</f>
        <v>0</v>
      </c>
      <c r="AF77" s="1225">
        <f>SUM(AF78:AF82)</f>
        <v>0</v>
      </c>
      <c r="AG77" s="1225">
        <f>SUM(AG78:AG82)</f>
        <v>0</v>
      </c>
      <c r="AH77" s="1225">
        <f>SUM(AH78:AH82)</f>
        <v>0</v>
      </c>
      <c r="AI77" s="1225">
        <f>SUM(AI78:AI82)</f>
        <v>0</v>
      </c>
      <c r="AJ77" s="2611">
        <f>SUM(AJ78:AJ82)</f>
        <v>0</v>
      </c>
      <c r="AK77" s="2611">
        <f>SUM(AK78:AK82)</f>
        <v>0</v>
      </c>
      <c r="AL77" s="1225">
        <f>SUM(AL78:AL82)</f>
        <v>0</v>
      </c>
      <c r="AM77" s="1225">
        <f>SUM(AM78:AM82)</f>
        <v>0</v>
      </c>
      <c r="AN77" s="1225">
        <f>SUM(AN78:AN82)</f>
        <v>0</v>
      </c>
      <c r="AO77" s="1225">
        <f>SUM(AO78:AO82)</f>
        <v>0</v>
      </c>
      <c r="AP77" s="1225">
        <f>SUM(AP78:AP82)</f>
        <v>0</v>
      </c>
      <c r="AQ77" s="1225">
        <f>SUM(AQ78:AQ82)</f>
        <v>0</v>
      </c>
      <c r="AR77" s="1225">
        <f>SUM(AR78:AR82)</f>
        <v>0</v>
      </c>
      <c r="AS77" s="1225">
        <f>SUM(AS78:AS82)</f>
        <v>0</v>
      </c>
      <c r="AT77" s="2611">
        <f>SUM(AT78:AT82)</f>
        <v>0</v>
      </c>
      <c r="AU77" s="2611">
        <f>SUM(AU78:AU82)</f>
        <v>0</v>
      </c>
      <c r="AV77" s="1225">
        <f>SUM(AV78:AV82)</f>
        <v>0</v>
      </c>
      <c r="AW77" s="1225">
        <f>SUM(AW78:AW82)</f>
        <v>0</v>
      </c>
      <c r="AX77" s="1225">
        <f>SUM(AX78:AX82)</f>
        <v>0</v>
      </c>
      <c r="AY77" s="1225">
        <f>SUM(AY78:AY82)</f>
        <v>0</v>
      </c>
      <c r="AZ77" s="1225">
        <f>SUM(AZ78:AZ82)</f>
        <v>0</v>
      </c>
      <c r="BA77" s="1225">
        <f>SUM(BA78:BA82)</f>
        <v>0</v>
      </c>
      <c r="BB77" s="1225">
        <f>SUM(BB78:BB82)</f>
        <v>0</v>
      </c>
      <c r="BC77" s="167"/>
      <c r="BD77" s="113"/>
      <c r="BE77" s="113"/>
      <c r="BF77" s="1018" t="s">
        <v>844</v>
      </c>
    </row>
    <row s="1621" customFormat="1" customHeight="1" ht="14.25">
      <c r="A78" s="1248"/>
      <c r="B78" s="1160"/>
      <c r="C78" s="1248"/>
      <c r="D78" s="1248"/>
      <c r="E78" s="607">
        <v>15</v>
      </c>
      <c r="F78" s="50" cm="1" t="str">
        <f t="array" ref="F78:F78">OFFSET(E78,-1,1)</f>
        <v>1</v>
      </c>
      <c r="G78" s="70" t="s">
        <v>441</v>
      </c>
      <c r="H78" s="1248"/>
      <c r="I78" s="1248"/>
      <c r="J78" s="1248"/>
      <c r="K78" s="1248"/>
      <c r="L78" s="1248"/>
      <c r="M78" s="1248"/>
      <c r="N78" s="1248"/>
      <c r="O78" s="1248"/>
      <c r="P78" s="1248"/>
      <c r="Q78" s="1248"/>
      <c r="R78" s="1248"/>
      <c r="S78" s="1248"/>
      <c r="T78" s="439" cm="1" t="str">
        <f t="array" ref="T78:T78">T77</f>
        <v>true</v>
      </c>
      <c r="U78" s="1248"/>
      <c r="V78" s="1248"/>
      <c r="W78" s="1248"/>
      <c r="X78" s="1534"/>
      <c r="Y78" s="1248"/>
      <c r="Z78" s="1535"/>
      <c r="AA78" s="1248"/>
      <c r="AB78" s="54" t="s">
        <v>845</v>
      </c>
      <c r="AC78" s="181" t="s">
        <v>846</v>
      </c>
      <c r="AD78" s="55" t="s">
        <v>784</v>
      </c>
      <c r="AE78" s="182"/>
      <c r="AF78" s="182"/>
      <c r="AG78" s="182"/>
      <c r="AH78" s="182"/>
      <c r="AI78" s="182"/>
      <c r="AJ78" s="2614"/>
      <c r="AK78" s="2614"/>
      <c r="AL78" s="182"/>
      <c r="AM78" s="182"/>
      <c r="AN78" s="182"/>
      <c r="AO78" s="182"/>
      <c r="AP78" s="182"/>
      <c r="AQ78" s="182"/>
      <c r="AR78" s="182"/>
      <c r="AS78" s="182"/>
      <c r="AT78" s="2614"/>
      <c r="AU78" s="2614"/>
      <c r="AV78" s="182"/>
      <c r="AW78" s="182"/>
      <c r="AX78" s="182"/>
      <c r="AY78" s="182"/>
      <c r="AZ78" s="182"/>
      <c r="BA78" s="182"/>
      <c r="BB78" s="182"/>
      <c r="BC78" s="167"/>
      <c r="BD78" s="1248"/>
      <c r="BE78" s="1248"/>
      <c r="BF78" s="1018" t="s">
        <v>847</v>
      </c>
    </row>
    <row s="1621" customFormat="1" customHeight="1" ht="14.25">
      <c r="A79" s="1248"/>
      <c r="B79" s="1160"/>
      <c r="C79" s="1248"/>
      <c r="D79" s="1248"/>
      <c r="E79" s="607">
        <v>15</v>
      </c>
      <c r="F79" s="50" cm="1" t="str">
        <f t="array" ref="F79:F79">OFFSET(E79,-1,1)</f>
        <v>1</v>
      </c>
      <c r="G79" s="70" t="s">
        <v>445</v>
      </c>
      <c r="H79" s="1248"/>
      <c r="I79" s="1248"/>
      <c r="J79" s="1248"/>
      <c r="K79" s="1248"/>
      <c r="L79" s="1248"/>
      <c r="M79" s="1248"/>
      <c r="N79" s="1248"/>
      <c r="O79" s="1248"/>
      <c r="P79" s="1248"/>
      <c r="Q79" s="1248"/>
      <c r="R79" s="1248"/>
      <c r="S79" s="1248"/>
      <c r="T79" s="439" cm="1" t="str">
        <f t="array" ref="T79:T79">T78</f>
        <v>true</v>
      </c>
      <c r="U79" s="1248"/>
      <c r="V79" s="1248"/>
      <c r="W79" s="1248"/>
      <c r="X79" s="1534"/>
      <c r="Y79" s="1248"/>
      <c r="Z79" s="1535"/>
      <c r="AA79" s="1248"/>
      <c r="AB79" s="54" t="s">
        <v>848</v>
      </c>
      <c r="AC79" s="181" t="s">
        <v>849</v>
      </c>
      <c r="AD79" s="55" t="s">
        <v>784</v>
      </c>
      <c r="AE79" s="182"/>
      <c r="AF79" s="182"/>
      <c r="AG79" s="182"/>
      <c r="AH79" s="182"/>
      <c r="AI79" s="182"/>
      <c r="AJ79" s="2614"/>
      <c r="AK79" s="2614"/>
      <c r="AL79" s="182"/>
      <c r="AM79" s="182"/>
      <c r="AN79" s="182"/>
      <c r="AO79" s="182"/>
      <c r="AP79" s="182"/>
      <c r="AQ79" s="182"/>
      <c r="AR79" s="182"/>
      <c r="AS79" s="182"/>
      <c r="AT79" s="2614"/>
      <c r="AU79" s="2614"/>
      <c r="AV79" s="182"/>
      <c r="AW79" s="182"/>
      <c r="AX79" s="182"/>
      <c r="AY79" s="182"/>
      <c r="AZ79" s="182"/>
      <c r="BA79" s="182"/>
      <c r="BB79" s="182"/>
      <c r="BC79" s="167"/>
      <c r="BD79" s="1248"/>
      <c r="BE79" s="1248"/>
      <c r="BF79" s="1018" t="s">
        <v>850</v>
      </c>
    </row>
    <row s="1621" customFormat="1" customHeight="1" ht="14.25">
      <c r="A80" s="1248"/>
      <c r="B80" s="1160"/>
      <c r="C80" s="1248"/>
      <c r="D80" s="1248"/>
      <c r="E80" s="607">
        <v>15</v>
      </c>
      <c r="F80" s="50" cm="1" t="str">
        <f t="array" ref="F80:F80">OFFSET(E80,-1,1)</f>
        <v>1</v>
      </c>
      <c r="G80" s="70" t="s">
        <v>448</v>
      </c>
      <c r="H80" s="1248"/>
      <c r="I80" s="1248"/>
      <c r="J80" s="1248"/>
      <c r="K80" s="1248"/>
      <c r="L80" s="1248"/>
      <c r="M80" s="1248"/>
      <c r="N80" s="1248"/>
      <c r="O80" s="1248"/>
      <c r="P80" s="1248"/>
      <c r="Q80" s="1248"/>
      <c r="R80" s="1248"/>
      <c r="S80" s="1248"/>
      <c r="T80" s="439" cm="1" t="str">
        <f t="array" ref="T80:T80">T79</f>
        <v>true</v>
      </c>
      <c r="U80" s="1248"/>
      <c r="V80" s="1248"/>
      <c r="W80" s="1248"/>
      <c r="X80" s="1534"/>
      <c r="Y80" s="1248"/>
      <c r="Z80" s="1535"/>
      <c r="AA80" s="1248"/>
      <c r="AB80" s="54" t="s">
        <v>851</v>
      </c>
      <c r="AC80" s="181" t="s">
        <v>852</v>
      </c>
      <c r="AD80" s="55" t="s">
        <v>784</v>
      </c>
      <c r="AE80" s="182"/>
      <c r="AF80" s="182"/>
      <c r="AG80" s="182"/>
      <c r="AH80" s="182"/>
      <c r="AI80" s="182"/>
      <c r="AJ80" s="2614"/>
      <c r="AK80" s="2614"/>
      <c r="AL80" s="182"/>
      <c r="AM80" s="182"/>
      <c r="AN80" s="182"/>
      <c r="AO80" s="182"/>
      <c r="AP80" s="182"/>
      <c r="AQ80" s="182"/>
      <c r="AR80" s="182"/>
      <c r="AS80" s="182"/>
      <c r="AT80" s="2614"/>
      <c r="AU80" s="2614"/>
      <c r="AV80" s="182"/>
      <c r="AW80" s="182"/>
      <c r="AX80" s="182"/>
      <c r="AY80" s="182"/>
      <c r="AZ80" s="182"/>
      <c r="BA80" s="182"/>
      <c r="BB80" s="182"/>
      <c r="BC80" s="167"/>
      <c r="BD80" s="1248"/>
      <c r="BE80" s="1248"/>
      <c r="BF80" s="1018" t="s">
        <v>853</v>
      </c>
    </row>
    <row s="1621" customFormat="1" customHeight="1" ht="14.25">
      <c r="A81" s="1248"/>
      <c r="B81" s="1160"/>
      <c r="C81" s="1248"/>
      <c r="D81" s="1248"/>
      <c r="E81" s="607">
        <v>15</v>
      </c>
      <c r="F81" s="50" cm="1" t="str">
        <f t="array" ref="F81:F81">OFFSET(E81,-1,1)</f>
        <v>1</v>
      </c>
      <c r="G81" s="70" t="s">
        <v>452</v>
      </c>
      <c r="H81" s="1248"/>
      <c r="I81" s="1248"/>
      <c r="J81" s="1248"/>
      <c r="K81" s="1248"/>
      <c r="L81" s="1248"/>
      <c r="M81" s="1248"/>
      <c r="N81" s="1248"/>
      <c r="O81" s="1248"/>
      <c r="P81" s="1248"/>
      <c r="Q81" s="1248"/>
      <c r="R81" s="1248"/>
      <c r="S81" s="1248"/>
      <c r="T81" s="439" cm="1" t="str">
        <f t="array" ref="T81:T81">T80</f>
        <v>true</v>
      </c>
      <c r="U81" s="1248"/>
      <c r="V81" s="1248"/>
      <c r="W81" s="1248"/>
      <c r="X81" s="1534"/>
      <c r="Y81" s="1248"/>
      <c r="Z81" s="1535"/>
      <c r="AA81" s="1248"/>
      <c r="AB81" s="54" t="s">
        <v>854</v>
      </c>
      <c r="AC81" s="181" t="s">
        <v>855</v>
      </c>
      <c r="AD81" s="55" t="s">
        <v>784</v>
      </c>
      <c r="AE81" s="182"/>
      <c r="AF81" s="182"/>
      <c r="AG81" s="182"/>
      <c r="AH81" s="182"/>
      <c r="AI81" s="182"/>
      <c r="AJ81" s="2614"/>
      <c r="AK81" s="2614"/>
      <c r="AL81" s="182"/>
      <c r="AM81" s="182"/>
      <c r="AN81" s="182"/>
      <c r="AO81" s="182"/>
      <c r="AP81" s="182"/>
      <c r="AQ81" s="182"/>
      <c r="AR81" s="182"/>
      <c r="AS81" s="182"/>
      <c r="AT81" s="2614"/>
      <c r="AU81" s="2614"/>
      <c r="AV81" s="182"/>
      <c r="AW81" s="182"/>
      <c r="AX81" s="182"/>
      <c r="AY81" s="182"/>
      <c r="AZ81" s="182"/>
      <c r="BA81" s="182"/>
      <c r="BB81" s="182"/>
      <c r="BC81" s="167"/>
      <c r="BD81" s="1248"/>
      <c r="BE81" s="1248"/>
      <c r="BF81" s="1018" t="s">
        <v>856</v>
      </c>
    </row>
    <row s="1621" customFormat="1" customHeight="1" ht="14.25">
      <c r="A82" s="1248"/>
      <c r="B82" s="1160"/>
      <c r="C82" s="1248"/>
      <c r="D82" s="1248"/>
      <c r="E82" s="607">
        <v>15</v>
      </c>
      <c r="F82" s="50" cm="1" t="str">
        <f t="array" ref="F82:F82">OFFSET(E82,-1,1)</f>
        <v>1</v>
      </c>
      <c r="G82" s="70" t="s">
        <v>857</v>
      </c>
      <c r="H82" s="1248"/>
      <c r="I82" s="1248"/>
      <c r="J82" s="1248"/>
      <c r="K82" s="1248"/>
      <c r="L82" s="1248"/>
      <c r="M82" s="1248"/>
      <c r="N82" s="1248"/>
      <c r="O82" s="1248"/>
      <c r="P82" s="1248"/>
      <c r="Q82" s="1248"/>
      <c r="R82" s="1248"/>
      <c r="S82" s="1248"/>
      <c r="T82" s="439" cm="1" t="str">
        <f t="array" ref="T82:T82">T81</f>
        <v>true</v>
      </c>
      <c r="U82" s="1248"/>
      <c r="V82" s="1248"/>
      <c r="W82" s="1248"/>
      <c r="X82" s="1534"/>
      <c r="Y82" s="1248"/>
      <c r="Z82" s="1535"/>
      <c r="AA82" s="1248"/>
      <c r="AB82" s="54" t="s">
        <v>858</v>
      </c>
      <c r="AC82" s="181" t="s">
        <v>859</v>
      </c>
      <c r="AD82" s="55" t="s">
        <v>784</v>
      </c>
      <c r="AE82" s="182"/>
      <c r="AF82" s="182"/>
      <c r="AG82" s="182"/>
      <c r="AH82" s="182"/>
      <c r="AI82" s="182"/>
      <c r="AJ82" s="2614"/>
      <c r="AK82" s="2614"/>
      <c r="AL82" s="182"/>
      <c r="AM82" s="182"/>
      <c r="AN82" s="182"/>
      <c r="AO82" s="182"/>
      <c r="AP82" s="182"/>
      <c r="AQ82" s="182"/>
      <c r="AR82" s="182"/>
      <c r="AS82" s="182"/>
      <c r="AT82" s="2614"/>
      <c r="AU82" s="2614"/>
      <c r="AV82" s="182"/>
      <c r="AW82" s="182"/>
      <c r="AX82" s="182"/>
      <c r="AY82" s="182"/>
      <c r="AZ82" s="182"/>
      <c r="BA82" s="182"/>
      <c r="BB82" s="182"/>
      <c r="BC82" s="167"/>
      <c r="BD82" s="1248"/>
      <c r="BE82" s="1248"/>
      <c r="BF82" s="1018" t="s">
        <v>860</v>
      </c>
    </row>
    <row s="113" customFormat="1" customHeight="1" ht="14.25">
      <c r="A83" s="113"/>
      <c r="B83" s="404"/>
      <c r="C83" s="113"/>
      <c r="D83" s="113"/>
      <c r="E83" s="607">
        <v>15</v>
      </c>
      <c r="F83" s="50" cm="1" t="str">
        <f t="array" ref="F83:F83">OFFSET(E83,-1,1)</f>
        <v>1</v>
      </c>
      <c r="G83" s="70" t="s">
        <v>326</v>
      </c>
      <c r="H83" s="113"/>
      <c r="I83" s="113"/>
      <c r="J83" s="113"/>
      <c r="K83" s="113"/>
      <c r="L83" s="113"/>
      <c r="M83" s="113"/>
      <c r="N83" s="113"/>
      <c r="O83" s="113"/>
      <c r="P83" s="113"/>
      <c r="Q83" s="113"/>
      <c r="R83" s="113"/>
      <c r="S83" s="113"/>
      <c r="T83" s="439" cm="1" t="str">
        <f t="array" ref="T83:T83">T82</f>
        <v>true</v>
      </c>
      <c r="U83" s="113"/>
      <c r="V83" s="113"/>
      <c r="W83" s="113"/>
      <c r="X83" s="1534"/>
      <c r="Y83" s="113"/>
      <c r="Z83" s="1535"/>
      <c r="AA83" s="113"/>
      <c r="AB83" s="178">
        <v>2</v>
      </c>
      <c r="AC83" s="179" t="s">
        <v>861</v>
      </c>
      <c r="AD83" s="55" t="s">
        <v>784</v>
      </c>
      <c r="AE83" s="1225">
        <f>SUM(AE84:AE88)</f>
        <v>0</v>
      </c>
      <c r="AF83" s="1225">
        <f>SUM(AF84:AF88)</f>
        <v>0</v>
      </c>
      <c r="AG83" s="1225">
        <f>SUM(AG84:AG88)</f>
        <v>0</v>
      </c>
      <c r="AH83" s="1225">
        <f>SUM(AH84:AH88)</f>
        <v>0</v>
      </c>
      <c r="AI83" s="1225">
        <f>SUM(AI84:AI88)</f>
        <v>0</v>
      </c>
      <c r="AJ83" s="2611">
        <f>SUM(AJ84:AJ88)</f>
        <v>0</v>
      </c>
      <c r="AK83" s="2611">
        <f>SUM(AK84:AK88)</f>
        <v>0</v>
      </c>
      <c r="AL83" s="1225">
        <f>SUM(AL84:AL88)</f>
        <v>0</v>
      </c>
      <c r="AM83" s="1225">
        <f>SUM(AM84:AM88)</f>
        <v>0</v>
      </c>
      <c r="AN83" s="1225">
        <f>SUM(AN84:AN88)</f>
        <v>0</v>
      </c>
      <c r="AO83" s="1225">
        <f>SUM(AO84:AO88)</f>
        <v>0</v>
      </c>
      <c r="AP83" s="1225">
        <f>SUM(AP84:AP88)</f>
        <v>0</v>
      </c>
      <c r="AQ83" s="1225">
        <f>SUM(AQ84:AQ88)</f>
        <v>0</v>
      </c>
      <c r="AR83" s="1225">
        <f>SUM(AR84:AR88)</f>
        <v>0</v>
      </c>
      <c r="AS83" s="1225">
        <f>SUM(AS84:AS88)</f>
        <v>0</v>
      </c>
      <c r="AT83" s="2611">
        <f>SUM(AT84:AT88)</f>
        <v>0</v>
      </c>
      <c r="AU83" s="2611">
        <f>SUM(AU84:AU88)</f>
        <v>0</v>
      </c>
      <c r="AV83" s="1225">
        <f>SUM(AV84:AV88)</f>
        <v>0</v>
      </c>
      <c r="AW83" s="1225">
        <f>SUM(AW84:AW88)</f>
        <v>0</v>
      </c>
      <c r="AX83" s="1225">
        <f>SUM(AX84:AX88)</f>
        <v>0</v>
      </c>
      <c r="AY83" s="1225">
        <f>SUM(AY84:AY88)</f>
        <v>0</v>
      </c>
      <c r="AZ83" s="1225">
        <f>SUM(AZ84:AZ88)</f>
        <v>0</v>
      </c>
      <c r="BA83" s="1225">
        <f>SUM(BA84:BA88)</f>
        <v>0</v>
      </c>
      <c r="BB83" s="1225">
        <f>SUM(BB84:BB88)</f>
        <v>0</v>
      </c>
      <c r="BC83" s="167"/>
      <c r="BD83" s="113"/>
      <c r="BE83" s="113"/>
      <c r="BF83" s="1018" t="s">
        <v>862</v>
      </c>
    </row>
    <row s="1621" customFormat="1" customHeight="1" ht="14.25">
      <c r="A84" s="1248"/>
      <c r="B84" s="1160"/>
      <c r="C84" s="1248"/>
      <c r="D84" s="1248"/>
      <c r="E84" s="607">
        <v>15</v>
      </c>
      <c r="F84" s="50" cm="1" t="str">
        <f t="array" ref="F84:F84">OFFSET(E84,-1,1)</f>
        <v>1</v>
      </c>
      <c r="G84" s="70" t="s">
        <v>459</v>
      </c>
      <c r="H84" s="1248"/>
      <c r="I84" s="1248"/>
      <c r="J84" s="1248"/>
      <c r="K84" s="1248"/>
      <c r="L84" s="1248"/>
      <c r="M84" s="1248"/>
      <c r="N84" s="1248"/>
      <c r="O84" s="1248"/>
      <c r="P84" s="1248"/>
      <c r="Q84" s="1248"/>
      <c r="R84" s="1248"/>
      <c r="S84" s="1248"/>
      <c r="T84" s="439" cm="1" t="str">
        <f t="array" ref="T84:T84">T83</f>
        <v>true</v>
      </c>
      <c r="U84" s="1248"/>
      <c r="V84" s="1248"/>
      <c r="W84" s="1248"/>
      <c r="X84" s="1534"/>
      <c r="Y84" s="1248"/>
      <c r="Z84" s="1535"/>
      <c r="AA84" s="1248"/>
      <c r="AB84" s="54" t="s">
        <v>515</v>
      </c>
      <c r="AC84" s="181" t="s">
        <v>846</v>
      </c>
      <c r="AD84" s="55" t="s">
        <v>784</v>
      </c>
      <c r="AE84" s="182"/>
      <c r="AF84" s="182"/>
      <c r="AG84" s="182"/>
      <c r="AH84" s="182"/>
      <c r="AI84" s="182"/>
      <c r="AJ84" s="2614"/>
      <c r="AK84" s="2614"/>
      <c r="AL84" s="182"/>
      <c r="AM84" s="182"/>
      <c r="AN84" s="182"/>
      <c r="AO84" s="182"/>
      <c r="AP84" s="182"/>
      <c r="AQ84" s="182"/>
      <c r="AR84" s="182"/>
      <c r="AS84" s="182"/>
      <c r="AT84" s="2614"/>
      <c r="AU84" s="2614"/>
      <c r="AV84" s="182"/>
      <c r="AW84" s="182"/>
      <c r="AX84" s="182"/>
      <c r="AY84" s="182"/>
      <c r="AZ84" s="182"/>
      <c r="BA84" s="182"/>
      <c r="BB84" s="182"/>
      <c r="BC84" s="167"/>
      <c r="BD84" s="1248"/>
      <c r="BE84" s="1248"/>
      <c r="BF84" s="1018" t="s">
        <v>863</v>
      </c>
    </row>
    <row s="1621" customFormat="1" customHeight="1" ht="14.25">
      <c r="A85" s="1248"/>
      <c r="B85" s="1160"/>
      <c r="C85" s="1248"/>
      <c r="D85" s="1248"/>
      <c r="E85" s="607">
        <v>15</v>
      </c>
      <c r="F85" s="50" cm="1" t="str">
        <f t="array" ref="F85:F85">OFFSET(E85,-1,1)</f>
        <v>1</v>
      </c>
      <c r="G85" s="70" t="s">
        <v>462</v>
      </c>
      <c r="H85" s="1248"/>
      <c r="I85" s="1248"/>
      <c r="J85" s="1248"/>
      <c r="K85" s="1248"/>
      <c r="L85" s="1248"/>
      <c r="M85" s="1248"/>
      <c r="N85" s="1248"/>
      <c r="O85" s="1248"/>
      <c r="P85" s="1248"/>
      <c r="Q85" s="1248"/>
      <c r="R85" s="1248"/>
      <c r="S85" s="1248"/>
      <c r="T85" s="439" cm="1" t="str">
        <f t="array" ref="T85:T85">T84</f>
        <v>true</v>
      </c>
      <c r="U85" s="1248"/>
      <c r="V85" s="1248"/>
      <c r="W85" s="1248"/>
      <c r="X85" s="1534"/>
      <c r="Y85" s="1248"/>
      <c r="Z85" s="1535"/>
      <c r="AA85" s="1248"/>
      <c r="AB85" s="54" t="s">
        <v>519</v>
      </c>
      <c r="AC85" s="181" t="s">
        <v>849</v>
      </c>
      <c r="AD85" s="55" t="s">
        <v>784</v>
      </c>
      <c r="AE85" s="182"/>
      <c r="AF85" s="182"/>
      <c r="AG85" s="182"/>
      <c r="AH85" s="182"/>
      <c r="AI85" s="182"/>
      <c r="AJ85" s="2614"/>
      <c r="AK85" s="2614"/>
      <c r="AL85" s="182"/>
      <c r="AM85" s="182"/>
      <c r="AN85" s="182"/>
      <c r="AO85" s="182"/>
      <c r="AP85" s="182"/>
      <c r="AQ85" s="182"/>
      <c r="AR85" s="182"/>
      <c r="AS85" s="182"/>
      <c r="AT85" s="2614"/>
      <c r="AU85" s="2614"/>
      <c r="AV85" s="182"/>
      <c r="AW85" s="182"/>
      <c r="AX85" s="182"/>
      <c r="AY85" s="182"/>
      <c r="AZ85" s="182"/>
      <c r="BA85" s="182"/>
      <c r="BB85" s="182"/>
      <c r="BC85" s="167"/>
      <c r="BD85" s="1248"/>
      <c r="BE85" s="1248"/>
      <c r="BF85" s="1018" t="s">
        <v>864</v>
      </c>
    </row>
    <row s="1621" customFormat="1" customHeight="1" ht="14.25">
      <c r="A86" s="1248"/>
      <c r="B86" s="1160"/>
      <c r="C86" s="1248"/>
      <c r="D86" s="1248"/>
      <c r="E86" s="607">
        <v>15</v>
      </c>
      <c r="F86" s="50" cm="1" t="str">
        <f t="array" ref="F86:F86">OFFSET(E86,-1,1)</f>
        <v>1</v>
      </c>
      <c r="G86" s="70" t="s">
        <v>865</v>
      </c>
      <c r="H86" s="1248"/>
      <c r="I86" s="1248"/>
      <c r="J86" s="1248"/>
      <c r="K86" s="1248"/>
      <c r="L86" s="1248"/>
      <c r="M86" s="1248"/>
      <c r="N86" s="1248"/>
      <c r="O86" s="1248"/>
      <c r="P86" s="1248"/>
      <c r="Q86" s="1248"/>
      <c r="R86" s="1248"/>
      <c r="S86" s="1248"/>
      <c r="T86" s="439" cm="1" t="str">
        <f t="array" ref="T86:T86">T85</f>
        <v>true</v>
      </c>
      <c r="U86" s="1248"/>
      <c r="V86" s="1248"/>
      <c r="W86" s="1248"/>
      <c r="X86" s="1534"/>
      <c r="Y86" s="1248"/>
      <c r="Z86" s="1535"/>
      <c r="AA86" s="1248"/>
      <c r="AB86" s="54" t="s">
        <v>523</v>
      </c>
      <c r="AC86" s="181" t="s">
        <v>852</v>
      </c>
      <c r="AD86" s="55" t="s">
        <v>784</v>
      </c>
      <c r="AE86" s="182"/>
      <c r="AF86" s="182"/>
      <c r="AG86" s="182"/>
      <c r="AH86" s="182"/>
      <c r="AI86" s="182"/>
      <c r="AJ86" s="2614"/>
      <c r="AK86" s="2614"/>
      <c r="AL86" s="182"/>
      <c r="AM86" s="182"/>
      <c r="AN86" s="182"/>
      <c r="AO86" s="182"/>
      <c r="AP86" s="182"/>
      <c r="AQ86" s="182"/>
      <c r="AR86" s="182"/>
      <c r="AS86" s="182"/>
      <c r="AT86" s="2614"/>
      <c r="AU86" s="2614"/>
      <c r="AV86" s="182"/>
      <c r="AW86" s="182"/>
      <c r="AX86" s="182"/>
      <c r="AY86" s="182"/>
      <c r="AZ86" s="182"/>
      <c r="BA86" s="182"/>
      <c r="BB86" s="182"/>
      <c r="BC86" s="167"/>
      <c r="BD86" s="1248"/>
      <c r="BE86" s="1248"/>
      <c r="BF86" s="1018" t="s">
        <v>866</v>
      </c>
    </row>
    <row s="1621" customFormat="1" customHeight="1" ht="14.25">
      <c r="A87" s="1248"/>
      <c r="B87" s="1160"/>
      <c r="C87" s="1248"/>
      <c r="D87" s="1248"/>
      <c r="E87" s="607">
        <v>15</v>
      </c>
      <c r="F87" s="50" cm="1" t="str">
        <f t="array" ref="F87:F87">OFFSET(E87,-1,1)</f>
        <v>1</v>
      </c>
      <c r="G87" s="70" t="s">
        <v>867</v>
      </c>
      <c r="H87" s="1248"/>
      <c r="I87" s="1248"/>
      <c r="J87" s="1248"/>
      <c r="K87" s="1248"/>
      <c r="L87" s="1248"/>
      <c r="M87" s="1248"/>
      <c r="N87" s="1248"/>
      <c r="O87" s="1248"/>
      <c r="P87" s="1248"/>
      <c r="Q87" s="1248"/>
      <c r="R87" s="1248"/>
      <c r="S87" s="1248"/>
      <c r="T87" s="439" cm="1" t="str">
        <f t="array" ref="T87:T87">T86</f>
        <v>true</v>
      </c>
      <c r="U87" s="1248"/>
      <c r="V87" s="1248"/>
      <c r="W87" s="1248"/>
      <c r="X87" s="1534"/>
      <c r="Y87" s="1248"/>
      <c r="Z87" s="1535"/>
      <c r="AA87" s="1248"/>
      <c r="AB87" s="54" t="s">
        <v>868</v>
      </c>
      <c r="AC87" s="181" t="s">
        <v>855</v>
      </c>
      <c r="AD87" s="55" t="s">
        <v>784</v>
      </c>
      <c r="AE87" s="182"/>
      <c r="AF87" s="182"/>
      <c r="AG87" s="182"/>
      <c r="AH87" s="182"/>
      <c r="AI87" s="182"/>
      <c r="AJ87" s="2614"/>
      <c r="AK87" s="2614"/>
      <c r="AL87" s="182"/>
      <c r="AM87" s="182"/>
      <c r="AN87" s="182"/>
      <c r="AO87" s="182"/>
      <c r="AP87" s="182"/>
      <c r="AQ87" s="182"/>
      <c r="AR87" s="182"/>
      <c r="AS87" s="182"/>
      <c r="AT87" s="2614"/>
      <c r="AU87" s="2614"/>
      <c r="AV87" s="182"/>
      <c r="AW87" s="182"/>
      <c r="AX87" s="182"/>
      <c r="AY87" s="182"/>
      <c r="AZ87" s="182"/>
      <c r="BA87" s="182"/>
      <c r="BB87" s="182"/>
      <c r="BC87" s="167"/>
      <c r="BD87" s="1248"/>
      <c r="BE87" s="1248"/>
      <c r="BF87" s="1018" t="s">
        <v>869</v>
      </c>
    </row>
    <row s="1621" customFormat="1" customHeight="1" ht="14.25">
      <c r="A88" s="1248"/>
      <c r="B88" s="1160"/>
      <c r="C88" s="1248"/>
      <c r="D88" s="1248"/>
      <c r="E88" s="607">
        <v>15</v>
      </c>
      <c r="F88" s="50" cm="1" t="str">
        <f t="array" ref="F88:F88">OFFSET(E88,-1,1)</f>
        <v>1</v>
      </c>
      <c r="G88" s="70" t="s">
        <v>870</v>
      </c>
      <c r="H88" s="1248"/>
      <c r="I88" s="1248"/>
      <c r="J88" s="1248"/>
      <c r="K88" s="1248"/>
      <c r="L88" s="1248"/>
      <c r="M88" s="1248"/>
      <c r="N88" s="1248"/>
      <c r="O88" s="1248"/>
      <c r="P88" s="1248"/>
      <c r="Q88" s="1248"/>
      <c r="R88" s="1248"/>
      <c r="S88" s="1248"/>
      <c r="T88" s="439" cm="1" t="str">
        <f t="array" ref="T88:T88">T87</f>
        <v>true</v>
      </c>
      <c r="U88" s="1248"/>
      <c r="V88" s="1248"/>
      <c r="W88" s="1248"/>
      <c r="X88" s="1534"/>
      <c r="Y88" s="1248"/>
      <c r="Z88" s="1535"/>
      <c r="AA88" s="1248"/>
      <c r="AB88" s="54" t="s">
        <v>871</v>
      </c>
      <c r="AC88" s="181" t="s">
        <v>859</v>
      </c>
      <c r="AD88" s="55" t="s">
        <v>784</v>
      </c>
      <c r="AE88" s="182"/>
      <c r="AF88" s="182"/>
      <c r="AG88" s="182"/>
      <c r="AH88" s="182"/>
      <c r="AI88" s="182"/>
      <c r="AJ88" s="2614"/>
      <c r="AK88" s="2614"/>
      <c r="AL88" s="182"/>
      <c r="AM88" s="182"/>
      <c r="AN88" s="182"/>
      <c r="AO88" s="182"/>
      <c r="AP88" s="182"/>
      <c r="AQ88" s="182"/>
      <c r="AR88" s="182"/>
      <c r="AS88" s="182"/>
      <c r="AT88" s="2614"/>
      <c r="AU88" s="2614"/>
      <c r="AV88" s="182"/>
      <c r="AW88" s="182"/>
      <c r="AX88" s="182"/>
      <c r="AY88" s="182"/>
      <c r="AZ88" s="182"/>
      <c r="BA88" s="182"/>
      <c r="BB88" s="182"/>
      <c r="BC88" s="167"/>
      <c r="BD88" s="1248"/>
      <c r="BE88" s="1248"/>
      <c r="BF88" s="1018" t="s">
        <v>872</v>
      </c>
    </row>
    <row s="113" customFormat="1" customHeight="1" ht="14.25">
      <c r="A89" s="113"/>
      <c r="B89" s="404"/>
      <c r="C89" s="113"/>
      <c r="D89" s="113"/>
      <c r="E89" s="607">
        <v>15</v>
      </c>
      <c r="F89" s="50" cm="1" t="str">
        <f t="array" ref="F89:F89">OFFSET(E89,-1,1)</f>
        <v>1</v>
      </c>
      <c r="G89" s="70" t="s">
        <v>327</v>
      </c>
      <c r="H89" s="113"/>
      <c r="I89" s="113"/>
      <c r="J89" s="113"/>
      <c r="K89" s="113"/>
      <c r="L89" s="113"/>
      <c r="M89" s="113"/>
      <c r="N89" s="113"/>
      <c r="O89" s="113"/>
      <c r="P89" s="113"/>
      <c r="Q89" s="113"/>
      <c r="R89" s="113"/>
      <c r="S89" s="113"/>
      <c r="T89" s="439" cm="1" t="str">
        <f t="array" ref="T89:T89">T88</f>
        <v>true</v>
      </c>
      <c r="U89" s="113"/>
      <c r="V89" s="113"/>
      <c r="W89" s="113"/>
      <c r="X89" s="1534"/>
      <c r="Y89" s="113"/>
      <c r="Z89" s="1535"/>
      <c r="AA89" s="113"/>
      <c r="AB89" s="178">
        <v>3</v>
      </c>
      <c r="AC89" s="179" t="s">
        <v>873</v>
      </c>
      <c r="AD89" s="55" t="s">
        <v>784</v>
      </c>
      <c r="AE89" s="1225">
        <f>SUM(AE90:AE94)</f>
        <v>0</v>
      </c>
      <c r="AF89" s="1225">
        <f>SUM(AF90:AF94)</f>
        <v>0</v>
      </c>
      <c r="AG89" s="1225">
        <f>SUM(AG90:AG94)</f>
        <v>0</v>
      </c>
      <c r="AH89" s="1225">
        <f>SUM(AH90:AH94)</f>
        <v>0</v>
      </c>
      <c r="AI89" s="1225">
        <f>SUM(AI90:AI94)</f>
        <v>0</v>
      </c>
      <c r="AJ89" s="2611">
        <f>SUM(AJ90:AJ94)</f>
        <v>0</v>
      </c>
      <c r="AK89" s="2611">
        <f>SUM(AK90:AK94)</f>
        <v>0</v>
      </c>
      <c r="AL89" s="1225">
        <f>SUM(AL90:AL94)</f>
        <v>0</v>
      </c>
      <c r="AM89" s="1225">
        <f>SUM(AM90:AM94)</f>
        <v>0</v>
      </c>
      <c r="AN89" s="1225">
        <f>SUM(AN90:AN94)</f>
        <v>0</v>
      </c>
      <c r="AO89" s="1225">
        <f>SUM(AO90:AO94)</f>
        <v>0</v>
      </c>
      <c r="AP89" s="1225">
        <f>SUM(AP90:AP94)</f>
        <v>0</v>
      </c>
      <c r="AQ89" s="1225">
        <f>SUM(AQ90:AQ94)</f>
        <v>0</v>
      </c>
      <c r="AR89" s="1225">
        <f>SUM(AR90:AR94)</f>
        <v>0</v>
      </c>
      <c r="AS89" s="1225">
        <f>SUM(AS90:AS94)</f>
        <v>0</v>
      </c>
      <c r="AT89" s="2611">
        <f>SUM(AT90:AT94)</f>
        <v>0</v>
      </c>
      <c r="AU89" s="2611">
        <f>SUM(AU90:AU94)</f>
        <v>0</v>
      </c>
      <c r="AV89" s="1225">
        <f>SUM(AV90:AV94)</f>
        <v>0</v>
      </c>
      <c r="AW89" s="1225">
        <f>SUM(AW90:AW94)</f>
        <v>0</v>
      </c>
      <c r="AX89" s="1225">
        <f>SUM(AX90:AX94)</f>
        <v>0</v>
      </c>
      <c r="AY89" s="1225">
        <f>SUM(AY90:AY94)</f>
        <v>0</v>
      </c>
      <c r="AZ89" s="1225">
        <f>SUM(AZ90:AZ94)</f>
        <v>0</v>
      </c>
      <c r="BA89" s="1225">
        <f>SUM(BA90:BA94)</f>
        <v>0</v>
      </c>
      <c r="BB89" s="1225">
        <f>SUM(BB90:BB94)</f>
        <v>0</v>
      </c>
      <c r="BC89" s="167"/>
      <c r="BD89" s="113"/>
      <c r="BE89" s="113"/>
      <c r="BF89" s="1018" t="s">
        <v>874</v>
      </c>
    </row>
    <row s="1621" customFormat="1" customHeight="1" ht="14.25">
      <c r="A90" s="1248"/>
      <c r="B90" s="1160"/>
      <c r="C90" s="1248"/>
      <c r="D90" s="1248"/>
      <c r="E90" s="607">
        <v>15</v>
      </c>
      <c r="F90" s="50" cm="1" t="str">
        <f t="array" ref="F90:F90">OFFSET(E90,-1,1)</f>
        <v>1</v>
      </c>
      <c r="G90" s="70" t="s">
        <v>875</v>
      </c>
      <c r="H90" s="1248"/>
      <c r="I90" s="1248"/>
      <c r="J90" s="1248"/>
      <c r="K90" s="1248"/>
      <c r="L90" s="1248"/>
      <c r="M90" s="1248"/>
      <c r="N90" s="1248"/>
      <c r="O90" s="1248"/>
      <c r="P90" s="1248"/>
      <c r="Q90" s="1248"/>
      <c r="R90" s="1248"/>
      <c r="S90" s="1248"/>
      <c r="T90" s="439" cm="1" t="str">
        <f t="array" ref="T90:T90">T89</f>
        <v>true</v>
      </c>
      <c r="U90" s="1248"/>
      <c r="V90" s="1248"/>
      <c r="W90" s="1248"/>
      <c r="X90" s="1534"/>
      <c r="Y90" s="1248"/>
      <c r="Z90" s="1535"/>
      <c r="AA90" s="1248"/>
      <c r="AB90" s="54" t="s">
        <v>529</v>
      </c>
      <c r="AC90" s="181" t="s">
        <v>846</v>
      </c>
      <c r="AD90" s="55" t="s">
        <v>784</v>
      </c>
      <c r="AE90" s="182"/>
      <c r="AF90" s="182"/>
      <c r="AG90" s="182"/>
      <c r="AH90" s="182"/>
      <c r="AI90" s="182"/>
      <c r="AJ90" s="2614"/>
      <c r="AK90" s="2614"/>
      <c r="AL90" s="182"/>
      <c r="AM90" s="182"/>
      <c r="AN90" s="182"/>
      <c r="AO90" s="182"/>
      <c r="AP90" s="182"/>
      <c r="AQ90" s="182"/>
      <c r="AR90" s="182"/>
      <c r="AS90" s="182"/>
      <c r="AT90" s="2614"/>
      <c r="AU90" s="2614"/>
      <c r="AV90" s="182"/>
      <c r="AW90" s="182"/>
      <c r="AX90" s="182"/>
      <c r="AY90" s="182"/>
      <c r="AZ90" s="182"/>
      <c r="BA90" s="182"/>
      <c r="BB90" s="182"/>
      <c r="BC90" s="167"/>
      <c r="BD90" s="1248"/>
      <c r="BE90" s="1248"/>
      <c r="BF90" s="1018" t="s">
        <v>876</v>
      </c>
    </row>
    <row s="1621" customFormat="1" customHeight="1" ht="14.25">
      <c r="A91" s="1248"/>
      <c r="B91" s="1160"/>
      <c r="C91" s="1248"/>
      <c r="D91" s="1248"/>
      <c r="E91" s="607">
        <v>15</v>
      </c>
      <c r="F91" s="50" cm="1" t="str">
        <f t="array" ref="F91:F91">OFFSET(E91,-1,1)</f>
        <v>1</v>
      </c>
      <c r="G91" s="70" t="s">
        <v>877</v>
      </c>
      <c r="H91" s="1248"/>
      <c r="I91" s="1248"/>
      <c r="J91" s="1248"/>
      <c r="K91" s="1248"/>
      <c r="L91" s="1248"/>
      <c r="M91" s="1248"/>
      <c r="N91" s="1248"/>
      <c r="O91" s="1248"/>
      <c r="P91" s="1248"/>
      <c r="Q91" s="1248"/>
      <c r="R91" s="1248"/>
      <c r="S91" s="1248"/>
      <c r="T91" s="439" cm="1" t="str">
        <f t="array" ref="T91:T91">T90</f>
        <v>true</v>
      </c>
      <c r="U91" s="1248"/>
      <c r="V91" s="1248"/>
      <c r="W91" s="1248"/>
      <c r="X91" s="1534"/>
      <c r="Y91" s="1248"/>
      <c r="Z91" s="1535"/>
      <c r="AA91" s="1248"/>
      <c r="AB91" s="54" t="s">
        <v>533</v>
      </c>
      <c r="AC91" s="181" t="s">
        <v>849</v>
      </c>
      <c r="AD91" s="55" t="s">
        <v>784</v>
      </c>
      <c r="AE91" s="182"/>
      <c r="AF91" s="182"/>
      <c r="AG91" s="182"/>
      <c r="AH91" s="182"/>
      <c r="AI91" s="182"/>
      <c r="AJ91" s="2614"/>
      <c r="AK91" s="2614"/>
      <c r="AL91" s="182"/>
      <c r="AM91" s="182"/>
      <c r="AN91" s="182"/>
      <c r="AO91" s="182"/>
      <c r="AP91" s="182"/>
      <c r="AQ91" s="182"/>
      <c r="AR91" s="182"/>
      <c r="AS91" s="182"/>
      <c r="AT91" s="2614"/>
      <c r="AU91" s="2614"/>
      <c r="AV91" s="182"/>
      <c r="AW91" s="182"/>
      <c r="AX91" s="182"/>
      <c r="AY91" s="182"/>
      <c r="AZ91" s="182"/>
      <c r="BA91" s="182"/>
      <c r="BB91" s="182"/>
      <c r="BC91" s="167"/>
      <c r="BD91" s="1248"/>
      <c r="BE91" s="1248"/>
      <c r="BF91" s="1018" t="s">
        <v>878</v>
      </c>
    </row>
    <row s="1621" customFormat="1" customHeight="1" ht="14.25">
      <c r="A92" s="1248"/>
      <c r="B92" s="1160"/>
      <c r="C92" s="1248"/>
      <c r="D92" s="1248"/>
      <c r="E92" s="607">
        <v>15</v>
      </c>
      <c r="F92" s="50" cm="1" t="str">
        <f t="array" ref="F92:F92">OFFSET(E92,-1,1)</f>
        <v>1</v>
      </c>
      <c r="G92" s="70" t="s">
        <v>879</v>
      </c>
      <c r="H92" s="1248"/>
      <c r="I92" s="1248"/>
      <c r="J92" s="1248"/>
      <c r="K92" s="1248"/>
      <c r="L92" s="1248"/>
      <c r="M92" s="1248"/>
      <c r="N92" s="1248"/>
      <c r="O92" s="1248"/>
      <c r="P92" s="1248"/>
      <c r="Q92" s="1248"/>
      <c r="R92" s="1248"/>
      <c r="S92" s="1248"/>
      <c r="T92" s="439" cm="1" t="str">
        <f t="array" ref="T92:T92">T91</f>
        <v>true</v>
      </c>
      <c r="U92" s="1248"/>
      <c r="V92" s="1248"/>
      <c r="W92" s="1248"/>
      <c r="X92" s="1534"/>
      <c r="Y92" s="1248"/>
      <c r="Z92" s="1535"/>
      <c r="AA92" s="1248"/>
      <c r="AB92" s="54" t="s">
        <v>750</v>
      </c>
      <c r="AC92" s="181" t="s">
        <v>852</v>
      </c>
      <c r="AD92" s="55" t="s">
        <v>784</v>
      </c>
      <c r="AE92" s="182"/>
      <c r="AF92" s="182"/>
      <c r="AG92" s="182"/>
      <c r="AH92" s="182"/>
      <c r="AI92" s="182"/>
      <c r="AJ92" s="2614"/>
      <c r="AK92" s="2614"/>
      <c r="AL92" s="182"/>
      <c r="AM92" s="182"/>
      <c r="AN92" s="182"/>
      <c r="AO92" s="182"/>
      <c r="AP92" s="182"/>
      <c r="AQ92" s="182"/>
      <c r="AR92" s="182"/>
      <c r="AS92" s="182"/>
      <c r="AT92" s="2614"/>
      <c r="AU92" s="2614"/>
      <c r="AV92" s="182"/>
      <c r="AW92" s="182"/>
      <c r="AX92" s="182"/>
      <c r="AY92" s="182"/>
      <c r="AZ92" s="182"/>
      <c r="BA92" s="182"/>
      <c r="BB92" s="182"/>
      <c r="BC92" s="167"/>
      <c r="BD92" s="1248"/>
      <c r="BE92" s="1248"/>
      <c r="BF92" s="1018" t="s">
        <v>880</v>
      </c>
    </row>
    <row s="1621" customFormat="1" customHeight="1" ht="14.25">
      <c r="A93" s="1248"/>
      <c r="B93" s="1160"/>
      <c r="C93" s="1248"/>
      <c r="D93" s="1248"/>
      <c r="E93" s="607">
        <v>15</v>
      </c>
      <c r="F93" s="50" cm="1" t="str">
        <f t="array" ref="F93:F93">OFFSET(E93,-1,1)</f>
        <v>1</v>
      </c>
      <c r="G93" s="70" t="s">
        <v>881</v>
      </c>
      <c r="H93" s="1248"/>
      <c r="I93" s="1248"/>
      <c r="J93" s="1248"/>
      <c r="K93" s="1248"/>
      <c r="L93" s="1248"/>
      <c r="M93" s="1248"/>
      <c r="N93" s="1248"/>
      <c r="O93" s="1248"/>
      <c r="P93" s="1248"/>
      <c r="Q93" s="1248"/>
      <c r="R93" s="1248"/>
      <c r="S93" s="1248"/>
      <c r="T93" s="439" cm="1" t="str">
        <f t="array" ref="T93:T93">T92</f>
        <v>true</v>
      </c>
      <c r="U93" s="1248"/>
      <c r="V93" s="1248"/>
      <c r="W93" s="1248"/>
      <c r="X93" s="1534"/>
      <c r="Y93" s="1248"/>
      <c r="Z93" s="1535"/>
      <c r="AA93" s="1248"/>
      <c r="AB93" s="54" t="s">
        <v>882</v>
      </c>
      <c r="AC93" s="181" t="s">
        <v>855</v>
      </c>
      <c r="AD93" s="55" t="s">
        <v>784</v>
      </c>
      <c r="AE93" s="182"/>
      <c r="AF93" s="182"/>
      <c r="AG93" s="182"/>
      <c r="AH93" s="182"/>
      <c r="AI93" s="182"/>
      <c r="AJ93" s="2614"/>
      <c r="AK93" s="2614"/>
      <c r="AL93" s="182"/>
      <c r="AM93" s="182"/>
      <c r="AN93" s="182"/>
      <c r="AO93" s="182"/>
      <c r="AP93" s="182"/>
      <c r="AQ93" s="182"/>
      <c r="AR93" s="182"/>
      <c r="AS93" s="182"/>
      <c r="AT93" s="2614"/>
      <c r="AU93" s="2614"/>
      <c r="AV93" s="182"/>
      <c r="AW93" s="182"/>
      <c r="AX93" s="182"/>
      <c r="AY93" s="182"/>
      <c r="AZ93" s="182"/>
      <c r="BA93" s="182"/>
      <c r="BB93" s="182"/>
      <c r="BC93" s="167"/>
      <c r="BD93" s="1248"/>
      <c r="BE93" s="1248"/>
      <c r="BF93" s="1018" t="s">
        <v>883</v>
      </c>
    </row>
    <row s="1621" customFormat="1" customHeight="1" ht="14.25">
      <c r="A94" s="1248"/>
      <c r="B94" s="1160"/>
      <c r="C94" s="1248"/>
      <c r="D94" s="1248"/>
      <c r="E94" s="607">
        <v>15</v>
      </c>
      <c r="F94" s="50" cm="1" t="str">
        <f t="array" ref="F94:F94">OFFSET(E94,-1,1)</f>
        <v>1</v>
      </c>
      <c r="G94" s="70" t="s">
        <v>884</v>
      </c>
      <c r="H94" s="1248"/>
      <c r="I94" s="1248"/>
      <c r="J94" s="1248"/>
      <c r="K94" s="1248"/>
      <c r="L94" s="1248"/>
      <c r="M94" s="1248"/>
      <c r="N94" s="1248"/>
      <c r="O94" s="1248"/>
      <c r="P94" s="1248"/>
      <c r="Q94" s="1248"/>
      <c r="R94" s="1248"/>
      <c r="S94" s="1248"/>
      <c r="T94" s="439" cm="1" t="str">
        <f t="array" ref="T94:T94">T93</f>
        <v>true</v>
      </c>
      <c r="U94" s="1248"/>
      <c r="V94" s="1248"/>
      <c r="W94" s="1248"/>
      <c r="X94" s="1534"/>
      <c r="Y94" s="1248"/>
      <c r="Z94" s="1535"/>
      <c r="AA94" s="1248"/>
      <c r="AB94" s="54" t="s">
        <v>885</v>
      </c>
      <c r="AC94" s="181" t="s">
        <v>859</v>
      </c>
      <c r="AD94" s="55" t="s">
        <v>784</v>
      </c>
      <c r="AE94" s="182"/>
      <c r="AF94" s="182"/>
      <c r="AG94" s="182"/>
      <c r="AH94" s="182"/>
      <c r="AI94" s="182"/>
      <c r="AJ94" s="2614"/>
      <c r="AK94" s="2614"/>
      <c r="AL94" s="182"/>
      <c r="AM94" s="182"/>
      <c r="AN94" s="182"/>
      <c r="AO94" s="182"/>
      <c r="AP94" s="182"/>
      <c r="AQ94" s="182"/>
      <c r="AR94" s="182"/>
      <c r="AS94" s="182"/>
      <c r="AT94" s="2614"/>
      <c r="AU94" s="2614"/>
      <c r="AV94" s="182"/>
      <c r="AW94" s="182"/>
      <c r="AX94" s="182"/>
      <c r="AY94" s="182"/>
      <c r="AZ94" s="182"/>
      <c r="BA94" s="182"/>
      <c r="BB94" s="182"/>
      <c r="BC94" s="167"/>
      <c r="BD94" s="1248"/>
      <c r="BE94" s="1248"/>
      <c r="BF94" s="1018" t="s">
        <v>886</v>
      </c>
    </row>
    <row s="113" customFormat="1" customHeight="1" ht="21.75">
      <c r="A95" s="113"/>
      <c r="B95" s="404"/>
      <c r="C95" s="113"/>
      <c r="D95" s="113"/>
      <c r="E95" s="649">
        <v>22.5</v>
      </c>
      <c r="F95" s="50" cm="1" t="str">
        <f t="array" ref="F95:F95">OFFSET(E95,-1,1)</f>
        <v>1</v>
      </c>
      <c r="G95" s="70" t="s">
        <v>329</v>
      </c>
      <c r="H95" s="113"/>
      <c r="I95" s="113"/>
      <c r="J95" s="113"/>
      <c r="K95" s="113"/>
      <c r="L95" s="113"/>
      <c r="M95" s="113"/>
      <c r="N95" s="113"/>
      <c r="O95" s="113"/>
      <c r="P95" s="113"/>
      <c r="Q95" s="113"/>
      <c r="R95" s="113"/>
      <c r="S95" s="113"/>
      <c r="T95" s="439" cm="1" t="str">
        <f t="array" ref="T95:T95">T94</f>
        <v>true</v>
      </c>
      <c r="U95" s="113"/>
      <c r="V95" s="113"/>
      <c r="W95" s="113"/>
      <c r="X95" s="1534"/>
      <c r="Y95" s="113"/>
      <c r="Z95" s="1535"/>
      <c r="AA95" s="113"/>
      <c r="AB95" s="178">
        <v>4</v>
      </c>
      <c r="AC95" s="179" t="s">
        <v>887</v>
      </c>
      <c r="AD95" s="55" t="s">
        <v>784</v>
      </c>
      <c r="AE95" s="1225">
        <f>SUM(AE96:AE100)</f>
        <v>0</v>
      </c>
      <c r="AF95" s="1225">
        <f>SUM(AF96:AF100)</f>
        <v>0</v>
      </c>
      <c r="AG95" s="1225">
        <f>SUM(AG96:AG100)</f>
        <v>0</v>
      </c>
      <c r="AH95" s="1225">
        <f>SUM(AH96:AH100)</f>
        <v>0</v>
      </c>
      <c r="AI95" s="1225">
        <f>SUM(AI96:AI100)</f>
        <v>0</v>
      </c>
      <c r="AJ95" s="2611">
        <f>SUM(AJ96:AJ100)</f>
        <v>0</v>
      </c>
      <c r="AK95" s="2611">
        <f>SUM(AK96:AK100)</f>
        <v>0</v>
      </c>
      <c r="AL95" s="1225">
        <f>SUM(AL96:AL100)</f>
        <v>0</v>
      </c>
      <c r="AM95" s="1225">
        <f>SUM(AM96:AM100)</f>
        <v>0</v>
      </c>
      <c r="AN95" s="1225">
        <f>SUM(AN96:AN100)</f>
        <v>0</v>
      </c>
      <c r="AO95" s="1225">
        <f>SUM(AO96:AO100)</f>
        <v>0</v>
      </c>
      <c r="AP95" s="1225">
        <f>SUM(AP96:AP100)</f>
        <v>0</v>
      </c>
      <c r="AQ95" s="1225">
        <f>SUM(AQ96:AQ100)</f>
        <v>0</v>
      </c>
      <c r="AR95" s="1225">
        <f>SUM(AR96:AR100)</f>
        <v>0</v>
      </c>
      <c r="AS95" s="1225">
        <f>SUM(AS96:AS100)</f>
        <v>0</v>
      </c>
      <c r="AT95" s="2611">
        <f>SUM(AT96:AT100)</f>
        <v>0</v>
      </c>
      <c r="AU95" s="2611">
        <f>SUM(AU96:AU100)</f>
        <v>0</v>
      </c>
      <c r="AV95" s="1225">
        <f>SUM(AV96:AV100)</f>
        <v>0</v>
      </c>
      <c r="AW95" s="1225">
        <f>SUM(AW96:AW100)</f>
        <v>0</v>
      </c>
      <c r="AX95" s="1225">
        <f>SUM(AX96:AX100)</f>
        <v>0</v>
      </c>
      <c r="AY95" s="1225">
        <f>SUM(AY96:AY100)</f>
        <v>0</v>
      </c>
      <c r="AZ95" s="1225">
        <f>SUM(AZ96:AZ100)</f>
        <v>0</v>
      </c>
      <c r="BA95" s="1225">
        <f>SUM(BA96:BA100)</f>
        <v>0</v>
      </c>
      <c r="BB95" s="1225">
        <f>SUM(BB96:BB100)</f>
        <v>0</v>
      </c>
      <c r="BC95" s="167"/>
      <c r="BD95" s="113"/>
      <c r="BE95" s="113"/>
      <c r="BF95" s="1018" t="s">
        <v>888</v>
      </c>
    </row>
    <row s="1621" customFormat="1" customHeight="1" ht="14.25">
      <c r="A96" s="1248"/>
      <c r="B96" s="1160"/>
      <c r="C96" s="1248"/>
      <c r="D96" s="1248"/>
      <c r="E96" s="607">
        <v>15</v>
      </c>
      <c r="F96" s="50" cm="1" t="str">
        <f t="array" ref="F96:F96">OFFSET(E96,-1,1)</f>
        <v>1</v>
      </c>
      <c r="G96" s="70" t="s">
        <v>514</v>
      </c>
      <c r="H96" s="1248"/>
      <c r="I96" s="1248"/>
      <c r="J96" s="1248"/>
      <c r="K96" s="1248"/>
      <c r="L96" s="1248"/>
      <c r="M96" s="1248"/>
      <c r="N96" s="1248"/>
      <c r="O96" s="1248"/>
      <c r="P96" s="1248"/>
      <c r="Q96" s="1248"/>
      <c r="R96" s="1248"/>
      <c r="S96" s="1248"/>
      <c r="T96" s="439" cm="1" t="str">
        <f t="array" ref="T96:T96">T95</f>
        <v>true</v>
      </c>
      <c r="U96" s="1248"/>
      <c r="V96" s="1248"/>
      <c r="W96" s="1248"/>
      <c r="X96" s="1534"/>
      <c r="Y96" s="1248"/>
      <c r="Z96" s="1535"/>
      <c r="AA96" s="1248"/>
      <c r="AB96" s="54" t="s">
        <v>652</v>
      </c>
      <c r="AC96" s="181" t="s">
        <v>846</v>
      </c>
      <c r="AD96" s="55" t="s">
        <v>784</v>
      </c>
      <c r="AE96" s="182">
        <f>AE78+AE84-AE90</f>
        <v>0</v>
      </c>
      <c r="AF96" s="182">
        <f>AF78+AF84-AF90</f>
        <v>0</v>
      </c>
      <c r="AG96" s="182">
        <f>AG78+AG84-AG90</f>
        <v>0</v>
      </c>
      <c r="AH96" s="182">
        <f>AH78+AH84-AH90</f>
        <v>0</v>
      </c>
      <c r="AI96" s="182">
        <f>AI78+AI84-AI90</f>
        <v>0</v>
      </c>
      <c r="AJ96" s="2614">
        <f>AJ78+AJ84-AJ90</f>
        <v>0</v>
      </c>
      <c r="AK96" s="2614">
        <f>AK78+AK84-AK90</f>
        <v>0</v>
      </c>
      <c r="AL96" s="182">
        <f>AL78+AL84-AL90</f>
        <v>0</v>
      </c>
      <c r="AM96" s="182">
        <f>AM78+AM84-AM90</f>
        <v>0</v>
      </c>
      <c r="AN96" s="182">
        <f>AN78+AN84-AN90</f>
        <v>0</v>
      </c>
      <c r="AO96" s="182">
        <f>AO78+AO84-AO90</f>
        <v>0</v>
      </c>
      <c r="AP96" s="182">
        <f>AP78+AP84-AP90</f>
        <v>0</v>
      </c>
      <c r="AQ96" s="182">
        <f>AQ78+AQ84-AQ90</f>
        <v>0</v>
      </c>
      <c r="AR96" s="182">
        <f>AR78+AR84-AR90</f>
        <v>0</v>
      </c>
      <c r="AS96" s="182">
        <f>AS78+AS84-AS90</f>
        <v>0</v>
      </c>
      <c r="AT96" s="2614">
        <f>AT78+AT84-AT90</f>
        <v>0</v>
      </c>
      <c r="AU96" s="2614">
        <f>AU78+AU84-AU90</f>
        <v>0</v>
      </c>
      <c r="AV96" s="182">
        <f>AV78+AV84-AV90</f>
        <v>0</v>
      </c>
      <c r="AW96" s="182">
        <f>AW78+AW84-AW90</f>
        <v>0</v>
      </c>
      <c r="AX96" s="182">
        <f>AX78+AX84-AX90</f>
        <v>0</v>
      </c>
      <c r="AY96" s="182">
        <f>AY78+AY84-AY90</f>
        <v>0</v>
      </c>
      <c r="AZ96" s="182">
        <f>AZ78+AZ84-AZ90</f>
        <v>0</v>
      </c>
      <c r="BA96" s="182">
        <f>BA78+BA84-BA90</f>
        <v>0</v>
      </c>
      <c r="BB96" s="182">
        <f>BB78+BB84-BB90</f>
        <v>0</v>
      </c>
      <c r="BC96" s="167"/>
      <c r="BD96" s="1248"/>
      <c r="BE96" s="1248"/>
      <c r="BF96" s="1018" t="s">
        <v>889</v>
      </c>
    </row>
    <row s="1621" customFormat="1" customHeight="1" ht="14.25">
      <c r="A97" s="1248"/>
      <c r="B97" s="1160"/>
      <c r="C97" s="1248"/>
      <c r="D97" s="1248"/>
      <c r="E97" s="607">
        <v>15</v>
      </c>
      <c r="F97" s="50" cm="1" t="str">
        <f t="array" ref="F97:F97">OFFSET(E97,-1,1)</f>
        <v>1</v>
      </c>
      <c r="G97" s="70" t="s">
        <v>518</v>
      </c>
      <c r="H97" s="1248"/>
      <c r="I97" s="1248"/>
      <c r="J97" s="1248"/>
      <c r="K97" s="1248"/>
      <c r="L97" s="1248"/>
      <c r="M97" s="1248"/>
      <c r="N97" s="1248"/>
      <c r="O97" s="1248"/>
      <c r="P97" s="1248"/>
      <c r="Q97" s="1248"/>
      <c r="R97" s="1248"/>
      <c r="S97" s="1248"/>
      <c r="T97" s="439" cm="1" t="str">
        <f t="array" ref="T97:T97">T96</f>
        <v>true</v>
      </c>
      <c r="U97" s="1248"/>
      <c r="V97" s="1248"/>
      <c r="W97" s="1248"/>
      <c r="X97" s="1534"/>
      <c r="Y97" s="1248"/>
      <c r="Z97" s="1535"/>
      <c r="AA97" s="1248"/>
      <c r="AB97" s="54" t="s">
        <v>655</v>
      </c>
      <c r="AC97" s="181" t="s">
        <v>849</v>
      </c>
      <c r="AD97" s="55" t="s">
        <v>784</v>
      </c>
      <c r="AE97" s="182">
        <f>AE79+AE85-AE91</f>
        <v>0</v>
      </c>
      <c r="AF97" s="182">
        <f>AF79+AF85-AF91</f>
        <v>0</v>
      </c>
      <c r="AG97" s="182">
        <f>AG79+AG85-AG91</f>
        <v>0</v>
      </c>
      <c r="AH97" s="182">
        <f>AH79+AH85-AH91</f>
        <v>0</v>
      </c>
      <c r="AI97" s="182">
        <f>AI79+AI85-AI91</f>
        <v>0</v>
      </c>
      <c r="AJ97" s="2614">
        <f>AJ79+AJ85-AJ91</f>
        <v>0</v>
      </c>
      <c r="AK97" s="2614">
        <f>AK79+AK85-AK91</f>
        <v>0</v>
      </c>
      <c r="AL97" s="182">
        <f>AL79+AL85-AL91</f>
        <v>0</v>
      </c>
      <c r="AM97" s="182">
        <f>AM79+AM85-AM91</f>
        <v>0</v>
      </c>
      <c r="AN97" s="182">
        <f>AN79+AN85-AN91</f>
        <v>0</v>
      </c>
      <c r="AO97" s="182">
        <f>AO79+AO85-AO91</f>
        <v>0</v>
      </c>
      <c r="AP97" s="182">
        <f>AP79+AP85-AP91</f>
        <v>0</v>
      </c>
      <c r="AQ97" s="182">
        <f>AQ79+AQ85-AQ91</f>
        <v>0</v>
      </c>
      <c r="AR97" s="182">
        <f>AR79+AR85-AR91</f>
        <v>0</v>
      </c>
      <c r="AS97" s="182">
        <f>AS79+AS85-AS91</f>
        <v>0</v>
      </c>
      <c r="AT97" s="2614">
        <f>AT79+AT85-AT91</f>
        <v>0</v>
      </c>
      <c r="AU97" s="2614">
        <f>AU79+AU85-AU91</f>
        <v>0</v>
      </c>
      <c r="AV97" s="182">
        <f>AV79+AV85-AV91</f>
        <v>0</v>
      </c>
      <c r="AW97" s="182">
        <f>AW79+AW85-AW91</f>
        <v>0</v>
      </c>
      <c r="AX97" s="182">
        <f>AX79+AX85-AX91</f>
        <v>0</v>
      </c>
      <c r="AY97" s="182">
        <f>AY79+AY85-AY91</f>
        <v>0</v>
      </c>
      <c r="AZ97" s="182">
        <f>AZ79+AZ85-AZ91</f>
        <v>0</v>
      </c>
      <c r="BA97" s="182">
        <f>BA79+BA85-BA91</f>
        <v>0</v>
      </c>
      <c r="BB97" s="182">
        <f>BB79+BB85-BB91</f>
        <v>0</v>
      </c>
      <c r="BC97" s="167"/>
      <c r="BD97" s="1248"/>
      <c r="BE97" s="1248"/>
      <c r="BF97" s="1018" t="s">
        <v>890</v>
      </c>
    </row>
    <row s="1621" customFormat="1" customHeight="1" ht="14.25">
      <c r="A98" s="1248"/>
      <c r="B98" s="1160"/>
      <c r="C98" s="1248"/>
      <c r="D98" s="1248"/>
      <c r="E98" s="607">
        <v>15</v>
      </c>
      <c r="F98" s="50" cm="1" t="str">
        <f t="array" ref="F98:F98">OFFSET(E98,-1,1)</f>
        <v>1</v>
      </c>
      <c r="G98" s="70" t="s">
        <v>522</v>
      </c>
      <c r="H98" s="1248"/>
      <c r="I98" s="1248"/>
      <c r="J98" s="1248"/>
      <c r="K98" s="1248"/>
      <c r="L98" s="1248"/>
      <c r="M98" s="1248"/>
      <c r="N98" s="1248"/>
      <c r="O98" s="1248"/>
      <c r="P98" s="1248"/>
      <c r="Q98" s="1248"/>
      <c r="R98" s="1248"/>
      <c r="S98" s="1248"/>
      <c r="T98" s="439" cm="1" t="str">
        <f t="array" ref="T98:T98">T97</f>
        <v>true</v>
      </c>
      <c r="U98" s="1248"/>
      <c r="V98" s="1248"/>
      <c r="W98" s="1248"/>
      <c r="X98" s="1534"/>
      <c r="Y98" s="1248"/>
      <c r="Z98" s="1535"/>
      <c r="AA98" s="1248"/>
      <c r="AB98" s="54" t="s">
        <v>689</v>
      </c>
      <c r="AC98" s="181" t="s">
        <v>852</v>
      </c>
      <c r="AD98" s="55" t="s">
        <v>784</v>
      </c>
      <c r="AE98" s="182">
        <f>AE80+AE86-AE92</f>
        <v>0</v>
      </c>
      <c r="AF98" s="182">
        <f>AF80+AF86-AF92</f>
        <v>0</v>
      </c>
      <c r="AG98" s="182">
        <f>AG80+AG86-AG92</f>
        <v>0</v>
      </c>
      <c r="AH98" s="182">
        <f>AH80+AH86-AH92</f>
        <v>0</v>
      </c>
      <c r="AI98" s="182">
        <f>AI80+AI86-AI92</f>
        <v>0</v>
      </c>
      <c r="AJ98" s="2614">
        <f>AJ80+AJ86-AJ92</f>
        <v>0</v>
      </c>
      <c r="AK98" s="2614">
        <f>AK80+AK86-AK92</f>
        <v>0</v>
      </c>
      <c r="AL98" s="182">
        <f>AL80+AL86-AL92</f>
        <v>0</v>
      </c>
      <c r="AM98" s="182">
        <f>AM80+AM86-AM92</f>
        <v>0</v>
      </c>
      <c r="AN98" s="182">
        <f>AN80+AN86-AN92</f>
        <v>0</v>
      </c>
      <c r="AO98" s="182">
        <f>AO80+AO86-AO92</f>
        <v>0</v>
      </c>
      <c r="AP98" s="182">
        <f>AP80+AP86-AP92</f>
        <v>0</v>
      </c>
      <c r="AQ98" s="182">
        <f>AQ80+AQ86-AQ92</f>
        <v>0</v>
      </c>
      <c r="AR98" s="182">
        <f>AR80+AR86-AR92</f>
        <v>0</v>
      </c>
      <c r="AS98" s="182">
        <f>AS80+AS86-AS92</f>
        <v>0</v>
      </c>
      <c r="AT98" s="2614">
        <f>AT80+AT86-AT92</f>
        <v>0</v>
      </c>
      <c r="AU98" s="2614">
        <f>AU80+AU86-AU92</f>
        <v>0</v>
      </c>
      <c r="AV98" s="182">
        <f>AV80+AV86-AV92</f>
        <v>0</v>
      </c>
      <c r="AW98" s="182">
        <f>AW80+AW86-AW92</f>
        <v>0</v>
      </c>
      <c r="AX98" s="182">
        <f>AX80+AX86-AX92</f>
        <v>0</v>
      </c>
      <c r="AY98" s="182">
        <f>AY80+AY86-AY92</f>
        <v>0</v>
      </c>
      <c r="AZ98" s="182">
        <f>AZ80+AZ86-AZ92</f>
        <v>0</v>
      </c>
      <c r="BA98" s="182">
        <f>BA80+BA86-BA92</f>
        <v>0</v>
      </c>
      <c r="BB98" s="182">
        <f>BB80+BB86-BB92</f>
        <v>0</v>
      </c>
      <c r="BC98" s="167"/>
      <c r="BD98" s="1248"/>
      <c r="BE98" s="1248"/>
      <c r="BF98" s="1018" t="s">
        <v>891</v>
      </c>
    </row>
    <row s="1621" customFormat="1" customHeight="1" ht="14.25">
      <c r="A99" s="1248"/>
      <c r="B99" s="1160"/>
      <c r="C99" s="1248"/>
      <c r="D99" s="1248"/>
      <c r="E99" s="607">
        <v>15</v>
      </c>
      <c r="F99" s="50" cm="1" t="str">
        <f t="array" ref="F99:F99">OFFSET(E99,-1,1)</f>
        <v>1</v>
      </c>
      <c r="G99" s="70" t="s">
        <v>892</v>
      </c>
      <c r="H99" s="1248"/>
      <c r="I99" s="1248"/>
      <c r="J99" s="1248"/>
      <c r="K99" s="1248"/>
      <c r="L99" s="1248"/>
      <c r="M99" s="1248"/>
      <c r="N99" s="1248"/>
      <c r="O99" s="1248"/>
      <c r="P99" s="1248"/>
      <c r="Q99" s="1248"/>
      <c r="R99" s="1248"/>
      <c r="S99" s="1248"/>
      <c r="T99" s="439" cm="1" t="str">
        <f t="array" ref="T99:T99">T98</f>
        <v>true</v>
      </c>
      <c r="U99" s="1248"/>
      <c r="V99" s="1248"/>
      <c r="W99" s="1248"/>
      <c r="X99" s="1534"/>
      <c r="Y99" s="1248"/>
      <c r="Z99" s="1535"/>
      <c r="AA99" s="1248"/>
      <c r="AB99" s="54" t="s">
        <v>698</v>
      </c>
      <c r="AC99" s="181" t="s">
        <v>855</v>
      </c>
      <c r="AD99" s="55" t="s">
        <v>784</v>
      </c>
      <c r="AE99" s="182">
        <f>AE81+AE87-AE93</f>
        <v>0</v>
      </c>
      <c r="AF99" s="182">
        <f>AF81+AF87-AF93</f>
        <v>0</v>
      </c>
      <c r="AG99" s="182">
        <f>AG81+AG87-AG93</f>
        <v>0</v>
      </c>
      <c r="AH99" s="182">
        <f>AH81+AH87-AH93</f>
        <v>0</v>
      </c>
      <c r="AI99" s="182">
        <f>AI81+AI87-AI93</f>
        <v>0</v>
      </c>
      <c r="AJ99" s="2614">
        <f>AJ81+AJ87-AJ93</f>
        <v>0</v>
      </c>
      <c r="AK99" s="2614">
        <f>AK81+AK87-AK93</f>
        <v>0</v>
      </c>
      <c r="AL99" s="182">
        <f>AL81+AL87-AL93</f>
        <v>0</v>
      </c>
      <c r="AM99" s="182">
        <f>AM81+AM87-AM93</f>
        <v>0</v>
      </c>
      <c r="AN99" s="182">
        <f>AN81+AN87-AN93</f>
        <v>0</v>
      </c>
      <c r="AO99" s="182">
        <f>AO81+AO87-AO93</f>
        <v>0</v>
      </c>
      <c r="AP99" s="182">
        <f>AP81+AP87-AP93</f>
        <v>0</v>
      </c>
      <c r="AQ99" s="182">
        <f>AQ81+AQ87-AQ93</f>
        <v>0</v>
      </c>
      <c r="AR99" s="182">
        <f>AR81+AR87-AR93</f>
        <v>0</v>
      </c>
      <c r="AS99" s="182">
        <f>AS81+AS87-AS93</f>
        <v>0</v>
      </c>
      <c r="AT99" s="2614">
        <f>AT81+AT87-AT93</f>
        <v>0</v>
      </c>
      <c r="AU99" s="2614">
        <f>AU81+AU87-AU93</f>
        <v>0</v>
      </c>
      <c r="AV99" s="182">
        <f>AV81+AV87-AV93</f>
        <v>0</v>
      </c>
      <c r="AW99" s="182">
        <f>AW81+AW87-AW93</f>
        <v>0</v>
      </c>
      <c r="AX99" s="182">
        <f>AX81+AX87-AX93</f>
        <v>0</v>
      </c>
      <c r="AY99" s="182">
        <f>AY81+AY87-AY93</f>
        <v>0</v>
      </c>
      <c r="AZ99" s="182">
        <f>AZ81+AZ87-AZ93</f>
        <v>0</v>
      </c>
      <c r="BA99" s="182">
        <f>BA81+BA87-BA93</f>
        <v>0</v>
      </c>
      <c r="BB99" s="182">
        <f>BB81+BB87-BB93</f>
        <v>0</v>
      </c>
      <c r="BC99" s="167"/>
      <c r="BD99" s="1248"/>
      <c r="BE99" s="1248"/>
      <c r="BF99" s="1018" t="s">
        <v>893</v>
      </c>
    </row>
    <row s="1621" customFormat="1" customHeight="1" ht="14.25">
      <c r="A100" s="1248"/>
      <c r="B100" s="1160"/>
      <c r="C100" s="1248"/>
      <c r="D100" s="1248"/>
      <c r="E100" s="607">
        <v>15</v>
      </c>
      <c r="F100" s="50" cm="1" t="str">
        <f t="array" ref="F100:F100">OFFSET(E100,-1,1)</f>
        <v>1</v>
      </c>
      <c r="G100" s="70" t="s">
        <v>894</v>
      </c>
      <c r="H100" s="1248"/>
      <c r="I100" s="1248"/>
      <c r="J100" s="1248"/>
      <c r="K100" s="1248"/>
      <c r="L100" s="1248"/>
      <c r="M100" s="1248"/>
      <c r="N100" s="1248"/>
      <c r="O100" s="1248"/>
      <c r="P100" s="1248"/>
      <c r="Q100" s="1248"/>
      <c r="R100" s="1248"/>
      <c r="S100" s="1248"/>
      <c r="T100" s="439" cm="1" t="str">
        <f t="array" ref="T100:T100">T99</f>
        <v>true</v>
      </c>
      <c r="U100" s="1248"/>
      <c r="V100" s="1248"/>
      <c r="W100" s="1248"/>
      <c r="X100" s="1534"/>
      <c r="Y100" s="1248"/>
      <c r="Z100" s="1535"/>
      <c r="AA100" s="1248"/>
      <c r="AB100" s="54" t="s">
        <v>708</v>
      </c>
      <c r="AC100" s="181" t="s">
        <v>859</v>
      </c>
      <c r="AD100" s="55" t="s">
        <v>784</v>
      </c>
      <c r="AE100" s="182">
        <f>AE82+AE88-AE94</f>
        <v>0</v>
      </c>
      <c r="AF100" s="182">
        <f>AF82+AF88-AF94</f>
        <v>0</v>
      </c>
      <c r="AG100" s="182">
        <f>AG82+AG88-AG94</f>
        <v>0</v>
      </c>
      <c r="AH100" s="182">
        <f>AH82+AH88-AH94</f>
        <v>0</v>
      </c>
      <c r="AI100" s="182">
        <f>AI82+AI88-AI94</f>
        <v>0</v>
      </c>
      <c r="AJ100" s="2614">
        <f>AJ82+AJ88-AJ94</f>
        <v>0</v>
      </c>
      <c r="AK100" s="2614">
        <f>AK82+AK88-AK94</f>
        <v>0</v>
      </c>
      <c r="AL100" s="182">
        <f>AL82+AL88-AL94</f>
        <v>0</v>
      </c>
      <c r="AM100" s="182">
        <f>AM82+AM88-AM94</f>
        <v>0</v>
      </c>
      <c r="AN100" s="182">
        <f>AN82+AN88-AN94</f>
        <v>0</v>
      </c>
      <c r="AO100" s="182">
        <f>AO82+AO88-AO94</f>
        <v>0</v>
      </c>
      <c r="AP100" s="182">
        <f>AP82+AP88-AP94</f>
        <v>0</v>
      </c>
      <c r="AQ100" s="182">
        <f>AQ82+AQ88-AQ94</f>
        <v>0</v>
      </c>
      <c r="AR100" s="182">
        <f>AR82+AR88-AR94</f>
        <v>0</v>
      </c>
      <c r="AS100" s="182">
        <f>AS82+AS88-AS94</f>
        <v>0</v>
      </c>
      <c r="AT100" s="2614">
        <f>AT82+AT88-AT94</f>
        <v>0</v>
      </c>
      <c r="AU100" s="2614">
        <f>AU82+AU88-AU94</f>
        <v>0</v>
      </c>
      <c r="AV100" s="182">
        <f>AV82+AV88-AV94</f>
        <v>0</v>
      </c>
      <c r="AW100" s="182">
        <f>AW82+AW88-AW94</f>
        <v>0</v>
      </c>
      <c r="AX100" s="182">
        <f>AX82+AX88-AX94</f>
        <v>0</v>
      </c>
      <c r="AY100" s="182">
        <f>AY82+AY88-AY94</f>
        <v>0</v>
      </c>
      <c r="AZ100" s="182">
        <f>AZ82+AZ88-AZ94</f>
        <v>0</v>
      </c>
      <c r="BA100" s="182">
        <f>BA82+BA88-BA94</f>
        <v>0</v>
      </c>
      <c r="BB100" s="182">
        <f>BB82+BB88-BB94</f>
        <v>0</v>
      </c>
      <c r="BC100" s="167"/>
      <c r="BD100" s="1248"/>
      <c r="BE100" s="1248"/>
      <c r="BF100" s="1018" t="s">
        <v>895</v>
      </c>
    </row>
    <row s="113" customFormat="1" customHeight="1" ht="14.25">
      <c r="A101" s="113"/>
      <c r="B101" s="404"/>
      <c r="C101" s="113"/>
      <c r="D101" s="113"/>
      <c r="E101" s="607">
        <v>15</v>
      </c>
      <c r="F101" s="50" cm="1" t="str">
        <f t="array" ref="F101:F101">OFFSET(E101,-1,1)</f>
        <v>1</v>
      </c>
      <c r="G101" s="70" t="s">
        <v>328</v>
      </c>
      <c r="H101" s="113"/>
      <c r="I101" s="113"/>
      <c r="J101" s="113"/>
      <c r="K101" s="113"/>
      <c r="L101" s="113"/>
      <c r="M101" s="113"/>
      <c r="N101" s="113"/>
      <c r="O101" s="113"/>
      <c r="P101" s="113"/>
      <c r="Q101" s="113"/>
      <c r="R101" s="113"/>
      <c r="S101" s="113"/>
      <c r="T101" s="439" cm="1" t="str">
        <f t="array" ref="T101:T101">T100</f>
        <v>true</v>
      </c>
      <c r="U101" s="113"/>
      <c r="V101" s="113"/>
      <c r="W101" s="113"/>
      <c r="X101" s="1534"/>
      <c r="Y101" s="113"/>
      <c r="Z101" s="1535"/>
      <c r="AA101" s="113"/>
      <c r="AB101" s="178">
        <v>5</v>
      </c>
      <c r="AC101" s="179" t="s">
        <v>896</v>
      </c>
      <c r="AD101" s="55" t="s">
        <v>784</v>
      </c>
      <c r="AE101" s="1225">
        <f>SUM(AE102:AE106)</f>
        <v>0</v>
      </c>
      <c r="AF101" s="1225">
        <f>SUM(AF102:AF106)</f>
        <v>0</v>
      </c>
      <c r="AG101" s="1225">
        <f>SUM(AG102:AG106)</f>
        <v>0</v>
      </c>
      <c r="AH101" s="1225">
        <f>SUM(AH102:AH106)</f>
        <v>0</v>
      </c>
      <c r="AI101" s="1225">
        <f>SUM(AI102:AI106)</f>
        <v>0</v>
      </c>
      <c r="AJ101" s="2611">
        <f>SUM(AJ102:AJ106)</f>
        <v>0</v>
      </c>
      <c r="AK101" s="2611">
        <f>SUM(AK102:AK106)</f>
        <v>0</v>
      </c>
      <c r="AL101" s="1225">
        <f>SUM(AL102:AL106)</f>
        <v>0</v>
      </c>
      <c r="AM101" s="1225">
        <f>SUM(AM102:AM106)</f>
        <v>0</v>
      </c>
      <c r="AN101" s="1225">
        <f>SUM(AN102:AN106)</f>
        <v>0</v>
      </c>
      <c r="AO101" s="1225">
        <f>SUM(AO102:AO106)</f>
        <v>0</v>
      </c>
      <c r="AP101" s="1225">
        <f>SUM(AP102:AP106)</f>
        <v>0</v>
      </c>
      <c r="AQ101" s="1225">
        <f>SUM(AQ102:AQ106)</f>
        <v>0</v>
      </c>
      <c r="AR101" s="1225">
        <f>SUM(AR102:AR106)</f>
        <v>0</v>
      </c>
      <c r="AS101" s="1225">
        <f>SUM(AS102:AS106)</f>
        <v>0</v>
      </c>
      <c r="AT101" s="2611">
        <f>SUM(AT102:AT106)</f>
        <v>0</v>
      </c>
      <c r="AU101" s="2611">
        <f>SUM(AU102:AU106)</f>
        <v>0</v>
      </c>
      <c r="AV101" s="1225">
        <f>SUM(AV102:AV106)</f>
        <v>0</v>
      </c>
      <c r="AW101" s="1225">
        <f>SUM(AW102:AW106)</f>
        <v>0</v>
      </c>
      <c r="AX101" s="1225">
        <f>SUM(AX102:AX106)</f>
        <v>0</v>
      </c>
      <c r="AY101" s="1225">
        <f>SUM(AY102:AY106)</f>
        <v>0</v>
      </c>
      <c r="AZ101" s="1225">
        <f>SUM(AZ102:AZ106)</f>
        <v>0</v>
      </c>
      <c r="BA101" s="1225">
        <f>SUM(BA102:BA106)</f>
        <v>0</v>
      </c>
      <c r="BB101" s="1225">
        <f>SUM(BB102:BB106)</f>
        <v>0</v>
      </c>
      <c r="BC101" s="167"/>
      <c r="BD101" s="113"/>
      <c r="BE101" s="113"/>
      <c r="BF101" s="1018" t="s">
        <v>897</v>
      </c>
    </row>
    <row s="1621" customFormat="1" customHeight="1" ht="14.25">
      <c r="A102" s="1248"/>
      <c r="B102" s="1160"/>
      <c r="C102" s="1248"/>
      <c r="D102" s="1248"/>
      <c r="E102" s="607">
        <v>15</v>
      </c>
      <c r="F102" s="50" cm="1" t="str">
        <f t="array" ref="F102:F102">OFFSET(E102,-1,1)</f>
        <v>1</v>
      </c>
      <c r="G102" s="70" t="s">
        <v>528</v>
      </c>
      <c r="H102" s="1248"/>
      <c r="I102" s="1248"/>
      <c r="J102" s="1248"/>
      <c r="K102" s="1248"/>
      <c r="L102" s="1248"/>
      <c r="M102" s="1248"/>
      <c r="N102" s="1248"/>
      <c r="O102" s="1248"/>
      <c r="P102" s="1248"/>
      <c r="Q102" s="1248"/>
      <c r="R102" s="1248"/>
      <c r="S102" s="1248"/>
      <c r="T102" s="439" cm="1" t="str">
        <f t="array" ref="T102:T102">T101</f>
        <v>true</v>
      </c>
      <c r="U102" s="1248"/>
      <c r="V102" s="1248"/>
      <c r="W102" s="1248"/>
      <c r="X102" s="1534"/>
      <c r="Y102" s="1248"/>
      <c r="Z102" s="1535"/>
      <c r="AA102" s="1248"/>
      <c r="AB102" s="54" t="s">
        <v>659</v>
      </c>
      <c r="AC102" s="181" t="s">
        <v>846</v>
      </c>
      <c r="AD102" s="55" t="s">
        <v>784</v>
      </c>
      <c r="AE102" s="182">
        <f>(AE96+AE78)/2</f>
        <v>0</v>
      </c>
      <c r="AF102" s="182">
        <f>(AF96+AF78)/2</f>
        <v>0</v>
      </c>
      <c r="AG102" s="182">
        <f>(AG96+AG78)/2</f>
        <v>0</v>
      </c>
      <c r="AH102" s="182">
        <f>(AH96+AH78)/2</f>
        <v>0</v>
      </c>
      <c r="AI102" s="182">
        <f>(AI96+AI78)/2</f>
        <v>0</v>
      </c>
      <c r="AJ102" s="2614">
        <f>(AJ96+AJ78)/2</f>
        <v>0</v>
      </c>
      <c r="AK102" s="2614">
        <f>(AK96+AK78)/2</f>
        <v>0</v>
      </c>
      <c r="AL102" s="182">
        <f>(AL96+AL78)/2</f>
        <v>0</v>
      </c>
      <c r="AM102" s="182">
        <f>(AM96+AM78)/2</f>
        <v>0</v>
      </c>
      <c r="AN102" s="182">
        <f>(AN96+AN78)/2</f>
        <v>0</v>
      </c>
      <c r="AO102" s="182">
        <f>(AO96+AO78)/2</f>
        <v>0</v>
      </c>
      <c r="AP102" s="182">
        <f>(AP96+AP78)/2</f>
        <v>0</v>
      </c>
      <c r="AQ102" s="182">
        <f>(AQ96+AQ78)/2</f>
        <v>0</v>
      </c>
      <c r="AR102" s="182">
        <f>(AR96+AR78)/2</f>
        <v>0</v>
      </c>
      <c r="AS102" s="182">
        <f>(AS96+AS78)/2</f>
        <v>0</v>
      </c>
      <c r="AT102" s="2614">
        <f>(AT96+AT78)/2</f>
        <v>0</v>
      </c>
      <c r="AU102" s="2614">
        <f>(AU96+AU78)/2</f>
        <v>0</v>
      </c>
      <c r="AV102" s="182">
        <f>(AV96+AV78)/2</f>
        <v>0</v>
      </c>
      <c r="AW102" s="182">
        <f>(AW96+AW78)/2</f>
        <v>0</v>
      </c>
      <c r="AX102" s="182">
        <f>(AX96+AX78)/2</f>
        <v>0</v>
      </c>
      <c r="AY102" s="182">
        <f>(AY96+AY78)/2</f>
        <v>0</v>
      </c>
      <c r="AZ102" s="182">
        <f>(AZ96+AZ78)/2</f>
        <v>0</v>
      </c>
      <c r="BA102" s="182">
        <f>(BA96+BA78)/2</f>
        <v>0</v>
      </c>
      <c r="BB102" s="182">
        <f>(BB96+BB78)/2</f>
        <v>0</v>
      </c>
      <c r="BC102" s="167"/>
      <c r="BD102" s="1248"/>
      <c r="BE102" s="1248"/>
      <c r="BF102" s="1018" t="s">
        <v>898</v>
      </c>
    </row>
    <row s="1621" customFormat="1" customHeight="1" ht="14.25">
      <c r="A103" s="1248"/>
      <c r="B103" s="1160"/>
      <c r="C103" s="1248"/>
      <c r="D103" s="1248"/>
      <c r="E103" s="607">
        <v>15</v>
      </c>
      <c r="F103" s="50" cm="1" t="str">
        <f t="array" ref="F103:F103">OFFSET(E103,-1,1)</f>
        <v>1</v>
      </c>
      <c r="G103" s="70" t="s">
        <v>532</v>
      </c>
      <c r="H103" s="1248"/>
      <c r="I103" s="1248"/>
      <c r="J103" s="1248"/>
      <c r="K103" s="1248"/>
      <c r="L103" s="1248"/>
      <c r="M103" s="1248"/>
      <c r="N103" s="1248"/>
      <c r="O103" s="1248"/>
      <c r="P103" s="1248"/>
      <c r="Q103" s="1248"/>
      <c r="R103" s="1248"/>
      <c r="S103" s="1248"/>
      <c r="T103" s="439" cm="1" t="str">
        <f t="array" ref="T103:T103">T102</f>
        <v>true</v>
      </c>
      <c r="U103" s="1248"/>
      <c r="V103" s="1248"/>
      <c r="W103" s="1248"/>
      <c r="X103" s="1534"/>
      <c r="Y103" s="1248"/>
      <c r="Z103" s="1535"/>
      <c r="AA103" s="1248"/>
      <c r="AB103" s="54" t="s">
        <v>662</v>
      </c>
      <c r="AC103" s="181" t="s">
        <v>849</v>
      </c>
      <c r="AD103" s="55" t="s">
        <v>784</v>
      </c>
      <c r="AE103" s="182">
        <f>(AE97+AE79)/2</f>
        <v>0</v>
      </c>
      <c r="AF103" s="182">
        <f>(AF97+AF79)/2</f>
        <v>0</v>
      </c>
      <c r="AG103" s="182">
        <f>(AG97+AG79)/2</f>
        <v>0</v>
      </c>
      <c r="AH103" s="182">
        <f>(AH97+AH79)/2</f>
        <v>0</v>
      </c>
      <c r="AI103" s="182">
        <f>(AI97+AI79)/2</f>
        <v>0</v>
      </c>
      <c r="AJ103" s="2614">
        <f>(AJ97+AJ79)/2</f>
        <v>0</v>
      </c>
      <c r="AK103" s="2614">
        <f>(AK97+AK79)/2</f>
        <v>0</v>
      </c>
      <c r="AL103" s="182">
        <f>(AL97+AL79)/2</f>
        <v>0</v>
      </c>
      <c r="AM103" s="182">
        <f>(AM97+AM79)/2</f>
        <v>0</v>
      </c>
      <c r="AN103" s="182">
        <f>(AN97+AN79)/2</f>
        <v>0</v>
      </c>
      <c r="AO103" s="182">
        <f>(AO97+AO79)/2</f>
        <v>0</v>
      </c>
      <c r="AP103" s="182">
        <f>(AP97+AP79)/2</f>
        <v>0</v>
      </c>
      <c r="AQ103" s="182">
        <f>(AQ97+AQ79)/2</f>
        <v>0</v>
      </c>
      <c r="AR103" s="182">
        <f>(AR97+AR79)/2</f>
        <v>0</v>
      </c>
      <c r="AS103" s="182">
        <f>(AS97+AS79)/2</f>
        <v>0</v>
      </c>
      <c r="AT103" s="2614">
        <f>(AT97+AT79)/2</f>
        <v>0</v>
      </c>
      <c r="AU103" s="2614">
        <f>(AU97+AU79)/2</f>
        <v>0</v>
      </c>
      <c r="AV103" s="182">
        <f>(AV97+AV79)/2</f>
        <v>0</v>
      </c>
      <c r="AW103" s="182">
        <f>(AW97+AW79)/2</f>
        <v>0</v>
      </c>
      <c r="AX103" s="182">
        <f>(AX97+AX79)/2</f>
        <v>0</v>
      </c>
      <c r="AY103" s="182">
        <f>(AY97+AY79)/2</f>
        <v>0</v>
      </c>
      <c r="AZ103" s="182">
        <f>(AZ97+AZ79)/2</f>
        <v>0</v>
      </c>
      <c r="BA103" s="182">
        <f>(BA97+BA79)/2</f>
        <v>0</v>
      </c>
      <c r="BB103" s="182">
        <f>(BB97+BB79)/2</f>
        <v>0</v>
      </c>
      <c r="BC103" s="167"/>
      <c r="BD103" s="1248"/>
      <c r="BE103" s="1248"/>
      <c r="BF103" s="1018" t="s">
        <v>899</v>
      </c>
    </row>
    <row s="1621" customFormat="1" customHeight="1" ht="14.25">
      <c r="A104" s="1248"/>
      <c r="B104" s="1160"/>
      <c r="C104" s="1248"/>
      <c r="D104" s="1248"/>
      <c r="E104" s="607">
        <v>15</v>
      </c>
      <c r="F104" s="50" cm="1" t="str">
        <f t="array" ref="F104:F104">OFFSET(E104,-1,1)</f>
        <v>1</v>
      </c>
      <c r="G104" s="70" t="s">
        <v>749</v>
      </c>
      <c r="H104" s="1248"/>
      <c r="I104" s="1248"/>
      <c r="J104" s="1248"/>
      <c r="K104" s="1248"/>
      <c r="L104" s="1248"/>
      <c r="M104" s="1248"/>
      <c r="N104" s="1248"/>
      <c r="O104" s="1248"/>
      <c r="P104" s="1248"/>
      <c r="Q104" s="1248"/>
      <c r="R104" s="1248"/>
      <c r="S104" s="1248"/>
      <c r="T104" s="439" cm="1" t="str">
        <f t="array" ref="T104:T104">T103</f>
        <v>true</v>
      </c>
      <c r="U104" s="1248"/>
      <c r="V104" s="1248"/>
      <c r="W104" s="1248"/>
      <c r="X104" s="1534"/>
      <c r="Y104" s="1248"/>
      <c r="Z104" s="1535"/>
      <c r="AA104" s="1248"/>
      <c r="AB104" s="54" t="s">
        <v>900</v>
      </c>
      <c r="AC104" s="181" t="s">
        <v>852</v>
      </c>
      <c r="AD104" s="55" t="s">
        <v>784</v>
      </c>
      <c r="AE104" s="182">
        <f>(AE98+AE80)/2</f>
        <v>0</v>
      </c>
      <c r="AF104" s="182">
        <f>(AF98+AF80)/2</f>
        <v>0</v>
      </c>
      <c r="AG104" s="182">
        <f>(AG98+AG80)/2</f>
        <v>0</v>
      </c>
      <c r="AH104" s="182">
        <f>(AH98+AH80)/2</f>
        <v>0</v>
      </c>
      <c r="AI104" s="182">
        <f>(AI98+AI80)/2</f>
        <v>0</v>
      </c>
      <c r="AJ104" s="2614">
        <f>(AJ98+AJ80)/2</f>
        <v>0</v>
      </c>
      <c r="AK104" s="2614">
        <f>(AK98+AK80)/2</f>
        <v>0</v>
      </c>
      <c r="AL104" s="182">
        <f>(AL98+AL80)/2</f>
        <v>0</v>
      </c>
      <c r="AM104" s="182">
        <f>(AM98+AM80)/2</f>
        <v>0</v>
      </c>
      <c r="AN104" s="182">
        <f>(AN98+AN80)/2</f>
        <v>0</v>
      </c>
      <c r="AO104" s="182">
        <f>(AO98+AO80)/2</f>
        <v>0</v>
      </c>
      <c r="AP104" s="182">
        <f>(AP98+AP80)/2</f>
        <v>0</v>
      </c>
      <c r="AQ104" s="182">
        <f>(AQ98+AQ80)/2</f>
        <v>0</v>
      </c>
      <c r="AR104" s="182">
        <f>(AR98+AR80)/2</f>
        <v>0</v>
      </c>
      <c r="AS104" s="182">
        <f>(AS98+AS80)/2</f>
        <v>0</v>
      </c>
      <c r="AT104" s="2614">
        <f>(AT98+AT80)/2</f>
        <v>0</v>
      </c>
      <c r="AU104" s="2614">
        <f>(AU98+AU80)/2</f>
        <v>0</v>
      </c>
      <c r="AV104" s="182">
        <f>(AV98+AV80)/2</f>
        <v>0</v>
      </c>
      <c r="AW104" s="182">
        <f>(AW98+AW80)/2</f>
        <v>0</v>
      </c>
      <c r="AX104" s="182">
        <f>(AX98+AX80)/2</f>
        <v>0</v>
      </c>
      <c r="AY104" s="182">
        <f>(AY98+AY80)/2</f>
        <v>0</v>
      </c>
      <c r="AZ104" s="182">
        <f>(AZ98+AZ80)/2</f>
        <v>0</v>
      </c>
      <c r="BA104" s="182">
        <f>(BA98+BA80)/2</f>
        <v>0</v>
      </c>
      <c r="BB104" s="182">
        <f>(BB98+BB80)/2</f>
        <v>0</v>
      </c>
      <c r="BC104" s="167"/>
      <c r="BD104" s="1248"/>
      <c r="BE104" s="1248"/>
      <c r="BF104" s="1018" t="s">
        <v>901</v>
      </c>
    </row>
    <row s="1621" customFormat="1" customHeight="1" ht="14.25">
      <c r="A105" s="1248"/>
      <c r="B105" s="1160"/>
      <c r="C105" s="1248"/>
      <c r="D105" s="1248"/>
      <c r="E105" s="607">
        <v>15</v>
      </c>
      <c r="F105" s="50" cm="1" t="str">
        <f t="array" ref="F105:F105">OFFSET(E105,-1,1)</f>
        <v>1</v>
      </c>
      <c r="G105" s="70" t="s">
        <v>902</v>
      </c>
      <c r="H105" s="1248"/>
      <c r="I105" s="1248"/>
      <c r="J105" s="1248"/>
      <c r="K105" s="1248"/>
      <c r="L105" s="1248"/>
      <c r="M105" s="1248"/>
      <c r="N105" s="1248"/>
      <c r="O105" s="1248"/>
      <c r="P105" s="1248"/>
      <c r="Q105" s="1248"/>
      <c r="R105" s="1248"/>
      <c r="S105" s="1248"/>
      <c r="T105" s="439" cm="1" t="str">
        <f t="array" ref="T105:T105">T104</f>
        <v>true</v>
      </c>
      <c r="U105" s="1248"/>
      <c r="V105" s="1248"/>
      <c r="W105" s="1248"/>
      <c r="X105" s="1534"/>
      <c r="Y105" s="1248"/>
      <c r="Z105" s="1535"/>
      <c r="AA105" s="1248"/>
      <c r="AB105" s="54" t="s">
        <v>903</v>
      </c>
      <c r="AC105" s="181" t="s">
        <v>855</v>
      </c>
      <c r="AD105" s="55" t="s">
        <v>784</v>
      </c>
      <c r="AE105" s="182">
        <f>(AE99+AE81)/2</f>
        <v>0</v>
      </c>
      <c r="AF105" s="182">
        <f>(AF99+AF81)/2</f>
        <v>0</v>
      </c>
      <c r="AG105" s="182">
        <f>(AG99+AG81)/2</f>
        <v>0</v>
      </c>
      <c r="AH105" s="182">
        <f>(AH99+AH81)/2</f>
        <v>0</v>
      </c>
      <c r="AI105" s="182">
        <f>(AI99+AI81)/2</f>
        <v>0</v>
      </c>
      <c r="AJ105" s="2614">
        <f>(AJ99+AJ81)/2</f>
        <v>0</v>
      </c>
      <c r="AK105" s="2614">
        <f>(AK99+AK81)/2</f>
        <v>0</v>
      </c>
      <c r="AL105" s="182">
        <f>(AL99+AL81)/2</f>
        <v>0</v>
      </c>
      <c r="AM105" s="182">
        <f>(AM99+AM81)/2</f>
        <v>0</v>
      </c>
      <c r="AN105" s="182">
        <f>(AN99+AN81)/2</f>
        <v>0</v>
      </c>
      <c r="AO105" s="182">
        <f>(AO99+AO81)/2</f>
        <v>0</v>
      </c>
      <c r="AP105" s="182">
        <f>(AP99+AP81)/2</f>
        <v>0</v>
      </c>
      <c r="AQ105" s="182">
        <f>(AQ99+AQ81)/2</f>
        <v>0</v>
      </c>
      <c r="AR105" s="182">
        <f>(AR99+AR81)/2</f>
        <v>0</v>
      </c>
      <c r="AS105" s="182">
        <f>(AS99+AS81)/2</f>
        <v>0</v>
      </c>
      <c r="AT105" s="2614">
        <f>(AT99+AT81)/2</f>
        <v>0</v>
      </c>
      <c r="AU105" s="2614">
        <f>(AU99+AU81)/2</f>
        <v>0</v>
      </c>
      <c r="AV105" s="182">
        <f>(AV99+AV81)/2</f>
        <v>0</v>
      </c>
      <c r="AW105" s="182">
        <f>(AW99+AW81)/2</f>
        <v>0</v>
      </c>
      <c r="AX105" s="182">
        <f>(AX99+AX81)/2</f>
        <v>0</v>
      </c>
      <c r="AY105" s="182">
        <f>(AY99+AY81)/2</f>
        <v>0</v>
      </c>
      <c r="AZ105" s="182">
        <f>(AZ99+AZ81)/2</f>
        <v>0</v>
      </c>
      <c r="BA105" s="182">
        <f>(BA99+BA81)/2</f>
        <v>0</v>
      </c>
      <c r="BB105" s="182">
        <f>(BB99+BB81)/2</f>
        <v>0</v>
      </c>
      <c r="BC105" s="167"/>
      <c r="BD105" s="1248"/>
      <c r="BE105" s="1248"/>
      <c r="BF105" s="1018" t="s">
        <v>904</v>
      </c>
    </row>
    <row s="1621" customFormat="1" customHeight="1" ht="14.25">
      <c r="A106" s="1248"/>
      <c r="B106" s="1160"/>
      <c r="C106" s="1248"/>
      <c r="D106" s="1248"/>
      <c r="E106" s="607">
        <v>15</v>
      </c>
      <c r="F106" s="50" cm="1" t="str">
        <f t="array" ref="F106:F106">OFFSET(E106,-1,1)</f>
        <v>1</v>
      </c>
      <c r="G106" s="70" t="s">
        <v>905</v>
      </c>
      <c r="H106" s="1248"/>
      <c r="I106" s="1248"/>
      <c r="J106" s="1248"/>
      <c r="K106" s="1248"/>
      <c r="L106" s="1248"/>
      <c r="M106" s="1248"/>
      <c r="N106" s="1248"/>
      <c r="O106" s="1248"/>
      <c r="P106" s="1248"/>
      <c r="Q106" s="1248"/>
      <c r="R106" s="1248"/>
      <c r="S106" s="1248"/>
      <c r="T106" s="439" cm="1" t="str">
        <f t="array" ref="T106:T106">T105</f>
        <v>true</v>
      </c>
      <c r="U106" s="1248"/>
      <c r="V106" s="1248"/>
      <c r="W106" s="1248"/>
      <c r="X106" s="1534"/>
      <c r="Y106" s="1248"/>
      <c r="Z106" s="1535"/>
      <c r="AA106" s="1248"/>
      <c r="AB106" s="54" t="s">
        <v>906</v>
      </c>
      <c r="AC106" s="181" t="s">
        <v>859</v>
      </c>
      <c r="AD106" s="55" t="s">
        <v>784</v>
      </c>
      <c r="AE106" s="182">
        <f>(AE100+AE82)/2</f>
        <v>0</v>
      </c>
      <c r="AF106" s="182">
        <f>(AF100+AF82)/2</f>
        <v>0</v>
      </c>
      <c r="AG106" s="182">
        <f>(AG100+AG82)/2</f>
        <v>0</v>
      </c>
      <c r="AH106" s="182">
        <f>(AH100+AH82)/2</f>
        <v>0</v>
      </c>
      <c r="AI106" s="182">
        <f>(AI100+AI82)/2</f>
        <v>0</v>
      </c>
      <c r="AJ106" s="2614">
        <f>(AJ100+AJ82)/2</f>
        <v>0</v>
      </c>
      <c r="AK106" s="2614">
        <f>(AK100+AK82)/2</f>
        <v>0</v>
      </c>
      <c r="AL106" s="182">
        <f>(AL100+AL82)/2</f>
        <v>0</v>
      </c>
      <c r="AM106" s="182">
        <f>(AM100+AM82)/2</f>
        <v>0</v>
      </c>
      <c r="AN106" s="182">
        <f>(AN100+AN82)/2</f>
        <v>0</v>
      </c>
      <c r="AO106" s="182">
        <f>(AO100+AO82)/2</f>
        <v>0</v>
      </c>
      <c r="AP106" s="182">
        <f>(AP100+AP82)/2</f>
        <v>0</v>
      </c>
      <c r="AQ106" s="182">
        <f>(AQ100+AQ82)/2</f>
        <v>0</v>
      </c>
      <c r="AR106" s="182">
        <f>(AR100+AR82)/2</f>
        <v>0</v>
      </c>
      <c r="AS106" s="182">
        <f>(AS100+AS82)/2</f>
        <v>0</v>
      </c>
      <c r="AT106" s="2614">
        <f>(AT100+AT82)/2</f>
        <v>0</v>
      </c>
      <c r="AU106" s="2614">
        <f>(AU100+AU82)/2</f>
        <v>0</v>
      </c>
      <c r="AV106" s="182">
        <f>(AV100+AV82)/2</f>
        <v>0</v>
      </c>
      <c r="AW106" s="182">
        <f>(AW100+AW82)/2</f>
        <v>0</v>
      </c>
      <c r="AX106" s="182">
        <f>(AX100+AX82)/2</f>
        <v>0</v>
      </c>
      <c r="AY106" s="182">
        <f>(AY100+AY82)/2</f>
        <v>0</v>
      </c>
      <c r="AZ106" s="182">
        <f>(AZ100+AZ82)/2</f>
        <v>0</v>
      </c>
      <c r="BA106" s="182">
        <f>(BA100+BA82)/2</f>
        <v>0</v>
      </c>
      <c r="BB106" s="182">
        <f>(BB100+BB82)/2</f>
        <v>0</v>
      </c>
      <c r="BC106" s="167"/>
      <c r="BD106" s="1248"/>
      <c r="BE106" s="1248"/>
      <c r="BF106" s="1018" t="s">
        <v>907</v>
      </c>
    </row>
    <row s="113" customFormat="1" customHeight="1" ht="21.75">
      <c r="A107" s="113"/>
      <c r="B107" s="404"/>
      <c r="C107" s="113"/>
      <c r="D107" s="113"/>
      <c r="E107" s="649">
        <v>22.5</v>
      </c>
      <c r="F107" s="50" cm="1" t="str">
        <f t="array" ref="F107:F107">OFFSET(E107,-1,1)</f>
        <v>1</v>
      </c>
      <c r="G107" s="70" t="s">
        <v>491</v>
      </c>
      <c r="H107" s="113"/>
      <c r="I107" s="113"/>
      <c r="J107" s="113"/>
      <c r="K107" s="113"/>
      <c r="L107" s="113"/>
      <c r="M107" s="113"/>
      <c r="N107" s="113"/>
      <c r="O107" s="113"/>
      <c r="P107" s="113"/>
      <c r="Q107" s="113"/>
      <c r="R107" s="113"/>
      <c r="S107" s="113"/>
      <c r="T107" s="439" cm="1" t="str">
        <f t="array" ref="T107:T107">T106</f>
        <v>true</v>
      </c>
      <c r="U107" s="113"/>
      <c r="V107" s="113"/>
      <c r="W107" s="113"/>
      <c r="X107" s="1534"/>
      <c r="Y107" s="113"/>
      <c r="Z107" s="1535"/>
      <c r="AA107" s="113"/>
      <c r="AB107" s="178">
        <v>6</v>
      </c>
      <c r="AC107" s="179" t="s">
        <v>908</v>
      </c>
      <c r="AD107" s="178"/>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67"/>
      <c r="BD107" s="113"/>
      <c r="BE107" s="113"/>
      <c r="BF107" s="1018" t="s">
        <v>909</v>
      </c>
    </row>
    <row s="1621" customFormat="1" customHeight="1" ht="14.25">
      <c r="A108" s="1248"/>
      <c r="B108" s="1160"/>
      <c r="C108" s="1248"/>
      <c r="D108" s="1248"/>
      <c r="E108" s="607">
        <v>15</v>
      </c>
      <c r="F108" s="50" cm="1" t="str">
        <f t="array" ref="F108:F108">OFFSET(E108,-1,1)</f>
        <v>1</v>
      </c>
      <c r="G108" s="70" t="s">
        <v>651</v>
      </c>
      <c r="H108" s="1248"/>
      <c r="I108" s="1248"/>
      <c r="J108" s="1248"/>
      <c r="K108" s="1248"/>
      <c r="L108" s="1248"/>
      <c r="M108" s="1248"/>
      <c r="N108" s="1248"/>
      <c r="O108" s="1248"/>
      <c r="P108" s="1248"/>
      <c r="Q108" s="1248"/>
      <c r="R108" s="1248"/>
      <c r="S108" s="1248"/>
      <c r="T108" s="439" cm="1" t="str">
        <f t="array" ref="T108:T108">T107</f>
        <v>true</v>
      </c>
      <c r="U108" s="1248"/>
      <c r="V108" s="1248"/>
      <c r="W108" s="1248"/>
      <c r="X108" s="1534"/>
      <c r="Y108" s="1248"/>
      <c r="Z108" s="1535"/>
      <c r="AA108" s="1248"/>
      <c r="AB108" s="54" t="s">
        <v>545</v>
      </c>
      <c r="AC108" s="181" t="s">
        <v>846</v>
      </c>
      <c r="AD108" s="54" t="s">
        <v>437</v>
      </c>
      <c r="AE108" s="182">
        <f>IF(AE102=0,0,AE114/AE102*100)</f>
        <v>0</v>
      </c>
      <c r="AF108" s="182">
        <f>IF(AF102=0,0,AF114/AF102*100)</f>
        <v>0</v>
      </c>
      <c r="AG108" s="182">
        <f>IF(AG102=0,0,AG114/AG102*100)</f>
        <v>0</v>
      </c>
      <c r="AH108" s="182">
        <f>IF(AH102=0,0,AH114/AH102*100)</f>
        <v>0</v>
      </c>
      <c r="AI108" s="182">
        <f>IF(AI102=0,0,AI114/AI102*100)</f>
        <v>0</v>
      </c>
      <c r="AJ108" s="2614">
        <f>IF(AJ102=0,0,AJ114/AJ102*100)</f>
        <v>0</v>
      </c>
      <c r="AK108" s="2614">
        <f>IF(AK102=0,0,AK114/AK102*100)</f>
        <v>0</v>
      </c>
      <c r="AL108" s="182">
        <f>IF(AL102=0,0,AL114/AL102*100)</f>
        <v>0</v>
      </c>
      <c r="AM108" s="182">
        <f>IF(AM102=0,0,AM114/AM102*100)</f>
        <v>0</v>
      </c>
      <c r="AN108" s="182">
        <f>IF(AN102=0,0,AN114/AN102*100)</f>
        <v>0</v>
      </c>
      <c r="AO108" s="182">
        <f>IF(AO102=0,0,AO114/AO102*100)</f>
        <v>0</v>
      </c>
      <c r="AP108" s="182">
        <f>IF(AP102=0,0,AP114/AP102*100)</f>
        <v>0</v>
      </c>
      <c r="AQ108" s="182">
        <f>IF(AQ102=0,0,AQ114/AQ102*100)</f>
        <v>0</v>
      </c>
      <c r="AR108" s="182">
        <f>IF(AR102=0,0,AR114/AR102*100)</f>
        <v>0</v>
      </c>
      <c r="AS108" s="182">
        <f>IF(AS102=0,0,AS114/AS102*100)</f>
        <v>0</v>
      </c>
      <c r="AT108" s="2614">
        <f>IF(AT102=0,0,AT114/AT102*100)</f>
        <v>0</v>
      </c>
      <c r="AU108" s="2614">
        <f>IF(AU102=0,0,AU114/AU102*100)</f>
        <v>0</v>
      </c>
      <c r="AV108" s="182">
        <f>IF(AV102=0,0,AV114/AV102*100)</f>
        <v>0</v>
      </c>
      <c r="AW108" s="182">
        <f>IF(AW102=0,0,AW114/AW102*100)</f>
        <v>0</v>
      </c>
      <c r="AX108" s="182">
        <f>IF(AX102=0,0,AX114/AX102*100)</f>
        <v>0</v>
      </c>
      <c r="AY108" s="182">
        <f>IF(AY102=0,0,AY114/AY102*100)</f>
        <v>0</v>
      </c>
      <c r="AZ108" s="182">
        <f>IF(AZ102=0,0,AZ114/AZ102*100)</f>
        <v>0</v>
      </c>
      <c r="BA108" s="182">
        <f>IF(BA102=0,0,BA114/BA102*100)</f>
        <v>0</v>
      </c>
      <c r="BB108" s="182">
        <f>IF(BB102=0,0,BB114/BB102*100)</f>
        <v>0</v>
      </c>
      <c r="BC108" s="167"/>
      <c r="BD108" s="1248"/>
      <c r="BE108" s="1248"/>
      <c r="BF108" s="1018" t="s">
        <v>910</v>
      </c>
    </row>
    <row s="1621" customFormat="1" customHeight="1" ht="14.25">
      <c r="A109" s="1248"/>
      <c r="B109" s="1160"/>
      <c r="C109" s="1248"/>
      <c r="D109" s="1248"/>
      <c r="E109" s="607">
        <v>15</v>
      </c>
      <c r="F109" s="50" cm="1" t="str">
        <f t="array" ref="F109:F109">OFFSET(E109,-1,1)</f>
        <v>1</v>
      </c>
      <c r="G109" s="70" t="s">
        <v>654</v>
      </c>
      <c r="H109" s="1248"/>
      <c r="I109" s="1248"/>
      <c r="J109" s="1248"/>
      <c r="K109" s="1248"/>
      <c r="L109" s="1248"/>
      <c r="M109" s="1248"/>
      <c r="N109" s="1248"/>
      <c r="O109" s="1248"/>
      <c r="P109" s="1248"/>
      <c r="Q109" s="1248"/>
      <c r="R109" s="1248"/>
      <c r="S109" s="1248"/>
      <c r="T109" s="439" cm="1" t="str">
        <f t="array" ref="T109:T109">T108</f>
        <v>true</v>
      </c>
      <c r="U109" s="1248"/>
      <c r="V109" s="1248"/>
      <c r="W109" s="1248"/>
      <c r="X109" s="1534"/>
      <c r="Y109" s="1248"/>
      <c r="Z109" s="1535"/>
      <c r="AA109" s="1248"/>
      <c r="AB109" s="54" t="s">
        <v>549</v>
      </c>
      <c r="AC109" s="181" t="s">
        <v>849</v>
      </c>
      <c r="AD109" s="54" t="s">
        <v>437</v>
      </c>
      <c r="AE109" s="182">
        <f>IF(AE103=0,0,AE115/AE103*100)</f>
        <v>0</v>
      </c>
      <c r="AF109" s="182">
        <f>IF(AF103=0,0,AF115/AF103*100)</f>
        <v>0</v>
      </c>
      <c r="AG109" s="182">
        <f>IF(AG103=0,0,AG115/AG103*100)</f>
        <v>0</v>
      </c>
      <c r="AH109" s="182">
        <f>IF(AH103=0,0,AH115/AH103*100)</f>
        <v>0</v>
      </c>
      <c r="AI109" s="182">
        <f>IF(AI103=0,0,AI115/AI103*100)</f>
        <v>0</v>
      </c>
      <c r="AJ109" s="2614">
        <f>IF(AJ103=0,0,AJ115/AJ103*100)</f>
        <v>0</v>
      </c>
      <c r="AK109" s="2614">
        <f>IF(AK103=0,0,AK115/AK103*100)</f>
        <v>0</v>
      </c>
      <c r="AL109" s="182">
        <f>IF(AL103=0,0,AL115/AL103*100)</f>
        <v>0</v>
      </c>
      <c r="AM109" s="182">
        <f>IF(AM103=0,0,AM115/AM103*100)</f>
        <v>0</v>
      </c>
      <c r="AN109" s="182">
        <f>IF(AN103=0,0,AN115/AN103*100)</f>
        <v>0</v>
      </c>
      <c r="AO109" s="182">
        <f>IF(AO103=0,0,AO115/AO103*100)</f>
        <v>0</v>
      </c>
      <c r="AP109" s="182">
        <f>IF(AP103=0,0,AP115/AP103*100)</f>
        <v>0</v>
      </c>
      <c r="AQ109" s="182">
        <f>IF(AQ103=0,0,AQ115/AQ103*100)</f>
        <v>0</v>
      </c>
      <c r="AR109" s="182">
        <f>IF(AR103=0,0,AR115/AR103*100)</f>
        <v>0</v>
      </c>
      <c r="AS109" s="182">
        <f>IF(AS103=0,0,AS115/AS103*100)</f>
        <v>0</v>
      </c>
      <c r="AT109" s="2614">
        <f>IF(AT103=0,0,AT115/AT103*100)</f>
        <v>0</v>
      </c>
      <c r="AU109" s="2614">
        <f>IF(AU103=0,0,AU115/AU103*100)</f>
        <v>0</v>
      </c>
      <c r="AV109" s="182">
        <f>IF(AV103=0,0,AV115/AV103*100)</f>
        <v>0</v>
      </c>
      <c r="AW109" s="182">
        <f>IF(AW103=0,0,AW115/AW103*100)</f>
        <v>0</v>
      </c>
      <c r="AX109" s="182">
        <f>IF(AX103=0,0,AX115/AX103*100)</f>
        <v>0</v>
      </c>
      <c r="AY109" s="182">
        <f>IF(AY103=0,0,AY115/AY103*100)</f>
        <v>0</v>
      </c>
      <c r="AZ109" s="182">
        <f>IF(AZ103=0,0,AZ115/AZ103*100)</f>
        <v>0</v>
      </c>
      <c r="BA109" s="182">
        <f>IF(BA103=0,0,BA115/BA103*100)</f>
        <v>0</v>
      </c>
      <c r="BB109" s="182">
        <f>IF(BB103=0,0,BB115/BB103*100)</f>
        <v>0</v>
      </c>
      <c r="BC109" s="167"/>
      <c r="BD109" s="1248"/>
      <c r="BE109" s="1248"/>
      <c r="BF109" s="1018" t="s">
        <v>911</v>
      </c>
    </row>
    <row s="1621" customFormat="1" customHeight="1" ht="14.25">
      <c r="A110" s="1248"/>
      <c r="B110" s="1160"/>
      <c r="C110" s="1248"/>
      <c r="D110" s="1248"/>
      <c r="E110" s="607">
        <v>15</v>
      </c>
      <c r="F110" s="50" cm="1" t="str">
        <f t="array" ref="F110:F110">OFFSET(E110,-1,1)</f>
        <v>1</v>
      </c>
      <c r="G110" s="70" t="s">
        <v>688</v>
      </c>
      <c r="H110" s="1248"/>
      <c r="I110" s="1248"/>
      <c r="J110" s="1248"/>
      <c r="K110" s="1248"/>
      <c r="L110" s="1248"/>
      <c r="M110" s="1248"/>
      <c r="N110" s="1248"/>
      <c r="O110" s="1248"/>
      <c r="P110" s="1248"/>
      <c r="Q110" s="1248"/>
      <c r="R110" s="1248"/>
      <c r="S110" s="1248"/>
      <c r="T110" s="439" cm="1" t="str">
        <f t="array" ref="T110:T110">T109</f>
        <v>true</v>
      </c>
      <c r="U110" s="1248"/>
      <c r="V110" s="1248"/>
      <c r="W110" s="1248"/>
      <c r="X110" s="1534"/>
      <c r="Y110" s="1248"/>
      <c r="Z110" s="1535"/>
      <c r="AA110" s="1248"/>
      <c r="AB110" s="54" t="s">
        <v>553</v>
      </c>
      <c r="AC110" s="181" t="s">
        <v>852</v>
      </c>
      <c r="AD110" s="54" t="s">
        <v>437</v>
      </c>
      <c r="AE110" s="182">
        <f>IF(AE104=0,0,AE116/AE104*100)</f>
        <v>0</v>
      </c>
      <c r="AF110" s="182">
        <f>IF(AF104=0,0,AF116/AF104*100)</f>
        <v>0</v>
      </c>
      <c r="AG110" s="182">
        <f>IF(AG104=0,0,AG116/AG104*100)</f>
        <v>0</v>
      </c>
      <c r="AH110" s="182">
        <f>IF(AH104=0,0,AH116/AH104*100)</f>
        <v>0</v>
      </c>
      <c r="AI110" s="182">
        <f>IF(AI104=0,0,AI116/AI104*100)</f>
        <v>0</v>
      </c>
      <c r="AJ110" s="2614">
        <f>IF(AJ104=0,0,AJ116/AJ104*100)</f>
        <v>0</v>
      </c>
      <c r="AK110" s="2614">
        <f>IF(AK104=0,0,AK116/AK104*100)</f>
        <v>0</v>
      </c>
      <c r="AL110" s="182">
        <f>IF(AL104=0,0,AL116/AL104*100)</f>
        <v>0</v>
      </c>
      <c r="AM110" s="182">
        <f>IF(AM104=0,0,AM116/AM104*100)</f>
        <v>0</v>
      </c>
      <c r="AN110" s="182">
        <f>IF(AN104=0,0,AN116/AN104*100)</f>
        <v>0</v>
      </c>
      <c r="AO110" s="182">
        <f>IF(AO104=0,0,AO116/AO104*100)</f>
        <v>0</v>
      </c>
      <c r="AP110" s="182">
        <f>IF(AP104=0,0,AP116/AP104*100)</f>
        <v>0</v>
      </c>
      <c r="AQ110" s="182">
        <f>IF(AQ104=0,0,AQ116/AQ104*100)</f>
        <v>0</v>
      </c>
      <c r="AR110" s="182">
        <f>IF(AR104=0,0,AR116/AR104*100)</f>
        <v>0</v>
      </c>
      <c r="AS110" s="182">
        <f>IF(AS104=0,0,AS116/AS104*100)</f>
        <v>0</v>
      </c>
      <c r="AT110" s="2614">
        <f>IF(AT104=0,0,AT116/AT104*100)</f>
        <v>0</v>
      </c>
      <c r="AU110" s="2614">
        <f>IF(AU104=0,0,AU116/AU104*100)</f>
        <v>0</v>
      </c>
      <c r="AV110" s="182">
        <f>IF(AV104=0,0,AV116/AV104*100)</f>
        <v>0</v>
      </c>
      <c r="AW110" s="182">
        <f>IF(AW104=0,0,AW116/AW104*100)</f>
        <v>0</v>
      </c>
      <c r="AX110" s="182">
        <f>IF(AX104=0,0,AX116/AX104*100)</f>
        <v>0</v>
      </c>
      <c r="AY110" s="182">
        <f>IF(AY104=0,0,AY116/AY104*100)</f>
        <v>0</v>
      </c>
      <c r="AZ110" s="182">
        <f>IF(AZ104=0,0,AZ116/AZ104*100)</f>
        <v>0</v>
      </c>
      <c r="BA110" s="182">
        <f>IF(BA104=0,0,BA116/BA104*100)</f>
        <v>0</v>
      </c>
      <c r="BB110" s="182">
        <f>IF(BB104=0,0,BB116/BB104*100)</f>
        <v>0</v>
      </c>
      <c r="BC110" s="167"/>
      <c r="BD110" s="1248"/>
      <c r="BE110" s="1248"/>
      <c r="BF110" s="1018" t="s">
        <v>912</v>
      </c>
    </row>
    <row s="1621" customFormat="1" customHeight="1" ht="14.25">
      <c r="A111" s="1248"/>
      <c r="B111" s="1160"/>
      <c r="C111" s="1248"/>
      <c r="D111" s="1248"/>
      <c r="E111" s="607">
        <v>15</v>
      </c>
      <c r="F111" s="50" cm="1" t="str">
        <f t="array" ref="F111:F111">OFFSET(E111,-1,1)</f>
        <v>1</v>
      </c>
      <c r="G111" s="70" t="s">
        <v>697</v>
      </c>
      <c r="H111" s="1248"/>
      <c r="I111" s="1248"/>
      <c r="J111" s="1248"/>
      <c r="K111" s="1248"/>
      <c r="L111" s="1248"/>
      <c r="M111" s="1248"/>
      <c r="N111" s="1248"/>
      <c r="O111" s="1248"/>
      <c r="P111" s="1248"/>
      <c r="Q111" s="1248"/>
      <c r="R111" s="1248"/>
      <c r="S111" s="1248"/>
      <c r="T111" s="439" cm="1" t="str">
        <f t="array" ref="T111:T111">T110</f>
        <v>true</v>
      </c>
      <c r="U111" s="1248"/>
      <c r="V111" s="1248"/>
      <c r="W111" s="1248"/>
      <c r="X111" s="1534"/>
      <c r="Y111" s="1248"/>
      <c r="Z111" s="1535"/>
      <c r="AA111" s="1248"/>
      <c r="AB111" s="54" t="s">
        <v>913</v>
      </c>
      <c r="AC111" s="181" t="s">
        <v>855</v>
      </c>
      <c r="AD111" s="54" t="s">
        <v>437</v>
      </c>
      <c r="AE111" s="182">
        <f>IF(AE105=0,0,AE117/AE105*100)</f>
        <v>0</v>
      </c>
      <c r="AF111" s="182">
        <f>IF(AF105=0,0,AF117/AF105*100)</f>
        <v>0</v>
      </c>
      <c r="AG111" s="182">
        <f>IF(AG105=0,0,AG117/AG105*100)</f>
        <v>0</v>
      </c>
      <c r="AH111" s="182">
        <f>IF(AH105=0,0,AH117/AH105*100)</f>
        <v>0</v>
      </c>
      <c r="AI111" s="182">
        <f>IF(AI105=0,0,AI117/AI105*100)</f>
        <v>0</v>
      </c>
      <c r="AJ111" s="2614">
        <f>IF(AJ105=0,0,AJ117/AJ105*100)</f>
        <v>0</v>
      </c>
      <c r="AK111" s="2614">
        <f>IF(AK105=0,0,AK117/AK105*100)</f>
        <v>0</v>
      </c>
      <c r="AL111" s="182">
        <f>IF(AL105=0,0,AL117/AL105*100)</f>
        <v>0</v>
      </c>
      <c r="AM111" s="182">
        <f>IF(AM105=0,0,AM117/AM105*100)</f>
        <v>0</v>
      </c>
      <c r="AN111" s="182">
        <f>IF(AN105=0,0,AN117/AN105*100)</f>
        <v>0</v>
      </c>
      <c r="AO111" s="182">
        <f>IF(AO105=0,0,AO117/AO105*100)</f>
        <v>0</v>
      </c>
      <c r="AP111" s="182">
        <f>IF(AP105=0,0,AP117/AP105*100)</f>
        <v>0</v>
      </c>
      <c r="AQ111" s="182">
        <f>IF(AQ105=0,0,AQ117/AQ105*100)</f>
        <v>0</v>
      </c>
      <c r="AR111" s="182">
        <f>IF(AR105=0,0,AR117/AR105*100)</f>
        <v>0</v>
      </c>
      <c r="AS111" s="182">
        <f>IF(AS105=0,0,AS117/AS105*100)</f>
        <v>0</v>
      </c>
      <c r="AT111" s="2614">
        <f>IF(AT105=0,0,AT117/AT105*100)</f>
        <v>0</v>
      </c>
      <c r="AU111" s="2614">
        <f>IF(AU105=0,0,AU117/AU105*100)</f>
        <v>0</v>
      </c>
      <c r="AV111" s="182">
        <f>IF(AV105=0,0,AV117/AV105*100)</f>
        <v>0</v>
      </c>
      <c r="AW111" s="182">
        <f>IF(AW105=0,0,AW117/AW105*100)</f>
        <v>0</v>
      </c>
      <c r="AX111" s="182">
        <f>IF(AX105=0,0,AX117/AX105*100)</f>
        <v>0</v>
      </c>
      <c r="AY111" s="182">
        <f>IF(AY105=0,0,AY117/AY105*100)</f>
        <v>0</v>
      </c>
      <c r="AZ111" s="182">
        <f>IF(AZ105=0,0,AZ117/AZ105*100)</f>
        <v>0</v>
      </c>
      <c r="BA111" s="182">
        <f>IF(BA105=0,0,BA117/BA105*100)</f>
        <v>0</v>
      </c>
      <c r="BB111" s="182">
        <f>IF(BB105=0,0,BB117/BB105*100)</f>
        <v>0</v>
      </c>
      <c r="BC111" s="167"/>
      <c r="BD111" s="1248"/>
      <c r="BE111" s="1248"/>
      <c r="BF111" s="1018" t="s">
        <v>914</v>
      </c>
    </row>
    <row s="1621" customFormat="1" customHeight="1" ht="14.25">
      <c r="A112" s="1248"/>
      <c r="B112" s="1160"/>
      <c r="C112" s="1248"/>
      <c r="D112" s="1248"/>
      <c r="E112" s="607">
        <v>15</v>
      </c>
      <c r="F112" s="50" cm="1" t="str">
        <f t="array" ref="F112:F112">OFFSET(E112,-1,1)</f>
        <v>1</v>
      </c>
      <c r="G112" s="70" t="s">
        <v>707</v>
      </c>
      <c r="H112" s="1248"/>
      <c r="I112" s="1248"/>
      <c r="J112" s="1248"/>
      <c r="K112" s="1248"/>
      <c r="L112" s="1248"/>
      <c r="M112" s="1248"/>
      <c r="N112" s="1248"/>
      <c r="O112" s="1248"/>
      <c r="P112" s="1248"/>
      <c r="Q112" s="1248"/>
      <c r="R112" s="1248"/>
      <c r="S112" s="1248"/>
      <c r="T112" s="439" cm="1" t="str">
        <f t="array" ref="T112:T112">T111</f>
        <v>true</v>
      </c>
      <c r="U112" s="1248"/>
      <c r="V112" s="1248"/>
      <c r="W112" s="1248"/>
      <c r="X112" s="1534"/>
      <c r="Y112" s="1248"/>
      <c r="Z112" s="1535"/>
      <c r="AA112" s="1248"/>
      <c r="AB112" s="54" t="s">
        <v>915</v>
      </c>
      <c r="AC112" s="181" t="s">
        <v>859</v>
      </c>
      <c r="AD112" s="54" t="s">
        <v>437</v>
      </c>
      <c r="AE112" s="182">
        <f>IF(AE106=0,0,AE118/AE106*100)</f>
        <v>0</v>
      </c>
      <c r="AF112" s="182">
        <f>IF(AF106=0,0,AF118/AF106*100)</f>
        <v>0</v>
      </c>
      <c r="AG112" s="182">
        <f>IF(AG106=0,0,AG118/AG106*100)</f>
        <v>0</v>
      </c>
      <c r="AH112" s="182">
        <f>IF(AH106=0,0,AH118/AH106*100)</f>
        <v>0</v>
      </c>
      <c r="AI112" s="182">
        <f>IF(AI106=0,0,AI118/AI106*100)</f>
        <v>0</v>
      </c>
      <c r="AJ112" s="2614">
        <f>IF(AJ106=0,0,AJ118/AJ106*100)</f>
        <v>0</v>
      </c>
      <c r="AK112" s="2614">
        <f>IF(AK106=0,0,AK118/AK106*100)</f>
        <v>0</v>
      </c>
      <c r="AL112" s="182">
        <f>IF(AL106=0,0,AL118/AL106*100)</f>
        <v>0</v>
      </c>
      <c r="AM112" s="182">
        <f>IF(AM106=0,0,AM118/AM106*100)</f>
        <v>0</v>
      </c>
      <c r="AN112" s="182">
        <f>IF(AN106=0,0,AN118/AN106*100)</f>
        <v>0</v>
      </c>
      <c r="AO112" s="182">
        <f>IF(AO106=0,0,AO118/AO106*100)</f>
        <v>0</v>
      </c>
      <c r="AP112" s="182">
        <f>IF(AP106=0,0,AP118/AP106*100)</f>
        <v>0</v>
      </c>
      <c r="AQ112" s="182">
        <f>IF(AQ106=0,0,AQ118/AQ106*100)</f>
        <v>0</v>
      </c>
      <c r="AR112" s="182">
        <f>IF(AR106=0,0,AR118/AR106*100)</f>
        <v>0</v>
      </c>
      <c r="AS112" s="182">
        <f>IF(AS106=0,0,AS118/AS106*100)</f>
        <v>0</v>
      </c>
      <c r="AT112" s="2614">
        <f>IF(AT106=0,0,AT118/AT106*100)</f>
        <v>0</v>
      </c>
      <c r="AU112" s="2614">
        <f>IF(AU106=0,0,AU118/AU106*100)</f>
        <v>0</v>
      </c>
      <c r="AV112" s="182">
        <f>IF(AV106=0,0,AV118/AV106*100)</f>
        <v>0</v>
      </c>
      <c r="AW112" s="182">
        <f>IF(AW106=0,0,AW118/AW106*100)</f>
        <v>0</v>
      </c>
      <c r="AX112" s="182">
        <f>IF(AX106=0,0,AX118/AX106*100)</f>
        <v>0</v>
      </c>
      <c r="AY112" s="182">
        <f>IF(AY106=0,0,AY118/AY106*100)</f>
        <v>0</v>
      </c>
      <c r="AZ112" s="182">
        <f>IF(AZ106=0,0,AZ118/AZ106*100)</f>
        <v>0</v>
      </c>
      <c r="BA112" s="182">
        <f>IF(BA106=0,0,BA118/BA106*100)</f>
        <v>0</v>
      </c>
      <c r="BB112" s="182">
        <f>IF(BB106=0,0,BB118/BB106*100)</f>
        <v>0</v>
      </c>
      <c r="BC112" s="167"/>
      <c r="BD112" s="1248"/>
      <c r="BE112" s="1248"/>
      <c r="BF112" s="1018" t="s">
        <v>916</v>
      </c>
    </row>
    <row s="113" customFormat="1" customHeight="1" ht="14.625">
      <c r="A113" s="113"/>
      <c r="B113" s="404"/>
      <c r="C113" s="113"/>
      <c r="D113" s="113"/>
      <c r="E113" s="607">
        <v>15</v>
      </c>
      <c r="F113" s="50" cm="1" t="str">
        <f t="array" ref="F113:F113">OFFSET(E113,-1,1)</f>
        <v>1</v>
      </c>
      <c r="G113" s="70" t="s">
        <v>495</v>
      </c>
      <c r="H113" s="113"/>
      <c r="I113" s="113"/>
      <c r="J113" s="113"/>
      <c r="K113" s="90" t="str">
        <f>F113&amp;"komm"</f>
        <v>1komm</v>
      </c>
      <c r="L113" s="901" cm="1" t="str">
        <f t="array" ref="L113:L113">BC113</f>
        <v>0</v>
      </c>
      <c r="M113" s="113"/>
      <c r="N113" s="113"/>
      <c r="O113" s="113"/>
      <c r="P113" s="113"/>
      <c r="Q113" s="113"/>
      <c r="R113" s="113"/>
      <c r="S113" s="113"/>
      <c r="T113" s="439" cm="1" t="str">
        <f t="array" ref="T113:T113">T112</f>
        <v>true</v>
      </c>
      <c r="U113" s="113"/>
      <c r="V113" s="113"/>
      <c r="W113" s="113"/>
      <c r="X113" s="1534"/>
      <c r="Y113" s="113"/>
      <c r="Z113" s="1535"/>
      <c r="AA113" s="113"/>
      <c r="AB113" s="178">
        <v>7</v>
      </c>
      <c r="AC113" s="179" t="s">
        <v>917</v>
      </c>
      <c r="AD113" s="55" t="s">
        <v>784</v>
      </c>
      <c r="AE113" s="1225">
        <v>440.0542366942</v>
      </c>
      <c r="AF113" s="1225">
        <v>761.71191</v>
      </c>
      <c r="AG113" s="1225">
        <f>SUM(AG114:AG118)</f>
        <v>0</v>
      </c>
      <c r="AH113" s="1225">
        <v>440.0542366942</v>
      </c>
      <c r="AI113" s="1225">
        <v>604.42902</v>
      </c>
      <c r="AJ113" s="2611">
        <f>SUM(AJ114:AJ118)</f>
        <v>0</v>
      </c>
      <c r="AK113" s="2611">
        <f>SUM(AK114:AK118)</f>
        <v>0</v>
      </c>
      <c r="AL113" s="1225">
        <f>SUM(AL114:AL118)</f>
        <v>0</v>
      </c>
      <c r="AM113" s="1225">
        <f>SUM(AM114:AM118)</f>
        <v>0</v>
      </c>
      <c r="AN113" s="1225">
        <f>SUM(AN114:AN118)</f>
        <v>0</v>
      </c>
      <c r="AO113" s="1225">
        <f>SUM(AO114:AO118)</f>
        <v>0</v>
      </c>
      <c r="AP113" s="1225">
        <f>SUM(AP114:AP118)</f>
        <v>0</v>
      </c>
      <c r="AQ113" s="1225">
        <f>SUM(AQ114:AQ118)</f>
        <v>0</v>
      </c>
      <c r="AR113" s="1225">
        <f>SUM(AR114:AR118)</f>
        <v>0</v>
      </c>
      <c r="AS113" s="1225">
        <v>440.0542366942</v>
      </c>
      <c r="AT113" s="2611">
        <f>SUM(AT114:AT118)</f>
        <v>0</v>
      </c>
      <c r="AU113" s="2611">
        <f>SUM(AU114:AU118)</f>
        <v>0</v>
      </c>
      <c r="AV113" s="1225">
        <f>SUM(AV114:AV118)</f>
        <v>0</v>
      </c>
      <c r="AW113" s="1225">
        <f>SUM(AW114:AW118)</f>
        <v>0</v>
      </c>
      <c r="AX113" s="1225">
        <f>SUM(AX114:AX118)</f>
        <v>0</v>
      </c>
      <c r="AY113" s="1225">
        <f>SUM(AY114:AY118)</f>
        <v>0</v>
      </c>
      <c r="AZ113" s="1225">
        <f>SUM(AZ114:AZ118)</f>
        <v>0</v>
      </c>
      <c r="BA113" s="1225">
        <f>SUM(BA114:BA118)</f>
        <v>0</v>
      </c>
      <c r="BB113" s="1225">
        <f>SUM(BB114:BB118)</f>
        <v>0</v>
      </c>
      <c r="BC113" s="167"/>
      <c r="BD113" s="113"/>
      <c r="BE113" s="113"/>
      <c r="BF113" s="1018" t="s">
        <v>918</v>
      </c>
    </row>
    <row s="1621" customFormat="1" customHeight="1" ht="14.25">
      <c r="A114" s="1248"/>
      <c r="B114" s="1160"/>
      <c r="C114" s="1248"/>
      <c r="D114" s="1248"/>
      <c r="E114" s="607">
        <v>15</v>
      </c>
      <c r="F114" s="50" cm="1" t="str">
        <f t="array" ref="F114:F114">OFFSET(E114,-1,1)</f>
        <v>1</v>
      </c>
      <c r="G114" s="70" t="s">
        <v>658</v>
      </c>
      <c r="H114" s="1248"/>
      <c r="I114" s="1248"/>
      <c r="J114" s="1248"/>
      <c r="K114" s="1248"/>
      <c r="L114" s="1248"/>
      <c r="M114" s="1248"/>
      <c r="N114" s="1248"/>
      <c r="O114" s="1248"/>
      <c r="P114" s="1248"/>
      <c r="Q114" s="1248"/>
      <c r="R114" s="1248"/>
      <c r="S114" s="1248"/>
      <c r="T114" s="439" cm="1" t="str">
        <f t="array" ref="T114:T114">T113</f>
        <v>true</v>
      </c>
      <c r="U114" s="1248"/>
      <c r="V114" s="1248"/>
      <c r="W114" s="1248"/>
      <c r="X114" s="1534"/>
      <c r="Y114" s="1248"/>
      <c r="Z114" s="1535"/>
      <c r="AA114" s="1248"/>
      <c r="AB114" s="54" t="s">
        <v>561</v>
      </c>
      <c r="AC114" s="181" t="s">
        <v>846</v>
      </c>
      <c r="AD114" s="55" t="s">
        <v>784</v>
      </c>
      <c r="AE114" s="182"/>
      <c r="AF114" s="182"/>
      <c r="AG114" s="182"/>
      <c r="AH114" s="182"/>
      <c r="AI114" s="182"/>
      <c r="AJ114" s="2614"/>
      <c r="AK114" s="2614"/>
      <c r="AL114" s="182"/>
      <c r="AM114" s="182"/>
      <c r="AN114" s="182"/>
      <c r="AO114" s="182"/>
      <c r="AP114" s="182"/>
      <c r="AQ114" s="182"/>
      <c r="AR114" s="182"/>
      <c r="AS114" s="182"/>
      <c r="AT114" s="2614"/>
      <c r="AU114" s="2614"/>
      <c r="AV114" s="182"/>
      <c r="AW114" s="182"/>
      <c r="AX114" s="182"/>
      <c r="AY114" s="182"/>
      <c r="AZ114" s="182"/>
      <c r="BA114" s="182"/>
      <c r="BB114" s="182"/>
      <c r="BC114" s="167"/>
      <c r="BD114" s="1248"/>
      <c r="BE114" s="1248"/>
      <c r="BF114" s="1018" t="s">
        <v>919</v>
      </c>
    </row>
    <row s="1621" customFormat="1" customHeight="1" ht="14.25">
      <c r="A115" s="1248"/>
      <c r="B115" s="1160"/>
      <c r="C115" s="1248"/>
      <c r="D115" s="1248"/>
      <c r="E115" s="607">
        <v>15</v>
      </c>
      <c r="F115" s="50" cm="1" t="str">
        <f t="array" ref="F115:F115">OFFSET(E115,-1,1)</f>
        <v>1</v>
      </c>
      <c r="G115" s="70" t="s">
        <v>661</v>
      </c>
      <c r="H115" s="1248"/>
      <c r="I115" s="1248"/>
      <c r="J115" s="1248"/>
      <c r="K115" s="1248"/>
      <c r="L115" s="1248"/>
      <c r="M115" s="1248"/>
      <c r="N115" s="1248"/>
      <c r="O115" s="1248"/>
      <c r="P115" s="1248"/>
      <c r="Q115" s="1248"/>
      <c r="R115" s="1248"/>
      <c r="S115" s="1248"/>
      <c r="T115" s="439" cm="1" t="str">
        <f t="array" ref="T115:T115">T114</f>
        <v>true</v>
      </c>
      <c r="U115" s="1248"/>
      <c r="V115" s="1248"/>
      <c r="W115" s="1248"/>
      <c r="X115" s="1534"/>
      <c r="Y115" s="1248"/>
      <c r="Z115" s="1535"/>
      <c r="AA115" s="1248"/>
      <c r="AB115" s="54" t="s">
        <v>920</v>
      </c>
      <c r="AC115" s="181" t="s">
        <v>849</v>
      </c>
      <c r="AD115" s="55" t="s">
        <v>784</v>
      </c>
      <c r="AE115" s="182"/>
      <c r="AF115" s="182"/>
      <c r="AG115" s="182"/>
      <c r="AH115" s="182"/>
      <c r="AI115" s="182"/>
      <c r="AJ115" s="2614"/>
      <c r="AK115" s="2614"/>
      <c r="AL115" s="182"/>
      <c r="AM115" s="182"/>
      <c r="AN115" s="182"/>
      <c r="AO115" s="182"/>
      <c r="AP115" s="182"/>
      <c r="AQ115" s="182"/>
      <c r="AR115" s="182"/>
      <c r="AS115" s="182"/>
      <c r="AT115" s="2614"/>
      <c r="AU115" s="2614"/>
      <c r="AV115" s="182"/>
      <c r="AW115" s="182"/>
      <c r="AX115" s="182"/>
      <c r="AY115" s="182"/>
      <c r="AZ115" s="182"/>
      <c r="BA115" s="182"/>
      <c r="BB115" s="182"/>
      <c r="BC115" s="167"/>
      <c r="BD115" s="1248"/>
      <c r="BE115" s="1248"/>
      <c r="BF115" s="1018" t="s">
        <v>921</v>
      </c>
    </row>
    <row s="1621" customFormat="1" customHeight="1" ht="14.25">
      <c r="A116" s="1248"/>
      <c r="B116" s="1160"/>
      <c r="C116" s="1248"/>
      <c r="D116" s="1248"/>
      <c r="E116" s="607">
        <v>15</v>
      </c>
      <c r="F116" s="50" cm="1" t="str">
        <f t="array" ref="F116:F116">OFFSET(E116,-1,1)</f>
        <v>1</v>
      </c>
      <c r="G116" s="70" t="s">
        <v>922</v>
      </c>
      <c r="H116" s="1248"/>
      <c r="I116" s="1248"/>
      <c r="J116" s="1248"/>
      <c r="K116" s="1248"/>
      <c r="L116" s="1248"/>
      <c r="M116" s="1248"/>
      <c r="N116" s="1248"/>
      <c r="O116" s="1248"/>
      <c r="P116" s="1248"/>
      <c r="Q116" s="1248"/>
      <c r="R116" s="1248"/>
      <c r="S116" s="1248"/>
      <c r="T116" s="439" cm="1" t="str">
        <f t="array" ref="T116:T116">T115</f>
        <v>true</v>
      </c>
      <c r="U116" s="1248"/>
      <c r="V116" s="1248"/>
      <c r="W116" s="1248"/>
      <c r="X116" s="1534"/>
      <c r="Y116" s="1248"/>
      <c r="Z116" s="1535"/>
      <c r="AA116" s="1248"/>
      <c r="AB116" s="54" t="s">
        <v>923</v>
      </c>
      <c r="AC116" s="181" t="s">
        <v>852</v>
      </c>
      <c r="AD116" s="55" t="s">
        <v>784</v>
      </c>
      <c r="AE116" s="182"/>
      <c r="AF116" s="182"/>
      <c r="AG116" s="182"/>
      <c r="AH116" s="182"/>
      <c r="AI116" s="182"/>
      <c r="AJ116" s="2614"/>
      <c r="AK116" s="2614"/>
      <c r="AL116" s="182"/>
      <c r="AM116" s="182"/>
      <c r="AN116" s="182"/>
      <c r="AO116" s="182"/>
      <c r="AP116" s="182"/>
      <c r="AQ116" s="182"/>
      <c r="AR116" s="182"/>
      <c r="AS116" s="182"/>
      <c r="AT116" s="2614"/>
      <c r="AU116" s="2614"/>
      <c r="AV116" s="182"/>
      <c r="AW116" s="182"/>
      <c r="AX116" s="182"/>
      <c r="AY116" s="182"/>
      <c r="AZ116" s="182"/>
      <c r="BA116" s="182"/>
      <c r="BB116" s="182"/>
      <c r="BC116" s="167"/>
      <c r="BD116" s="1248"/>
      <c r="BE116" s="1248"/>
      <c r="BF116" s="1018" t="s">
        <v>924</v>
      </c>
    </row>
    <row s="1621" customFormat="1" customHeight="1" ht="14.25">
      <c r="A117" s="1248"/>
      <c r="B117" s="1160"/>
      <c r="C117" s="1248"/>
      <c r="D117" s="1248"/>
      <c r="E117" s="607">
        <v>15</v>
      </c>
      <c r="F117" s="50" cm="1" t="str">
        <f t="array" ref="F117:F117">OFFSET(E117,-1,1)</f>
        <v>1</v>
      </c>
      <c r="G117" s="70" t="s">
        <v>925</v>
      </c>
      <c r="H117" s="1248"/>
      <c r="I117" s="1248"/>
      <c r="J117" s="1248"/>
      <c r="K117" s="1248"/>
      <c r="L117" s="1248"/>
      <c r="M117" s="1248"/>
      <c r="N117" s="1248"/>
      <c r="O117" s="1248"/>
      <c r="P117" s="1248"/>
      <c r="Q117" s="1248"/>
      <c r="R117" s="1248"/>
      <c r="S117" s="1248"/>
      <c r="T117" s="439" cm="1" t="str">
        <f t="array" ref="T117:T117">T116</f>
        <v>true</v>
      </c>
      <c r="U117" s="1248"/>
      <c r="V117" s="1248"/>
      <c r="W117" s="1248"/>
      <c r="X117" s="1534"/>
      <c r="Y117" s="1248"/>
      <c r="Z117" s="1535"/>
      <c r="AA117" s="1248"/>
      <c r="AB117" s="54" t="s">
        <v>926</v>
      </c>
      <c r="AC117" s="181" t="s">
        <v>855</v>
      </c>
      <c r="AD117" s="55" t="s">
        <v>784</v>
      </c>
      <c r="AE117" s="182"/>
      <c r="AF117" s="182"/>
      <c r="AG117" s="182"/>
      <c r="AH117" s="182"/>
      <c r="AI117" s="182"/>
      <c r="AJ117" s="2614"/>
      <c r="AK117" s="2614"/>
      <c r="AL117" s="182"/>
      <c r="AM117" s="182"/>
      <c r="AN117" s="182"/>
      <c r="AO117" s="182"/>
      <c r="AP117" s="182"/>
      <c r="AQ117" s="182"/>
      <c r="AR117" s="182"/>
      <c r="AS117" s="182"/>
      <c r="AT117" s="2614"/>
      <c r="AU117" s="2614"/>
      <c r="AV117" s="182"/>
      <c r="AW117" s="182"/>
      <c r="AX117" s="182"/>
      <c r="AY117" s="182"/>
      <c r="AZ117" s="182"/>
      <c r="BA117" s="182"/>
      <c r="BB117" s="182"/>
      <c r="BC117" s="167"/>
      <c r="BD117" s="1248"/>
      <c r="BE117" s="1248"/>
      <c r="BF117" s="1018" t="s">
        <v>927</v>
      </c>
    </row>
    <row s="1621" customFormat="1" customHeight="1" ht="201.75">
      <c r="A118" s="1248"/>
      <c r="B118" s="1160"/>
      <c r="C118" s="1248"/>
      <c r="D118" s="1248"/>
      <c r="E118" s="607">
        <v>15</v>
      </c>
      <c r="F118" s="50" cm="1" t="str">
        <f t="array" ref="F118:F118">OFFSET(E118,-1,1)</f>
        <v>1</v>
      </c>
      <c r="G118" s="70" t="s">
        <v>928</v>
      </c>
      <c r="H118" s="1248"/>
      <c r="I118" s="1248"/>
      <c r="J118" s="1248"/>
      <c r="K118" s="1248"/>
      <c r="L118" s="1248"/>
      <c r="M118" s="1248"/>
      <c r="N118" s="1248"/>
      <c r="O118" s="1248"/>
      <c r="P118" s="1248"/>
      <c r="Q118" s="1248"/>
      <c r="R118" s="1248"/>
      <c r="S118" s="1248"/>
      <c r="T118" s="439" cm="1" t="str">
        <f t="array" ref="T118:T118">T117</f>
        <v>true</v>
      </c>
      <c r="U118" s="1248"/>
      <c r="V118" s="1248"/>
      <c r="W118" s="1248"/>
      <c r="X118" s="1534"/>
      <c r="Y118" s="1248"/>
      <c r="Z118" s="1535"/>
      <c r="AA118" s="1248"/>
      <c r="AB118" s="54" t="s">
        <v>929</v>
      </c>
      <c r="AC118" s="181" t="s">
        <v>859</v>
      </c>
      <c r="AD118" s="55" t="s">
        <v>784</v>
      </c>
      <c r="AE118" s="182">
        <v>440.0542366942</v>
      </c>
      <c r="AF118" s="182">
        <v>761.71191</v>
      </c>
      <c r="AG118" s="182"/>
      <c r="AH118" s="182">
        <v>440.0542366942</v>
      </c>
      <c r="AI118" s="182">
        <v>604.42902</v>
      </c>
      <c r="AJ118" s="2614"/>
      <c r="AK118" s="2614"/>
      <c r="AL118" s="182"/>
      <c r="AM118" s="182"/>
      <c r="AN118" s="182"/>
      <c r="AO118" s="182"/>
      <c r="AP118" s="182"/>
      <c r="AQ118" s="182"/>
      <c r="AR118" s="182"/>
      <c r="AS118" s="182">
        <v>440.0542366942</v>
      </c>
      <c r="AT118" s="2614"/>
      <c r="AU118" s="2614"/>
      <c r="AV118" s="182"/>
      <c r="AW118" s="182"/>
      <c r="AX118" s="182"/>
      <c r="AY118" s="182"/>
      <c r="AZ118" s="182"/>
      <c r="BA118" s="182"/>
      <c r="BB118" s="182"/>
      <c r="BC118" s="167" t="s">
        <v>940</v>
      </c>
      <c r="BD118" s="1248"/>
      <c r="BE118" s="1248"/>
      <c r="BF118" s="1018" t="s">
        <v>930</v>
      </c>
    </row>
    <row s="113" customFormat="1" customHeight="1" ht="14.25">
      <c r="A119" s="113"/>
      <c r="B119" s="404"/>
      <c r="C119" s="113"/>
      <c r="D119" s="113"/>
      <c r="E119" s="607">
        <v>15</v>
      </c>
      <c r="F119" s="50" cm="1" t="str">
        <f t="array" ref="F119:F119">OFFSET(E119,-1,1)</f>
        <v>1</v>
      </c>
      <c r="G119" s="70" t="s">
        <v>541</v>
      </c>
      <c r="H119" s="113"/>
      <c r="I119" s="113"/>
      <c r="J119" s="113"/>
      <c r="K119" s="113"/>
      <c r="L119" s="113"/>
      <c r="M119" s="113"/>
      <c r="N119" s="113"/>
      <c r="O119" s="113"/>
      <c r="P119" s="113"/>
      <c r="Q119" s="113"/>
      <c r="R119" s="113"/>
      <c r="S119" s="113"/>
      <c r="T119" s="439" cm="1" t="str">
        <f t="array" ref="T119:T119">T118</f>
        <v>true</v>
      </c>
      <c r="U119" s="113"/>
      <c r="V119" s="113"/>
      <c r="W119" s="113"/>
      <c r="X119" s="1534"/>
      <c r="Y119" s="113"/>
      <c r="Z119" s="1535"/>
      <c r="AA119" s="113"/>
      <c r="AB119" s="178">
        <v>8</v>
      </c>
      <c r="AC119" s="179" t="s">
        <v>931</v>
      </c>
      <c r="AD119" s="55" t="s">
        <v>784</v>
      </c>
      <c r="AE119" s="1225">
        <f>SUM(AE120:AE124)</f>
        <v>0</v>
      </c>
      <c r="AF119" s="1225">
        <f>SUM(AF120:AF124)</f>
        <v>0</v>
      </c>
      <c r="AG119" s="1225">
        <f>SUM(AG120:AG124)</f>
        <v>0</v>
      </c>
      <c r="AH119" s="1225">
        <f>SUM(AH120:AH124)</f>
        <v>0</v>
      </c>
      <c r="AI119" s="1225">
        <f>SUM(AI120:AI124)</f>
        <v>0</v>
      </c>
      <c r="AJ119" s="2611">
        <f>SUM(AJ120:AJ124)</f>
        <v>0</v>
      </c>
      <c r="AK119" s="2611">
        <f>SUM(AK120:AK124)</f>
        <v>0</v>
      </c>
      <c r="AL119" s="1225">
        <f>SUM(AL120:AL124)</f>
        <v>0</v>
      </c>
      <c r="AM119" s="1225">
        <f>SUM(AM120:AM124)</f>
        <v>0</v>
      </c>
      <c r="AN119" s="1225">
        <f>SUM(AN120:AN124)</f>
        <v>0</v>
      </c>
      <c r="AO119" s="1225">
        <f>SUM(AO120:AO124)</f>
        <v>0</v>
      </c>
      <c r="AP119" s="1225">
        <f>SUM(AP120:AP124)</f>
        <v>0</v>
      </c>
      <c r="AQ119" s="1225">
        <f>SUM(AQ120:AQ124)</f>
        <v>0</v>
      </c>
      <c r="AR119" s="1225">
        <f>SUM(AR120:AR124)</f>
        <v>0</v>
      </c>
      <c r="AS119" s="1225">
        <f>SUM(AS120:AS124)</f>
        <v>0</v>
      </c>
      <c r="AT119" s="2611">
        <f>SUM(AT120:AT124)</f>
        <v>0</v>
      </c>
      <c r="AU119" s="2611">
        <f>SUM(AU120:AU124)</f>
        <v>0</v>
      </c>
      <c r="AV119" s="1225">
        <f>SUM(AV120:AV124)</f>
        <v>0</v>
      </c>
      <c r="AW119" s="1225">
        <f>SUM(AW120:AW124)</f>
        <v>0</v>
      </c>
      <c r="AX119" s="1225">
        <f>SUM(AX120:AX124)</f>
        <v>0</v>
      </c>
      <c r="AY119" s="1225">
        <f>SUM(AY120:AY124)</f>
        <v>0</v>
      </c>
      <c r="AZ119" s="1225">
        <f>SUM(AZ120:AZ124)</f>
        <v>0</v>
      </c>
      <c r="BA119" s="1225">
        <f>SUM(BA120:BA124)</f>
        <v>0</v>
      </c>
      <c r="BB119" s="1225">
        <f>SUM(BB120:BB124)</f>
        <v>0</v>
      </c>
      <c r="BC119" s="167"/>
      <c r="BD119" s="113"/>
      <c r="BE119" s="113"/>
      <c r="BF119" s="1018" t="s">
        <v>932</v>
      </c>
    </row>
    <row s="1621" customFormat="1" customHeight="1" ht="14.25">
      <c r="A120" s="1248"/>
      <c r="B120" s="1160"/>
      <c r="C120" s="1248"/>
      <c r="D120" s="1248"/>
      <c r="E120" s="607">
        <v>15</v>
      </c>
      <c r="F120" s="50" cm="1" t="str">
        <f t="array" ref="F120:F120">OFFSET(E120,-1,1)</f>
        <v>1</v>
      </c>
      <c r="G120" s="70" t="s">
        <v>544</v>
      </c>
      <c r="H120" s="1248"/>
      <c r="I120" s="1248"/>
      <c r="J120" s="1248"/>
      <c r="K120" s="1248"/>
      <c r="L120" s="1248"/>
      <c r="M120" s="1248"/>
      <c r="N120" s="1248"/>
      <c r="O120" s="1248"/>
      <c r="P120" s="1248"/>
      <c r="Q120" s="1248"/>
      <c r="R120" s="1248"/>
      <c r="S120" s="1248"/>
      <c r="T120" s="439" cm="1" t="str">
        <f t="array" ref="T120:T120">T119</f>
        <v>true</v>
      </c>
      <c r="U120" s="1248"/>
      <c r="V120" s="1248"/>
      <c r="W120" s="1248"/>
      <c r="X120" s="1534"/>
      <c r="Y120" s="1248"/>
      <c r="Z120" s="1535"/>
      <c r="AA120" s="1248"/>
      <c r="AB120" s="54" t="s">
        <v>569</v>
      </c>
      <c r="AC120" s="181" t="s">
        <v>846</v>
      </c>
      <c r="AD120" s="55" t="s">
        <v>784</v>
      </c>
      <c r="AE120" s="182"/>
      <c r="AF120" s="182"/>
      <c r="AG120" s="182"/>
      <c r="AH120" s="182"/>
      <c r="AI120" s="182"/>
      <c r="AJ120" s="2614"/>
      <c r="AK120" s="2614"/>
      <c r="AL120" s="182"/>
      <c r="AM120" s="182"/>
      <c r="AN120" s="182"/>
      <c r="AO120" s="182"/>
      <c r="AP120" s="182"/>
      <c r="AQ120" s="182"/>
      <c r="AR120" s="182"/>
      <c r="AS120" s="182"/>
      <c r="AT120" s="2614"/>
      <c r="AU120" s="2614"/>
      <c r="AV120" s="182"/>
      <c r="AW120" s="182"/>
      <c r="AX120" s="182"/>
      <c r="AY120" s="182"/>
      <c r="AZ120" s="182"/>
      <c r="BA120" s="182"/>
      <c r="BB120" s="182"/>
      <c r="BC120" s="167"/>
      <c r="BD120" s="1248"/>
      <c r="BE120" s="1248"/>
      <c r="BF120" s="1018" t="s">
        <v>933</v>
      </c>
    </row>
    <row s="1621" customFormat="1" customHeight="1" ht="14.25">
      <c r="A121" s="1248"/>
      <c r="B121" s="1160"/>
      <c r="C121" s="1248"/>
      <c r="D121" s="1248"/>
      <c r="E121" s="607">
        <v>15</v>
      </c>
      <c r="F121" s="50" cm="1" t="str">
        <f t="array" ref="F121:F121">OFFSET(E121,-1,1)</f>
        <v>1</v>
      </c>
      <c r="G121" s="70" t="s">
        <v>548</v>
      </c>
      <c r="H121" s="1248"/>
      <c r="I121" s="1248"/>
      <c r="J121" s="1248"/>
      <c r="K121" s="1248"/>
      <c r="L121" s="1248"/>
      <c r="M121" s="1248"/>
      <c r="N121" s="1248"/>
      <c r="O121" s="1248"/>
      <c r="P121" s="1248"/>
      <c r="Q121" s="1248"/>
      <c r="R121" s="1248"/>
      <c r="S121" s="1248"/>
      <c r="T121" s="439" cm="1" t="str">
        <f t="array" ref="T121:T121">T120</f>
        <v>true</v>
      </c>
      <c r="U121" s="1248"/>
      <c r="V121" s="1248"/>
      <c r="W121" s="1248"/>
      <c r="X121" s="1534"/>
      <c r="Y121" s="1248"/>
      <c r="Z121" s="1535"/>
      <c r="AA121" s="1248"/>
      <c r="AB121" s="54" t="s">
        <v>586</v>
      </c>
      <c r="AC121" s="181" t="s">
        <v>849</v>
      </c>
      <c r="AD121" s="55" t="s">
        <v>784</v>
      </c>
      <c r="AE121" s="182"/>
      <c r="AF121" s="182"/>
      <c r="AG121" s="182"/>
      <c r="AH121" s="182"/>
      <c r="AI121" s="182"/>
      <c r="AJ121" s="2614"/>
      <c r="AK121" s="2614"/>
      <c r="AL121" s="182"/>
      <c r="AM121" s="182"/>
      <c r="AN121" s="182"/>
      <c r="AO121" s="182"/>
      <c r="AP121" s="182"/>
      <c r="AQ121" s="182"/>
      <c r="AR121" s="182"/>
      <c r="AS121" s="182"/>
      <c r="AT121" s="2614"/>
      <c r="AU121" s="2614"/>
      <c r="AV121" s="182"/>
      <c r="AW121" s="182"/>
      <c r="AX121" s="182"/>
      <c r="AY121" s="182"/>
      <c r="AZ121" s="182"/>
      <c r="BA121" s="182"/>
      <c r="BB121" s="182"/>
      <c r="BC121" s="167"/>
      <c r="BD121" s="1248"/>
      <c r="BE121" s="1248"/>
      <c r="BF121" s="1018" t="s">
        <v>934</v>
      </c>
    </row>
    <row s="1621" customFormat="1" customHeight="1" ht="14.25">
      <c r="A122" s="1248"/>
      <c r="B122" s="1160"/>
      <c r="C122" s="1248"/>
      <c r="D122" s="1248"/>
      <c r="E122" s="607">
        <v>15</v>
      </c>
      <c r="F122" s="50" cm="1" t="str">
        <f t="array" ref="F122:F122">OFFSET(E122,-1,1)</f>
        <v>1</v>
      </c>
      <c r="G122" s="70" t="s">
        <v>552</v>
      </c>
      <c r="H122" s="1248"/>
      <c r="I122" s="1248"/>
      <c r="J122" s="1248"/>
      <c r="K122" s="1248"/>
      <c r="L122" s="1248"/>
      <c r="M122" s="1248"/>
      <c r="N122" s="1248"/>
      <c r="O122" s="1248"/>
      <c r="P122" s="1248"/>
      <c r="Q122" s="1248"/>
      <c r="R122" s="1248"/>
      <c r="S122" s="1248"/>
      <c r="T122" s="439" cm="1" t="str">
        <f t="array" ref="T122:T122">T121</f>
        <v>true</v>
      </c>
      <c r="U122" s="1248"/>
      <c r="V122" s="1248"/>
      <c r="W122" s="1248"/>
      <c r="X122" s="1534"/>
      <c r="Y122" s="1248"/>
      <c r="Z122" s="1535"/>
      <c r="AA122" s="1248"/>
      <c r="AB122" s="54" t="s">
        <v>598</v>
      </c>
      <c r="AC122" s="181" t="s">
        <v>852</v>
      </c>
      <c r="AD122" s="55" t="s">
        <v>784</v>
      </c>
      <c r="AE122" s="182"/>
      <c r="AF122" s="182"/>
      <c r="AG122" s="182"/>
      <c r="AH122" s="182"/>
      <c r="AI122" s="182"/>
      <c r="AJ122" s="2614"/>
      <c r="AK122" s="2614"/>
      <c r="AL122" s="182"/>
      <c r="AM122" s="182"/>
      <c r="AN122" s="182"/>
      <c r="AO122" s="182"/>
      <c r="AP122" s="182"/>
      <c r="AQ122" s="182"/>
      <c r="AR122" s="182"/>
      <c r="AS122" s="182"/>
      <c r="AT122" s="2614"/>
      <c r="AU122" s="2614"/>
      <c r="AV122" s="182"/>
      <c r="AW122" s="182"/>
      <c r="AX122" s="182"/>
      <c r="AY122" s="182"/>
      <c r="AZ122" s="182"/>
      <c r="BA122" s="182"/>
      <c r="BB122" s="182"/>
      <c r="BC122" s="167"/>
      <c r="BD122" s="1248"/>
      <c r="BE122" s="1248"/>
      <c r="BF122" s="1018" t="s">
        <v>935</v>
      </c>
    </row>
    <row s="1621" customFormat="1" customHeight="1" ht="14.25">
      <c r="A123" s="1248"/>
      <c r="B123" s="1160"/>
      <c r="C123" s="1248"/>
      <c r="D123" s="1248"/>
      <c r="E123" s="607">
        <v>15</v>
      </c>
      <c r="F123" s="50" cm="1" t="str">
        <f t="array" ref="F123:F123">OFFSET(E123,-1,1)</f>
        <v>1</v>
      </c>
      <c r="G123" s="70" t="s">
        <v>936</v>
      </c>
      <c r="H123" s="1248"/>
      <c r="I123" s="1248"/>
      <c r="J123" s="1248"/>
      <c r="K123" s="1248"/>
      <c r="L123" s="1248"/>
      <c r="M123" s="1248"/>
      <c r="N123" s="1248"/>
      <c r="O123" s="1248"/>
      <c r="P123" s="1248"/>
      <c r="Q123" s="1248"/>
      <c r="R123" s="1248"/>
      <c r="S123" s="1248"/>
      <c r="T123" s="439" cm="1" t="str">
        <f t="array" ref="T123:T123">T122</f>
        <v>true</v>
      </c>
      <c r="U123" s="1248"/>
      <c r="V123" s="1248"/>
      <c r="W123" s="1248"/>
      <c r="X123" s="1534"/>
      <c r="Y123" s="1248"/>
      <c r="Z123" s="1535"/>
      <c r="AA123" s="1248"/>
      <c r="AB123" s="54" t="s">
        <v>633</v>
      </c>
      <c r="AC123" s="181" t="s">
        <v>855</v>
      </c>
      <c r="AD123" s="55" t="s">
        <v>784</v>
      </c>
      <c r="AE123" s="182"/>
      <c r="AF123" s="182"/>
      <c r="AG123" s="182"/>
      <c r="AH123" s="182"/>
      <c r="AI123" s="182"/>
      <c r="AJ123" s="2614"/>
      <c r="AK123" s="2614"/>
      <c r="AL123" s="182"/>
      <c r="AM123" s="182"/>
      <c r="AN123" s="182"/>
      <c r="AO123" s="182"/>
      <c r="AP123" s="182"/>
      <c r="AQ123" s="182"/>
      <c r="AR123" s="182"/>
      <c r="AS123" s="182"/>
      <c r="AT123" s="2614"/>
      <c r="AU123" s="2614"/>
      <c r="AV123" s="182"/>
      <c r="AW123" s="182"/>
      <c r="AX123" s="182"/>
      <c r="AY123" s="182"/>
      <c r="AZ123" s="182"/>
      <c r="BA123" s="182"/>
      <c r="BB123" s="182"/>
      <c r="BC123" s="167"/>
      <c r="BD123" s="1248"/>
      <c r="BE123" s="1248"/>
      <c r="BF123" s="1018" t="s">
        <v>937</v>
      </c>
    </row>
    <row s="1621" customFormat="1" customHeight="1" ht="14.25">
      <c r="A124" s="1248"/>
      <c r="B124" s="1160"/>
      <c r="C124" s="1248"/>
      <c r="D124" s="1248"/>
      <c r="E124" s="607">
        <v>15</v>
      </c>
      <c r="F124" s="50" cm="1" t="str">
        <f t="array" ref="F124:F124">OFFSET(E124,-1,1)</f>
        <v>1</v>
      </c>
      <c r="G124" s="70" t="s">
        <v>938</v>
      </c>
      <c r="H124" s="1248"/>
      <c r="I124" s="1248"/>
      <c r="J124" s="1248"/>
      <c r="K124" s="1248"/>
      <c r="L124" s="1248"/>
      <c r="M124" s="1248"/>
      <c r="N124" s="1248"/>
      <c r="O124" s="1248"/>
      <c r="P124" s="1248"/>
      <c r="Q124" s="1248"/>
      <c r="R124" s="1248"/>
      <c r="S124" s="1248"/>
      <c r="T124" s="439" cm="1" t="str">
        <f t="array" ref="T124:T124">T123</f>
        <v>true</v>
      </c>
      <c r="U124" s="1248"/>
      <c r="V124" s="1248"/>
      <c r="W124" s="1248"/>
      <c r="X124" s="1534"/>
      <c r="Y124" s="1248"/>
      <c r="Z124" s="1535"/>
      <c r="AA124" s="1248"/>
      <c r="AB124" s="54" t="s">
        <v>636</v>
      </c>
      <c r="AC124" s="181" t="s">
        <v>859</v>
      </c>
      <c r="AD124" s="55" t="s">
        <v>784</v>
      </c>
      <c r="AE124" s="182"/>
      <c r="AF124" s="182"/>
      <c r="AG124" s="182"/>
      <c r="AH124" s="182"/>
      <c r="AI124" s="182"/>
      <c r="AJ124" s="2614"/>
      <c r="AK124" s="2614"/>
      <c r="AL124" s="182"/>
      <c r="AM124" s="182"/>
      <c r="AN124" s="182"/>
      <c r="AO124" s="182"/>
      <c r="AP124" s="182"/>
      <c r="AQ124" s="182"/>
      <c r="AR124" s="182"/>
      <c r="AS124" s="182"/>
      <c r="AT124" s="2614"/>
      <c r="AU124" s="2614"/>
      <c r="AV124" s="182"/>
      <c r="AW124" s="182"/>
      <c r="AX124" s="182"/>
      <c r="AY124" s="182"/>
      <c r="AZ124" s="182"/>
      <c r="BA124" s="182"/>
      <c r="BB124" s="182"/>
      <c r="BC124" s="167"/>
      <c r="BD124" s="1248"/>
      <c r="BE124" s="1248"/>
      <c r="BF124" s="1018" t="s">
        <v>939</v>
      </c>
    </row>
    <row s="1621" customFormat="1" customHeight="1" ht="14.25">
      <c r="A125" s="1248"/>
      <c r="B125" s="1160"/>
      <c r="C125" s="1248"/>
      <c r="D125" s="1248"/>
      <c r="E125" s="607">
        <v>15</v>
      </c>
      <c r="F125" s="700" cm="1" t="str">
        <f t="array" ref="F125:F125">X125</f>
        <v>2</v>
      </c>
      <c r="G125" s="1248"/>
      <c r="H125" s="1248"/>
      <c r="I125" s="1248"/>
      <c r="J125" s="1248"/>
      <c r="K125" s="1248"/>
      <c r="L125" s="1248"/>
      <c r="M125" s="1248"/>
      <c r="N125" s="1248"/>
      <c r="O125" s="1248"/>
      <c r="P125" s="1248"/>
      <c r="Q125" s="1248"/>
      <c r="R125" s="1248"/>
      <c r="S125" s="1248"/>
      <c r="T125" s="439">
        <f>X125&gt;0</f>
        <v>1</v>
      </c>
      <c r="U125" s="1248"/>
      <c r="V125" s="70" cm="1" t="str">
        <f t="array" ref="V125:V125">ЭЭ!$AB$70</f>
        <v>Тариф 2 (Водоотведение) - тариф на водоотведение (Оказание услуг на территории: Прокопьевский муниципальный округ (ОКТМО: 32522000) - п Калачево)</v>
      </c>
      <c r="W125" s="1248"/>
      <c r="X125" s="1534" t="s">
        <v>283</v>
      </c>
      <c r="Y125" s="1248"/>
      <c r="Z125" s="1535"/>
      <c r="AA125" s="1248"/>
      <c r="AB125" s="150" cm="1" t="str">
        <f t="array" ref="AB125:AB125">ЭЭ!$AB$70</f>
        <v>Тариф 2 (Водоотведение) - тариф на водоотведение (Оказание услуг на территории: Прокопьевский муниципальный округ (ОКТМО: 32522000) - п Калачево)</v>
      </c>
      <c r="AC125" s="147"/>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77"/>
      <c r="BD125" s="1248"/>
      <c r="BE125" s="1248"/>
      <c r="BF125" s="1166"/>
    </row>
    <row s="113" customFormat="1" customHeight="1" ht="21.75">
      <c r="A126" s="113"/>
      <c r="B126" s="404"/>
      <c r="C126" s="113"/>
      <c r="D126" s="113"/>
      <c r="E126" s="649">
        <v>22.5</v>
      </c>
      <c r="F126" s="50" cm="1" t="str">
        <f t="array" ref="F126:F126">OFFSET(E126,-1,1)</f>
        <v>2</v>
      </c>
      <c r="G126" s="70" t="s">
        <v>325</v>
      </c>
      <c r="H126" s="113"/>
      <c r="I126" s="113"/>
      <c r="J126" s="113"/>
      <c r="K126" s="113"/>
      <c r="L126" s="113"/>
      <c r="M126" s="113"/>
      <c r="N126" s="113"/>
      <c r="O126" s="113"/>
      <c r="P126" s="113"/>
      <c r="Q126" s="113"/>
      <c r="R126" s="113"/>
      <c r="S126" s="113"/>
      <c r="T126" s="439" cm="1" t="str">
        <f t="array" ref="T126:T126">T125</f>
        <v>true</v>
      </c>
      <c r="U126" s="113"/>
      <c r="V126" s="113"/>
      <c r="W126" s="113"/>
      <c r="X126" s="1534"/>
      <c r="Y126" s="113"/>
      <c r="Z126" s="1535"/>
      <c r="AA126" s="113"/>
      <c r="AB126" s="178">
        <v>1</v>
      </c>
      <c r="AC126" s="179" t="s">
        <v>843</v>
      </c>
      <c r="AD126" s="55" t="s">
        <v>784</v>
      </c>
      <c r="AE126" s="1225">
        <f>SUM(AE127:AE131)</f>
        <v>0</v>
      </c>
      <c r="AF126" s="1225">
        <f>SUM(AF127:AF131)</f>
        <v>0</v>
      </c>
      <c r="AG126" s="1225">
        <f>SUM(AG127:AG131)</f>
        <v>0</v>
      </c>
      <c r="AH126" s="1225">
        <f>SUM(AH127:AH131)</f>
        <v>0</v>
      </c>
      <c r="AI126" s="1225">
        <f>SUM(AI127:AI131)</f>
        <v>0</v>
      </c>
      <c r="AJ126" s="2611">
        <f>SUM(AJ127:AJ131)</f>
        <v>0</v>
      </c>
      <c r="AK126" s="2611">
        <f>SUM(AK127:AK131)</f>
        <v>0</v>
      </c>
      <c r="AL126" s="1225">
        <f>SUM(AL127:AL131)</f>
        <v>0</v>
      </c>
      <c r="AM126" s="1225">
        <f>SUM(AM127:AM131)</f>
        <v>0</v>
      </c>
      <c r="AN126" s="1225">
        <f>SUM(AN127:AN131)</f>
        <v>0</v>
      </c>
      <c r="AO126" s="1225">
        <f>SUM(AO127:AO131)</f>
        <v>0</v>
      </c>
      <c r="AP126" s="1225">
        <f>SUM(AP127:AP131)</f>
        <v>0</v>
      </c>
      <c r="AQ126" s="1225">
        <f>SUM(AQ127:AQ131)</f>
        <v>0</v>
      </c>
      <c r="AR126" s="1225">
        <f>SUM(AR127:AR131)</f>
        <v>0</v>
      </c>
      <c r="AS126" s="1225">
        <f>SUM(AS127:AS131)</f>
        <v>0</v>
      </c>
      <c r="AT126" s="2611">
        <f>SUM(AT127:AT131)</f>
        <v>0</v>
      </c>
      <c r="AU126" s="2611">
        <f>SUM(AU127:AU131)</f>
        <v>0</v>
      </c>
      <c r="AV126" s="1225">
        <f>SUM(AV127:AV131)</f>
        <v>0</v>
      </c>
      <c r="AW126" s="1225">
        <f>SUM(AW127:AW131)</f>
        <v>0</v>
      </c>
      <c r="AX126" s="1225">
        <f>SUM(AX127:AX131)</f>
        <v>0</v>
      </c>
      <c r="AY126" s="1225">
        <f>SUM(AY127:AY131)</f>
        <v>0</v>
      </c>
      <c r="AZ126" s="1225">
        <f>SUM(AZ127:AZ131)</f>
        <v>0</v>
      </c>
      <c r="BA126" s="1225">
        <f>SUM(BA127:BA131)</f>
        <v>0</v>
      </c>
      <c r="BB126" s="1225">
        <f>SUM(BB127:BB131)</f>
        <v>0</v>
      </c>
      <c r="BC126" s="167"/>
      <c r="BD126" s="113"/>
      <c r="BE126" s="113"/>
      <c r="BF126" s="1018" t="s">
        <v>844</v>
      </c>
    </row>
    <row s="1621" customFormat="1" customHeight="1" ht="14.25">
      <c r="A127" s="1248"/>
      <c r="B127" s="1160"/>
      <c r="C127" s="1248"/>
      <c r="D127" s="1248"/>
      <c r="E127" s="607">
        <v>15</v>
      </c>
      <c r="F127" s="50" cm="1" t="str">
        <f t="array" ref="F127:F127">OFFSET(E127,-1,1)</f>
        <v>2</v>
      </c>
      <c r="G127" s="70" t="s">
        <v>441</v>
      </c>
      <c r="H127" s="1248"/>
      <c r="I127" s="1248"/>
      <c r="J127" s="1248"/>
      <c r="K127" s="1248"/>
      <c r="L127" s="1248"/>
      <c r="M127" s="1248"/>
      <c r="N127" s="1248"/>
      <c r="O127" s="1248"/>
      <c r="P127" s="1248"/>
      <c r="Q127" s="1248"/>
      <c r="R127" s="1248"/>
      <c r="S127" s="1248"/>
      <c r="T127" s="439" cm="1" t="str">
        <f t="array" ref="T127:T127">T126</f>
        <v>true</v>
      </c>
      <c r="U127" s="1248"/>
      <c r="V127" s="1248"/>
      <c r="W127" s="1248"/>
      <c r="X127" s="1534"/>
      <c r="Y127" s="1248"/>
      <c r="Z127" s="1535"/>
      <c r="AA127" s="1248"/>
      <c r="AB127" s="54" t="s">
        <v>845</v>
      </c>
      <c r="AC127" s="181" t="s">
        <v>846</v>
      </c>
      <c r="AD127" s="55" t="s">
        <v>784</v>
      </c>
      <c r="AE127" s="182"/>
      <c r="AF127" s="182"/>
      <c r="AG127" s="182"/>
      <c r="AH127" s="182"/>
      <c r="AI127" s="182"/>
      <c r="AJ127" s="2614"/>
      <c r="AK127" s="2614"/>
      <c r="AL127" s="182"/>
      <c r="AM127" s="182"/>
      <c r="AN127" s="182"/>
      <c r="AO127" s="182"/>
      <c r="AP127" s="182"/>
      <c r="AQ127" s="182"/>
      <c r="AR127" s="182"/>
      <c r="AS127" s="182"/>
      <c r="AT127" s="2614"/>
      <c r="AU127" s="2614"/>
      <c r="AV127" s="182"/>
      <c r="AW127" s="182"/>
      <c r="AX127" s="182"/>
      <c r="AY127" s="182"/>
      <c r="AZ127" s="182"/>
      <c r="BA127" s="182"/>
      <c r="BB127" s="182"/>
      <c r="BC127" s="167"/>
      <c r="BD127" s="1248"/>
      <c r="BE127" s="1248"/>
      <c r="BF127" s="1018" t="s">
        <v>847</v>
      </c>
    </row>
    <row s="1621" customFormat="1" customHeight="1" ht="14.25">
      <c r="A128" s="1248"/>
      <c r="B128" s="1160"/>
      <c r="C128" s="1248"/>
      <c r="D128" s="1248"/>
      <c r="E128" s="607">
        <v>15</v>
      </c>
      <c r="F128" s="50" cm="1" t="str">
        <f t="array" ref="F128:F128">OFFSET(E128,-1,1)</f>
        <v>2</v>
      </c>
      <c r="G128" s="70" t="s">
        <v>445</v>
      </c>
      <c r="H128" s="1248"/>
      <c r="I128" s="1248"/>
      <c r="J128" s="1248"/>
      <c r="K128" s="1248"/>
      <c r="L128" s="1248"/>
      <c r="M128" s="1248"/>
      <c r="N128" s="1248"/>
      <c r="O128" s="1248"/>
      <c r="P128" s="1248"/>
      <c r="Q128" s="1248"/>
      <c r="R128" s="1248"/>
      <c r="S128" s="1248"/>
      <c r="T128" s="439" cm="1" t="str">
        <f t="array" ref="T128:T128">T127</f>
        <v>true</v>
      </c>
      <c r="U128" s="1248"/>
      <c r="V128" s="1248"/>
      <c r="W128" s="1248"/>
      <c r="X128" s="1534"/>
      <c r="Y128" s="1248"/>
      <c r="Z128" s="1535"/>
      <c r="AA128" s="1248"/>
      <c r="AB128" s="54" t="s">
        <v>848</v>
      </c>
      <c r="AC128" s="181" t="s">
        <v>849</v>
      </c>
      <c r="AD128" s="55" t="s">
        <v>784</v>
      </c>
      <c r="AE128" s="182"/>
      <c r="AF128" s="182"/>
      <c r="AG128" s="182"/>
      <c r="AH128" s="182"/>
      <c r="AI128" s="182"/>
      <c r="AJ128" s="2614"/>
      <c r="AK128" s="2614"/>
      <c r="AL128" s="182"/>
      <c r="AM128" s="182"/>
      <c r="AN128" s="182"/>
      <c r="AO128" s="182"/>
      <c r="AP128" s="182"/>
      <c r="AQ128" s="182"/>
      <c r="AR128" s="182"/>
      <c r="AS128" s="182"/>
      <c r="AT128" s="2614"/>
      <c r="AU128" s="2614"/>
      <c r="AV128" s="182"/>
      <c r="AW128" s="182"/>
      <c r="AX128" s="182"/>
      <c r="AY128" s="182"/>
      <c r="AZ128" s="182"/>
      <c r="BA128" s="182"/>
      <c r="BB128" s="182"/>
      <c r="BC128" s="167"/>
      <c r="BD128" s="1248"/>
      <c r="BE128" s="1248"/>
      <c r="BF128" s="1018" t="s">
        <v>850</v>
      </c>
    </row>
    <row s="1621" customFormat="1" customHeight="1" ht="14.25">
      <c r="A129" s="1248"/>
      <c r="B129" s="1160"/>
      <c r="C129" s="1248"/>
      <c r="D129" s="1248"/>
      <c r="E129" s="607">
        <v>15</v>
      </c>
      <c r="F129" s="50" cm="1" t="str">
        <f t="array" ref="F129:F129">OFFSET(E129,-1,1)</f>
        <v>2</v>
      </c>
      <c r="G129" s="70" t="s">
        <v>448</v>
      </c>
      <c r="H129" s="1248"/>
      <c r="I129" s="1248"/>
      <c r="J129" s="1248"/>
      <c r="K129" s="1248"/>
      <c r="L129" s="1248"/>
      <c r="M129" s="1248"/>
      <c r="N129" s="1248"/>
      <c r="O129" s="1248"/>
      <c r="P129" s="1248"/>
      <c r="Q129" s="1248"/>
      <c r="R129" s="1248"/>
      <c r="S129" s="1248"/>
      <c r="T129" s="439" cm="1" t="str">
        <f t="array" ref="T129:T129">T128</f>
        <v>true</v>
      </c>
      <c r="U129" s="1248"/>
      <c r="V129" s="1248"/>
      <c r="W129" s="1248"/>
      <c r="X129" s="1534"/>
      <c r="Y129" s="1248"/>
      <c r="Z129" s="1535"/>
      <c r="AA129" s="1248"/>
      <c r="AB129" s="54" t="s">
        <v>851</v>
      </c>
      <c r="AC129" s="181" t="s">
        <v>852</v>
      </c>
      <c r="AD129" s="55" t="s">
        <v>784</v>
      </c>
      <c r="AE129" s="182"/>
      <c r="AF129" s="182"/>
      <c r="AG129" s="182"/>
      <c r="AH129" s="182"/>
      <c r="AI129" s="182"/>
      <c r="AJ129" s="2614"/>
      <c r="AK129" s="2614"/>
      <c r="AL129" s="182"/>
      <c r="AM129" s="182"/>
      <c r="AN129" s="182"/>
      <c r="AO129" s="182"/>
      <c r="AP129" s="182"/>
      <c r="AQ129" s="182"/>
      <c r="AR129" s="182"/>
      <c r="AS129" s="182"/>
      <c r="AT129" s="2614"/>
      <c r="AU129" s="2614"/>
      <c r="AV129" s="182"/>
      <c r="AW129" s="182"/>
      <c r="AX129" s="182"/>
      <c r="AY129" s="182"/>
      <c r="AZ129" s="182"/>
      <c r="BA129" s="182"/>
      <c r="BB129" s="182"/>
      <c r="BC129" s="167"/>
      <c r="BD129" s="1248"/>
      <c r="BE129" s="1248"/>
      <c r="BF129" s="1018" t="s">
        <v>853</v>
      </c>
    </row>
    <row s="1621" customFormat="1" customHeight="1" ht="14.25">
      <c r="A130" s="1248"/>
      <c r="B130" s="1160"/>
      <c r="C130" s="1248"/>
      <c r="D130" s="1248"/>
      <c r="E130" s="607">
        <v>15</v>
      </c>
      <c r="F130" s="50" cm="1" t="str">
        <f t="array" ref="F130:F130">OFFSET(E130,-1,1)</f>
        <v>2</v>
      </c>
      <c r="G130" s="70" t="s">
        <v>452</v>
      </c>
      <c r="H130" s="1248"/>
      <c r="I130" s="1248"/>
      <c r="J130" s="1248"/>
      <c r="K130" s="1248"/>
      <c r="L130" s="1248"/>
      <c r="M130" s="1248"/>
      <c r="N130" s="1248"/>
      <c r="O130" s="1248"/>
      <c r="P130" s="1248"/>
      <c r="Q130" s="1248"/>
      <c r="R130" s="1248"/>
      <c r="S130" s="1248"/>
      <c r="T130" s="439" cm="1" t="str">
        <f t="array" ref="T130:T130">T129</f>
        <v>true</v>
      </c>
      <c r="U130" s="1248"/>
      <c r="V130" s="1248"/>
      <c r="W130" s="1248"/>
      <c r="X130" s="1534"/>
      <c r="Y130" s="1248"/>
      <c r="Z130" s="1535"/>
      <c r="AA130" s="1248"/>
      <c r="AB130" s="54" t="s">
        <v>854</v>
      </c>
      <c r="AC130" s="181" t="s">
        <v>855</v>
      </c>
      <c r="AD130" s="55" t="s">
        <v>784</v>
      </c>
      <c r="AE130" s="182"/>
      <c r="AF130" s="182"/>
      <c r="AG130" s="182"/>
      <c r="AH130" s="182"/>
      <c r="AI130" s="182"/>
      <c r="AJ130" s="2614"/>
      <c r="AK130" s="2614"/>
      <c r="AL130" s="182"/>
      <c r="AM130" s="182"/>
      <c r="AN130" s="182"/>
      <c r="AO130" s="182"/>
      <c r="AP130" s="182"/>
      <c r="AQ130" s="182"/>
      <c r="AR130" s="182"/>
      <c r="AS130" s="182"/>
      <c r="AT130" s="2614"/>
      <c r="AU130" s="2614"/>
      <c r="AV130" s="182"/>
      <c r="AW130" s="182"/>
      <c r="AX130" s="182"/>
      <c r="AY130" s="182"/>
      <c r="AZ130" s="182"/>
      <c r="BA130" s="182"/>
      <c r="BB130" s="182"/>
      <c r="BC130" s="167"/>
      <c r="BD130" s="1248"/>
      <c r="BE130" s="1248"/>
      <c r="BF130" s="1018" t="s">
        <v>856</v>
      </c>
    </row>
    <row s="1621" customFormat="1" customHeight="1" ht="14.25">
      <c r="A131" s="1248"/>
      <c r="B131" s="1160"/>
      <c r="C131" s="1248"/>
      <c r="D131" s="1248"/>
      <c r="E131" s="607">
        <v>15</v>
      </c>
      <c r="F131" s="50" cm="1" t="str">
        <f t="array" ref="F131:F131">OFFSET(E131,-1,1)</f>
        <v>2</v>
      </c>
      <c r="G131" s="70" t="s">
        <v>857</v>
      </c>
      <c r="H131" s="1248"/>
      <c r="I131" s="1248"/>
      <c r="J131" s="1248"/>
      <c r="K131" s="1248"/>
      <c r="L131" s="1248"/>
      <c r="M131" s="1248"/>
      <c r="N131" s="1248"/>
      <c r="O131" s="1248"/>
      <c r="P131" s="1248"/>
      <c r="Q131" s="1248"/>
      <c r="R131" s="1248"/>
      <c r="S131" s="1248"/>
      <c r="T131" s="439" cm="1" t="str">
        <f t="array" ref="T131:T131">T130</f>
        <v>true</v>
      </c>
      <c r="U131" s="1248"/>
      <c r="V131" s="1248"/>
      <c r="W131" s="1248"/>
      <c r="X131" s="1534"/>
      <c r="Y131" s="1248"/>
      <c r="Z131" s="1535"/>
      <c r="AA131" s="1248"/>
      <c r="AB131" s="54" t="s">
        <v>858</v>
      </c>
      <c r="AC131" s="181" t="s">
        <v>859</v>
      </c>
      <c r="AD131" s="55" t="s">
        <v>784</v>
      </c>
      <c r="AE131" s="182"/>
      <c r="AF131" s="182"/>
      <c r="AG131" s="182"/>
      <c r="AH131" s="182"/>
      <c r="AI131" s="182"/>
      <c r="AJ131" s="2614"/>
      <c r="AK131" s="2614"/>
      <c r="AL131" s="182"/>
      <c r="AM131" s="182"/>
      <c r="AN131" s="182"/>
      <c r="AO131" s="182"/>
      <c r="AP131" s="182"/>
      <c r="AQ131" s="182"/>
      <c r="AR131" s="182"/>
      <c r="AS131" s="182"/>
      <c r="AT131" s="2614"/>
      <c r="AU131" s="2614"/>
      <c r="AV131" s="182"/>
      <c r="AW131" s="182"/>
      <c r="AX131" s="182"/>
      <c r="AY131" s="182"/>
      <c r="AZ131" s="182"/>
      <c r="BA131" s="182"/>
      <c r="BB131" s="182"/>
      <c r="BC131" s="167"/>
      <c r="BD131" s="1248"/>
      <c r="BE131" s="1248"/>
      <c r="BF131" s="1018" t="s">
        <v>860</v>
      </c>
    </row>
    <row s="113" customFormat="1" customHeight="1" ht="14.25">
      <c r="A132" s="113"/>
      <c r="B132" s="404"/>
      <c r="C132" s="113"/>
      <c r="D132" s="113"/>
      <c r="E132" s="607">
        <v>15</v>
      </c>
      <c r="F132" s="50" cm="1" t="str">
        <f t="array" ref="F132:F132">OFFSET(E132,-1,1)</f>
        <v>2</v>
      </c>
      <c r="G132" s="70" t="s">
        <v>326</v>
      </c>
      <c r="H132" s="113"/>
      <c r="I132" s="113"/>
      <c r="J132" s="113"/>
      <c r="K132" s="113"/>
      <c r="L132" s="113"/>
      <c r="M132" s="113"/>
      <c r="N132" s="113"/>
      <c r="O132" s="113"/>
      <c r="P132" s="113"/>
      <c r="Q132" s="113"/>
      <c r="R132" s="113"/>
      <c r="S132" s="113"/>
      <c r="T132" s="439" cm="1" t="str">
        <f t="array" ref="T132:T132">T131</f>
        <v>true</v>
      </c>
      <c r="U132" s="113"/>
      <c r="V132" s="113"/>
      <c r="W132" s="113"/>
      <c r="X132" s="1534"/>
      <c r="Y132" s="113"/>
      <c r="Z132" s="1535"/>
      <c r="AA132" s="113"/>
      <c r="AB132" s="178">
        <v>2</v>
      </c>
      <c r="AC132" s="179" t="s">
        <v>861</v>
      </c>
      <c r="AD132" s="55" t="s">
        <v>784</v>
      </c>
      <c r="AE132" s="1225">
        <f>SUM(AE133:AE137)</f>
        <v>0</v>
      </c>
      <c r="AF132" s="1225">
        <f>SUM(AF133:AF137)</f>
        <v>0</v>
      </c>
      <c r="AG132" s="1225">
        <f>SUM(AG133:AG137)</f>
        <v>0</v>
      </c>
      <c r="AH132" s="1225">
        <f>SUM(AH133:AH137)</f>
        <v>0</v>
      </c>
      <c r="AI132" s="1225">
        <f>SUM(AI133:AI137)</f>
        <v>0</v>
      </c>
      <c r="AJ132" s="2611">
        <f>SUM(AJ133:AJ137)</f>
        <v>0</v>
      </c>
      <c r="AK132" s="2611">
        <f>SUM(AK133:AK137)</f>
        <v>0</v>
      </c>
      <c r="AL132" s="1225">
        <f>SUM(AL133:AL137)</f>
        <v>0</v>
      </c>
      <c r="AM132" s="1225">
        <f>SUM(AM133:AM137)</f>
        <v>0</v>
      </c>
      <c r="AN132" s="1225">
        <f>SUM(AN133:AN137)</f>
        <v>0</v>
      </c>
      <c r="AO132" s="1225">
        <f>SUM(AO133:AO137)</f>
        <v>0</v>
      </c>
      <c r="AP132" s="1225">
        <f>SUM(AP133:AP137)</f>
        <v>0</v>
      </c>
      <c r="AQ132" s="1225">
        <f>SUM(AQ133:AQ137)</f>
        <v>0</v>
      </c>
      <c r="AR132" s="1225">
        <f>SUM(AR133:AR137)</f>
        <v>0</v>
      </c>
      <c r="AS132" s="1225">
        <f>SUM(AS133:AS137)</f>
        <v>0</v>
      </c>
      <c r="AT132" s="2611">
        <f>SUM(AT133:AT137)</f>
        <v>0</v>
      </c>
      <c r="AU132" s="2611">
        <f>SUM(AU133:AU137)</f>
        <v>0</v>
      </c>
      <c r="AV132" s="1225">
        <f>SUM(AV133:AV137)</f>
        <v>0</v>
      </c>
      <c r="AW132" s="1225">
        <f>SUM(AW133:AW137)</f>
        <v>0</v>
      </c>
      <c r="AX132" s="1225">
        <f>SUM(AX133:AX137)</f>
        <v>0</v>
      </c>
      <c r="AY132" s="1225">
        <f>SUM(AY133:AY137)</f>
        <v>0</v>
      </c>
      <c r="AZ132" s="1225">
        <f>SUM(AZ133:AZ137)</f>
        <v>0</v>
      </c>
      <c r="BA132" s="1225">
        <f>SUM(BA133:BA137)</f>
        <v>0</v>
      </c>
      <c r="BB132" s="1225">
        <f>SUM(BB133:BB137)</f>
        <v>0</v>
      </c>
      <c r="BC132" s="167"/>
      <c r="BD132" s="113"/>
      <c r="BE132" s="113"/>
      <c r="BF132" s="1018" t="s">
        <v>862</v>
      </c>
    </row>
    <row s="1621" customFormat="1" customHeight="1" ht="14.25">
      <c r="A133" s="1248"/>
      <c r="B133" s="1160"/>
      <c r="C133" s="1248"/>
      <c r="D133" s="1248"/>
      <c r="E133" s="607">
        <v>15</v>
      </c>
      <c r="F133" s="50" cm="1" t="str">
        <f t="array" ref="F133:F133">OFFSET(E133,-1,1)</f>
        <v>2</v>
      </c>
      <c r="G133" s="70" t="s">
        <v>459</v>
      </c>
      <c r="H133" s="1248"/>
      <c r="I133" s="1248"/>
      <c r="J133" s="1248"/>
      <c r="K133" s="1248"/>
      <c r="L133" s="1248"/>
      <c r="M133" s="1248"/>
      <c r="N133" s="1248"/>
      <c r="O133" s="1248"/>
      <c r="P133" s="1248"/>
      <c r="Q133" s="1248"/>
      <c r="R133" s="1248"/>
      <c r="S133" s="1248"/>
      <c r="T133" s="439" cm="1" t="str">
        <f t="array" ref="T133:T133">T132</f>
        <v>true</v>
      </c>
      <c r="U133" s="1248"/>
      <c r="V133" s="1248"/>
      <c r="W133" s="1248"/>
      <c r="X133" s="1534"/>
      <c r="Y133" s="1248"/>
      <c r="Z133" s="1535"/>
      <c r="AA133" s="1248"/>
      <c r="AB133" s="54" t="s">
        <v>515</v>
      </c>
      <c r="AC133" s="181" t="s">
        <v>846</v>
      </c>
      <c r="AD133" s="55" t="s">
        <v>784</v>
      </c>
      <c r="AE133" s="182"/>
      <c r="AF133" s="182"/>
      <c r="AG133" s="182"/>
      <c r="AH133" s="182"/>
      <c r="AI133" s="182"/>
      <c r="AJ133" s="2614"/>
      <c r="AK133" s="2614"/>
      <c r="AL133" s="182"/>
      <c r="AM133" s="182"/>
      <c r="AN133" s="182"/>
      <c r="AO133" s="182"/>
      <c r="AP133" s="182"/>
      <c r="AQ133" s="182"/>
      <c r="AR133" s="182"/>
      <c r="AS133" s="182"/>
      <c r="AT133" s="2614"/>
      <c r="AU133" s="2614"/>
      <c r="AV133" s="182"/>
      <c r="AW133" s="182"/>
      <c r="AX133" s="182"/>
      <c r="AY133" s="182"/>
      <c r="AZ133" s="182"/>
      <c r="BA133" s="182"/>
      <c r="BB133" s="182"/>
      <c r="BC133" s="167"/>
      <c r="BD133" s="1248"/>
      <c r="BE133" s="1248"/>
      <c r="BF133" s="1018" t="s">
        <v>863</v>
      </c>
    </row>
    <row s="1621" customFormat="1" customHeight="1" ht="14.25">
      <c r="A134" s="1248"/>
      <c r="B134" s="1160"/>
      <c r="C134" s="1248"/>
      <c r="D134" s="1248"/>
      <c r="E134" s="607">
        <v>15</v>
      </c>
      <c r="F134" s="50" cm="1" t="str">
        <f t="array" ref="F134:F134">OFFSET(E134,-1,1)</f>
        <v>2</v>
      </c>
      <c r="G134" s="70" t="s">
        <v>462</v>
      </c>
      <c r="H134" s="1248"/>
      <c r="I134" s="1248"/>
      <c r="J134" s="1248"/>
      <c r="K134" s="1248"/>
      <c r="L134" s="1248"/>
      <c r="M134" s="1248"/>
      <c r="N134" s="1248"/>
      <c r="O134" s="1248"/>
      <c r="P134" s="1248"/>
      <c r="Q134" s="1248"/>
      <c r="R134" s="1248"/>
      <c r="S134" s="1248"/>
      <c r="T134" s="439" cm="1" t="str">
        <f t="array" ref="T134:T134">T133</f>
        <v>true</v>
      </c>
      <c r="U134" s="1248"/>
      <c r="V134" s="1248"/>
      <c r="W134" s="1248"/>
      <c r="X134" s="1534"/>
      <c r="Y134" s="1248"/>
      <c r="Z134" s="1535"/>
      <c r="AA134" s="1248"/>
      <c r="AB134" s="54" t="s">
        <v>519</v>
      </c>
      <c r="AC134" s="181" t="s">
        <v>849</v>
      </c>
      <c r="AD134" s="55" t="s">
        <v>784</v>
      </c>
      <c r="AE134" s="182"/>
      <c r="AF134" s="182"/>
      <c r="AG134" s="182"/>
      <c r="AH134" s="182"/>
      <c r="AI134" s="182"/>
      <c r="AJ134" s="2614"/>
      <c r="AK134" s="2614"/>
      <c r="AL134" s="182"/>
      <c r="AM134" s="182"/>
      <c r="AN134" s="182"/>
      <c r="AO134" s="182"/>
      <c r="AP134" s="182"/>
      <c r="AQ134" s="182"/>
      <c r="AR134" s="182"/>
      <c r="AS134" s="182"/>
      <c r="AT134" s="2614"/>
      <c r="AU134" s="2614"/>
      <c r="AV134" s="182"/>
      <c r="AW134" s="182"/>
      <c r="AX134" s="182"/>
      <c r="AY134" s="182"/>
      <c r="AZ134" s="182"/>
      <c r="BA134" s="182"/>
      <c r="BB134" s="182"/>
      <c r="BC134" s="167"/>
      <c r="BD134" s="1248"/>
      <c r="BE134" s="1248"/>
      <c r="BF134" s="1018" t="s">
        <v>864</v>
      </c>
    </row>
    <row s="1621" customFormat="1" customHeight="1" ht="14.25">
      <c r="A135" s="1248"/>
      <c r="B135" s="1160"/>
      <c r="C135" s="1248"/>
      <c r="D135" s="1248"/>
      <c r="E135" s="607">
        <v>15</v>
      </c>
      <c r="F135" s="50" cm="1" t="str">
        <f t="array" ref="F135:F135">OFFSET(E135,-1,1)</f>
        <v>2</v>
      </c>
      <c r="G135" s="70" t="s">
        <v>865</v>
      </c>
      <c r="H135" s="1248"/>
      <c r="I135" s="1248"/>
      <c r="J135" s="1248"/>
      <c r="K135" s="1248"/>
      <c r="L135" s="1248"/>
      <c r="M135" s="1248"/>
      <c r="N135" s="1248"/>
      <c r="O135" s="1248"/>
      <c r="P135" s="1248"/>
      <c r="Q135" s="1248"/>
      <c r="R135" s="1248"/>
      <c r="S135" s="1248"/>
      <c r="T135" s="439" cm="1" t="str">
        <f t="array" ref="T135:T135">T134</f>
        <v>true</v>
      </c>
      <c r="U135" s="1248"/>
      <c r="V135" s="1248"/>
      <c r="W135" s="1248"/>
      <c r="X135" s="1534"/>
      <c r="Y135" s="1248"/>
      <c r="Z135" s="1535"/>
      <c r="AA135" s="1248"/>
      <c r="AB135" s="54" t="s">
        <v>523</v>
      </c>
      <c r="AC135" s="181" t="s">
        <v>852</v>
      </c>
      <c r="AD135" s="55" t="s">
        <v>784</v>
      </c>
      <c r="AE135" s="182"/>
      <c r="AF135" s="182"/>
      <c r="AG135" s="182"/>
      <c r="AH135" s="182"/>
      <c r="AI135" s="182"/>
      <c r="AJ135" s="2614"/>
      <c r="AK135" s="2614"/>
      <c r="AL135" s="182"/>
      <c r="AM135" s="182"/>
      <c r="AN135" s="182"/>
      <c r="AO135" s="182"/>
      <c r="AP135" s="182"/>
      <c r="AQ135" s="182"/>
      <c r="AR135" s="182"/>
      <c r="AS135" s="182"/>
      <c r="AT135" s="2614"/>
      <c r="AU135" s="2614"/>
      <c r="AV135" s="182"/>
      <c r="AW135" s="182"/>
      <c r="AX135" s="182"/>
      <c r="AY135" s="182"/>
      <c r="AZ135" s="182"/>
      <c r="BA135" s="182"/>
      <c r="BB135" s="182"/>
      <c r="BC135" s="167"/>
      <c r="BD135" s="1248"/>
      <c r="BE135" s="1248"/>
      <c r="BF135" s="1018" t="s">
        <v>866</v>
      </c>
    </row>
    <row s="1621" customFormat="1" customHeight="1" ht="14.25">
      <c r="A136" s="1248"/>
      <c r="B136" s="1160"/>
      <c r="C136" s="1248"/>
      <c r="D136" s="1248"/>
      <c r="E136" s="607">
        <v>15</v>
      </c>
      <c r="F136" s="50" cm="1" t="str">
        <f t="array" ref="F136:F136">OFFSET(E136,-1,1)</f>
        <v>2</v>
      </c>
      <c r="G136" s="70" t="s">
        <v>867</v>
      </c>
      <c r="H136" s="1248"/>
      <c r="I136" s="1248"/>
      <c r="J136" s="1248"/>
      <c r="K136" s="1248"/>
      <c r="L136" s="1248"/>
      <c r="M136" s="1248"/>
      <c r="N136" s="1248"/>
      <c r="O136" s="1248"/>
      <c r="P136" s="1248"/>
      <c r="Q136" s="1248"/>
      <c r="R136" s="1248"/>
      <c r="S136" s="1248"/>
      <c r="T136" s="439" cm="1" t="str">
        <f t="array" ref="T136:T136">T135</f>
        <v>true</v>
      </c>
      <c r="U136" s="1248"/>
      <c r="V136" s="1248"/>
      <c r="W136" s="1248"/>
      <c r="X136" s="1534"/>
      <c r="Y136" s="1248"/>
      <c r="Z136" s="1535"/>
      <c r="AA136" s="1248"/>
      <c r="AB136" s="54" t="s">
        <v>868</v>
      </c>
      <c r="AC136" s="181" t="s">
        <v>855</v>
      </c>
      <c r="AD136" s="55" t="s">
        <v>784</v>
      </c>
      <c r="AE136" s="182"/>
      <c r="AF136" s="182"/>
      <c r="AG136" s="182"/>
      <c r="AH136" s="182"/>
      <c r="AI136" s="182"/>
      <c r="AJ136" s="2614"/>
      <c r="AK136" s="2614"/>
      <c r="AL136" s="182"/>
      <c r="AM136" s="182"/>
      <c r="AN136" s="182"/>
      <c r="AO136" s="182"/>
      <c r="AP136" s="182"/>
      <c r="AQ136" s="182"/>
      <c r="AR136" s="182"/>
      <c r="AS136" s="182"/>
      <c r="AT136" s="2614"/>
      <c r="AU136" s="2614"/>
      <c r="AV136" s="182"/>
      <c r="AW136" s="182"/>
      <c r="AX136" s="182"/>
      <c r="AY136" s="182"/>
      <c r="AZ136" s="182"/>
      <c r="BA136" s="182"/>
      <c r="BB136" s="182"/>
      <c r="BC136" s="167"/>
      <c r="BD136" s="1248"/>
      <c r="BE136" s="1248"/>
      <c r="BF136" s="1018" t="s">
        <v>869</v>
      </c>
    </row>
    <row s="1621" customFormat="1" customHeight="1" ht="14.25">
      <c r="A137" s="1248"/>
      <c r="B137" s="1160"/>
      <c r="C137" s="1248"/>
      <c r="D137" s="1248"/>
      <c r="E137" s="607">
        <v>15</v>
      </c>
      <c r="F137" s="50" cm="1" t="str">
        <f t="array" ref="F137:F137">OFFSET(E137,-1,1)</f>
        <v>2</v>
      </c>
      <c r="G137" s="70" t="s">
        <v>870</v>
      </c>
      <c r="H137" s="1248"/>
      <c r="I137" s="1248"/>
      <c r="J137" s="1248"/>
      <c r="K137" s="1248"/>
      <c r="L137" s="1248"/>
      <c r="M137" s="1248"/>
      <c r="N137" s="1248"/>
      <c r="O137" s="1248"/>
      <c r="P137" s="1248"/>
      <c r="Q137" s="1248"/>
      <c r="R137" s="1248"/>
      <c r="S137" s="1248"/>
      <c r="T137" s="439" cm="1" t="str">
        <f t="array" ref="T137:T137">T136</f>
        <v>true</v>
      </c>
      <c r="U137" s="1248"/>
      <c r="V137" s="1248"/>
      <c r="W137" s="1248"/>
      <c r="X137" s="1534"/>
      <c r="Y137" s="1248"/>
      <c r="Z137" s="1535"/>
      <c r="AA137" s="1248"/>
      <c r="AB137" s="54" t="s">
        <v>871</v>
      </c>
      <c r="AC137" s="181" t="s">
        <v>859</v>
      </c>
      <c r="AD137" s="55" t="s">
        <v>784</v>
      </c>
      <c r="AE137" s="182"/>
      <c r="AF137" s="182"/>
      <c r="AG137" s="182"/>
      <c r="AH137" s="182"/>
      <c r="AI137" s="182"/>
      <c r="AJ137" s="2614"/>
      <c r="AK137" s="2614"/>
      <c r="AL137" s="182"/>
      <c r="AM137" s="182"/>
      <c r="AN137" s="182"/>
      <c r="AO137" s="182"/>
      <c r="AP137" s="182"/>
      <c r="AQ137" s="182"/>
      <c r="AR137" s="182"/>
      <c r="AS137" s="182"/>
      <c r="AT137" s="2614"/>
      <c r="AU137" s="2614"/>
      <c r="AV137" s="182"/>
      <c r="AW137" s="182"/>
      <c r="AX137" s="182"/>
      <c r="AY137" s="182"/>
      <c r="AZ137" s="182"/>
      <c r="BA137" s="182"/>
      <c r="BB137" s="182"/>
      <c r="BC137" s="167"/>
      <c r="BD137" s="1248"/>
      <c r="BE137" s="1248"/>
      <c r="BF137" s="1018" t="s">
        <v>872</v>
      </c>
    </row>
    <row s="113" customFormat="1" customHeight="1" ht="14.25">
      <c r="A138" s="113"/>
      <c r="B138" s="404"/>
      <c r="C138" s="113"/>
      <c r="D138" s="113"/>
      <c r="E138" s="607">
        <v>15</v>
      </c>
      <c r="F138" s="50" cm="1" t="str">
        <f t="array" ref="F138:F138">OFFSET(E138,-1,1)</f>
        <v>2</v>
      </c>
      <c r="G138" s="70" t="s">
        <v>327</v>
      </c>
      <c r="H138" s="113"/>
      <c r="I138" s="113"/>
      <c r="J138" s="113"/>
      <c r="K138" s="113"/>
      <c r="L138" s="113"/>
      <c r="M138" s="113"/>
      <c r="N138" s="113"/>
      <c r="O138" s="113"/>
      <c r="P138" s="113"/>
      <c r="Q138" s="113"/>
      <c r="R138" s="113"/>
      <c r="S138" s="113"/>
      <c r="T138" s="439" cm="1" t="str">
        <f t="array" ref="T138:T138">T137</f>
        <v>true</v>
      </c>
      <c r="U138" s="113"/>
      <c r="V138" s="113"/>
      <c r="W138" s="113"/>
      <c r="X138" s="1534"/>
      <c r="Y138" s="113"/>
      <c r="Z138" s="1535"/>
      <c r="AA138" s="113"/>
      <c r="AB138" s="178">
        <v>3</v>
      </c>
      <c r="AC138" s="179" t="s">
        <v>873</v>
      </c>
      <c r="AD138" s="55" t="s">
        <v>784</v>
      </c>
      <c r="AE138" s="1225">
        <f>SUM(AE139:AE143)</f>
        <v>0</v>
      </c>
      <c r="AF138" s="1225">
        <f>SUM(AF139:AF143)</f>
        <v>0</v>
      </c>
      <c r="AG138" s="1225">
        <f>SUM(AG139:AG143)</f>
        <v>0</v>
      </c>
      <c r="AH138" s="1225">
        <f>SUM(AH139:AH143)</f>
        <v>0</v>
      </c>
      <c r="AI138" s="1225">
        <f>SUM(AI139:AI143)</f>
        <v>0</v>
      </c>
      <c r="AJ138" s="2611">
        <f>SUM(AJ139:AJ143)</f>
        <v>0</v>
      </c>
      <c r="AK138" s="2611">
        <f>SUM(AK139:AK143)</f>
        <v>0</v>
      </c>
      <c r="AL138" s="1225">
        <f>SUM(AL139:AL143)</f>
        <v>0</v>
      </c>
      <c r="AM138" s="1225">
        <f>SUM(AM139:AM143)</f>
        <v>0</v>
      </c>
      <c r="AN138" s="1225">
        <f>SUM(AN139:AN143)</f>
        <v>0</v>
      </c>
      <c r="AO138" s="1225">
        <f>SUM(AO139:AO143)</f>
        <v>0</v>
      </c>
      <c r="AP138" s="1225">
        <f>SUM(AP139:AP143)</f>
        <v>0</v>
      </c>
      <c r="AQ138" s="1225">
        <f>SUM(AQ139:AQ143)</f>
        <v>0</v>
      </c>
      <c r="AR138" s="1225">
        <f>SUM(AR139:AR143)</f>
        <v>0</v>
      </c>
      <c r="AS138" s="1225">
        <f>SUM(AS139:AS143)</f>
        <v>0</v>
      </c>
      <c r="AT138" s="2611">
        <f>SUM(AT139:AT143)</f>
        <v>0</v>
      </c>
      <c r="AU138" s="2611">
        <f>SUM(AU139:AU143)</f>
        <v>0</v>
      </c>
      <c r="AV138" s="1225">
        <f>SUM(AV139:AV143)</f>
        <v>0</v>
      </c>
      <c r="AW138" s="1225">
        <f>SUM(AW139:AW143)</f>
        <v>0</v>
      </c>
      <c r="AX138" s="1225">
        <f>SUM(AX139:AX143)</f>
        <v>0</v>
      </c>
      <c r="AY138" s="1225">
        <f>SUM(AY139:AY143)</f>
        <v>0</v>
      </c>
      <c r="AZ138" s="1225">
        <f>SUM(AZ139:AZ143)</f>
        <v>0</v>
      </c>
      <c r="BA138" s="1225">
        <f>SUM(BA139:BA143)</f>
        <v>0</v>
      </c>
      <c r="BB138" s="1225">
        <f>SUM(BB139:BB143)</f>
        <v>0</v>
      </c>
      <c r="BC138" s="167"/>
      <c r="BD138" s="113"/>
      <c r="BE138" s="113"/>
      <c r="BF138" s="1018" t="s">
        <v>874</v>
      </c>
    </row>
    <row s="1621" customFormat="1" customHeight="1" ht="14.25">
      <c r="A139" s="1248"/>
      <c r="B139" s="1160"/>
      <c r="C139" s="1248"/>
      <c r="D139" s="1248"/>
      <c r="E139" s="607">
        <v>15</v>
      </c>
      <c r="F139" s="50" cm="1" t="str">
        <f t="array" ref="F139:F139">OFFSET(E139,-1,1)</f>
        <v>2</v>
      </c>
      <c r="G139" s="70" t="s">
        <v>875</v>
      </c>
      <c r="H139" s="1248"/>
      <c r="I139" s="1248"/>
      <c r="J139" s="1248"/>
      <c r="K139" s="1248"/>
      <c r="L139" s="1248"/>
      <c r="M139" s="1248"/>
      <c r="N139" s="1248"/>
      <c r="O139" s="1248"/>
      <c r="P139" s="1248"/>
      <c r="Q139" s="1248"/>
      <c r="R139" s="1248"/>
      <c r="S139" s="1248"/>
      <c r="T139" s="439" cm="1" t="str">
        <f t="array" ref="T139:T139">T138</f>
        <v>true</v>
      </c>
      <c r="U139" s="1248"/>
      <c r="V139" s="1248"/>
      <c r="W139" s="1248"/>
      <c r="X139" s="1534"/>
      <c r="Y139" s="1248"/>
      <c r="Z139" s="1535"/>
      <c r="AA139" s="1248"/>
      <c r="AB139" s="54" t="s">
        <v>529</v>
      </c>
      <c r="AC139" s="181" t="s">
        <v>846</v>
      </c>
      <c r="AD139" s="55" t="s">
        <v>784</v>
      </c>
      <c r="AE139" s="182"/>
      <c r="AF139" s="182"/>
      <c r="AG139" s="182"/>
      <c r="AH139" s="182"/>
      <c r="AI139" s="182"/>
      <c r="AJ139" s="2614"/>
      <c r="AK139" s="2614"/>
      <c r="AL139" s="182"/>
      <c r="AM139" s="182"/>
      <c r="AN139" s="182"/>
      <c r="AO139" s="182"/>
      <c r="AP139" s="182"/>
      <c r="AQ139" s="182"/>
      <c r="AR139" s="182"/>
      <c r="AS139" s="182"/>
      <c r="AT139" s="2614"/>
      <c r="AU139" s="2614"/>
      <c r="AV139" s="182"/>
      <c r="AW139" s="182"/>
      <c r="AX139" s="182"/>
      <c r="AY139" s="182"/>
      <c r="AZ139" s="182"/>
      <c r="BA139" s="182"/>
      <c r="BB139" s="182"/>
      <c r="BC139" s="167"/>
      <c r="BD139" s="1248"/>
      <c r="BE139" s="1248"/>
      <c r="BF139" s="1018" t="s">
        <v>876</v>
      </c>
    </row>
    <row s="1621" customFormat="1" customHeight="1" ht="14.25">
      <c r="A140" s="1248"/>
      <c r="B140" s="1160"/>
      <c r="C140" s="1248"/>
      <c r="D140" s="1248"/>
      <c r="E140" s="607">
        <v>15</v>
      </c>
      <c r="F140" s="50" cm="1" t="str">
        <f t="array" ref="F140:F140">OFFSET(E140,-1,1)</f>
        <v>2</v>
      </c>
      <c r="G140" s="70" t="s">
        <v>877</v>
      </c>
      <c r="H140" s="1248"/>
      <c r="I140" s="1248"/>
      <c r="J140" s="1248"/>
      <c r="K140" s="1248"/>
      <c r="L140" s="1248"/>
      <c r="M140" s="1248"/>
      <c r="N140" s="1248"/>
      <c r="O140" s="1248"/>
      <c r="P140" s="1248"/>
      <c r="Q140" s="1248"/>
      <c r="R140" s="1248"/>
      <c r="S140" s="1248"/>
      <c r="T140" s="439" cm="1" t="str">
        <f t="array" ref="T140:T140">T139</f>
        <v>true</v>
      </c>
      <c r="U140" s="1248"/>
      <c r="V140" s="1248"/>
      <c r="W140" s="1248"/>
      <c r="X140" s="1534"/>
      <c r="Y140" s="1248"/>
      <c r="Z140" s="1535"/>
      <c r="AA140" s="1248"/>
      <c r="AB140" s="54" t="s">
        <v>533</v>
      </c>
      <c r="AC140" s="181" t="s">
        <v>849</v>
      </c>
      <c r="AD140" s="55" t="s">
        <v>784</v>
      </c>
      <c r="AE140" s="182"/>
      <c r="AF140" s="182"/>
      <c r="AG140" s="182"/>
      <c r="AH140" s="182"/>
      <c r="AI140" s="182"/>
      <c r="AJ140" s="2614"/>
      <c r="AK140" s="2614"/>
      <c r="AL140" s="182"/>
      <c r="AM140" s="182"/>
      <c r="AN140" s="182"/>
      <c r="AO140" s="182"/>
      <c r="AP140" s="182"/>
      <c r="AQ140" s="182"/>
      <c r="AR140" s="182"/>
      <c r="AS140" s="182"/>
      <c r="AT140" s="2614"/>
      <c r="AU140" s="2614"/>
      <c r="AV140" s="182"/>
      <c r="AW140" s="182"/>
      <c r="AX140" s="182"/>
      <c r="AY140" s="182"/>
      <c r="AZ140" s="182"/>
      <c r="BA140" s="182"/>
      <c r="BB140" s="182"/>
      <c r="BC140" s="167"/>
      <c r="BD140" s="1248"/>
      <c r="BE140" s="1248"/>
      <c r="BF140" s="1018" t="s">
        <v>878</v>
      </c>
    </row>
    <row s="1621" customFormat="1" customHeight="1" ht="14.25">
      <c r="A141" s="1248"/>
      <c r="B141" s="1160"/>
      <c r="C141" s="1248"/>
      <c r="D141" s="1248"/>
      <c r="E141" s="607">
        <v>15</v>
      </c>
      <c r="F141" s="50" cm="1" t="str">
        <f t="array" ref="F141:F141">OFFSET(E141,-1,1)</f>
        <v>2</v>
      </c>
      <c r="G141" s="70" t="s">
        <v>879</v>
      </c>
      <c r="H141" s="1248"/>
      <c r="I141" s="1248"/>
      <c r="J141" s="1248"/>
      <c r="K141" s="1248"/>
      <c r="L141" s="1248"/>
      <c r="M141" s="1248"/>
      <c r="N141" s="1248"/>
      <c r="O141" s="1248"/>
      <c r="P141" s="1248"/>
      <c r="Q141" s="1248"/>
      <c r="R141" s="1248"/>
      <c r="S141" s="1248"/>
      <c r="T141" s="439" cm="1" t="str">
        <f t="array" ref="T141:T141">T140</f>
        <v>true</v>
      </c>
      <c r="U141" s="1248"/>
      <c r="V141" s="1248"/>
      <c r="W141" s="1248"/>
      <c r="X141" s="1534"/>
      <c r="Y141" s="1248"/>
      <c r="Z141" s="1535"/>
      <c r="AA141" s="1248"/>
      <c r="AB141" s="54" t="s">
        <v>750</v>
      </c>
      <c r="AC141" s="181" t="s">
        <v>852</v>
      </c>
      <c r="AD141" s="55" t="s">
        <v>784</v>
      </c>
      <c r="AE141" s="182"/>
      <c r="AF141" s="182"/>
      <c r="AG141" s="182"/>
      <c r="AH141" s="182"/>
      <c r="AI141" s="182"/>
      <c r="AJ141" s="2614"/>
      <c r="AK141" s="2614"/>
      <c r="AL141" s="182"/>
      <c r="AM141" s="182"/>
      <c r="AN141" s="182"/>
      <c r="AO141" s="182"/>
      <c r="AP141" s="182"/>
      <c r="AQ141" s="182"/>
      <c r="AR141" s="182"/>
      <c r="AS141" s="182"/>
      <c r="AT141" s="2614"/>
      <c r="AU141" s="2614"/>
      <c r="AV141" s="182"/>
      <c r="AW141" s="182"/>
      <c r="AX141" s="182"/>
      <c r="AY141" s="182"/>
      <c r="AZ141" s="182"/>
      <c r="BA141" s="182"/>
      <c r="BB141" s="182"/>
      <c r="BC141" s="167"/>
      <c r="BD141" s="1248"/>
      <c r="BE141" s="1248"/>
      <c r="BF141" s="1018" t="s">
        <v>880</v>
      </c>
    </row>
    <row s="1621" customFormat="1" customHeight="1" ht="14.25">
      <c r="A142" s="1248"/>
      <c r="B142" s="1160"/>
      <c r="C142" s="1248"/>
      <c r="D142" s="1248"/>
      <c r="E142" s="607">
        <v>15</v>
      </c>
      <c r="F142" s="50" cm="1" t="str">
        <f t="array" ref="F142:F142">OFFSET(E142,-1,1)</f>
        <v>2</v>
      </c>
      <c r="G142" s="70" t="s">
        <v>881</v>
      </c>
      <c r="H142" s="1248"/>
      <c r="I142" s="1248"/>
      <c r="J142" s="1248"/>
      <c r="K142" s="1248"/>
      <c r="L142" s="1248"/>
      <c r="M142" s="1248"/>
      <c r="N142" s="1248"/>
      <c r="O142" s="1248"/>
      <c r="P142" s="1248"/>
      <c r="Q142" s="1248"/>
      <c r="R142" s="1248"/>
      <c r="S142" s="1248"/>
      <c r="T142" s="439" cm="1" t="str">
        <f t="array" ref="T142:T142">T141</f>
        <v>true</v>
      </c>
      <c r="U142" s="1248"/>
      <c r="V142" s="1248"/>
      <c r="W142" s="1248"/>
      <c r="X142" s="1534"/>
      <c r="Y142" s="1248"/>
      <c r="Z142" s="1535"/>
      <c r="AA142" s="1248"/>
      <c r="AB142" s="54" t="s">
        <v>882</v>
      </c>
      <c r="AC142" s="181" t="s">
        <v>855</v>
      </c>
      <c r="AD142" s="55" t="s">
        <v>784</v>
      </c>
      <c r="AE142" s="182"/>
      <c r="AF142" s="182"/>
      <c r="AG142" s="182"/>
      <c r="AH142" s="182"/>
      <c r="AI142" s="182"/>
      <c r="AJ142" s="2614"/>
      <c r="AK142" s="2614"/>
      <c r="AL142" s="182"/>
      <c r="AM142" s="182"/>
      <c r="AN142" s="182"/>
      <c r="AO142" s="182"/>
      <c r="AP142" s="182"/>
      <c r="AQ142" s="182"/>
      <c r="AR142" s="182"/>
      <c r="AS142" s="182"/>
      <c r="AT142" s="2614"/>
      <c r="AU142" s="2614"/>
      <c r="AV142" s="182"/>
      <c r="AW142" s="182"/>
      <c r="AX142" s="182"/>
      <c r="AY142" s="182"/>
      <c r="AZ142" s="182"/>
      <c r="BA142" s="182"/>
      <c r="BB142" s="182"/>
      <c r="BC142" s="167"/>
      <c r="BD142" s="1248"/>
      <c r="BE142" s="1248"/>
      <c r="BF142" s="1018" t="s">
        <v>883</v>
      </c>
    </row>
    <row s="1621" customFormat="1" customHeight="1" ht="14.25">
      <c r="A143" s="1248"/>
      <c r="B143" s="1160"/>
      <c r="C143" s="1248"/>
      <c r="D143" s="1248"/>
      <c r="E143" s="607">
        <v>15</v>
      </c>
      <c r="F143" s="50" cm="1" t="str">
        <f t="array" ref="F143:F143">OFFSET(E143,-1,1)</f>
        <v>2</v>
      </c>
      <c r="G143" s="70" t="s">
        <v>884</v>
      </c>
      <c r="H143" s="1248"/>
      <c r="I143" s="1248"/>
      <c r="J143" s="1248"/>
      <c r="K143" s="1248"/>
      <c r="L143" s="1248"/>
      <c r="M143" s="1248"/>
      <c r="N143" s="1248"/>
      <c r="O143" s="1248"/>
      <c r="P143" s="1248"/>
      <c r="Q143" s="1248"/>
      <c r="R143" s="1248"/>
      <c r="S143" s="1248"/>
      <c r="T143" s="439" cm="1" t="str">
        <f t="array" ref="T143:T143">T142</f>
        <v>true</v>
      </c>
      <c r="U143" s="1248"/>
      <c r="V143" s="1248"/>
      <c r="W143" s="1248"/>
      <c r="X143" s="1534"/>
      <c r="Y143" s="1248"/>
      <c r="Z143" s="1535"/>
      <c r="AA143" s="1248"/>
      <c r="AB143" s="54" t="s">
        <v>885</v>
      </c>
      <c r="AC143" s="181" t="s">
        <v>859</v>
      </c>
      <c r="AD143" s="55" t="s">
        <v>784</v>
      </c>
      <c r="AE143" s="182"/>
      <c r="AF143" s="182"/>
      <c r="AG143" s="182"/>
      <c r="AH143" s="182"/>
      <c r="AI143" s="182"/>
      <c r="AJ143" s="2614"/>
      <c r="AK143" s="2614"/>
      <c r="AL143" s="182"/>
      <c r="AM143" s="182"/>
      <c r="AN143" s="182"/>
      <c r="AO143" s="182"/>
      <c r="AP143" s="182"/>
      <c r="AQ143" s="182"/>
      <c r="AR143" s="182"/>
      <c r="AS143" s="182"/>
      <c r="AT143" s="2614"/>
      <c r="AU143" s="2614"/>
      <c r="AV143" s="182"/>
      <c r="AW143" s="182"/>
      <c r="AX143" s="182"/>
      <c r="AY143" s="182"/>
      <c r="AZ143" s="182"/>
      <c r="BA143" s="182"/>
      <c r="BB143" s="182"/>
      <c r="BC143" s="167"/>
      <c r="BD143" s="1248"/>
      <c r="BE143" s="1248"/>
      <c r="BF143" s="1018" t="s">
        <v>886</v>
      </c>
    </row>
    <row s="113" customFormat="1" customHeight="1" ht="21.75">
      <c r="A144" s="113"/>
      <c r="B144" s="404"/>
      <c r="C144" s="113"/>
      <c r="D144" s="113"/>
      <c r="E144" s="649">
        <v>22.5</v>
      </c>
      <c r="F144" s="50" cm="1" t="str">
        <f t="array" ref="F144:F144">OFFSET(E144,-1,1)</f>
        <v>2</v>
      </c>
      <c r="G144" s="70" t="s">
        <v>329</v>
      </c>
      <c r="H144" s="113"/>
      <c r="I144" s="113"/>
      <c r="J144" s="113"/>
      <c r="K144" s="113"/>
      <c r="L144" s="113"/>
      <c r="M144" s="113"/>
      <c r="N144" s="113"/>
      <c r="O144" s="113"/>
      <c r="P144" s="113"/>
      <c r="Q144" s="113"/>
      <c r="R144" s="113"/>
      <c r="S144" s="113"/>
      <c r="T144" s="439" cm="1" t="str">
        <f t="array" ref="T144:T144">T143</f>
        <v>true</v>
      </c>
      <c r="U144" s="113"/>
      <c r="V144" s="113"/>
      <c r="W144" s="113"/>
      <c r="X144" s="1534"/>
      <c r="Y144" s="113"/>
      <c r="Z144" s="1535"/>
      <c r="AA144" s="113"/>
      <c r="AB144" s="178">
        <v>4</v>
      </c>
      <c r="AC144" s="179" t="s">
        <v>887</v>
      </c>
      <c r="AD144" s="55" t="s">
        <v>784</v>
      </c>
      <c r="AE144" s="1225">
        <f>SUM(AE145:AE149)</f>
        <v>0</v>
      </c>
      <c r="AF144" s="1225">
        <f>SUM(AF145:AF149)</f>
        <v>0</v>
      </c>
      <c r="AG144" s="1225">
        <f>SUM(AG145:AG149)</f>
        <v>0</v>
      </c>
      <c r="AH144" s="1225">
        <f>SUM(AH145:AH149)</f>
        <v>0</v>
      </c>
      <c r="AI144" s="1225">
        <f>SUM(AI145:AI149)</f>
        <v>0</v>
      </c>
      <c r="AJ144" s="2611">
        <f>SUM(AJ145:AJ149)</f>
        <v>0</v>
      </c>
      <c r="AK144" s="2611">
        <f>SUM(AK145:AK149)</f>
        <v>0</v>
      </c>
      <c r="AL144" s="1225">
        <f>SUM(AL145:AL149)</f>
        <v>0</v>
      </c>
      <c r="AM144" s="1225">
        <f>SUM(AM145:AM149)</f>
        <v>0</v>
      </c>
      <c r="AN144" s="1225">
        <f>SUM(AN145:AN149)</f>
        <v>0</v>
      </c>
      <c r="AO144" s="1225">
        <f>SUM(AO145:AO149)</f>
        <v>0</v>
      </c>
      <c r="AP144" s="1225">
        <f>SUM(AP145:AP149)</f>
        <v>0</v>
      </c>
      <c r="AQ144" s="1225">
        <f>SUM(AQ145:AQ149)</f>
        <v>0</v>
      </c>
      <c r="AR144" s="1225">
        <f>SUM(AR145:AR149)</f>
        <v>0</v>
      </c>
      <c r="AS144" s="1225">
        <f>SUM(AS145:AS149)</f>
        <v>0</v>
      </c>
      <c r="AT144" s="2611">
        <f>SUM(AT145:AT149)</f>
        <v>0</v>
      </c>
      <c r="AU144" s="2611">
        <f>SUM(AU145:AU149)</f>
        <v>0</v>
      </c>
      <c r="AV144" s="1225">
        <f>SUM(AV145:AV149)</f>
        <v>0</v>
      </c>
      <c r="AW144" s="1225">
        <f>SUM(AW145:AW149)</f>
        <v>0</v>
      </c>
      <c r="AX144" s="1225">
        <f>SUM(AX145:AX149)</f>
        <v>0</v>
      </c>
      <c r="AY144" s="1225">
        <f>SUM(AY145:AY149)</f>
        <v>0</v>
      </c>
      <c r="AZ144" s="1225">
        <f>SUM(AZ145:AZ149)</f>
        <v>0</v>
      </c>
      <c r="BA144" s="1225">
        <f>SUM(BA145:BA149)</f>
        <v>0</v>
      </c>
      <c r="BB144" s="1225">
        <f>SUM(BB145:BB149)</f>
        <v>0</v>
      </c>
      <c r="BC144" s="167"/>
      <c r="BD144" s="113"/>
      <c r="BE144" s="113"/>
      <c r="BF144" s="1018" t="s">
        <v>888</v>
      </c>
    </row>
    <row s="1621" customFormat="1" customHeight="1" ht="14.25">
      <c r="A145" s="1248"/>
      <c r="B145" s="1160"/>
      <c r="C145" s="1248"/>
      <c r="D145" s="1248"/>
      <c r="E145" s="607">
        <v>15</v>
      </c>
      <c r="F145" s="50" cm="1" t="str">
        <f t="array" ref="F145:F145">OFFSET(E145,-1,1)</f>
        <v>2</v>
      </c>
      <c r="G145" s="70" t="s">
        <v>514</v>
      </c>
      <c r="H145" s="1248"/>
      <c r="I145" s="1248"/>
      <c r="J145" s="1248"/>
      <c r="K145" s="1248"/>
      <c r="L145" s="1248"/>
      <c r="M145" s="1248"/>
      <c r="N145" s="1248"/>
      <c r="O145" s="1248"/>
      <c r="P145" s="1248"/>
      <c r="Q145" s="1248"/>
      <c r="R145" s="1248"/>
      <c r="S145" s="1248"/>
      <c r="T145" s="439" cm="1" t="str">
        <f t="array" ref="T145:T145">T144</f>
        <v>true</v>
      </c>
      <c r="U145" s="1248"/>
      <c r="V145" s="1248"/>
      <c r="W145" s="1248"/>
      <c r="X145" s="1534"/>
      <c r="Y145" s="1248"/>
      <c r="Z145" s="1535"/>
      <c r="AA145" s="1248"/>
      <c r="AB145" s="54" t="s">
        <v>652</v>
      </c>
      <c r="AC145" s="181" t="s">
        <v>846</v>
      </c>
      <c r="AD145" s="55" t="s">
        <v>784</v>
      </c>
      <c r="AE145" s="182">
        <f>AE127+AE133-AE139</f>
        <v>0</v>
      </c>
      <c r="AF145" s="182">
        <f>AF127+AF133-AF139</f>
        <v>0</v>
      </c>
      <c r="AG145" s="182">
        <f>AG127+AG133-AG139</f>
        <v>0</v>
      </c>
      <c r="AH145" s="182">
        <f>AH127+AH133-AH139</f>
        <v>0</v>
      </c>
      <c r="AI145" s="182">
        <f>AI127+AI133-AI139</f>
        <v>0</v>
      </c>
      <c r="AJ145" s="2614">
        <f>AJ127+AJ133-AJ139</f>
        <v>0</v>
      </c>
      <c r="AK145" s="2614">
        <f>AK127+AK133-AK139</f>
        <v>0</v>
      </c>
      <c r="AL145" s="182">
        <f>AL127+AL133-AL139</f>
        <v>0</v>
      </c>
      <c r="AM145" s="182">
        <f>AM127+AM133-AM139</f>
        <v>0</v>
      </c>
      <c r="AN145" s="182">
        <f>AN127+AN133-AN139</f>
        <v>0</v>
      </c>
      <c r="AO145" s="182">
        <f>AO127+AO133-AO139</f>
        <v>0</v>
      </c>
      <c r="AP145" s="182">
        <f>AP127+AP133-AP139</f>
        <v>0</v>
      </c>
      <c r="AQ145" s="182">
        <f>AQ127+AQ133-AQ139</f>
        <v>0</v>
      </c>
      <c r="AR145" s="182">
        <f>AR127+AR133-AR139</f>
        <v>0</v>
      </c>
      <c r="AS145" s="182">
        <f>AS127+AS133-AS139</f>
        <v>0</v>
      </c>
      <c r="AT145" s="2614">
        <f>AT127+AT133-AT139</f>
        <v>0</v>
      </c>
      <c r="AU145" s="2614">
        <f>AU127+AU133-AU139</f>
        <v>0</v>
      </c>
      <c r="AV145" s="182">
        <f>AV127+AV133-AV139</f>
        <v>0</v>
      </c>
      <c r="AW145" s="182">
        <f>AW127+AW133-AW139</f>
        <v>0</v>
      </c>
      <c r="AX145" s="182">
        <f>AX127+AX133-AX139</f>
        <v>0</v>
      </c>
      <c r="AY145" s="182">
        <f>AY127+AY133-AY139</f>
        <v>0</v>
      </c>
      <c r="AZ145" s="182">
        <f>AZ127+AZ133-AZ139</f>
        <v>0</v>
      </c>
      <c r="BA145" s="182">
        <f>BA127+BA133-BA139</f>
        <v>0</v>
      </c>
      <c r="BB145" s="182">
        <f>BB127+BB133-BB139</f>
        <v>0</v>
      </c>
      <c r="BC145" s="167"/>
      <c r="BD145" s="1248"/>
      <c r="BE145" s="1248"/>
      <c r="BF145" s="1018" t="s">
        <v>889</v>
      </c>
    </row>
    <row s="1621" customFormat="1" customHeight="1" ht="14.25">
      <c r="A146" s="1248"/>
      <c r="B146" s="1160"/>
      <c r="C146" s="1248"/>
      <c r="D146" s="1248"/>
      <c r="E146" s="607">
        <v>15</v>
      </c>
      <c r="F146" s="50" cm="1" t="str">
        <f t="array" ref="F146:F146">OFFSET(E146,-1,1)</f>
        <v>2</v>
      </c>
      <c r="G146" s="70" t="s">
        <v>518</v>
      </c>
      <c r="H146" s="1248"/>
      <c r="I146" s="1248"/>
      <c r="J146" s="1248"/>
      <c r="K146" s="1248"/>
      <c r="L146" s="1248"/>
      <c r="M146" s="1248"/>
      <c r="N146" s="1248"/>
      <c r="O146" s="1248"/>
      <c r="P146" s="1248"/>
      <c r="Q146" s="1248"/>
      <c r="R146" s="1248"/>
      <c r="S146" s="1248"/>
      <c r="T146" s="439" cm="1" t="str">
        <f t="array" ref="T146:T146">T145</f>
        <v>true</v>
      </c>
      <c r="U146" s="1248"/>
      <c r="V146" s="1248"/>
      <c r="W146" s="1248"/>
      <c r="X146" s="1534"/>
      <c r="Y146" s="1248"/>
      <c r="Z146" s="1535"/>
      <c r="AA146" s="1248"/>
      <c r="AB146" s="54" t="s">
        <v>655</v>
      </c>
      <c r="AC146" s="181" t="s">
        <v>849</v>
      </c>
      <c r="AD146" s="55" t="s">
        <v>784</v>
      </c>
      <c r="AE146" s="182">
        <f>AE128+AE134-AE140</f>
        <v>0</v>
      </c>
      <c r="AF146" s="182">
        <f>AF128+AF134-AF140</f>
        <v>0</v>
      </c>
      <c r="AG146" s="182">
        <f>AG128+AG134-AG140</f>
        <v>0</v>
      </c>
      <c r="AH146" s="182">
        <f>AH128+AH134-AH140</f>
        <v>0</v>
      </c>
      <c r="AI146" s="182">
        <f>AI128+AI134-AI140</f>
        <v>0</v>
      </c>
      <c r="AJ146" s="2614">
        <f>AJ128+AJ134-AJ140</f>
        <v>0</v>
      </c>
      <c r="AK146" s="2614">
        <f>AK128+AK134-AK140</f>
        <v>0</v>
      </c>
      <c r="AL146" s="182">
        <f>AL128+AL134-AL140</f>
        <v>0</v>
      </c>
      <c r="AM146" s="182">
        <f>AM128+AM134-AM140</f>
        <v>0</v>
      </c>
      <c r="AN146" s="182">
        <f>AN128+AN134-AN140</f>
        <v>0</v>
      </c>
      <c r="AO146" s="182">
        <f>AO128+AO134-AO140</f>
        <v>0</v>
      </c>
      <c r="AP146" s="182">
        <f>AP128+AP134-AP140</f>
        <v>0</v>
      </c>
      <c r="AQ146" s="182">
        <f>AQ128+AQ134-AQ140</f>
        <v>0</v>
      </c>
      <c r="AR146" s="182">
        <f>AR128+AR134-AR140</f>
        <v>0</v>
      </c>
      <c r="AS146" s="182">
        <f>AS128+AS134-AS140</f>
        <v>0</v>
      </c>
      <c r="AT146" s="2614">
        <f>AT128+AT134-AT140</f>
        <v>0</v>
      </c>
      <c r="AU146" s="2614">
        <f>AU128+AU134-AU140</f>
        <v>0</v>
      </c>
      <c r="AV146" s="182">
        <f>AV128+AV134-AV140</f>
        <v>0</v>
      </c>
      <c r="AW146" s="182">
        <f>AW128+AW134-AW140</f>
        <v>0</v>
      </c>
      <c r="AX146" s="182">
        <f>AX128+AX134-AX140</f>
        <v>0</v>
      </c>
      <c r="AY146" s="182">
        <f>AY128+AY134-AY140</f>
        <v>0</v>
      </c>
      <c r="AZ146" s="182">
        <f>AZ128+AZ134-AZ140</f>
        <v>0</v>
      </c>
      <c r="BA146" s="182">
        <f>BA128+BA134-BA140</f>
        <v>0</v>
      </c>
      <c r="BB146" s="182">
        <f>BB128+BB134-BB140</f>
        <v>0</v>
      </c>
      <c r="BC146" s="167"/>
      <c r="BD146" s="1248"/>
      <c r="BE146" s="1248"/>
      <c r="BF146" s="1018" t="s">
        <v>890</v>
      </c>
    </row>
    <row s="1621" customFormat="1" customHeight="1" ht="14.25">
      <c r="A147" s="1248"/>
      <c r="B147" s="1160"/>
      <c r="C147" s="1248"/>
      <c r="D147" s="1248"/>
      <c r="E147" s="607">
        <v>15</v>
      </c>
      <c r="F147" s="50" cm="1" t="str">
        <f t="array" ref="F147:F147">OFFSET(E147,-1,1)</f>
        <v>2</v>
      </c>
      <c r="G147" s="70" t="s">
        <v>522</v>
      </c>
      <c r="H147" s="1248"/>
      <c r="I147" s="1248"/>
      <c r="J147" s="1248"/>
      <c r="K147" s="1248"/>
      <c r="L147" s="1248"/>
      <c r="M147" s="1248"/>
      <c r="N147" s="1248"/>
      <c r="O147" s="1248"/>
      <c r="P147" s="1248"/>
      <c r="Q147" s="1248"/>
      <c r="R147" s="1248"/>
      <c r="S147" s="1248"/>
      <c r="T147" s="439" cm="1" t="str">
        <f t="array" ref="T147:T147">T146</f>
        <v>true</v>
      </c>
      <c r="U147" s="1248"/>
      <c r="V147" s="1248"/>
      <c r="W147" s="1248"/>
      <c r="X147" s="1534"/>
      <c r="Y147" s="1248"/>
      <c r="Z147" s="1535"/>
      <c r="AA147" s="1248"/>
      <c r="AB147" s="54" t="s">
        <v>689</v>
      </c>
      <c r="AC147" s="181" t="s">
        <v>852</v>
      </c>
      <c r="AD147" s="55" t="s">
        <v>784</v>
      </c>
      <c r="AE147" s="182">
        <f>AE129+AE135-AE141</f>
        <v>0</v>
      </c>
      <c r="AF147" s="182">
        <f>AF129+AF135-AF141</f>
        <v>0</v>
      </c>
      <c r="AG147" s="182">
        <f>AG129+AG135-AG141</f>
        <v>0</v>
      </c>
      <c r="AH147" s="182">
        <f>AH129+AH135-AH141</f>
        <v>0</v>
      </c>
      <c r="AI147" s="182">
        <f>AI129+AI135-AI141</f>
        <v>0</v>
      </c>
      <c r="AJ147" s="2614">
        <f>AJ129+AJ135-AJ141</f>
        <v>0</v>
      </c>
      <c r="AK147" s="2614">
        <f>AK129+AK135-AK141</f>
        <v>0</v>
      </c>
      <c r="AL147" s="182">
        <f>AL129+AL135-AL141</f>
        <v>0</v>
      </c>
      <c r="AM147" s="182">
        <f>AM129+AM135-AM141</f>
        <v>0</v>
      </c>
      <c r="AN147" s="182">
        <f>AN129+AN135-AN141</f>
        <v>0</v>
      </c>
      <c r="AO147" s="182">
        <f>AO129+AO135-AO141</f>
        <v>0</v>
      </c>
      <c r="AP147" s="182">
        <f>AP129+AP135-AP141</f>
        <v>0</v>
      </c>
      <c r="AQ147" s="182">
        <f>AQ129+AQ135-AQ141</f>
        <v>0</v>
      </c>
      <c r="AR147" s="182">
        <f>AR129+AR135-AR141</f>
        <v>0</v>
      </c>
      <c r="AS147" s="182">
        <f>AS129+AS135-AS141</f>
        <v>0</v>
      </c>
      <c r="AT147" s="2614">
        <f>AT129+AT135-AT141</f>
        <v>0</v>
      </c>
      <c r="AU147" s="2614">
        <f>AU129+AU135-AU141</f>
        <v>0</v>
      </c>
      <c r="AV147" s="182">
        <f>AV129+AV135-AV141</f>
        <v>0</v>
      </c>
      <c r="AW147" s="182">
        <f>AW129+AW135-AW141</f>
        <v>0</v>
      </c>
      <c r="AX147" s="182">
        <f>AX129+AX135-AX141</f>
        <v>0</v>
      </c>
      <c r="AY147" s="182">
        <f>AY129+AY135-AY141</f>
        <v>0</v>
      </c>
      <c r="AZ147" s="182">
        <f>AZ129+AZ135-AZ141</f>
        <v>0</v>
      </c>
      <c r="BA147" s="182">
        <f>BA129+BA135-BA141</f>
        <v>0</v>
      </c>
      <c r="BB147" s="182">
        <f>BB129+BB135-BB141</f>
        <v>0</v>
      </c>
      <c r="BC147" s="167"/>
      <c r="BD147" s="1248"/>
      <c r="BE147" s="1248"/>
      <c r="BF147" s="1018" t="s">
        <v>891</v>
      </c>
    </row>
    <row s="1621" customFormat="1" customHeight="1" ht="14.25">
      <c r="A148" s="1248"/>
      <c r="B148" s="1160"/>
      <c r="C148" s="1248"/>
      <c r="D148" s="1248"/>
      <c r="E148" s="607">
        <v>15</v>
      </c>
      <c r="F148" s="50" cm="1" t="str">
        <f t="array" ref="F148:F148">OFFSET(E148,-1,1)</f>
        <v>2</v>
      </c>
      <c r="G148" s="70" t="s">
        <v>892</v>
      </c>
      <c r="H148" s="1248"/>
      <c r="I148" s="1248"/>
      <c r="J148" s="1248"/>
      <c r="K148" s="1248"/>
      <c r="L148" s="1248"/>
      <c r="M148" s="1248"/>
      <c r="N148" s="1248"/>
      <c r="O148" s="1248"/>
      <c r="P148" s="1248"/>
      <c r="Q148" s="1248"/>
      <c r="R148" s="1248"/>
      <c r="S148" s="1248"/>
      <c r="T148" s="439" cm="1" t="str">
        <f t="array" ref="T148:T148">T147</f>
        <v>true</v>
      </c>
      <c r="U148" s="1248"/>
      <c r="V148" s="1248"/>
      <c r="W148" s="1248"/>
      <c r="X148" s="1534"/>
      <c r="Y148" s="1248"/>
      <c r="Z148" s="1535"/>
      <c r="AA148" s="1248"/>
      <c r="AB148" s="54" t="s">
        <v>698</v>
      </c>
      <c r="AC148" s="181" t="s">
        <v>855</v>
      </c>
      <c r="AD148" s="55" t="s">
        <v>784</v>
      </c>
      <c r="AE148" s="182">
        <f>AE130+AE136-AE142</f>
        <v>0</v>
      </c>
      <c r="AF148" s="182">
        <f>AF130+AF136-AF142</f>
        <v>0</v>
      </c>
      <c r="AG148" s="182">
        <f>AG130+AG136-AG142</f>
        <v>0</v>
      </c>
      <c r="AH148" s="182">
        <f>AH130+AH136-AH142</f>
        <v>0</v>
      </c>
      <c r="AI148" s="182">
        <f>AI130+AI136-AI142</f>
        <v>0</v>
      </c>
      <c r="AJ148" s="2614">
        <f>AJ130+AJ136-AJ142</f>
        <v>0</v>
      </c>
      <c r="AK148" s="2614">
        <f>AK130+AK136-AK142</f>
        <v>0</v>
      </c>
      <c r="AL148" s="182">
        <f>AL130+AL136-AL142</f>
        <v>0</v>
      </c>
      <c r="AM148" s="182">
        <f>AM130+AM136-AM142</f>
        <v>0</v>
      </c>
      <c r="AN148" s="182">
        <f>AN130+AN136-AN142</f>
        <v>0</v>
      </c>
      <c r="AO148" s="182">
        <f>AO130+AO136-AO142</f>
        <v>0</v>
      </c>
      <c r="AP148" s="182">
        <f>AP130+AP136-AP142</f>
        <v>0</v>
      </c>
      <c r="AQ148" s="182">
        <f>AQ130+AQ136-AQ142</f>
        <v>0</v>
      </c>
      <c r="AR148" s="182">
        <f>AR130+AR136-AR142</f>
        <v>0</v>
      </c>
      <c r="AS148" s="182">
        <f>AS130+AS136-AS142</f>
        <v>0</v>
      </c>
      <c r="AT148" s="2614">
        <f>AT130+AT136-AT142</f>
        <v>0</v>
      </c>
      <c r="AU148" s="2614">
        <f>AU130+AU136-AU142</f>
        <v>0</v>
      </c>
      <c r="AV148" s="182">
        <f>AV130+AV136-AV142</f>
        <v>0</v>
      </c>
      <c r="AW148" s="182">
        <f>AW130+AW136-AW142</f>
        <v>0</v>
      </c>
      <c r="AX148" s="182">
        <f>AX130+AX136-AX142</f>
        <v>0</v>
      </c>
      <c r="AY148" s="182">
        <f>AY130+AY136-AY142</f>
        <v>0</v>
      </c>
      <c r="AZ148" s="182">
        <f>AZ130+AZ136-AZ142</f>
        <v>0</v>
      </c>
      <c r="BA148" s="182">
        <f>BA130+BA136-BA142</f>
        <v>0</v>
      </c>
      <c r="BB148" s="182">
        <f>BB130+BB136-BB142</f>
        <v>0</v>
      </c>
      <c r="BC148" s="167"/>
      <c r="BD148" s="1248"/>
      <c r="BE148" s="1248"/>
      <c r="BF148" s="1018" t="s">
        <v>893</v>
      </c>
    </row>
    <row s="1621" customFormat="1" customHeight="1" ht="14.25">
      <c r="A149" s="1248"/>
      <c r="B149" s="1160"/>
      <c r="C149" s="1248"/>
      <c r="D149" s="1248"/>
      <c r="E149" s="607">
        <v>15</v>
      </c>
      <c r="F149" s="50" cm="1" t="str">
        <f t="array" ref="F149:F149">OFFSET(E149,-1,1)</f>
        <v>2</v>
      </c>
      <c r="G149" s="70" t="s">
        <v>894</v>
      </c>
      <c r="H149" s="1248"/>
      <c r="I149" s="1248"/>
      <c r="J149" s="1248"/>
      <c r="K149" s="1248"/>
      <c r="L149" s="1248"/>
      <c r="M149" s="1248"/>
      <c r="N149" s="1248"/>
      <c r="O149" s="1248"/>
      <c r="P149" s="1248"/>
      <c r="Q149" s="1248"/>
      <c r="R149" s="1248"/>
      <c r="S149" s="1248"/>
      <c r="T149" s="439" cm="1" t="str">
        <f t="array" ref="T149:T149">T148</f>
        <v>true</v>
      </c>
      <c r="U149" s="1248"/>
      <c r="V149" s="1248"/>
      <c r="W149" s="1248"/>
      <c r="X149" s="1534"/>
      <c r="Y149" s="1248"/>
      <c r="Z149" s="1535"/>
      <c r="AA149" s="1248"/>
      <c r="AB149" s="54" t="s">
        <v>708</v>
      </c>
      <c r="AC149" s="181" t="s">
        <v>859</v>
      </c>
      <c r="AD149" s="55" t="s">
        <v>784</v>
      </c>
      <c r="AE149" s="182">
        <f>AE131+AE137-AE143</f>
        <v>0</v>
      </c>
      <c r="AF149" s="182">
        <f>AF131+AF137-AF143</f>
        <v>0</v>
      </c>
      <c r="AG149" s="182">
        <f>AG131+AG137-AG143</f>
        <v>0</v>
      </c>
      <c r="AH149" s="182">
        <f>AH131+AH137-AH143</f>
        <v>0</v>
      </c>
      <c r="AI149" s="182">
        <f>AI131+AI137-AI143</f>
        <v>0</v>
      </c>
      <c r="AJ149" s="2614">
        <f>AJ131+AJ137-AJ143</f>
        <v>0</v>
      </c>
      <c r="AK149" s="2614">
        <f>AK131+AK137-AK143</f>
        <v>0</v>
      </c>
      <c r="AL149" s="182">
        <f>AL131+AL137-AL143</f>
        <v>0</v>
      </c>
      <c r="AM149" s="182">
        <f>AM131+AM137-AM143</f>
        <v>0</v>
      </c>
      <c r="AN149" s="182">
        <f>AN131+AN137-AN143</f>
        <v>0</v>
      </c>
      <c r="AO149" s="182">
        <f>AO131+AO137-AO143</f>
        <v>0</v>
      </c>
      <c r="AP149" s="182">
        <f>AP131+AP137-AP143</f>
        <v>0</v>
      </c>
      <c r="AQ149" s="182">
        <f>AQ131+AQ137-AQ143</f>
        <v>0</v>
      </c>
      <c r="AR149" s="182">
        <f>AR131+AR137-AR143</f>
        <v>0</v>
      </c>
      <c r="AS149" s="182">
        <f>AS131+AS137-AS143</f>
        <v>0</v>
      </c>
      <c r="AT149" s="2614">
        <f>AT131+AT137-AT143</f>
        <v>0</v>
      </c>
      <c r="AU149" s="2614">
        <f>AU131+AU137-AU143</f>
        <v>0</v>
      </c>
      <c r="AV149" s="182">
        <f>AV131+AV137-AV143</f>
        <v>0</v>
      </c>
      <c r="AW149" s="182">
        <f>AW131+AW137-AW143</f>
        <v>0</v>
      </c>
      <c r="AX149" s="182">
        <f>AX131+AX137-AX143</f>
        <v>0</v>
      </c>
      <c r="AY149" s="182">
        <f>AY131+AY137-AY143</f>
        <v>0</v>
      </c>
      <c r="AZ149" s="182">
        <f>AZ131+AZ137-AZ143</f>
        <v>0</v>
      </c>
      <c r="BA149" s="182">
        <f>BA131+BA137-BA143</f>
        <v>0</v>
      </c>
      <c r="BB149" s="182">
        <f>BB131+BB137-BB143</f>
        <v>0</v>
      </c>
      <c r="BC149" s="167"/>
      <c r="BD149" s="1248"/>
      <c r="BE149" s="1248"/>
      <c r="BF149" s="1018" t="s">
        <v>895</v>
      </c>
    </row>
    <row s="113" customFormat="1" customHeight="1" ht="14.25">
      <c r="A150" s="113"/>
      <c r="B150" s="404"/>
      <c r="C150" s="113"/>
      <c r="D150" s="113"/>
      <c r="E150" s="607">
        <v>15</v>
      </c>
      <c r="F150" s="50" cm="1" t="str">
        <f t="array" ref="F150:F150">OFFSET(E150,-1,1)</f>
        <v>2</v>
      </c>
      <c r="G150" s="70" t="s">
        <v>328</v>
      </c>
      <c r="H150" s="113"/>
      <c r="I150" s="113"/>
      <c r="J150" s="113"/>
      <c r="K150" s="113"/>
      <c r="L150" s="113"/>
      <c r="M150" s="113"/>
      <c r="N150" s="113"/>
      <c r="O150" s="113"/>
      <c r="P150" s="113"/>
      <c r="Q150" s="113"/>
      <c r="R150" s="113"/>
      <c r="S150" s="113"/>
      <c r="T150" s="439" cm="1" t="str">
        <f t="array" ref="T150:T150">T149</f>
        <v>true</v>
      </c>
      <c r="U150" s="113"/>
      <c r="V150" s="113"/>
      <c r="W150" s="113"/>
      <c r="X150" s="1534"/>
      <c r="Y150" s="113"/>
      <c r="Z150" s="1535"/>
      <c r="AA150" s="113"/>
      <c r="AB150" s="178">
        <v>5</v>
      </c>
      <c r="AC150" s="179" t="s">
        <v>896</v>
      </c>
      <c r="AD150" s="55" t="s">
        <v>784</v>
      </c>
      <c r="AE150" s="1225">
        <f>SUM(AE151:AE155)</f>
        <v>0</v>
      </c>
      <c r="AF150" s="1225">
        <f>SUM(AF151:AF155)</f>
        <v>0</v>
      </c>
      <c r="AG150" s="1225">
        <f>SUM(AG151:AG155)</f>
        <v>0</v>
      </c>
      <c r="AH150" s="1225">
        <f>SUM(AH151:AH155)</f>
        <v>0</v>
      </c>
      <c r="AI150" s="1225">
        <f>SUM(AI151:AI155)</f>
        <v>0</v>
      </c>
      <c r="AJ150" s="2611">
        <f>SUM(AJ151:AJ155)</f>
        <v>0</v>
      </c>
      <c r="AK150" s="2611">
        <f>SUM(AK151:AK155)</f>
        <v>0</v>
      </c>
      <c r="AL150" s="1225">
        <f>SUM(AL151:AL155)</f>
        <v>0</v>
      </c>
      <c r="AM150" s="1225">
        <f>SUM(AM151:AM155)</f>
        <v>0</v>
      </c>
      <c r="AN150" s="1225">
        <f>SUM(AN151:AN155)</f>
        <v>0</v>
      </c>
      <c r="AO150" s="1225">
        <f>SUM(AO151:AO155)</f>
        <v>0</v>
      </c>
      <c r="AP150" s="1225">
        <f>SUM(AP151:AP155)</f>
        <v>0</v>
      </c>
      <c r="AQ150" s="1225">
        <f>SUM(AQ151:AQ155)</f>
        <v>0</v>
      </c>
      <c r="AR150" s="1225">
        <f>SUM(AR151:AR155)</f>
        <v>0</v>
      </c>
      <c r="AS150" s="1225">
        <f>SUM(AS151:AS155)</f>
        <v>0</v>
      </c>
      <c r="AT150" s="2611">
        <f>SUM(AT151:AT155)</f>
        <v>0</v>
      </c>
      <c r="AU150" s="2611">
        <f>SUM(AU151:AU155)</f>
        <v>0</v>
      </c>
      <c r="AV150" s="1225">
        <f>SUM(AV151:AV155)</f>
        <v>0</v>
      </c>
      <c r="AW150" s="1225">
        <f>SUM(AW151:AW155)</f>
        <v>0</v>
      </c>
      <c r="AX150" s="1225">
        <f>SUM(AX151:AX155)</f>
        <v>0</v>
      </c>
      <c r="AY150" s="1225">
        <f>SUM(AY151:AY155)</f>
        <v>0</v>
      </c>
      <c r="AZ150" s="1225">
        <f>SUM(AZ151:AZ155)</f>
        <v>0</v>
      </c>
      <c r="BA150" s="1225">
        <f>SUM(BA151:BA155)</f>
        <v>0</v>
      </c>
      <c r="BB150" s="1225">
        <f>SUM(BB151:BB155)</f>
        <v>0</v>
      </c>
      <c r="BC150" s="167"/>
      <c r="BD150" s="113"/>
      <c r="BE150" s="113"/>
      <c r="BF150" s="1018" t="s">
        <v>897</v>
      </c>
    </row>
    <row s="1621" customFormat="1" customHeight="1" ht="14.25">
      <c r="A151" s="1248"/>
      <c r="B151" s="1160"/>
      <c r="C151" s="1248"/>
      <c r="D151" s="1248"/>
      <c r="E151" s="607">
        <v>15</v>
      </c>
      <c r="F151" s="50" cm="1" t="str">
        <f t="array" ref="F151:F151">OFFSET(E151,-1,1)</f>
        <v>2</v>
      </c>
      <c r="G151" s="70" t="s">
        <v>528</v>
      </c>
      <c r="H151" s="1248"/>
      <c r="I151" s="1248"/>
      <c r="J151" s="1248"/>
      <c r="K151" s="1248"/>
      <c r="L151" s="1248"/>
      <c r="M151" s="1248"/>
      <c r="N151" s="1248"/>
      <c r="O151" s="1248"/>
      <c r="P151" s="1248"/>
      <c r="Q151" s="1248"/>
      <c r="R151" s="1248"/>
      <c r="S151" s="1248"/>
      <c r="T151" s="439" cm="1" t="str">
        <f t="array" ref="T151:T151">T150</f>
        <v>true</v>
      </c>
      <c r="U151" s="1248"/>
      <c r="V151" s="1248"/>
      <c r="W151" s="1248"/>
      <c r="X151" s="1534"/>
      <c r="Y151" s="1248"/>
      <c r="Z151" s="1535"/>
      <c r="AA151" s="1248"/>
      <c r="AB151" s="54" t="s">
        <v>659</v>
      </c>
      <c r="AC151" s="181" t="s">
        <v>846</v>
      </c>
      <c r="AD151" s="55" t="s">
        <v>784</v>
      </c>
      <c r="AE151" s="182">
        <f>(AE145+AE127)/2</f>
        <v>0</v>
      </c>
      <c r="AF151" s="182">
        <f>(AF145+AF127)/2</f>
        <v>0</v>
      </c>
      <c r="AG151" s="182">
        <f>(AG145+AG127)/2</f>
        <v>0</v>
      </c>
      <c r="AH151" s="182">
        <f>(AH145+AH127)/2</f>
        <v>0</v>
      </c>
      <c r="AI151" s="182">
        <f>(AI145+AI127)/2</f>
        <v>0</v>
      </c>
      <c r="AJ151" s="2614">
        <f>(AJ145+AJ127)/2</f>
        <v>0</v>
      </c>
      <c r="AK151" s="2614">
        <f>(AK145+AK127)/2</f>
        <v>0</v>
      </c>
      <c r="AL151" s="182">
        <f>(AL145+AL127)/2</f>
        <v>0</v>
      </c>
      <c r="AM151" s="182">
        <f>(AM145+AM127)/2</f>
        <v>0</v>
      </c>
      <c r="AN151" s="182">
        <f>(AN145+AN127)/2</f>
        <v>0</v>
      </c>
      <c r="AO151" s="182">
        <f>(AO145+AO127)/2</f>
        <v>0</v>
      </c>
      <c r="AP151" s="182">
        <f>(AP145+AP127)/2</f>
        <v>0</v>
      </c>
      <c r="AQ151" s="182">
        <f>(AQ145+AQ127)/2</f>
        <v>0</v>
      </c>
      <c r="AR151" s="182">
        <f>(AR145+AR127)/2</f>
        <v>0</v>
      </c>
      <c r="AS151" s="182">
        <f>(AS145+AS127)/2</f>
        <v>0</v>
      </c>
      <c r="AT151" s="2614">
        <f>(AT145+AT127)/2</f>
        <v>0</v>
      </c>
      <c r="AU151" s="2614">
        <f>(AU145+AU127)/2</f>
        <v>0</v>
      </c>
      <c r="AV151" s="182">
        <f>(AV145+AV127)/2</f>
        <v>0</v>
      </c>
      <c r="AW151" s="182">
        <f>(AW145+AW127)/2</f>
        <v>0</v>
      </c>
      <c r="AX151" s="182">
        <f>(AX145+AX127)/2</f>
        <v>0</v>
      </c>
      <c r="AY151" s="182">
        <f>(AY145+AY127)/2</f>
        <v>0</v>
      </c>
      <c r="AZ151" s="182">
        <f>(AZ145+AZ127)/2</f>
        <v>0</v>
      </c>
      <c r="BA151" s="182">
        <f>(BA145+BA127)/2</f>
        <v>0</v>
      </c>
      <c r="BB151" s="182">
        <f>(BB145+BB127)/2</f>
        <v>0</v>
      </c>
      <c r="BC151" s="167"/>
      <c r="BD151" s="1248"/>
      <c r="BE151" s="1248"/>
      <c r="BF151" s="1018" t="s">
        <v>898</v>
      </c>
    </row>
    <row s="1621" customFormat="1" customHeight="1" ht="14.25">
      <c r="A152" s="1248"/>
      <c r="B152" s="1160"/>
      <c r="C152" s="1248"/>
      <c r="D152" s="1248"/>
      <c r="E152" s="607">
        <v>15</v>
      </c>
      <c r="F152" s="50" cm="1" t="str">
        <f t="array" ref="F152:F152">OFFSET(E152,-1,1)</f>
        <v>2</v>
      </c>
      <c r="G152" s="70" t="s">
        <v>532</v>
      </c>
      <c r="H152" s="1248"/>
      <c r="I152" s="1248"/>
      <c r="J152" s="1248"/>
      <c r="K152" s="1248"/>
      <c r="L152" s="1248"/>
      <c r="M152" s="1248"/>
      <c r="N152" s="1248"/>
      <c r="O152" s="1248"/>
      <c r="P152" s="1248"/>
      <c r="Q152" s="1248"/>
      <c r="R152" s="1248"/>
      <c r="S152" s="1248"/>
      <c r="T152" s="439" cm="1" t="str">
        <f t="array" ref="T152:T152">T151</f>
        <v>true</v>
      </c>
      <c r="U152" s="1248"/>
      <c r="V152" s="1248"/>
      <c r="W152" s="1248"/>
      <c r="X152" s="1534"/>
      <c r="Y152" s="1248"/>
      <c r="Z152" s="1535"/>
      <c r="AA152" s="1248"/>
      <c r="AB152" s="54" t="s">
        <v>662</v>
      </c>
      <c r="AC152" s="181" t="s">
        <v>849</v>
      </c>
      <c r="AD152" s="55" t="s">
        <v>784</v>
      </c>
      <c r="AE152" s="182">
        <f>(AE146+AE128)/2</f>
        <v>0</v>
      </c>
      <c r="AF152" s="182">
        <f>(AF146+AF128)/2</f>
        <v>0</v>
      </c>
      <c r="AG152" s="182">
        <f>(AG146+AG128)/2</f>
        <v>0</v>
      </c>
      <c r="AH152" s="182">
        <f>(AH146+AH128)/2</f>
        <v>0</v>
      </c>
      <c r="AI152" s="182">
        <f>(AI146+AI128)/2</f>
        <v>0</v>
      </c>
      <c r="AJ152" s="2614">
        <f>(AJ146+AJ128)/2</f>
        <v>0</v>
      </c>
      <c r="AK152" s="2614">
        <f>(AK146+AK128)/2</f>
        <v>0</v>
      </c>
      <c r="AL152" s="182">
        <f>(AL146+AL128)/2</f>
        <v>0</v>
      </c>
      <c r="AM152" s="182">
        <f>(AM146+AM128)/2</f>
        <v>0</v>
      </c>
      <c r="AN152" s="182">
        <f>(AN146+AN128)/2</f>
        <v>0</v>
      </c>
      <c r="AO152" s="182">
        <f>(AO146+AO128)/2</f>
        <v>0</v>
      </c>
      <c r="AP152" s="182">
        <f>(AP146+AP128)/2</f>
        <v>0</v>
      </c>
      <c r="AQ152" s="182">
        <f>(AQ146+AQ128)/2</f>
        <v>0</v>
      </c>
      <c r="AR152" s="182">
        <f>(AR146+AR128)/2</f>
        <v>0</v>
      </c>
      <c r="AS152" s="182">
        <f>(AS146+AS128)/2</f>
        <v>0</v>
      </c>
      <c r="AT152" s="2614">
        <f>(AT146+AT128)/2</f>
        <v>0</v>
      </c>
      <c r="AU152" s="2614">
        <f>(AU146+AU128)/2</f>
        <v>0</v>
      </c>
      <c r="AV152" s="182">
        <f>(AV146+AV128)/2</f>
        <v>0</v>
      </c>
      <c r="AW152" s="182">
        <f>(AW146+AW128)/2</f>
        <v>0</v>
      </c>
      <c r="AX152" s="182">
        <f>(AX146+AX128)/2</f>
        <v>0</v>
      </c>
      <c r="AY152" s="182">
        <f>(AY146+AY128)/2</f>
        <v>0</v>
      </c>
      <c r="AZ152" s="182">
        <f>(AZ146+AZ128)/2</f>
        <v>0</v>
      </c>
      <c r="BA152" s="182">
        <f>(BA146+BA128)/2</f>
        <v>0</v>
      </c>
      <c r="BB152" s="182">
        <f>(BB146+BB128)/2</f>
        <v>0</v>
      </c>
      <c r="BC152" s="167"/>
      <c r="BD152" s="1248"/>
      <c r="BE152" s="1248"/>
      <c r="BF152" s="1018" t="s">
        <v>899</v>
      </c>
    </row>
    <row s="1621" customFormat="1" customHeight="1" ht="14.25">
      <c r="A153" s="1248"/>
      <c r="B153" s="1160"/>
      <c r="C153" s="1248"/>
      <c r="D153" s="1248"/>
      <c r="E153" s="607">
        <v>15</v>
      </c>
      <c r="F153" s="50" cm="1" t="str">
        <f t="array" ref="F153:F153">OFFSET(E153,-1,1)</f>
        <v>2</v>
      </c>
      <c r="G153" s="70" t="s">
        <v>749</v>
      </c>
      <c r="H153" s="1248"/>
      <c r="I153" s="1248"/>
      <c r="J153" s="1248"/>
      <c r="K153" s="1248"/>
      <c r="L153" s="1248"/>
      <c r="M153" s="1248"/>
      <c r="N153" s="1248"/>
      <c r="O153" s="1248"/>
      <c r="P153" s="1248"/>
      <c r="Q153" s="1248"/>
      <c r="R153" s="1248"/>
      <c r="S153" s="1248"/>
      <c r="T153" s="439" cm="1" t="str">
        <f t="array" ref="T153:T153">T152</f>
        <v>true</v>
      </c>
      <c r="U153" s="1248"/>
      <c r="V153" s="1248"/>
      <c r="W153" s="1248"/>
      <c r="X153" s="1534"/>
      <c r="Y153" s="1248"/>
      <c r="Z153" s="1535"/>
      <c r="AA153" s="1248"/>
      <c r="AB153" s="54" t="s">
        <v>900</v>
      </c>
      <c r="AC153" s="181" t="s">
        <v>852</v>
      </c>
      <c r="AD153" s="55" t="s">
        <v>784</v>
      </c>
      <c r="AE153" s="182">
        <f>(AE147+AE129)/2</f>
        <v>0</v>
      </c>
      <c r="AF153" s="182">
        <f>(AF147+AF129)/2</f>
        <v>0</v>
      </c>
      <c r="AG153" s="182">
        <f>(AG147+AG129)/2</f>
        <v>0</v>
      </c>
      <c r="AH153" s="182">
        <f>(AH147+AH129)/2</f>
        <v>0</v>
      </c>
      <c r="AI153" s="182">
        <f>(AI147+AI129)/2</f>
        <v>0</v>
      </c>
      <c r="AJ153" s="2614">
        <f>(AJ147+AJ129)/2</f>
        <v>0</v>
      </c>
      <c r="AK153" s="2614">
        <f>(AK147+AK129)/2</f>
        <v>0</v>
      </c>
      <c r="AL153" s="182">
        <f>(AL147+AL129)/2</f>
        <v>0</v>
      </c>
      <c r="AM153" s="182">
        <f>(AM147+AM129)/2</f>
        <v>0</v>
      </c>
      <c r="AN153" s="182">
        <f>(AN147+AN129)/2</f>
        <v>0</v>
      </c>
      <c r="AO153" s="182">
        <f>(AO147+AO129)/2</f>
        <v>0</v>
      </c>
      <c r="AP153" s="182">
        <f>(AP147+AP129)/2</f>
        <v>0</v>
      </c>
      <c r="AQ153" s="182">
        <f>(AQ147+AQ129)/2</f>
        <v>0</v>
      </c>
      <c r="AR153" s="182">
        <f>(AR147+AR129)/2</f>
        <v>0</v>
      </c>
      <c r="AS153" s="182">
        <f>(AS147+AS129)/2</f>
        <v>0</v>
      </c>
      <c r="AT153" s="2614">
        <f>(AT147+AT129)/2</f>
        <v>0</v>
      </c>
      <c r="AU153" s="2614">
        <f>(AU147+AU129)/2</f>
        <v>0</v>
      </c>
      <c r="AV153" s="182">
        <f>(AV147+AV129)/2</f>
        <v>0</v>
      </c>
      <c r="AW153" s="182">
        <f>(AW147+AW129)/2</f>
        <v>0</v>
      </c>
      <c r="AX153" s="182">
        <f>(AX147+AX129)/2</f>
        <v>0</v>
      </c>
      <c r="AY153" s="182">
        <f>(AY147+AY129)/2</f>
        <v>0</v>
      </c>
      <c r="AZ153" s="182">
        <f>(AZ147+AZ129)/2</f>
        <v>0</v>
      </c>
      <c r="BA153" s="182">
        <f>(BA147+BA129)/2</f>
        <v>0</v>
      </c>
      <c r="BB153" s="182">
        <f>(BB147+BB129)/2</f>
        <v>0</v>
      </c>
      <c r="BC153" s="167"/>
      <c r="BD153" s="1248"/>
      <c r="BE153" s="1248"/>
      <c r="BF153" s="1018" t="s">
        <v>901</v>
      </c>
    </row>
    <row s="1621" customFormat="1" customHeight="1" ht="14.25">
      <c r="A154" s="1248"/>
      <c r="B154" s="1160"/>
      <c r="C154" s="1248"/>
      <c r="D154" s="1248"/>
      <c r="E154" s="607">
        <v>15</v>
      </c>
      <c r="F154" s="50" cm="1" t="str">
        <f t="array" ref="F154:F154">OFFSET(E154,-1,1)</f>
        <v>2</v>
      </c>
      <c r="G154" s="70" t="s">
        <v>902</v>
      </c>
      <c r="H154" s="1248"/>
      <c r="I154" s="1248"/>
      <c r="J154" s="1248"/>
      <c r="K154" s="1248"/>
      <c r="L154" s="1248"/>
      <c r="M154" s="1248"/>
      <c r="N154" s="1248"/>
      <c r="O154" s="1248"/>
      <c r="P154" s="1248"/>
      <c r="Q154" s="1248"/>
      <c r="R154" s="1248"/>
      <c r="S154" s="1248"/>
      <c r="T154" s="439" cm="1" t="str">
        <f t="array" ref="T154:T154">T153</f>
        <v>true</v>
      </c>
      <c r="U154" s="1248"/>
      <c r="V154" s="1248"/>
      <c r="W154" s="1248"/>
      <c r="X154" s="1534"/>
      <c r="Y154" s="1248"/>
      <c r="Z154" s="1535"/>
      <c r="AA154" s="1248"/>
      <c r="AB154" s="54" t="s">
        <v>903</v>
      </c>
      <c r="AC154" s="181" t="s">
        <v>855</v>
      </c>
      <c r="AD154" s="55" t="s">
        <v>784</v>
      </c>
      <c r="AE154" s="182">
        <f>(AE148+AE130)/2</f>
        <v>0</v>
      </c>
      <c r="AF154" s="182">
        <f>(AF148+AF130)/2</f>
        <v>0</v>
      </c>
      <c r="AG154" s="182">
        <f>(AG148+AG130)/2</f>
        <v>0</v>
      </c>
      <c r="AH154" s="182">
        <f>(AH148+AH130)/2</f>
        <v>0</v>
      </c>
      <c r="AI154" s="182">
        <f>(AI148+AI130)/2</f>
        <v>0</v>
      </c>
      <c r="AJ154" s="2614">
        <f>(AJ148+AJ130)/2</f>
        <v>0</v>
      </c>
      <c r="AK154" s="2614">
        <f>(AK148+AK130)/2</f>
        <v>0</v>
      </c>
      <c r="AL154" s="182">
        <f>(AL148+AL130)/2</f>
        <v>0</v>
      </c>
      <c r="AM154" s="182">
        <f>(AM148+AM130)/2</f>
        <v>0</v>
      </c>
      <c r="AN154" s="182">
        <f>(AN148+AN130)/2</f>
        <v>0</v>
      </c>
      <c r="AO154" s="182">
        <f>(AO148+AO130)/2</f>
        <v>0</v>
      </c>
      <c r="AP154" s="182">
        <f>(AP148+AP130)/2</f>
        <v>0</v>
      </c>
      <c r="AQ154" s="182">
        <f>(AQ148+AQ130)/2</f>
        <v>0</v>
      </c>
      <c r="AR154" s="182">
        <f>(AR148+AR130)/2</f>
        <v>0</v>
      </c>
      <c r="AS154" s="182">
        <f>(AS148+AS130)/2</f>
        <v>0</v>
      </c>
      <c r="AT154" s="2614">
        <f>(AT148+AT130)/2</f>
        <v>0</v>
      </c>
      <c r="AU154" s="2614">
        <f>(AU148+AU130)/2</f>
        <v>0</v>
      </c>
      <c r="AV154" s="182">
        <f>(AV148+AV130)/2</f>
        <v>0</v>
      </c>
      <c r="AW154" s="182">
        <f>(AW148+AW130)/2</f>
        <v>0</v>
      </c>
      <c r="AX154" s="182">
        <f>(AX148+AX130)/2</f>
        <v>0</v>
      </c>
      <c r="AY154" s="182">
        <f>(AY148+AY130)/2</f>
        <v>0</v>
      </c>
      <c r="AZ154" s="182">
        <f>(AZ148+AZ130)/2</f>
        <v>0</v>
      </c>
      <c r="BA154" s="182">
        <f>(BA148+BA130)/2</f>
        <v>0</v>
      </c>
      <c r="BB154" s="182">
        <f>(BB148+BB130)/2</f>
        <v>0</v>
      </c>
      <c r="BC154" s="167"/>
      <c r="BD154" s="1248"/>
      <c r="BE154" s="1248"/>
      <c r="BF154" s="1018" t="s">
        <v>904</v>
      </c>
    </row>
    <row s="1621" customFormat="1" customHeight="1" ht="14.25">
      <c r="A155" s="1248"/>
      <c r="B155" s="1160"/>
      <c r="C155" s="1248"/>
      <c r="D155" s="1248"/>
      <c r="E155" s="607">
        <v>15</v>
      </c>
      <c r="F155" s="50" cm="1" t="str">
        <f t="array" ref="F155:F155">OFFSET(E155,-1,1)</f>
        <v>2</v>
      </c>
      <c r="G155" s="70" t="s">
        <v>905</v>
      </c>
      <c r="H155" s="1248"/>
      <c r="I155" s="1248"/>
      <c r="J155" s="1248"/>
      <c r="K155" s="1248"/>
      <c r="L155" s="1248"/>
      <c r="M155" s="1248"/>
      <c r="N155" s="1248"/>
      <c r="O155" s="1248"/>
      <c r="P155" s="1248"/>
      <c r="Q155" s="1248"/>
      <c r="R155" s="1248"/>
      <c r="S155" s="1248"/>
      <c r="T155" s="439" cm="1" t="str">
        <f t="array" ref="T155:T155">T154</f>
        <v>true</v>
      </c>
      <c r="U155" s="1248"/>
      <c r="V155" s="1248"/>
      <c r="W155" s="1248"/>
      <c r="X155" s="1534"/>
      <c r="Y155" s="1248"/>
      <c r="Z155" s="1535"/>
      <c r="AA155" s="1248"/>
      <c r="AB155" s="54" t="s">
        <v>906</v>
      </c>
      <c r="AC155" s="181" t="s">
        <v>859</v>
      </c>
      <c r="AD155" s="55" t="s">
        <v>784</v>
      </c>
      <c r="AE155" s="182">
        <f>(AE149+AE131)/2</f>
        <v>0</v>
      </c>
      <c r="AF155" s="182">
        <f>(AF149+AF131)/2</f>
        <v>0</v>
      </c>
      <c r="AG155" s="182">
        <f>(AG149+AG131)/2</f>
        <v>0</v>
      </c>
      <c r="AH155" s="182">
        <f>(AH149+AH131)/2</f>
        <v>0</v>
      </c>
      <c r="AI155" s="182">
        <f>(AI149+AI131)/2</f>
        <v>0</v>
      </c>
      <c r="AJ155" s="2614">
        <f>(AJ149+AJ131)/2</f>
        <v>0</v>
      </c>
      <c r="AK155" s="2614">
        <f>(AK149+AK131)/2</f>
        <v>0</v>
      </c>
      <c r="AL155" s="182">
        <f>(AL149+AL131)/2</f>
        <v>0</v>
      </c>
      <c r="AM155" s="182">
        <f>(AM149+AM131)/2</f>
        <v>0</v>
      </c>
      <c r="AN155" s="182">
        <f>(AN149+AN131)/2</f>
        <v>0</v>
      </c>
      <c r="AO155" s="182">
        <f>(AO149+AO131)/2</f>
        <v>0</v>
      </c>
      <c r="AP155" s="182">
        <f>(AP149+AP131)/2</f>
        <v>0</v>
      </c>
      <c r="AQ155" s="182">
        <f>(AQ149+AQ131)/2</f>
        <v>0</v>
      </c>
      <c r="AR155" s="182">
        <f>(AR149+AR131)/2</f>
        <v>0</v>
      </c>
      <c r="AS155" s="182">
        <f>(AS149+AS131)/2</f>
        <v>0</v>
      </c>
      <c r="AT155" s="2614">
        <f>(AT149+AT131)/2</f>
        <v>0</v>
      </c>
      <c r="AU155" s="2614">
        <f>(AU149+AU131)/2</f>
        <v>0</v>
      </c>
      <c r="AV155" s="182">
        <f>(AV149+AV131)/2</f>
        <v>0</v>
      </c>
      <c r="AW155" s="182">
        <f>(AW149+AW131)/2</f>
        <v>0</v>
      </c>
      <c r="AX155" s="182">
        <f>(AX149+AX131)/2</f>
        <v>0</v>
      </c>
      <c r="AY155" s="182">
        <f>(AY149+AY131)/2</f>
        <v>0</v>
      </c>
      <c r="AZ155" s="182">
        <f>(AZ149+AZ131)/2</f>
        <v>0</v>
      </c>
      <c r="BA155" s="182">
        <f>(BA149+BA131)/2</f>
        <v>0</v>
      </c>
      <c r="BB155" s="182">
        <f>(BB149+BB131)/2</f>
        <v>0</v>
      </c>
      <c r="BC155" s="167"/>
      <c r="BD155" s="1248"/>
      <c r="BE155" s="1248"/>
      <c r="BF155" s="1018" t="s">
        <v>907</v>
      </c>
    </row>
    <row s="113" customFormat="1" customHeight="1" ht="21.75">
      <c r="A156" s="113"/>
      <c r="B156" s="404"/>
      <c r="C156" s="113"/>
      <c r="D156" s="113"/>
      <c r="E156" s="649">
        <v>22.5</v>
      </c>
      <c r="F156" s="50" cm="1" t="str">
        <f t="array" ref="F156:F156">OFFSET(E156,-1,1)</f>
        <v>2</v>
      </c>
      <c r="G156" s="70" t="s">
        <v>491</v>
      </c>
      <c r="H156" s="113"/>
      <c r="I156" s="113"/>
      <c r="J156" s="113"/>
      <c r="K156" s="113"/>
      <c r="L156" s="113"/>
      <c r="M156" s="113"/>
      <c r="N156" s="113"/>
      <c r="O156" s="113"/>
      <c r="P156" s="113"/>
      <c r="Q156" s="113"/>
      <c r="R156" s="113"/>
      <c r="S156" s="113"/>
      <c r="T156" s="439" cm="1" t="str">
        <f t="array" ref="T156:T156">T155</f>
        <v>true</v>
      </c>
      <c r="U156" s="113"/>
      <c r="V156" s="113"/>
      <c r="W156" s="113"/>
      <c r="X156" s="1534"/>
      <c r="Y156" s="113"/>
      <c r="Z156" s="1535"/>
      <c r="AA156" s="113"/>
      <c r="AB156" s="178">
        <v>6</v>
      </c>
      <c r="AC156" s="179" t="s">
        <v>908</v>
      </c>
      <c r="AD156" s="178"/>
      <c r="AE156" s="183"/>
      <c r="AF156" s="183"/>
      <c r="AG156" s="183"/>
      <c r="AH156" s="183"/>
      <c r="AI156" s="183"/>
      <c r="AJ156" s="183"/>
      <c r="AK156" s="183"/>
      <c r="AL156" s="183"/>
      <c r="AM156" s="183"/>
      <c r="AN156" s="183"/>
      <c r="AO156" s="183"/>
      <c r="AP156" s="183"/>
      <c r="AQ156" s="183"/>
      <c r="AR156" s="183"/>
      <c r="AS156" s="183"/>
      <c r="AT156" s="183"/>
      <c r="AU156" s="183"/>
      <c r="AV156" s="183"/>
      <c r="AW156" s="183"/>
      <c r="AX156" s="183"/>
      <c r="AY156" s="183"/>
      <c r="AZ156" s="183"/>
      <c r="BA156" s="183"/>
      <c r="BB156" s="183"/>
      <c r="BC156" s="167"/>
      <c r="BD156" s="113"/>
      <c r="BE156" s="113"/>
      <c r="BF156" s="1018" t="s">
        <v>909</v>
      </c>
    </row>
    <row s="1621" customFormat="1" customHeight="1" ht="14.25">
      <c r="A157" s="1248"/>
      <c r="B157" s="1160"/>
      <c r="C157" s="1248"/>
      <c r="D157" s="1248"/>
      <c r="E157" s="607">
        <v>15</v>
      </c>
      <c r="F157" s="50" cm="1" t="str">
        <f t="array" ref="F157:F157">OFFSET(E157,-1,1)</f>
        <v>2</v>
      </c>
      <c r="G157" s="70" t="s">
        <v>651</v>
      </c>
      <c r="H157" s="1248"/>
      <c r="I157" s="1248"/>
      <c r="J157" s="1248"/>
      <c r="K157" s="1248"/>
      <c r="L157" s="1248"/>
      <c r="M157" s="1248"/>
      <c r="N157" s="1248"/>
      <c r="O157" s="1248"/>
      <c r="P157" s="1248"/>
      <c r="Q157" s="1248"/>
      <c r="R157" s="1248"/>
      <c r="S157" s="1248"/>
      <c r="T157" s="439" cm="1" t="str">
        <f t="array" ref="T157:T157">T156</f>
        <v>true</v>
      </c>
      <c r="U157" s="1248"/>
      <c r="V157" s="1248"/>
      <c r="W157" s="1248"/>
      <c r="X157" s="1534"/>
      <c r="Y157" s="1248"/>
      <c r="Z157" s="1535"/>
      <c r="AA157" s="1248"/>
      <c r="AB157" s="54" t="s">
        <v>545</v>
      </c>
      <c r="AC157" s="181" t="s">
        <v>846</v>
      </c>
      <c r="AD157" s="54" t="s">
        <v>437</v>
      </c>
      <c r="AE157" s="182">
        <f>IF(AE151=0,0,AE163/AE151*100)</f>
        <v>0</v>
      </c>
      <c r="AF157" s="182">
        <f>IF(AF151=0,0,AF163/AF151*100)</f>
        <v>0</v>
      </c>
      <c r="AG157" s="182">
        <f>IF(AG151=0,0,AG163/AG151*100)</f>
        <v>0</v>
      </c>
      <c r="AH157" s="182">
        <f>IF(AH151=0,0,AH163/AH151*100)</f>
        <v>0</v>
      </c>
      <c r="AI157" s="182">
        <f>IF(AI151=0,0,AI163/AI151*100)</f>
        <v>0</v>
      </c>
      <c r="AJ157" s="2614">
        <f>IF(AJ151=0,0,AJ163/AJ151*100)</f>
        <v>0</v>
      </c>
      <c r="AK157" s="2614">
        <f>IF(AK151=0,0,AK163/AK151*100)</f>
        <v>0</v>
      </c>
      <c r="AL157" s="182">
        <f>IF(AL151=0,0,AL163/AL151*100)</f>
        <v>0</v>
      </c>
      <c r="AM157" s="182">
        <f>IF(AM151=0,0,AM163/AM151*100)</f>
        <v>0</v>
      </c>
      <c r="AN157" s="182">
        <f>IF(AN151=0,0,AN163/AN151*100)</f>
        <v>0</v>
      </c>
      <c r="AO157" s="182">
        <f>IF(AO151=0,0,AO163/AO151*100)</f>
        <v>0</v>
      </c>
      <c r="AP157" s="182">
        <f>IF(AP151=0,0,AP163/AP151*100)</f>
        <v>0</v>
      </c>
      <c r="AQ157" s="182">
        <f>IF(AQ151=0,0,AQ163/AQ151*100)</f>
        <v>0</v>
      </c>
      <c r="AR157" s="182">
        <f>IF(AR151=0,0,AR163/AR151*100)</f>
        <v>0</v>
      </c>
      <c r="AS157" s="182">
        <f>IF(AS151=0,0,AS163/AS151*100)</f>
        <v>0</v>
      </c>
      <c r="AT157" s="2614">
        <f>IF(AT151=0,0,AT163/AT151*100)</f>
        <v>0</v>
      </c>
      <c r="AU157" s="2614">
        <f>IF(AU151=0,0,AU163/AU151*100)</f>
        <v>0</v>
      </c>
      <c r="AV157" s="182">
        <f>IF(AV151=0,0,AV163/AV151*100)</f>
        <v>0</v>
      </c>
      <c r="AW157" s="182">
        <f>IF(AW151=0,0,AW163/AW151*100)</f>
        <v>0</v>
      </c>
      <c r="AX157" s="182">
        <f>IF(AX151=0,0,AX163/AX151*100)</f>
        <v>0</v>
      </c>
      <c r="AY157" s="182">
        <f>IF(AY151=0,0,AY163/AY151*100)</f>
        <v>0</v>
      </c>
      <c r="AZ157" s="182">
        <f>IF(AZ151=0,0,AZ163/AZ151*100)</f>
        <v>0</v>
      </c>
      <c r="BA157" s="182">
        <f>IF(BA151=0,0,BA163/BA151*100)</f>
        <v>0</v>
      </c>
      <c r="BB157" s="182">
        <f>IF(BB151=0,0,BB163/BB151*100)</f>
        <v>0</v>
      </c>
      <c r="BC157" s="167"/>
      <c r="BD157" s="1248"/>
      <c r="BE157" s="1248"/>
      <c r="BF157" s="1018" t="s">
        <v>910</v>
      </c>
    </row>
    <row s="1621" customFormat="1" customHeight="1" ht="14.25">
      <c r="A158" s="1248"/>
      <c r="B158" s="1160"/>
      <c r="C158" s="1248"/>
      <c r="D158" s="1248"/>
      <c r="E158" s="607">
        <v>15</v>
      </c>
      <c r="F158" s="50" cm="1" t="str">
        <f t="array" ref="F158:F158">OFFSET(E158,-1,1)</f>
        <v>2</v>
      </c>
      <c r="G158" s="70" t="s">
        <v>654</v>
      </c>
      <c r="H158" s="1248"/>
      <c r="I158" s="1248"/>
      <c r="J158" s="1248"/>
      <c r="K158" s="1248"/>
      <c r="L158" s="1248"/>
      <c r="M158" s="1248"/>
      <c r="N158" s="1248"/>
      <c r="O158" s="1248"/>
      <c r="P158" s="1248"/>
      <c r="Q158" s="1248"/>
      <c r="R158" s="1248"/>
      <c r="S158" s="1248"/>
      <c r="T158" s="439" cm="1" t="str">
        <f t="array" ref="T158:T158">T157</f>
        <v>true</v>
      </c>
      <c r="U158" s="1248"/>
      <c r="V158" s="1248"/>
      <c r="W158" s="1248"/>
      <c r="X158" s="1534"/>
      <c r="Y158" s="1248"/>
      <c r="Z158" s="1535"/>
      <c r="AA158" s="1248"/>
      <c r="AB158" s="54" t="s">
        <v>549</v>
      </c>
      <c r="AC158" s="181" t="s">
        <v>849</v>
      </c>
      <c r="AD158" s="54" t="s">
        <v>437</v>
      </c>
      <c r="AE158" s="182">
        <f>IF(AE152=0,0,AE164/AE152*100)</f>
        <v>0</v>
      </c>
      <c r="AF158" s="182">
        <f>IF(AF152=0,0,AF164/AF152*100)</f>
        <v>0</v>
      </c>
      <c r="AG158" s="182">
        <f>IF(AG152=0,0,AG164/AG152*100)</f>
        <v>0</v>
      </c>
      <c r="AH158" s="182">
        <f>IF(AH152=0,0,AH164/AH152*100)</f>
        <v>0</v>
      </c>
      <c r="AI158" s="182">
        <f>IF(AI152=0,0,AI164/AI152*100)</f>
        <v>0</v>
      </c>
      <c r="AJ158" s="2614">
        <f>IF(AJ152=0,0,AJ164/AJ152*100)</f>
        <v>0</v>
      </c>
      <c r="AK158" s="2614">
        <f>IF(AK152=0,0,AK164/AK152*100)</f>
        <v>0</v>
      </c>
      <c r="AL158" s="182">
        <f>IF(AL152=0,0,AL164/AL152*100)</f>
        <v>0</v>
      </c>
      <c r="AM158" s="182">
        <f>IF(AM152=0,0,AM164/AM152*100)</f>
        <v>0</v>
      </c>
      <c r="AN158" s="182">
        <f>IF(AN152=0,0,AN164/AN152*100)</f>
        <v>0</v>
      </c>
      <c r="AO158" s="182">
        <f>IF(AO152=0,0,AO164/AO152*100)</f>
        <v>0</v>
      </c>
      <c r="AP158" s="182">
        <f>IF(AP152=0,0,AP164/AP152*100)</f>
        <v>0</v>
      </c>
      <c r="AQ158" s="182">
        <f>IF(AQ152=0,0,AQ164/AQ152*100)</f>
        <v>0</v>
      </c>
      <c r="AR158" s="182">
        <f>IF(AR152=0,0,AR164/AR152*100)</f>
        <v>0</v>
      </c>
      <c r="AS158" s="182">
        <f>IF(AS152=0,0,AS164/AS152*100)</f>
        <v>0</v>
      </c>
      <c r="AT158" s="2614">
        <f>IF(AT152=0,0,AT164/AT152*100)</f>
        <v>0</v>
      </c>
      <c r="AU158" s="2614">
        <f>IF(AU152=0,0,AU164/AU152*100)</f>
        <v>0</v>
      </c>
      <c r="AV158" s="182">
        <f>IF(AV152=0,0,AV164/AV152*100)</f>
        <v>0</v>
      </c>
      <c r="AW158" s="182">
        <f>IF(AW152=0,0,AW164/AW152*100)</f>
        <v>0</v>
      </c>
      <c r="AX158" s="182">
        <f>IF(AX152=0,0,AX164/AX152*100)</f>
        <v>0</v>
      </c>
      <c r="AY158" s="182">
        <f>IF(AY152=0,0,AY164/AY152*100)</f>
        <v>0</v>
      </c>
      <c r="AZ158" s="182">
        <f>IF(AZ152=0,0,AZ164/AZ152*100)</f>
        <v>0</v>
      </c>
      <c r="BA158" s="182">
        <f>IF(BA152=0,0,BA164/BA152*100)</f>
        <v>0</v>
      </c>
      <c r="BB158" s="182">
        <f>IF(BB152=0,0,BB164/BB152*100)</f>
        <v>0</v>
      </c>
      <c r="BC158" s="167"/>
      <c r="BD158" s="1248"/>
      <c r="BE158" s="1248"/>
      <c r="BF158" s="1018" t="s">
        <v>911</v>
      </c>
    </row>
    <row s="1621" customFormat="1" customHeight="1" ht="14.25">
      <c r="A159" s="1248"/>
      <c r="B159" s="1160"/>
      <c r="C159" s="1248"/>
      <c r="D159" s="1248"/>
      <c r="E159" s="607">
        <v>15</v>
      </c>
      <c r="F159" s="50" cm="1" t="str">
        <f t="array" ref="F159:F159">OFFSET(E159,-1,1)</f>
        <v>2</v>
      </c>
      <c r="G159" s="70" t="s">
        <v>688</v>
      </c>
      <c r="H159" s="1248"/>
      <c r="I159" s="1248"/>
      <c r="J159" s="1248"/>
      <c r="K159" s="1248"/>
      <c r="L159" s="1248"/>
      <c r="M159" s="1248"/>
      <c r="N159" s="1248"/>
      <c r="O159" s="1248"/>
      <c r="P159" s="1248"/>
      <c r="Q159" s="1248"/>
      <c r="R159" s="1248"/>
      <c r="S159" s="1248"/>
      <c r="T159" s="439" cm="1" t="str">
        <f t="array" ref="T159:T159">T158</f>
        <v>true</v>
      </c>
      <c r="U159" s="1248"/>
      <c r="V159" s="1248"/>
      <c r="W159" s="1248"/>
      <c r="X159" s="1534"/>
      <c r="Y159" s="1248"/>
      <c r="Z159" s="1535"/>
      <c r="AA159" s="1248"/>
      <c r="AB159" s="54" t="s">
        <v>553</v>
      </c>
      <c r="AC159" s="181" t="s">
        <v>852</v>
      </c>
      <c r="AD159" s="54" t="s">
        <v>437</v>
      </c>
      <c r="AE159" s="182">
        <f>IF(AE153=0,0,AE165/AE153*100)</f>
        <v>0</v>
      </c>
      <c r="AF159" s="182">
        <f>IF(AF153=0,0,AF165/AF153*100)</f>
        <v>0</v>
      </c>
      <c r="AG159" s="182">
        <f>IF(AG153=0,0,AG165/AG153*100)</f>
        <v>0</v>
      </c>
      <c r="AH159" s="182">
        <f>IF(AH153=0,0,AH165/AH153*100)</f>
        <v>0</v>
      </c>
      <c r="AI159" s="182">
        <f>IF(AI153=0,0,AI165/AI153*100)</f>
        <v>0</v>
      </c>
      <c r="AJ159" s="2614">
        <f>IF(AJ153=0,0,AJ165/AJ153*100)</f>
        <v>0</v>
      </c>
      <c r="AK159" s="2614">
        <f>IF(AK153=0,0,AK165/AK153*100)</f>
        <v>0</v>
      </c>
      <c r="AL159" s="182">
        <f>IF(AL153=0,0,AL165/AL153*100)</f>
        <v>0</v>
      </c>
      <c r="AM159" s="182">
        <f>IF(AM153=0,0,AM165/AM153*100)</f>
        <v>0</v>
      </c>
      <c r="AN159" s="182">
        <f>IF(AN153=0,0,AN165/AN153*100)</f>
        <v>0</v>
      </c>
      <c r="AO159" s="182">
        <f>IF(AO153=0,0,AO165/AO153*100)</f>
        <v>0</v>
      </c>
      <c r="AP159" s="182">
        <f>IF(AP153=0,0,AP165/AP153*100)</f>
        <v>0</v>
      </c>
      <c r="AQ159" s="182">
        <f>IF(AQ153=0,0,AQ165/AQ153*100)</f>
        <v>0</v>
      </c>
      <c r="AR159" s="182">
        <f>IF(AR153=0,0,AR165/AR153*100)</f>
        <v>0</v>
      </c>
      <c r="AS159" s="182">
        <f>IF(AS153=0,0,AS165/AS153*100)</f>
        <v>0</v>
      </c>
      <c r="AT159" s="2614">
        <f>IF(AT153=0,0,AT165/AT153*100)</f>
        <v>0</v>
      </c>
      <c r="AU159" s="2614">
        <f>IF(AU153=0,0,AU165/AU153*100)</f>
        <v>0</v>
      </c>
      <c r="AV159" s="182">
        <f>IF(AV153=0,0,AV165/AV153*100)</f>
        <v>0</v>
      </c>
      <c r="AW159" s="182">
        <f>IF(AW153=0,0,AW165/AW153*100)</f>
        <v>0</v>
      </c>
      <c r="AX159" s="182">
        <f>IF(AX153=0,0,AX165/AX153*100)</f>
        <v>0</v>
      </c>
      <c r="AY159" s="182">
        <f>IF(AY153=0,0,AY165/AY153*100)</f>
        <v>0</v>
      </c>
      <c r="AZ159" s="182">
        <f>IF(AZ153=0,0,AZ165/AZ153*100)</f>
        <v>0</v>
      </c>
      <c r="BA159" s="182">
        <f>IF(BA153=0,0,BA165/BA153*100)</f>
        <v>0</v>
      </c>
      <c r="BB159" s="182">
        <f>IF(BB153=0,0,BB165/BB153*100)</f>
        <v>0</v>
      </c>
      <c r="BC159" s="167"/>
      <c r="BD159" s="1248"/>
      <c r="BE159" s="1248"/>
      <c r="BF159" s="1018" t="s">
        <v>912</v>
      </c>
    </row>
    <row s="1621" customFormat="1" customHeight="1" ht="14.25">
      <c r="A160" s="1248"/>
      <c r="B160" s="1160"/>
      <c r="C160" s="1248"/>
      <c r="D160" s="1248"/>
      <c r="E160" s="607">
        <v>15</v>
      </c>
      <c r="F160" s="50" cm="1" t="str">
        <f t="array" ref="F160:F160">OFFSET(E160,-1,1)</f>
        <v>2</v>
      </c>
      <c r="G160" s="70" t="s">
        <v>697</v>
      </c>
      <c r="H160" s="1248"/>
      <c r="I160" s="1248"/>
      <c r="J160" s="1248"/>
      <c r="K160" s="1248"/>
      <c r="L160" s="1248"/>
      <c r="M160" s="1248"/>
      <c r="N160" s="1248"/>
      <c r="O160" s="1248"/>
      <c r="P160" s="1248"/>
      <c r="Q160" s="1248"/>
      <c r="R160" s="1248"/>
      <c r="S160" s="1248"/>
      <c r="T160" s="439" cm="1" t="str">
        <f t="array" ref="T160:T160">T159</f>
        <v>true</v>
      </c>
      <c r="U160" s="1248"/>
      <c r="V160" s="1248"/>
      <c r="W160" s="1248"/>
      <c r="X160" s="1534"/>
      <c r="Y160" s="1248"/>
      <c r="Z160" s="1535"/>
      <c r="AA160" s="1248"/>
      <c r="AB160" s="54" t="s">
        <v>913</v>
      </c>
      <c r="AC160" s="181" t="s">
        <v>855</v>
      </c>
      <c r="AD160" s="54" t="s">
        <v>437</v>
      </c>
      <c r="AE160" s="182">
        <f>IF(AE154=0,0,AE166/AE154*100)</f>
        <v>0</v>
      </c>
      <c r="AF160" s="182">
        <f>IF(AF154=0,0,AF166/AF154*100)</f>
        <v>0</v>
      </c>
      <c r="AG160" s="182">
        <f>IF(AG154=0,0,AG166/AG154*100)</f>
        <v>0</v>
      </c>
      <c r="AH160" s="182">
        <f>IF(AH154=0,0,AH166/AH154*100)</f>
        <v>0</v>
      </c>
      <c r="AI160" s="182">
        <f>IF(AI154=0,0,AI166/AI154*100)</f>
        <v>0</v>
      </c>
      <c r="AJ160" s="2614">
        <f>IF(AJ154=0,0,AJ166/AJ154*100)</f>
        <v>0</v>
      </c>
      <c r="AK160" s="2614">
        <f>IF(AK154=0,0,AK166/AK154*100)</f>
        <v>0</v>
      </c>
      <c r="AL160" s="182">
        <f>IF(AL154=0,0,AL166/AL154*100)</f>
        <v>0</v>
      </c>
      <c r="AM160" s="182">
        <f>IF(AM154=0,0,AM166/AM154*100)</f>
        <v>0</v>
      </c>
      <c r="AN160" s="182">
        <f>IF(AN154=0,0,AN166/AN154*100)</f>
        <v>0</v>
      </c>
      <c r="AO160" s="182">
        <f>IF(AO154=0,0,AO166/AO154*100)</f>
        <v>0</v>
      </c>
      <c r="AP160" s="182">
        <f>IF(AP154=0,0,AP166/AP154*100)</f>
        <v>0</v>
      </c>
      <c r="AQ160" s="182">
        <f>IF(AQ154=0,0,AQ166/AQ154*100)</f>
        <v>0</v>
      </c>
      <c r="AR160" s="182">
        <f>IF(AR154=0,0,AR166/AR154*100)</f>
        <v>0</v>
      </c>
      <c r="AS160" s="182">
        <f>IF(AS154=0,0,AS166/AS154*100)</f>
        <v>0</v>
      </c>
      <c r="AT160" s="2614">
        <f>IF(AT154=0,0,AT166/AT154*100)</f>
        <v>0</v>
      </c>
      <c r="AU160" s="2614">
        <f>IF(AU154=0,0,AU166/AU154*100)</f>
        <v>0</v>
      </c>
      <c r="AV160" s="182">
        <f>IF(AV154=0,0,AV166/AV154*100)</f>
        <v>0</v>
      </c>
      <c r="AW160" s="182">
        <f>IF(AW154=0,0,AW166/AW154*100)</f>
        <v>0</v>
      </c>
      <c r="AX160" s="182">
        <f>IF(AX154=0,0,AX166/AX154*100)</f>
        <v>0</v>
      </c>
      <c r="AY160" s="182">
        <f>IF(AY154=0,0,AY166/AY154*100)</f>
        <v>0</v>
      </c>
      <c r="AZ160" s="182">
        <f>IF(AZ154=0,0,AZ166/AZ154*100)</f>
        <v>0</v>
      </c>
      <c r="BA160" s="182">
        <f>IF(BA154=0,0,BA166/BA154*100)</f>
        <v>0</v>
      </c>
      <c r="BB160" s="182">
        <f>IF(BB154=0,0,BB166/BB154*100)</f>
        <v>0</v>
      </c>
      <c r="BC160" s="167"/>
      <c r="BD160" s="1248"/>
      <c r="BE160" s="1248"/>
      <c r="BF160" s="1018" t="s">
        <v>914</v>
      </c>
    </row>
    <row s="1621" customFormat="1" customHeight="1" ht="14.25">
      <c r="A161" s="1248"/>
      <c r="B161" s="1160"/>
      <c r="C161" s="1248"/>
      <c r="D161" s="1248"/>
      <c r="E161" s="607">
        <v>15</v>
      </c>
      <c r="F161" s="50" cm="1" t="str">
        <f t="array" ref="F161:F161">OFFSET(E161,-1,1)</f>
        <v>2</v>
      </c>
      <c r="G161" s="70" t="s">
        <v>707</v>
      </c>
      <c r="H161" s="1248"/>
      <c r="I161" s="1248"/>
      <c r="J161" s="1248"/>
      <c r="K161" s="1248"/>
      <c r="L161" s="1248"/>
      <c r="M161" s="1248"/>
      <c r="N161" s="1248"/>
      <c r="O161" s="1248"/>
      <c r="P161" s="1248"/>
      <c r="Q161" s="1248"/>
      <c r="R161" s="1248"/>
      <c r="S161" s="1248"/>
      <c r="T161" s="439" cm="1" t="str">
        <f t="array" ref="T161:T161">T160</f>
        <v>true</v>
      </c>
      <c r="U161" s="1248"/>
      <c r="V161" s="1248"/>
      <c r="W161" s="1248"/>
      <c r="X161" s="1534"/>
      <c r="Y161" s="1248"/>
      <c r="Z161" s="1535"/>
      <c r="AA161" s="1248"/>
      <c r="AB161" s="54" t="s">
        <v>915</v>
      </c>
      <c r="AC161" s="181" t="s">
        <v>859</v>
      </c>
      <c r="AD161" s="54" t="s">
        <v>437</v>
      </c>
      <c r="AE161" s="182">
        <f>IF(AE155=0,0,AE167/AE155*100)</f>
        <v>0</v>
      </c>
      <c r="AF161" s="182">
        <f>IF(AF155=0,0,AF167/AF155*100)</f>
        <v>0</v>
      </c>
      <c r="AG161" s="182">
        <f>IF(AG155=0,0,AG167/AG155*100)</f>
        <v>0</v>
      </c>
      <c r="AH161" s="182">
        <f>IF(AH155=0,0,AH167/AH155*100)</f>
        <v>0</v>
      </c>
      <c r="AI161" s="182">
        <f>IF(AI155=0,0,AI167/AI155*100)</f>
        <v>0</v>
      </c>
      <c r="AJ161" s="2614">
        <f>IF(AJ155=0,0,AJ167/AJ155*100)</f>
        <v>0</v>
      </c>
      <c r="AK161" s="2614">
        <f>IF(AK155=0,0,AK167/AK155*100)</f>
        <v>0</v>
      </c>
      <c r="AL161" s="182">
        <f>IF(AL155=0,0,AL167/AL155*100)</f>
        <v>0</v>
      </c>
      <c r="AM161" s="182">
        <f>IF(AM155=0,0,AM167/AM155*100)</f>
        <v>0</v>
      </c>
      <c r="AN161" s="182">
        <f>IF(AN155=0,0,AN167/AN155*100)</f>
        <v>0</v>
      </c>
      <c r="AO161" s="182">
        <f>IF(AO155=0,0,AO167/AO155*100)</f>
        <v>0</v>
      </c>
      <c r="AP161" s="182">
        <f>IF(AP155=0,0,AP167/AP155*100)</f>
        <v>0</v>
      </c>
      <c r="AQ161" s="182">
        <f>IF(AQ155=0,0,AQ167/AQ155*100)</f>
        <v>0</v>
      </c>
      <c r="AR161" s="182">
        <f>IF(AR155=0,0,AR167/AR155*100)</f>
        <v>0</v>
      </c>
      <c r="AS161" s="182">
        <f>IF(AS155=0,0,AS167/AS155*100)</f>
        <v>0</v>
      </c>
      <c r="AT161" s="2614">
        <f>IF(AT155=0,0,AT167/AT155*100)</f>
        <v>0</v>
      </c>
      <c r="AU161" s="2614">
        <f>IF(AU155=0,0,AU167/AU155*100)</f>
        <v>0</v>
      </c>
      <c r="AV161" s="182">
        <f>IF(AV155=0,0,AV167/AV155*100)</f>
        <v>0</v>
      </c>
      <c r="AW161" s="182">
        <f>IF(AW155=0,0,AW167/AW155*100)</f>
        <v>0</v>
      </c>
      <c r="AX161" s="182">
        <f>IF(AX155=0,0,AX167/AX155*100)</f>
        <v>0</v>
      </c>
      <c r="AY161" s="182">
        <f>IF(AY155=0,0,AY167/AY155*100)</f>
        <v>0</v>
      </c>
      <c r="AZ161" s="182">
        <f>IF(AZ155=0,0,AZ167/AZ155*100)</f>
        <v>0</v>
      </c>
      <c r="BA161" s="182">
        <f>IF(BA155=0,0,BA167/BA155*100)</f>
        <v>0</v>
      </c>
      <c r="BB161" s="182">
        <f>IF(BB155=0,0,BB167/BB155*100)</f>
        <v>0</v>
      </c>
      <c r="BC161" s="167"/>
      <c r="BD161" s="1248"/>
      <c r="BE161" s="1248"/>
      <c r="BF161" s="1018" t="s">
        <v>916</v>
      </c>
    </row>
    <row s="113" customFormat="1" customHeight="1" ht="14.625">
      <c r="A162" s="113"/>
      <c r="B162" s="404"/>
      <c r="C162" s="113"/>
      <c r="D162" s="113"/>
      <c r="E162" s="607">
        <v>15</v>
      </c>
      <c r="F162" s="50" cm="1" t="str">
        <f t="array" ref="F162:F162">OFFSET(E162,-1,1)</f>
        <v>2</v>
      </c>
      <c r="G162" s="70" t="s">
        <v>495</v>
      </c>
      <c r="H162" s="113"/>
      <c r="I162" s="113"/>
      <c r="J162" s="113"/>
      <c r="K162" s="90" t="str">
        <f>F162&amp;"komm"</f>
        <v>2komm</v>
      </c>
      <c r="L162" s="901" cm="1" t="str">
        <f t="array" ref="L162:L162">BC162</f>
        <v>0</v>
      </c>
      <c r="M162" s="113"/>
      <c r="N162" s="113"/>
      <c r="O162" s="113"/>
      <c r="P162" s="113"/>
      <c r="Q162" s="113"/>
      <c r="R162" s="113"/>
      <c r="S162" s="113"/>
      <c r="T162" s="439" cm="1" t="str">
        <f t="array" ref="T162:T162">T161</f>
        <v>true</v>
      </c>
      <c r="U162" s="113"/>
      <c r="V162" s="113"/>
      <c r="W162" s="113"/>
      <c r="X162" s="1534"/>
      <c r="Y162" s="113"/>
      <c r="Z162" s="1535"/>
      <c r="AA162" s="113"/>
      <c r="AB162" s="178">
        <v>7</v>
      </c>
      <c r="AC162" s="179" t="s">
        <v>917</v>
      </c>
      <c r="AD162" s="55" t="s">
        <v>784</v>
      </c>
      <c r="AE162" s="1225">
        <f>SUM(AE163:AE167)</f>
        <v>0</v>
      </c>
      <c r="AF162" s="1225">
        <v>3149.81176</v>
      </c>
      <c r="AG162" s="1225">
        <v>19.3129358333</v>
      </c>
      <c r="AH162" s="1225">
        <v>19.3129358333</v>
      </c>
      <c r="AI162" s="1225">
        <v>3144.4416</v>
      </c>
      <c r="AJ162" s="2611">
        <f>SUM(AJ163:AJ167)</f>
        <v>0</v>
      </c>
      <c r="AK162" s="2611">
        <f>SUM(AK163:AK167)</f>
        <v>0</v>
      </c>
      <c r="AL162" s="1225">
        <f>SUM(AL163:AL167)</f>
        <v>0</v>
      </c>
      <c r="AM162" s="1225">
        <f>SUM(AM163:AM167)</f>
        <v>0</v>
      </c>
      <c r="AN162" s="1225">
        <f>SUM(AN163:AN167)</f>
        <v>0</v>
      </c>
      <c r="AO162" s="1225">
        <f>SUM(AO163:AO167)</f>
        <v>0</v>
      </c>
      <c r="AP162" s="1225">
        <f>SUM(AP163:AP167)</f>
        <v>0</v>
      </c>
      <c r="AQ162" s="1225">
        <f>SUM(AQ163:AQ167)</f>
        <v>0</v>
      </c>
      <c r="AR162" s="1225">
        <f>SUM(AR163:AR167)</f>
        <v>0</v>
      </c>
      <c r="AS162" s="1225">
        <v>19.3129358333</v>
      </c>
      <c r="AT162" s="2611">
        <f>SUM(AT163:AT167)</f>
        <v>0</v>
      </c>
      <c r="AU162" s="2611">
        <f>SUM(AU163:AU167)</f>
        <v>0</v>
      </c>
      <c r="AV162" s="1225">
        <f>SUM(AV163:AV167)</f>
        <v>0</v>
      </c>
      <c r="AW162" s="1225">
        <f>SUM(AW163:AW167)</f>
        <v>0</v>
      </c>
      <c r="AX162" s="1225">
        <f>SUM(AX163:AX167)</f>
        <v>0</v>
      </c>
      <c r="AY162" s="1225">
        <f>SUM(AY163:AY167)</f>
        <v>0</v>
      </c>
      <c r="AZ162" s="1225">
        <f>SUM(AZ163:AZ167)</f>
        <v>0</v>
      </c>
      <c r="BA162" s="1225">
        <f>SUM(BA163:BA167)</f>
        <v>0</v>
      </c>
      <c r="BB162" s="1225">
        <f>SUM(BB163:BB167)</f>
        <v>0</v>
      </c>
      <c r="BC162" s="167"/>
      <c r="BD162" s="113"/>
      <c r="BE162" s="113"/>
      <c r="BF162" s="1018" t="s">
        <v>918</v>
      </c>
    </row>
    <row s="1621" customFormat="1" customHeight="1" ht="14.25">
      <c r="A163" s="1248"/>
      <c r="B163" s="1160"/>
      <c r="C163" s="1248"/>
      <c r="D163" s="1248"/>
      <c r="E163" s="607">
        <v>15</v>
      </c>
      <c r="F163" s="50" cm="1" t="str">
        <f t="array" ref="F163:F163">OFFSET(E163,-1,1)</f>
        <v>2</v>
      </c>
      <c r="G163" s="70" t="s">
        <v>658</v>
      </c>
      <c r="H163" s="1248"/>
      <c r="I163" s="1248"/>
      <c r="J163" s="1248"/>
      <c r="K163" s="1248"/>
      <c r="L163" s="1248"/>
      <c r="M163" s="1248"/>
      <c r="N163" s="1248"/>
      <c r="O163" s="1248"/>
      <c r="P163" s="1248"/>
      <c r="Q163" s="1248"/>
      <c r="R163" s="1248"/>
      <c r="S163" s="1248"/>
      <c r="T163" s="439" cm="1" t="str">
        <f t="array" ref="T163:T163">T162</f>
        <v>true</v>
      </c>
      <c r="U163" s="1248"/>
      <c r="V163" s="1248"/>
      <c r="W163" s="1248"/>
      <c r="X163" s="1534"/>
      <c r="Y163" s="1248"/>
      <c r="Z163" s="1535"/>
      <c r="AA163" s="1248"/>
      <c r="AB163" s="54" t="s">
        <v>561</v>
      </c>
      <c r="AC163" s="181" t="s">
        <v>846</v>
      </c>
      <c r="AD163" s="55" t="s">
        <v>784</v>
      </c>
      <c r="AE163" s="182"/>
      <c r="AF163" s="182"/>
      <c r="AG163" s="182"/>
      <c r="AH163" s="182"/>
      <c r="AI163" s="182"/>
      <c r="AJ163" s="2614"/>
      <c r="AK163" s="2614"/>
      <c r="AL163" s="182"/>
      <c r="AM163" s="182"/>
      <c r="AN163" s="182"/>
      <c r="AO163" s="182"/>
      <c r="AP163" s="182"/>
      <c r="AQ163" s="182"/>
      <c r="AR163" s="182"/>
      <c r="AS163" s="182"/>
      <c r="AT163" s="2614"/>
      <c r="AU163" s="2614"/>
      <c r="AV163" s="182"/>
      <c r="AW163" s="182"/>
      <c r="AX163" s="182"/>
      <c r="AY163" s="182"/>
      <c r="AZ163" s="182"/>
      <c r="BA163" s="182"/>
      <c r="BB163" s="182"/>
      <c r="BC163" s="167"/>
      <c r="BD163" s="1248"/>
      <c r="BE163" s="1248"/>
      <c r="BF163" s="1018" t="s">
        <v>919</v>
      </c>
    </row>
    <row s="1621" customFormat="1" customHeight="1" ht="14.25">
      <c r="A164" s="1248"/>
      <c r="B164" s="1160"/>
      <c r="C164" s="1248"/>
      <c r="D164" s="1248"/>
      <c r="E164" s="607">
        <v>15</v>
      </c>
      <c r="F164" s="50" cm="1" t="str">
        <f t="array" ref="F164:F164">OFFSET(E164,-1,1)</f>
        <v>2</v>
      </c>
      <c r="G164" s="70" t="s">
        <v>661</v>
      </c>
      <c r="H164" s="1248"/>
      <c r="I164" s="1248"/>
      <c r="J164" s="1248"/>
      <c r="K164" s="1248"/>
      <c r="L164" s="1248"/>
      <c r="M164" s="1248"/>
      <c r="N164" s="1248"/>
      <c r="O164" s="1248"/>
      <c r="P164" s="1248"/>
      <c r="Q164" s="1248"/>
      <c r="R164" s="1248"/>
      <c r="S164" s="1248"/>
      <c r="T164" s="439" cm="1" t="str">
        <f t="array" ref="T164:T164">T163</f>
        <v>true</v>
      </c>
      <c r="U164" s="1248"/>
      <c r="V164" s="1248"/>
      <c r="W164" s="1248"/>
      <c r="X164" s="1534"/>
      <c r="Y164" s="1248"/>
      <c r="Z164" s="1535"/>
      <c r="AA164" s="1248"/>
      <c r="AB164" s="54" t="s">
        <v>920</v>
      </c>
      <c r="AC164" s="181" t="s">
        <v>849</v>
      </c>
      <c r="AD164" s="55" t="s">
        <v>784</v>
      </c>
      <c r="AE164" s="182"/>
      <c r="AF164" s="182"/>
      <c r="AG164" s="182"/>
      <c r="AH164" s="182"/>
      <c r="AI164" s="182"/>
      <c r="AJ164" s="2614"/>
      <c r="AK164" s="2614"/>
      <c r="AL164" s="182"/>
      <c r="AM164" s="182"/>
      <c r="AN164" s="182"/>
      <c r="AO164" s="182"/>
      <c r="AP164" s="182"/>
      <c r="AQ164" s="182"/>
      <c r="AR164" s="182"/>
      <c r="AS164" s="182"/>
      <c r="AT164" s="2614"/>
      <c r="AU164" s="2614"/>
      <c r="AV164" s="182"/>
      <c r="AW164" s="182"/>
      <c r="AX164" s="182"/>
      <c r="AY164" s="182"/>
      <c r="AZ164" s="182"/>
      <c r="BA164" s="182"/>
      <c r="BB164" s="182"/>
      <c r="BC164" s="167"/>
      <c r="BD164" s="1248"/>
      <c r="BE164" s="1248"/>
      <c r="BF164" s="1018" t="s">
        <v>921</v>
      </c>
    </row>
    <row s="1621" customFormat="1" customHeight="1" ht="14.25">
      <c r="A165" s="1248"/>
      <c r="B165" s="1160"/>
      <c r="C165" s="1248"/>
      <c r="D165" s="1248"/>
      <c r="E165" s="607">
        <v>15</v>
      </c>
      <c r="F165" s="50" cm="1" t="str">
        <f t="array" ref="F165:F165">OFFSET(E165,-1,1)</f>
        <v>2</v>
      </c>
      <c r="G165" s="70" t="s">
        <v>922</v>
      </c>
      <c r="H165" s="1248"/>
      <c r="I165" s="1248"/>
      <c r="J165" s="1248"/>
      <c r="K165" s="1248"/>
      <c r="L165" s="1248"/>
      <c r="M165" s="1248"/>
      <c r="N165" s="1248"/>
      <c r="O165" s="1248"/>
      <c r="P165" s="1248"/>
      <c r="Q165" s="1248"/>
      <c r="R165" s="1248"/>
      <c r="S165" s="1248"/>
      <c r="T165" s="439" cm="1" t="str">
        <f t="array" ref="T165:T165">T164</f>
        <v>true</v>
      </c>
      <c r="U165" s="1248"/>
      <c r="V165" s="1248"/>
      <c r="W165" s="1248"/>
      <c r="X165" s="1534"/>
      <c r="Y165" s="1248"/>
      <c r="Z165" s="1535"/>
      <c r="AA165" s="1248"/>
      <c r="AB165" s="54" t="s">
        <v>923</v>
      </c>
      <c r="AC165" s="181" t="s">
        <v>852</v>
      </c>
      <c r="AD165" s="55" t="s">
        <v>784</v>
      </c>
      <c r="AE165" s="182"/>
      <c r="AF165" s="182"/>
      <c r="AG165" s="182"/>
      <c r="AH165" s="182"/>
      <c r="AI165" s="182"/>
      <c r="AJ165" s="2614"/>
      <c r="AK165" s="2614"/>
      <c r="AL165" s="182"/>
      <c r="AM165" s="182"/>
      <c r="AN165" s="182"/>
      <c r="AO165" s="182"/>
      <c r="AP165" s="182"/>
      <c r="AQ165" s="182"/>
      <c r="AR165" s="182"/>
      <c r="AS165" s="182"/>
      <c r="AT165" s="2614"/>
      <c r="AU165" s="2614"/>
      <c r="AV165" s="182"/>
      <c r="AW165" s="182"/>
      <c r="AX165" s="182"/>
      <c r="AY165" s="182"/>
      <c r="AZ165" s="182"/>
      <c r="BA165" s="182"/>
      <c r="BB165" s="182"/>
      <c r="BC165" s="167"/>
      <c r="BD165" s="1248"/>
      <c r="BE165" s="1248"/>
      <c r="BF165" s="1018" t="s">
        <v>924</v>
      </c>
    </row>
    <row s="1621" customFormat="1" customHeight="1" ht="14.25">
      <c r="A166" s="1248"/>
      <c r="B166" s="1160"/>
      <c r="C166" s="1248"/>
      <c r="D166" s="1248"/>
      <c r="E166" s="607">
        <v>15</v>
      </c>
      <c r="F166" s="50" cm="1" t="str">
        <f t="array" ref="F166:F166">OFFSET(E166,-1,1)</f>
        <v>2</v>
      </c>
      <c r="G166" s="70" t="s">
        <v>925</v>
      </c>
      <c r="H166" s="1248"/>
      <c r="I166" s="1248"/>
      <c r="J166" s="1248"/>
      <c r="K166" s="1248"/>
      <c r="L166" s="1248"/>
      <c r="M166" s="1248"/>
      <c r="N166" s="1248"/>
      <c r="O166" s="1248"/>
      <c r="P166" s="1248"/>
      <c r="Q166" s="1248"/>
      <c r="R166" s="1248"/>
      <c r="S166" s="1248"/>
      <c r="T166" s="439" cm="1" t="str">
        <f t="array" ref="T166:T166">T165</f>
        <v>true</v>
      </c>
      <c r="U166" s="1248"/>
      <c r="V166" s="1248"/>
      <c r="W166" s="1248"/>
      <c r="X166" s="1534"/>
      <c r="Y166" s="1248"/>
      <c r="Z166" s="1535"/>
      <c r="AA166" s="1248"/>
      <c r="AB166" s="54" t="s">
        <v>926</v>
      </c>
      <c r="AC166" s="181" t="s">
        <v>855</v>
      </c>
      <c r="AD166" s="55" t="s">
        <v>784</v>
      </c>
      <c r="AE166" s="182"/>
      <c r="AF166" s="182"/>
      <c r="AG166" s="182"/>
      <c r="AH166" s="182"/>
      <c r="AI166" s="182"/>
      <c r="AJ166" s="2614"/>
      <c r="AK166" s="2614"/>
      <c r="AL166" s="182"/>
      <c r="AM166" s="182"/>
      <c r="AN166" s="182"/>
      <c r="AO166" s="182"/>
      <c r="AP166" s="182"/>
      <c r="AQ166" s="182"/>
      <c r="AR166" s="182"/>
      <c r="AS166" s="182"/>
      <c r="AT166" s="2614"/>
      <c r="AU166" s="2614"/>
      <c r="AV166" s="182"/>
      <c r="AW166" s="182"/>
      <c r="AX166" s="182"/>
      <c r="AY166" s="182"/>
      <c r="AZ166" s="182"/>
      <c r="BA166" s="182"/>
      <c r="BB166" s="182"/>
      <c r="BC166" s="167"/>
      <c r="BD166" s="1248"/>
      <c r="BE166" s="1248"/>
      <c r="BF166" s="1018" t="s">
        <v>927</v>
      </c>
    </row>
    <row s="1621" customFormat="1" customHeight="1" ht="401.25">
      <c r="A167" s="1248"/>
      <c r="B167" s="1160"/>
      <c r="C167" s="1248"/>
      <c r="D167" s="1248"/>
      <c r="E167" s="607">
        <v>15</v>
      </c>
      <c r="F167" s="50" cm="1" t="str">
        <f t="array" ref="F167:F167">OFFSET(E167,-1,1)</f>
        <v>2</v>
      </c>
      <c r="G167" s="70" t="s">
        <v>928</v>
      </c>
      <c r="H167" s="1248"/>
      <c r="I167" s="1248"/>
      <c r="J167" s="1248"/>
      <c r="K167" s="1248"/>
      <c r="L167" s="1248"/>
      <c r="M167" s="1248"/>
      <c r="N167" s="1248"/>
      <c r="O167" s="1248"/>
      <c r="P167" s="1248"/>
      <c r="Q167" s="1248"/>
      <c r="R167" s="1248"/>
      <c r="S167" s="1248"/>
      <c r="T167" s="439" cm="1" t="str">
        <f t="array" ref="T167:T167">T166</f>
        <v>true</v>
      </c>
      <c r="U167" s="1248"/>
      <c r="V167" s="1248"/>
      <c r="W167" s="1248"/>
      <c r="X167" s="1534"/>
      <c r="Y167" s="1248"/>
      <c r="Z167" s="1535"/>
      <c r="AA167" s="1248"/>
      <c r="AB167" s="54" t="s">
        <v>929</v>
      </c>
      <c r="AC167" s="181" t="s">
        <v>859</v>
      </c>
      <c r="AD167" s="55" t="s">
        <v>784</v>
      </c>
      <c r="AE167" s="182">
        <v>0</v>
      </c>
      <c r="AF167" s="182">
        <v>3149.81176</v>
      </c>
      <c r="AG167" s="182">
        <v>19.3129358333</v>
      </c>
      <c r="AH167" s="182">
        <v>19.3129358333</v>
      </c>
      <c r="AI167" s="182">
        <v>3144.4416</v>
      </c>
      <c r="AJ167" s="2614"/>
      <c r="AK167" s="2614"/>
      <c r="AL167" s="182"/>
      <c r="AM167" s="182"/>
      <c r="AN167" s="182"/>
      <c r="AO167" s="182"/>
      <c r="AP167" s="182"/>
      <c r="AQ167" s="182"/>
      <c r="AR167" s="182"/>
      <c r="AS167" s="182">
        <v>19.3129358333</v>
      </c>
      <c r="AT167" s="2614"/>
      <c r="AU167" s="2614"/>
      <c r="AV167" s="182"/>
      <c r="AW167" s="182"/>
      <c r="AX167" s="182"/>
      <c r="AY167" s="182"/>
      <c r="AZ167" s="182"/>
      <c r="BA167" s="182"/>
      <c r="BB167" s="182"/>
      <c r="BC167" s="167" t="s">
        <v>941</v>
      </c>
      <c r="BD167" s="1248"/>
      <c r="BE167" s="1248"/>
      <c r="BF167" s="1018" t="s">
        <v>930</v>
      </c>
    </row>
    <row s="113" customFormat="1" customHeight="1" ht="14.25">
      <c r="A168" s="113"/>
      <c r="B168" s="404"/>
      <c r="C168" s="113"/>
      <c r="D168" s="113"/>
      <c r="E168" s="607">
        <v>15</v>
      </c>
      <c r="F168" s="50" cm="1" t="str">
        <f t="array" ref="F168:F168">OFFSET(E168,-1,1)</f>
        <v>2</v>
      </c>
      <c r="G168" s="70" t="s">
        <v>541</v>
      </c>
      <c r="H168" s="113"/>
      <c r="I168" s="113"/>
      <c r="J168" s="113"/>
      <c r="K168" s="113"/>
      <c r="L168" s="113"/>
      <c r="M168" s="113"/>
      <c r="N168" s="113"/>
      <c r="O168" s="113"/>
      <c r="P168" s="113"/>
      <c r="Q168" s="113"/>
      <c r="R168" s="113"/>
      <c r="S168" s="113"/>
      <c r="T168" s="439" cm="1" t="str">
        <f t="array" ref="T168:T168">T167</f>
        <v>true</v>
      </c>
      <c r="U168" s="113"/>
      <c r="V168" s="113"/>
      <c r="W168" s="113"/>
      <c r="X168" s="1534"/>
      <c r="Y168" s="113"/>
      <c r="Z168" s="1535"/>
      <c r="AA168" s="113"/>
      <c r="AB168" s="178">
        <v>8</v>
      </c>
      <c r="AC168" s="179" t="s">
        <v>931</v>
      </c>
      <c r="AD168" s="55" t="s">
        <v>784</v>
      </c>
      <c r="AE168" s="1225">
        <f>SUM(AE169:AE173)</f>
        <v>0</v>
      </c>
      <c r="AF168" s="1225">
        <f>SUM(AF169:AF173)</f>
        <v>0</v>
      </c>
      <c r="AG168" s="1225">
        <f>SUM(AG169:AG173)</f>
        <v>0</v>
      </c>
      <c r="AH168" s="1225">
        <f>SUM(AH169:AH173)</f>
        <v>0</v>
      </c>
      <c r="AI168" s="1225">
        <f>SUM(AI169:AI173)</f>
        <v>0</v>
      </c>
      <c r="AJ168" s="2611">
        <f>SUM(AJ169:AJ173)</f>
        <v>0</v>
      </c>
      <c r="AK168" s="2611">
        <f>SUM(AK169:AK173)</f>
        <v>0</v>
      </c>
      <c r="AL168" s="1225">
        <f>SUM(AL169:AL173)</f>
        <v>0</v>
      </c>
      <c r="AM168" s="1225">
        <f>SUM(AM169:AM173)</f>
        <v>0</v>
      </c>
      <c r="AN168" s="1225">
        <f>SUM(AN169:AN173)</f>
        <v>0</v>
      </c>
      <c r="AO168" s="1225">
        <f>SUM(AO169:AO173)</f>
        <v>0</v>
      </c>
      <c r="AP168" s="1225">
        <f>SUM(AP169:AP173)</f>
        <v>0</v>
      </c>
      <c r="AQ168" s="1225">
        <f>SUM(AQ169:AQ173)</f>
        <v>0</v>
      </c>
      <c r="AR168" s="1225">
        <f>SUM(AR169:AR173)</f>
        <v>0</v>
      </c>
      <c r="AS168" s="1225">
        <f>SUM(AS169:AS173)</f>
        <v>0</v>
      </c>
      <c r="AT168" s="2611">
        <f>SUM(AT169:AT173)</f>
        <v>0</v>
      </c>
      <c r="AU168" s="2611">
        <f>SUM(AU169:AU173)</f>
        <v>0</v>
      </c>
      <c r="AV168" s="1225">
        <f>SUM(AV169:AV173)</f>
        <v>0</v>
      </c>
      <c r="AW168" s="1225">
        <f>SUM(AW169:AW173)</f>
        <v>0</v>
      </c>
      <c r="AX168" s="1225">
        <f>SUM(AX169:AX173)</f>
        <v>0</v>
      </c>
      <c r="AY168" s="1225">
        <f>SUM(AY169:AY173)</f>
        <v>0</v>
      </c>
      <c r="AZ168" s="1225">
        <f>SUM(AZ169:AZ173)</f>
        <v>0</v>
      </c>
      <c r="BA168" s="1225">
        <f>SUM(BA169:BA173)</f>
        <v>0</v>
      </c>
      <c r="BB168" s="1225">
        <f>SUM(BB169:BB173)</f>
        <v>0</v>
      </c>
      <c r="BC168" s="167"/>
      <c r="BD168" s="113"/>
      <c r="BE168" s="113"/>
      <c r="BF168" s="1018" t="s">
        <v>932</v>
      </c>
    </row>
    <row s="1621" customFormat="1" customHeight="1" ht="14.25">
      <c r="A169" s="1248"/>
      <c r="B169" s="1160"/>
      <c r="C169" s="1248"/>
      <c r="D169" s="1248"/>
      <c r="E169" s="607">
        <v>15</v>
      </c>
      <c r="F169" s="50" cm="1" t="str">
        <f t="array" ref="F169:F169">OFFSET(E169,-1,1)</f>
        <v>2</v>
      </c>
      <c r="G169" s="70" t="s">
        <v>544</v>
      </c>
      <c r="H169" s="1248"/>
      <c r="I169" s="1248"/>
      <c r="J169" s="1248"/>
      <c r="K169" s="1248"/>
      <c r="L169" s="1248"/>
      <c r="M169" s="1248"/>
      <c r="N169" s="1248"/>
      <c r="O169" s="1248"/>
      <c r="P169" s="1248"/>
      <c r="Q169" s="1248"/>
      <c r="R169" s="1248"/>
      <c r="S169" s="1248"/>
      <c r="T169" s="439" cm="1" t="str">
        <f t="array" ref="T169:T169">T168</f>
        <v>true</v>
      </c>
      <c r="U169" s="1248"/>
      <c r="V169" s="1248"/>
      <c r="W169" s="1248"/>
      <c r="X169" s="1534"/>
      <c r="Y169" s="1248"/>
      <c r="Z169" s="1535"/>
      <c r="AA169" s="1248"/>
      <c r="AB169" s="54" t="s">
        <v>569</v>
      </c>
      <c r="AC169" s="181" t="s">
        <v>846</v>
      </c>
      <c r="AD169" s="55" t="s">
        <v>784</v>
      </c>
      <c r="AE169" s="182"/>
      <c r="AF169" s="182"/>
      <c r="AG169" s="182"/>
      <c r="AH169" s="182"/>
      <c r="AI169" s="182"/>
      <c r="AJ169" s="2614"/>
      <c r="AK169" s="2614"/>
      <c r="AL169" s="182"/>
      <c r="AM169" s="182"/>
      <c r="AN169" s="182"/>
      <c r="AO169" s="182"/>
      <c r="AP169" s="182"/>
      <c r="AQ169" s="182"/>
      <c r="AR169" s="182"/>
      <c r="AS169" s="182"/>
      <c r="AT169" s="2614"/>
      <c r="AU169" s="2614"/>
      <c r="AV169" s="182"/>
      <c r="AW169" s="182"/>
      <c r="AX169" s="182"/>
      <c r="AY169" s="182"/>
      <c r="AZ169" s="182"/>
      <c r="BA169" s="182"/>
      <c r="BB169" s="182"/>
      <c r="BC169" s="167"/>
      <c r="BD169" s="1248"/>
      <c r="BE169" s="1248"/>
      <c r="BF169" s="1018" t="s">
        <v>933</v>
      </c>
    </row>
    <row s="1621" customFormat="1" customHeight="1" ht="14.25">
      <c r="A170" s="1248"/>
      <c r="B170" s="1160"/>
      <c r="C170" s="1248"/>
      <c r="D170" s="1248"/>
      <c r="E170" s="607">
        <v>15</v>
      </c>
      <c r="F170" s="50" cm="1" t="str">
        <f t="array" ref="F170:F170">OFFSET(E170,-1,1)</f>
        <v>2</v>
      </c>
      <c r="G170" s="70" t="s">
        <v>548</v>
      </c>
      <c r="H170" s="1248"/>
      <c r="I170" s="1248"/>
      <c r="J170" s="1248"/>
      <c r="K170" s="1248"/>
      <c r="L170" s="1248"/>
      <c r="M170" s="1248"/>
      <c r="N170" s="1248"/>
      <c r="O170" s="1248"/>
      <c r="P170" s="1248"/>
      <c r="Q170" s="1248"/>
      <c r="R170" s="1248"/>
      <c r="S170" s="1248"/>
      <c r="T170" s="439" cm="1" t="str">
        <f t="array" ref="T170:T170">T169</f>
        <v>true</v>
      </c>
      <c r="U170" s="1248"/>
      <c r="V170" s="1248"/>
      <c r="W170" s="1248"/>
      <c r="X170" s="1534"/>
      <c r="Y170" s="1248"/>
      <c r="Z170" s="1535"/>
      <c r="AA170" s="1248"/>
      <c r="AB170" s="54" t="s">
        <v>586</v>
      </c>
      <c r="AC170" s="181" t="s">
        <v>849</v>
      </c>
      <c r="AD170" s="55" t="s">
        <v>784</v>
      </c>
      <c r="AE170" s="182"/>
      <c r="AF170" s="182"/>
      <c r="AG170" s="182"/>
      <c r="AH170" s="182"/>
      <c r="AI170" s="182"/>
      <c r="AJ170" s="2614"/>
      <c r="AK170" s="2614"/>
      <c r="AL170" s="182"/>
      <c r="AM170" s="182"/>
      <c r="AN170" s="182"/>
      <c r="AO170" s="182"/>
      <c r="AP170" s="182"/>
      <c r="AQ170" s="182"/>
      <c r="AR170" s="182"/>
      <c r="AS170" s="182"/>
      <c r="AT170" s="2614"/>
      <c r="AU170" s="2614"/>
      <c r="AV170" s="182"/>
      <c r="AW170" s="182"/>
      <c r="AX170" s="182"/>
      <c r="AY170" s="182"/>
      <c r="AZ170" s="182"/>
      <c r="BA170" s="182"/>
      <c r="BB170" s="182"/>
      <c r="BC170" s="167"/>
      <c r="BD170" s="1248"/>
      <c r="BE170" s="1248"/>
      <c r="BF170" s="1018" t="s">
        <v>934</v>
      </c>
    </row>
    <row s="1621" customFormat="1" customHeight="1" ht="14.25">
      <c r="A171" s="1248"/>
      <c r="B171" s="1160"/>
      <c r="C171" s="1248"/>
      <c r="D171" s="1248"/>
      <c r="E171" s="607">
        <v>15</v>
      </c>
      <c r="F171" s="50" cm="1" t="str">
        <f t="array" ref="F171:F171">OFFSET(E171,-1,1)</f>
        <v>2</v>
      </c>
      <c r="G171" s="70" t="s">
        <v>552</v>
      </c>
      <c r="H171" s="1248"/>
      <c r="I171" s="1248"/>
      <c r="J171" s="1248"/>
      <c r="K171" s="1248"/>
      <c r="L171" s="1248"/>
      <c r="M171" s="1248"/>
      <c r="N171" s="1248"/>
      <c r="O171" s="1248"/>
      <c r="P171" s="1248"/>
      <c r="Q171" s="1248"/>
      <c r="R171" s="1248"/>
      <c r="S171" s="1248"/>
      <c r="T171" s="439" cm="1" t="str">
        <f t="array" ref="T171:T171">T170</f>
        <v>true</v>
      </c>
      <c r="U171" s="1248"/>
      <c r="V171" s="1248"/>
      <c r="W171" s="1248"/>
      <c r="X171" s="1534"/>
      <c r="Y171" s="1248"/>
      <c r="Z171" s="1535"/>
      <c r="AA171" s="1248"/>
      <c r="AB171" s="54" t="s">
        <v>598</v>
      </c>
      <c r="AC171" s="181" t="s">
        <v>852</v>
      </c>
      <c r="AD171" s="55" t="s">
        <v>784</v>
      </c>
      <c r="AE171" s="182"/>
      <c r="AF171" s="182"/>
      <c r="AG171" s="182"/>
      <c r="AH171" s="182"/>
      <c r="AI171" s="182"/>
      <c r="AJ171" s="2614"/>
      <c r="AK171" s="2614"/>
      <c r="AL171" s="182"/>
      <c r="AM171" s="182"/>
      <c r="AN171" s="182"/>
      <c r="AO171" s="182"/>
      <c r="AP171" s="182"/>
      <c r="AQ171" s="182"/>
      <c r="AR171" s="182"/>
      <c r="AS171" s="182"/>
      <c r="AT171" s="2614"/>
      <c r="AU171" s="2614"/>
      <c r="AV171" s="182"/>
      <c r="AW171" s="182"/>
      <c r="AX171" s="182"/>
      <c r="AY171" s="182"/>
      <c r="AZ171" s="182"/>
      <c r="BA171" s="182"/>
      <c r="BB171" s="182"/>
      <c r="BC171" s="167"/>
      <c r="BD171" s="1248"/>
      <c r="BE171" s="1248"/>
      <c r="BF171" s="1018" t="s">
        <v>935</v>
      </c>
    </row>
    <row s="1621" customFormat="1" customHeight="1" ht="14.25">
      <c r="A172" s="1248"/>
      <c r="B172" s="1160"/>
      <c r="C172" s="1248"/>
      <c r="D172" s="1248"/>
      <c r="E172" s="607">
        <v>15</v>
      </c>
      <c r="F172" s="50" cm="1" t="str">
        <f t="array" ref="F172:F172">OFFSET(E172,-1,1)</f>
        <v>2</v>
      </c>
      <c r="G172" s="70" t="s">
        <v>936</v>
      </c>
      <c r="H172" s="1248"/>
      <c r="I172" s="1248"/>
      <c r="J172" s="1248"/>
      <c r="K172" s="1248"/>
      <c r="L172" s="1248"/>
      <c r="M172" s="1248"/>
      <c r="N172" s="1248"/>
      <c r="O172" s="1248"/>
      <c r="P172" s="1248"/>
      <c r="Q172" s="1248"/>
      <c r="R172" s="1248"/>
      <c r="S172" s="1248"/>
      <c r="T172" s="439" cm="1" t="str">
        <f t="array" ref="T172:T172">T171</f>
        <v>true</v>
      </c>
      <c r="U172" s="1248"/>
      <c r="V172" s="1248"/>
      <c r="W172" s="1248"/>
      <c r="X172" s="1534"/>
      <c r="Y172" s="1248"/>
      <c r="Z172" s="1535"/>
      <c r="AA172" s="1248"/>
      <c r="AB172" s="54" t="s">
        <v>633</v>
      </c>
      <c r="AC172" s="181" t="s">
        <v>855</v>
      </c>
      <c r="AD172" s="55" t="s">
        <v>784</v>
      </c>
      <c r="AE172" s="182"/>
      <c r="AF172" s="182"/>
      <c r="AG172" s="182"/>
      <c r="AH172" s="182"/>
      <c r="AI172" s="182"/>
      <c r="AJ172" s="2614"/>
      <c r="AK172" s="2614"/>
      <c r="AL172" s="182"/>
      <c r="AM172" s="182"/>
      <c r="AN172" s="182"/>
      <c r="AO172" s="182"/>
      <c r="AP172" s="182"/>
      <c r="AQ172" s="182"/>
      <c r="AR172" s="182"/>
      <c r="AS172" s="182"/>
      <c r="AT172" s="2614"/>
      <c r="AU172" s="2614"/>
      <c r="AV172" s="182"/>
      <c r="AW172" s="182"/>
      <c r="AX172" s="182"/>
      <c r="AY172" s="182"/>
      <c r="AZ172" s="182"/>
      <c r="BA172" s="182"/>
      <c r="BB172" s="182"/>
      <c r="BC172" s="167"/>
      <c r="BD172" s="1248"/>
      <c r="BE172" s="1248"/>
      <c r="BF172" s="1018" t="s">
        <v>937</v>
      </c>
    </row>
    <row s="1621" customFormat="1" customHeight="1" ht="14.25">
      <c r="A173" s="1248"/>
      <c r="B173" s="1160"/>
      <c r="C173" s="1248"/>
      <c r="D173" s="1248"/>
      <c r="E173" s="607">
        <v>15</v>
      </c>
      <c r="F173" s="50" cm="1" t="str">
        <f t="array" ref="F173:F173">OFFSET(E173,-1,1)</f>
        <v>2</v>
      </c>
      <c r="G173" s="70" t="s">
        <v>938</v>
      </c>
      <c r="H173" s="1248"/>
      <c r="I173" s="1248"/>
      <c r="J173" s="1248"/>
      <c r="K173" s="1248"/>
      <c r="L173" s="1248"/>
      <c r="M173" s="1248"/>
      <c r="N173" s="1248"/>
      <c r="O173" s="1248"/>
      <c r="P173" s="1248"/>
      <c r="Q173" s="1248"/>
      <c r="R173" s="1248"/>
      <c r="S173" s="1248"/>
      <c r="T173" s="439" cm="1" t="str">
        <f t="array" ref="T173:T173">T172</f>
        <v>true</v>
      </c>
      <c r="U173" s="1248"/>
      <c r="V173" s="1248"/>
      <c r="W173" s="1248"/>
      <c r="X173" s="1534"/>
      <c r="Y173" s="1248"/>
      <c r="Z173" s="1535"/>
      <c r="AA173" s="1248"/>
      <c r="AB173" s="54" t="s">
        <v>636</v>
      </c>
      <c r="AC173" s="181" t="s">
        <v>859</v>
      </c>
      <c r="AD173" s="55" t="s">
        <v>784</v>
      </c>
      <c r="AE173" s="182"/>
      <c r="AF173" s="182"/>
      <c r="AG173" s="182"/>
      <c r="AH173" s="182"/>
      <c r="AI173" s="182"/>
      <c r="AJ173" s="2614"/>
      <c r="AK173" s="2614"/>
      <c r="AL173" s="182"/>
      <c r="AM173" s="182"/>
      <c r="AN173" s="182"/>
      <c r="AO173" s="182"/>
      <c r="AP173" s="182"/>
      <c r="AQ173" s="182"/>
      <c r="AR173" s="182"/>
      <c r="AS173" s="182"/>
      <c r="AT173" s="2614"/>
      <c r="AU173" s="2614"/>
      <c r="AV173" s="182"/>
      <c r="AW173" s="182"/>
      <c r="AX173" s="182"/>
      <c r="AY173" s="182"/>
      <c r="AZ173" s="182"/>
      <c r="BA173" s="182"/>
      <c r="BB173" s="182"/>
      <c r="BC173" s="167"/>
      <c r="BD173" s="1248"/>
      <c r="BE173" s="1248"/>
      <c r="BF173" s="1018" t="s">
        <v>939</v>
      </c>
    </row>
    <row customHeight="1" ht="10.725000000000001">
      <c r="E174" s="607">
        <v>11</v>
      </c>
      <c r="F174" s="316"/>
      <c r="U174" s="70" t="s">
        <v>177</v>
      </c>
      <c r="V174" s="106" t="s">
        <v>942</v>
      </c>
      <c r="Z174" s="546"/>
      <c r="AA174" s="546"/>
      <c r="AB174" s="442"/>
      <c r="AC174" s="442"/>
      <c r="AD174" s="442"/>
      <c r="AE174" s="442"/>
      <c r="AF174" s="442"/>
      <c r="AG174" s="442"/>
      <c r="AH174" s="442"/>
      <c r="AI174" s="938"/>
      <c r="AJ174" s="938"/>
      <c r="AK174" s="938"/>
      <c r="AL174" s="938"/>
      <c r="AM174" s="938"/>
      <c r="AN174" s="938"/>
      <c r="AO174" s="938"/>
      <c r="AP174" s="938"/>
      <c r="AQ174" s="938"/>
      <c r="AR174" s="938"/>
      <c r="AS174" s="938"/>
      <c r="AT174" s="938"/>
      <c r="AU174" s="938"/>
      <c r="AV174" s="938"/>
      <c r="AW174" s="938"/>
      <c r="AX174" s="938"/>
      <c r="AY174" s="938"/>
      <c r="AZ174" s="938"/>
      <c r="BA174" s="938"/>
      <c r="BB174" s="938"/>
      <c r="BC174" s="938"/>
    </row>
    <row customHeight="1" ht="14.625">
      <c r="E175" s="607">
        <v>15</v>
      </c>
      <c r="AA175" s="64"/>
      <c r="AB175" s="1485" t="s">
        <v>398</v>
      </c>
      <c r="AC175" s="1485"/>
      <c r="AD175" s="1485"/>
      <c r="AE175" s="1485"/>
      <c r="AF175" s="1485"/>
      <c r="AG175" s="1485"/>
      <c r="AH175" s="1485"/>
      <c r="AI175" s="1522"/>
      <c r="AJ175" s="1522"/>
      <c r="AK175" s="1522"/>
      <c r="AL175" s="1522"/>
      <c r="AM175" s="1522"/>
      <c r="AN175" s="1522"/>
      <c r="AO175" s="1522"/>
      <c r="AP175" s="1522"/>
      <c r="AQ175" s="1522"/>
      <c r="AR175" s="1522"/>
      <c r="AS175" s="1522"/>
      <c r="AT175" s="1522"/>
      <c r="AU175" s="1522"/>
      <c r="AV175" s="1522"/>
      <c r="AW175" s="1522"/>
      <c r="AX175" s="1522"/>
      <c r="AY175" s="1522"/>
      <c r="AZ175" s="1522"/>
      <c r="BA175" s="1522"/>
      <c r="BB175" s="1522"/>
      <c r="BC175" s="1522"/>
      <c r="BD175" s="64"/>
    </row>
    <row customHeight="1" ht="29.25">
      <c r="E176" s="607">
        <v>15</v>
      </c>
      <c r="T176" s="463"/>
      <c r="AA176" s="140"/>
      <c r="AB176" s="1524" t="s">
        <v>943</v>
      </c>
      <c r="AC176" s="1524"/>
      <c r="AD176" s="1524"/>
      <c r="AE176" s="1524"/>
      <c r="AF176" s="1524"/>
      <c r="AG176" s="1524"/>
      <c r="AH176" s="1524"/>
      <c r="AI176" s="1526"/>
      <c r="AJ176" s="2620"/>
      <c r="AK176" s="2620"/>
      <c r="AL176" s="2620"/>
      <c r="AM176" s="2620"/>
      <c r="AN176" s="2620"/>
      <c r="AO176" s="2620"/>
      <c r="AP176" s="2620"/>
      <c r="AQ176" s="2620"/>
      <c r="AR176" s="2620"/>
      <c r="AS176" s="1526"/>
      <c r="AT176" s="2620"/>
      <c r="AU176" s="2620"/>
      <c r="AV176" s="2620"/>
      <c r="AW176" s="2620"/>
      <c r="AX176" s="2620"/>
      <c r="AY176" s="2620"/>
      <c r="AZ176" s="2620"/>
      <c r="BA176" s="2620"/>
      <c r="BB176" s="2620"/>
      <c r="BC176" s="1526"/>
      <c r="BD176" s="64"/>
    </row>
    <row customHeight="1" ht="14.625" hidden="1">
      <c r="A177" s="1248"/>
      <c r="B177" s="1160"/>
      <c r="C177" s="1248"/>
      <c r="D177" s="1248"/>
      <c r="E177" s="607">
        <v>15</v>
      </c>
      <c r="F177" s="1248"/>
      <c r="G177" s="1248"/>
      <c r="H177" s="1248"/>
      <c r="I177" s="1248"/>
      <c r="J177" s="1248"/>
      <c r="K177" s="1248"/>
      <c r="L177" s="1248"/>
      <c r="M177" s="1248"/>
      <c r="N177" s="1248"/>
      <c r="O177" s="1248"/>
      <c r="P177" s="1248"/>
      <c r="Q177" s="1248"/>
      <c r="R177" s="1248"/>
      <c r="S177" s="1248"/>
      <c r="T177" s="439">
        <f>ROW(W177)&gt;ROW(W$177)</f>
        <v>0</v>
      </c>
      <c r="U177" s="1248"/>
      <c r="V177" s="1248"/>
      <c r="W177" s="738" t="s">
        <v>173</v>
      </c>
      <c r="X177" s="1248"/>
      <c r="Y177" s="1248"/>
      <c r="Z177" s="1248"/>
      <c r="AA177" s="652" t="s">
        <v>174</v>
      </c>
      <c r="AB177" s="2621" t="s">
        <v>222</v>
      </c>
      <c r="AC177" s="2621"/>
      <c r="AD177" s="2621"/>
      <c r="AE177" s="2621"/>
      <c r="AF177" s="2621"/>
      <c r="AG177" s="2621"/>
      <c r="AH177" s="2621"/>
      <c r="AI177" s="1526"/>
      <c r="AJ177" s="2620"/>
      <c r="AK177" s="2620"/>
      <c r="AL177" s="2620"/>
      <c r="AM177" s="2620"/>
      <c r="AN177" s="2620"/>
      <c r="AO177" s="2620"/>
      <c r="AP177" s="2620"/>
      <c r="AQ177" s="2620"/>
      <c r="AR177" s="2620"/>
      <c r="AS177" s="1526"/>
      <c r="AT177" s="2620"/>
      <c r="AU177" s="2620"/>
      <c r="AV177" s="2620"/>
      <c r="AW177" s="2620"/>
      <c r="AX177" s="2620"/>
      <c r="AY177" s="2620"/>
      <c r="AZ177" s="2620"/>
      <c r="BA177" s="2620"/>
      <c r="BB177" s="2620"/>
      <c r="BC177" s="2620"/>
      <c r="BD177" s="64"/>
      <c r="BE177" s="1248"/>
      <c r="BF177" s="1166"/>
    </row>
    <row s="1621" customFormat="1" customHeight="1" ht="46.5">
      <c r="A178" s="1248"/>
      <c r="B178" s="1160"/>
      <c r="C178" s="1248"/>
      <c r="D178" s="1248"/>
      <c r="E178" s="607">
        <v>15</v>
      </c>
      <c r="F178" s="1248"/>
      <c r="G178" s="1248"/>
      <c r="H178" s="1248"/>
      <c r="I178" s="1248"/>
      <c r="J178" s="1248"/>
      <c r="K178" s="1248"/>
      <c r="L178" s="1248"/>
      <c r="M178" s="1248"/>
      <c r="N178" s="1248"/>
      <c r="O178" s="1248"/>
      <c r="P178" s="1248"/>
      <c r="Q178" s="1248"/>
      <c r="R178" s="1248"/>
      <c r="S178" s="1248"/>
      <c r="T178" s="439">
        <f>ROW(W178)&gt;ROW(W$177)</f>
        <v>1</v>
      </c>
      <c r="U178" s="1248"/>
      <c r="V178" s="1248"/>
      <c r="W178" s="738"/>
      <c r="X178" s="1248"/>
      <c r="Y178" s="1248" t="s">
        <v>222</v>
      </c>
      <c r="Z178" s="1248"/>
      <c r="AA178" s="652" t="s">
        <v>174</v>
      </c>
      <c r="AB178" s="1524" t="s">
        <v>944</v>
      </c>
      <c r="AC178" s="1524"/>
      <c r="AD178" s="1524"/>
      <c r="AE178" s="1524"/>
      <c r="AF178" s="1524"/>
      <c r="AG178" s="1524"/>
      <c r="AH178" s="1524"/>
      <c r="AI178" s="1526"/>
      <c r="AJ178" s="1526"/>
      <c r="AK178" s="1526"/>
      <c r="AL178" s="1526"/>
      <c r="AM178" s="1526"/>
      <c r="AN178" s="1526"/>
      <c r="AO178" s="1526"/>
      <c r="AP178" s="1526"/>
      <c r="AQ178" s="1526"/>
      <c r="AR178" s="1526"/>
      <c r="AS178" s="1526"/>
      <c r="AT178" s="1526"/>
      <c r="AU178" s="1526"/>
      <c r="AV178" s="1526"/>
      <c r="AW178" s="1526"/>
      <c r="AX178" s="1526"/>
      <c r="AY178" s="1526"/>
      <c r="AZ178" s="1526"/>
      <c r="BA178" s="1526"/>
      <c r="BB178" s="1526"/>
      <c r="BC178" s="1526"/>
      <c r="BD178" s="64"/>
      <c r="BE178" s="1248"/>
      <c r="BF178" s="1166"/>
    </row>
    <row s="1621" customFormat="1" customHeight="1" ht="51.75">
      <c r="A179" s="1248"/>
      <c r="B179" s="1160"/>
      <c r="C179" s="1248"/>
      <c r="D179" s="1248"/>
      <c r="E179" s="607">
        <v>15</v>
      </c>
      <c r="F179" s="1248"/>
      <c r="G179" s="1248"/>
      <c r="H179" s="1248"/>
      <c r="I179" s="1248"/>
      <c r="J179" s="1248"/>
      <c r="K179" s="1248"/>
      <c r="L179" s="1248"/>
      <c r="M179" s="1248"/>
      <c r="N179" s="1248"/>
      <c r="O179" s="1248"/>
      <c r="P179" s="1248"/>
      <c r="Q179" s="1248"/>
      <c r="R179" s="1248"/>
      <c r="S179" s="1248"/>
      <c r="T179" s="439">
        <f>ROW(W179)&gt;ROW(W$177)</f>
        <v>1</v>
      </c>
      <c r="U179" s="1248"/>
      <c r="V179" s="1248"/>
      <c r="W179" s="738"/>
      <c r="X179" s="1248"/>
      <c r="Y179" s="1248" t="s">
        <v>222</v>
      </c>
      <c r="Z179" s="1248"/>
      <c r="AA179" s="652" t="s">
        <v>174</v>
      </c>
      <c r="AB179" s="1524" t="s">
        <v>945</v>
      </c>
      <c r="AC179" s="1524"/>
      <c r="AD179" s="1524"/>
      <c r="AE179" s="1524"/>
      <c r="AF179" s="1524"/>
      <c r="AG179" s="1524"/>
      <c r="AH179" s="1524"/>
      <c r="AI179" s="1526"/>
      <c r="AJ179" s="1526"/>
      <c r="AK179" s="1526"/>
      <c r="AL179" s="1526"/>
      <c r="AM179" s="1526"/>
      <c r="AN179" s="1526"/>
      <c r="AO179" s="1526"/>
      <c r="AP179" s="1526"/>
      <c r="AQ179" s="1526"/>
      <c r="AR179" s="1526"/>
      <c r="AS179" s="1526"/>
      <c r="AT179" s="1526"/>
      <c r="AU179" s="1526"/>
      <c r="AV179" s="1526"/>
      <c r="AW179" s="1526"/>
      <c r="AX179" s="1526"/>
      <c r="AY179" s="1526"/>
      <c r="AZ179" s="1526"/>
      <c r="BA179" s="1526"/>
      <c r="BB179" s="1526"/>
      <c r="BC179" s="1526"/>
      <c r="BD179" s="64"/>
      <c r="BE179" s="1248"/>
      <c r="BF179" s="1166"/>
    </row>
    <row s="1621" customFormat="1" customHeight="1" ht="49.5">
      <c r="A180" s="1248"/>
      <c r="B180" s="1160"/>
      <c r="C180" s="1248"/>
      <c r="D180" s="1248"/>
      <c r="E180" s="607">
        <v>15</v>
      </c>
      <c r="F180" s="1248"/>
      <c r="G180" s="1248"/>
      <c r="H180" s="1248"/>
      <c r="I180" s="1248"/>
      <c r="J180" s="1248"/>
      <c r="K180" s="1248"/>
      <c r="L180" s="1248"/>
      <c r="M180" s="1248"/>
      <c r="N180" s="1248"/>
      <c r="O180" s="1248"/>
      <c r="P180" s="1248"/>
      <c r="Q180" s="1248"/>
      <c r="R180" s="1248"/>
      <c r="S180" s="1248"/>
      <c r="T180" s="439">
        <f>ROW(W180)&gt;ROW(W$177)</f>
        <v>1</v>
      </c>
      <c r="U180" s="1248"/>
      <c r="V180" s="1248"/>
      <c r="W180" s="738"/>
      <c r="X180" s="1248"/>
      <c r="Y180" s="1248" t="s">
        <v>222</v>
      </c>
      <c r="Z180" s="1248"/>
      <c r="AA180" s="652" t="s">
        <v>174</v>
      </c>
      <c r="AB180" s="1524" t="s">
        <v>946</v>
      </c>
      <c r="AC180" s="1524"/>
      <c r="AD180" s="1524"/>
      <c r="AE180" s="1524"/>
      <c r="AF180" s="1524"/>
      <c r="AG180" s="1524"/>
      <c r="AH180" s="1524"/>
      <c r="AI180" s="1526"/>
      <c r="AJ180" s="1526"/>
      <c r="AK180" s="1526"/>
      <c r="AL180" s="1526"/>
      <c r="AM180" s="1526"/>
      <c r="AN180" s="1526"/>
      <c r="AO180" s="1526"/>
      <c r="AP180" s="1526"/>
      <c r="AQ180" s="1526"/>
      <c r="AR180" s="1526"/>
      <c r="AS180" s="1526"/>
      <c r="AT180" s="1526"/>
      <c r="AU180" s="1526"/>
      <c r="AV180" s="1526"/>
      <c r="AW180" s="1526"/>
      <c r="AX180" s="1526"/>
      <c r="AY180" s="1526"/>
      <c r="AZ180" s="1526"/>
      <c r="BA180" s="1526"/>
      <c r="BB180" s="1526"/>
      <c r="BC180" s="1526"/>
      <c r="BD180" s="64"/>
      <c r="BE180" s="1248"/>
      <c r="BF180" s="1166"/>
    </row>
    <row customHeight="1" ht="14.625">
      <c r="E181" s="607">
        <v>15</v>
      </c>
      <c r="W181" s="738" t="s">
        <v>399</v>
      </c>
      <c r="AA181" s="64"/>
      <c r="AB181" s="627"/>
      <c r="AC181" s="488" t="s">
        <v>400</v>
      </c>
      <c r="AD181" s="277"/>
      <c r="AE181" s="277"/>
      <c r="AF181" s="278"/>
      <c r="AG181" s="278"/>
      <c r="AH181" s="278"/>
      <c r="AI181" s="278"/>
      <c r="AJ181" s="278"/>
      <c r="AK181" s="278"/>
      <c r="AL181" s="278"/>
      <c r="AM181" s="278"/>
      <c r="AN181" s="278"/>
      <c r="AO181" s="278"/>
      <c r="AP181" s="278"/>
      <c r="AQ181" s="278"/>
      <c r="AR181" s="278"/>
      <c r="AS181" s="278"/>
      <c r="AT181" s="278"/>
      <c r="AU181" s="278"/>
      <c r="AV181" s="278"/>
      <c r="AW181" s="278"/>
      <c r="AX181" s="278"/>
      <c r="AY181" s="278"/>
      <c r="AZ181" s="278"/>
      <c r="BA181" s="278"/>
      <c r="BB181" s="278"/>
      <c r="BC181" s="279"/>
      <c r="BD181" s="64"/>
    </row>
    <row customHeight="1" ht="10.96875">
      <c r="E182" s="607">
        <v>11.25</v>
      </c>
      <c r="AI182" s="1535"/>
      <c r="AJ182" s="1535"/>
      <c r="AK182" s="1535"/>
      <c r="AL182" s="1535"/>
      <c r="AM182" s="1535"/>
      <c r="AN182" s="1535"/>
      <c r="AO182" s="1535"/>
      <c r="AP182" s="1535"/>
      <c r="AQ182" s="1535"/>
      <c r="AR182" s="1535"/>
      <c r="AS182" s="1535"/>
      <c r="AT182" s="1535"/>
      <c r="AU182" s="1535"/>
      <c r="AV182" s="1535"/>
      <c r="AW182" s="1535"/>
      <c r="AX182" s="1535"/>
      <c r="AY182" s="1535"/>
      <c r="AZ182" s="1535"/>
      <c r="BA182" s="1535"/>
      <c r="BB182" s="1535"/>
      <c r="BD182" s="399"/>
    </row>
  </sheetData>
  <sheetProtection formatColumns="0" formatRows="0" insertRows="0" deleteColumns="0" deleteRows="0" sort="0" autoFilter="0" insertColumns="1"/>
  <mergeCells count="17">
    <mergeCell ref="AB23:BB23"/>
    <mergeCell ref="AB24:AB25"/>
    <mergeCell ref="AC24:AC25"/>
    <mergeCell ref="AD24:AD25"/>
    <mergeCell ref="BC24:BC25"/>
    <mergeCell ref="AB177:BC177"/>
    <mergeCell ref="X27:X75"/>
    <mergeCell ref="Z27:Z75"/>
    <mergeCell ref="AB176:BC176"/>
    <mergeCell ref="AB175:BC175"/>
    <mergeCell ref="X76:X124"/>
    <mergeCell ref="Z76:Z124"/>
    <mergeCell ref="X125:X173"/>
    <mergeCell ref="Z125:Z173"/>
    <mergeCell ref="AB178:BC178"/>
    <mergeCell ref="AB179:BC179"/>
    <mergeCell ref="AB180:BC180"/>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411908-2968-0364-3968-49CED7594971}" mc:Ignorable="x14ac xr xr2 xr3">
  <sheetPr>
    <tabColor rgb="FF002060"/>
    <outlinePr summaryRight="0" summaryBelow="0"/>
    <pageSetUpPr fitToPage="1"/>
  </sheetPr>
  <dimension ref="A1:BF62"/>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4.8515625" hidden="1" customWidth="1"/>
    <col min="3" max="3" style="1153" width="3.57421875" hidden="1" customWidth="1"/>
    <col min="4" max="4" style="1153" width="7.14062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35.00390625" customWidth="1"/>
    <col min="30" max="30" style="1153" width="12.00390625" customWidth="1"/>
    <col min="31" max="31" style="1465" width="13.00390625" customWidth="1"/>
    <col min="32" max="35" style="1153" width="13.00390625" customWidth="1"/>
    <col min="36" max="44" style="1153" width="13.00390625" hidden="1" customWidth="1"/>
    <col min="45" max="45" style="1153" width="13.00390625" customWidth="1"/>
    <col min="46" max="54" style="1153" width="13.00390625" hidden="1" customWidth="1"/>
    <col min="55" max="55" style="1153" width="20.00390625" customWidth="1"/>
    <col min="56" max="56" style="1153" width="3.00390625" customWidth="1"/>
    <col min="57" max="57" style="1153" width="9.140625" hidden="1"/>
    <col min="58" max="58" style="1253" width="9.140625" hidden="1"/>
  </cols>
  <sheetData>
    <row customHeight="1" ht="11.25" hidden="1">
      <c r="E1" s="115"/>
      <c r="F1" s="115" t="s">
        <v>313</v>
      </c>
      <c r="H1" s="115" t="s">
        <v>324</v>
      </c>
      <c r="T1" s="439" t="s">
        <v>92</v>
      </c>
      <c r="U1" s="439" t="s">
        <v>97</v>
      </c>
      <c r="V1" s="439" t="s">
        <v>93</v>
      </c>
      <c r="W1" s="439" t="s">
        <v>94</v>
      </c>
      <c r="X1" s="439" t="s">
        <v>95</v>
      </c>
      <c r="Y1" s="441" t="s">
        <v>315</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316</v>
      </c>
    </row>
    <row s="1160" customFormat="1" customHeight="1" ht="11.25" hidden="1">
      <c r="B2" s="420"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row>
    <row customHeight="1" ht="11.25" hidden="1">
      <c r="E3" s="115"/>
      <c r="AI3" s="469"/>
      <c r="AJ3" s="469"/>
      <c r="AK3" s="469"/>
      <c r="AL3" s="469"/>
      <c r="AM3" s="469"/>
      <c r="AN3" s="469"/>
      <c r="AO3" s="469"/>
      <c r="AP3" s="469"/>
      <c r="AQ3" s="469"/>
      <c r="AR3" s="469"/>
      <c r="AS3" s="469"/>
      <c r="AT3" s="469"/>
      <c r="AU3" s="469"/>
      <c r="AV3" s="469"/>
      <c r="AW3" s="469"/>
      <c r="AX3" s="469"/>
      <c r="AY3" s="469"/>
      <c r="AZ3" s="469"/>
      <c r="BA3" s="469"/>
      <c r="BB3" s="469"/>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11</v>
      </c>
      <c r="AC5" s="656">
        <v>35</v>
      </c>
      <c r="AD5" s="656">
        <v>12</v>
      </c>
      <c r="AE5" s="657">
        <v>13</v>
      </c>
      <c r="AF5" s="656">
        <v>13</v>
      </c>
      <c r="AG5" s="656">
        <v>13</v>
      </c>
      <c r="AH5" s="656">
        <v>13</v>
      </c>
      <c r="AI5" s="656">
        <v>13</v>
      </c>
      <c r="AJ5" s="656">
        <v>13</v>
      </c>
      <c r="AK5" s="656">
        <v>13</v>
      </c>
      <c r="AL5" s="656">
        <v>13</v>
      </c>
      <c r="AM5" s="656">
        <v>13</v>
      </c>
      <c r="AN5" s="656">
        <v>13</v>
      </c>
      <c r="AO5" s="656">
        <v>13</v>
      </c>
      <c r="AP5" s="656">
        <v>13</v>
      </c>
      <c r="AQ5" s="656">
        <v>13</v>
      </c>
      <c r="AR5" s="656">
        <v>13</v>
      </c>
      <c r="AS5" s="656">
        <v>13</v>
      </c>
      <c r="AT5" s="656">
        <v>13</v>
      </c>
      <c r="AU5" s="656">
        <v>13</v>
      </c>
      <c r="AV5" s="656">
        <v>13</v>
      </c>
      <c r="AW5" s="656">
        <v>13</v>
      </c>
      <c r="AX5" s="656">
        <v>13</v>
      </c>
      <c r="AY5" s="656">
        <v>13</v>
      </c>
      <c r="AZ5" s="656">
        <v>13</v>
      </c>
      <c r="BA5" s="656">
        <v>13</v>
      </c>
      <c r="BB5" s="656">
        <v>13</v>
      </c>
      <c r="BC5" s="656">
        <v>20</v>
      </c>
      <c r="BD5" s="656">
        <v>3</v>
      </c>
      <c r="BF5" s="1022"/>
    </row>
    <row customHeight="1" ht="11.25" hidden="1">
      <c r="A6" s="115" t="s">
        <v>354</v>
      </c>
      <c r="AE6" s="343">
        <f>god-2</f>
        <v>2024</v>
      </c>
      <c r="AF6" s="116">
        <f>god-2</f>
        <v>2024</v>
      </c>
      <c r="AG6" s="116">
        <f>god-2</f>
        <v>2024</v>
      </c>
      <c r="AH6" s="116">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355</v>
      </c>
      <c r="AE7" s="343" cm="1" t="str">
        <f t="array" ref="AE7:AE7">AE25</f>
        <v>Принято органом регулирования</v>
      </c>
      <c r="AF7" s="343" cm="1" t="str">
        <f t="array" ref="AF7:AF7">AF25</f>
        <v>Факт по данным организации</v>
      </c>
      <c r="AG7" s="343" cm="1" t="str">
        <f t="array" ref="AG7:AG7">AG25</f>
        <v>Факт, принятый органом регулирования</v>
      </c>
      <c r="AH7" s="343" cm="1" t="str">
        <f t="array" ref="AH7:AH7">AH25</f>
        <v>Принято органом регулирования</v>
      </c>
      <c r="AI7" s="343" cm="1" t="str">
        <f t="array" ref="AI7:AI7">AI25</f>
        <v>Предложение организации</v>
      </c>
      <c r="AJ7" s="343" cm="1" t="str">
        <f t="array" ref="AJ7:AJ7">AJ25</f>
        <v>Предложение организации</v>
      </c>
      <c r="AK7" s="343" cm="1" t="str">
        <f t="array" ref="AK7:AK7">AK25</f>
        <v>Предложение организации</v>
      </c>
      <c r="AL7" s="343" cm="1" t="str">
        <f t="array" ref="AL7:AL7">AL25</f>
        <v>Предложение организации</v>
      </c>
      <c r="AM7" s="343" cm="1" t="str">
        <f t="array" ref="AM7:AM7">AM25</f>
        <v>Предложение организации</v>
      </c>
      <c r="AN7" s="343" cm="1" t="str">
        <f t="array" ref="AN7:AN7">AN25</f>
        <v>Предложение организации</v>
      </c>
      <c r="AO7" s="343" cm="1" t="str">
        <f t="array" ref="AO7:AO7">AO25</f>
        <v>Предложение организации</v>
      </c>
      <c r="AP7" s="343" cm="1" t="str">
        <f t="array" ref="AP7:AP7">AP25</f>
        <v>Предложение организации</v>
      </c>
      <c r="AQ7" s="343" cm="1" t="str">
        <f t="array" ref="AQ7:AQ7">AQ25</f>
        <v>Предложение организации</v>
      </c>
      <c r="AR7" s="343" cm="1" t="str">
        <f t="array" ref="AR7:AR7">AR25</f>
        <v>Предложение организации</v>
      </c>
      <c r="AS7" s="343" cm="1" t="str">
        <f t="array" ref="AS7:AS7">AS25</f>
        <v>Принято органом регулирования</v>
      </c>
      <c r="AT7" s="343" cm="1" t="str">
        <f t="array" ref="AT7:AT7">AT25</f>
        <v>Принято органом регулирования</v>
      </c>
      <c r="AU7" s="343" cm="1" t="str">
        <f t="array" ref="AU7:AU7">AU25</f>
        <v>Принято органом регулирования</v>
      </c>
      <c r="AV7" s="343" cm="1" t="str">
        <f t="array" ref="AV7:AV7">AV25</f>
        <v>Принято органом регулирования</v>
      </c>
      <c r="AW7" s="343" cm="1" t="str">
        <f t="array" ref="AW7:AW7">AW25</f>
        <v>Принято органом регулирования</v>
      </c>
      <c r="AX7" s="343" cm="1" t="str">
        <f t="array" ref="AX7:AX7">AX25</f>
        <v>Принято органом регулирования</v>
      </c>
      <c r="AY7" s="343" cm="1" t="str">
        <f t="array" ref="AY7:AY7">AY25</f>
        <v>Принято органом регулирования</v>
      </c>
      <c r="AZ7" s="343" cm="1" t="str">
        <f t="array" ref="AZ7:AZ7">AZ25</f>
        <v>Принято органом регулирования</v>
      </c>
      <c r="BA7" s="343" cm="1" t="str">
        <f t="array" ref="BA7:BA7">BA25</f>
        <v>Принято органом регулирования</v>
      </c>
      <c r="BB7" s="343"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998" t="s">
        <v>359</v>
      </c>
      <c r="B9" s="1021"/>
      <c r="AE9" s="1023" cm="1" t="str">
        <f t="array" ref="AE9:AE9">AE6</f>
        <v>2024</v>
      </c>
      <c r="AF9" s="1023" cm="1" t="str">
        <f t="array" ref="AF9:AF9">AF6</f>
        <v>2024</v>
      </c>
      <c r="AG9" s="1023" cm="1" t="str">
        <f t="array" ref="AG9:AG9">AG6</f>
        <v>2024</v>
      </c>
      <c r="AH9" s="1023" cm="1" t="str">
        <f t="array" ref="AH9:AH9">AH6</f>
        <v>2025</v>
      </c>
      <c r="AI9" s="1023" cm="1" t="str">
        <f t="array" ref="AI9:AI9">AI6</f>
        <v>2026</v>
      </c>
      <c r="AJ9" s="1023" cm="1" t="str">
        <f t="array" ref="AJ9:AJ9">AJ6</f>
        <v>2027</v>
      </c>
      <c r="AK9" s="1023" cm="1" t="str">
        <f t="array" ref="AK9:AK9">AK6</f>
        <v>2028</v>
      </c>
      <c r="AL9" s="1023" cm="1" t="str">
        <f t="array" ref="AL9:AL9">AL6</f>
        <v>2029</v>
      </c>
      <c r="AM9" s="1023" cm="1" t="str">
        <f t="array" ref="AM9:AM9">AM6</f>
        <v>2030</v>
      </c>
      <c r="AN9" s="1023" cm="1" t="str">
        <f t="array" ref="AN9:AN9">AN6</f>
        <v>2031</v>
      </c>
      <c r="AO9" s="1023" cm="1" t="str">
        <f t="array" ref="AO9:AO9">AO6</f>
        <v>2032</v>
      </c>
      <c r="AP9" s="1023" cm="1" t="str">
        <f t="array" ref="AP9:AP9">AP6</f>
        <v>2033</v>
      </c>
      <c r="AQ9" s="1023" cm="1" t="str">
        <f t="array" ref="AQ9:AQ9">AQ6</f>
        <v>2034</v>
      </c>
      <c r="AR9" s="1023" cm="1" t="str">
        <f t="array" ref="AR9:AR9">AR6</f>
        <v>2035</v>
      </c>
      <c r="AS9" s="1023" cm="1" t="str">
        <f t="array" ref="AS9:AS9">AS6</f>
        <v>2026</v>
      </c>
      <c r="AT9" s="1023" cm="1" t="str">
        <f t="array" ref="AT9:AT9">AT6</f>
        <v>2027</v>
      </c>
      <c r="AU9" s="1023" cm="1" t="str">
        <f t="array" ref="AU9:AU9">AU6</f>
        <v>2028</v>
      </c>
      <c r="AV9" s="1023" cm="1" t="str">
        <f t="array" ref="AV9:AV9">AV6</f>
        <v>2029</v>
      </c>
      <c r="AW9" s="1023" cm="1" t="str">
        <f t="array" ref="AW9:AW9">AW6</f>
        <v>2030</v>
      </c>
      <c r="AX9" s="1023" cm="1" t="str">
        <f t="array" ref="AX9:AX9">AX6</f>
        <v>2031</v>
      </c>
      <c r="AY9" s="1023" cm="1" t="str">
        <f t="array" ref="AY9:AY9">AY6</f>
        <v>2032</v>
      </c>
      <c r="AZ9" s="1023" cm="1" t="str">
        <f t="array" ref="AZ9:AZ9">AZ6</f>
        <v>2033</v>
      </c>
      <c r="BA9" s="1023" cm="1" t="str">
        <f t="array" ref="BA9:BA9">BA6</f>
        <v>2034</v>
      </c>
      <c r="BB9" s="1023" cm="1" t="str">
        <f t="array" ref="BB9:BB9">BB6</f>
        <v>2035</v>
      </c>
    </row>
    <row s="1253" customFormat="1" customHeight="1" ht="11.25" hidden="1">
      <c r="A10" s="998" t="s">
        <v>360</v>
      </c>
      <c r="B10" s="1021"/>
      <c r="AE10" s="1023" cm="1" t="str">
        <f t="array" ref="AE10:AE10">AE25</f>
        <v>Принято органом регулирования</v>
      </c>
      <c r="AF10" s="1023" cm="1" t="str">
        <f t="array" ref="AF10:AF10">AF25</f>
        <v>Факт по данным организации</v>
      </c>
      <c r="AG10" s="1023" cm="1" t="str">
        <f t="array" ref="AG10:AG10">AG25</f>
        <v>Факт, принятый органом регулирования</v>
      </c>
      <c r="AH10" s="1023" cm="1" t="str">
        <f t="array" ref="AH10:AH10">AH25</f>
        <v>Принято органом регулирования</v>
      </c>
      <c r="AI10" s="1023" cm="1" t="str">
        <f t="array" ref="AI10:AI10">AI25</f>
        <v>Предложение организации</v>
      </c>
      <c r="AJ10" s="1023" cm="1" t="str">
        <f t="array" ref="AJ10:AJ10">AJ25</f>
        <v>Предложение организации</v>
      </c>
      <c r="AK10" s="1023" cm="1" t="str">
        <f t="array" ref="AK10:AK10">AK25</f>
        <v>Предложение организации</v>
      </c>
      <c r="AL10" s="1023" cm="1" t="str">
        <f t="array" ref="AL10:AL10">AL25</f>
        <v>Предложение организации</v>
      </c>
      <c r="AM10" s="1023" cm="1" t="str">
        <f t="array" ref="AM10:AM10">AM25</f>
        <v>Предложение организации</v>
      </c>
      <c r="AN10" s="1023" cm="1" t="str">
        <f t="array" ref="AN10:AN10">AN25</f>
        <v>Предложение организации</v>
      </c>
      <c r="AO10" s="1023" cm="1" t="str">
        <f t="array" ref="AO10:AO10">AO25</f>
        <v>Предложение организации</v>
      </c>
      <c r="AP10" s="1023" cm="1" t="str">
        <f t="array" ref="AP10:AP10">AP25</f>
        <v>Предложение организации</v>
      </c>
      <c r="AQ10" s="1023" cm="1" t="str">
        <f t="array" ref="AQ10:AQ10">AQ25</f>
        <v>Предложение организации</v>
      </c>
      <c r="AR10" s="1023" cm="1" t="str">
        <f t="array" ref="AR10:AR10">AR25</f>
        <v>Предложение организации</v>
      </c>
      <c r="AS10" s="1023" cm="1" t="str">
        <f t="array" ref="AS10:AS10">AS25</f>
        <v>Принято органом регулирования</v>
      </c>
      <c r="AT10" s="1023" cm="1" t="str">
        <f t="array" ref="AT10:AT10">AT25</f>
        <v>Принято органом регулирования</v>
      </c>
      <c r="AU10" s="1023" cm="1" t="str">
        <f t="array" ref="AU10:AU10">AU25</f>
        <v>Принято органом регулирования</v>
      </c>
      <c r="AV10" s="1023" cm="1" t="str">
        <f t="array" ref="AV10:AV10">AV25</f>
        <v>Принято органом регулирования</v>
      </c>
      <c r="AW10" s="1023" cm="1" t="str">
        <f t="array" ref="AW10:AW10">AW25</f>
        <v>Принято органом регулирования</v>
      </c>
      <c r="AX10" s="1023" cm="1" t="str">
        <f t="array" ref="AX10:AX10">AX25</f>
        <v>Принято органом регулирования</v>
      </c>
      <c r="AY10" s="1023" cm="1" t="str">
        <f t="array" ref="AY10:AY10">AY25</f>
        <v>Принято органом регулирования</v>
      </c>
      <c r="AZ10" s="1023" cm="1" t="str">
        <f t="array" ref="AZ10:AZ10">AZ25</f>
        <v>Принято органом регулирования</v>
      </c>
      <c r="BA10" s="1023" cm="1" t="str">
        <f t="array" ref="BA10:BA10">BA25</f>
        <v>Принято органом регулирования</v>
      </c>
      <c r="BB10" s="1023" cm="1" t="str">
        <f t="array" ref="BB10:BB10">BB25</f>
        <v>Принято органом регулирования</v>
      </c>
    </row>
    <row s="1253" customFormat="1" customHeight="1" ht="11.25" hidden="1">
      <c r="A11" s="998" t="s">
        <v>361</v>
      </c>
      <c r="B11" s="1021"/>
      <c r="AE11" s="102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row>
    <row customHeight="1" ht="11.25" hidden="1">
      <c r="AI12" s="1153"/>
      <c r="AJ12" s="1153"/>
      <c r="AK12" s="1153"/>
      <c r="AL12" s="1153"/>
      <c r="AM12" s="1153"/>
      <c r="AN12" s="1153"/>
      <c r="AO12" s="1153"/>
      <c r="AP12" s="1153"/>
      <c r="AQ12" s="1153"/>
      <c r="AR12" s="1153"/>
      <c r="AS12" s="1153"/>
      <c r="AT12" s="1153"/>
      <c r="AU12" s="1153"/>
      <c r="AV12" s="1153"/>
      <c r="AW12" s="1153"/>
      <c r="AX12" s="1153"/>
      <c r="AY12" s="1153"/>
      <c r="AZ12" s="1153"/>
      <c r="BA12" s="1153"/>
      <c r="BB12" s="1153"/>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Филиал АО "УК "Кузбассразрезуголь" "Талдинский угольный разрез" (ИНН:4205049090, КПП:423802002) / ДПР: 2024-2028</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s="1153" customFormat="1" customHeight="1" ht="19.5">
      <c r="B22" s="401"/>
      <c r="E22" s="597">
        <v>20</v>
      </c>
      <c r="AB22" s="287" t="s">
        <v>57</v>
      </c>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F22" s="980"/>
    </row>
    <row s="1153" customFormat="1" customHeight="1" ht="10.96875">
      <c r="B23" s="401"/>
      <c r="E23" s="597">
        <v>11.25</v>
      </c>
      <c r="AB23" s="117"/>
      <c r="AE23" s="98"/>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c r="BF23" s="980"/>
    </row>
    <row s="1153" customFormat="1" customHeight="1" ht="14.625">
      <c r="B24" s="401"/>
      <c r="E24" s="597">
        <v>15</v>
      </c>
      <c r="AB24" s="1485" t="s">
        <v>21</v>
      </c>
      <c r="AC24" s="1485" t="s">
        <v>362</v>
      </c>
      <c r="AD24" s="1485" t="s">
        <v>947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507</v>
      </c>
      <c r="BF24" s="980"/>
    </row>
    <row s="1153" customFormat="1" customHeight="1" ht="48.75">
      <c r="B25" s="401"/>
      <c r="E25" s="597">
        <v>50</v>
      </c>
      <c r="AB25" s="1485"/>
      <c r="AC25" s="1485"/>
      <c r="AD25" s="1485"/>
      <c r="AE25" s="58" t="s">
        <v>356</v>
      </c>
      <c r="AF25" s="1103" t="s">
        <v>431</v>
      </c>
      <c r="AG25" s="58" t="s">
        <v>432</v>
      </c>
      <c r="AH25" s="58" t="s">
        <v>356</v>
      </c>
      <c r="AI25" s="1107" t="s">
        <v>357</v>
      </c>
      <c r="AJ25" s="1107" t="s">
        <v>357</v>
      </c>
      <c r="AK25" s="1107" t="s">
        <v>357</v>
      </c>
      <c r="AL25" s="1107" t="s">
        <v>357</v>
      </c>
      <c r="AM25" s="1107" t="s">
        <v>357</v>
      </c>
      <c r="AN25" s="1107" t="s">
        <v>357</v>
      </c>
      <c r="AO25" s="1107" t="s">
        <v>357</v>
      </c>
      <c r="AP25" s="1107" t="s">
        <v>357</v>
      </c>
      <c r="AQ25" s="1107" t="s">
        <v>357</v>
      </c>
      <c r="AR25" s="1107" t="s">
        <v>357</v>
      </c>
      <c r="AS25" s="327" t="s">
        <v>356</v>
      </c>
      <c r="AT25" s="327" t="s">
        <v>356</v>
      </c>
      <c r="AU25" s="327" t="s">
        <v>356</v>
      </c>
      <c r="AV25" s="327" t="s">
        <v>356</v>
      </c>
      <c r="AW25" s="327" t="s">
        <v>356</v>
      </c>
      <c r="AX25" s="327" t="s">
        <v>356</v>
      </c>
      <c r="AY25" s="327" t="s">
        <v>356</v>
      </c>
      <c r="AZ25" s="327" t="s">
        <v>356</v>
      </c>
      <c r="BA25" s="327" t="s">
        <v>356</v>
      </c>
      <c r="BB25" s="327" t="s">
        <v>356</v>
      </c>
      <c r="BC25" s="1510"/>
      <c r="BF25" s="980"/>
    </row>
    <row s="1621" customFormat="1" customHeight="1" ht="11.25" hidden="1">
      <c r="A26" s="473"/>
      <c r="B26" s="638"/>
      <c r="C26" s="473"/>
      <c r="D26" s="473"/>
      <c r="E26" s="639">
        <v>0</v>
      </c>
      <c r="F26" s="634" t="s">
        <v>948</v>
      </c>
      <c r="G26" s="473"/>
      <c r="H26" s="473"/>
      <c r="I26" s="473"/>
      <c r="J26" s="473"/>
      <c r="K26" s="473"/>
      <c r="L26" s="473"/>
      <c r="M26" s="473"/>
      <c r="N26" s="473"/>
      <c r="O26" s="473"/>
      <c r="P26" s="473"/>
      <c r="Q26" s="473"/>
      <c r="R26" s="473"/>
      <c r="S26" s="473"/>
      <c r="T26" s="473"/>
      <c r="U26" s="473"/>
      <c r="V26" s="473"/>
      <c r="W26" s="473"/>
      <c r="X26" s="473"/>
      <c r="Y26" s="473"/>
      <c r="Z26" s="473"/>
      <c r="AC26" s="66"/>
      <c r="AD26" s="66"/>
      <c r="AE26" s="66"/>
      <c r="AF26" s="66"/>
      <c r="AI26" s="1621"/>
      <c r="AJ26" s="1621"/>
      <c r="AK26" s="1621"/>
      <c r="AL26" s="1621"/>
      <c r="AM26" s="1621"/>
      <c r="AN26" s="1621"/>
      <c r="AO26" s="1621"/>
      <c r="AP26" s="1621"/>
      <c r="AQ26" s="67"/>
      <c r="AR26" s="1621"/>
      <c r="AS26" s="1621"/>
      <c r="AT26" s="1621"/>
      <c r="AU26" s="1621"/>
      <c r="AV26" s="1621"/>
      <c r="AW26" s="1621"/>
      <c r="AX26" s="1621"/>
      <c r="AY26" s="1621"/>
      <c r="AZ26" s="1621"/>
      <c r="BA26" s="1621"/>
      <c r="BB26" s="1621"/>
      <c r="BF26" s="987"/>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261</v>
      </c>
      <c r="W27" s="1153"/>
      <c r="X27" s="1482">
        <v>0</v>
      </c>
      <c r="Y27" s="1153"/>
      <c r="Z27" s="1534"/>
      <c r="AA27" s="1153"/>
      <c r="AB27" s="189" cm="1" t="str">
        <f t="array" ref="AB27:AB27">INDEX('Общие сведения'!$AG$179:$AG$222,MATCH($X27,'Общие сведения'!$Z$179:$Z$222,0))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153"/>
      <c r="BE27" s="1153"/>
      <c r="BF27" s="980"/>
    </row>
    <row s="1153" customFormat="1" customHeight="1" ht="71.6625" hidden="1">
      <c r="A28" s="1153"/>
      <c r="B28" s="401"/>
      <c r="C28" s="1153"/>
      <c r="D28" s="1153"/>
      <c r="E28" s="597">
        <v>73.5</v>
      </c>
      <c r="F28" s="50" cm="1" t="str">
        <f t="array" ref="F28:F28">OFFSET(E28,-1,1)</f>
        <v>0</v>
      </c>
      <c r="G28" s="468" t="s">
        <v>949</v>
      </c>
      <c r="H28" s="88" t="s">
        <v>325</v>
      </c>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534"/>
      <c r="AA28" s="1153"/>
      <c r="AB28" s="185" t="s">
        <v>272</v>
      </c>
      <c r="AC28" s="186" t="s">
        <v>950</v>
      </c>
      <c r="AD28" s="172" t="s">
        <v>784</v>
      </c>
      <c r="AE28" s="754">
        <f>AE29+AE32+AE33+AE34</f>
        <v>0</v>
      </c>
      <c r="AF28" s="754">
        <f>AF29+AF32+AF33+AF34</f>
        <v>0</v>
      </c>
      <c r="AG28" s="754">
        <f>AG29+AG32+AG33+AG34</f>
        <v>0</v>
      </c>
      <c r="AH28" s="754">
        <f>AH29+AH32+AH33+AH34</f>
        <v>0</v>
      </c>
      <c r="AI28" s="754">
        <f>AI29+AI32+AI33+AI34</f>
        <v>0</v>
      </c>
      <c r="AJ28" s="754">
        <f>AJ29+AJ32+AJ33+AJ34</f>
        <v>0</v>
      </c>
      <c r="AK28" s="754">
        <f>AK29+AK32+AK33+AK34</f>
        <v>0</v>
      </c>
      <c r="AL28" s="754">
        <f>AL29+AL32+AL33+AL34</f>
        <v>0</v>
      </c>
      <c r="AM28" s="754">
        <f>AM29+AM32+AM33+AM34</f>
        <v>0</v>
      </c>
      <c r="AN28" s="754">
        <f>AN29+AN32+AN33+AN34</f>
        <v>0</v>
      </c>
      <c r="AO28" s="754">
        <f>AO29+AO32+AO33+AO34</f>
        <v>0</v>
      </c>
      <c r="AP28" s="754">
        <f>AP29+AP32+AP33+AP34</f>
        <v>0</v>
      </c>
      <c r="AQ28" s="754">
        <f>AQ29+AQ32+AQ33+AQ34</f>
        <v>0</v>
      </c>
      <c r="AR28" s="754">
        <f>AR29+AR32+AR33+AR34</f>
        <v>0</v>
      </c>
      <c r="AS28" s="754">
        <f>AS29+AS32+AS33+AS34</f>
        <v>0</v>
      </c>
      <c r="AT28" s="754">
        <f>AT29+AT32+AT33+AT34</f>
        <v>0</v>
      </c>
      <c r="AU28" s="754">
        <f>AU29+AU32+AU33+AU34</f>
        <v>0</v>
      </c>
      <c r="AV28" s="754">
        <f>AV29+AV32+AV33+AV34</f>
        <v>0</v>
      </c>
      <c r="AW28" s="754">
        <f>AW29+AW32+AW33+AW34</f>
        <v>0</v>
      </c>
      <c r="AX28" s="754">
        <f>AX29+AX32+AX33+AX34</f>
        <v>0</v>
      </c>
      <c r="AY28" s="754">
        <f>AY29+AY32+AY33+AY34</f>
        <v>0</v>
      </c>
      <c r="AZ28" s="754">
        <f>AZ29+AZ32+AZ33+AZ34</f>
        <v>0</v>
      </c>
      <c r="BA28" s="754">
        <f>BA29+BA32+BA33+BA34</f>
        <v>0</v>
      </c>
      <c r="BB28" s="754">
        <f>BB29+BB32+BB33+BB34</f>
        <v>0</v>
      </c>
      <c r="BC28" s="1887"/>
      <c r="BD28" s="1153"/>
      <c r="BE28" s="1153"/>
      <c r="BF28" s="1024" t="s">
        <v>951</v>
      </c>
    </row>
    <row s="1153" customFormat="1" customHeight="1" ht="14.625" hidden="1">
      <c r="A29" s="1153"/>
      <c r="B29" s="401"/>
      <c r="C29" s="1153"/>
      <c r="D29" s="88" t="s">
        <v>952</v>
      </c>
      <c r="E29" s="597">
        <v>15</v>
      </c>
      <c r="F29" s="50" cm="1" t="str">
        <f t="array" ref="F29:F29">OFFSET(E29,-1,1)</f>
        <v>0</v>
      </c>
      <c r="G29" s="1153"/>
      <c r="H29" s="88" t="s">
        <v>441</v>
      </c>
      <c r="I29" s="1153"/>
      <c r="J29" s="1153"/>
      <c r="K29" s="1153"/>
      <c r="L29" s="1153"/>
      <c r="M29" s="1153"/>
      <c r="N29" s="1153"/>
      <c r="O29" s="1153"/>
      <c r="P29" s="1153"/>
      <c r="Q29" s="1153"/>
      <c r="R29" s="1153"/>
      <c r="S29" s="1153"/>
      <c r="T29" s="439" cm="1" t="str">
        <f t="array" ref="T29:T29">T28</f>
        <v>false</v>
      </c>
      <c r="U29" s="1153"/>
      <c r="V29" s="1153"/>
      <c r="W29" s="1153"/>
      <c r="X29" s="1482"/>
      <c r="Y29" s="1153"/>
      <c r="Z29" s="1534"/>
      <c r="AA29" s="1153"/>
      <c r="AB29" s="187" t="s">
        <v>845</v>
      </c>
      <c r="AC29" s="743" t="s">
        <v>952</v>
      </c>
      <c r="AD29" s="912" t="s">
        <v>784</v>
      </c>
      <c r="AE29" s="2636">
        <f>SUM(AE30:AE31)</f>
        <v>0</v>
      </c>
      <c r="AF29" s="2636">
        <f>SUM(AF30:AF31)</f>
        <v>0</v>
      </c>
      <c r="AG29" s="2636">
        <f>SUM(AG30:AG31)</f>
        <v>0</v>
      </c>
      <c r="AH29" s="2636">
        <f>SUM(AH30:AH31)</f>
        <v>0</v>
      </c>
      <c r="AI29" s="753">
        <f>SUM(AI30:AI31)</f>
        <v>0</v>
      </c>
      <c r="AJ29" s="2636">
        <f>SUM(AJ30:AJ31)</f>
        <v>0</v>
      </c>
      <c r="AK29" s="2636">
        <f>SUM(AK30:AK31)</f>
        <v>0</v>
      </c>
      <c r="AL29" s="2636">
        <f>SUM(AL30:AL31)</f>
        <v>0</v>
      </c>
      <c r="AM29" s="2636">
        <f>SUM(AM30:AM31)</f>
        <v>0</v>
      </c>
      <c r="AN29" s="2636">
        <f>SUM(AN30:AN31)</f>
        <v>0</v>
      </c>
      <c r="AO29" s="2636">
        <f>SUM(AO30:AO31)</f>
        <v>0</v>
      </c>
      <c r="AP29" s="2636">
        <f>SUM(AP30:AP31)</f>
        <v>0</v>
      </c>
      <c r="AQ29" s="2636">
        <f>SUM(AQ30:AQ31)</f>
        <v>0</v>
      </c>
      <c r="AR29" s="2636">
        <f>SUM(AR30:AR31)</f>
        <v>0</v>
      </c>
      <c r="AS29" s="753">
        <f>SUM(AS30:AS31)</f>
        <v>0</v>
      </c>
      <c r="AT29" s="2636">
        <f>SUM(AT30:AT31)</f>
        <v>0</v>
      </c>
      <c r="AU29" s="2636">
        <f>SUM(AU30:AU31)</f>
        <v>0</v>
      </c>
      <c r="AV29" s="2636">
        <f>SUM(AV30:AV31)</f>
        <v>0</v>
      </c>
      <c r="AW29" s="2636">
        <f>SUM(AW30:AW31)</f>
        <v>0</v>
      </c>
      <c r="AX29" s="2636">
        <f>SUM(AX30:AX31)</f>
        <v>0</v>
      </c>
      <c r="AY29" s="2636">
        <f>SUM(AY30:AY31)</f>
        <v>0</v>
      </c>
      <c r="AZ29" s="2636">
        <f>SUM(AZ30:AZ31)</f>
        <v>0</v>
      </c>
      <c r="BA29" s="2636">
        <f>SUM(BA30:BA31)</f>
        <v>0</v>
      </c>
      <c r="BB29" s="2636">
        <f>SUM(BB30:BB31)</f>
        <v>0</v>
      </c>
      <c r="BC29" s="1887"/>
      <c r="BD29" s="1153"/>
      <c r="BE29" s="1153"/>
      <c r="BF29" s="1024" t="s">
        <v>953</v>
      </c>
    </row>
    <row s="1153" customFormat="1" customHeight="1" ht="23.400000000000002" hidden="1">
      <c r="A30" s="1153"/>
      <c r="B30" s="401"/>
      <c r="C30" s="1153"/>
      <c r="D30" s="1153"/>
      <c r="E30" s="597">
        <v>24</v>
      </c>
      <c r="F30" s="50" cm="1" t="str">
        <f t="array" ref="F30:F30">OFFSET(E30,-1,1)</f>
        <v>0</v>
      </c>
      <c r="G30" s="1153"/>
      <c r="H30" s="88" t="s">
        <v>954</v>
      </c>
      <c r="I30" s="1153"/>
      <c r="J30" s="1153"/>
      <c r="K30" s="1153"/>
      <c r="L30" s="1153"/>
      <c r="M30" s="1153"/>
      <c r="N30" s="1153"/>
      <c r="O30" s="1153"/>
      <c r="P30" s="1153"/>
      <c r="Q30" s="1153"/>
      <c r="R30" s="1153"/>
      <c r="S30" s="1153"/>
      <c r="T30" s="439" cm="1" t="str">
        <f t="array" ref="T30:T30">T29</f>
        <v>false</v>
      </c>
      <c r="U30" s="1153"/>
      <c r="V30" s="1153"/>
      <c r="W30" s="1153"/>
      <c r="X30" s="1482"/>
      <c r="Y30" s="1153"/>
      <c r="Z30" s="1534"/>
      <c r="AA30" s="1153"/>
      <c r="AB30" s="187" t="s">
        <v>955</v>
      </c>
      <c r="AC30" s="746" t="s">
        <v>956</v>
      </c>
      <c r="AD30" s="912" t="s">
        <v>784</v>
      </c>
      <c r="AE30" s="2636"/>
      <c r="AF30" s="2636"/>
      <c r="AG30" s="2636"/>
      <c r="AH30" s="2636"/>
      <c r="AI30" s="753"/>
      <c r="AJ30" s="2636"/>
      <c r="AK30" s="2636"/>
      <c r="AL30" s="2636"/>
      <c r="AM30" s="2636"/>
      <c r="AN30" s="2636"/>
      <c r="AO30" s="2636"/>
      <c r="AP30" s="2636"/>
      <c r="AQ30" s="2636"/>
      <c r="AR30" s="2636"/>
      <c r="AS30" s="753"/>
      <c r="AT30" s="2636"/>
      <c r="AU30" s="2636"/>
      <c r="AV30" s="2636"/>
      <c r="AW30" s="2636"/>
      <c r="AX30" s="2636"/>
      <c r="AY30" s="2636"/>
      <c r="AZ30" s="2636"/>
      <c r="BA30" s="2636"/>
      <c r="BB30" s="2636"/>
      <c r="BC30" s="1887"/>
      <c r="BD30" s="1153"/>
      <c r="BE30" s="1153"/>
      <c r="BF30" s="980" t="s">
        <v>957</v>
      </c>
    </row>
    <row s="1153" customFormat="1" customHeight="1" ht="14.625" hidden="1">
      <c r="A31" s="1153"/>
      <c r="B31" s="401"/>
      <c r="C31" s="1153"/>
      <c r="D31" s="1153"/>
      <c r="E31" s="597">
        <v>15</v>
      </c>
      <c r="F31" s="50" cm="1" t="str">
        <f t="array" ref="F31:F31">OFFSET(E31,-1,1)</f>
        <v>0</v>
      </c>
      <c r="G31" s="1153"/>
      <c r="H31" s="88" t="s">
        <v>958</v>
      </c>
      <c r="I31" s="1153"/>
      <c r="J31" s="1153"/>
      <c r="K31" s="1153"/>
      <c r="L31" s="1153"/>
      <c r="M31" s="1153"/>
      <c r="N31" s="1153"/>
      <c r="O31" s="1153"/>
      <c r="P31" s="1153"/>
      <c r="Q31" s="1153"/>
      <c r="R31" s="1153"/>
      <c r="S31" s="1153"/>
      <c r="T31" s="439" cm="1" t="str">
        <f t="array" ref="T31:T31">T30</f>
        <v>false</v>
      </c>
      <c r="U31" s="1153"/>
      <c r="V31" s="1153"/>
      <c r="W31" s="1153"/>
      <c r="X31" s="1482"/>
      <c r="Y31" s="1153"/>
      <c r="Z31" s="1534"/>
      <c r="AA31" s="1153"/>
      <c r="AB31" s="187" t="s">
        <v>959</v>
      </c>
      <c r="AC31" s="746" t="s">
        <v>960</v>
      </c>
      <c r="AD31" s="912" t="s">
        <v>784</v>
      </c>
      <c r="AE31" s="2636"/>
      <c r="AF31" s="2636"/>
      <c r="AG31" s="2636"/>
      <c r="AH31" s="2636"/>
      <c r="AI31" s="753"/>
      <c r="AJ31" s="2636"/>
      <c r="AK31" s="2636"/>
      <c r="AL31" s="2636"/>
      <c r="AM31" s="2636"/>
      <c r="AN31" s="2636"/>
      <c r="AO31" s="2636"/>
      <c r="AP31" s="2636"/>
      <c r="AQ31" s="2636"/>
      <c r="AR31" s="2636"/>
      <c r="AS31" s="753"/>
      <c r="AT31" s="2636"/>
      <c r="AU31" s="2636"/>
      <c r="AV31" s="2636"/>
      <c r="AW31" s="2636"/>
      <c r="AX31" s="2636"/>
      <c r="AY31" s="2636"/>
      <c r="AZ31" s="2636"/>
      <c r="BA31" s="2636"/>
      <c r="BB31" s="2636"/>
      <c r="BC31" s="1887"/>
      <c r="BD31" s="1153"/>
      <c r="BE31" s="1153"/>
      <c r="BF31" s="980" t="s">
        <v>961</v>
      </c>
    </row>
    <row s="1153" customFormat="1" customHeight="1" ht="14.625" hidden="1">
      <c r="A32" s="1153"/>
      <c r="B32" s="401"/>
      <c r="C32" s="1153"/>
      <c r="D32" s="88" t="s">
        <v>962</v>
      </c>
      <c r="E32" s="597">
        <v>15</v>
      </c>
      <c r="F32" s="50" cm="1" t="str">
        <f t="array" ref="F32:F32">OFFSET(E32,-1,1)</f>
        <v>0</v>
      </c>
      <c r="G32" s="1153"/>
      <c r="H32" s="88" t="s">
        <v>445</v>
      </c>
      <c r="I32" s="1153"/>
      <c r="J32" s="1153"/>
      <c r="K32" s="1153"/>
      <c r="L32" s="1153"/>
      <c r="M32" s="1153"/>
      <c r="N32" s="1153"/>
      <c r="O32" s="1153"/>
      <c r="P32" s="1153"/>
      <c r="Q32" s="1153"/>
      <c r="R32" s="1153"/>
      <c r="S32" s="1153"/>
      <c r="T32" s="439" cm="1" t="str">
        <f t="array" ref="T32:T32">T31</f>
        <v>false</v>
      </c>
      <c r="U32" s="1153"/>
      <c r="V32" s="1153"/>
      <c r="W32" s="1153"/>
      <c r="X32" s="1482"/>
      <c r="Y32" s="1153"/>
      <c r="Z32" s="1534"/>
      <c r="AA32" s="1153"/>
      <c r="AB32" s="187" t="s">
        <v>848</v>
      </c>
      <c r="AC32" s="913" t="s">
        <v>963</v>
      </c>
      <c r="AD32" s="912" t="s">
        <v>784</v>
      </c>
      <c r="AE32" s="2636"/>
      <c r="AF32" s="2636"/>
      <c r="AG32" s="2636"/>
      <c r="AH32" s="2636"/>
      <c r="AI32" s="753"/>
      <c r="AJ32" s="2636"/>
      <c r="AK32" s="2636"/>
      <c r="AL32" s="2636"/>
      <c r="AM32" s="2636"/>
      <c r="AN32" s="2636"/>
      <c r="AO32" s="2636"/>
      <c r="AP32" s="2636"/>
      <c r="AQ32" s="2636"/>
      <c r="AR32" s="2636"/>
      <c r="AS32" s="753"/>
      <c r="AT32" s="2636"/>
      <c r="AU32" s="2636"/>
      <c r="AV32" s="2636"/>
      <c r="AW32" s="2636"/>
      <c r="AX32" s="2636"/>
      <c r="AY32" s="2636"/>
      <c r="AZ32" s="2636"/>
      <c r="BA32" s="2636"/>
      <c r="BB32" s="2636"/>
      <c r="BC32" s="1887"/>
      <c r="BD32" s="1153"/>
      <c r="BE32" s="1153"/>
      <c r="BF32" s="980" t="s">
        <v>964</v>
      </c>
    </row>
    <row s="1153" customFormat="1" customHeight="1" ht="14.625" hidden="1">
      <c r="A33" s="1153"/>
      <c r="B33" s="401"/>
      <c r="C33" s="1153"/>
      <c r="D33" s="88" t="s">
        <v>965</v>
      </c>
      <c r="E33" s="597">
        <v>15</v>
      </c>
      <c r="F33" s="50" cm="1" t="str">
        <f t="array" ref="F33:F33">OFFSET(E33,-1,1)</f>
        <v>0</v>
      </c>
      <c r="G33" s="1153"/>
      <c r="H33" s="88" t="s">
        <v>448</v>
      </c>
      <c r="I33" s="1153"/>
      <c r="J33" s="1153"/>
      <c r="K33" s="1153"/>
      <c r="L33" s="1153"/>
      <c r="M33" s="1153"/>
      <c r="N33" s="1153"/>
      <c r="O33" s="1153"/>
      <c r="P33" s="1153"/>
      <c r="Q33" s="1153"/>
      <c r="R33" s="1153"/>
      <c r="S33" s="1153"/>
      <c r="T33" s="439" cm="1" t="str">
        <f t="array" ref="T33:T33">T32</f>
        <v>false</v>
      </c>
      <c r="U33" s="1153"/>
      <c r="V33" s="1153"/>
      <c r="W33" s="1153"/>
      <c r="X33" s="1482"/>
      <c r="Y33" s="1153"/>
      <c r="Z33" s="1534"/>
      <c r="AA33" s="1153"/>
      <c r="AB33" s="187" t="s">
        <v>851</v>
      </c>
      <c r="AC33" s="743" t="s">
        <v>966</v>
      </c>
      <c r="AD33" s="912" t="s">
        <v>784</v>
      </c>
      <c r="AE33" s="2636"/>
      <c r="AF33" s="2636"/>
      <c r="AG33" s="2636"/>
      <c r="AH33" s="2636"/>
      <c r="AI33" s="753"/>
      <c r="AJ33" s="2636"/>
      <c r="AK33" s="2636"/>
      <c r="AL33" s="2636"/>
      <c r="AM33" s="2636"/>
      <c r="AN33" s="2636"/>
      <c r="AO33" s="2636"/>
      <c r="AP33" s="2636"/>
      <c r="AQ33" s="2636"/>
      <c r="AR33" s="2636"/>
      <c r="AS33" s="753"/>
      <c r="AT33" s="2636"/>
      <c r="AU33" s="2636"/>
      <c r="AV33" s="2636"/>
      <c r="AW33" s="2636"/>
      <c r="AX33" s="2636"/>
      <c r="AY33" s="2636"/>
      <c r="AZ33" s="2636"/>
      <c r="BA33" s="2636"/>
      <c r="BB33" s="2636"/>
      <c r="BC33" s="1887"/>
      <c r="BD33" s="1153"/>
      <c r="BE33" s="1153"/>
      <c r="BF33" s="980" t="s">
        <v>967</v>
      </c>
    </row>
    <row s="1153" customFormat="1" customHeight="1" ht="14.625" hidden="1">
      <c r="A34" s="1153"/>
      <c r="B34" s="401"/>
      <c r="C34" s="1153"/>
      <c r="D34" s="88" t="s">
        <v>968</v>
      </c>
      <c r="E34" s="597">
        <v>15</v>
      </c>
      <c r="F34" s="50" cm="1" t="str">
        <f t="array" ref="F34:F34">OFFSET(E34,-1,1)</f>
        <v>0</v>
      </c>
      <c r="G34" s="1153"/>
      <c r="H34" s="88" t="s">
        <v>452</v>
      </c>
      <c r="I34" s="1153"/>
      <c r="J34" s="1153"/>
      <c r="K34" s="1153"/>
      <c r="L34" s="1153"/>
      <c r="M34" s="1153"/>
      <c r="N34" s="1153"/>
      <c r="O34" s="1153"/>
      <c r="P34" s="1153"/>
      <c r="Q34" s="1153"/>
      <c r="R34" s="1153"/>
      <c r="S34" s="1153"/>
      <c r="T34" s="439" cm="1" t="str">
        <f t="array" ref="T34:T34">T33</f>
        <v>false</v>
      </c>
      <c r="U34" s="1153"/>
      <c r="V34" s="1153"/>
      <c r="W34" s="1153"/>
      <c r="X34" s="1482"/>
      <c r="Y34" s="1153"/>
      <c r="Z34" s="1534"/>
      <c r="AA34" s="1153"/>
      <c r="AB34" s="187" t="s">
        <v>854</v>
      </c>
      <c r="AC34" s="743" t="s">
        <v>969</v>
      </c>
      <c r="AD34" s="912" t="s">
        <v>784</v>
      </c>
      <c r="AE34" s="2636">
        <f>SUM(AE35:AE36)</f>
        <v>0</v>
      </c>
      <c r="AF34" s="2636">
        <f>SUM(AF35:AF36)</f>
        <v>0</v>
      </c>
      <c r="AG34" s="2636">
        <f>SUM(AG35:AG36)</f>
        <v>0</v>
      </c>
      <c r="AH34" s="2636">
        <f>SUM(AH35:AH36)</f>
        <v>0</v>
      </c>
      <c r="AI34" s="753">
        <f>SUM(AI35:AI36)</f>
        <v>0</v>
      </c>
      <c r="AJ34" s="2636">
        <f>SUM(AJ35:AJ36)</f>
        <v>0</v>
      </c>
      <c r="AK34" s="2636">
        <f>SUM(AK35:AK36)</f>
        <v>0</v>
      </c>
      <c r="AL34" s="2636">
        <f>SUM(AL35:AL36)</f>
        <v>0</v>
      </c>
      <c r="AM34" s="2636">
        <f>SUM(AM35:AM36)</f>
        <v>0</v>
      </c>
      <c r="AN34" s="2636">
        <f>SUM(AN35:AN36)</f>
        <v>0</v>
      </c>
      <c r="AO34" s="2636">
        <f>SUM(AO35:AO36)</f>
        <v>0</v>
      </c>
      <c r="AP34" s="2636">
        <f>SUM(AP35:AP36)</f>
        <v>0</v>
      </c>
      <c r="AQ34" s="2636">
        <f>SUM(AQ35:AQ36)</f>
        <v>0</v>
      </c>
      <c r="AR34" s="2636">
        <f>SUM(AR35:AR36)</f>
        <v>0</v>
      </c>
      <c r="AS34" s="753">
        <f>SUM(AS35:AS36)</f>
        <v>0</v>
      </c>
      <c r="AT34" s="2636">
        <f>SUM(AT35:AT36)</f>
        <v>0</v>
      </c>
      <c r="AU34" s="2636">
        <f>SUM(AU35:AU36)</f>
        <v>0</v>
      </c>
      <c r="AV34" s="2636">
        <f>SUM(AV35:AV36)</f>
        <v>0</v>
      </c>
      <c r="AW34" s="2636">
        <f>SUM(AW35:AW36)</f>
        <v>0</v>
      </c>
      <c r="AX34" s="2636">
        <f>SUM(AX35:AX36)</f>
        <v>0</v>
      </c>
      <c r="AY34" s="2636">
        <f>SUM(AY35:AY36)</f>
        <v>0</v>
      </c>
      <c r="AZ34" s="2636">
        <f>SUM(AZ35:AZ36)</f>
        <v>0</v>
      </c>
      <c r="BA34" s="2636">
        <f>SUM(BA35:BA36)</f>
        <v>0</v>
      </c>
      <c r="BB34" s="2636">
        <f>SUM(BB35:BB36)</f>
        <v>0</v>
      </c>
      <c r="BC34" s="1887"/>
      <c r="BD34" s="1153"/>
      <c r="BE34" s="1153"/>
      <c r="BF34" s="980" t="s">
        <v>970</v>
      </c>
    </row>
    <row s="1153" customFormat="1" customHeight="1" ht="35.1" hidden="1">
      <c r="A35" s="1153"/>
      <c r="B35" s="401"/>
      <c r="C35" s="1153"/>
      <c r="D35" s="1153"/>
      <c r="E35" s="597">
        <v>36</v>
      </c>
      <c r="F35" s="50" cm="1" t="str">
        <f t="array" ref="F35:F35">OFFSET(E35,-1,1)</f>
        <v>0</v>
      </c>
      <c r="G35" s="1153"/>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534"/>
      <c r="AA35" s="1153"/>
      <c r="AB35" s="187" t="s">
        <v>971</v>
      </c>
      <c r="AC35" s="743" t="s">
        <v>972</v>
      </c>
      <c r="AD35" s="912" t="s">
        <v>784</v>
      </c>
      <c r="AE35" s="2636"/>
      <c r="AF35" s="2636"/>
      <c r="AG35" s="2636"/>
      <c r="AH35" s="2636"/>
      <c r="AI35" s="753"/>
      <c r="AJ35" s="2636"/>
      <c r="AK35" s="2636"/>
      <c r="AL35" s="2636"/>
      <c r="AM35" s="2636"/>
      <c r="AN35" s="2636"/>
      <c r="AO35" s="2636"/>
      <c r="AP35" s="2636"/>
      <c r="AQ35" s="2636"/>
      <c r="AR35" s="2636"/>
      <c r="AS35" s="753"/>
      <c r="AT35" s="2636"/>
      <c r="AU35" s="2636"/>
      <c r="AV35" s="2636"/>
      <c r="AW35" s="2636"/>
      <c r="AX35" s="2636"/>
      <c r="AY35" s="2636"/>
      <c r="AZ35" s="2636"/>
      <c r="BA35" s="2636"/>
      <c r="BB35" s="2636"/>
      <c r="BC35" s="1887"/>
      <c r="BD35" s="1153"/>
      <c r="BE35" s="1153"/>
      <c r="BF35" s="980" t="s">
        <v>973</v>
      </c>
    </row>
    <row s="1153" customFormat="1" customHeight="1" ht="35.1" hidden="1">
      <c r="A36" s="1153"/>
      <c r="B36" s="401"/>
      <c r="C36" s="1153"/>
      <c r="D36" s="1153"/>
      <c r="E36" s="597">
        <v>36</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534"/>
      <c r="AA36" s="1153"/>
      <c r="AB36" s="187" t="s">
        <v>974</v>
      </c>
      <c r="AC36" s="743" t="s">
        <v>975</v>
      </c>
      <c r="AD36" s="912" t="s">
        <v>784</v>
      </c>
      <c r="AE36" s="2636"/>
      <c r="AF36" s="2636"/>
      <c r="AG36" s="2636"/>
      <c r="AH36" s="2636"/>
      <c r="AI36" s="753"/>
      <c r="AJ36" s="2636"/>
      <c r="AK36" s="2636"/>
      <c r="AL36" s="2636"/>
      <c r="AM36" s="2636"/>
      <c r="AN36" s="2636"/>
      <c r="AO36" s="2636"/>
      <c r="AP36" s="2636"/>
      <c r="AQ36" s="2636"/>
      <c r="AR36" s="2636"/>
      <c r="AS36" s="753"/>
      <c r="AT36" s="2636"/>
      <c r="AU36" s="2636"/>
      <c r="AV36" s="2636"/>
      <c r="AW36" s="2636"/>
      <c r="AX36" s="2636"/>
      <c r="AY36" s="2636"/>
      <c r="AZ36" s="2636"/>
      <c r="BA36" s="2636"/>
      <c r="BB36" s="2636"/>
      <c r="BC36" s="1887"/>
      <c r="BD36" s="1153"/>
      <c r="BE36" s="1153"/>
      <c r="BF36" s="980" t="s">
        <v>976</v>
      </c>
    </row>
    <row s="2640" customFormat="1" customHeight="1" ht="14.25">
      <c r="A37" s="1153"/>
      <c r="B37" s="401"/>
      <c r="C37" s="1153"/>
      <c r="D37" s="1153"/>
      <c r="E37" s="597">
        <v>15</v>
      </c>
      <c r="F37" s="64" cm="1" t="str">
        <f t="array" ref="F37:F37">X37</f>
        <v>1</v>
      </c>
      <c r="G37" s="1153"/>
      <c r="H37" s="1153"/>
      <c r="I37" s="1153"/>
      <c r="J37" s="1153"/>
      <c r="K37" s="1153"/>
      <c r="L37" s="1153"/>
      <c r="M37" s="1153"/>
      <c r="N37" s="1153"/>
      <c r="O37" s="1153"/>
      <c r="P37" s="1153"/>
      <c r="Q37" s="1153"/>
      <c r="R37" s="1153"/>
      <c r="S37" s="1153"/>
      <c r="T37" s="439">
        <f>X37&gt;0</f>
        <v>1</v>
      </c>
      <c r="U37" s="1153"/>
      <c r="V37" s="88" cm="1" t="str">
        <f t="array" ref="V37:V37">'Амортизация (аналог)'!$AB$34</f>
        <v>Тариф 1 (Водоснабжение) - тариф на техническую воду (Оказание услуг на территории: Прокопьевский муниципальный округ (ОКТМО: 32522000) - п Калачево)</v>
      </c>
      <c r="W37" s="1153"/>
      <c r="X37" s="1482" t="s">
        <v>272</v>
      </c>
      <c r="Y37" s="1153"/>
      <c r="Z37" s="1534"/>
      <c r="AA37" s="1153"/>
      <c r="AB37" s="189" cm="1" t="str">
        <f t="array" ref="AB37:AB37">'Амортизация (аналог)'!$AB$34</f>
        <v>Тариф 1 (Водоснабжение) - тариф на техническую воду (Оказание услуг на территории: Прокопьевский муниципальный округ (ОКТМО: 32522000) - п Калачево)</v>
      </c>
      <c r="AC37" s="147"/>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77"/>
      <c r="BD37" s="1153"/>
      <c r="BE37" s="1153"/>
      <c r="BF37" s="980"/>
    </row>
    <row s="2641" customFormat="1" customHeight="1" ht="71.25">
      <c r="A38" s="1153"/>
      <c r="B38" s="401"/>
      <c r="C38" s="1153"/>
      <c r="D38" s="1153"/>
      <c r="E38" s="597">
        <v>73.5</v>
      </c>
      <c r="F38" s="50" cm="1" t="str">
        <f t="array" ref="F38:F38">OFFSET(E38,-1,1)</f>
        <v>1</v>
      </c>
      <c r="G38" s="468" t="s">
        <v>949</v>
      </c>
      <c r="H38" s="88" t="s">
        <v>325</v>
      </c>
      <c r="I38" s="1153"/>
      <c r="J38" s="1153"/>
      <c r="K38" s="90" t="str">
        <f>F38&amp;"komm"</f>
        <v>1komm</v>
      </c>
      <c r="L38" s="901" cm="1" t="str">
        <f t="array" ref="L38:L38">BC38</f>
        <v>0</v>
      </c>
      <c r="M38" s="1153"/>
      <c r="N38" s="1153"/>
      <c r="O38" s="1153"/>
      <c r="P38" s="1153"/>
      <c r="Q38" s="1153"/>
      <c r="R38" s="1153"/>
      <c r="S38" s="1153"/>
      <c r="T38" s="439" cm="1" t="str">
        <f t="array" ref="T38:T38">T37</f>
        <v>true</v>
      </c>
      <c r="U38" s="1153"/>
      <c r="V38" s="1153"/>
      <c r="W38" s="1153"/>
      <c r="X38" s="1482"/>
      <c r="Y38" s="1153"/>
      <c r="Z38" s="1534"/>
      <c r="AA38" s="1153"/>
      <c r="AB38" s="185" t="s">
        <v>272</v>
      </c>
      <c r="AC38" s="186" t="s">
        <v>950</v>
      </c>
      <c r="AD38" s="172" t="s">
        <v>784</v>
      </c>
      <c r="AE38" s="754">
        <f>AE39+AE42+AE43+AE44</f>
        <v>0</v>
      </c>
      <c r="AF38" s="754">
        <f>AF39+AF42+AF43+AF44</f>
        <v>0</v>
      </c>
      <c r="AG38" s="754">
        <f>AG39+AG42+AG43+AG44</f>
        <v>0</v>
      </c>
      <c r="AH38" s="754">
        <f>AH39+AH42+AH43+AH44</f>
        <v>0</v>
      </c>
      <c r="AI38" s="754">
        <f>AI39+AI42+AI43+AI44</f>
        <v>0</v>
      </c>
      <c r="AJ38" s="754">
        <f>AJ39+AJ42+AJ43+AJ44</f>
        <v>0</v>
      </c>
      <c r="AK38" s="754">
        <f>AK39+AK42+AK43+AK44</f>
        <v>0</v>
      </c>
      <c r="AL38" s="754">
        <f>AL39+AL42+AL43+AL44</f>
        <v>0</v>
      </c>
      <c r="AM38" s="754">
        <f>AM39+AM42+AM43+AM44</f>
        <v>0</v>
      </c>
      <c r="AN38" s="754">
        <f>AN39+AN42+AN43+AN44</f>
        <v>0</v>
      </c>
      <c r="AO38" s="754">
        <f>AO39+AO42+AO43+AO44</f>
        <v>0</v>
      </c>
      <c r="AP38" s="754">
        <f>AP39+AP42+AP43+AP44</f>
        <v>0</v>
      </c>
      <c r="AQ38" s="754">
        <f>AQ39+AQ42+AQ43+AQ44</f>
        <v>0</v>
      </c>
      <c r="AR38" s="754">
        <f>AR39+AR42+AR43+AR44</f>
        <v>0</v>
      </c>
      <c r="AS38" s="754">
        <f>AS39+AS42+AS43+AS44</f>
        <v>0</v>
      </c>
      <c r="AT38" s="754">
        <f>AT39+AT42+AT43+AT44</f>
        <v>0</v>
      </c>
      <c r="AU38" s="754">
        <f>AU39+AU42+AU43+AU44</f>
        <v>0</v>
      </c>
      <c r="AV38" s="754">
        <f>AV39+AV42+AV43+AV44</f>
        <v>0</v>
      </c>
      <c r="AW38" s="754">
        <f>AW39+AW42+AW43+AW44</f>
        <v>0</v>
      </c>
      <c r="AX38" s="754">
        <f>AX39+AX42+AX43+AX44</f>
        <v>0</v>
      </c>
      <c r="AY38" s="754">
        <f>AY39+AY42+AY43+AY44</f>
        <v>0</v>
      </c>
      <c r="AZ38" s="754">
        <f>AZ39+AZ42+AZ43+AZ44</f>
        <v>0</v>
      </c>
      <c r="BA38" s="754">
        <f>BA39+BA42+BA43+BA44</f>
        <v>0</v>
      </c>
      <c r="BB38" s="754">
        <f>BB39+BB42+BB43+BB44</f>
        <v>0</v>
      </c>
      <c r="BC38" s="167"/>
      <c r="BD38" s="1153"/>
      <c r="BE38" s="1153"/>
      <c r="BF38" s="1024" t="s">
        <v>951</v>
      </c>
    </row>
    <row s="2642" customFormat="1" customHeight="1" ht="14.25">
      <c r="A39" s="1153"/>
      <c r="B39" s="401"/>
      <c r="C39" s="1153"/>
      <c r="D39" s="88" t="s">
        <v>952</v>
      </c>
      <c r="E39" s="597">
        <v>15</v>
      </c>
      <c r="F39" s="50" cm="1" t="str">
        <f t="array" ref="F39:F39">OFFSET(E39,-1,1)</f>
        <v>1</v>
      </c>
      <c r="G39" s="1153"/>
      <c r="H39" s="88" t="s">
        <v>441</v>
      </c>
      <c r="I39" s="1153"/>
      <c r="J39" s="1153"/>
      <c r="K39" s="1153"/>
      <c r="L39" s="1153"/>
      <c r="M39" s="1153"/>
      <c r="N39" s="1153"/>
      <c r="O39" s="1153"/>
      <c r="P39" s="1153"/>
      <c r="Q39" s="1153"/>
      <c r="R39" s="1153"/>
      <c r="S39" s="1153"/>
      <c r="T39" s="439" cm="1" t="str">
        <f t="array" ref="T39:T39">T38</f>
        <v>true</v>
      </c>
      <c r="U39" s="1153"/>
      <c r="V39" s="1153"/>
      <c r="W39" s="1153"/>
      <c r="X39" s="1482"/>
      <c r="Y39" s="1153"/>
      <c r="Z39" s="1534"/>
      <c r="AA39" s="1153"/>
      <c r="AB39" s="187" t="s">
        <v>845</v>
      </c>
      <c r="AC39" s="743" t="s">
        <v>952</v>
      </c>
      <c r="AD39" s="912" t="s">
        <v>784</v>
      </c>
      <c r="AE39" s="753">
        <f>SUM(AE40:AE41)</f>
        <v>0</v>
      </c>
      <c r="AF39" s="753">
        <f>SUM(AF40:AF41)</f>
        <v>0</v>
      </c>
      <c r="AG39" s="753">
        <f>SUM(AG40:AG41)</f>
        <v>0</v>
      </c>
      <c r="AH39" s="753">
        <f>SUM(AH40:AH41)</f>
        <v>0</v>
      </c>
      <c r="AI39" s="753">
        <f>SUM(AI40:AI41)</f>
        <v>0</v>
      </c>
      <c r="AJ39" s="2636">
        <f>SUM(AJ40:AJ41)</f>
        <v>0</v>
      </c>
      <c r="AK39" s="2636">
        <f>SUM(AK40:AK41)</f>
        <v>0</v>
      </c>
      <c r="AL39" s="753">
        <f>SUM(AL40:AL41)</f>
        <v>0</v>
      </c>
      <c r="AM39" s="753">
        <f>SUM(AM40:AM41)</f>
        <v>0</v>
      </c>
      <c r="AN39" s="753">
        <f>SUM(AN40:AN41)</f>
        <v>0</v>
      </c>
      <c r="AO39" s="753">
        <f>SUM(AO40:AO41)</f>
        <v>0</v>
      </c>
      <c r="AP39" s="753">
        <f>SUM(AP40:AP41)</f>
        <v>0</v>
      </c>
      <c r="AQ39" s="753">
        <f>SUM(AQ40:AQ41)</f>
        <v>0</v>
      </c>
      <c r="AR39" s="753">
        <f>SUM(AR40:AR41)</f>
        <v>0</v>
      </c>
      <c r="AS39" s="753">
        <f>SUM(AS40:AS41)</f>
        <v>0</v>
      </c>
      <c r="AT39" s="2636">
        <f>SUM(AT40:AT41)</f>
        <v>0</v>
      </c>
      <c r="AU39" s="2636">
        <f>SUM(AU40:AU41)</f>
        <v>0</v>
      </c>
      <c r="AV39" s="753">
        <f>SUM(AV40:AV41)</f>
        <v>0</v>
      </c>
      <c r="AW39" s="753">
        <f>SUM(AW40:AW41)</f>
        <v>0</v>
      </c>
      <c r="AX39" s="753">
        <f>SUM(AX40:AX41)</f>
        <v>0</v>
      </c>
      <c r="AY39" s="753">
        <f>SUM(AY40:AY41)</f>
        <v>0</v>
      </c>
      <c r="AZ39" s="753">
        <f>SUM(AZ40:AZ41)</f>
        <v>0</v>
      </c>
      <c r="BA39" s="753">
        <f>SUM(BA40:BA41)</f>
        <v>0</v>
      </c>
      <c r="BB39" s="753">
        <f>SUM(BB40:BB41)</f>
        <v>0</v>
      </c>
      <c r="BC39" s="167"/>
      <c r="BD39" s="1153"/>
      <c r="BE39" s="1153"/>
      <c r="BF39" s="1024" t="s">
        <v>953</v>
      </c>
    </row>
    <row s="2643" customFormat="1" customHeight="1" ht="23.25">
      <c r="A40" s="1153"/>
      <c r="B40" s="401"/>
      <c r="C40" s="1153"/>
      <c r="D40" s="1153"/>
      <c r="E40" s="597">
        <v>24</v>
      </c>
      <c r="F40" s="50" cm="1" t="str">
        <f t="array" ref="F40:F40">OFFSET(E40,-1,1)</f>
        <v>1</v>
      </c>
      <c r="G40" s="1153"/>
      <c r="H40" s="88" t="s">
        <v>954</v>
      </c>
      <c r="I40" s="1153"/>
      <c r="J40" s="1153"/>
      <c r="K40" s="1153"/>
      <c r="L40" s="1153"/>
      <c r="M40" s="1153"/>
      <c r="N40" s="1153"/>
      <c r="O40" s="1153"/>
      <c r="P40" s="1153"/>
      <c r="Q40" s="1153"/>
      <c r="R40" s="1153"/>
      <c r="S40" s="1153"/>
      <c r="T40" s="439" cm="1" t="str">
        <f t="array" ref="T40:T40">T39</f>
        <v>true</v>
      </c>
      <c r="U40" s="1153"/>
      <c r="V40" s="1153"/>
      <c r="W40" s="1153"/>
      <c r="X40" s="1482"/>
      <c r="Y40" s="1153"/>
      <c r="Z40" s="1534"/>
      <c r="AA40" s="1153"/>
      <c r="AB40" s="187" t="s">
        <v>955</v>
      </c>
      <c r="AC40" s="746" t="s">
        <v>956</v>
      </c>
      <c r="AD40" s="912" t="s">
        <v>784</v>
      </c>
      <c r="AE40" s="753"/>
      <c r="AF40" s="753"/>
      <c r="AG40" s="753"/>
      <c r="AH40" s="753"/>
      <c r="AI40" s="753"/>
      <c r="AJ40" s="2636"/>
      <c r="AK40" s="2636"/>
      <c r="AL40" s="753"/>
      <c r="AM40" s="753"/>
      <c r="AN40" s="753"/>
      <c r="AO40" s="753"/>
      <c r="AP40" s="753"/>
      <c r="AQ40" s="753"/>
      <c r="AR40" s="753"/>
      <c r="AS40" s="753"/>
      <c r="AT40" s="2636"/>
      <c r="AU40" s="2636"/>
      <c r="AV40" s="753"/>
      <c r="AW40" s="753"/>
      <c r="AX40" s="753"/>
      <c r="AY40" s="753"/>
      <c r="AZ40" s="753"/>
      <c r="BA40" s="753"/>
      <c r="BB40" s="753"/>
      <c r="BC40" s="167"/>
      <c r="BD40" s="1153"/>
      <c r="BE40" s="1153"/>
      <c r="BF40" s="980" t="s">
        <v>957</v>
      </c>
    </row>
    <row s="2644" customFormat="1" customHeight="1" ht="14.25">
      <c r="A41" s="1153"/>
      <c r="B41" s="401"/>
      <c r="C41" s="1153"/>
      <c r="D41" s="1153"/>
      <c r="E41" s="597">
        <v>15</v>
      </c>
      <c r="F41" s="50" cm="1" t="str">
        <f t="array" ref="F41:F41">OFFSET(E41,-1,1)</f>
        <v>1</v>
      </c>
      <c r="G41" s="1153"/>
      <c r="H41" s="88" t="s">
        <v>958</v>
      </c>
      <c r="I41" s="1153"/>
      <c r="J41" s="1153"/>
      <c r="K41" s="1153"/>
      <c r="L41" s="1153"/>
      <c r="M41" s="1153"/>
      <c r="N41" s="1153"/>
      <c r="O41" s="1153"/>
      <c r="P41" s="1153"/>
      <c r="Q41" s="1153"/>
      <c r="R41" s="1153"/>
      <c r="S41" s="1153"/>
      <c r="T41" s="439" cm="1" t="str">
        <f t="array" ref="T41:T41">T40</f>
        <v>true</v>
      </c>
      <c r="U41" s="1153"/>
      <c r="V41" s="1153"/>
      <c r="W41" s="1153"/>
      <c r="X41" s="1482"/>
      <c r="Y41" s="1153"/>
      <c r="Z41" s="1534"/>
      <c r="AA41" s="1153"/>
      <c r="AB41" s="187" t="s">
        <v>959</v>
      </c>
      <c r="AC41" s="746" t="s">
        <v>960</v>
      </c>
      <c r="AD41" s="912" t="s">
        <v>784</v>
      </c>
      <c r="AE41" s="753"/>
      <c r="AF41" s="753"/>
      <c r="AG41" s="753"/>
      <c r="AH41" s="753"/>
      <c r="AI41" s="753"/>
      <c r="AJ41" s="2636"/>
      <c r="AK41" s="2636"/>
      <c r="AL41" s="753"/>
      <c r="AM41" s="753"/>
      <c r="AN41" s="753"/>
      <c r="AO41" s="753"/>
      <c r="AP41" s="753"/>
      <c r="AQ41" s="753"/>
      <c r="AR41" s="753"/>
      <c r="AS41" s="753"/>
      <c r="AT41" s="2636"/>
      <c r="AU41" s="2636"/>
      <c r="AV41" s="753"/>
      <c r="AW41" s="753"/>
      <c r="AX41" s="753"/>
      <c r="AY41" s="753"/>
      <c r="AZ41" s="753"/>
      <c r="BA41" s="753"/>
      <c r="BB41" s="753"/>
      <c r="BC41" s="167"/>
      <c r="BD41" s="1153"/>
      <c r="BE41" s="1153"/>
      <c r="BF41" s="980" t="s">
        <v>961</v>
      </c>
    </row>
    <row s="2645" customFormat="1" customHeight="1" ht="14.25">
      <c r="A42" s="1153"/>
      <c r="B42" s="401"/>
      <c r="C42" s="1153"/>
      <c r="D42" s="88" t="s">
        <v>962</v>
      </c>
      <c r="E42" s="597">
        <v>15</v>
      </c>
      <c r="F42" s="50" cm="1" t="str">
        <f t="array" ref="F42:F42">OFFSET(E42,-1,1)</f>
        <v>1</v>
      </c>
      <c r="G42" s="1153"/>
      <c r="H42" s="88" t="s">
        <v>445</v>
      </c>
      <c r="I42" s="1153"/>
      <c r="J42" s="1153"/>
      <c r="K42" s="1153"/>
      <c r="L42" s="1153"/>
      <c r="M42" s="1153"/>
      <c r="N42" s="1153"/>
      <c r="O42" s="1153"/>
      <c r="P42" s="1153"/>
      <c r="Q42" s="1153"/>
      <c r="R42" s="1153"/>
      <c r="S42" s="1153"/>
      <c r="T42" s="439" cm="1" t="str">
        <f t="array" ref="T42:T42">T41</f>
        <v>true</v>
      </c>
      <c r="U42" s="1153"/>
      <c r="V42" s="1153"/>
      <c r="W42" s="1153"/>
      <c r="X42" s="1482"/>
      <c r="Y42" s="1153"/>
      <c r="Z42" s="1534"/>
      <c r="AA42" s="1153"/>
      <c r="AB42" s="187" t="s">
        <v>848</v>
      </c>
      <c r="AC42" s="913" t="s">
        <v>963</v>
      </c>
      <c r="AD42" s="912" t="s">
        <v>784</v>
      </c>
      <c r="AE42" s="753"/>
      <c r="AF42" s="753"/>
      <c r="AG42" s="753"/>
      <c r="AH42" s="753"/>
      <c r="AI42" s="753"/>
      <c r="AJ42" s="2636"/>
      <c r="AK42" s="2636"/>
      <c r="AL42" s="753"/>
      <c r="AM42" s="753"/>
      <c r="AN42" s="753"/>
      <c r="AO42" s="753"/>
      <c r="AP42" s="753"/>
      <c r="AQ42" s="753"/>
      <c r="AR42" s="753"/>
      <c r="AS42" s="753"/>
      <c r="AT42" s="2636"/>
      <c r="AU42" s="2636"/>
      <c r="AV42" s="753"/>
      <c r="AW42" s="753"/>
      <c r="AX42" s="753"/>
      <c r="AY42" s="753"/>
      <c r="AZ42" s="753"/>
      <c r="BA42" s="753"/>
      <c r="BB42" s="753"/>
      <c r="BC42" s="167"/>
      <c r="BD42" s="1153"/>
      <c r="BE42" s="1153"/>
      <c r="BF42" s="980" t="s">
        <v>964</v>
      </c>
    </row>
    <row s="2646" customFormat="1" customHeight="1" ht="14.25">
      <c r="A43" s="1153"/>
      <c r="B43" s="401"/>
      <c r="C43" s="1153"/>
      <c r="D43" s="88" t="s">
        <v>965</v>
      </c>
      <c r="E43" s="597">
        <v>15</v>
      </c>
      <c r="F43" s="50" cm="1" t="str">
        <f t="array" ref="F43:F43">OFFSET(E43,-1,1)</f>
        <v>1</v>
      </c>
      <c r="G43" s="1153"/>
      <c r="H43" s="88" t="s">
        <v>448</v>
      </c>
      <c r="I43" s="1153"/>
      <c r="J43" s="1153"/>
      <c r="K43" s="1153"/>
      <c r="L43" s="1153"/>
      <c r="M43" s="1153"/>
      <c r="N43" s="1153"/>
      <c r="O43" s="1153"/>
      <c r="P43" s="1153"/>
      <c r="Q43" s="1153"/>
      <c r="R43" s="1153"/>
      <c r="S43" s="1153"/>
      <c r="T43" s="439" cm="1" t="str">
        <f t="array" ref="T43:T43">T42</f>
        <v>true</v>
      </c>
      <c r="U43" s="1153"/>
      <c r="V43" s="1153"/>
      <c r="W43" s="1153"/>
      <c r="X43" s="1482"/>
      <c r="Y43" s="1153"/>
      <c r="Z43" s="1534"/>
      <c r="AA43" s="1153"/>
      <c r="AB43" s="187" t="s">
        <v>851</v>
      </c>
      <c r="AC43" s="743" t="s">
        <v>966</v>
      </c>
      <c r="AD43" s="912" t="s">
        <v>784</v>
      </c>
      <c r="AE43" s="753"/>
      <c r="AF43" s="753"/>
      <c r="AG43" s="753"/>
      <c r="AH43" s="753"/>
      <c r="AI43" s="753"/>
      <c r="AJ43" s="2636"/>
      <c r="AK43" s="2636"/>
      <c r="AL43" s="753"/>
      <c r="AM43" s="753"/>
      <c r="AN43" s="753"/>
      <c r="AO43" s="753"/>
      <c r="AP43" s="753"/>
      <c r="AQ43" s="753"/>
      <c r="AR43" s="753"/>
      <c r="AS43" s="753"/>
      <c r="AT43" s="2636"/>
      <c r="AU43" s="2636"/>
      <c r="AV43" s="753"/>
      <c r="AW43" s="753"/>
      <c r="AX43" s="753"/>
      <c r="AY43" s="753"/>
      <c r="AZ43" s="753"/>
      <c r="BA43" s="753"/>
      <c r="BB43" s="753"/>
      <c r="BC43" s="167"/>
      <c r="BD43" s="1153"/>
      <c r="BE43" s="1153"/>
      <c r="BF43" s="980" t="s">
        <v>967</v>
      </c>
    </row>
    <row s="2647" customFormat="1" customHeight="1" ht="14.25">
      <c r="A44" s="1153"/>
      <c r="B44" s="401"/>
      <c r="C44" s="1153"/>
      <c r="D44" s="88" t="s">
        <v>968</v>
      </c>
      <c r="E44" s="597">
        <v>15</v>
      </c>
      <c r="F44" s="50" cm="1" t="str">
        <f t="array" ref="F44:F44">OFFSET(E44,-1,1)</f>
        <v>1</v>
      </c>
      <c r="G44" s="1153"/>
      <c r="H44" s="88" t="s">
        <v>452</v>
      </c>
      <c r="I44" s="1153"/>
      <c r="J44" s="1153"/>
      <c r="K44" s="1153"/>
      <c r="L44" s="1153"/>
      <c r="M44" s="1153"/>
      <c r="N44" s="1153"/>
      <c r="O44" s="1153"/>
      <c r="P44" s="1153"/>
      <c r="Q44" s="1153"/>
      <c r="R44" s="1153"/>
      <c r="S44" s="1153"/>
      <c r="T44" s="439" cm="1" t="str">
        <f t="array" ref="T44:T44">T43</f>
        <v>true</v>
      </c>
      <c r="U44" s="1153"/>
      <c r="V44" s="1153"/>
      <c r="W44" s="1153"/>
      <c r="X44" s="1482"/>
      <c r="Y44" s="1153"/>
      <c r="Z44" s="1534"/>
      <c r="AA44" s="1153"/>
      <c r="AB44" s="187" t="s">
        <v>854</v>
      </c>
      <c r="AC44" s="743" t="s">
        <v>969</v>
      </c>
      <c r="AD44" s="912" t="s">
        <v>784</v>
      </c>
      <c r="AE44" s="753">
        <f>SUM(AE45:AE46)</f>
        <v>0</v>
      </c>
      <c r="AF44" s="753">
        <f>SUM(AF45:AF46)</f>
        <v>0</v>
      </c>
      <c r="AG44" s="753">
        <f>SUM(AG45:AG46)</f>
        <v>0</v>
      </c>
      <c r="AH44" s="753">
        <f>SUM(AH45:AH46)</f>
        <v>0</v>
      </c>
      <c r="AI44" s="753">
        <f>SUM(AI45:AI46)</f>
        <v>0</v>
      </c>
      <c r="AJ44" s="2636">
        <f>SUM(AJ45:AJ46)</f>
        <v>0</v>
      </c>
      <c r="AK44" s="2636">
        <f>SUM(AK45:AK46)</f>
        <v>0</v>
      </c>
      <c r="AL44" s="753">
        <f>SUM(AL45:AL46)</f>
        <v>0</v>
      </c>
      <c r="AM44" s="753">
        <f>SUM(AM45:AM46)</f>
        <v>0</v>
      </c>
      <c r="AN44" s="753">
        <f>SUM(AN45:AN46)</f>
        <v>0</v>
      </c>
      <c r="AO44" s="753">
        <f>SUM(AO45:AO46)</f>
        <v>0</v>
      </c>
      <c r="AP44" s="753">
        <f>SUM(AP45:AP46)</f>
        <v>0</v>
      </c>
      <c r="AQ44" s="753">
        <f>SUM(AQ45:AQ46)</f>
        <v>0</v>
      </c>
      <c r="AR44" s="753">
        <f>SUM(AR45:AR46)</f>
        <v>0</v>
      </c>
      <c r="AS44" s="753">
        <f>SUM(AS45:AS46)</f>
        <v>0</v>
      </c>
      <c r="AT44" s="2636">
        <f>SUM(AT45:AT46)</f>
        <v>0</v>
      </c>
      <c r="AU44" s="2636">
        <f>SUM(AU45:AU46)</f>
        <v>0</v>
      </c>
      <c r="AV44" s="753">
        <f>SUM(AV45:AV46)</f>
        <v>0</v>
      </c>
      <c r="AW44" s="753">
        <f>SUM(AW45:AW46)</f>
        <v>0</v>
      </c>
      <c r="AX44" s="753">
        <f>SUM(AX45:AX46)</f>
        <v>0</v>
      </c>
      <c r="AY44" s="753">
        <f>SUM(AY45:AY46)</f>
        <v>0</v>
      </c>
      <c r="AZ44" s="753">
        <f>SUM(AZ45:AZ46)</f>
        <v>0</v>
      </c>
      <c r="BA44" s="753">
        <f>SUM(BA45:BA46)</f>
        <v>0</v>
      </c>
      <c r="BB44" s="753">
        <f>SUM(BB45:BB46)</f>
        <v>0</v>
      </c>
      <c r="BC44" s="167"/>
      <c r="BD44" s="1153"/>
      <c r="BE44" s="1153"/>
      <c r="BF44" s="980" t="s">
        <v>970</v>
      </c>
    </row>
    <row s="2648" customFormat="1" customHeight="1" ht="34.5">
      <c r="A45" s="1153"/>
      <c r="B45" s="401"/>
      <c r="C45" s="1153"/>
      <c r="D45" s="1153"/>
      <c r="E45" s="597">
        <v>36</v>
      </c>
      <c r="F45" s="50" cm="1" t="str">
        <f t="array" ref="F45:F45">OFFSET(E45,-1,1)</f>
        <v>1</v>
      </c>
      <c r="G45" s="1153"/>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534"/>
      <c r="AA45" s="1153"/>
      <c r="AB45" s="187" t="s">
        <v>971</v>
      </c>
      <c r="AC45" s="743" t="s">
        <v>972</v>
      </c>
      <c r="AD45" s="912" t="s">
        <v>784</v>
      </c>
      <c r="AE45" s="753"/>
      <c r="AF45" s="753"/>
      <c r="AG45" s="753"/>
      <c r="AH45" s="753"/>
      <c r="AI45" s="753"/>
      <c r="AJ45" s="2636"/>
      <c r="AK45" s="2636"/>
      <c r="AL45" s="753"/>
      <c r="AM45" s="753"/>
      <c r="AN45" s="753"/>
      <c r="AO45" s="753"/>
      <c r="AP45" s="753"/>
      <c r="AQ45" s="753"/>
      <c r="AR45" s="753"/>
      <c r="AS45" s="753"/>
      <c r="AT45" s="2636"/>
      <c r="AU45" s="2636"/>
      <c r="AV45" s="753"/>
      <c r="AW45" s="753"/>
      <c r="AX45" s="753"/>
      <c r="AY45" s="753"/>
      <c r="AZ45" s="753"/>
      <c r="BA45" s="753"/>
      <c r="BB45" s="753"/>
      <c r="BC45" s="167"/>
      <c r="BD45" s="1153"/>
      <c r="BE45" s="1153"/>
      <c r="BF45" s="980" t="s">
        <v>973</v>
      </c>
    </row>
    <row s="2649" customFormat="1" customHeight="1" ht="34.5">
      <c r="A46" s="1153"/>
      <c r="B46" s="401"/>
      <c r="C46" s="1153"/>
      <c r="D46" s="1153"/>
      <c r="E46" s="597">
        <v>36</v>
      </c>
      <c r="F46" s="50" cm="1" t="str">
        <f t="array" ref="F46:F46">OFFSET(E46,-1,1)</f>
        <v>1</v>
      </c>
      <c r="G46" s="1153"/>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534"/>
      <c r="AA46" s="1153"/>
      <c r="AB46" s="187" t="s">
        <v>974</v>
      </c>
      <c r="AC46" s="743" t="s">
        <v>975</v>
      </c>
      <c r="AD46" s="912" t="s">
        <v>784</v>
      </c>
      <c r="AE46" s="753"/>
      <c r="AF46" s="753"/>
      <c r="AG46" s="753"/>
      <c r="AH46" s="753"/>
      <c r="AI46" s="753"/>
      <c r="AJ46" s="2636"/>
      <c r="AK46" s="2636"/>
      <c r="AL46" s="753"/>
      <c r="AM46" s="753"/>
      <c r="AN46" s="753"/>
      <c r="AO46" s="753"/>
      <c r="AP46" s="753"/>
      <c r="AQ46" s="753"/>
      <c r="AR46" s="753"/>
      <c r="AS46" s="753"/>
      <c r="AT46" s="2636"/>
      <c r="AU46" s="2636"/>
      <c r="AV46" s="753"/>
      <c r="AW46" s="753"/>
      <c r="AX46" s="753"/>
      <c r="AY46" s="753"/>
      <c r="AZ46" s="753"/>
      <c r="BA46" s="753"/>
      <c r="BB46" s="753"/>
      <c r="BC46" s="167"/>
      <c r="BD46" s="1153"/>
      <c r="BE46" s="1153"/>
      <c r="BF46" s="980" t="s">
        <v>976</v>
      </c>
    </row>
    <row s="2650" customFormat="1" customHeight="1" ht="14.25">
      <c r="A47" s="1153"/>
      <c r="B47" s="401"/>
      <c r="C47" s="1153"/>
      <c r="D47" s="1153"/>
      <c r="E47" s="597">
        <v>15</v>
      </c>
      <c r="F47" s="64" cm="1" t="str">
        <f t="array" ref="F47:F47">X47</f>
        <v>2</v>
      </c>
      <c r="G47" s="1153"/>
      <c r="H47" s="1153"/>
      <c r="I47" s="1153"/>
      <c r="J47" s="1153"/>
      <c r="K47" s="1153"/>
      <c r="L47" s="1153"/>
      <c r="M47" s="1153"/>
      <c r="N47" s="1153"/>
      <c r="O47" s="1153"/>
      <c r="P47" s="1153"/>
      <c r="Q47" s="1153"/>
      <c r="R47" s="1153"/>
      <c r="S47" s="1153"/>
      <c r="T47" s="439">
        <f>X47&gt;0</f>
        <v>1</v>
      </c>
      <c r="U47" s="1153"/>
      <c r="V47" s="88" cm="1" t="str">
        <f t="array" ref="V47:V47">'Амортизация (аналог)'!$AB$41</f>
        <v>Тариф 2 (Водоотведение) - тариф на водоотведение (Оказание услуг на территории: Прокопьевский муниципальный округ (ОКТМО: 32522000) - п Калачево)</v>
      </c>
      <c r="W47" s="1153"/>
      <c r="X47" s="1482" t="s">
        <v>283</v>
      </c>
      <c r="Y47" s="1153"/>
      <c r="Z47" s="1534"/>
      <c r="AA47" s="1153"/>
      <c r="AB47" s="189" cm="1" t="str">
        <f t="array" ref="AB47:AB47">'Амортизация (аналог)'!$AB$41</f>
        <v>Тариф 2 (Водоотведение) - тариф на водоотведение (Оказание услуг на территории: Прокопьевский муниципальный округ (ОКТМО: 32522000) - п Калачево)</v>
      </c>
      <c r="AC47" s="147"/>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77"/>
      <c r="BD47" s="1153"/>
      <c r="BE47" s="1153"/>
      <c r="BF47" s="980"/>
    </row>
    <row s="2651" customFormat="1" customHeight="1" ht="71.25">
      <c r="A48" s="1153"/>
      <c r="B48" s="401"/>
      <c r="C48" s="1153"/>
      <c r="D48" s="1153"/>
      <c r="E48" s="597">
        <v>73.5</v>
      </c>
      <c r="F48" s="50" cm="1" t="str">
        <f t="array" ref="F48:F48">OFFSET(E48,-1,1)</f>
        <v>2</v>
      </c>
      <c r="G48" s="468" t="s">
        <v>949</v>
      </c>
      <c r="H48" s="88" t="s">
        <v>325</v>
      </c>
      <c r="I48" s="1153"/>
      <c r="J48" s="1153"/>
      <c r="K48" s="90" t="str">
        <f>F48&amp;"komm"</f>
        <v>2komm</v>
      </c>
      <c r="L48" s="901" cm="1" t="str">
        <f t="array" ref="L48:L48">BC48</f>
        <v>0</v>
      </c>
      <c r="M48" s="1153"/>
      <c r="N48" s="1153"/>
      <c r="O48" s="1153"/>
      <c r="P48" s="1153"/>
      <c r="Q48" s="1153"/>
      <c r="R48" s="1153"/>
      <c r="S48" s="1153"/>
      <c r="T48" s="439" cm="1" t="str">
        <f t="array" ref="T48:T48">T47</f>
        <v>true</v>
      </c>
      <c r="U48" s="1153"/>
      <c r="V48" s="1153"/>
      <c r="W48" s="1153"/>
      <c r="X48" s="1482"/>
      <c r="Y48" s="1153"/>
      <c r="Z48" s="1534"/>
      <c r="AA48" s="1153"/>
      <c r="AB48" s="185" t="s">
        <v>272</v>
      </c>
      <c r="AC48" s="186" t="s">
        <v>950</v>
      </c>
      <c r="AD48" s="172" t="s">
        <v>784</v>
      </c>
      <c r="AE48" s="754">
        <f>AE49+AE52+AE53+AE54</f>
        <v>0</v>
      </c>
      <c r="AF48" s="754">
        <f>AF49+AF52+AF53+AF54</f>
        <v>0</v>
      </c>
      <c r="AG48" s="754">
        <f>AG49+AG52+AG53+AG54</f>
        <v>0</v>
      </c>
      <c r="AH48" s="754">
        <f>AH49+AH52+AH53+AH54</f>
        <v>0</v>
      </c>
      <c r="AI48" s="754">
        <f>AI49+AI52+AI53+AI54</f>
        <v>0</v>
      </c>
      <c r="AJ48" s="754">
        <f>AJ49+AJ52+AJ53+AJ54</f>
        <v>0</v>
      </c>
      <c r="AK48" s="754">
        <f>AK49+AK52+AK53+AK54</f>
        <v>0</v>
      </c>
      <c r="AL48" s="754">
        <f>AL49+AL52+AL53+AL54</f>
        <v>0</v>
      </c>
      <c r="AM48" s="754">
        <f>AM49+AM52+AM53+AM54</f>
        <v>0</v>
      </c>
      <c r="AN48" s="754">
        <f>AN49+AN52+AN53+AN54</f>
        <v>0</v>
      </c>
      <c r="AO48" s="754">
        <f>AO49+AO52+AO53+AO54</f>
        <v>0</v>
      </c>
      <c r="AP48" s="754">
        <f>AP49+AP52+AP53+AP54</f>
        <v>0</v>
      </c>
      <c r="AQ48" s="754">
        <f>AQ49+AQ52+AQ53+AQ54</f>
        <v>0</v>
      </c>
      <c r="AR48" s="754">
        <f>AR49+AR52+AR53+AR54</f>
        <v>0</v>
      </c>
      <c r="AS48" s="754">
        <f>AS49+AS52+AS53+AS54</f>
        <v>0</v>
      </c>
      <c r="AT48" s="754">
        <f>AT49+AT52+AT53+AT54</f>
        <v>0</v>
      </c>
      <c r="AU48" s="754">
        <f>AU49+AU52+AU53+AU54</f>
        <v>0</v>
      </c>
      <c r="AV48" s="754">
        <f>AV49+AV52+AV53+AV54</f>
        <v>0</v>
      </c>
      <c r="AW48" s="754">
        <f>AW49+AW52+AW53+AW54</f>
        <v>0</v>
      </c>
      <c r="AX48" s="754">
        <f>AX49+AX52+AX53+AX54</f>
        <v>0</v>
      </c>
      <c r="AY48" s="754">
        <f>AY49+AY52+AY53+AY54</f>
        <v>0</v>
      </c>
      <c r="AZ48" s="754">
        <f>AZ49+AZ52+AZ53+AZ54</f>
        <v>0</v>
      </c>
      <c r="BA48" s="754">
        <f>BA49+BA52+BA53+BA54</f>
        <v>0</v>
      </c>
      <c r="BB48" s="754">
        <f>BB49+BB52+BB53+BB54</f>
        <v>0</v>
      </c>
      <c r="BC48" s="167"/>
      <c r="BD48" s="1153"/>
      <c r="BE48" s="1153"/>
      <c r="BF48" s="1024" t="s">
        <v>951</v>
      </c>
    </row>
    <row s="2652" customFormat="1" customHeight="1" ht="14.25">
      <c r="A49" s="1153"/>
      <c r="B49" s="401"/>
      <c r="C49" s="1153"/>
      <c r="D49" s="88" t="s">
        <v>952</v>
      </c>
      <c r="E49" s="597">
        <v>15</v>
      </c>
      <c r="F49" s="50" cm="1" t="str">
        <f t="array" ref="F49:F49">OFFSET(E49,-1,1)</f>
        <v>2</v>
      </c>
      <c r="G49" s="1153"/>
      <c r="H49" s="88" t="s">
        <v>441</v>
      </c>
      <c r="I49" s="1153"/>
      <c r="J49" s="1153"/>
      <c r="K49" s="1153"/>
      <c r="L49" s="1153"/>
      <c r="M49" s="1153"/>
      <c r="N49" s="1153"/>
      <c r="O49" s="1153"/>
      <c r="P49" s="1153"/>
      <c r="Q49" s="1153"/>
      <c r="R49" s="1153"/>
      <c r="S49" s="1153"/>
      <c r="T49" s="439" cm="1" t="str">
        <f t="array" ref="T49:T49">T48</f>
        <v>true</v>
      </c>
      <c r="U49" s="1153"/>
      <c r="V49" s="1153"/>
      <c r="W49" s="1153"/>
      <c r="X49" s="1482"/>
      <c r="Y49" s="1153"/>
      <c r="Z49" s="1534"/>
      <c r="AA49" s="1153"/>
      <c r="AB49" s="187" t="s">
        <v>845</v>
      </c>
      <c r="AC49" s="743" t="s">
        <v>952</v>
      </c>
      <c r="AD49" s="912" t="s">
        <v>784</v>
      </c>
      <c r="AE49" s="753">
        <f>SUM(AE50:AE51)</f>
        <v>0</v>
      </c>
      <c r="AF49" s="753">
        <f>SUM(AF50:AF51)</f>
        <v>0</v>
      </c>
      <c r="AG49" s="753">
        <f>SUM(AG50:AG51)</f>
        <v>0</v>
      </c>
      <c r="AH49" s="753">
        <f>SUM(AH50:AH51)</f>
        <v>0</v>
      </c>
      <c r="AI49" s="753">
        <f>SUM(AI50:AI51)</f>
        <v>0</v>
      </c>
      <c r="AJ49" s="2636">
        <f>SUM(AJ50:AJ51)</f>
        <v>0</v>
      </c>
      <c r="AK49" s="2636">
        <f>SUM(AK50:AK51)</f>
        <v>0</v>
      </c>
      <c r="AL49" s="753">
        <f>SUM(AL50:AL51)</f>
        <v>0</v>
      </c>
      <c r="AM49" s="753">
        <f>SUM(AM50:AM51)</f>
        <v>0</v>
      </c>
      <c r="AN49" s="753">
        <f>SUM(AN50:AN51)</f>
        <v>0</v>
      </c>
      <c r="AO49" s="753">
        <f>SUM(AO50:AO51)</f>
        <v>0</v>
      </c>
      <c r="AP49" s="753">
        <f>SUM(AP50:AP51)</f>
        <v>0</v>
      </c>
      <c r="AQ49" s="753">
        <f>SUM(AQ50:AQ51)</f>
        <v>0</v>
      </c>
      <c r="AR49" s="753">
        <f>SUM(AR50:AR51)</f>
        <v>0</v>
      </c>
      <c r="AS49" s="753">
        <f>SUM(AS50:AS51)</f>
        <v>0</v>
      </c>
      <c r="AT49" s="2636">
        <f>SUM(AT50:AT51)</f>
        <v>0</v>
      </c>
      <c r="AU49" s="2636">
        <f>SUM(AU50:AU51)</f>
        <v>0</v>
      </c>
      <c r="AV49" s="753">
        <f>SUM(AV50:AV51)</f>
        <v>0</v>
      </c>
      <c r="AW49" s="753">
        <f>SUM(AW50:AW51)</f>
        <v>0</v>
      </c>
      <c r="AX49" s="753">
        <f>SUM(AX50:AX51)</f>
        <v>0</v>
      </c>
      <c r="AY49" s="753">
        <f>SUM(AY50:AY51)</f>
        <v>0</v>
      </c>
      <c r="AZ49" s="753">
        <f>SUM(AZ50:AZ51)</f>
        <v>0</v>
      </c>
      <c r="BA49" s="753">
        <f>SUM(BA50:BA51)</f>
        <v>0</v>
      </c>
      <c r="BB49" s="753">
        <f>SUM(BB50:BB51)</f>
        <v>0</v>
      </c>
      <c r="BC49" s="167"/>
      <c r="BD49" s="1153"/>
      <c r="BE49" s="1153"/>
      <c r="BF49" s="1024" t="s">
        <v>953</v>
      </c>
    </row>
    <row s="2653" customFormat="1" customHeight="1" ht="23.25">
      <c r="A50" s="1153"/>
      <c r="B50" s="401"/>
      <c r="C50" s="1153"/>
      <c r="D50" s="1153"/>
      <c r="E50" s="597">
        <v>24</v>
      </c>
      <c r="F50" s="50" cm="1" t="str">
        <f t="array" ref="F50:F50">OFFSET(E50,-1,1)</f>
        <v>2</v>
      </c>
      <c r="G50" s="1153"/>
      <c r="H50" s="88" t="s">
        <v>954</v>
      </c>
      <c r="I50" s="1153"/>
      <c r="J50" s="1153"/>
      <c r="K50" s="1153"/>
      <c r="L50" s="1153"/>
      <c r="M50" s="1153"/>
      <c r="N50" s="1153"/>
      <c r="O50" s="1153"/>
      <c r="P50" s="1153"/>
      <c r="Q50" s="1153"/>
      <c r="R50" s="1153"/>
      <c r="S50" s="1153"/>
      <c r="T50" s="439" cm="1" t="str">
        <f t="array" ref="T50:T50">T49</f>
        <v>true</v>
      </c>
      <c r="U50" s="1153"/>
      <c r="V50" s="1153"/>
      <c r="W50" s="1153"/>
      <c r="X50" s="1482"/>
      <c r="Y50" s="1153"/>
      <c r="Z50" s="1534"/>
      <c r="AA50" s="1153"/>
      <c r="AB50" s="187" t="s">
        <v>955</v>
      </c>
      <c r="AC50" s="746" t="s">
        <v>956</v>
      </c>
      <c r="AD50" s="912" t="s">
        <v>784</v>
      </c>
      <c r="AE50" s="753"/>
      <c r="AF50" s="753"/>
      <c r="AG50" s="753"/>
      <c r="AH50" s="753"/>
      <c r="AI50" s="753"/>
      <c r="AJ50" s="2636"/>
      <c r="AK50" s="2636"/>
      <c r="AL50" s="753"/>
      <c r="AM50" s="753"/>
      <c r="AN50" s="753"/>
      <c r="AO50" s="753"/>
      <c r="AP50" s="753"/>
      <c r="AQ50" s="753"/>
      <c r="AR50" s="753"/>
      <c r="AS50" s="753"/>
      <c r="AT50" s="2636"/>
      <c r="AU50" s="2636"/>
      <c r="AV50" s="753"/>
      <c r="AW50" s="753"/>
      <c r="AX50" s="753"/>
      <c r="AY50" s="753"/>
      <c r="AZ50" s="753"/>
      <c r="BA50" s="753"/>
      <c r="BB50" s="753"/>
      <c r="BC50" s="167"/>
      <c r="BD50" s="1153"/>
      <c r="BE50" s="1153"/>
      <c r="BF50" s="980" t="s">
        <v>957</v>
      </c>
    </row>
    <row s="2654" customFormat="1" customHeight="1" ht="14.25">
      <c r="A51" s="1153"/>
      <c r="B51" s="401"/>
      <c r="C51" s="1153"/>
      <c r="D51" s="1153"/>
      <c r="E51" s="597">
        <v>15</v>
      </c>
      <c r="F51" s="50" cm="1" t="str">
        <f t="array" ref="F51:F51">OFFSET(E51,-1,1)</f>
        <v>2</v>
      </c>
      <c r="G51" s="1153"/>
      <c r="H51" s="88" t="s">
        <v>958</v>
      </c>
      <c r="I51" s="1153"/>
      <c r="J51" s="1153"/>
      <c r="K51" s="1153"/>
      <c r="L51" s="1153"/>
      <c r="M51" s="1153"/>
      <c r="N51" s="1153"/>
      <c r="O51" s="1153"/>
      <c r="P51" s="1153"/>
      <c r="Q51" s="1153"/>
      <c r="R51" s="1153"/>
      <c r="S51" s="1153"/>
      <c r="T51" s="439" cm="1" t="str">
        <f t="array" ref="T51:T51">T50</f>
        <v>true</v>
      </c>
      <c r="U51" s="1153"/>
      <c r="V51" s="1153"/>
      <c r="W51" s="1153"/>
      <c r="X51" s="1482"/>
      <c r="Y51" s="1153"/>
      <c r="Z51" s="1534"/>
      <c r="AA51" s="1153"/>
      <c r="AB51" s="187" t="s">
        <v>959</v>
      </c>
      <c r="AC51" s="746" t="s">
        <v>960</v>
      </c>
      <c r="AD51" s="912" t="s">
        <v>784</v>
      </c>
      <c r="AE51" s="753"/>
      <c r="AF51" s="753"/>
      <c r="AG51" s="753"/>
      <c r="AH51" s="753"/>
      <c r="AI51" s="753"/>
      <c r="AJ51" s="2636"/>
      <c r="AK51" s="2636"/>
      <c r="AL51" s="753"/>
      <c r="AM51" s="753"/>
      <c r="AN51" s="753"/>
      <c r="AO51" s="753"/>
      <c r="AP51" s="753"/>
      <c r="AQ51" s="753"/>
      <c r="AR51" s="753"/>
      <c r="AS51" s="753"/>
      <c r="AT51" s="2636"/>
      <c r="AU51" s="2636"/>
      <c r="AV51" s="753"/>
      <c r="AW51" s="753"/>
      <c r="AX51" s="753"/>
      <c r="AY51" s="753"/>
      <c r="AZ51" s="753"/>
      <c r="BA51" s="753"/>
      <c r="BB51" s="753"/>
      <c r="BC51" s="167"/>
      <c r="BD51" s="1153"/>
      <c r="BE51" s="1153"/>
      <c r="BF51" s="980" t="s">
        <v>961</v>
      </c>
    </row>
    <row s="2655" customFormat="1" customHeight="1" ht="14.25">
      <c r="A52" s="1153"/>
      <c r="B52" s="401"/>
      <c r="C52" s="1153"/>
      <c r="D52" s="88" t="s">
        <v>962</v>
      </c>
      <c r="E52" s="597">
        <v>15</v>
      </c>
      <c r="F52" s="50" cm="1" t="str">
        <f t="array" ref="F52:F52">OFFSET(E52,-1,1)</f>
        <v>2</v>
      </c>
      <c r="G52" s="1153"/>
      <c r="H52" s="88" t="s">
        <v>445</v>
      </c>
      <c r="I52" s="1153"/>
      <c r="J52" s="1153"/>
      <c r="K52" s="1153"/>
      <c r="L52" s="1153"/>
      <c r="M52" s="1153"/>
      <c r="N52" s="1153"/>
      <c r="O52" s="1153"/>
      <c r="P52" s="1153"/>
      <c r="Q52" s="1153"/>
      <c r="R52" s="1153"/>
      <c r="S52" s="1153"/>
      <c r="T52" s="439" cm="1" t="str">
        <f t="array" ref="T52:T52">T51</f>
        <v>true</v>
      </c>
      <c r="U52" s="1153"/>
      <c r="V52" s="1153"/>
      <c r="W52" s="1153"/>
      <c r="X52" s="1482"/>
      <c r="Y52" s="1153"/>
      <c r="Z52" s="1534"/>
      <c r="AA52" s="1153"/>
      <c r="AB52" s="187" t="s">
        <v>848</v>
      </c>
      <c r="AC52" s="913" t="s">
        <v>963</v>
      </c>
      <c r="AD52" s="912" t="s">
        <v>784</v>
      </c>
      <c r="AE52" s="753"/>
      <c r="AF52" s="753"/>
      <c r="AG52" s="753"/>
      <c r="AH52" s="753"/>
      <c r="AI52" s="753"/>
      <c r="AJ52" s="2636"/>
      <c r="AK52" s="2636"/>
      <c r="AL52" s="753"/>
      <c r="AM52" s="753"/>
      <c r="AN52" s="753"/>
      <c r="AO52" s="753"/>
      <c r="AP52" s="753"/>
      <c r="AQ52" s="753"/>
      <c r="AR52" s="753"/>
      <c r="AS52" s="753"/>
      <c r="AT52" s="2636"/>
      <c r="AU52" s="2636"/>
      <c r="AV52" s="753"/>
      <c r="AW52" s="753"/>
      <c r="AX52" s="753"/>
      <c r="AY52" s="753"/>
      <c r="AZ52" s="753"/>
      <c r="BA52" s="753"/>
      <c r="BB52" s="753"/>
      <c r="BC52" s="167"/>
      <c r="BD52" s="1153"/>
      <c r="BE52" s="1153"/>
      <c r="BF52" s="980" t="s">
        <v>964</v>
      </c>
    </row>
    <row s="2656" customFormat="1" customHeight="1" ht="14.25">
      <c r="A53" s="1153"/>
      <c r="B53" s="401"/>
      <c r="C53" s="1153"/>
      <c r="D53" s="88" t="s">
        <v>965</v>
      </c>
      <c r="E53" s="597">
        <v>15</v>
      </c>
      <c r="F53" s="50" cm="1" t="str">
        <f t="array" ref="F53:F53">OFFSET(E53,-1,1)</f>
        <v>2</v>
      </c>
      <c r="G53" s="1153"/>
      <c r="H53" s="88" t="s">
        <v>448</v>
      </c>
      <c r="I53" s="1153"/>
      <c r="J53" s="1153"/>
      <c r="K53" s="1153"/>
      <c r="L53" s="1153"/>
      <c r="M53" s="1153"/>
      <c r="N53" s="1153"/>
      <c r="O53" s="1153"/>
      <c r="P53" s="1153"/>
      <c r="Q53" s="1153"/>
      <c r="R53" s="1153"/>
      <c r="S53" s="1153"/>
      <c r="T53" s="439" cm="1" t="str">
        <f t="array" ref="T53:T53">T52</f>
        <v>true</v>
      </c>
      <c r="U53" s="1153"/>
      <c r="V53" s="1153"/>
      <c r="W53" s="1153"/>
      <c r="X53" s="1482"/>
      <c r="Y53" s="1153"/>
      <c r="Z53" s="1534"/>
      <c r="AA53" s="1153"/>
      <c r="AB53" s="187" t="s">
        <v>851</v>
      </c>
      <c r="AC53" s="743" t="s">
        <v>966</v>
      </c>
      <c r="AD53" s="912" t="s">
        <v>784</v>
      </c>
      <c r="AE53" s="753"/>
      <c r="AF53" s="753"/>
      <c r="AG53" s="753"/>
      <c r="AH53" s="753"/>
      <c r="AI53" s="753"/>
      <c r="AJ53" s="2636"/>
      <c r="AK53" s="2636"/>
      <c r="AL53" s="753"/>
      <c r="AM53" s="753"/>
      <c r="AN53" s="753"/>
      <c r="AO53" s="753"/>
      <c r="AP53" s="753"/>
      <c r="AQ53" s="753"/>
      <c r="AR53" s="753"/>
      <c r="AS53" s="753"/>
      <c r="AT53" s="2636"/>
      <c r="AU53" s="2636"/>
      <c r="AV53" s="753"/>
      <c r="AW53" s="753"/>
      <c r="AX53" s="753"/>
      <c r="AY53" s="753"/>
      <c r="AZ53" s="753"/>
      <c r="BA53" s="753"/>
      <c r="BB53" s="753"/>
      <c r="BC53" s="167"/>
      <c r="BD53" s="1153"/>
      <c r="BE53" s="1153"/>
      <c r="BF53" s="980" t="s">
        <v>967</v>
      </c>
    </row>
    <row s="2657" customFormat="1" customHeight="1" ht="14.25">
      <c r="A54" s="1153"/>
      <c r="B54" s="401"/>
      <c r="C54" s="1153"/>
      <c r="D54" s="88" t="s">
        <v>968</v>
      </c>
      <c r="E54" s="597">
        <v>15</v>
      </c>
      <c r="F54" s="50" cm="1" t="str">
        <f t="array" ref="F54:F54">OFFSET(E54,-1,1)</f>
        <v>2</v>
      </c>
      <c r="G54" s="1153"/>
      <c r="H54" s="88" t="s">
        <v>452</v>
      </c>
      <c r="I54" s="1153"/>
      <c r="J54" s="1153"/>
      <c r="K54" s="1153"/>
      <c r="L54" s="1153"/>
      <c r="M54" s="1153"/>
      <c r="N54" s="1153"/>
      <c r="O54" s="1153"/>
      <c r="P54" s="1153"/>
      <c r="Q54" s="1153"/>
      <c r="R54" s="1153"/>
      <c r="S54" s="1153"/>
      <c r="T54" s="439" cm="1" t="str">
        <f t="array" ref="T54:T54">T53</f>
        <v>true</v>
      </c>
      <c r="U54" s="1153"/>
      <c r="V54" s="1153"/>
      <c r="W54" s="1153"/>
      <c r="X54" s="1482"/>
      <c r="Y54" s="1153"/>
      <c r="Z54" s="1534"/>
      <c r="AA54" s="1153"/>
      <c r="AB54" s="187" t="s">
        <v>854</v>
      </c>
      <c r="AC54" s="743" t="s">
        <v>969</v>
      </c>
      <c r="AD54" s="912" t="s">
        <v>784</v>
      </c>
      <c r="AE54" s="753">
        <f>SUM(AE55:AE56)</f>
        <v>0</v>
      </c>
      <c r="AF54" s="753">
        <f>SUM(AF55:AF56)</f>
        <v>0</v>
      </c>
      <c r="AG54" s="753">
        <f>SUM(AG55:AG56)</f>
        <v>0</v>
      </c>
      <c r="AH54" s="753">
        <f>SUM(AH55:AH56)</f>
        <v>0</v>
      </c>
      <c r="AI54" s="753">
        <f>SUM(AI55:AI56)</f>
        <v>0</v>
      </c>
      <c r="AJ54" s="2636">
        <f>SUM(AJ55:AJ56)</f>
        <v>0</v>
      </c>
      <c r="AK54" s="2636">
        <f>SUM(AK55:AK56)</f>
        <v>0</v>
      </c>
      <c r="AL54" s="753">
        <f>SUM(AL55:AL56)</f>
        <v>0</v>
      </c>
      <c r="AM54" s="753">
        <f>SUM(AM55:AM56)</f>
        <v>0</v>
      </c>
      <c r="AN54" s="753">
        <f>SUM(AN55:AN56)</f>
        <v>0</v>
      </c>
      <c r="AO54" s="753">
        <f>SUM(AO55:AO56)</f>
        <v>0</v>
      </c>
      <c r="AP54" s="753">
        <f>SUM(AP55:AP56)</f>
        <v>0</v>
      </c>
      <c r="AQ54" s="753">
        <f>SUM(AQ55:AQ56)</f>
        <v>0</v>
      </c>
      <c r="AR54" s="753">
        <f>SUM(AR55:AR56)</f>
        <v>0</v>
      </c>
      <c r="AS54" s="753">
        <f>SUM(AS55:AS56)</f>
        <v>0</v>
      </c>
      <c r="AT54" s="2636">
        <f>SUM(AT55:AT56)</f>
        <v>0</v>
      </c>
      <c r="AU54" s="2636">
        <f>SUM(AU55:AU56)</f>
        <v>0</v>
      </c>
      <c r="AV54" s="753">
        <f>SUM(AV55:AV56)</f>
        <v>0</v>
      </c>
      <c r="AW54" s="753">
        <f>SUM(AW55:AW56)</f>
        <v>0</v>
      </c>
      <c r="AX54" s="753">
        <f>SUM(AX55:AX56)</f>
        <v>0</v>
      </c>
      <c r="AY54" s="753">
        <f>SUM(AY55:AY56)</f>
        <v>0</v>
      </c>
      <c r="AZ54" s="753">
        <f>SUM(AZ55:AZ56)</f>
        <v>0</v>
      </c>
      <c r="BA54" s="753">
        <f>SUM(BA55:BA56)</f>
        <v>0</v>
      </c>
      <c r="BB54" s="753">
        <f>SUM(BB55:BB56)</f>
        <v>0</v>
      </c>
      <c r="BC54" s="167"/>
      <c r="BD54" s="1153"/>
      <c r="BE54" s="1153"/>
      <c r="BF54" s="980" t="s">
        <v>970</v>
      </c>
    </row>
    <row s="2658" customFormat="1" customHeight="1" ht="34.5">
      <c r="A55" s="1153"/>
      <c r="B55" s="401"/>
      <c r="C55" s="1153"/>
      <c r="D55" s="1153"/>
      <c r="E55" s="597">
        <v>36</v>
      </c>
      <c r="F55" s="50" cm="1" t="str">
        <f t="array" ref="F55:F55">OFFSET(E55,-1,1)</f>
        <v>2</v>
      </c>
      <c r="G55" s="1153"/>
      <c r="H55" s="1153"/>
      <c r="I55" s="1153"/>
      <c r="J55" s="1153"/>
      <c r="K55" s="1153"/>
      <c r="L55" s="1153"/>
      <c r="M55" s="1153"/>
      <c r="N55" s="1153"/>
      <c r="O55" s="1153"/>
      <c r="P55" s="1153"/>
      <c r="Q55" s="1153"/>
      <c r="R55" s="1153"/>
      <c r="S55" s="1153"/>
      <c r="T55" s="439" cm="1" t="str">
        <f t="array" ref="T55:T55">T54</f>
        <v>true</v>
      </c>
      <c r="U55" s="1153"/>
      <c r="V55" s="1153"/>
      <c r="W55" s="1153"/>
      <c r="X55" s="1482"/>
      <c r="Y55" s="1153"/>
      <c r="Z55" s="1534"/>
      <c r="AA55" s="1153"/>
      <c r="AB55" s="187" t="s">
        <v>971</v>
      </c>
      <c r="AC55" s="743" t="s">
        <v>972</v>
      </c>
      <c r="AD55" s="912" t="s">
        <v>784</v>
      </c>
      <c r="AE55" s="753"/>
      <c r="AF55" s="753"/>
      <c r="AG55" s="753"/>
      <c r="AH55" s="753"/>
      <c r="AI55" s="753"/>
      <c r="AJ55" s="2636"/>
      <c r="AK55" s="2636"/>
      <c r="AL55" s="753"/>
      <c r="AM55" s="753"/>
      <c r="AN55" s="753"/>
      <c r="AO55" s="753"/>
      <c r="AP55" s="753"/>
      <c r="AQ55" s="753"/>
      <c r="AR55" s="753"/>
      <c r="AS55" s="753"/>
      <c r="AT55" s="2636"/>
      <c r="AU55" s="2636"/>
      <c r="AV55" s="753"/>
      <c r="AW55" s="753"/>
      <c r="AX55" s="753"/>
      <c r="AY55" s="753"/>
      <c r="AZ55" s="753"/>
      <c r="BA55" s="753"/>
      <c r="BB55" s="753"/>
      <c r="BC55" s="167"/>
      <c r="BD55" s="1153"/>
      <c r="BE55" s="1153"/>
      <c r="BF55" s="980" t="s">
        <v>973</v>
      </c>
    </row>
    <row s="2659" customFormat="1" customHeight="1" ht="34.5">
      <c r="A56" s="1153"/>
      <c r="B56" s="401"/>
      <c r="C56" s="1153"/>
      <c r="D56" s="1153"/>
      <c r="E56" s="597">
        <v>36</v>
      </c>
      <c r="F56" s="50" cm="1" t="str">
        <f t="array" ref="F56:F56">OFFSET(E56,-1,1)</f>
        <v>2</v>
      </c>
      <c r="G56" s="1153"/>
      <c r="H56" s="1153"/>
      <c r="I56" s="1153"/>
      <c r="J56" s="1153"/>
      <c r="K56" s="1153"/>
      <c r="L56" s="1153"/>
      <c r="M56" s="1153"/>
      <c r="N56" s="1153"/>
      <c r="O56" s="1153"/>
      <c r="P56" s="1153"/>
      <c r="Q56" s="1153"/>
      <c r="R56" s="1153"/>
      <c r="S56" s="1153"/>
      <c r="T56" s="439" cm="1" t="str">
        <f t="array" ref="T56:T56">T55</f>
        <v>true</v>
      </c>
      <c r="U56" s="1153"/>
      <c r="V56" s="1153"/>
      <c r="W56" s="1153"/>
      <c r="X56" s="1482"/>
      <c r="Y56" s="1153"/>
      <c r="Z56" s="1534"/>
      <c r="AA56" s="1153"/>
      <c r="AB56" s="187" t="s">
        <v>974</v>
      </c>
      <c r="AC56" s="743" t="s">
        <v>975</v>
      </c>
      <c r="AD56" s="912" t="s">
        <v>784</v>
      </c>
      <c r="AE56" s="753"/>
      <c r="AF56" s="753"/>
      <c r="AG56" s="753"/>
      <c r="AH56" s="753"/>
      <c r="AI56" s="753"/>
      <c r="AJ56" s="2636"/>
      <c r="AK56" s="2636"/>
      <c r="AL56" s="753"/>
      <c r="AM56" s="753"/>
      <c r="AN56" s="753"/>
      <c r="AO56" s="753"/>
      <c r="AP56" s="753"/>
      <c r="AQ56" s="753"/>
      <c r="AR56" s="753"/>
      <c r="AS56" s="753"/>
      <c r="AT56" s="2636"/>
      <c r="AU56" s="2636"/>
      <c r="AV56" s="753"/>
      <c r="AW56" s="753"/>
      <c r="AX56" s="753"/>
      <c r="AY56" s="753"/>
      <c r="AZ56" s="753"/>
      <c r="BA56" s="753"/>
      <c r="BB56" s="753"/>
      <c r="BC56" s="167"/>
      <c r="BD56" s="1153"/>
      <c r="BE56" s="1153"/>
      <c r="BF56" s="980" t="s">
        <v>976</v>
      </c>
    </row>
    <row customHeight="1" ht="10.96875">
      <c r="E57" s="656">
        <v>11.25</v>
      </c>
      <c r="U57" s="115" t="s">
        <v>177</v>
      </c>
      <c r="V57" s="106" t="s">
        <v>977</v>
      </c>
      <c r="AI57" s="1153"/>
      <c r="AJ57" s="1153"/>
      <c r="AK57" s="1153"/>
      <c r="AL57" s="1153"/>
      <c r="AM57" s="1153"/>
      <c r="AN57" s="1153"/>
      <c r="AO57" s="1153"/>
      <c r="AP57" s="1153"/>
      <c r="AQ57" s="1153"/>
      <c r="AR57" s="1153"/>
      <c r="AS57" s="1153"/>
      <c r="AT57" s="1153"/>
      <c r="AU57" s="1153"/>
      <c r="AV57" s="1153"/>
      <c r="AW57" s="1153"/>
      <c r="AX57" s="1153"/>
      <c r="AY57" s="1153"/>
      <c r="AZ57" s="1153"/>
      <c r="BA57" s="1153"/>
      <c r="BB57" s="1153"/>
    </row>
    <row customHeight="1" ht="14.625">
      <c r="E58" s="656">
        <v>15</v>
      </c>
      <c r="AA58" s="64"/>
      <c r="AB58" s="1485" t="s">
        <v>398</v>
      </c>
      <c r="AC58" s="1485"/>
      <c r="AD58" s="1485"/>
      <c r="AE58" s="1485"/>
      <c r="AF58" s="1485"/>
      <c r="AG58" s="1485"/>
      <c r="AH58" s="1485"/>
      <c r="AI58" s="1522"/>
      <c r="AJ58" s="1522"/>
      <c r="AK58" s="1522"/>
      <c r="AL58" s="1522"/>
      <c r="AM58" s="1522"/>
      <c r="AN58" s="1522"/>
      <c r="AO58" s="1522"/>
      <c r="AP58" s="1522"/>
      <c r="AQ58" s="1522"/>
      <c r="AR58" s="1522"/>
      <c r="AS58" s="1522"/>
      <c r="AT58" s="1522"/>
      <c r="AU58" s="1522"/>
      <c r="AV58" s="1522"/>
      <c r="AW58" s="1522"/>
      <c r="AX58" s="1522"/>
      <c r="AY58" s="1522"/>
      <c r="AZ58" s="1522"/>
      <c r="BA58" s="1522"/>
      <c r="BB58" s="1522"/>
      <c r="BC58" s="1522"/>
      <c r="BD58" s="64"/>
    </row>
    <row customHeight="1" ht="14.625">
      <c r="E59" s="656">
        <v>15</v>
      </c>
      <c r="AA59" s="140"/>
      <c r="AB59" s="1524"/>
      <c r="AC59" s="1524"/>
      <c r="AD59" s="1524"/>
      <c r="AE59" s="1524"/>
      <c r="AF59" s="1524"/>
      <c r="AG59" s="1524"/>
      <c r="AH59" s="1524"/>
      <c r="AI59" s="1526"/>
      <c r="AJ59" s="2620"/>
      <c r="AK59" s="2620"/>
      <c r="AL59" s="2620"/>
      <c r="AM59" s="2620"/>
      <c r="AN59" s="2620"/>
      <c r="AO59" s="2620"/>
      <c r="AP59" s="2620"/>
      <c r="AQ59" s="2620"/>
      <c r="AR59" s="2620"/>
      <c r="AS59" s="1526"/>
      <c r="AT59" s="2620"/>
      <c r="AU59" s="2620"/>
      <c r="AV59" s="2620"/>
      <c r="AW59" s="2620"/>
      <c r="AX59" s="2620"/>
      <c r="AY59" s="2620"/>
      <c r="AZ59" s="2620"/>
      <c r="BA59" s="2620"/>
      <c r="BB59" s="2620"/>
      <c r="BC59" s="1526"/>
      <c r="BD59" s="64"/>
    </row>
    <row customHeight="1" ht="14.625" hidden="1">
      <c r="A60" s="1153"/>
      <c r="B60" s="1160"/>
      <c r="C60" s="1153"/>
      <c r="D60" s="1153"/>
      <c r="E60" s="656">
        <v>15</v>
      </c>
      <c r="F60" s="1153"/>
      <c r="G60" s="1153"/>
      <c r="H60" s="1153"/>
      <c r="I60" s="1153"/>
      <c r="J60" s="1153"/>
      <c r="K60" s="1153"/>
      <c r="L60" s="1153"/>
      <c r="M60" s="1153"/>
      <c r="N60" s="1153"/>
      <c r="O60" s="1153"/>
      <c r="P60" s="1153"/>
      <c r="Q60" s="1153"/>
      <c r="R60" s="1153"/>
      <c r="S60" s="1153"/>
      <c r="T60" s="439">
        <f>ROW(W60)&gt;ROW(W$60)</f>
        <v>0</v>
      </c>
      <c r="U60" s="1153"/>
      <c r="V60" s="1153"/>
      <c r="W60" s="738" t="s">
        <v>173</v>
      </c>
      <c r="X60" s="1153"/>
      <c r="Y60" s="1153"/>
      <c r="Z60" s="1153"/>
      <c r="AA60" s="652" t="s">
        <v>174</v>
      </c>
      <c r="AB60" s="2621" t="s">
        <v>222</v>
      </c>
      <c r="AC60" s="2621"/>
      <c r="AD60" s="2621"/>
      <c r="AE60" s="2621"/>
      <c r="AF60" s="2621"/>
      <c r="AG60" s="2621"/>
      <c r="AH60" s="2621"/>
      <c r="AI60" s="1526"/>
      <c r="AJ60" s="2620"/>
      <c r="AK60" s="2620"/>
      <c r="AL60" s="2620"/>
      <c r="AM60" s="2620"/>
      <c r="AN60" s="2620"/>
      <c r="AO60" s="2620"/>
      <c r="AP60" s="2620"/>
      <c r="AQ60" s="2620"/>
      <c r="AR60" s="2620"/>
      <c r="AS60" s="1526"/>
      <c r="AT60" s="2620"/>
      <c r="AU60" s="2620"/>
      <c r="AV60" s="2620"/>
      <c r="AW60" s="2620"/>
      <c r="AX60" s="2620"/>
      <c r="AY60" s="2620"/>
      <c r="AZ60" s="2620"/>
      <c r="BA60" s="2620"/>
      <c r="BB60" s="2620"/>
      <c r="BC60" s="2620"/>
      <c r="BD60" s="64"/>
      <c r="BE60" s="1153"/>
      <c r="BF60" s="1253"/>
    </row>
    <row customHeight="1" ht="14.625">
      <c r="E61" s="656">
        <v>15</v>
      </c>
      <c r="W61" s="738" t="s">
        <v>399</v>
      </c>
      <c r="AA61" s="64"/>
      <c r="AB61" s="627"/>
      <c r="AC61" s="488" t="s">
        <v>400</v>
      </c>
      <c r="AD61" s="277"/>
      <c r="AE61" s="277"/>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9"/>
      <c r="BD61" s="64"/>
    </row>
    <row customHeight="1" ht="10.96875">
      <c r="E62" s="656">
        <v>11.25</v>
      </c>
      <c r="AI62" s="1153"/>
      <c r="AJ62" s="1153"/>
      <c r="AK62" s="1153"/>
      <c r="AL62" s="1153"/>
      <c r="AM62" s="1153"/>
      <c r="AN62" s="1153"/>
      <c r="AO62" s="1153"/>
      <c r="AP62" s="1153"/>
      <c r="AQ62" s="1153"/>
      <c r="AR62" s="1153"/>
      <c r="AS62" s="1153"/>
      <c r="AT62" s="1153"/>
      <c r="AU62" s="1153"/>
      <c r="AV62" s="1153"/>
      <c r="AW62" s="1153"/>
      <c r="AX62" s="1153"/>
      <c r="AY62" s="1153"/>
      <c r="AZ62" s="1153"/>
      <c r="BA62" s="1153"/>
      <c r="BB62" s="1153"/>
      <c r="BD62" s="399"/>
    </row>
  </sheetData>
  <sheetProtection formatColumns="0" formatRows="0" insertRows="0" deleteColumns="0" deleteRows="0" sort="0" autoFilter="0" insertColumns="1"/>
  <mergeCells count="13">
    <mergeCell ref="AB60:BC60"/>
    <mergeCell ref="AB58:BC58"/>
    <mergeCell ref="AB59:BC59"/>
    <mergeCell ref="X27:X36"/>
    <mergeCell ref="Z27:Z36"/>
    <mergeCell ref="BC24:BC25"/>
    <mergeCell ref="AB24:AB25"/>
    <mergeCell ref="AC24:AC25"/>
    <mergeCell ref="AD24:AD25"/>
    <mergeCell ref="X37:X46"/>
    <mergeCell ref="Z37:Z46"/>
    <mergeCell ref="X47:X56"/>
    <mergeCell ref="Z47:Z56"/>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3EC338-B475-7417-CC78-D9BD9500E3D8}" mc:Ignorable="x14ac xr xr2 xr3">
  <sheetPr>
    <tabColor rgb="FF002060"/>
    <outlinePr summaryRight="0" summaryBelow="0"/>
    <pageSetUpPr fitToPage="1"/>
  </sheetPr>
  <dimension ref="A1:AI53"/>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462" width="5.421875" hidden="1" customWidth="1"/>
    <col min="2" max="2" style="462" width="6.7109375" hidden="1" customWidth="1"/>
    <col min="3" max="4" style="462" width="2.7109375" hidden="1" customWidth="1"/>
    <col min="5" max="5" style="629" width="3.7109375" hidden="1" customWidth="1"/>
    <col min="6" max="19" style="462" width="2.7109375" hidden="1" customWidth="1"/>
    <col min="20" max="20" style="462" width="8.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41.7109375" customWidth="1"/>
    <col min="30" max="30" style="1520" width="15.7109375" customWidth="1"/>
    <col min="31" max="32" style="1520" width="12.57421875" customWidth="1"/>
    <col min="33" max="33" style="462" width="8.7109375"/>
    <col min="34" max="34" style="462" width="8.7109375" hidden="1"/>
    <col min="35" max="35" style="1009" width="8.7109375" hidden="1"/>
  </cols>
  <sheetData>
    <row customHeight="1" ht="11.25" hidden="1">
      <c r="E1" s="462"/>
      <c r="F1" s="462" t="s">
        <v>313</v>
      </c>
      <c r="G1" s="462" t="s">
        <v>324</v>
      </c>
      <c r="T1" s="439" t="s">
        <v>92</v>
      </c>
      <c r="U1" s="439" t="s">
        <v>97</v>
      </c>
      <c r="V1" s="439" t="s">
        <v>93</v>
      </c>
      <c r="W1" s="439" t="s">
        <v>94</v>
      </c>
      <c r="X1" s="439" t="s">
        <v>95</v>
      </c>
      <c r="Y1" s="2660" t="s">
        <v>315</v>
      </c>
      <c r="Z1" s="439" t="s">
        <v>99</v>
      </c>
      <c r="AA1" s="441" t="s">
        <v>96</v>
      </c>
      <c r="AB1" s="2661"/>
      <c r="AC1" s="2662" t="s">
        <v>98</v>
      </c>
      <c r="AE1" s="1520"/>
      <c r="AF1" s="1520"/>
      <c r="AI1" s="1009" t="s">
        <v>316</v>
      </c>
    </row>
    <row customHeight="1" ht="11.25" hidden="1">
      <c r="B2" s="1226" t="s">
        <v>18</v>
      </c>
      <c r="E2" s="462"/>
      <c r="T2" s="2663"/>
      <c r="U2" s="2663"/>
      <c r="V2" s="2663"/>
      <c r="W2" s="2663"/>
      <c r="X2" s="2663"/>
      <c r="Y2" s="495"/>
      <c r="Z2" s="2663"/>
      <c r="AA2" s="495"/>
      <c r="AB2" s="2664"/>
      <c r="AC2" s="2664"/>
      <c r="AE2" s="514">
        <f>AE13&lt;=last_year_vis</f>
        <v>1</v>
      </c>
      <c r="AF2" s="514">
        <f>AF13&lt;=last_year_vis</f>
        <v>1</v>
      </c>
    </row>
    <row customHeight="1" ht="11.25" hidden="1">
      <c r="A3" s="388"/>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E3" s="1520"/>
      <c r="AF3" s="1520"/>
      <c r="AI3" s="1227"/>
    </row>
    <row customHeight="1" ht="11.25" hidden="1">
      <c r="A4" s="388"/>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E4" s="1520"/>
      <c r="AF4" s="1520"/>
      <c r="AI4" s="1227"/>
    </row>
    <row s="1251" customFormat="1" customHeight="1" ht="11.25" hidden="1">
      <c r="A5" s="388"/>
      <c r="B5" s="388"/>
      <c r="C5" s="388"/>
      <c r="D5" s="388"/>
      <c r="E5" s="1228" t="s">
        <v>19</v>
      </c>
      <c r="F5" s="636"/>
      <c r="G5" s="636"/>
      <c r="H5" s="636"/>
      <c r="I5" s="636"/>
      <c r="J5" s="636"/>
      <c r="K5" s="636"/>
      <c r="L5" s="636"/>
      <c r="M5" s="636"/>
      <c r="N5" s="636"/>
      <c r="O5" s="636"/>
      <c r="P5" s="636"/>
      <c r="Q5" s="636"/>
      <c r="R5" s="636"/>
      <c r="S5" s="636"/>
      <c r="T5" s="636"/>
      <c r="U5" s="636"/>
      <c r="V5" s="636"/>
      <c r="W5" s="636"/>
      <c r="X5" s="636"/>
      <c r="Y5" s="636"/>
      <c r="Z5" s="636"/>
      <c r="AA5" s="636">
        <v>3</v>
      </c>
      <c r="AB5" s="1229" t="s">
        <v>978</v>
      </c>
      <c r="AC5" s="655">
        <v>41.71</v>
      </c>
      <c r="AD5" s="655">
        <v>15.71</v>
      </c>
      <c r="AE5" s="655">
        <v>12.57</v>
      </c>
      <c r="AF5" s="655">
        <v>12.57</v>
      </c>
      <c r="AG5" s="655" t="s">
        <v>323</v>
      </c>
      <c r="AI5" s="989"/>
    </row>
    <row customHeight="1" ht="11.25" hidden="1">
      <c r="A6" s="388"/>
      <c r="B6" s="388"/>
      <c r="C6" s="388"/>
      <c r="D6" s="388"/>
      <c r="E6" s="636"/>
      <c r="F6" s="388"/>
      <c r="G6" s="388"/>
      <c r="H6" s="388"/>
      <c r="I6" s="388"/>
      <c r="J6" s="388"/>
      <c r="K6" s="388"/>
      <c r="L6" s="388"/>
      <c r="M6" s="388"/>
      <c r="N6" s="388"/>
      <c r="O6" s="388"/>
      <c r="P6" s="388"/>
      <c r="Q6" s="388"/>
      <c r="R6" s="388"/>
      <c r="S6" s="388"/>
      <c r="T6" s="388"/>
      <c r="U6" s="388"/>
      <c r="V6" s="388"/>
      <c r="W6" s="388"/>
      <c r="X6" s="388"/>
      <c r="Y6" s="388"/>
      <c r="Z6" s="388"/>
      <c r="AA6" s="388"/>
      <c r="AE6" s="1520"/>
      <c r="AF6" s="1520"/>
      <c r="AI6" s="1227"/>
    </row>
    <row customHeight="1" ht="11.25" hidden="1">
      <c r="A7" s="388"/>
      <c r="B7" s="388"/>
      <c r="C7" s="388"/>
      <c r="D7" s="388"/>
      <c r="E7" s="636"/>
      <c r="F7" s="388"/>
      <c r="G7" s="388"/>
      <c r="H7" s="388"/>
      <c r="I7" s="388"/>
      <c r="J7" s="388"/>
      <c r="K7" s="388"/>
      <c r="L7" s="388"/>
      <c r="M7" s="388"/>
      <c r="N7" s="388"/>
      <c r="O7" s="388"/>
      <c r="P7" s="388"/>
      <c r="Q7" s="388"/>
      <c r="R7" s="388"/>
      <c r="S7" s="388"/>
      <c r="T7" s="388"/>
      <c r="U7" s="388"/>
      <c r="V7" s="388"/>
      <c r="W7" s="388"/>
      <c r="X7" s="388"/>
      <c r="Y7" s="388"/>
      <c r="Z7" s="388"/>
      <c r="AA7" s="388"/>
      <c r="AE7" s="1520"/>
      <c r="AF7" s="1520"/>
      <c r="AI7" s="1227"/>
    </row>
    <row customHeight="1" ht="11.25" hidden="1">
      <c r="A8" s="388"/>
      <c r="B8" s="388"/>
      <c r="C8" s="388"/>
      <c r="D8" s="388"/>
      <c r="E8" s="636"/>
      <c r="F8" s="388"/>
      <c r="G8" s="388"/>
      <c r="H8" s="388"/>
      <c r="I8" s="388"/>
      <c r="J8" s="388"/>
      <c r="K8" s="388"/>
      <c r="L8" s="388"/>
      <c r="M8" s="388"/>
      <c r="N8" s="388"/>
      <c r="O8" s="388"/>
      <c r="P8" s="388"/>
      <c r="Q8" s="388"/>
      <c r="R8" s="388"/>
      <c r="S8" s="388"/>
      <c r="T8" s="388"/>
      <c r="U8" s="388"/>
      <c r="V8" s="388"/>
      <c r="W8" s="388"/>
      <c r="X8" s="388"/>
      <c r="Y8" s="388"/>
      <c r="Z8" s="388"/>
      <c r="AA8" s="388"/>
      <c r="AE8" s="1520"/>
      <c r="AF8" s="1520"/>
      <c r="AI8" s="1227"/>
    </row>
    <row s="1189" customFormat="1" customHeight="1" ht="11.25" hidden="1">
      <c r="A9" s="1230" t="s">
        <v>359</v>
      </c>
      <c r="B9" s="984"/>
      <c r="C9" s="984"/>
      <c r="D9" s="984"/>
      <c r="E9" s="984"/>
      <c r="F9" s="984"/>
      <c r="G9" s="984"/>
      <c r="H9" s="984"/>
      <c r="I9" s="984"/>
      <c r="J9" s="984"/>
      <c r="K9" s="984"/>
      <c r="L9" s="984"/>
      <c r="M9" s="984"/>
      <c r="N9" s="984"/>
      <c r="O9" s="984"/>
      <c r="P9" s="984"/>
      <c r="Q9" s="984"/>
      <c r="R9" s="984"/>
      <c r="S9" s="984"/>
      <c r="T9" s="984"/>
      <c r="U9" s="984"/>
      <c r="V9" s="984"/>
      <c r="W9" s="984"/>
      <c r="X9" s="984"/>
      <c r="Y9" s="984"/>
      <c r="Z9" s="984"/>
      <c r="AA9" s="984"/>
      <c r="AE9" s="1227"/>
      <c r="AF9" s="1227"/>
    </row>
    <row s="1189" customFormat="1" customHeight="1" ht="11.25" hidden="1">
      <c r="A10" s="984" t="s">
        <v>360</v>
      </c>
      <c r="B10" s="984"/>
      <c r="C10" s="984"/>
      <c r="D10" s="984"/>
      <c r="E10" s="984"/>
      <c r="F10" s="984"/>
      <c r="G10" s="984"/>
      <c r="H10" s="984"/>
      <c r="I10" s="984"/>
      <c r="J10" s="984"/>
      <c r="K10" s="984"/>
      <c r="L10" s="984"/>
      <c r="M10" s="984"/>
      <c r="N10" s="984"/>
      <c r="O10" s="984"/>
      <c r="P10" s="984"/>
      <c r="Q10" s="984"/>
      <c r="R10" s="984"/>
      <c r="S10" s="984"/>
      <c r="T10" s="984"/>
      <c r="U10" s="984"/>
      <c r="V10" s="984"/>
      <c r="W10" s="984"/>
      <c r="X10" s="984"/>
      <c r="Y10" s="984"/>
      <c r="Z10" s="984"/>
      <c r="AA10" s="984"/>
      <c r="AE10" s="984" cm="1" t="str">
        <f t="array" ref="AE10:AE10">AE13</f>
        <v>2026</v>
      </c>
      <c r="AF10" s="984" cm="1" t="str">
        <f t="array" ref="AF10:AF10">AF13</f>
        <v>2026</v>
      </c>
    </row>
    <row customHeight="1" ht="11.25" hidden="1">
      <c r="A11" s="388"/>
      <c r="B11" s="388"/>
      <c r="C11" s="388"/>
      <c r="D11" s="388"/>
      <c r="E11" s="636"/>
      <c r="F11" s="388"/>
      <c r="G11" s="388"/>
      <c r="H11" s="388"/>
      <c r="I11" s="388"/>
      <c r="J11" s="388"/>
      <c r="K11" s="388"/>
      <c r="L11" s="388"/>
      <c r="M11" s="388"/>
      <c r="N11" s="388"/>
      <c r="O11" s="388"/>
      <c r="P11" s="388"/>
      <c r="Q11" s="388"/>
      <c r="R11" s="388"/>
      <c r="S11" s="388"/>
      <c r="T11" s="388"/>
      <c r="U11" s="388"/>
      <c r="V11" s="388"/>
      <c r="W11" s="388"/>
      <c r="X11" s="388"/>
      <c r="Y11" s="388"/>
      <c r="Z11" s="388"/>
      <c r="AA11" s="388"/>
      <c r="AE11" s="388" cm="1" t="str">
        <f t="array" ref="AE11:AE11">AE25</f>
        <v>Предложение организации</v>
      </c>
      <c r="AF11" s="388" cm="1" t="str">
        <f t="array" ref="AF11:AF11">AF25</f>
        <v>Принято органом регулирования</v>
      </c>
      <c r="AI11" s="1227"/>
    </row>
    <row customHeight="1" ht="11.25" hidden="1">
      <c r="B12" s="1231"/>
      <c r="T12" s="2663"/>
      <c r="U12" s="2663"/>
      <c r="V12" s="2663"/>
      <c r="W12" s="2663"/>
      <c r="X12" s="2663"/>
      <c r="Y12" s="495"/>
      <c r="Z12" s="2663"/>
      <c r="AA12" s="495"/>
      <c r="AB12" s="2664"/>
      <c r="AC12" s="2664"/>
      <c r="AE12" s="1520"/>
      <c r="AF12" s="1520"/>
    </row>
    <row customHeight="1" ht="11.25" hidden="1">
      <c r="A13" s="462" t="s">
        <v>354</v>
      </c>
      <c r="B13" s="1231"/>
      <c r="AE13" s="490" cm="1" t="str">
        <f t="array" ref="AE13:AE13">god</f>
        <v>2026</v>
      </c>
      <c r="AF13" s="490" cm="1" t="str">
        <f t="array" ref="AF13:AF13">god</f>
        <v>2026</v>
      </c>
    </row>
    <row customHeight="1" ht="11.25" hidden="1">
      <c r="A14" s="462" t="s">
        <v>355</v>
      </c>
      <c r="AE14" s="490" cm="1" t="str">
        <f t="array" ref="AE14:AE14">AE25</f>
        <v>Предложение организации</v>
      </c>
      <c r="AF14" s="490" cm="1" t="str">
        <f t="array" ref="AF14:AF14">AF25</f>
        <v>Принято органом регулирования</v>
      </c>
    </row>
    <row customHeight="1" ht="11.25" hidden="1">
      <c r="AE15" s="490"/>
      <c r="AF15" s="490"/>
    </row>
    <row customHeight="1" ht="11.25" hidden="1">
      <c r="AE16" s="490"/>
      <c r="AF16" s="490"/>
    </row>
    <row customHeight="1" ht="11.25" hidden="1">
      <c r="AE17" s="490"/>
      <c r="AF17" s="490"/>
    </row>
    <row customHeight="1" ht="11.25" hidden="1">
      <c r="AE18" s="1520"/>
      <c r="AF18" s="1520"/>
    </row>
    <row customHeight="1" ht="11.25" hidden="1">
      <c r="AE19" s="1520"/>
      <c r="AF19" s="1520"/>
    </row>
    <row customHeight="1" ht="11.25" hidden="1">
      <c r="AE20" s="1520"/>
      <c r="AF20" s="1520"/>
    </row>
    <row customHeight="1" ht="14.625">
      <c r="E21" s="629">
        <v>15</v>
      </c>
      <c r="AA21" s="462"/>
      <c r="AC21" s="498" cm="1" t="str">
        <f t="array" ref="AC21:AC21">tpl_title</f>
        <v>Кемеровская область / 2026 / Филиал АО "УК "Кузбассразрезуголь" "Талдинский угольный разрез" (ИНН:4205049090, КПП:423802002) / ДПР: 2024-2028</v>
      </c>
      <c r="AE21" s="1520"/>
      <c r="AF21" s="1520"/>
    </row>
    <row customHeight="1" ht="37.29375">
      <c r="E22" s="629">
        <v>38.25</v>
      </c>
      <c r="AB22" s="1540" t="s">
        <v>55</v>
      </c>
      <c r="AC22" s="1541"/>
      <c r="AD22" s="1542"/>
      <c r="AE22" s="1542"/>
      <c r="AF22" s="1542"/>
    </row>
    <row customHeight="1" ht="10.96875">
      <c r="E23" s="629">
        <v>11.25</v>
      </c>
      <c r="AB23" s="1497"/>
      <c r="AC23" s="1497"/>
      <c r="AD23" s="1497"/>
      <c r="AE23" s="1497"/>
      <c r="AF23" s="1497"/>
    </row>
    <row customHeight="1" ht="14.625">
      <c r="E24" s="629">
        <v>15</v>
      </c>
      <c r="AB24" s="1498" t="s">
        <v>766</v>
      </c>
      <c r="AC24" s="1543" t="s">
        <v>194</v>
      </c>
      <c r="AD24" s="1498" t="s">
        <v>363</v>
      </c>
      <c r="AE24" s="1544" t="str">
        <f>god&amp;" год"</f>
        <v>2026 год</v>
      </c>
      <c r="AF24" s="1545"/>
    </row>
    <row customHeight="1" ht="48.75">
      <c r="E25" s="629">
        <v>50</v>
      </c>
      <c r="AB25" s="1498"/>
      <c r="AC25" s="1543"/>
      <c r="AD25" s="1498"/>
      <c r="AE25" s="1358" t="s">
        <v>357</v>
      </c>
      <c r="AF25" s="493" t="s">
        <v>356</v>
      </c>
    </row>
    <row customHeight="1" ht="11.25" hidden="1">
      <c r="E26" s="629">
        <v>0</v>
      </c>
      <c r="AB26" s="705"/>
      <c r="AC26" s="719"/>
      <c r="AD26" s="705"/>
      <c r="AE26" s="1359"/>
      <c r="AF26" s="1359"/>
    </row>
    <row customHeight="1" ht="14.625" hidden="1">
      <c r="A27" s="462"/>
      <c r="B27" s="462"/>
      <c r="C27" s="490"/>
      <c r="D27" s="462"/>
      <c r="E27" s="629">
        <v>15</v>
      </c>
      <c r="F27" s="490" cm="1" t="str">
        <f t="array" ref="F27:F27">X27</f>
        <v>0</v>
      </c>
      <c r="G27" s="462"/>
      <c r="H27" s="462"/>
      <c r="I27" s="462"/>
      <c r="J27" s="462"/>
      <c r="K27" s="462"/>
      <c r="L27" s="462"/>
      <c r="M27" s="462"/>
      <c r="N27" s="462"/>
      <c r="O27" s="462"/>
      <c r="P27" s="462"/>
      <c r="Q27" s="462"/>
      <c r="R27" s="462"/>
      <c r="S27" s="462"/>
      <c r="T27" s="439">
        <f>X27&gt;0</f>
        <v>0</v>
      </c>
      <c r="U27" s="462"/>
      <c r="V27" s="462" t="s">
        <v>261</v>
      </c>
      <c r="W27" s="462"/>
      <c r="X27" s="1519">
        <v>0</v>
      </c>
      <c r="Y27" s="462"/>
      <c r="Z27" s="1520"/>
      <c r="AA27" s="462"/>
      <c r="AB27" s="1232" cm="1" t="str">
        <f t="array" ref="AB27:AB27">INDEX('Общие сведения'!$AG$179:$AG$222,MATCH($X27,'Общие сведения'!$Z$179:$Z$222,0))</f>
        <v>Тариф 0 () - </v>
      </c>
      <c r="AC27" s="147"/>
      <c r="AD27" s="1233"/>
      <c r="AE27" s="1233"/>
      <c r="AF27" s="1234"/>
      <c r="AG27" s="462"/>
      <c r="AH27" s="462"/>
      <c r="AI27" s="1009"/>
    </row>
    <row s="500" customFormat="1" customHeight="1" ht="14.625" hidden="1">
      <c r="A28" s="462"/>
      <c r="B28" s="500"/>
      <c r="C28" s="1360"/>
      <c r="D28" s="500"/>
      <c r="E28" s="654">
        <v>15</v>
      </c>
      <c r="F28" s="50" cm="1" t="str">
        <f t="array" ref="F28:F28">OFFSET(E28,-1,1)</f>
        <v>0</v>
      </c>
      <c r="G28" s="500" t="s">
        <v>325</v>
      </c>
      <c r="H28" s="500"/>
      <c r="I28" s="500"/>
      <c r="J28" s="500"/>
      <c r="K28" s="500"/>
      <c r="L28" s="500"/>
      <c r="M28" s="500"/>
      <c r="N28" s="500"/>
      <c r="O28" s="500"/>
      <c r="P28" s="500"/>
      <c r="Q28" s="500"/>
      <c r="R28" s="500"/>
      <c r="S28" s="500"/>
      <c r="T28" s="439" cm="1" t="str">
        <f t="array" ref="T28:T28">T27</f>
        <v>false</v>
      </c>
      <c r="U28" s="500"/>
      <c r="V28" s="500"/>
      <c r="W28" s="500"/>
      <c r="X28" s="1519"/>
      <c r="Y28" s="500"/>
      <c r="Z28" s="1520"/>
      <c r="AA28" s="500"/>
      <c r="AB28" s="1235" t="s">
        <v>272</v>
      </c>
      <c r="AC28" s="1236" t="s">
        <v>979</v>
      </c>
      <c r="AD28" s="489" t="s">
        <v>980</v>
      </c>
      <c r="AE28" s="1237">
        <f>IF(AE30=0,0,AE29/AE30)</f>
        <v>0</v>
      </c>
      <c r="AF28" s="502">
        <f>IF(AF30=0,0,AF29/AF30)</f>
        <v>0</v>
      </c>
      <c r="AG28" s="500"/>
      <c r="AH28" s="500"/>
      <c r="AI28" s="1019" t="s">
        <v>981</v>
      </c>
    </row>
    <row customHeight="1" ht="14.625" hidden="1">
      <c r="A29" s="462"/>
      <c r="B29" s="462"/>
      <c r="C29" s="492"/>
      <c r="D29" s="462"/>
      <c r="E29" s="629">
        <v>15</v>
      </c>
      <c r="F29" s="50" cm="1" t="str">
        <f t="array" ref="F29:F29">OFFSET(E29,-1,1)</f>
        <v>0</v>
      </c>
      <c r="G29" s="462" t="s">
        <v>441</v>
      </c>
      <c r="H29" s="462"/>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38" t="s">
        <v>845</v>
      </c>
      <c r="AC29" s="1239" t="s">
        <v>982</v>
      </c>
      <c r="AD29" s="503" t="s">
        <v>784</v>
      </c>
      <c r="AE29" s="1240"/>
      <c r="AF29" s="1240"/>
      <c r="AG29" s="462"/>
      <c r="AH29" s="462"/>
      <c r="AI29" s="1009" t="s">
        <v>983</v>
      </c>
    </row>
    <row customHeight="1" ht="32.90625" hidden="1">
      <c r="A30" s="462"/>
      <c r="B30" s="462"/>
      <c r="C30" s="492"/>
      <c r="D30" s="462"/>
      <c r="E30" s="629">
        <v>33.75</v>
      </c>
      <c r="F30" s="50" cm="1" t="str">
        <f t="array" ref="F30:F30">OFFSET(E30,-1,1)</f>
        <v>0</v>
      </c>
      <c r="G30" s="462" t="s">
        <v>445</v>
      </c>
      <c r="H30" s="462"/>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503" t="s">
        <v>848</v>
      </c>
      <c r="AC30" s="504" t="s">
        <v>984</v>
      </c>
      <c r="AD30" s="503" t="s">
        <v>776</v>
      </c>
      <c r="AE30" s="1241">
        <f>_xlfn.SUMIFS('Условные метры'!$AL$28:$AL$38,'Условные метры'!$F$28:$F$38,$F30,'Условные метры'!$G$28:$G$38,"Итог")</f>
        <v>0</v>
      </c>
      <c r="AF30" s="1069">
        <f>_xlfn.SUMIFS('Условные метры'!$AN$28:$AN$38,'Условные метры'!$F$28:$F$38,$F30,'Условные метры'!$G$28:$G$38,"Итог")</f>
        <v>0</v>
      </c>
      <c r="AG30" s="462"/>
      <c r="AH30" s="462"/>
      <c r="AI30" s="1009" t="s">
        <v>985</v>
      </c>
    </row>
    <row s="500" customFormat="1" customHeight="1" ht="32.90625" hidden="1">
      <c r="A31" s="462"/>
      <c r="B31" s="500"/>
      <c r="C31" s="1361"/>
      <c r="D31" s="500"/>
      <c r="E31" s="654">
        <v>33.75</v>
      </c>
      <c r="F31" s="50" cm="1" t="str">
        <f t="array" ref="F31:F31">OFFSET(E31,-1,1)</f>
        <v>0</v>
      </c>
      <c r="G31" s="500" t="s">
        <v>326</v>
      </c>
      <c r="H31" s="500"/>
      <c r="I31" s="500"/>
      <c r="J31" s="500"/>
      <c r="K31" s="500"/>
      <c r="L31" s="500"/>
      <c r="M31" s="500"/>
      <c r="N31" s="500"/>
      <c r="O31" s="500"/>
      <c r="P31" s="500"/>
      <c r="Q31" s="500"/>
      <c r="R31" s="500"/>
      <c r="S31" s="500"/>
      <c r="T31" s="439" cm="1" t="str">
        <f t="array" ref="T31:T31">T30</f>
        <v>false</v>
      </c>
      <c r="U31" s="500"/>
      <c r="V31" s="500"/>
      <c r="W31" s="500"/>
      <c r="X31" s="1519"/>
      <c r="Y31" s="500"/>
      <c r="Z31" s="1520"/>
      <c r="AA31" s="500"/>
      <c r="AB31" s="1242">
        <v>2</v>
      </c>
      <c r="AC31" s="1243" t="s">
        <v>986</v>
      </c>
      <c r="AD31" s="1244" t="s">
        <v>980</v>
      </c>
      <c r="AE31" s="1245">
        <f>MIN(AE33,AE28)</f>
        <v>0</v>
      </c>
      <c r="AF31" s="507">
        <f>MIN(AF33,AF28)</f>
        <v>0</v>
      </c>
      <c r="AG31" s="500"/>
      <c r="AH31" s="500"/>
      <c r="AI31" s="1019" t="s">
        <v>987</v>
      </c>
    </row>
    <row customHeight="1" ht="21.9375" hidden="1">
      <c r="A32" s="462"/>
      <c r="B32" s="462"/>
      <c r="C32" s="492"/>
      <c r="D32" s="462"/>
      <c r="E32" s="629">
        <v>22.5</v>
      </c>
      <c r="F32" s="50" cm="1" t="str">
        <f t="array" ref="F32:F32">OFFSET(E32,-1,1)</f>
        <v>0</v>
      </c>
      <c r="G32" s="462" t="s">
        <v>327</v>
      </c>
      <c r="H32" s="462"/>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1246">
        <v>3</v>
      </c>
      <c r="AC32" s="501" t="s">
        <v>988</v>
      </c>
      <c r="AD32" s="489" t="s">
        <v>980</v>
      </c>
      <c r="AE32" s="502" cm="1" t="str">
        <f t="array" ref="AE32:AE32">INDEX('Калькуляция (МСА)'!$L$26:$M$86,MATCH('Амортизация (аналог)'!$F32&amp;"УТР",'Калькуляция (МСА)'!$K$26:$K$86,0),1)</f>
        <v>0</v>
      </c>
      <c r="AF32" s="502" cm="1" t="str">
        <f t="array" ref="AF32:AF32">INDEX('Калькуляция (МСА)'!$L$26:$M$86,MATCH('Амортизация (аналог)'!$F32&amp;"УТР",'Калькуляция (МСА)'!$K$26:$K$86,0),2)</f>
        <v>0</v>
      </c>
      <c r="AG32" s="462"/>
      <c r="AH32" s="462"/>
      <c r="AI32" s="1009" t="s">
        <v>989</v>
      </c>
    </row>
    <row customHeight="1" ht="14.625" hidden="1">
      <c r="A33" s="462"/>
      <c r="B33" s="462"/>
      <c r="C33" s="492"/>
      <c r="D33" s="462"/>
      <c r="E33" s="629">
        <v>15</v>
      </c>
      <c r="F33" s="50" cm="1" t="str">
        <f t="array" ref="F33:F33">OFFSET(E33,-1,1)</f>
        <v>0</v>
      </c>
      <c r="G33" s="462" t="s">
        <v>329</v>
      </c>
      <c r="H33" s="462"/>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508">
        <v>4</v>
      </c>
      <c r="AC33" s="501" t="s">
        <v>990</v>
      </c>
      <c r="AD33" s="489" t="s">
        <v>980</v>
      </c>
      <c r="AE33" s="1247">
        <f>AE32*0.15</f>
        <v>0</v>
      </c>
      <c r="AF33" s="509">
        <f>AF32*0.15</f>
        <v>0</v>
      </c>
      <c r="AG33" s="462"/>
      <c r="AH33" s="462"/>
      <c r="AI33" s="1009" t="s">
        <v>991</v>
      </c>
    </row>
    <row s="1621" customFormat="1" customHeight="1" ht="14.25">
      <c r="A34" s="462"/>
      <c r="B34" s="462"/>
      <c r="C34" s="490"/>
      <c r="D34" s="462"/>
      <c r="E34" s="629">
        <v>15</v>
      </c>
      <c r="F34" s="490" cm="1" t="str">
        <f t="array" ref="F34:F34">X34</f>
        <v>1</v>
      </c>
      <c r="G34" s="462"/>
      <c r="H34" s="462"/>
      <c r="I34" s="462"/>
      <c r="J34" s="462"/>
      <c r="K34" s="462"/>
      <c r="L34" s="462"/>
      <c r="M34" s="462"/>
      <c r="N34" s="462"/>
      <c r="O34" s="462"/>
      <c r="P34" s="462"/>
      <c r="Q34" s="462"/>
      <c r="R34" s="462"/>
      <c r="S34" s="462"/>
      <c r="T34" s="439">
        <f>X34&gt;0</f>
        <v>1</v>
      </c>
      <c r="U34" s="462"/>
      <c r="V34" s="462" cm="1" t="str">
        <f t="array" ref="V34:V34">Амортизация!$AB$76</f>
        <v>Тариф 1 (Водоснабжение) - тариф на техническую воду (Оказание услуг на территории: Прокопьевский муниципальный округ (ОКТМО: 32522000) - п Калачево)</v>
      </c>
      <c r="W34" s="462"/>
      <c r="X34" s="1519" t="s">
        <v>272</v>
      </c>
      <c r="Y34" s="462"/>
      <c r="Z34" s="1520"/>
      <c r="AA34" s="462"/>
      <c r="AB34" s="1232" cm="1" t="str">
        <f t="array" ref="AB34:AB34">Амортизация!$AB$76</f>
        <v>Тариф 1 (Водоснабжение) - тариф на техническую воду (Оказание услуг на территории: Прокопьевский муниципальный округ (ОКТМО: 32522000) - п Калачево)</v>
      </c>
      <c r="AC34" s="147"/>
      <c r="AD34" s="1233"/>
      <c r="AE34" s="1233"/>
      <c r="AF34" s="1234"/>
      <c r="AG34" s="462"/>
      <c r="AH34" s="462"/>
      <c r="AI34" s="1009"/>
    </row>
    <row s="500" customFormat="1" customHeight="1" ht="14.25">
      <c r="A35" s="462"/>
      <c r="B35" s="500"/>
      <c r="C35" s="1360"/>
      <c r="D35" s="500"/>
      <c r="E35" s="654">
        <v>15</v>
      </c>
      <c r="F35" s="50" cm="1" t="str">
        <f t="array" ref="F35:F35">OFFSET(E35,-1,1)</f>
        <v>1</v>
      </c>
      <c r="G35" s="500" t="s">
        <v>325</v>
      </c>
      <c r="H35" s="500"/>
      <c r="I35" s="500"/>
      <c r="J35" s="500"/>
      <c r="K35" s="500"/>
      <c r="L35" s="500"/>
      <c r="M35" s="500"/>
      <c r="N35" s="500"/>
      <c r="O35" s="500"/>
      <c r="P35" s="500"/>
      <c r="Q35" s="500"/>
      <c r="R35" s="500"/>
      <c r="S35" s="500"/>
      <c r="T35" s="439" cm="1" t="str">
        <f t="array" ref="T35:T35">T34</f>
        <v>true</v>
      </c>
      <c r="U35" s="500"/>
      <c r="V35" s="500"/>
      <c r="W35" s="500"/>
      <c r="X35" s="1519"/>
      <c r="Y35" s="500"/>
      <c r="Z35" s="1520"/>
      <c r="AA35" s="500"/>
      <c r="AB35" s="1235" t="s">
        <v>272</v>
      </c>
      <c r="AC35" s="1236" t="s">
        <v>979</v>
      </c>
      <c r="AD35" s="489" t="s">
        <v>980</v>
      </c>
      <c r="AE35" s="1237">
        <f>IF(AE37=0,0,AE36/AE37)</f>
        <v>0</v>
      </c>
      <c r="AF35" s="502">
        <f>IF(AF37=0,0,AF36/AF37)</f>
        <v>0</v>
      </c>
      <c r="AG35" s="500"/>
      <c r="AH35" s="500"/>
      <c r="AI35" s="1019" t="s">
        <v>981</v>
      </c>
    </row>
    <row s="1621" customFormat="1" customHeight="1" ht="14.25">
      <c r="A36" s="462"/>
      <c r="B36" s="462"/>
      <c r="C36" s="492"/>
      <c r="D36" s="462"/>
      <c r="E36" s="629">
        <v>15</v>
      </c>
      <c r="F36" s="50" cm="1" t="str">
        <f t="array" ref="F36:F36">OFFSET(E36,-1,1)</f>
        <v>1</v>
      </c>
      <c r="G36" s="462" t="s">
        <v>441</v>
      </c>
      <c r="H36" s="462"/>
      <c r="I36" s="462"/>
      <c r="J36" s="462"/>
      <c r="K36" s="462"/>
      <c r="L36" s="462"/>
      <c r="M36" s="462"/>
      <c r="N36" s="462"/>
      <c r="O36" s="462"/>
      <c r="P36" s="462"/>
      <c r="Q36" s="462"/>
      <c r="R36" s="462"/>
      <c r="S36" s="462"/>
      <c r="T36" s="439" cm="1" t="str">
        <f t="array" ref="T36:T36">T35</f>
        <v>true</v>
      </c>
      <c r="U36" s="462"/>
      <c r="V36" s="462"/>
      <c r="W36" s="462"/>
      <c r="X36" s="1519"/>
      <c r="Y36" s="462"/>
      <c r="Z36" s="1520"/>
      <c r="AA36" s="462"/>
      <c r="AB36" s="1238" t="s">
        <v>845</v>
      </c>
      <c r="AC36" s="1239" t="s">
        <v>982</v>
      </c>
      <c r="AD36" s="503" t="s">
        <v>784</v>
      </c>
      <c r="AE36" s="1240"/>
      <c r="AF36" s="1240"/>
      <c r="AG36" s="462"/>
      <c r="AH36" s="462"/>
      <c r="AI36" s="1009" t="s">
        <v>983</v>
      </c>
    </row>
    <row s="1621" customFormat="1" customHeight="1" ht="32.25">
      <c r="A37" s="462"/>
      <c r="B37" s="462"/>
      <c r="C37" s="492"/>
      <c r="D37" s="462"/>
      <c r="E37" s="629">
        <v>33.75</v>
      </c>
      <c r="F37" s="50" cm="1" t="str">
        <f t="array" ref="F37:F37">OFFSET(E37,-1,1)</f>
        <v>1</v>
      </c>
      <c r="G37" s="462" t="s">
        <v>445</v>
      </c>
      <c r="H37" s="462"/>
      <c r="I37" s="462"/>
      <c r="J37" s="462"/>
      <c r="K37" s="462"/>
      <c r="L37" s="462"/>
      <c r="M37" s="462"/>
      <c r="N37" s="462"/>
      <c r="O37" s="462"/>
      <c r="P37" s="462"/>
      <c r="Q37" s="462"/>
      <c r="R37" s="462"/>
      <c r="S37" s="462"/>
      <c r="T37" s="439" cm="1" t="str">
        <f t="array" ref="T37:T37">T36</f>
        <v>true</v>
      </c>
      <c r="U37" s="462"/>
      <c r="V37" s="462"/>
      <c r="W37" s="462"/>
      <c r="X37" s="1519"/>
      <c r="Y37" s="462"/>
      <c r="Z37" s="1520"/>
      <c r="AA37" s="462"/>
      <c r="AB37" s="503" t="s">
        <v>848</v>
      </c>
      <c r="AC37" s="504" t="s">
        <v>984</v>
      </c>
      <c r="AD37" s="503" t="s">
        <v>776</v>
      </c>
      <c r="AE37" s="1241">
        <f>_xlfn.SUMIFS('Условные метры'!$AL$28:$AL$38,'Условные метры'!$F$28:$F$38,$F37,'Условные метры'!$G$28:$G$38,"Итог")</f>
        <v>0</v>
      </c>
      <c r="AF37" s="1069">
        <f>_xlfn.SUMIFS('Условные метры'!$AN$28:$AN$38,'Условные метры'!$F$28:$F$38,$F37,'Условные метры'!$G$28:$G$38,"Итог")</f>
        <v>0</v>
      </c>
      <c r="AG37" s="462"/>
      <c r="AH37" s="462"/>
      <c r="AI37" s="1009" t="s">
        <v>985</v>
      </c>
    </row>
    <row s="500" customFormat="1" customHeight="1" ht="32.25">
      <c r="A38" s="462"/>
      <c r="B38" s="500"/>
      <c r="C38" s="1361"/>
      <c r="D38" s="500"/>
      <c r="E38" s="654">
        <v>33.75</v>
      </c>
      <c r="F38" s="50" cm="1" t="str">
        <f t="array" ref="F38:F38">OFFSET(E38,-1,1)</f>
        <v>1</v>
      </c>
      <c r="G38" s="500" t="s">
        <v>326</v>
      </c>
      <c r="H38" s="500"/>
      <c r="I38" s="500"/>
      <c r="J38" s="500"/>
      <c r="K38" s="500"/>
      <c r="L38" s="500"/>
      <c r="M38" s="500"/>
      <c r="N38" s="500"/>
      <c r="O38" s="500"/>
      <c r="P38" s="500"/>
      <c r="Q38" s="500"/>
      <c r="R38" s="500"/>
      <c r="S38" s="500"/>
      <c r="T38" s="439" cm="1" t="str">
        <f t="array" ref="T38:T38">T37</f>
        <v>true</v>
      </c>
      <c r="U38" s="500"/>
      <c r="V38" s="500"/>
      <c r="W38" s="500"/>
      <c r="X38" s="1519"/>
      <c r="Y38" s="500"/>
      <c r="Z38" s="1520"/>
      <c r="AA38" s="500"/>
      <c r="AB38" s="1242">
        <v>2</v>
      </c>
      <c r="AC38" s="1243" t="s">
        <v>986</v>
      </c>
      <c r="AD38" s="1244" t="s">
        <v>980</v>
      </c>
      <c r="AE38" s="1245">
        <f>MIN(AE40,AE35)</f>
        <v>0</v>
      </c>
      <c r="AF38" s="507">
        <f>MIN(AF40,AF35)</f>
        <v>0</v>
      </c>
      <c r="AG38" s="500"/>
      <c r="AH38" s="500"/>
      <c r="AI38" s="1019" t="s">
        <v>987</v>
      </c>
    </row>
    <row s="1621" customFormat="1" customHeight="1" ht="21.75">
      <c r="A39" s="462"/>
      <c r="B39" s="462"/>
      <c r="C39" s="492"/>
      <c r="D39" s="462"/>
      <c r="E39" s="629">
        <v>22.5</v>
      </c>
      <c r="F39" s="50" cm="1" t="str">
        <f t="array" ref="F39:F39">OFFSET(E39,-1,1)</f>
        <v>1</v>
      </c>
      <c r="G39" s="462" t="s">
        <v>327</v>
      </c>
      <c r="H39" s="462"/>
      <c r="I39" s="462"/>
      <c r="J39" s="462"/>
      <c r="K39" s="462"/>
      <c r="L39" s="462"/>
      <c r="M39" s="462"/>
      <c r="N39" s="462"/>
      <c r="O39" s="462"/>
      <c r="P39" s="462"/>
      <c r="Q39" s="462"/>
      <c r="R39" s="462"/>
      <c r="S39" s="462"/>
      <c r="T39" s="439" cm="1" t="str">
        <f t="array" ref="T39:T39">T38</f>
        <v>true</v>
      </c>
      <c r="U39" s="462"/>
      <c r="V39" s="462"/>
      <c r="W39" s="462"/>
      <c r="X39" s="1519"/>
      <c r="Y39" s="462"/>
      <c r="Z39" s="1520"/>
      <c r="AA39" s="462"/>
      <c r="AB39" s="1246">
        <v>3</v>
      </c>
      <c r="AC39" s="501" t="s">
        <v>988</v>
      </c>
      <c r="AD39" s="489" t="s">
        <v>980</v>
      </c>
      <c r="AE39" s="502" cm="1" t="str">
        <f t="array" ref="AE39:AE39">INDEX('Калькуляция (МСА)'!$L$26:$M$86,MATCH('Амортизация (аналог)'!$F39&amp;"УТР",'Калькуляция (МСА)'!$K$26:$K$86,0),1)</f>
        <v>0</v>
      </c>
      <c r="AF39" s="502" cm="1" t="str">
        <f t="array" ref="AF39:AF39">INDEX('Калькуляция (МСА)'!$L$26:$M$86,MATCH('Амортизация (аналог)'!$F39&amp;"УТР",'Калькуляция (МСА)'!$K$26:$K$86,0),2)</f>
        <v>0</v>
      </c>
      <c r="AG39" s="462"/>
      <c r="AH39" s="462"/>
      <c r="AI39" s="1009" t="s">
        <v>989</v>
      </c>
    </row>
    <row s="1621" customFormat="1" customHeight="1" ht="14.25">
      <c r="A40" s="462"/>
      <c r="B40" s="462"/>
      <c r="C40" s="492"/>
      <c r="D40" s="462"/>
      <c r="E40" s="629">
        <v>15</v>
      </c>
      <c r="F40" s="50" cm="1" t="str">
        <f t="array" ref="F40:F40">OFFSET(E40,-1,1)</f>
        <v>1</v>
      </c>
      <c r="G40" s="462" t="s">
        <v>329</v>
      </c>
      <c r="H40" s="462"/>
      <c r="I40" s="462"/>
      <c r="J40" s="462"/>
      <c r="K40" s="462"/>
      <c r="L40" s="462"/>
      <c r="M40" s="462"/>
      <c r="N40" s="462"/>
      <c r="O40" s="462"/>
      <c r="P40" s="462"/>
      <c r="Q40" s="462"/>
      <c r="R40" s="462"/>
      <c r="S40" s="462"/>
      <c r="T40" s="439" cm="1" t="str">
        <f t="array" ref="T40:T40">T39</f>
        <v>true</v>
      </c>
      <c r="U40" s="462"/>
      <c r="V40" s="462"/>
      <c r="W40" s="462"/>
      <c r="X40" s="1519"/>
      <c r="Y40" s="462"/>
      <c r="Z40" s="1520"/>
      <c r="AA40" s="462"/>
      <c r="AB40" s="508">
        <v>4</v>
      </c>
      <c r="AC40" s="501" t="s">
        <v>990</v>
      </c>
      <c r="AD40" s="489" t="s">
        <v>980</v>
      </c>
      <c r="AE40" s="1247">
        <f>AE39*0.15</f>
        <v>0</v>
      </c>
      <c r="AF40" s="509">
        <f>AF39*0.15</f>
        <v>0</v>
      </c>
      <c r="AG40" s="462"/>
      <c r="AH40" s="462"/>
      <c r="AI40" s="1009" t="s">
        <v>991</v>
      </c>
    </row>
    <row s="1621" customFormat="1" customHeight="1" ht="14.25">
      <c r="A41" s="462"/>
      <c r="B41" s="462"/>
      <c r="C41" s="490"/>
      <c r="D41" s="462"/>
      <c r="E41" s="629">
        <v>15</v>
      </c>
      <c r="F41" s="490" cm="1" t="str">
        <f t="array" ref="F41:F41">X41</f>
        <v>2</v>
      </c>
      <c r="G41" s="462"/>
      <c r="H41" s="462"/>
      <c r="I41" s="462"/>
      <c r="J41" s="462"/>
      <c r="K41" s="462"/>
      <c r="L41" s="462"/>
      <c r="M41" s="462"/>
      <c r="N41" s="462"/>
      <c r="O41" s="462"/>
      <c r="P41" s="462"/>
      <c r="Q41" s="462"/>
      <c r="R41" s="462"/>
      <c r="S41" s="462"/>
      <c r="T41" s="439">
        <f>X41&gt;0</f>
        <v>1</v>
      </c>
      <c r="U41" s="462"/>
      <c r="V41" s="462" cm="1" t="str">
        <f t="array" ref="V41:V41">Амортизация!$AB$125</f>
        <v>Тариф 2 (Водоотведение) - тариф на водоотведение (Оказание услуг на территории: Прокопьевский муниципальный округ (ОКТМО: 32522000) - п Калачево)</v>
      </c>
      <c r="W41" s="462"/>
      <c r="X41" s="1519" t="s">
        <v>283</v>
      </c>
      <c r="Y41" s="462"/>
      <c r="Z41" s="1520"/>
      <c r="AA41" s="462"/>
      <c r="AB41" s="1232" cm="1" t="str">
        <f t="array" ref="AB41:AB41">Амортизация!$AB$125</f>
        <v>Тариф 2 (Водоотведение) - тариф на водоотведение (Оказание услуг на территории: Прокопьевский муниципальный округ (ОКТМО: 32522000) - п Калачево)</v>
      </c>
      <c r="AC41" s="147"/>
      <c r="AD41" s="1233"/>
      <c r="AE41" s="1233"/>
      <c r="AF41" s="1234"/>
      <c r="AG41" s="462"/>
      <c r="AH41" s="462"/>
      <c r="AI41" s="1009"/>
    </row>
    <row s="500" customFormat="1" customHeight="1" ht="14.25">
      <c r="A42" s="462"/>
      <c r="B42" s="500"/>
      <c r="C42" s="1360"/>
      <c r="D42" s="500"/>
      <c r="E42" s="654">
        <v>15</v>
      </c>
      <c r="F42" s="50" cm="1" t="str">
        <f t="array" ref="F42:F42">OFFSET(E42,-1,1)</f>
        <v>2</v>
      </c>
      <c r="G42" s="500" t="s">
        <v>325</v>
      </c>
      <c r="H42" s="500"/>
      <c r="I42" s="500"/>
      <c r="J42" s="500"/>
      <c r="K42" s="500"/>
      <c r="L42" s="500"/>
      <c r="M42" s="500"/>
      <c r="N42" s="500"/>
      <c r="O42" s="500"/>
      <c r="P42" s="500"/>
      <c r="Q42" s="500"/>
      <c r="R42" s="500"/>
      <c r="S42" s="500"/>
      <c r="T42" s="439" cm="1" t="str">
        <f t="array" ref="T42:T42">T41</f>
        <v>true</v>
      </c>
      <c r="U42" s="500"/>
      <c r="V42" s="500"/>
      <c r="W42" s="500"/>
      <c r="X42" s="1519"/>
      <c r="Y42" s="500"/>
      <c r="Z42" s="1520"/>
      <c r="AA42" s="500"/>
      <c r="AB42" s="1235" t="s">
        <v>272</v>
      </c>
      <c r="AC42" s="1236" t="s">
        <v>979</v>
      </c>
      <c r="AD42" s="489" t="s">
        <v>980</v>
      </c>
      <c r="AE42" s="1237">
        <f>IF(AE44=0,0,AE43/AE44)</f>
        <v>0</v>
      </c>
      <c r="AF42" s="502">
        <f>IF(AF44=0,0,AF43/AF44)</f>
        <v>0</v>
      </c>
      <c r="AG42" s="500"/>
      <c r="AH42" s="500"/>
      <c r="AI42" s="1019" t="s">
        <v>981</v>
      </c>
    </row>
    <row s="1621" customFormat="1" customHeight="1" ht="14.25">
      <c r="A43" s="462"/>
      <c r="B43" s="462"/>
      <c r="C43" s="492"/>
      <c r="D43" s="462"/>
      <c r="E43" s="629">
        <v>15</v>
      </c>
      <c r="F43" s="50" cm="1" t="str">
        <f t="array" ref="F43:F43">OFFSET(E43,-1,1)</f>
        <v>2</v>
      </c>
      <c r="G43" s="462" t="s">
        <v>441</v>
      </c>
      <c r="H43" s="462"/>
      <c r="I43" s="462"/>
      <c r="J43" s="462"/>
      <c r="K43" s="462"/>
      <c r="L43" s="462"/>
      <c r="M43" s="462"/>
      <c r="N43" s="462"/>
      <c r="O43" s="462"/>
      <c r="P43" s="462"/>
      <c r="Q43" s="462"/>
      <c r="R43" s="462"/>
      <c r="S43" s="462"/>
      <c r="T43" s="439" cm="1" t="str">
        <f t="array" ref="T43:T43">T42</f>
        <v>true</v>
      </c>
      <c r="U43" s="462"/>
      <c r="V43" s="462"/>
      <c r="W43" s="462"/>
      <c r="X43" s="1519"/>
      <c r="Y43" s="462"/>
      <c r="Z43" s="1520"/>
      <c r="AA43" s="462"/>
      <c r="AB43" s="1238" t="s">
        <v>845</v>
      </c>
      <c r="AC43" s="1239" t="s">
        <v>982</v>
      </c>
      <c r="AD43" s="503" t="s">
        <v>784</v>
      </c>
      <c r="AE43" s="1240"/>
      <c r="AF43" s="1240"/>
      <c r="AG43" s="462"/>
      <c r="AH43" s="462"/>
      <c r="AI43" s="1009" t="s">
        <v>983</v>
      </c>
    </row>
    <row s="1621" customFormat="1" customHeight="1" ht="32.25">
      <c r="A44" s="462"/>
      <c r="B44" s="462"/>
      <c r="C44" s="492"/>
      <c r="D44" s="462"/>
      <c r="E44" s="629">
        <v>33.75</v>
      </c>
      <c r="F44" s="50" cm="1" t="str">
        <f t="array" ref="F44:F44">OFFSET(E44,-1,1)</f>
        <v>2</v>
      </c>
      <c r="G44" s="462" t="s">
        <v>445</v>
      </c>
      <c r="H44" s="462"/>
      <c r="I44" s="462"/>
      <c r="J44" s="462"/>
      <c r="K44" s="462"/>
      <c r="L44" s="462"/>
      <c r="M44" s="462"/>
      <c r="N44" s="462"/>
      <c r="O44" s="462"/>
      <c r="P44" s="462"/>
      <c r="Q44" s="462"/>
      <c r="R44" s="462"/>
      <c r="S44" s="462"/>
      <c r="T44" s="439" cm="1" t="str">
        <f t="array" ref="T44:T44">T43</f>
        <v>true</v>
      </c>
      <c r="U44" s="462"/>
      <c r="V44" s="462"/>
      <c r="W44" s="462"/>
      <c r="X44" s="1519"/>
      <c r="Y44" s="462"/>
      <c r="Z44" s="1520"/>
      <c r="AA44" s="462"/>
      <c r="AB44" s="503" t="s">
        <v>848</v>
      </c>
      <c r="AC44" s="504" t="s">
        <v>984</v>
      </c>
      <c r="AD44" s="503" t="s">
        <v>776</v>
      </c>
      <c r="AE44" s="1241">
        <f>_xlfn.SUMIFS('Условные метры'!$AL$28:$AL$38,'Условные метры'!$F$28:$F$38,$F44,'Условные метры'!$G$28:$G$38,"Итог")</f>
        <v>0</v>
      </c>
      <c r="AF44" s="1069">
        <f>_xlfn.SUMIFS('Условные метры'!$AN$28:$AN$38,'Условные метры'!$F$28:$F$38,$F44,'Условные метры'!$G$28:$G$38,"Итог")</f>
        <v>0</v>
      </c>
      <c r="AG44" s="462"/>
      <c r="AH44" s="462"/>
      <c r="AI44" s="1009" t="s">
        <v>985</v>
      </c>
    </row>
    <row s="500" customFormat="1" customHeight="1" ht="32.25">
      <c r="A45" s="462"/>
      <c r="B45" s="500"/>
      <c r="C45" s="1361"/>
      <c r="D45" s="500"/>
      <c r="E45" s="654">
        <v>33.75</v>
      </c>
      <c r="F45" s="50" cm="1" t="str">
        <f t="array" ref="F45:F45">OFFSET(E45,-1,1)</f>
        <v>2</v>
      </c>
      <c r="G45" s="500" t="s">
        <v>326</v>
      </c>
      <c r="H45" s="500"/>
      <c r="I45" s="500"/>
      <c r="J45" s="500"/>
      <c r="K45" s="500"/>
      <c r="L45" s="500"/>
      <c r="M45" s="500"/>
      <c r="N45" s="500"/>
      <c r="O45" s="500"/>
      <c r="P45" s="500"/>
      <c r="Q45" s="500"/>
      <c r="R45" s="500"/>
      <c r="S45" s="500"/>
      <c r="T45" s="439" cm="1" t="str">
        <f t="array" ref="T45:T45">T44</f>
        <v>true</v>
      </c>
      <c r="U45" s="500"/>
      <c r="V45" s="500"/>
      <c r="W45" s="500"/>
      <c r="X45" s="1519"/>
      <c r="Y45" s="500"/>
      <c r="Z45" s="1520"/>
      <c r="AA45" s="500"/>
      <c r="AB45" s="1242">
        <v>2</v>
      </c>
      <c r="AC45" s="1243" t="s">
        <v>986</v>
      </c>
      <c r="AD45" s="1244" t="s">
        <v>980</v>
      </c>
      <c r="AE45" s="1245">
        <f>MIN(AE47,AE42)</f>
        <v>0</v>
      </c>
      <c r="AF45" s="507">
        <f>MIN(AF47,AF42)</f>
        <v>0</v>
      </c>
      <c r="AG45" s="500"/>
      <c r="AH45" s="500"/>
      <c r="AI45" s="1019" t="s">
        <v>987</v>
      </c>
    </row>
    <row s="1621" customFormat="1" customHeight="1" ht="21.75">
      <c r="A46" s="462"/>
      <c r="B46" s="462"/>
      <c r="C46" s="492"/>
      <c r="D46" s="462"/>
      <c r="E46" s="629">
        <v>22.5</v>
      </c>
      <c r="F46" s="50" cm="1" t="str">
        <f t="array" ref="F46:F46">OFFSET(E46,-1,1)</f>
        <v>2</v>
      </c>
      <c r="G46" s="462" t="s">
        <v>327</v>
      </c>
      <c r="H46" s="462"/>
      <c r="I46" s="462"/>
      <c r="J46" s="462"/>
      <c r="K46" s="462"/>
      <c r="L46" s="462"/>
      <c r="M46" s="462"/>
      <c r="N46" s="462"/>
      <c r="O46" s="462"/>
      <c r="P46" s="462"/>
      <c r="Q46" s="462"/>
      <c r="R46" s="462"/>
      <c r="S46" s="462"/>
      <c r="T46" s="439" cm="1" t="str">
        <f t="array" ref="T46:T46">T45</f>
        <v>true</v>
      </c>
      <c r="U46" s="462"/>
      <c r="V46" s="462"/>
      <c r="W46" s="462"/>
      <c r="X46" s="1519"/>
      <c r="Y46" s="462"/>
      <c r="Z46" s="1520"/>
      <c r="AA46" s="462"/>
      <c r="AB46" s="1246">
        <v>3</v>
      </c>
      <c r="AC46" s="501" t="s">
        <v>988</v>
      </c>
      <c r="AD46" s="489" t="s">
        <v>980</v>
      </c>
      <c r="AE46" s="502" cm="1" t="str">
        <f t="array" ref="AE46:AE46">INDEX('Калькуляция (МСА)'!$L$26:$M$86,MATCH('Амортизация (аналог)'!$F46&amp;"УТР",'Калькуляция (МСА)'!$K$26:$K$86,0),1)</f>
        <v>0</v>
      </c>
      <c r="AF46" s="502" cm="1" t="str">
        <f t="array" ref="AF46:AF46">INDEX('Калькуляция (МСА)'!$L$26:$M$86,MATCH('Амортизация (аналог)'!$F46&amp;"УТР",'Калькуляция (МСА)'!$K$26:$K$86,0),2)</f>
        <v>0</v>
      </c>
      <c r="AG46" s="462"/>
      <c r="AH46" s="462"/>
      <c r="AI46" s="1009" t="s">
        <v>989</v>
      </c>
    </row>
    <row s="1621" customFormat="1" customHeight="1" ht="14.25">
      <c r="A47" s="462"/>
      <c r="B47" s="462"/>
      <c r="C47" s="492"/>
      <c r="D47" s="462"/>
      <c r="E47" s="629">
        <v>15</v>
      </c>
      <c r="F47" s="50" cm="1" t="str">
        <f t="array" ref="F47:F47">OFFSET(E47,-1,1)</f>
        <v>2</v>
      </c>
      <c r="G47" s="462" t="s">
        <v>329</v>
      </c>
      <c r="H47" s="462"/>
      <c r="I47" s="462"/>
      <c r="J47" s="462"/>
      <c r="K47" s="462"/>
      <c r="L47" s="462"/>
      <c r="M47" s="462"/>
      <c r="N47" s="462"/>
      <c r="O47" s="462"/>
      <c r="P47" s="462"/>
      <c r="Q47" s="462"/>
      <c r="R47" s="462"/>
      <c r="S47" s="462"/>
      <c r="T47" s="439" cm="1" t="str">
        <f t="array" ref="T47:T47">T46</f>
        <v>true</v>
      </c>
      <c r="U47" s="462"/>
      <c r="V47" s="462"/>
      <c r="W47" s="462"/>
      <c r="X47" s="1519"/>
      <c r="Y47" s="462"/>
      <c r="Z47" s="1520"/>
      <c r="AA47" s="462"/>
      <c r="AB47" s="508">
        <v>4</v>
      </c>
      <c r="AC47" s="501" t="s">
        <v>990</v>
      </c>
      <c r="AD47" s="489" t="s">
        <v>980</v>
      </c>
      <c r="AE47" s="1247">
        <f>AE46*0.15</f>
        <v>0</v>
      </c>
      <c r="AF47" s="509">
        <f>AF46*0.15</f>
        <v>0</v>
      </c>
      <c r="AG47" s="462"/>
      <c r="AH47" s="462"/>
      <c r="AI47" s="1009" t="s">
        <v>991</v>
      </c>
    </row>
    <row customHeight="1" ht="10.96875">
      <c r="E48" s="629">
        <v>11.25</v>
      </c>
      <c r="U48" s="70" t="s">
        <v>177</v>
      </c>
      <c r="V48" s="106" t="s">
        <v>992</v>
      </c>
      <c r="AB48" s="510"/>
      <c r="AC48" s="511"/>
      <c r="AD48" s="510"/>
      <c r="AE48" s="512"/>
      <c r="AF48" s="1520"/>
    </row>
    <row s="676" customFormat="1" customHeight="1" ht="14.625">
      <c r="E49" s="628">
        <v>15</v>
      </c>
      <c r="AB49" s="1485" t="s">
        <v>398</v>
      </c>
      <c r="AC49" s="1485"/>
      <c r="AD49" s="1485"/>
      <c r="AE49" s="1522"/>
      <c r="AF49" s="1522"/>
      <c r="AI49" s="1020"/>
    </row>
    <row s="676" customFormat="1" customHeight="1" ht="14.625">
      <c r="E50" s="628">
        <v>15</v>
      </c>
      <c r="AB50" s="1524"/>
      <c r="AC50" s="1524"/>
      <c r="AD50" s="1524"/>
      <c r="AE50" s="1526"/>
      <c r="AF50" s="1526"/>
      <c r="AI50" s="1020"/>
    </row>
    <row s="676" customFormat="1" customHeight="1" ht="14.625" hidden="1">
      <c r="A51" s="1342"/>
      <c r="B51" s="1342"/>
      <c r="C51" s="1342"/>
      <c r="D51" s="1342"/>
      <c r="E51" s="628">
        <v>15</v>
      </c>
      <c r="F51" s="1342"/>
      <c r="G51" s="1342"/>
      <c r="H51" s="1342"/>
      <c r="I51" s="1342"/>
      <c r="J51" s="1342"/>
      <c r="K51" s="1342"/>
      <c r="L51" s="1342"/>
      <c r="M51" s="1342"/>
      <c r="N51" s="1342"/>
      <c r="O51" s="1342"/>
      <c r="P51" s="1342"/>
      <c r="Q51" s="1342"/>
      <c r="R51" s="1342"/>
      <c r="S51" s="1342"/>
      <c r="T51" s="439">
        <f>ROW(W51)&gt;ROW(W$51)</f>
        <v>0</v>
      </c>
      <c r="U51" s="1248"/>
      <c r="V51" s="1248"/>
      <c r="W51" s="738" t="s">
        <v>173</v>
      </c>
      <c r="X51" s="1248"/>
      <c r="Y51" s="1248"/>
      <c r="Z51" s="1248"/>
      <c r="AA51" s="1362" t="s">
        <v>174</v>
      </c>
      <c r="AB51" s="2710"/>
      <c r="AC51" s="2711"/>
      <c r="AD51" s="2462"/>
      <c r="AE51" s="1529"/>
      <c r="AF51" s="1548"/>
      <c r="AG51" s="1342"/>
      <c r="AH51" s="1342"/>
      <c r="AI51" s="1020"/>
    </row>
    <row s="676" customFormat="1" customHeight="1" ht="14.625">
      <c r="E52" s="628">
        <v>15</v>
      </c>
      <c r="W52" s="738" t="s">
        <v>399</v>
      </c>
      <c r="AB52" s="1363"/>
      <c r="AC52" s="1364" t="s">
        <v>400</v>
      </c>
      <c r="AD52" s="1365"/>
      <c r="AE52" s="1366"/>
      <c r="AF52" s="1367"/>
      <c r="AI52" s="1020"/>
    </row>
    <row customHeight="1" ht="10.96875">
      <c r="E53" s="629">
        <v>11.25</v>
      </c>
      <c r="AC53" s="513"/>
      <c r="AE53" s="1520"/>
      <c r="AF53" s="1520"/>
      <c r="AG53" s="462"/>
    </row>
  </sheetData>
  <sheetProtection formatColumns="0" formatRows="0" insertRows="0" deleteColumns="0" deleteRows="0" sort="0" autoFilter="0" insertColumns="1"/>
  <mergeCells count="15">
    <mergeCell ref="X27:X33"/>
    <mergeCell ref="Z27:Z33"/>
    <mergeCell ref="AB49:AF49"/>
    <mergeCell ref="AB50:AF50"/>
    <mergeCell ref="AB51:AF51"/>
    <mergeCell ref="AB22:AF22"/>
    <mergeCell ref="AB23:AF23"/>
    <mergeCell ref="AB24:AB25"/>
    <mergeCell ref="AC24:AC25"/>
    <mergeCell ref="AD24:AD25"/>
    <mergeCell ref="AE24:AF24"/>
    <mergeCell ref="X34:X40"/>
    <mergeCell ref="Z34:Z40"/>
    <mergeCell ref="X41:X47"/>
    <mergeCell ref="Z41:Z47"/>
  </mergeCells>
  <dataValidations count="1">
    <dataValidation type="decimal" allowBlank="1" showErrorMessage="1" errorTitle="Ошибка" error="Допускается ввод только неотрицательных чисел!" sqref="AE31:AF31 AF33 AF38 AF40 AF45 AF47 AE33 AE38 AE40 AE45 AE47">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02AF1E-D5EC-37D3-F7E8-44378E760AC8}" mc:Ignorable="x14ac xr xr2 xr3">
  <sheetPr>
    <tabColor rgb="FF002060"/>
    <outlinePr summaryRight="0" summaryBelow="0"/>
    <pageSetUpPr fitToPage="1"/>
  </sheetPr>
  <dimension ref="A1:BJ122"/>
  <sheetViews>
    <sheetView showGridLines="0" workbookViewId="0">
      <pane xSplit="30" ySplit="25" topLeftCell="AE57" activePane="bottomRight" state="frozen"/>
      <selection pane="bottomLeft" activeCell="A26" sqref="A26"/>
      <selection pane="topRight" activeCell="AE1" sqref="AE1"/>
      <selection pane="bottomRight" activeCell="AA21" sqref="AA21"/>
    </sheetView>
  </sheetViews>
  <sheetFormatPr defaultColWidth="8.7109375" customHeight="1" defaultRowHeight="10.5"/>
  <cols>
    <col min="1" max="1" style="118" width="3.57421875" hidden="1" customWidth="1"/>
    <col min="2" max="2" style="413" width="8.57421875" hidden="1" customWidth="1"/>
    <col min="3" max="4" style="118" width="3.57421875" hidden="1" customWidth="1"/>
    <col min="5" max="5" style="658" width="3.57421875" hidden="1" customWidth="1"/>
    <col min="6" max="6" style="118" width="13.57421875" hidden="1" customWidth="1"/>
    <col min="7" max="8" style="118" width="3.57421875" hidden="1" customWidth="1"/>
    <col min="9" max="9" style="118" width="13.421875" hidden="1" customWidth="1"/>
    <col min="10" max="10" style="118" width="3.57421875" hidden="1" customWidth="1"/>
    <col min="11" max="11" style="893" width="5.8515625" hidden="1" customWidth="1"/>
    <col min="12" max="19" style="118" width="3.57421875" hidden="1" customWidth="1"/>
    <col min="20" max="20" style="118" width="9.8515625" hidden="1" customWidth="1"/>
    <col min="21" max="21" style="118" width="7.00390625" hidden="1" customWidth="1"/>
    <col min="22" max="23" style="118" width="6.140625" hidden="1" customWidth="1"/>
    <col min="24" max="24" style="118" width="5.57421875" hidden="1" customWidth="1"/>
    <col min="25" max="25" style="118" width="5.8515625" hidden="1" customWidth="1"/>
    <col min="26" max="26" style="118" width="5.28125" hidden="1" customWidth="1"/>
    <col min="27" max="27" style="118" width="3.00390625" customWidth="1"/>
    <col min="28" max="28" style="118" width="11.00390625" customWidth="1"/>
    <col min="29" max="29" style="118" width="43.43359375" customWidth="1"/>
    <col min="30" max="34" style="118" width="15.7109375" customWidth="1"/>
    <col min="35" max="35" style="118" width="12.57421875" customWidth="1"/>
    <col min="36" max="44" style="118" width="12.57421875" hidden="1" customWidth="1"/>
    <col min="45" max="45" style="118" width="12.57421875" customWidth="1"/>
    <col min="46" max="54" style="118" width="12.57421875" hidden="1" customWidth="1"/>
    <col min="55" max="55" style="118" width="20.00390625" customWidth="1"/>
    <col min="56" max="56" style="118" width="3.00390625" customWidth="1"/>
    <col min="57" max="57" style="118" width="8.7109375" hidden="1"/>
    <col min="58" max="60" style="1025" width="8.7109375" hidden="1"/>
    <col min="61" max="62" style="658" width="8.7109375" hidden="1"/>
  </cols>
  <sheetData>
    <row customHeight="1" ht="11.25" hidden="1">
      <c r="E1" s="118"/>
      <c r="F1" s="118" t="s">
        <v>313</v>
      </c>
      <c r="G1" s="118" t="s">
        <v>324</v>
      </c>
      <c r="H1" s="118" t="s">
        <v>351</v>
      </c>
      <c r="T1" s="439" t="s">
        <v>92</v>
      </c>
      <c r="U1" s="439" t="s">
        <v>97</v>
      </c>
      <c r="V1" s="439" t="s">
        <v>93</v>
      </c>
      <c r="W1" s="439" t="s">
        <v>94</v>
      </c>
      <c r="X1" s="439" t="s">
        <v>95</v>
      </c>
      <c r="Y1" s="441" t="s">
        <v>315</v>
      </c>
      <c r="Z1" s="439" t="s">
        <v>99</v>
      </c>
      <c r="AA1" s="441" t="s">
        <v>96</v>
      </c>
      <c r="AB1" s="51"/>
      <c r="AC1" s="440" t="s">
        <v>98</v>
      </c>
      <c r="AI1" s="118"/>
      <c r="AJ1" s="118"/>
      <c r="AK1" s="118"/>
      <c r="AL1" s="118"/>
      <c r="AM1" s="118"/>
      <c r="AN1" s="118"/>
      <c r="AO1" s="118"/>
      <c r="AP1" s="118"/>
      <c r="AQ1" s="118"/>
      <c r="AR1" s="118"/>
      <c r="AS1" s="118"/>
      <c r="AT1" s="118"/>
      <c r="AU1" s="118"/>
      <c r="AV1" s="118"/>
      <c r="AW1" s="118"/>
      <c r="AX1" s="118"/>
      <c r="AY1" s="118"/>
      <c r="AZ1" s="118"/>
      <c r="BA1" s="118"/>
      <c r="BB1" s="118"/>
      <c r="BF1" s="1025" t="s">
        <v>316</v>
      </c>
      <c r="BG1" s="1025" t="s">
        <v>317</v>
      </c>
      <c r="BH1" s="1025" t="s">
        <v>318</v>
      </c>
      <c r="BI1" s="658" t="s">
        <v>321</v>
      </c>
      <c r="BJ1" s="658" t="s">
        <v>322</v>
      </c>
    </row>
    <row s="413" customFormat="1" customHeight="1" ht="11.25" hidden="1">
      <c r="B2" s="419" t="s">
        <v>18</v>
      </c>
      <c r="K2" s="894"/>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6"/>
      <c r="BG2" s="1026"/>
      <c r="BH2" s="1026"/>
      <c r="BI2" s="1029"/>
      <c r="BJ2" s="1029"/>
    </row>
    <row customHeight="1" ht="11.25" hidden="1">
      <c r="E3" s="118"/>
      <c r="AI3" s="118"/>
      <c r="AJ3" s="118"/>
      <c r="AK3" s="118"/>
      <c r="AL3" s="118"/>
      <c r="AM3" s="118"/>
      <c r="AN3" s="118"/>
      <c r="AO3" s="118"/>
      <c r="AP3" s="118"/>
      <c r="AQ3" s="118"/>
      <c r="AR3" s="118"/>
      <c r="AS3" s="118"/>
      <c r="AT3" s="118"/>
      <c r="AU3" s="118"/>
      <c r="AV3" s="118"/>
      <c r="AW3" s="118"/>
      <c r="AX3" s="118"/>
      <c r="AY3" s="118"/>
      <c r="AZ3" s="118"/>
      <c r="BA3" s="118"/>
      <c r="BB3" s="118"/>
    </row>
    <row customHeight="1" ht="11.25" hidden="1">
      <c r="E4" s="118"/>
      <c r="AI4" s="118"/>
      <c r="AJ4" s="118"/>
      <c r="AK4" s="118"/>
      <c r="AL4" s="118"/>
      <c r="AM4" s="118"/>
      <c r="AN4" s="118"/>
      <c r="AO4" s="118"/>
      <c r="AP4" s="118"/>
      <c r="AQ4" s="118"/>
      <c r="AR4" s="118"/>
      <c r="AS4" s="118"/>
      <c r="AT4" s="118"/>
      <c r="AU4" s="118"/>
      <c r="AV4" s="118"/>
      <c r="AW4" s="118"/>
      <c r="AX4" s="118"/>
      <c r="AY4" s="118"/>
      <c r="AZ4" s="118"/>
      <c r="BA4" s="118"/>
      <c r="BB4" s="118"/>
    </row>
    <row s="658" customFormat="1" customHeight="1" ht="11.25" hidden="1">
      <c r="A5" s="118"/>
      <c r="B5" s="413"/>
      <c r="C5" s="118"/>
      <c r="D5" s="118"/>
      <c r="E5" s="658" t="s">
        <v>19</v>
      </c>
      <c r="K5" s="895"/>
      <c r="AA5" s="658">
        <v>3</v>
      </c>
      <c r="AB5" s="658">
        <v>11</v>
      </c>
      <c r="AC5" s="658">
        <v>43.43</v>
      </c>
      <c r="AD5" s="658">
        <v>15.71</v>
      </c>
      <c r="AE5" s="658">
        <v>15.71</v>
      </c>
      <c r="AF5" s="658">
        <v>15.71</v>
      </c>
      <c r="AG5" s="658">
        <v>15.71</v>
      </c>
      <c r="AH5" s="658">
        <v>15.71</v>
      </c>
      <c r="AI5" s="658">
        <v>12.57</v>
      </c>
      <c r="AJ5" s="658">
        <v>12.57</v>
      </c>
      <c r="AK5" s="658">
        <v>12.57</v>
      </c>
      <c r="AL5" s="658">
        <v>12.57</v>
      </c>
      <c r="AM5" s="658">
        <v>12.57</v>
      </c>
      <c r="AN5" s="658">
        <v>12.57</v>
      </c>
      <c r="AO5" s="658">
        <v>12.57</v>
      </c>
      <c r="AP5" s="658">
        <v>12.57</v>
      </c>
      <c r="AQ5" s="658">
        <v>12.57</v>
      </c>
      <c r="AR5" s="658">
        <v>12.57</v>
      </c>
      <c r="AS5" s="658">
        <v>12.57</v>
      </c>
      <c r="AT5" s="658">
        <v>12.57</v>
      </c>
      <c r="AU5" s="658">
        <v>12.57</v>
      </c>
      <c r="AV5" s="658">
        <v>12.57</v>
      </c>
      <c r="AW5" s="658">
        <v>12.57</v>
      </c>
      <c r="AX5" s="658">
        <v>12.57</v>
      </c>
      <c r="AY5" s="658">
        <v>12.57</v>
      </c>
      <c r="AZ5" s="658">
        <v>12.57</v>
      </c>
      <c r="BA5" s="658">
        <v>12.57</v>
      </c>
      <c r="BB5" s="658">
        <v>12.57</v>
      </c>
      <c r="BC5" s="658">
        <v>20</v>
      </c>
      <c r="BD5" s="658">
        <v>3</v>
      </c>
      <c r="BF5" s="1025"/>
      <c r="BG5" s="1025"/>
      <c r="BH5" s="1025"/>
    </row>
    <row customHeight="1" ht="11.25" hidden="1">
      <c r="A6" s="118" t="s">
        <v>354</v>
      </c>
      <c r="AE6" s="118">
        <f>god-2</f>
        <v>2024</v>
      </c>
      <c r="AF6" s="118">
        <f>god-2</f>
        <v>2024</v>
      </c>
      <c r="AG6" s="118">
        <f>god-2</f>
        <v>2024</v>
      </c>
      <c r="AH6" s="118">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8" t="s">
        <v>355</v>
      </c>
      <c r="AE7" s="118" cm="1" t="str">
        <f t="array" ref="AE7:AE7">AE25</f>
        <v>Принято органом регулирования</v>
      </c>
      <c r="AF7" s="118" cm="1" t="str">
        <f t="array" ref="AF7:AF7">AF25</f>
        <v>Факт по данным организации</v>
      </c>
      <c r="AG7" s="118" cm="1" t="str">
        <f t="array" ref="AG7:AG7">AG25</f>
        <v>Факт, принятый органом регулирования</v>
      </c>
      <c r="AH7" s="118" cm="1" t="str">
        <f t="array" ref="AH7:AH7">AH25</f>
        <v>Принято органом регулирования</v>
      </c>
      <c r="AI7" s="118" cm="1" t="str">
        <f t="array" ref="AI7:AI7">AI25</f>
        <v>Предложение организации</v>
      </c>
      <c r="AJ7" s="118" cm="1" t="str">
        <f t="array" ref="AJ7:AJ7">AJ25</f>
        <v>Предложение организации</v>
      </c>
      <c r="AK7" s="118" cm="1" t="str">
        <f t="array" ref="AK7:AK7">AK25</f>
        <v>Предложение организации</v>
      </c>
      <c r="AL7" s="118" cm="1" t="str">
        <f t="array" ref="AL7:AL7">AL25</f>
        <v>Предложение организации</v>
      </c>
      <c r="AM7" s="118" cm="1" t="str">
        <f t="array" ref="AM7:AM7">AM25</f>
        <v>Предложение организации</v>
      </c>
      <c r="AN7" s="118" cm="1" t="str">
        <f t="array" ref="AN7:AN7">AN25</f>
        <v>Предложение организации</v>
      </c>
      <c r="AO7" s="118" cm="1" t="str">
        <f t="array" ref="AO7:AO7">AO25</f>
        <v>Предложение организации</v>
      </c>
      <c r="AP7" s="118" cm="1" t="str">
        <f t="array" ref="AP7:AP7">AP25</f>
        <v>Предложение организации</v>
      </c>
      <c r="AQ7" s="118" cm="1" t="str">
        <f t="array" ref="AQ7:AQ7">AQ25</f>
        <v>Предложение организации</v>
      </c>
      <c r="AR7" s="118" cm="1" t="str">
        <f t="array" ref="AR7:AR7">AR25</f>
        <v>Предложение организации</v>
      </c>
      <c r="AS7" s="118" cm="1" t="str">
        <f t="array" ref="AS7:AS7">AS25</f>
        <v>Принято органом регулирования</v>
      </c>
      <c r="AT7" s="118" cm="1" t="str">
        <f t="array" ref="AT7:AT7">AT25</f>
        <v>Принято органом регулирования</v>
      </c>
      <c r="AU7" s="118" cm="1" t="str">
        <f t="array" ref="AU7:AU7">AU25</f>
        <v>Принято органом регулирования</v>
      </c>
      <c r="AV7" s="118" cm="1" t="str">
        <f t="array" ref="AV7:AV7">AV25</f>
        <v>Принято органом регулирования</v>
      </c>
      <c r="AW7" s="118" cm="1" t="str">
        <f t="array" ref="AW7:AW7">AW25</f>
        <v>Принято органом регулирования</v>
      </c>
      <c r="AX7" s="118" cm="1" t="str">
        <f t="array" ref="AX7:AX7">AX25</f>
        <v>Принято органом регулирования</v>
      </c>
      <c r="AY7" s="118" cm="1" t="str">
        <f t="array" ref="AY7:AY7">AY25</f>
        <v>Принято органом регулирования</v>
      </c>
      <c r="AZ7" s="118" cm="1" t="str">
        <f t="array" ref="AZ7:AZ7">AZ25</f>
        <v>Принято органом регулирования</v>
      </c>
      <c r="BA7" s="118" cm="1" t="str">
        <f t="array" ref="BA7:BA7">BA25</f>
        <v>Принято органом регулирования</v>
      </c>
      <c r="BB7" s="118" cm="1" t="str">
        <f t="array" ref="BB7:BB7">BB25</f>
        <v>Принято органом регулирования</v>
      </c>
    </row>
    <row customHeight="1" ht="11.25" hidden="1">
      <c r="AI8" s="118"/>
      <c r="AJ8" s="118"/>
      <c r="AK8" s="118"/>
      <c r="AL8" s="118"/>
      <c r="AM8" s="118"/>
      <c r="AN8" s="118"/>
      <c r="AO8" s="118"/>
      <c r="AP8" s="118"/>
      <c r="AQ8" s="118"/>
      <c r="AR8" s="118"/>
      <c r="AS8" s="118"/>
      <c r="AT8" s="118"/>
      <c r="AU8" s="118"/>
      <c r="AV8" s="118"/>
      <c r="AW8" s="118"/>
      <c r="AX8" s="118"/>
      <c r="AY8" s="118"/>
      <c r="AZ8" s="118"/>
      <c r="BA8" s="118"/>
      <c r="BB8" s="118"/>
    </row>
    <row s="1025" customFormat="1" customHeight="1" ht="11.25" hidden="1">
      <c r="A9" s="1025" t="s">
        <v>359</v>
      </c>
      <c r="B9" s="1026"/>
      <c r="K9" s="1027"/>
      <c r="AE9" s="1025" cm="1" t="str">
        <f t="array" ref="AE9:AE9">AE6</f>
        <v>2024</v>
      </c>
      <c r="AF9" s="1025" cm="1" t="str">
        <f t="array" ref="AF9:AF9">AF6</f>
        <v>2024</v>
      </c>
      <c r="AG9" s="1025" cm="1" t="str">
        <f t="array" ref="AG9:AG9">AG6</f>
        <v>2024</v>
      </c>
      <c r="AH9" s="1025" cm="1" t="str">
        <f t="array" ref="AH9:AH9">AH6</f>
        <v>2025</v>
      </c>
      <c r="AI9" s="1025" cm="1" t="str">
        <f t="array" ref="AI9:AI9">AI6</f>
        <v>2026</v>
      </c>
      <c r="AJ9" s="1025" cm="1" t="str">
        <f t="array" ref="AJ9:AJ9">AJ6</f>
        <v>2027</v>
      </c>
      <c r="AK9" s="1025" cm="1" t="str">
        <f t="array" ref="AK9:AK9">AK6</f>
        <v>2028</v>
      </c>
      <c r="AL9" s="1025" cm="1" t="str">
        <f t="array" ref="AL9:AL9">AL6</f>
        <v>2029</v>
      </c>
      <c r="AM9" s="1025" cm="1" t="str">
        <f t="array" ref="AM9:AM9">AM6</f>
        <v>2030</v>
      </c>
      <c r="AN9" s="1025" cm="1" t="str">
        <f t="array" ref="AN9:AN9">AN6</f>
        <v>2031</v>
      </c>
      <c r="AO9" s="1025" cm="1" t="str">
        <f t="array" ref="AO9:AO9">AO6</f>
        <v>2032</v>
      </c>
      <c r="AP9" s="1025" cm="1" t="str">
        <f t="array" ref="AP9:AP9">AP6</f>
        <v>2033</v>
      </c>
      <c r="AQ9" s="1025" cm="1" t="str">
        <f t="array" ref="AQ9:AQ9">AQ6</f>
        <v>2034</v>
      </c>
      <c r="AR9" s="1025" cm="1" t="str">
        <f t="array" ref="AR9:AR9">AR6</f>
        <v>2035</v>
      </c>
      <c r="AS9" s="1025" cm="1" t="str">
        <f t="array" ref="AS9:AS9">AS6</f>
        <v>2026</v>
      </c>
      <c r="AT9" s="1025" cm="1" t="str">
        <f t="array" ref="AT9:AT9">AT6</f>
        <v>2027</v>
      </c>
      <c r="AU9" s="1025" cm="1" t="str">
        <f t="array" ref="AU9:AU9">AU6</f>
        <v>2028</v>
      </c>
      <c r="AV9" s="1025" cm="1" t="str">
        <f t="array" ref="AV9:AV9">AV6</f>
        <v>2029</v>
      </c>
      <c r="AW9" s="1025" cm="1" t="str">
        <f t="array" ref="AW9:AW9">AW6</f>
        <v>2030</v>
      </c>
      <c r="AX9" s="1025" cm="1" t="str">
        <f t="array" ref="AX9:AX9">AX6</f>
        <v>2031</v>
      </c>
      <c r="AY9" s="1025" cm="1" t="str">
        <f t="array" ref="AY9:AY9">AY6</f>
        <v>2032</v>
      </c>
      <c r="AZ9" s="1025" cm="1" t="str">
        <f t="array" ref="AZ9:AZ9">AZ6</f>
        <v>2033</v>
      </c>
      <c r="BA9" s="1025" cm="1" t="str">
        <f t="array" ref="BA9:BA9">BA6</f>
        <v>2034</v>
      </c>
      <c r="BB9" s="1025" cm="1" t="str">
        <f t="array" ref="BB9:BB9">BB6</f>
        <v>2035</v>
      </c>
      <c r="BI9" s="658"/>
      <c r="BJ9" s="658"/>
    </row>
    <row s="1025" customFormat="1" customHeight="1" ht="11.25" hidden="1">
      <c r="A10" s="1025" t="s">
        <v>360</v>
      </c>
      <c r="B10" s="1026"/>
      <c r="K10" s="1027"/>
      <c r="AE10" s="1025" cm="1" t="str">
        <f t="array" ref="AE10:AE10">AE25</f>
        <v>Принято органом регулирования</v>
      </c>
      <c r="AF10" s="1025" cm="1" t="str">
        <f t="array" ref="AF10:AF10">AF25</f>
        <v>Факт по данным организации</v>
      </c>
      <c r="AG10" s="1025" cm="1" t="str">
        <f t="array" ref="AG10:AG10">AG25</f>
        <v>Факт, принятый органом регулирования</v>
      </c>
      <c r="AH10" s="1025" cm="1" t="str">
        <f t="array" ref="AH10:AH10">AH25</f>
        <v>Принято органом регулирования</v>
      </c>
      <c r="AI10" s="1025" cm="1" t="str">
        <f t="array" ref="AI10:AI10">AI25</f>
        <v>Предложение организации</v>
      </c>
      <c r="AJ10" s="1025" cm="1" t="str">
        <f t="array" ref="AJ10:AJ10">AJ25</f>
        <v>Предложение организации</v>
      </c>
      <c r="AK10" s="1025" cm="1" t="str">
        <f t="array" ref="AK10:AK10">AK25</f>
        <v>Предложение организации</v>
      </c>
      <c r="AL10" s="1025" cm="1" t="str">
        <f t="array" ref="AL10:AL10">AL25</f>
        <v>Предложение организации</v>
      </c>
      <c r="AM10" s="1025" cm="1" t="str">
        <f t="array" ref="AM10:AM10">AM25</f>
        <v>Предложение организации</v>
      </c>
      <c r="AN10" s="1025" cm="1" t="str">
        <f t="array" ref="AN10:AN10">AN25</f>
        <v>Предложение организации</v>
      </c>
      <c r="AO10" s="1025" cm="1" t="str">
        <f t="array" ref="AO10:AO10">AO25</f>
        <v>Предложение организации</v>
      </c>
      <c r="AP10" s="1025" cm="1" t="str">
        <f t="array" ref="AP10:AP10">AP25</f>
        <v>Предложение организации</v>
      </c>
      <c r="AQ10" s="1025" cm="1" t="str">
        <f t="array" ref="AQ10:AQ10">AQ25</f>
        <v>Предложение организации</v>
      </c>
      <c r="AR10" s="1025" cm="1" t="str">
        <f t="array" ref="AR10:AR10">AR25</f>
        <v>Предложение организации</v>
      </c>
      <c r="AS10" s="1025" cm="1" t="str">
        <f t="array" ref="AS10:AS10">AS25</f>
        <v>Принято органом регулирования</v>
      </c>
      <c r="AT10" s="1025" cm="1" t="str">
        <f t="array" ref="AT10:AT10">AT25</f>
        <v>Принято органом регулирования</v>
      </c>
      <c r="AU10" s="1025" cm="1" t="str">
        <f t="array" ref="AU10:AU10">AU25</f>
        <v>Принято органом регулирования</v>
      </c>
      <c r="AV10" s="1025" cm="1" t="str">
        <f t="array" ref="AV10:AV10">AV25</f>
        <v>Принято органом регулирования</v>
      </c>
      <c r="AW10" s="1025" cm="1" t="str">
        <f t="array" ref="AW10:AW10">AW25</f>
        <v>Принято органом регулирования</v>
      </c>
      <c r="AX10" s="1025" cm="1" t="str">
        <f t="array" ref="AX10:AX10">AX25</f>
        <v>Принято органом регулирования</v>
      </c>
      <c r="AY10" s="1025" cm="1" t="str">
        <f t="array" ref="AY10:AY10">AY25</f>
        <v>Принято органом регулирования</v>
      </c>
      <c r="AZ10" s="1025" cm="1" t="str">
        <f t="array" ref="AZ10:AZ10">AZ25</f>
        <v>Принято органом регулирования</v>
      </c>
      <c r="BA10" s="1025" cm="1" t="str">
        <f t="array" ref="BA10:BA10">BA25</f>
        <v>Принято органом регулирования</v>
      </c>
      <c r="BB10" s="1025" cm="1" t="str">
        <f t="array" ref="BB10:BB10">BB25</f>
        <v>Принято органом регулирования</v>
      </c>
      <c r="BI10" s="658"/>
      <c r="BJ10" s="658"/>
    </row>
    <row s="1025" customFormat="1" customHeight="1" ht="11.25" hidden="1">
      <c r="A11" s="1025" t="s">
        <v>361</v>
      </c>
      <c r="B11" s="1026"/>
      <c r="K11" s="1027"/>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m="1" t="str">
        <f t="array" ref="BC11:BC11">BC24</f>
        <v>Ссылка на правовую норму (основание для принятия показателя в расчет тарифа)</v>
      </c>
      <c r="BI11" s="658"/>
      <c r="BJ11" s="658"/>
    </row>
    <row s="1025" customFormat="1" customHeight="1" ht="11.25" hidden="1">
      <c r="A12" s="1025" t="s">
        <v>331</v>
      </c>
      <c r="B12" s="1026"/>
      <c r="K12" s="1027"/>
      <c r="AC12" s="1025" t="s">
        <v>318</v>
      </c>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I12" s="658"/>
      <c r="BJ12" s="658"/>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8"/>
      <c r="AJ17" s="118"/>
      <c r="AK17" s="118"/>
      <c r="AL17" s="118"/>
      <c r="AM17" s="118"/>
      <c r="AN17" s="118"/>
      <c r="AO17" s="118"/>
      <c r="AP17" s="118"/>
      <c r="AQ17" s="118"/>
      <c r="AR17" s="118"/>
      <c r="AS17" s="118"/>
      <c r="AT17" s="118"/>
      <c r="AU17" s="118"/>
      <c r="AV17" s="118"/>
      <c r="AW17" s="118"/>
      <c r="AX17" s="118"/>
      <c r="AY17" s="118"/>
      <c r="AZ17" s="118"/>
      <c r="BA17" s="118"/>
      <c r="BB17" s="118"/>
    </row>
    <row customHeight="1" ht="11.25" hidden="1">
      <c r="A18" s="118" t="s">
        <v>332</v>
      </c>
      <c r="AC18" s="118" t="s">
        <v>993</v>
      </c>
      <c r="AI18" s="118"/>
      <c r="AJ18" s="118"/>
      <c r="AK18" s="118"/>
      <c r="AL18" s="118"/>
      <c r="AM18" s="118"/>
      <c r="AN18" s="118"/>
      <c r="AO18" s="118"/>
      <c r="AP18" s="118"/>
      <c r="AQ18" s="118"/>
      <c r="AR18" s="118"/>
      <c r="AS18" s="118"/>
      <c r="AT18" s="118"/>
      <c r="AU18" s="118"/>
      <c r="AV18" s="118"/>
      <c r="AW18" s="118"/>
      <c r="AX18" s="118"/>
      <c r="AY18" s="118"/>
      <c r="AZ18" s="118"/>
      <c r="BA18" s="118"/>
      <c r="BB18" s="118"/>
    </row>
    <row customHeight="1" ht="11.25" hidden="1">
      <c r="AI19" s="118"/>
      <c r="AJ19" s="118"/>
      <c r="AK19" s="118"/>
      <c r="AL19" s="118"/>
      <c r="AM19" s="118"/>
      <c r="AN19" s="118"/>
      <c r="AO19" s="118"/>
      <c r="AP19" s="118"/>
      <c r="AQ19" s="118"/>
      <c r="AR19" s="118"/>
      <c r="AS19" s="118"/>
      <c r="AT19" s="118"/>
      <c r="AU19" s="118"/>
      <c r="AV19" s="118"/>
      <c r="AW19" s="118"/>
      <c r="AX19" s="118"/>
      <c r="AY19" s="118"/>
      <c r="AZ19" s="118"/>
      <c r="BA19" s="118"/>
      <c r="BB19" s="118"/>
    </row>
    <row customHeight="1" ht="11.25" hidden="1">
      <c r="AI20" s="118"/>
      <c r="AJ20" s="118"/>
      <c r="AK20" s="118"/>
      <c r="AL20" s="118"/>
      <c r="AM20" s="118"/>
      <c r="AN20" s="118"/>
      <c r="AO20" s="118"/>
      <c r="AP20" s="118"/>
      <c r="AQ20" s="118"/>
      <c r="AR20" s="118"/>
      <c r="AS20" s="118"/>
      <c r="AT20" s="118"/>
      <c r="AU20" s="118"/>
      <c r="AV20" s="118"/>
      <c r="AW20" s="118"/>
      <c r="AX20" s="118"/>
      <c r="AY20" s="118"/>
      <c r="AZ20" s="118"/>
      <c r="BA20" s="118"/>
      <c r="BB20" s="118"/>
    </row>
    <row customHeight="1" ht="14.625">
      <c r="E21" s="658">
        <v>15</v>
      </c>
      <c r="AA21" s="637"/>
      <c r="AC21" s="50" cm="1" t="str">
        <f t="array" ref="AC21:AC21">tpl_title</f>
        <v>Кемеровская область / 2026 / Филиал АО "УК "Кузбассразрезуголь" "Талдинский угольный разрез" (ИНН:4205049090, КПП:423802002) / ДПР: 2024-2028</v>
      </c>
      <c r="AI21" s="118"/>
      <c r="AJ21" s="118"/>
      <c r="AK21" s="118"/>
      <c r="AL21" s="118"/>
      <c r="AM21" s="118"/>
      <c r="AN21" s="118"/>
      <c r="AO21" s="118"/>
      <c r="AP21" s="118"/>
      <c r="AQ21" s="118"/>
      <c r="AR21" s="118"/>
      <c r="AS21" s="118"/>
      <c r="AT21" s="118"/>
      <c r="AU21" s="118"/>
      <c r="AV21" s="118"/>
      <c r="AW21" s="118"/>
      <c r="AX21" s="118"/>
      <c r="AY21" s="118"/>
      <c r="AZ21" s="118"/>
      <c r="BA21" s="118"/>
      <c r="BB21" s="118"/>
    </row>
    <row customHeight="1" ht="19.5">
      <c r="E22" s="658">
        <v>20</v>
      </c>
      <c r="AB22" s="286" t="s">
        <v>59</v>
      </c>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75"/>
    </row>
    <row customHeight="1" ht="10.96875">
      <c r="E23" s="658">
        <v>11.25</v>
      </c>
      <c r="AB23" s="119"/>
      <c r="AC23" s="120"/>
      <c r="AD23" s="120"/>
      <c r="AE23" s="120"/>
      <c r="AF23" s="120"/>
      <c r="AG23" s="120"/>
      <c r="AH23" s="120"/>
      <c r="AI23" s="120"/>
      <c r="AJ23" s="120"/>
      <c r="AK23" s="120"/>
      <c r="AL23" s="120"/>
      <c r="AM23" s="120"/>
      <c r="AN23" s="120"/>
      <c r="AO23" s="120"/>
      <c r="AP23" s="120"/>
      <c r="AQ23" s="120"/>
      <c r="AR23" s="120"/>
      <c r="AS23" s="120"/>
      <c r="AT23" s="121"/>
      <c r="AU23" s="121"/>
      <c r="AV23" s="121"/>
      <c r="AW23" s="121"/>
      <c r="AX23" s="121"/>
      <c r="AY23" s="121"/>
      <c r="AZ23" s="121"/>
      <c r="BA23" s="121"/>
      <c r="BB23" s="121"/>
    </row>
    <row customHeight="1" ht="14.625">
      <c r="E24" s="658">
        <v>15</v>
      </c>
      <c r="AB24" s="1485" t="s">
        <v>766</v>
      </c>
      <c r="AC24" s="1537" t="s">
        <v>194</v>
      </c>
      <c r="AD24" s="1485" t="s">
        <v>363</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507</v>
      </c>
    </row>
    <row customHeight="1" ht="48.75">
      <c r="E25" s="658">
        <v>50</v>
      </c>
      <c r="AB25" s="1552"/>
      <c r="AC25" s="1552"/>
      <c r="AD25" s="1552"/>
      <c r="AE25" s="58" t="s">
        <v>356</v>
      </c>
      <c r="AF25" s="1103" t="s">
        <v>431</v>
      </c>
      <c r="AG25" s="58" t="s">
        <v>432</v>
      </c>
      <c r="AH25" s="58" t="s">
        <v>356</v>
      </c>
      <c r="AI25" s="1107" t="s">
        <v>357</v>
      </c>
      <c r="AJ25" s="1107" t="s">
        <v>357</v>
      </c>
      <c r="AK25" s="1107" t="s">
        <v>357</v>
      </c>
      <c r="AL25" s="1107" t="s">
        <v>357</v>
      </c>
      <c r="AM25" s="1107" t="s">
        <v>357</v>
      </c>
      <c r="AN25" s="1107" t="s">
        <v>357</v>
      </c>
      <c r="AO25" s="1107" t="s">
        <v>357</v>
      </c>
      <c r="AP25" s="1107" t="s">
        <v>357</v>
      </c>
      <c r="AQ25" s="1107" t="s">
        <v>357</v>
      </c>
      <c r="AR25" s="1107" t="s">
        <v>357</v>
      </c>
      <c r="AS25" s="327" t="s">
        <v>356</v>
      </c>
      <c r="AT25" s="327" t="s">
        <v>356</v>
      </c>
      <c r="AU25" s="327" t="s">
        <v>356</v>
      </c>
      <c r="AV25" s="327" t="s">
        <v>356</v>
      </c>
      <c r="AW25" s="327" t="s">
        <v>356</v>
      </c>
      <c r="AX25" s="327" t="s">
        <v>356</v>
      </c>
      <c r="AY25" s="327" t="s">
        <v>356</v>
      </c>
      <c r="AZ25" s="327" t="s">
        <v>356</v>
      </c>
      <c r="BA25" s="327" t="s">
        <v>356</v>
      </c>
      <c r="BB25" s="327" t="s">
        <v>356</v>
      </c>
      <c r="BC25" s="1552"/>
    </row>
    <row s="1621" customFormat="1" customHeight="1" ht="11.25" hidden="1">
      <c r="A26" s="473"/>
      <c r="B26" s="638"/>
      <c r="C26" s="473"/>
      <c r="D26" s="473"/>
      <c r="E26" s="639">
        <v>0</v>
      </c>
      <c r="F26" s="634" t="s">
        <v>994</v>
      </c>
      <c r="G26" s="473"/>
      <c r="H26" s="473"/>
      <c r="I26" s="456"/>
      <c r="J26" s="473"/>
      <c r="K26" s="896"/>
      <c r="L26" s="456"/>
      <c r="M26" s="473"/>
      <c r="N26" s="473"/>
      <c r="O26" s="473"/>
      <c r="P26" s="473"/>
      <c r="Q26" s="473"/>
      <c r="R26" s="473"/>
      <c r="S26" s="473"/>
      <c r="T26" s="473"/>
      <c r="U26" s="473"/>
      <c r="V26" s="473"/>
      <c r="W26" s="473"/>
      <c r="X26" s="473"/>
      <c r="Y26" s="473"/>
      <c r="Z26" s="473"/>
      <c r="AA26" s="473"/>
      <c r="AB26" s="473"/>
      <c r="AC26" s="66"/>
      <c r="AD26" s="66"/>
      <c r="AE26" s="66"/>
      <c r="AF26" s="66"/>
      <c r="AI26" s="1621"/>
      <c r="AJ26" s="1621"/>
      <c r="AK26" s="1621"/>
      <c r="AL26" s="1621"/>
      <c r="AM26" s="1621"/>
      <c r="AN26" s="1621"/>
      <c r="AO26" s="1621"/>
      <c r="AP26" s="1621"/>
      <c r="AQ26" s="67"/>
      <c r="AR26" s="1621"/>
      <c r="AS26" s="1621"/>
      <c r="AT26" s="1621"/>
      <c r="AU26" s="1621"/>
      <c r="AV26" s="1621"/>
      <c r="AW26" s="1621"/>
      <c r="AX26" s="1621"/>
      <c r="AY26" s="1621"/>
      <c r="AZ26" s="1621"/>
      <c r="BA26" s="1621"/>
      <c r="BB26" s="1621"/>
      <c r="BF26" s="987"/>
      <c r="BG26" s="987"/>
      <c r="BH26" s="987"/>
      <c r="BI26" s="603"/>
      <c r="BJ26" s="603"/>
    </row>
    <row customHeight="1" ht="14.625" hidden="1">
      <c r="A27" s="118"/>
      <c r="B27" s="413"/>
      <c r="C27" s="118"/>
      <c r="D27" s="118"/>
      <c r="E27" s="658">
        <v>15</v>
      </c>
      <c r="F27" s="64" cm="1" t="str">
        <f t="array" ref="F27:F27">X27</f>
        <v>0</v>
      </c>
      <c r="G27" s="118"/>
      <c r="H27" s="118"/>
      <c r="I27" s="867" t="s">
        <v>995</v>
      </c>
      <c r="J27" s="118"/>
      <c r="K27" s="893"/>
      <c r="L27" s="118"/>
      <c r="M27" s="118"/>
      <c r="N27" s="118"/>
      <c r="O27" s="118"/>
      <c r="P27" s="118"/>
      <c r="Q27" s="118"/>
      <c r="R27" s="118"/>
      <c r="S27" s="118"/>
      <c r="T27" s="439">
        <f>X27&gt;0</f>
        <v>0</v>
      </c>
      <c r="U27" s="118"/>
      <c r="V27" s="118" t="s">
        <v>261</v>
      </c>
      <c r="W27" s="118"/>
      <c r="X27" s="1443">
        <v>0</v>
      </c>
      <c r="Y27" s="660"/>
      <c r="Z27" s="1549"/>
      <c r="AA27" s="118"/>
      <c r="AB27" s="189" cm="1" t="str">
        <f t="array" ref="AB27:AB27">INDEX('Общие сведения'!$AG$179:$AG$222,MATCH($X27,'Общие сведения'!$Z$179:$Z$222,0))</f>
        <v>Тариф 0 () - </v>
      </c>
      <c r="AC27" s="147"/>
      <c r="AD27" s="147"/>
      <c r="AE27" s="273">
        <f>AE33+AE38+AE43+AE48+AE28+AE53+AE54+AE55+AE56</f>
        <v>0</v>
      </c>
      <c r="AF27" s="273">
        <f>AF33+AF38+AF43+AF48+AF28+AF53+AF54+AF55+AF56</f>
        <v>0</v>
      </c>
      <c r="AG27" s="273">
        <f>AG33+AG38+AG43+AG48+AG28+AG53+AG54+AG55+AG56</f>
        <v>0</v>
      </c>
      <c r="AH27" s="273">
        <f>AH33+AH38+AH43+AH48+AH28+AH53+AH54+AH55+AH56</f>
        <v>0</v>
      </c>
      <c r="AI27" s="273">
        <f>AI33+AI38+AI43+AI48+AI28+AI53+AI54+AI55+AI56</f>
        <v>0</v>
      </c>
      <c r="AJ27" s="273">
        <f>AJ33+AJ38+AJ43+AJ48+AJ28+AJ53+AJ54+AJ55+AJ56</f>
        <v>0</v>
      </c>
      <c r="AK27" s="273">
        <f>AK33+AK38+AK43+AK48+AK28+AK53+AK54+AK55+AK56</f>
        <v>0</v>
      </c>
      <c r="AL27" s="273">
        <f>AL33+AL38+AL43+AL48+AL28+AL53+AL54+AL55+AL56</f>
        <v>0</v>
      </c>
      <c r="AM27" s="273">
        <f>AM33+AM38+AM43+AM48+AM28+AM53+AM54+AM55+AM56</f>
        <v>0</v>
      </c>
      <c r="AN27" s="273">
        <f>AN33+AN38+AN43+AN48+AN28+AN53+AN54+AN55+AN56</f>
        <v>0</v>
      </c>
      <c r="AO27" s="273">
        <f>AO33+AO38+AO43+AO48+AO28+AO53+AO54+AO55+AO56</f>
        <v>0</v>
      </c>
      <c r="AP27" s="273">
        <f>AP33+AP38+AP43+AP48+AP28+AP53+AP54+AP55+AP56</f>
        <v>0</v>
      </c>
      <c r="AQ27" s="273">
        <f>AQ33+AQ38+AQ43+AQ48+AQ28+AQ53+AQ54+AQ55+AQ56</f>
        <v>0</v>
      </c>
      <c r="AR27" s="273">
        <f>AR33+AR38+AR43+AR48+AR28+AR53+AR54+AR55+AR56</f>
        <v>0</v>
      </c>
      <c r="AS27" s="273">
        <f>AS33+AS38+AS43+AS48+AS28+AS53+AS54+AS55+AS56</f>
        <v>0</v>
      </c>
      <c r="AT27" s="273">
        <f>AT33+AT38+AT43+AT48+AT28+AT53+AT54+AT55+AT56</f>
        <v>0</v>
      </c>
      <c r="AU27" s="273">
        <f>AU33+AU38+AU43+AU48+AU28+AU53+AU54+AU55+AU56</f>
        <v>0</v>
      </c>
      <c r="AV27" s="273">
        <f>AV33+AV38+AV43+AV48+AV28+AV53+AV54+AV55+AV56</f>
        <v>0</v>
      </c>
      <c r="AW27" s="273">
        <f>AW33+AW38+AW43+AW48+AW28+AW53+AW54+AW55+AW56</f>
        <v>0</v>
      </c>
      <c r="AX27" s="273">
        <f>AX33+AX38+AX43+AX48+AX28+AX53+AX54+AX55+AX56</f>
        <v>0</v>
      </c>
      <c r="AY27" s="273">
        <f>AY33+AY38+AY43+AY48+AY28+AY53+AY54+AY55+AY56</f>
        <v>0</v>
      </c>
      <c r="AZ27" s="273">
        <f>AZ33+AZ38+AZ43+AZ48+AZ28+AZ53+AZ54+AZ55+AZ56</f>
        <v>0</v>
      </c>
      <c r="BA27" s="273">
        <f>BA33+BA38+BA43+BA48+BA28+BA53+BA54+BA55+BA56</f>
        <v>0</v>
      </c>
      <c r="BB27" s="273">
        <f>BB33+BB38+BB43+BB48+BB28+BB53+BB54+BB55+BB56</f>
        <v>0</v>
      </c>
      <c r="BC27" s="191"/>
      <c r="BD27" s="118"/>
      <c r="BE27" s="118"/>
      <c r="BF27" s="1025"/>
      <c r="BG27" s="1025"/>
      <c r="BH27" s="1025"/>
      <c r="BI27" s="658"/>
      <c r="BJ27" s="658"/>
    </row>
    <row customHeight="1" ht="14.625" hidden="1">
      <c r="A28" s="118"/>
      <c r="B28" s="413"/>
      <c r="C28" s="118"/>
      <c r="D28" s="118"/>
      <c r="E28" s="658">
        <v>15</v>
      </c>
      <c r="F28" s="50" cm="1" t="str">
        <f t="array" ref="F28:F28">OFFSET(E28,-1,1)</f>
        <v>0</v>
      </c>
      <c r="G28" s="118" t="s">
        <v>325</v>
      </c>
      <c r="H28" s="118"/>
      <c r="I28" s="118"/>
      <c r="J28" s="118"/>
      <c r="K28" s="893" t="str">
        <f>F28&amp;"1komm"</f>
        <v>01komm</v>
      </c>
      <c r="L28" s="897" cm="1" t="str">
        <f t="array" ref="L28:L28">BC28</f>
        <v>0</v>
      </c>
      <c r="M28" s="118"/>
      <c r="N28" s="118"/>
      <c r="O28" s="118"/>
      <c r="P28" s="118"/>
      <c r="Q28" s="118"/>
      <c r="R28" s="118"/>
      <c r="S28" s="118"/>
      <c r="T28" s="439" cm="1" t="str">
        <f t="array" ref="T28:T28">T27</f>
        <v>false</v>
      </c>
      <c r="U28" s="118"/>
      <c r="V28" s="118"/>
      <c r="W28" s="118"/>
      <c r="X28" s="1443"/>
      <c r="Y28" s="118"/>
      <c r="Z28" s="1549"/>
      <c r="AA28" s="118"/>
      <c r="AB28" s="178">
        <v>1</v>
      </c>
      <c r="AC28" s="179" t="s">
        <v>996</v>
      </c>
      <c r="AD28" s="178" t="s">
        <v>784</v>
      </c>
      <c r="AE28" s="180">
        <f>SUMIF(AD30:AD32,AD28,AE30:AE32)</f>
        <v>0</v>
      </c>
      <c r="AF28" s="180">
        <f>SUMIF(AD30:AD32,AD28,AF30:AF32)</f>
        <v>0</v>
      </c>
      <c r="AG28" s="180">
        <f>SUMIF(AD30:AD32,AD28,AG30:AG32)</f>
        <v>0</v>
      </c>
      <c r="AH28" s="180">
        <f>SUMIF(AD30:AD32,AD28,AH30:AH32)</f>
        <v>0</v>
      </c>
      <c r="AI28" s="180">
        <f>SUMIF(AD30:AD32,AD28,AI30:AI32)</f>
        <v>0</v>
      </c>
      <c r="AJ28" s="2730">
        <f>SUMIF(AD30:AD32,AD28,AJ30:AJ32)</f>
        <v>0</v>
      </c>
      <c r="AK28" s="2730">
        <f>SUMIF(AD30:AD32,AD28,AK30:AK32)</f>
        <v>0</v>
      </c>
      <c r="AL28" s="2730">
        <f>SUMIF(AD30:AD32,AD28,AL30:AL32)</f>
        <v>0</v>
      </c>
      <c r="AM28" s="2730">
        <f>SUMIF(AD30:AD32,AD28,AM30:AM32)</f>
        <v>0</v>
      </c>
      <c r="AN28" s="2730">
        <f>SUMIF(AD30:AD32,AD28,AN30:AN32)</f>
        <v>0</v>
      </c>
      <c r="AO28" s="2730">
        <f>SUMIF(AD30:AD32,AD28,AO30:AO32)</f>
        <v>0</v>
      </c>
      <c r="AP28" s="2730">
        <f>SUMIF(AD30:AD32,AD28,AP30:AP32)</f>
        <v>0</v>
      </c>
      <c r="AQ28" s="2730">
        <f>SUMIF(AD30:AD32,AD28,AQ30:AQ32)</f>
        <v>0</v>
      </c>
      <c r="AR28" s="2730">
        <f>SUMIF(AD30:AD32,AD28,AR30:AR32)</f>
        <v>0</v>
      </c>
      <c r="AS28" s="180">
        <f>SUMIF(AD30:AD32,AD28,AS30:AS32)</f>
        <v>0</v>
      </c>
      <c r="AT28" s="2730">
        <f>SUMIF(AD30:AD32,AD28,AT30:AT32)</f>
        <v>0</v>
      </c>
      <c r="AU28" s="2730">
        <f>SUMIF(AD30:AD32,AD28,AU30:AU32)</f>
        <v>0</v>
      </c>
      <c r="AV28" s="2730">
        <f>SUMIF(AD30:AD32,AD28,AV30:AV32)</f>
        <v>0</v>
      </c>
      <c r="AW28" s="2730">
        <f>SUMIF(AD30:AD32,AD28,AW30:AW32)</f>
        <v>0</v>
      </c>
      <c r="AX28" s="2730">
        <f>SUMIF(AD30:AD32,AD28,AX30:AX32)</f>
        <v>0</v>
      </c>
      <c r="AY28" s="2730">
        <f>SUMIF(AD30:AD32,AD28,AY30:AY32)</f>
        <v>0</v>
      </c>
      <c r="AZ28" s="2730">
        <f>SUMIF(AD30:AD32,AD28,AZ30:AZ32)</f>
        <v>0</v>
      </c>
      <c r="BA28" s="2730">
        <f>SUMIF(AD30:AD32,AD28,BA30:BA32)</f>
        <v>0</v>
      </c>
      <c r="BB28" s="2730">
        <f>SUMIF(AD30:AD32,AD28,BB30:BB32)</f>
        <v>0</v>
      </c>
      <c r="BC28" s="1887"/>
      <c r="BD28" s="118"/>
      <c r="BE28" s="118"/>
      <c r="BF28" s="1025" t="s">
        <v>997</v>
      </c>
      <c r="BG28" s="1025"/>
      <c r="BH28" s="1025"/>
      <c r="BI28" s="658"/>
      <c r="BJ28" s="658"/>
    </row>
    <row customHeight="1" ht="15" hidden="1">
      <c r="A29" s="118"/>
      <c r="B29" s="413"/>
      <c r="C29" s="118"/>
      <c r="D29" s="118"/>
      <c r="E29" s="658">
        <v>0</v>
      </c>
      <c r="F29" s="50" cm="1" t="str">
        <f t="array" ref="F29:F29">OFFSET(E29,-1,1)</f>
        <v>0</v>
      </c>
      <c r="G29" s="118"/>
      <c r="H29" s="118"/>
      <c r="I29" s="118"/>
      <c r="J29" s="118"/>
      <c r="K29" s="893"/>
      <c r="L29" s="897"/>
      <c r="M29" s="118"/>
      <c r="N29" s="118"/>
      <c r="O29" s="118"/>
      <c r="P29" s="118"/>
      <c r="Q29" s="118"/>
      <c r="R29" s="118"/>
      <c r="S29" s="118"/>
      <c r="T29" s="439" t="b">
        <v>0</v>
      </c>
      <c r="U29" s="118"/>
      <c r="V29" s="118"/>
      <c r="W29" s="118" t="s">
        <v>173</v>
      </c>
      <c r="X29" s="1443"/>
      <c r="Y29" s="1443">
        <v>0</v>
      </c>
      <c r="Z29" s="1549"/>
      <c r="AA29" s="1550" t="s">
        <v>174</v>
      </c>
      <c r="AB29" s="178"/>
      <c r="AC29" s="179"/>
      <c r="AD29" s="178"/>
      <c r="AE29" s="183">
        <f>OR(AND(AE30&lt;&gt;"",AE31=""),AND(AE30="",AE31&lt;&gt;""))</f>
        <v>0</v>
      </c>
      <c r="AF29" s="183">
        <f>OR(AND(AF30&lt;&gt;"",AF31=""),AND(AF30="",AF31&lt;&gt;""))</f>
        <v>0</v>
      </c>
      <c r="AG29" s="183">
        <f>OR(AND(AG30&lt;&gt;"",AG31=""),AND(AG30="",AG31&lt;&gt;""))</f>
        <v>0</v>
      </c>
      <c r="AH29" s="183">
        <f>OR(AND(AH30&lt;&gt;"",AH31=""),AND(AH30="",AH31&lt;&gt;""))</f>
        <v>0</v>
      </c>
      <c r="AI29" s="183">
        <f>OR(AND(AI30&lt;&gt;"",AI31=""),AND(AI30="",AI31&lt;&gt;""))</f>
        <v>0</v>
      </c>
      <c r="AJ29" s="183">
        <f>OR(AND(AJ30&lt;&gt;"",AJ31=""),AND(AJ30="",AJ31&lt;&gt;""))</f>
        <v>0</v>
      </c>
      <c r="AK29" s="183">
        <f>OR(AND(AK30&lt;&gt;"",AK31=""),AND(AK30="",AK31&lt;&gt;""))</f>
        <v>0</v>
      </c>
      <c r="AL29" s="183">
        <f>OR(AND(AL30&lt;&gt;"",AL31=""),AND(AL30="",AL31&lt;&gt;""))</f>
        <v>0</v>
      </c>
      <c r="AM29" s="183">
        <f>OR(AND(AM30&lt;&gt;"",AM31=""),AND(AM30="",AM31&lt;&gt;""))</f>
        <v>0</v>
      </c>
      <c r="AN29" s="183">
        <f>OR(AND(AN30&lt;&gt;"",AN31=""),AND(AN30="",AN31&lt;&gt;""))</f>
        <v>0</v>
      </c>
      <c r="AO29" s="183">
        <f>OR(AND(AO30&lt;&gt;"",AO31=""),AND(AO30="",AO31&lt;&gt;""))</f>
        <v>0</v>
      </c>
      <c r="AP29" s="183">
        <f>OR(AND(AP30&lt;&gt;"",AP31=""),AND(AP30="",AP31&lt;&gt;""))</f>
        <v>0</v>
      </c>
      <c r="AQ29" s="183">
        <f>OR(AND(AQ30&lt;&gt;"",AQ31=""),AND(AQ30="",AQ31&lt;&gt;""))</f>
        <v>0</v>
      </c>
      <c r="AR29" s="183">
        <f>OR(AND(AR30&lt;&gt;"",AR31=""),AND(AR30="",AR31&lt;&gt;""))</f>
        <v>0</v>
      </c>
      <c r="AS29" s="183">
        <f>OR(AND(AS30&lt;&gt;"",AS31=""),AND(AS30="",AS31&lt;&gt;""))</f>
        <v>0</v>
      </c>
      <c r="AT29" s="183">
        <f>OR(AND(AT30&lt;&gt;"",AT31=""),AND(AT30="",AT31&lt;&gt;""))</f>
        <v>0</v>
      </c>
      <c r="AU29" s="183">
        <f>OR(AND(AU30&lt;&gt;"",AU31=""),AND(AU30="",AU31&lt;&gt;""))</f>
        <v>0</v>
      </c>
      <c r="AV29" s="183">
        <f>OR(AND(AV30&lt;&gt;"",AV31=""),AND(AV30="",AV31&lt;&gt;""))</f>
        <v>0</v>
      </c>
      <c r="AW29" s="183">
        <f>OR(AND(AW30&lt;&gt;"",AW31=""),AND(AW30="",AW31&lt;&gt;""))</f>
        <v>0</v>
      </c>
      <c r="AX29" s="183">
        <f>OR(AND(AX30&lt;&gt;"",AX31=""),AND(AX30="",AX31&lt;&gt;""))</f>
        <v>0</v>
      </c>
      <c r="AY29" s="183">
        <f>OR(AND(AY30&lt;&gt;"",AY31=""),AND(AY30="",AY31&lt;&gt;""))</f>
        <v>0</v>
      </c>
      <c r="AZ29" s="183">
        <f>OR(AND(AZ30&lt;&gt;"",AZ31=""),AND(AZ30="",AZ31&lt;&gt;""))</f>
        <v>0</v>
      </c>
      <c r="BA29" s="183">
        <f>OR(AND(BA30&lt;&gt;"",BA31=""),AND(BA30="",BA31&lt;&gt;""))</f>
        <v>0</v>
      </c>
      <c r="BB29" s="183">
        <f>OR(AND(BB30&lt;&gt;"",BB31=""),AND(BB30="",BB31&lt;&gt;""))</f>
        <v>0</v>
      </c>
      <c r="BC29" s="957"/>
      <c r="BD29" s="118"/>
      <c r="BE29" s="118"/>
      <c r="BF29" s="1025"/>
      <c r="BG29" s="1025"/>
      <c r="BH29" s="1025"/>
      <c r="BI29" s="658"/>
      <c r="BJ29" s="658"/>
    </row>
    <row customHeight="1" ht="14.625" hidden="1">
      <c r="A30" s="118"/>
      <c r="B30" s="413"/>
      <c r="C30" s="118"/>
      <c r="D30" s="118"/>
      <c r="E30" s="658">
        <v>15</v>
      </c>
      <c r="F30" s="50" cm="1" t="str">
        <f t="array" ref="F30:F30">OFFSET(E30,-1,1)</f>
        <v>0</v>
      </c>
      <c r="G30" s="118" t="s">
        <v>325</v>
      </c>
      <c r="H30" s="121" cm="1" t="str">
        <f t="array" ref="H30:H30">AC30</f>
        <v>0</v>
      </c>
      <c r="I30" s="118" t="s">
        <v>998</v>
      </c>
      <c r="J30" s="118"/>
      <c r="K30" s="893"/>
      <c r="L30" s="118"/>
      <c r="M30" s="118"/>
      <c r="N30" s="118"/>
      <c r="O30" s="118"/>
      <c r="P30" s="118"/>
      <c r="Q30" s="118"/>
      <c r="R30" s="118"/>
      <c r="S30" s="118"/>
      <c r="T30" s="439">
        <f>AND(F30&gt;0,Y29&gt;0)</f>
        <v>0</v>
      </c>
      <c r="U30" s="118"/>
      <c r="V30" s="118"/>
      <c r="W30" s="118"/>
      <c r="X30" s="1443"/>
      <c r="Y30" s="1443"/>
      <c r="Z30" s="1549"/>
      <c r="AA30" s="1550"/>
      <c r="AB30" s="54" t="str">
        <f>"1."&amp;Y29</f>
        <v>1.0</v>
      </c>
      <c r="AC30" s="241"/>
      <c r="AD30" s="178" t="s">
        <v>784</v>
      </c>
      <c r="AE30" s="2614"/>
      <c r="AF30" s="2614"/>
      <c r="AG30" s="2614"/>
      <c r="AH30" s="2614"/>
      <c r="AI30" s="182"/>
      <c r="AJ30" s="2614"/>
      <c r="AK30" s="2614"/>
      <c r="AL30" s="2614"/>
      <c r="AM30" s="2614"/>
      <c r="AN30" s="2614"/>
      <c r="AO30" s="2614"/>
      <c r="AP30" s="2614"/>
      <c r="AQ30" s="2614"/>
      <c r="AR30" s="2614"/>
      <c r="AS30" s="182"/>
      <c r="AT30" s="2614"/>
      <c r="AU30" s="2614"/>
      <c r="AV30" s="2614"/>
      <c r="AW30" s="2614"/>
      <c r="AX30" s="2614"/>
      <c r="AY30" s="2614"/>
      <c r="AZ30" s="2614"/>
      <c r="BA30" s="2614"/>
      <c r="BB30" s="2614"/>
      <c r="BC30" s="1887"/>
      <c r="BD30" s="118"/>
      <c r="BE30" s="118"/>
      <c r="BF30" s="1025" t="s">
        <v>999</v>
      </c>
      <c r="BG30" s="1025" t="s">
        <v>1000</v>
      </c>
      <c r="BH30" s="1025" cm="1" t="str">
        <f t="array" ref="BH30:BH30">AC30</f>
        <v>0</v>
      </c>
      <c r="BI30" s="658"/>
      <c r="BJ30" s="658" t="b">
        <v>1</v>
      </c>
    </row>
    <row customHeight="1" ht="14.625" hidden="1">
      <c r="A31" s="118"/>
      <c r="B31" s="413"/>
      <c r="C31" s="118"/>
      <c r="D31" s="118"/>
      <c r="E31" s="658">
        <v>15</v>
      </c>
      <c r="F31" s="50" cm="1" t="str">
        <f t="array" ref="F31:F31">OFFSET(E31,-1,1)</f>
        <v>0</v>
      </c>
      <c r="G31" s="118" t="s">
        <v>441</v>
      </c>
      <c r="H31" s="121" cm="1" t="str">
        <f t="array" ref="H31:H31">H30</f>
        <v>0</v>
      </c>
      <c r="I31" s="118" t="s">
        <v>998</v>
      </c>
      <c r="J31" s="118"/>
      <c r="K31" s="893"/>
      <c r="L31" s="118"/>
      <c r="M31" s="118"/>
      <c r="N31" s="118"/>
      <c r="O31" s="118"/>
      <c r="P31" s="118"/>
      <c r="Q31" s="118"/>
      <c r="R31" s="118"/>
      <c r="S31" s="118"/>
      <c r="T31" s="439" cm="1" t="str">
        <f t="array" ref="T31:T31">T30</f>
        <v>false</v>
      </c>
      <c r="U31" s="118"/>
      <c r="V31" s="118"/>
      <c r="W31" s="118"/>
      <c r="X31" s="1443"/>
      <c r="Y31" s="1443"/>
      <c r="Z31" s="1549"/>
      <c r="AA31" s="1550"/>
      <c r="AB31" s="54" t="str">
        <f>AB30&amp;".1"</f>
        <v>1.0.1</v>
      </c>
      <c r="AC31" s="188" t="s">
        <v>1001</v>
      </c>
      <c r="AD31" s="54" t="s">
        <v>512</v>
      </c>
      <c r="AE31" s="2614"/>
      <c r="AF31" s="2614"/>
      <c r="AG31" s="2614"/>
      <c r="AH31" s="2614"/>
      <c r="AI31" s="182"/>
      <c r="AJ31" s="2614"/>
      <c r="AK31" s="2614"/>
      <c r="AL31" s="2614"/>
      <c r="AM31" s="2614"/>
      <c r="AN31" s="2614"/>
      <c r="AO31" s="2614"/>
      <c r="AP31" s="2614"/>
      <c r="AQ31" s="2614"/>
      <c r="AR31" s="2614"/>
      <c r="AS31" s="182"/>
      <c r="AT31" s="2614"/>
      <c r="AU31" s="2614"/>
      <c r="AV31" s="2614"/>
      <c r="AW31" s="2614"/>
      <c r="AX31" s="2614"/>
      <c r="AY31" s="2614"/>
      <c r="AZ31" s="2614"/>
      <c r="BA31" s="2614"/>
      <c r="BB31" s="2614"/>
      <c r="BC31" s="1887"/>
      <c r="BD31" s="118"/>
      <c r="BE31" s="118"/>
      <c r="BF31" s="1025" t="s">
        <v>1002</v>
      </c>
      <c r="BG31" s="1025" t="s">
        <v>1000</v>
      </c>
      <c r="BH31" s="1025" cm="1" t="str">
        <f t="array" ref="BH31:BH31">BH30</f>
        <v>0</v>
      </c>
      <c r="BI31" s="658"/>
      <c r="BJ31" s="658"/>
    </row>
    <row customHeight="1" ht="14.625" hidden="1">
      <c r="A32" s="118"/>
      <c r="B32" s="413"/>
      <c r="C32" s="118"/>
      <c r="D32" s="118"/>
      <c r="E32" s="658">
        <v>15</v>
      </c>
      <c r="F32" s="50" cm="1" t="str">
        <f t="array" ref="F32:F32">OFFSET(E32,-1,1)</f>
        <v>0</v>
      </c>
      <c r="G32" s="118"/>
      <c r="H32" s="118" t="str">
        <f>"!=='не определено' &amp;&amp; row.l1 !== null"</f>
        <v>!=='не определено' &amp;&amp; row.l1 !== null</v>
      </c>
      <c r="I32" s="118"/>
      <c r="J32" s="118"/>
      <c r="K32" s="893"/>
      <c r="L32" s="118"/>
      <c r="M32" s="118"/>
      <c r="N32" s="118"/>
      <c r="O32" s="118"/>
      <c r="P32" s="118"/>
      <c r="Q32" s="118"/>
      <c r="R32" s="118"/>
      <c r="S32" s="118"/>
      <c r="T32" s="439">
        <f>F32&gt;0</f>
        <v>0</v>
      </c>
      <c r="U32" s="118"/>
      <c r="V32" s="118"/>
      <c r="W32" s="665" t="s">
        <v>1003</v>
      </c>
      <c r="X32" s="1443"/>
      <c r="Y32" s="118"/>
      <c r="Z32" s="1549"/>
      <c r="AA32" s="118"/>
      <c r="AB32" s="661"/>
      <c r="AC32" s="199" t="s">
        <v>1004</v>
      </c>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200"/>
      <c r="BD32" s="118"/>
      <c r="BE32" s="118"/>
      <c r="BF32" s="1025"/>
      <c r="BG32" s="1025"/>
      <c r="BH32" s="1025"/>
      <c r="BI32" s="658" t="s">
        <v>1000</v>
      </c>
      <c r="BJ32" s="658"/>
    </row>
    <row customHeight="1" ht="21.9375" hidden="1">
      <c r="A33" s="118"/>
      <c r="B33" s="413"/>
      <c r="C33" s="118"/>
      <c r="D33" s="118"/>
      <c r="E33" s="658">
        <v>22.5</v>
      </c>
      <c r="F33" s="50" cm="1" t="str">
        <f t="array" ref="F33:F33">OFFSET(E33,-1,1)</f>
        <v>0</v>
      </c>
      <c r="G33" s="118"/>
      <c r="H33" s="118"/>
      <c r="I33" s="118"/>
      <c r="J33" s="118"/>
      <c r="K33" s="893" t="str">
        <f>F28&amp;"2komm"</f>
        <v>02komm</v>
      </c>
      <c r="L33" s="897" cm="1" t="str">
        <f t="array" ref="L33:L33">BC33</f>
        <v>0</v>
      </c>
      <c r="M33" s="118"/>
      <c r="N33" s="118"/>
      <c r="O33" s="118"/>
      <c r="P33" s="118"/>
      <c r="Q33" s="118"/>
      <c r="R33" s="118"/>
      <c r="S33" s="118"/>
      <c r="T33" s="439" cm="1" t="str">
        <f t="array" ref="T33:T33">T32</f>
        <v>false</v>
      </c>
      <c r="U33" s="118"/>
      <c r="V33" s="118"/>
      <c r="W33" s="118"/>
      <c r="X33" s="1443"/>
      <c r="Y33" s="664"/>
      <c r="Z33" s="1549"/>
      <c r="AA33" s="118"/>
      <c r="AB33" s="178">
        <v>2</v>
      </c>
      <c r="AC33" s="179" t="s">
        <v>1005</v>
      </c>
      <c r="AD33" s="178" t="s">
        <v>784</v>
      </c>
      <c r="AE33" s="180">
        <f>SUMIF(AD35:AD37,AD33,AE35:AE37)</f>
        <v>0</v>
      </c>
      <c r="AF33" s="180">
        <f>SUMIF(AD35:AD37,AD33,AF35:AF37)</f>
        <v>0</v>
      </c>
      <c r="AG33" s="180">
        <f>SUMIF(AD35:AD37,AD33,AG35:AG37)</f>
        <v>0</v>
      </c>
      <c r="AH33" s="180">
        <f>SUMIF(AD35:AD37,AD33,AH35:AH37)</f>
        <v>0</v>
      </c>
      <c r="AI33" s="180">
        <f>SUMIF(AD35:AD37,AD33,AI35:AI37)</f>
        <v>0</v>
      </c>
      <c r="AJ33" s="2730">
        <f>SUMIF(AD35:AD37,AD33,AJ35:AJ37)</f>
        <v>0</v>
      </c>
      <c r="AK33" s="2730">
        <f>SUMIF(AD35:AD37,AD33,AK35:AK37)</f>
        <v>0</v>
      </c>
      <c r="AL33" s="2730">
        <f>SUMIF(AD35:AD37,AD33,AL35:AL37)</f>
        <v>0</v>
      </c>
      <c r="AM33" s="2730">
        <f>SUMIF(AD35:AD37,AD33,AM35:AM37)</f>
        <v>0</v>
      </c>
      <c r="AN33" s="2730">
        <f>SUMIF(AD35:AD37,AD33,AN35:AN37)</f>
        <v>0</v>
      </c>
      <c r="AO33" s="2730">
        <f>SUMIF(AD35:AD37,AD33,AO35:AO37)</f>
        <v>0</v>
      </c>
      <c r="AP33" s="2730">
        <f>SUMIF(AD35:AD37,AD33,AP35:AP37)</f>
        <v>0</v>
      </c>
      <c r="AQ33" s="2730">
        <f>SUMIF(AD35:AD37,AD33,AQ35:AQ37)</f>
        <v>0</v>
      </c>
      <c r="AR33" s="2730">
        <f>SUMIF(AD35:AD37,AD33,AR35:AR37)</f>
        <v>0</v>
      </c>
      <c r="AS33" s="180">
        <f>SUMIF(AD35:AD37,AD33,AS35:AS37)</f>
        <v>0</v>
      </c>
      <c r="AT33" s="2730">
        <f>SUMIF(AD35:AD37,AD33,AT35:AT37)</f>
        <v>0</v>
      </c>
      <c r="AU33" s="2730">
        <f>SUMIF(AD35:AD37,AD33,AU35:AU37)</f>
        <v>0</v>
      </c>
      <c r="AV33" s="2730">
        <f>SUMIF(AD35:AD37,AD33,AV35:AV37)</f>
        <v>0</v>
      </c>
      <c r="AW33" s="2730">
        <f>SUMIF(AD35:AD37,AD33,AW35:AW37)</f>
        <v>0</v>
      </c>
      <c r="AX33" s="2730">
        <f>SUMIF(AD35:AD37,AD33,AX35:AX37)</f>
        <v>0</v>
      </c>
      <c r="AY33" s="2730">
        <f>SUMIF(AD35:AD37,AD33,AY35:AY37)</f>
        <v>0</v>
      </c>
      <c r="AZ33" s="2730">
        <f>SUMIF(AD35:AD37,AD33,AZ35:AZ37)</f>
        <v>0</v>
      </c>
      <c r="BA33" s="2730">
        <f>SUMIF(AD35:AD37,AD33,BA35:BA37)</f>
        <v>0</v>
      </c>
      <c r="BB33" s="2730">
        <f>SUMIF(AD35:AD37,AD33,BB35:BB37)</f>
        <v>0</v>
      </c>
      <c r="BC33" s="1887"/>
      <c r="BD33" s="118"/>
      <c r="BE33" s="118"/>
      <c r="BF33" s="1025" t="s">
        <v>1006</v>
      </c>
      <c r="BG33" s="1025"/>
      <c r="BH33" s="1025"/>
      <c r="BI33" s="658"/>
      <c r="BJ33" s="658"/>
    </row>
    <row customHeight="1" ht="15" hidden="1">
      <c r="A34" s="118"/>
      <c r="B34" s="413"/>
      <c r="C34" s="118"/>
      <c r="D34" s="118"/>
      <c r="E34" s="658">
        <v>0</v>
      </c>
      <c r="F34" s="50" cm="1" t="str">
        <f t="array" ref="F34:F34">OFFSET(E34,-1,1)</f>
        <v>0</v>
      </c>
      <c r="G34" s="118" t="s">
        <v>326</v>
      </c>
      <c r="H34" s="118"/>
      <c r="I34" s="118"/>
      <c r="J34" s="118"/>
      <c r="K34" s="893"/>
      <c r="L34" s="897"/>
      <c r="M34" s="118"/>
      <c r="N34" s="118"/>
      <c r="O34" s="118"/>
      <c r="P34" s="118"/>
      <c r="Q34" s="118"/>
      <c r="R34" s="118"/>
      <c r="S34" s="118"/>
      <c r="T34" s="439" t="b">
        <v>0</v>
      </c>
      <c r="U34" s="118"/>
      <c r="V34" s="118"/>
      <c r="W34" s="118" t="s">
        <v>173</v>
      </c>
      <c r="X34" s="1443"/>
      <c r="Y34" s="1443">
        <v>0</v>
      </c>
      <c r="Z34" s="1549"/>
      <c r="AA34" s="1551" t="s">
        <v>174</v>
      </c>
      <c r="AB34" s="178"/>
      <c r="AC34" s="179"/>
      <c r="AD34" s="178"/>
      <c r="AE34" s="183">
        <f>OR(AND(AE35&lt;&gt;"",AE36=""),AND(AE35="",AE36&lt;&gt;""))</f>
        <v>0</v>
      </c>
      <c r="AF34" s="183">
        <f>OR(AND(AF35&lt;&gt;"",AF36=""),AND(AF35="",AF36&lt;&gt;""))</f>
        <v>0</v>
      </c>
      <c r="AG34" s="183">
        <f>OR(AND(AG35&lt;&gt;"",AG36=""),AND(AG35="",AG36&lt;&gt;""))</f>
        <v>0</v>
      </c>
      <c r="AH34" s="183">
        <f>OR(AND(AH35&lt;&gt;"",AH36=""),AND(AH35="",AH36&lt;&gt;""))</f>
        <v>0</v>
      </c>
      <c r="AI34" s="183">
        <f>OR(AND(AI35&lt;&gt;"",AI36=""),AND(AI35="",AI36&lt;&gt;""))</f>
        <v>0</v>
      </c>
      <c r="AJ34" s="183">
        <f>OR(AND(AJ35&lt;&gt;"",AJ36=""),AND(AJ35="",AJ36&lt;&gt;""))</f>
        <v>0</v>
      </c>
      <c r="AK34" s="183">
        <f>OR(AND(AK35&lt;&gt;"",AK36=""),AND(AK35="",AK36&lt;&gt;""))</f>
        <v>0</v>
      </c>
      <c r="AL34" s="183">
        <f>OR(AND(AL35&lt;&gt;"",AL36=""),AND(AL35="",AL36&lt;&gt;""))</f>
        <v>0</v>
      </c>
      <c r="AM34" s="183">
        <f>OR(AND(AM35&lt;&gt;"",AM36=""),AND(AM35="",AM36&lt;&gt;""))</f>
        <v>0</v>
      </c>
      <c r="AN34" s="183">
        <f>OR(AND(AN35&lt;&gt;"",AN36=""),AND(AN35="",AN36&lt;&gt;""))</f>
        <v>0</v>
      </c>
      <c r="AO34" s="183">
        <f>OR(AND(AO35&lt;&gt;"",AO36=""),AND(AO35="",AO36&lt;&gt;""))</f>
        <v>0</v>
      </c>
      <c r="AP34" s="183">
        <f>OR(AND(AP35&lt;&gt;"",AP36=""),AND(AP35="",AP36&lt;&gt;""))</f>
        <v>0</v>
      </c>
      <c r="AQ34" s="183">
        <f>OR(AND(AQ35&lt;&gt;"",AQ36=""),AND(AQ35="",AQ36&lt;&gt;""))</f>
        <v>0</v>
      </c>
      <c r="AR34" s="183">
        <f>OR(AND(AR35&lt;&gt;"",AR36=""),AND(AR35="",AR36&lt;&gt;""))</f>
        <v>0</v>
      </c>
      <c r="AS34" s="183">
        <f>OR(AND(AS35&lt;&gt;"",AS36=""),AND(AS35="",AS36&lt;&gt;""))</f>
        <v>0</v>
      </c>
      <c r="AT34" s="183">
        <f>OR(AND(AT35&lt;&gt;"",AT36=""),AND(AT35="",AT36&lt;&gt;""))</f>
        <v>0</v>
      </c>
      <c r="AU34" s="183">
        <f>OR(AND(AU35&lt;&gt;"",AU36=""),AND(AU35="",AU36&lt;&gt;""))</f>
        <v>0</v>
      </c>
      <c r="AV34" s="183">
        <f>OR(AND(AV35&lt;&gt;"",AV36=""),AND(AV35="",AV36&lt;&gt;""))</f>
        <v>0</v>
      </c>
      <c r="AW34" s="183">
        <f>OR(AND(AW35&lt;&gt;"",AW36=""),AND(AW35="",AW36&lt;&gt;""))</f>
        <v>0</v>
      </c>
      <c r="AX34" s="183">
        <f>OR(AND(AX35&lt;&gt;"",AX36=""),AND(AX35="",AX36&lt;&gt;""))</f>
        <v>0</v>
      </c>
      <c r="AY34" s="183">
        <f>OR(AND(AY35&lt;&gt;"",AY36=""),AND(AY35="",AY36&lt;&gt;""))</f>
        <v>0</v>
      </c>
      <c r="AZ34" s="183">
        <f>OR(AND(AZ35&lt;&gt;"",AZ36=""),AND(AZ35="",AZ36&lt;&gt;""))</f>
        <v>0</v>
      </c>
      <c r="BA34" s="183">
        <f>OR(AND(BA35&lt;&gt;"",BA36=""),AND(BA35="",BA36&lt;&gt;""))</f>
        <v>0</v>
      </c>
      <c r="BB34" s="183">
        <f>OR(AND(BB35&lt;&gt;"",BB36=""),AND(BB35="",BB36&lt;&gt;""))</f>
        <v>0</v>
      </c>
      <c r="BC34" s="957"/>
      <c r="BD34" s="118"/>
      <c r="BE34" s="118"/>
      <c r="BF34" s="1025"/>
      <c r="BG34" s="1025"/>
      <c r="BH34" s="1025"/>
      <c r="BI34" s="658"/>
      <c r="BJ34" s="658"/>
    </row>
    <row customHeight="1" ht="14.625" hidden="1">
      <c r="A35" s="118"/>
      <c r="B35" s="413"/>
      <c r="C35" s="118"/>
      <c r="D35" s="118"/>
      <c r="E35" s="658">
        <v>15</v>
      </c>
      <c r="F35" s="50" cm="1" t="str">
        <f t="array" ref="F35:F35">OFFSET(E35,-1,1)</f>
        <v>0</v>
      </c>
      <c r="G35" s="118" t="s">
        <v>326</v>
      </c>
      <c r="H35" s="121" cm="1" t="str">
        <f t="array" ref="H35:H35">AC35</f>
        <v>0</v>
      </c>
      <c r="I35" s="118" t="s">
        <v>1007</v>
      </c>
      <c r="J35" s="118"/>
      <c r="K35" s="893"/>
      <c r="L35" s="118"/>
      <c r="M35" s="118"/>
      <c r="N35" s="118"/>
      <c r="O35" s="118"/>
      <c r="P35" s="118"/>
      <c r="Q35" s="118"/>
      <c r="R35" s="118"/>
      <c r="S35" s="118"/>
      <c r="T35" s="439">
        <f>AND(F35&gt;0,Y34&gt;0)</f>
        <v>0</v>
      </c>
      <c r="U35" s="118"/>
      <c r="V35" s="118"/>
      <c r="W35" s="118"/>
      <c r="X35" s="1443"/>
      <c r="Y35" s="1443"/>
      <c r="Z35" s="1549"/>
      <c r="AA35" s="1551"/>
      <c r="AB35" s="54" t="str">
        <f>"2."&amp;Y34</f>
        <v>2.0</v>
      </c>
      <c r="AC35" s="241"/>
      <c r="AD35" s="178" t="s">
        <v>784</v>
      </c>
      <c r="AE35" s="2614"/>
      <c r="AF35" s="2614"/>
      <c r="AG35" s="2614"/>
      <c r="AH35" s="2614"/>
      <c r="AI35" s="182"/>
      <c r="AJ35" s="2614"/>
      <c r="AK35" s="2614"/>
      <c r="AL35" s="2614"/>
      <c r="AM35" s="2614"/>
      <c r="AN35" s="2614"/>
      <c r="AO35" s="2614"/>
      <c r="AP35" s="2614"/>
      <c r="AQ35" s="2614"/>
      <c r="AR35" s="2614"/>
      <c r="AS35" s="182"/>
      <c r="AT35" s="2614"/>
      <c r="AU35" s="2614"/>
      <c r="AV35" s="2614"/>
      <c r="AW35" s="2614"/>
      <c r="AX35" s="2614"/>
      <c r="AY35" s="2614"/>
      <c r="AZ35" s="2614"/>
      <c r="BA35" s="2614"/>
      <c r="BB35" s="2614"/>
      <c r="BC35" s="1887"/>
      <c r="BD35" s="118"/>
      <c r="BE35" s="118"/>
      <c r="BF35" s="1025" t="s">
        <v>999</v>
      </c>
      <c r="BG35" s="1025" t="s">
        <v>1008</v>
      </c>
      <c r="BH35" s="1025" cm="1" t="str">
        <f t="array" ref="BH35:BH35">AC35</f>
        <v>0</v>
      </c>
      <c r="BI35" s="658"/>
      <c r="BJ35" s="658" t="b">
        <v>1</v>
      </c>
    </row>
    <row customHeight="1" ht="14.625" hidden="1">
      <c r="A36" s="118"/>
      <c r="B36" s="413"/>
      <c r="C36" s="118"/>
      <c r="D36" s="118"/>
      <c r="E36" s="658">
        <v>15</v>
      </c>
      <c r="F36" s="50" cm="1" t="str">
        <f t="array" ref="F36:F36">OFFSET(E36,-1,1)</f>
        <v>0</v>
      </c>
      <c r="G36" s="118" t="s">
        <v>459</v>
      </c>
      <c r="H36" s="121" cm="1" t="str">
        <f t="array" ref="H36:H36">H35</f>
        <v>0</v>
      </c>
      <c r="I36" s="118" t="s">
        <v>1007</v>
      </c>
      <c r="J36" s="118"/>
      <c r="K36" s="893"/>
      <c r="L36" s="118"/>
      <c r="M36" s="118"/>
      <c r="N36" s="118"/>
      <c r="O36" s="118"/>
      <c r="P36" s="118"/>
      <c r="Q36" s="118"/>
      <c r="R36" s="118"/>
      <c r="S36" s="118"/>
      <c r="T36" s="439" cm="1" t="str">
        <f t="array" ref="T36:T36">T35</f>
        <v>false</v>
      </c>
      <c r="U36" s="118"/>
      <c r="V36" s="118"/>
      <c r="W36" s="118"/>
      <c r="X36" s="1443"/>
      <c r="Y36" s="1443"/>
      <c r="Z36" s="1549"/>
      <c r="AA36" s="1551"/>
      <c r="AB36" s="54" t="str">
        <f>AB35&amp;".1"</f>
        <v>2.0.1</v>
      </c>
      <c r="AC36" s="188" t="s">
        <v>1009</v>
      </c>
      <c r="AD36" s="54" t="s">
        <v>512</v>
      </c>
      <c r="AE36" s="2614"/>
      <c r="AF36" s="2614"/>
      <c r="AG36" s="2614"/>
      <c r="AH36" s="2614"/>
      <c r="AI36" s="182"/>
      <c r="AJ36" s="2614"/>
      <c r="AK36" s="2614"/>
      <c r="AL36" s="2614"/>
      <c r="AM36" s="2614"/>
      <c r="AN36" s="2614"/>
      <c r="AO36" s="2614"/>
      <c r="AP36" s="2614"/>
      <c r="AQ36" s="2614"/>
      <c r="AR36" s="2614"/>
      <c r="AS36" s="182"/>
      <c r="AT36" s="2614"/>
      <c r="AU36" s="2614"/>
      <c r="AV36" s="2614"/>
      <c r="AW36" s="2614"/>
      <c r="AX36" s="2614"/>
      <c r="AY36" s="2614"/>
      <c r="AZ36" s="2614"/>
      <c r="BA36" s="2614"/>
      <c r="BB36" s="2614"/>
      <c r="BC36" s="1887"/>
      <c r="BD36" s="118"/>
      <c r="BE36" s="118"/>
      <c r="BF36" s="1025" t="s">
        <v>1002</v>
      </c>
      <c r="BG36" s="1025" t="s">
        <v>1008</v>
      </c>
      <c r="BH36" s="1025" cm="1" t="str">
        <f t="array" ref="BH36:BH36">BH35</f>
        <v>0</v>
      </c>
      <c r="BI36" s="658"/>
      <c r="BJ36" s="658"/>
    </row>
    <row customHeight="1" ht="14.625" hidden="1">
      <c r="A37" s="118"/>
      <c r="B37" s="413"/>
      <c r="C37" s="118"/>
      <c r="D37" s="118"/>
      <c r="E37" s="658">
        <v>15</v>
      </c>
      <c r="F37" s="50" cm="1" t="str">
        <f t="array" ref="F37:F37">OFFSET(E37,-1,1)</f>
        <v>0</v>
      </c>
      <c r="G37" s="118"/>
      <c r="H37" s="118" t="str">
        <f>"!=='не определено' &amp;&amp; row.l2 !== null"</f>
        <v>!=='не определено' &amp;&amp; row.l2 !== null</v>
      </c>
      <c r="I37" s="118"/>
      <c r="J37" s="118"/>
      <c r="K37" s="893"/>
      <c r="L37" s="118"/>
      <c r="M37" s="118"/>
      <c r="N37" s="118"/>
      <c r="O37" s="118"/>
      <c r="P37" s="118"/>
      <c r="Q37" s="118"/>
      <c r="R37" s="118"/>
      <c r="S37" s="118"/>
      <c r="T37" s="439">
        <f>F37&gt;0</f>
        <v>0</v>
      </c>
      <c r="U37" s="118"/>
      <c r="V37" s="118"/>
      <c r="W37" s="665" t="s">
        <v>1003</v>
      </c>
      <c r="X37" s="1443"/>
      <c r="Y37" s="663"/>
      <c r="Z37" s="1549"/>
      <c r="AA37" s="118"/>
      <c r="AB37" s="661"/>
      <c r="AC37" s="199" t="s">
        <v>1004</v>
      </c>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200"/>
      <c r="BD37" s="118"/>
      <c r="BE37" s="118"/>
      <c r="BF37" s="1025"/>
      <c r="BG37" s="1025"/>
      <c r="BH37" s="1025"/>
      <c r="BI37" s="658" t="s">
        <v>1008</v>
      </c>
      <c r="BJ37" s="658"/>
    </row>
    <row customHeight="1" ht="22.425" hidden="1">
      <c r="A38" s="118"/>
      <c r="B38" s="413"/>
      <c r="C38" s="118"/>
      <c r="D38" s="118"/>
      <c r="E38" s="658">
        <v>23</v>
      </c>
      <c r="F38" s="50" cm="1" t="str">
        <f t="array" ref="F38:F38">OFFSET(E38,-1,1)</f>
        <v>0</v>
      </c>
      <c r="G38" s="118"/>
      <c r="H38" s="118"/>
      <c r="I38" s="118"/>
      <c r="J38" s="118"/>
      <c r="K38" s="893" t="str">
        <f>F28&amp;"3komm"</f>
        <v>03komm</v>
      </c>
      <c r="L38" s="897" cm="1" t="str">
        <f t="array" ref="L38:L38">BC38</f>
        <v>0</v>
      </c>
      <c r="M38" s="118"/>
      <c r="N38" s="118"/>
      <c r="O38" s="118"/>
      <c r="P38" s="118"/>
      <c r="Q38" s="118"/>
      <c r="R38" s="118"/>
      <c r="S38" s="118"/>
      <c r="T38" s="439" cm="1" t="str">
        <f t="array" ref="T38:T38">T37</f>
        <v>false</v>
      </c>
      <c r="U38" s="118"/>
      <c r="V38" s="118"/>
      <c r="W38" s="118"/>
      <c r="X38" s="1443"/>
      <c r="Y38" s="664"/>
      <c r="Z38" s="1549"/>
      <c r="AA38" s="118"/>
      <c r="AB38" s="178">
        <v>3</v>
      </c>
      <c r="AC38" s="179" t="s">
        <v>1010</v>
      </c>
      <c r="AD38" s="178" t="s">
        <v>784</v>
      </c>
      <c r="AE38" s="180">
        <f>SUMIF(AD40:AD42,AD38,AE40:AE42)</f>
        <v>0</v>
      </c>
      <c r="AF38" s="180">
        <f>SUMIF(AD40:AD42,AD38,AF40:AF42)</f>
        <v>0</v>
      </c>
      <c r="AG38" s="180">
        <f>SUMIF(AD40:AD42,AD38,AG40:AG42)</f>
        <v>0</v>
      </c>
      <c r="AH38" s="180">
        <f>SUMIF(AD40:AD42,AD38,AH40:AH42)</f>
        <v>0</v>
      </c>
      <c r="AI38" s="180">
        <f>SUMIF(AD40:AD42,AD38,AI40:AI42)</f>
        <v>0</v>
      </c>
      <c r="AJ38" s="2730">
        <f>SUMIF(AD40:AD42,AD38,AJ40:AJ42)</f>
        <v>0</v>
      </c>
      <c r="AK38" s="2730">
        <f>SUMIF(AD40:AD42,AD38,AK40:AK42)</f>
        <v>0</v>
      </c>
      <c r="AL38" s="2730">
        <f>SUMIF(AD40:AD42,AD38,AL40:AL42)</f>
        <v>0</v>
      </c>
      <c r="AM38" s="2730">
        <f>SUMIF(AD40:AD42,AD38,AM40:AM42)</f>
        <v>0</v>
      </c>
      <c r="AN38" s="2730">
        <f>SUMIF(AD40:AD42,AD38,AN40:AN42)</f>
        <v>0</v>
      </c>
      <c r="AO38" s="2730">
        <f>SUMIF(AD40:AD42,AD38,AO40:AO42)</f>
        <v>0</v>
      </c>
      <c r="AP38" s="2730">
        <f>SUMIF(AD40:AD42,AD38,AP40:AP42)</f>
        <v>0</v>
      </c>
      <c r="AQ38" s="2730">
        <f>SUMIF(AD40:AD42,AD38,AQ40:AQ42)</f>
        <v>0</v>
      </c>
      <c r="AR38" s="2730">
        <f>SUMIF(AD40:AD42,AD38,AR40:AR42)</f>
        <v>0</v>
      </c>
      <c r="AS38" s="180">
        <f>SUMIF(AD40:AD42,AD38,AS40:AS42)</f>
        <v>0</v>
      </c>
      <c r="AT38" s="2730">
        <f>SUMIF(AD40:AD42,AD38,AT40:AT42)</f>
        <v>0</v>
      </c>
      <c r="AU38" s="2730">
        <f>SUMIF(AD40:AD42,AD38,AU40:AU42)</f>
        <v>0</v>
      </c>
      <c r="AV38" s="2730">
        <f>SUMIF(AD40:AD42,AD38,AV40:AV42)</f>
        <v>0</v>
      </c>
      <c r="AW38" s="2730">
        <f>SUMIF(AD40:AD42,AD38,AW40:AW42)</f>
        <v>0</v>
      </c>
      <c r="AX38" s="2730">
        <f>SUMIF(AD40:AD42,AD38,AX40:AX42)</f>
        <v>0</v>
      </c>
      <c r="AY38" s="2730">
        <f>SUMIF(AD40:AD42,AD38,AY40:AY42)</f>
        <v>0</v>
      </c>
      <c r="AZ38" s="2730">
        <f>SUMIF(AD40:AD42,AD38,AZ40:AZ42)</f>
        <v>0</v>
      </c>
      <c r="BA38" s="2730">
        <f>SUMIF(AD40:AD42,AD38,BA40:BA42)</f>
        <v>0</v>
      </c>
      <c r="BB38" s="2730">
        <f>SUMIF(AD40:AD42,AD38,BB40:BB42)</f>
        <v>0</v>
      </c>
      <c r="BC38" s="1887"/>
      <c r="BD38" s="118"/>
      <c r="BE38" s="118"/>
      <c r="BF38" s="1025" t="s">
        <v>1011</v>
      </c>
      <c r="BG38" s="1025"/>
      <c r="BH38" s="1025"/>
      <c r="BI38" s="658"/>
      <c r="BJ38" s="658"/>
    </row>
    <row customHeight="1" ht="15" hidden="1">
      <c r="A39" s="118"/>
      <c r="B39" s="413"/>
      <c r="C39" s="118"/>
      <c r="D39" s="118"/>
      <c r="E39" s="658">
        <v>0</v>
      </c>
      <c r="F39" s="50" cm="1" t="str">
        <f t="array" ref="F39:F39">OFFSET(E39,-1,1)</f>
        <v>0</v>
      </c>
      <c r="G39" s="118" t="s">
        <v>327</v>
      </c>
      <c r="H39" s="118"/>
      <c r="I39" s="118"/>
      <c r="J39" s="118"/>
      <c r="K39" s="893"/>
      <c r="L39" s="897"/>
      <c r="M39" s="118"/>
      <c r="N39" s="118"/>
      <c r="O39" s="118"/>
      <c r="P39" s="118"/>
      <c r="Q39" s="118"/>
      <c r="R39" s="118"/>
      <c r="S39" s="118"/>
      <c r="T39" s="439" t="b">
        <v>0</v>
      </c>
      <c r="U39" s="118"/>
      <c r="V39" s="118"/>
      <c r="W39" s="118" t="s">
        <v>173</v>
      </c>
      <c r="X39" s="1443"/>
      <c r="Y39" s="1443">
        <v>0</v>
      </c>
      <c r="Z39" s="1549"/>
      <c r="AA39" s="1551" t="s">
        <v>174</v>
      </c>
      <c r="AB39" s="178"/>
      <c r="AC39" s="179"/>
      <c r="AD39" s="178"/>
      <c r="AE39" s="183">
        <f>OR(AND(AE40&lt;&gt;"",AE41=""),AND(AE40="",AE41&lt;&gt;""))</f>
        <v>0</v>
      </c>
      <c r="AF39" s="183">
        <f>OR(AND(AF40&lt;&gt;"",AF41=""),AND(AF40="",AF41&lt;&gt;""))</f>
        <v>0</v>
      </c>
      <c r="AG39" s="183">
        <f>OR(AND(AG40&lt;&gt;"",AG41=""),AND(AG40="",AG41&lt;&gt;""))</f>
        <v>0</v>
      </c>
      <c r="AH39" s="183">
        <f>OR(AND(AH40&lt;&gt;"",AH41=""),AND(AH40="",AH41&lt;&gt;""))</f>
        <v>0</v>
      </c>
      <c r="AI39" s="183">
        <f>OR(AND(AI40&lt;&gt;"",AI41=""),AND(AI40="",AI41&lt;&gt;""))</f>
        <v>0</v>
      </c>
      <c r="AJ39" s="183">
        <f>OR(AND(AJ40&lt;&gt;"",AJ41=""),AND(AJ40="",AJ41&lt;&gt;""))</f>
        <v>0</v>
      </c>
      <c r="AK39" s="183">
        <f>OR(AND(AK40&lt;&gt;"",AK41=""),AND(AK40="",AK41&lt;&gt;""))</f>
        <v>0</v>
      </c>
      <c r="AL39" s="183">
        <f>OR(AND(AL40&lt;&gt;"",AL41=""),AND(AL40="",AL41&lt;&gt;""))</f>
        <v>0</v>
      </c>
      <c r="AM39" s="183">
        <f>OR(AND(AM40&lt;&gt;"",AM41=""),AND(AM40="",AM41&lt;&gt;""))</f>
        <v>0</v>
      </c>
      <c r="AN39" s="183">
        <f>OR(AND(AN40&lt;&gt;"",AN41=""),AND(AN40="",AN41&lt;&gt;""))</f>
        <v>0</v>
      </c>
      <c r="AO39" s="183">
        <f>OR(AND(AO40&lt;&gt;"",AO41=""),AND(AO40="",AO41&lt;&gt;""))</f>
        <v>0</v>
      </c>
      <c r="AP39" s="183">
        <f>OR(AND(AP40&lt;&gt;"",AP41=""),AND(AP40="",AP41&lt;&gt;""))</f>
        <v>0</v>
      </c>
      <c r="AQ39" s="183">
        <f>OR(AND(AQ40&lt;&gt;"",AQ41=""),AND(AQ40="",AQ41&lt;&gt;""))</f>
        <v>0</v>
      </c>
      <c r="AR39" s="183">
        <f>OR(AND(AR40&lt;&gt;"",AR41=""),AND(AR40="",AR41&lt;&gt;""))</f>
        <v>0</v>
      </c>
      <c r="AS39" s="183">
        <f>OR(AND(AS40&lt;&gt;"",AS41=""),AND(AS40="",AS41&lt;&gt;""))</f>
        <v>0</v>
      </c>
      <c r="AT39" s="183">
        <f>OR(AND(AT40&lt;&gt;"",AT41=""),AND(AT40="",AT41&lt;&gt;""))</f>
        <v>0</v>
      </c>
      <c r="AU39" s="183">
        <f>OR(AND(AU40&lt;&gt;"",AU41=""),AND(AU40="",AU41&lt;&gt;""))</f>
        <v>0</v>
      </c>
      <c r="AV39" s="183">
        <f>OR(AND(AV40&lt;&gt;"",AV41=""),AND(AV40="",AV41&lt;&gt;""))</f>
        <v>0</v>
      </c>
      <c r="AW39" s="183">
        <f>OR(AND(AW40&lt;&gt;"",AW41=""),AND(AW40="",AW41&lt;&gt;""))</f>
        <v>0</v>
      </c>
      <c r="AX39" s="183">
        <f>OR(AND(AX40&lt;&gt;"",AX41=""),AND(AX40="",AX41&lt;&gt;""))</f>
        <v>0</v>
      </c>
      <c r="AY39" s="183">
        <f>OR(AND(AY40&lt;&gt;"",AY41=""),AND(AY40="",AY41&lt;&gt;""))</f>
        <v>0</v>
      </c>
      <c r="AZ39" s="183">
        <f>OR(AND(AZ40&lt;&gt;"",AZ41=""),AND(AZ40="",AZ41&lt;&gt;""))</f>
        <v>0</v>
      </c>
      <c r="BA39" s="183">
        <f>OR(AND(BA40&lt;&gt;"",BA41=""),AND(BA40="",BA41&lt;&gt;""))</f>
        <v>0</v>
      </c>
      <c r="BB39" s="183">
        <f>OR(AND(BB40&lt;&gt;"",BB41=""),AND(BB40="",BB41&lt;&gt;""))</f>
        <v>0</v>
      </c>
      <c r="BC39" s="957"/>
      <c r="BD39" s="118"/>
      <c r="BE39" s="118"/>
      <c r="BF39" s="1025"/>
      <c r="BG39" s="1025"/>
      <c r="BH39" s="1025"/>
      <c r="BI39" s="658"/>
      <c r="BJ39" s="658"/>
    </row>
    <row customHeight="1" ht="14.625" hidden="1">
      <c r="A40" s="118"/>
      <c r="B40" s="413"/>
      <c r="C40" s="118"/>
      <c r="D40" s="118"/>
      <c r="E40" s="658">
        <v>15</v>
      </c>
      <c r="F40" s="50" cm="1" t="str">
        <f t="array" ref="F40:F40">OFFSET(E40,-1,1)</f>
        <v>0</v>
      </c>
      <c r="G40" s="118" t="s">
        <v>327</v>
      </c>
      <c r="H40" s="121" cm="1" t="str">
        <f t="array" ref="H40:H40">AC40</f>
        <v>0</v>
      </c>
      <c r="I40" s="118" t="s">
        <v>1012</v>
      </c>
      <c r="J40" s="118"/>
      <c r="K40" s="893"/>
      <c r="L40" s="118"/>
      <c r="M40" s="118"/>
      <c r="N40" s="118"/>
      <c r="O40" s="118"/>
      <c r="P40" s="118"/>
      <c r="Q40" s="118"/>
      <c r="R40" s="118"/>
      <c r="S40" s="118"/>
      <c r="T40" s="439">
        <f>AND(F40&gt;0,Y39&gt;0)</f>
        <v>0</v>
      </c>
      <c r="U40" s="118"/>
      <c r="V40" s="118"/>
      <c r="W40" s="118"/>
      <c r="X40" s="1443"/>
      <c r="Y40" s="1443"/>
      <c r="Z40" s="1549"/>
      <c r="AA40" s="1551"/>
      <c r="AB40" s="54" t="str">
        <f>"3."&amp;Y39</f>
        <v>3.0</v>
      </c>
      <c r="AC40" s="241"/>
      <c r="AD40" s="178" t="s">
        <v>784</v>
      </c>
      <c r="AE40" s="2614"/>
      <c r="AF40" s="2614"/>
      <c r="AG40" s="2614"/>
      <c r="AH40" s="2614"/>
      <c r="AI40" s="182"/>
      <c r="AJ40" s="2614"/>
      <c r="AK40" s="2614"/>
      <c r="AL40" s="2614"/>
      <c r="AM40" s="2614"/>
      <c r="AN40" s="2614"/>
      <c r="AO40" s="2614"/>
      <c r="AP40" s="2614"/>
      <c r="AQ40" s="2614"/>
      <c r="AR40" s="2614"/>
      <c r="AS40" s="182"/>
      <c r="AT40" s="2614"/>
      <c r="AU40" s="2614"/>
      <c r="AV40" s="2614"/>
      <c r="AW40" s="2614"/>
      <c r="AX40" s="2614"/>
      <c r="AY40" s="2614"/>
      <c r="AZ40" s="2614"/>
      <c r="BA40" s="2614"/>
      <c r="BB40" s="2614"/>
      <c r="BC40" s="1887"/>
      <c r="BD40" s="118"/>
      <c r="BE40" s="118"/>
      <c r="BF40" s="1025" t="s">
        <v>999</v>
      </c>
      <c r="BG40" s="1025" t="s">
        <v>1013</v>
      </c>
      <c r="BH40" s="1025" cm="1" t="str">
        <f t="array" ref="BH40:BH40">AC40</f>
        <v>0</v>
      </c>
      <c r="BI40" s="658"/>
      <c r="BJ40" s="658" t="b">
        <v>1</v>
      </c>
    </row>
    <row customHeight="1" ht="14.625" hidden="1">
      <c r="A41" s="118"/>
      <c r="B41" s="413"/>
      <c r="C41" s="118"/>
      <c r="D41" s="118"/>
      <c r="E41" s="658">
        <v>15</v>
      </c>
      <c r="F41" s="50" cm="1" t="str">
        <f t="array" ref="F41:F41">OFFSET(E41,-1,1)</f>
        <v>0</v>
      </c>
      <c r="G41" s="118" t="s">
        <v>875</v>
      </c>
      <c r="H41" s="121" cm="1" t="str">
        <f t="array" ref="H41:H41">H40</f>
        <v>0</v>
      </c>
      <c r="I41" s="118" t="s">
        <v>1012</v>
      </c>
      <c r="J41" s="118"/>
      <c r="K41" s="893"/>
      <c r="L41" s="118"/>
      <c r="M41" s="118"/>
      <c r="N41" s="118"/>
      <c r="O41" s="118"/>
      <c r="P41" s="118"/>
      <c r="Q41" s="118"/>
      <c r="R41" s="118"/>
      <c r="S41" s="118"/>
      <c r="T41" s="439" cm="1" t="str">
        <f t="array" ref="T41:T41">T40</f>
        <v>false</v>
      </c>
      <c r="U41" s="118"/>
      <c r="V41" s="118"/>
      <c r="W41" s="118"/>
      <c r="X41" s="1443"/>
      <c r="Y41" s="1443"/>
      <c r="Z41" s="1549"/>
      <c r="AA41" s="1551"/>
      <c r="AB41" s="54" t="str">
        <f>AB40&amp;".1"</f>
        <v>3.0.1</v>
      </c>
      <c r="AC41" s="188" t="s">
        <v>1014</v>
      </c>
      <c r="AD41" s="54" t="s">
        <v>512</v>
      </c>
      <c r="AE41" s="2614"/>
      <c r="AF41" s="2614"/>
      <c r="AG41" s="2614"/>
      <c r="AH41" s="2614"/>
      <c r="AI41" s="182"/>
      <c r="AJ41" s="2614"/>
      <c r="AK41" s="2614"/>
      <c r="AL41" s="2614"/>
      <c r="AM41" s="2614"/>
      <c r="AN41" s="2614"/>
      <c r="AO41" s="2614"/>
      <c r="AP41" s="2614"/>
      <c r="AQ41" s="2614"/>
      <c r="AR41" s="2614"/>
      <c r="AS41" s="182"/>
      <c r="AT41" s="2614"/>
      <c r="AU41" s="2614"/>
      <c r="AV41" s="2614"/>
      <c r="AW41" s="2614"/>
      <c r="AX41" s="2614"/>
      <c r="AY41" s="2614"/>
      <c r="AZ41" s="2614"/>
      <c r="BA41" s="2614"/>
      <c r="BB41" s="2614"/>
      <c r="BC41" s="1887"/>
      <c r="BD41" s="118"/>
      <c r="BE41" s="118"/>
      <c r="BF41" s="1025" t="s">
        <v>1002</v>
      </c>
      <c r="BG41" s="1025" t="s">
        <v>1013</v>
      </c>
      <c r="BH41" s="1025" cm="1" t="str">
        <f t="array" ref="BH41:BH41">BH40</f>
        <v>0</v>
      </c>
      <c r="BI41" s="658"/>
      <c r="BJ41" s="658"/>
    </row>
    <row customHeight="1" ht="14.625" hidden="1">
      <c r="A42" s="118"/>
      <c r="B42" s="413"/>
      <c r="C42" s="118"/>
      <c r="D42" s="118"/>
      <c r="E42" s="658">
        <v>15</v>
      </c>
      <c r="F42" s="50" cm="1" t="str">
        <f t="array" ref="F42:F42">OFFSET(E42,-1,1)</f>
        <v>0</v>
      </c>
      <c r="G42" s="118"/>
      <c r="H42" s="118" t="str">
        <f>"!=='не определено' &amp;&amp; row.l3 !== null"</f>
        <v>!=='не определено' &amp;&amp; row.l3 !== null</v>
      </c>
      <c r="I42" s="118"/>
      <c r="J42" s="118"/>
      <c r="K42" s="893"/>
      <c r="L42" s="118"/>
      <c r="M42" s="118"/>
      <c r="N42" s="118"/>
      <c r="O42" s="118"/>
      <c r="P42" s="118"/>
      <c r="Q42" s="118"/>
      <c r="R42" s="118"/>
      <c r="S42" s="118"/>
      <c r="T42" s="439">
        <f>F42&gt;0</f>
        <v>0</v>
      </c>
      <c r="U42" s="118"/>
      <c r="V42" s="118"/>
      <c r="W42" s="665" t="s">
        <v>1015</v>
      </c>
      <c r="X42" s="1443"/>
      <c r="Y42" s="663"/>
      <c r="Z42" s="1549"/>
      <c r="AA42" s="118"/>
      <c r="AB42" s="661"/>
      <c r="AC42" s="199" t="s">
        <v>1004</v>
      </c>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200"/>
      <c r="BD42" s="118"/>
      <c r="BE42" s="118"/>
      <c r="BF42" s="1025"/>
      <c r="BG42" s="1025"/>
      <c r="BH42" s="1025"/>
      <c r="BI42" s="658" t="s">
        <v>1013</v>
      </c>
      <c r="BJ42" s="658"/>
    </row>
    <row customHeight="1" ht="22.425" hidden="1">
      <c r="A43" s="118"/>
      <c r="B43" s="413"/>
      <c r="C43" s="118"/>
      <c r="D43" s="118"/>
      <c r="E43" s="658">
        <v>23</v>
      </c>
      <c r="F43" s="50" cm="1" t="str">
        <f t="array" ref="F43:F43">OFFSET(E43,-1,1)</f>
        <v>0</v>
      </c>
      <c r="G43" s="118"/>
      <c r="H43" s="118"/>
      <c r="I43" s="118"/>
      <c r="J43" s="118"/>
      <c r="K43" s="893" t="str">
        <f>F28&amp;"4komm"</f>
        <v>04komm</v>
      </c>
      <c r="L43" s="897" cm="1" t="str">
        <f t="array" ref="L43:L43">BC43</f>
        <v>0</v>
      </c>
      <c r="M43" s="118"/>
      <c r="N43" s="118"/>
      <c r="O43" s="118"/>
      <c r="P43" s="118"/>
      <c r="Q43" s="118"/>
      <c r="R43" s="118"/>
      <c r="S43" s="118"/>
      <c r="T43" s="439" cm="1" t="str">
        <f t="array" ref="T43:T43">T42</f>
        <v>false</v>
      </c>
      <c r="U43" s="118"/>
      <c r="V43" s="118"/>
      <c r="W43" s="118"/>
      <c r="X43" s="1443"/>
      <c r="Y43" s="664"/>
      <c r="Z43" s="1549"/>
      <c r="AA43" s="118"/>
      <c r="AB43" s="178">
        <v>4</v>
      </c>
      <c r="AC43" s="179" t="s">
        <v>1016</v>
      </c>
      <c r="AD43" s="178" t="s">
        <v>784</v>
      </c>
      <c r="AE43" s="180">
        <f>SUMIF(AD45:AD47,AD43,AE45:AE47)</f>
        <v>0</v>
      </c>
      <c r="AF43" s="180">
        <f>SUMIF(AD45:AD47,AD43,AF45:AF47)</f>
        <v>0</v>
      </c>
      <c r="AG43" s="180">
        <f>SUMIF(AD45:AD47,AD43,AG45:AG47)</f>
        <v>0</v>
      </c>
      <c r="AH43" s="180">
        <f>SUMIF(AD45:AD47,AD43,AH45:AH47)</f>
        <v>0</v>
      </c>
      <c r="AI43" s="180">
        <f>SUMIF(AD45:AD47,AD43,AI45:AI47)</f>
        <v>0</v>
      </c>
      <c r="AJ43" s="2730">
        <f>SUMIF(AD45:AD47,AD43,AJ45:AJ47)</f>
        <v>0</v>
      </c>
      <c r="AK43" s="2730">
        <f>SUMIF(AD45:AD47,AD43,AK45:AK47)</f>
        <v>0</v>
      </c>
      <c r="AL43" s="2730">
        <f>SUMIF(AD45:AD47,AD43,AL45:AL47)</f>
        <v>0</v>
      </c>
      <c r="AM43" s="2730">
        <f>SUMIF(AD45:AD47,AD43,AM45:AM47)</f>
        <v>0</v>
      </c>
      <c r="AN43" s="2730">
        <f>SUMIF(AD45:AD47,AD43,AN45:AN47)</f>
        <v>0</v>
      </c>
      <c r="AO43" s="2730">
        <f>SUMIF(AD45:AD47,AD43,AO45:AO47)</f>
        <v>0</v>
      </c>
      <c r="AP43" s="2730">
        <f>SUMIF(AD45:AD47,AD43,AP45:AP47)</f>
        <v>0</v>
      </c>
      <c r="AQ43" s="2730">
        <f>SUMIF(AD45:AD47,AD43,AQ45:AQ47)</f>
        <v>0</v>
      </c>
      <c r="AR43" s="2730">
        <f>SUMIF(AD45:AD47,AD43,AR45:AR47)</f>
        <v>0</v>
      </c>
      <c r="AS43" s="180">
        <f>SUMIF(AD45:AD47,AD43,AS45:AS47)</f>
        <v>0</v>
      </c>
      <c r="AT43" s="2730">
        <f>SUMIF(AD45:AD47,AD43,AT45:AT47)</f>
        <v>0</v>
      </c>
      <c r="AU43" s="2730">
        <f>SUMIF(AD45:AD47,AD43,AU45:AU47)</f>
        <v>0</v>
      </c>
      <c r="AV43" s="2730">
        <f>SUMIF(AD45:AD47,AD43,AV45:AV47)</f>
        <v>0</v>
      </c>
      <c r="AW43" s="2730">
        <f>SUMIF(AD45:AD47,AD43,AW45:AW47)</f>
        <v>0</v>
      </c>
      <c r="AX43" s="2730">
        <f>SUMIF(AD45:AD47,AD43,AX45:AX47)</f>
        <v>0</v>
      </c>
      <c r="AY43" s="2730">
        <f>SUMIF(AD45:AD47,AD43,AY45:AY47)</f>
        <v>0</v>
      </c>
      <c r="AZ43" s="2730">
        <f>SUMIF(AD45:AD47,AD43,AZ45:AZ47)</f>
        <v>0</v>
      </c>
      <c r="BA43" s="2730">
        <f>SUMIF(AD45:AD47,AD43,BA45:BA47)</f>
        <v>0</v>
      </c>
      <c r="BB43" s="2730">
        <f>SUMIF(AD45:AD47,AD43,BB45:BB47)</f>
        <v>0</v>
      </c>
      <c r="BC43" s="1887"/>
      <c r="BD43" s="118"/>
      <c r="BE43" s="118"/>
      <c r="BF43" s="1025" t="s">
        <v>1017</v>
      </c>
      <c r="BG43" s="1025"/>
      <c r="BH43" s="1025"/>
      <c r="BI43" s="658"/>
      <c r="BJ43" s="658"/>
    </row>
    <row customHeight="1" ht="15" hidden="1">
      <c r="A44" s="118"/>
      <c r="B44" s="413"/>
      <c r="C44" s="118"/>
      <c r="D44" s="118"/>
      <c r="E44" s="658">
        <v>0</v>
      </c>
      <c r="F44" s="50" cm="1" t="str">
        <f t="array" ref="F44:F44">OFFSET(E44,-1,1)</f>
        <v>0</v>
      </c>
      <c r="G44" s="118" t="s">
        <v>329</v>
      </c>
      <c r="H44" s="118"/>
      <c r="I44" s="118"/>
      <c r="J44" s="118"/>
      <c r="K44" s="893"/>
      <c r="L44" s="897"/>
      <c r="M44" s="118"/>
      <c r="N44" s="118"/>
      <c r="O44" s="118"/>
      <c r="P44" s="118"/>
      <c r="Q44" s="118"/>
      <c r="R44" s="118"/>
      <c r="S44" s="118"/>
      <c r="T44" s="439" t="b">
        <v>0</v>
      </c>
      <c r="U44" s="118"/>
      <c r="V44" s="118"/>
      <c r="W44" s="118" t="s">
        <v>173</v>
      </c>
      <c r="X44" s="1443"/>
      <c r="Y44" s="1443">
        <v>0</v>
      </c>
      <c r="Z44" s="1549"/>
      <c r="AA44" s="1551" t="s">
        <v>174</v>
      </c>
      <c r="AB44" s="178"/>
      <c r="AC44" s="179"/>
      <c r="AD44" s="178"/>
      <c r="AE44" s="183">
        <f>OR(AND(AE45&lt;&gt;"",AE46=""),AND(AE45="",AE46&lt;&gt;""))</f>
        <v>0</v>
      </c>
      <c r="AF44" s="183">
        <f>OR(AND(AF45&lt;&gt;"",AF46=""),AND(AF45="",AF46&lt;&gt;""))</f>
        <v>0</v>
      </c>
      <c r="AG44" s="183">
        <f>OR(AND(AG45&lt;&gt;"",AG46=""),AND(AG45="",AG46&lt;&gt;""))</f>
        <v>0</v>
      </c>
      <c r="AH44" s="183">
        <f>OR(AND(AH45&lt;&gt;"",AH46=""),AND(AH45="",AH46&lt;&gt;""))</f>
        <v>0</v>
      </c>
      <c r="AI44" s="183">
        <f>OR(AND(AI45&lt;&gt;"",AI46=""),AND(AI45="",AI46&lt;&gt;""))</f>
        <v>0</v>
      </c>
      <c r="AJ44" s="183">
        <f>OR(AND(AJ45&lt;&gt;"",AJ46=""),AND(AJ45="",AJ46&lt;&gt;""))</f>
        <v>0</v>
      </c>
      <c r="AK44" s="183">
        <f>OR(AND(AK45&lt;&gt;"",AK46=""),AND(AK45="",AK46&lt;&gt;""))</f>
        <v>0</v>
      </c>
      <c r="AL44" s="183">
        <f>OR(AND(AL45&lt;&gt;"",AL46=""),AND(AL45="",AL46&lt;&gt;""))</f>
        <v>0</v>
      </c>
      <c r="AM44" s="183">
        <f>OR(AND(AM45&lt;&gt;"",AM46=""),AND(AM45="",AM46&lt;&gt;""))</f>
        <v>0</v>
      </c>
      <c r="AN44" s="183">
        <f>OR(AND(AN45&lt;&gt;"",AN46=""),AND(AN45="",AN46&lt;&gt;""))</f>
        <v>0</v>
      </c>
      <c r="AO44" s="183">
        <f>OR(AND(AO45&lt;&gt;"",AO46=""),AND(AO45="",AO46&lt;&gt;""))</f>
        <v>0</v>
      </c>
      <c r="AP44" s="183">
        <f>OR(AND(AP45&lt;&gt;"",AP46=""),AND(AP45="",AP46&lt;&gt;""))</f>
        <v>0</v>
      </c>
      <c r="AQ44" s="183">
        <f>OR(AND(AQ45&lt;&gt;"",AQ46=""),AND(AQ45="",AQ46&lt;&gt;""))</f>
        <v>0</v>
      </c>
      <c r="AR44" s="183">
        <f>OR(AND(AR45&lt;&gt;"",AR46=""),AND(AR45="",AR46&lt;&gt;""))</f>
        <v>0</v>
      </c>
      <c r="AS44" s="183">
        <f>OR(AND(AS45&lt;&gt;"",AS46=""),AND(AS45="",AS46&lt;&gt;""))</f>
        <v>0</v>
      </c>
      <c r="AT44" s="183">
        <f>OR(AND(AT45&lt;&gt;"",AT46=""),AND(AT45="",AT46&lt;&gt;""))</f>
        <v>0</v>
      </c>
      <c r="AU44" s="183">
        <f>OR(AND(AU45&lt;&gt;"",AU46=""),AND(AU45="",AU46&lt;&gt;""))</f>
        <v>0</v>
      </c>
      <c r="AV44" s="183">
        <f>OR(AND(AV45&lt;&gt;"",AV46=""),AND(AV45="",AV46&lt;&gt;""))</f>
        <v>0</v>
      </c>
      <c r="AW44" s="183">
        <f>OR(AND(AW45&lt;&gt;"",AW46=""),AND(AW45="",AW46&lt;&gt;""))</f>
        <v>0</v>
      </c>
      <c r="AX44" s="183">
        <f>OR(AND(AX45&lt;&gt;"",AX46=""),AND(AX45="",AX46&lt;&gt;""))</f>
        <v>0</v>
      </c>
      <c r="AY44" s="183">
        <f>OR(AND(AY45&lt;&gt;"",AY46=""),AND(AY45="",AY46&lt;&gt;""))</f>
        <v>0</v>
      </c>
      <c r="AZ44" s="183">
        <f>OR(AND(AZ45&lt;&gt;"",AZ46=""),AND(AZ45="",AZ46&lt;&gt;""))</f>
        <v>0</v>
      </c>
      <c r="BA44" s="183">
        <f>OR(AND(BA45&lt;&gt;"",BA46=""),AND(BA45="",BA46&lt;&gt;""))</f>
        <v>0</v>
      </c>
      <c r="BB44" s="183">
        <f>OR(AND(BB45&lt;&gt;"",BB46=""),AND(BB45="",BB46&lt;&gt;""))</f>
        <v>0</v>
      </c>
      <c r="BC44" s="957"/>
      <c r="BD44" s="118"/>
      <c r="BE44" s="118"/>
      <c r="BF44" s="1025"/>
      <c r="BG44" s="1025"/>
      <c r="BH44" s="1025"/>
      <c r="BI44" s="658"/>
      <c r="BJ44" s="658"/>
    </row>
    <row customHeight="1" ht="14.625" hidden="1">
      <c r="A45" s="118"/>
      <c r="B45" s="413"/>
      <c r="C45" s="118"/>
      <c r="D45" s="118"/>
      <c r="E45" s="658">
        <v>15</v>
      </c>
      <c r="F45" s="50" cm="1" t="str">
        <f t="array" ref="F45:F45">OFFSET(E45,-1,1)</f>
        <v>0</v>
      </c>
      <c r="G45" s="118" t="s">
        <v>329</v>
      </c>
      <c r="H45" s="121" cm="1" t="str">
        <f t="array" ref="H45:H45">AC45</f>
        <v>0</v>
      </c>
      <c r="I45" s="118" t="s">
        <v>1018</v>
      </c>
      <c r="J45" s="118"/>
      <c r="K45" s="893"/>
      <c r="L45" s="118"/>
      <c r="M45" s="118"/>
      <c r="N45" s="118"/>
      <c r="O45" s="118"/>
      <c r="P45" s="118"/>
      <c r="Q45" s="118"/>
      <c r="R45" s="118"/>
      <c r="S45" s="118"/>
      <c r="T45" s="439">
        <f>AND(F45&gt;0,Y44&gt;0)</f>
        <v>0</v>
      </c>
      <c r="U45" s="118"/>
      <c r="V45" s="118"/>
      <c r="W45" s="118"/>
      <c r="X45" s="1443"/>
      <c r="Y45" s="1443"/>
      <c r="Z45" s="1549"/>
      <c r="AA45" s="1551"/>
      <c r="AB45" s="54" t="str">
        <f>"4."&amp;Y44</f>
        <v>4.0</v>
      </c>
      <c r="AC45" s="241"/>
      <c r="AD45" s="178" t="s">
        <v>784</v>
      </c>
      <c r="AE45" s="2614"/>
      <c r="AF45" s="2614"/>
      <c r="AG45" s="2614"/>
      <c r="AH45" s="2614"/>
      <c r="AI45" s="182"/>
      <c r="AJ45" s="2614"/>
      <c r="AK45" s="2614"/>
      <c r="AL45" s="2614"/>
      <c r="AM45" s="2614"/>
      <c r="AN45" s="2614"/>
      <c r="AO45" s="2614"/>
      <c r="AP45" s="2614"/>
      <c r="AQ45" s="2614"/>
      <c r="AR45" s="2614"/>
      <c r="AS45" s="182"/>
      <c r="AT45" s="2614"/>
      <c r="AU45" s="2614"/>
      <c r="AV45" s="2614"/>
      <c r="AW45" s="2614"/>
      <c r="AX45" s="2614"/>
      <c r="AY45" s="2614"/>
      <c r="AZ45" s="2614"/>
      <c r="BA45" s="2614"/>
      <c r="BB45" s="2614"/>
      <c r="BC45" s="1887"/>
      <c r="BD45" s="118"/>
      <c r="BE45" s="118"/>
      <c r="BF45" s="1025" t="s">
        <v>999</v>
      </c>
      <c r="BG45" s="1025" t="s">
        <v>1019</v>
      </c>
      <c r="BH45" s="1025" cm="1" t="str">
        <f t="array" ref="BH45:BH45">AC45</f>
        <v>0</v>
      </c>
      <c r="BI45" s="658"/>
      <c r="BJ45" s="658" t="b">
        <v>1</v>
      </c>
    </row>
    <row customHeight="1" ht="14.625" hidden="1">
      <c r="A46" s="118"/>
      <c r="B46" s="413"/>
      <c r="C46" s="118"/>
      <c r="D46" s="118"/>
      <c r="E46" s="658">
        <v>15</v>
      </c>
      <c r="F46" s="50" cm="1" t="str">
        <f t="array" ref="F46:F46">OFFSET(E46,-1,1)</f>
        <v>0</v>
      </c>
      <c r="G46" s="118" t="s">
        <v>514</v>
      </c>
      <c r="H46" s="121" cm="1" t="str">
        <f t="array" ref="H46:H46">H45</f>
        <v>0</v>
      </c>
      <c r="I46" s="118" t="s">
        <v>1018</v>
      </c>
      <c r="J46" s="118"/>
      <c r="K46" s="893"/>
      <c r="L46" s="118"/>
      <c r="M46" s="118"/>
      <c r="N46" s="118"/>
      <c r="O46" s="118"/>
      <c r="P46" s="118"/>
      <c r="Q46" s="118"/>
      <c r="R46" s="118"/>
      <c r="S46" s="118"/>
      <c r="T46" s="439" cm="1" t="str">
        <f t="array" ref="T46:T46">T45</f>
        <v>false</v>
      </c>
      <c r="U46" s="118"/>
      <c r="V46" s="118"/>
      <c r="W46" s="118"/>
      <c r="X46" s="1443"/>
      <c r="Y46" s="1443"/>
      <c r="Z46" s="1549"/>
      <c r="AA46" s="1551"/>
      <c r="AB46" s="54" t="str">
        <f>AB45&amp;".1"</f>
        <v>4.0.1</v>
      </c>
      <c r="AC46" s="188" t="s">
        <v>1020</v>
      </c>
      <c r="AD46" s="54" t="s">
        <v>512</v>
      </c>
      <c r="AE46" s="2614"/>
      <c r="AF46" s="2614"/>
      <c r="AG46" s="2614"/>
      <c r="AH46" s="2614"/>
      <c r="AI46" s="182"/>
      <c r="AJ46" s="2614"/>
      <c r="AK46" s="2614"/>
      <c r="AL46" s="2614"/>
      <c r="AM46" s="2614"/>
      <c r="AN46" s="2614"/>
      <c r="AO46" s="2614"/>
      <c r="AP46" s="2614"/>
      <c r="AQ46" s="2614"/>
      <c r="AR46" s="2614"/>
      <c r="AS46" s="182"/>
      <c r="AT46" s="2614"/>
      <c r="AU46" s="2614"/>
      <c r="AV46" s="2614"/>
      <c r="AW46" s="2614"/>
      <c r="AX46" s="2614"/>
      <c r="AY46" s="2614"/>
      <c r="AZ46" s="2614"/>
      <c r="BA46" s="2614"/>
      <c r="BB46" s="2614"/>
      <c r="BC46" s="1887"/>
      <c r="BD46" s="118"/>
      <c r="BE46" s="118"/>
      <c r="BF46" s="1025" t="s">
        <v>1002</v>
      </c>
      <c r="BG46" s="1025" t="s">
        <v>1019</v>
      </c>
      <c r="BH46" s="1025" cm="1" t="str">
        <f t="array" ref="BH46:BH46">BH45</f>
        <v>0</v>
      </c>
      <c r="BI46" s="658"/>
      <c r="BJ46" s="658"/>
    </row>
    <row customHeight="1" ht="14.625" hidden="1">
      <c r="A47" s="118"/>
      <c r="B47" s="413"/>
      <c r="C47" s="118"/>
      <c r="D47" s="118"/>
      <c r="E47" s="658">
        <v>15</v>
      </c>
      <c r="F47" s="50" cm="1" t="str">
        <f t="array" ref="F47:F47">OFFSET(E47,-1,1)</f>
        <v>0</v>
      </c>
      <c r="G47" s="118"/>
      <c r="H47" s="118" t="str">
        <f>"!=='не определено' &amp;&amp; row.l4 !== null"</f>
        <v>!=='не определено' &amp;&amp; row.l4 !== null</v>
      </c>
      <c r="I47" s="118"/>
      <c r="J47" s="118"/>
      <c r="K47" s="893"/>
      <c r="L47" s="118"/>
      <c r="M47" s="118"/>
      <c r="N47" s="118"/>
      <c r="O47" s="118"/>
      <c r="P47" s="118"/>
      <c r="Q47" s="118"/>
      <c r="R47" s="118"/>
      <c r="S47" s="118"/>
      <c r="T47" s="439">
        <f>F47&gt;0</f>
        <v>0</v>
      </c>
      <c r="U47" s="118"/>
      <c r="V47" s="118"/>
      <c r="W47" s="665" t="s">
        <v>1021</v>
      </c>
      <c r="X47" s="1443"/>
      <c r="Y47" s="663"/>
      <c r="Z47" s="1549"/>
      <c r="AA47" s="118"/>
      <c r="AB47" s="661"/>
      <c r="AC47" s="199" t="s">
        <v>1004</v>
      </c>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200"/>
      <c r="BD47" s="118"/>
      <c r="BE47" s="118"/>
      <c r="BF47" s="1025"/>
      <c r="BG47" s="1025"/>
      <c r="BH47" s="1025"/>
      <c r="BI47" s="658" t="s">
        <v>1019</v>
      </c>
      <c r="BJ47" s="658"/>
    </row>
    <row customHeight="1" ht="22.425" hidden="1">
      <c r="A48" s="118"/>
      <c r="B48" s="413"/>
      <c r="C48" s="118"/>
      <c r="D48" s="118"/>
      <c r="E48" s="658">
        <v>23</v>
      </c>
      <c r="F48" s="50" cm="1" t="str">
        <f t="array" ref="F48:F48">OFFSET(E48,-1,1)</f>
        <v>0</v>
      </c>
      <c r="G48" s="118"/>
      <c r="H48" s="118"/>
      <c r="I48" s="118"/>
      <c r="J48" s="118"/>
      <c r="K48" s="893" t="str">
        <f>F28&amp;"5komm"</f>
        <v>05komm</v>
      </c>
      <c r="L48" s="897" cm="1" t="str">
        <f t="array" ref="L48:L48">BC48</f>
        <v>0</v>
      </c>
      <c r="M48" s="118"/>
      <c r="N48" s="118"/>
      <c r="O48" s="118"/>
      <c r="P48" s="118"/>
      <c r="Q48" s="118"/>
      <c r="R48" s="118"/>
      <c r="S48" s="118"/>
      <c r="T48" s="439" cm="1" t="str">
        <f t="array" ref="T48:T48">T47</f>
        <v>false</v>
      </c>
      <c r="U48" s="118"/>
      <c r="V48" s="118"/>
      <c r="W48" s="118"/>
      <c r="X48" s="1443"/>
      <c r="Y48" s="664"/>
      <c r="Z48" s="1549"/>
      <c r="AA48" s="118"/>
      <c r="AB48" s="178">
        <v>5</v>
      </c>
      <c r="AC48" s="179" t="s">
        <v>1022</v>
      </c>
      <c r="AD48" s="178" t="s">
        <v>784</v>
      </c>
      <c r="AE48" s="180">
        <f>SUMIF(AD50:AD52,AD48,AE50:AE52)</f>
        <v>0</v>
      </c>
      <c r="AF48" s="180">
        <f>SUMIF(AD50:AD52,AD48,AF50:AF52)</f>
        <v>0</v>
      </c>
      <c r="AG48" s="180">
        <f>SUMIF(AD50:AD52,AD48,AG50:AG52)</f>
        <v>0</v>
      </c>
      <c r="AH48" s="180">
        <f>SUMIF(AD50:AD52,AD48,AH50:AH52)</f>
        <v>0</v>
      </c>
      <c r="AI48" s="180">
        <f>SUMIF(AD50:AD52,AD48,AI50:AI52)</f>
        <v>0</v>
      </c>
      <c r="AJ48" s="2730">
        <f>SUMIF(AD50:AD52,AD48,AJ50:AJ52)</f>
        <v>0</v>
      </c>
      <c r="AK48" s="2730">
        <f>SUMIF(AD50:AD52,AD48,AK50:AK52)</f>
        <v>0</v>
      </c>
      <c r="AL48" s="2730">
        <f>SUMIF(AD50:AD52,AD48,AL50:AL52)</f>
        <v>0</v>
      </c>
      <c r="AM48" s="2730">
        <f>SUMIF(AD50:AD52,AD48,AM50:AM52)</f>
        <v>0</v>
      </c>
      <c r="AN48" s="2730">
        <f>SUMIF(AD50:AD52,AD48,AN50:AN52)</f>
        <v>0</v>
      </c>
      <c r="AO48" s="2730">
        <f>SUMIF(AD50:AD52,AD48,AO50:AO52)</f>
        <v>0</v>
      </c>
      <c r="AP48" s="2730">
        <f>SUMIF(AD50:AD52,AD48,AP50:AP52)</f>
        <v>0</v>
      </c>
      <c r="AQ48" s="2730">
        <f>SUMIF(AD50:AD52,AD48,AQ50:AQ52)</f>
        <v>0</v>
      </c>
      <c r="AR48" s="2730">
        <f>SUMIF(AD50:AD52,AD48,AR50:AR52)</f>
        <v>0</v>
      </c>
      <c r="AS48" s="180">
        <f>SUMIF(AD50:AD52,AD48,AS50:AS52)</f>
        <v>0</v>
      </c>
      <c r="AT48" s="2730">
        <f>SUMIF(AD50:AD52,AD48,AT50:AT52)</f>
        <v>0</v>
      </c>
      <c r="AU48" s="2730">
        <f>SUMIF(AD50:AD52,AD48,AU50:AU52)</f>
        <v>0</v>
      </c>
      <c r="AV48" s="2730">
        <f>SUMIF(AD50:AD52,AD48,AV50:AV52)</f>
        <v>0</v>
      </c>
      <c r="AW48" s="2730">
        <f>SUMIF(AD50:AD52,AD48,AW50:AW52)</f>
        <v>0</v>
      </c>
      <c r="AX48" s="2730">
        <f>SUMIF(AD50:AD52,AD48,AX50:AX52)</f>
        <v>0</v>
      </c>
      <c r="AY48" s="2730">
        <f>SUMIF(AD50:AD52,AD48,AY50:AY52)</f>
        <v>0</v>
      </c>
      <c r="AZ48" s="2730">
        <f>SUMIF(AD50:AD52,AD48,AZ50:AZ52)</f>
        <v>0</v>
      </c>
      <c r="BA48" s="2730">
        <f>SUMIF(AD50:AD52,AD48,BA50:BA52)</f>
        <v>0</v>
      </c>
      <c r="BB48" s="2730">
        <f>SUMIF(AD50:AD52,AD48,BB50:BB52)</f>
        <v>0</v>
      </c>
      <c r="BC48" s="1887"/>
      <c r="BD48" s="118"/>
      <c r="BE48" s="118"/>
      <c r="BF48" s="1025" t="s">
        <v>1023</v>
      </c>
      <c r="BG48" s="1025"/>
      <c r="BH48" s="1025"/>
      <c r="BI48" s="658"/>
      <c r="BJ48" s="658"/>
    </row>
    <row customHeight="1" ht="15" hidden="1">
      <c r="A49" s="118"/>
      <c r="B49" s="413"/>
      <c r="C49" s="118"/>
      <c r="D49" s="118"/>
      <c r="E49" s="658">
        <v>0</v>
      </c>
      <c r="F49" s="50" cm="1" t="str">
        <f t="array" ref="F49:F49">OFFSET(E49,-1,1)</f>
        <v>0</v>
      </c>
      <c r="G49" s="118" t="s">
        <v>328</v>
      </c>
      <c r="H49" s="118"/>
      <c r="I49" s="118"/>
      <c r="J49" s="118"/>
      <c r="K49" s="893"/>
      <c r="L49" s="897"/>
      <c r="M49" s="118"/>
      <c r="N49" s="118"/>
      <c r="O49" s="118"/>
      <c r="P49" s="118"/>
      <c r="Q49" s="118"/>
      <c r="R49" s="118"/>
      <c r="S49" s="118"/>
      <c r="T49" s="439" t="b">
        <v>0</v>
      </c>
      <c r="U49" s="118"/>
      <c r="V49" s="118"/>
      <c r="W49" s="118" t="s">
        <v>173</v>
      </c>
      <c r="X49" s="1443"/>
      <c r="Y49" s="1443">
        <v>0</v>
      </c>
      <c r="Z49" s="1549"/>
      <c r="AA49" s="1551" t="s">
        <v>174</v>
      </c>
      <c r="AB49" s="178"/>
      <c r="AC49" s="179"/>
      <c r="AD49" s="178"/>
      <c r="AE49" s="183">
        <f>OR(AND(AE50&lt;&gt;"",AE51=""),AND(AE50="",AE51&lt;&gt;""))</f>
        <v>0</v>
      </c>
      <c r="AF49" s="183">
        <f>OR(AND(AF50&lt;&gt;"",AF51=""),AND(AF50="",AF51&lt;&gt;""))</f>
        <v>0</v>
      </c>
      <c r="AG49" s="183">
        <f>OR(AND(AG50&lt;&gt;"",AG51=""),AND(AG50="",AG51&lt;&gt;""))</f>
        <v>0</v>
      </c>
      <c r="AH49" s="183">
        <f>OR(AND(AH50&lt;&gt;"",AH51=""),AND(AH50="",AH51&lt;&gt;""))</f>
        <v>0</v>
      </c>
      <c r="AI49" s="183">
        <f>OR(AND(AI50&lt;&gt;"",AI51=""),AND(AI50="",AI51&lt;&gt;""))</f>
        <v>0</v>
      </c>
      <c r="AJ49" s="183">
        <f>OR(AND(AJ50&lt;&gt;"",AJ51=""),AND(AJ50="",AJ51&lt;&gt;""))</f>
        <v>0</v>
      </c>
      <c r="AK49" s="183">
        <f>OR(AND(AK50&lt;&gt;"",AK51=""),AND(AK50="",AK51&lt;&gt;""))</f>
        <v>0</v>
      </c>
      <c r="AL49" s="183">
        <f>OR(AND(AL50&lt;&gt;"",AL51=""),AND(AL50="",AL51&lt;&gt;""))</f>
        <v>0</v>
      </c>
      <c r="AM49" s="183">
        <f>OR(AND(AM50&lt;&gt;"",AM51=""),AND(AM50="",AM51&lt;&gt;""))</f>
        <v>0</v>
      </c>
      <c r="AN49" s="183">
        <f>OR(AND(AN50&lt;&gt;"",AN51=""),AND(AN50="",AN51&lt;&gt;""))</f>
        <v>0</v>
      </c>
      <c r="AO49" s="183">
        <f>OR(AND(AO50&lt;&gt;"",AO51=""),AND(AO50="",AO51&lt;&gt;""))</f>
        <v>0</v>
      </c>
      <c r="AP49" s="183">
        <f>OR(AND(AP50&lt;&gt;"",AP51=""),AND(AP50="",AP51&lt;&gt;""))</f>
        <v>0</v>
      </c>
      <c r="AQ49" s="183">
        <f>OR(AND(AQ50&lt;&gt;"",AQ51=""),AND(AQ50="",AQ51&lt;&gt;""))</f>
        <v>0</v>
      </c>
      <c r="AR49" s="183">
        <f>OR(AND(AR50&lt;&gt;"",AR51=""),AND(AR50="",AR51&lt;&gt;""))</f>
        <v>0</v>
      </c>
      <c r="AS49" s="183">
        <f>OR(AND(AS50&lt;&gt;"",AS51=""),AND(AS50="",AS51&lt;&gt;""))</f>
        <v>0</v>
      </c>
      <c r="AT49" s="183">
        <f>OR(AND(AT50&lt;&gt;"",AT51=""),AND(AT50="",AT51&lt;&gt;""))</f>
        <v>0</v>
      </c>
      <c r="AU49" s="183">
        <f>OR(AND(AU50&lt;&gt;"",AU51=""),AND(AU50="",AU51&lt;&gt;""))</f>
        <v>0</v>
      </c>
      <c r="AV49" s="183">
        <f>OR(AND(AV50&lt;&gt;"",AV51=""),AND(AV50="",AV51&lt;&gt;""))</f>
        <v>0</v>
      </c>
      <c r="AW49" s="183">
        <f>OR(AND(AW50&lt;&gt;"",AW51=""),AND(AW50="",AW51&lt;&gt;""))</f>
        <v>0</v>
      </c>
      <c r="AX49" s="183">
        <f>OR(AND(AX50&lt;&gt;"",AX51=""),AND(AX50="",AX51&lt;&gt;""))</f>
        <v>0</v>
      </c>
      <c r="AY49" s="183">
        <f>OR(AND(AY50&lt;&gt;"",AY51=""),AND(AY50="",AY51&lt;&gt;""))</f>
        <v>0</v>
      </c>
      <c r="AZ49" s="183">
        <f>OR(AND(AZ50&lt;&gt;"",AZ51=""),AND(AZ50="",AZ51&lt;&gt;""))</f>
        <v>0</v>
      </c>
      <c r="BA49" s="183">
        <f>OR(AND(BA50&lt;&gt;"",BA51=""),AND(BA50="",BA51&lt;&gt;""))</f>
        <v>0</v>
      </c>
      <c r="BB49" s="183">
        <f>OR(AND(BB50&lt;&gt;"",BB51=""),AND(BB50="",BB51&lt;&gt;""))</f>
        <v>0</v>
      </c>
      <c r="BC49" s="957"/>
      <c r="BD49" s="118"/>
      <c r="BE49" s="118"/>
      <c r="BF49" s="1025"/>
      <c r="BG49" s="1025"/>
      <c r="BH49" s="1025"/>
      <c r="BI49" s="658"/>
      <c r="BJ49" s="658"/>
    </row>
    <row customHeight="1" ht="14.625" hidden="1">
      <c r="A50" s="118"/>
      <c r="B50" s="413"/>
      <c r="C50" s="118"/>
      <c r="D50" s="118"/>
      <c r="E50" s="658">
        <v>15</v>
      </c>
      <c r="F50" s="50" cm="1" t="str">
        <f t="array" ref="F50:F50">OFFSET(E50,-1,1)</f>
        <v>0</v>
      </c>
      <c r="G50" s="118" t="s">
        <v>328</v>
      </c>
      <c r="H50" s="121" cm="1" t="str">
        <f t="array" ref="H50:H50">AC50</f>
        <v>0</v>
      </c>
      <c r="I50" s="118" t="s">
        <v>1024</v>
      </c>
      <c r="J50" s="118"/>
      <c r="K50" s="893"/>
      <c r="L50" s="118"/>
      <c r="M50" s="118"/>
      <c r="N50" s="118"/>
      <c r="O50" s="118"/>
      <c r="P50" s="118"/>
      <c r="Q50" s="118"/>
      <c r="R50" s="118"/>
      <c r="S50" s="118"/>
      <c r="T50" s="439">
        <f>AND(F50&gt;0,Y49&gt;0)</f>
        <v>0</v>
      </c>
      <c r="U50" s="118"/>
      <c r="V50" s="118"/>
      <c r="W50" s="118"/>
      <c r="X50" s="1443"/>
      <c r="Y50" s="1443"/>
      <c r="Z50" s="1549"/>
      <c r="AA50" s="1551"/>
      <c r="AB50" s="54" t="str">
        <f>"5."&amp;Y49</f>
        <v>5.0</v>
      </c>
      <c r="AC50" s="241"/>
      <c r="AD50" s="178" t="s">
        <v>784</v>
      </c>
      <c r="AE50" s="2614"/>
      <c r="AF50" s="2614"/>
      <c r="AG50" s="2614"/>
      <c r="AH50" s="2614"/>
      <c r="AI50" s="182"/>
      <c r="AJ50" s="2614"/>
      <c r="AK50" s="2614"/>
      <c r="AL50" s="2614"/>
      <c r="AM50" s="2614"/>
      <c r="AN50" s="2614"/>
      <c r="AO50" s="2614"/>
      <c r="AP50" s="2614"/>
      <c r="AQ50" s="2614"/>
      <c r="AR50" s="2614"/>
      <c r="AS50" s="182"/>
      <c r="AT50" s="2614"/>
      <c r="AU50" s="2614"/>
      <c r="AV50" s="2614"/>
      <c r="AW50" s="2614"/>
      <c r="AX50" s="2614"/>
      <c r="AY50" s="2614"/>
      <c r="AZ50" s="2614"/>
      <c r="BA50" s="2614"/>
      <c r="BB50" s="2614"/>
      <c r="BC50" s="1887"/>
      <c r="BD50" s="118"/>
      <c r="BE50" s="118"/>
      <c r="BF50" s="1025" t="s">
        <v>999</v>
      </c>
      <c r="BG50" s="1025" t="s">
        <v>1025</v>
      </c>
      <c r="BH50" s="1025" cm="1" t="str">
        <f t="array" ref="BH50:BH50">AC50</f>
        <v>0</v>
      </c>
      <c r="BI50" s="658"/>
      <c r="BJ50" s="658" t="b">
        <v>1</v>
      </c>
    </row>
    <row customHeight="1" ht="14.625" hidden="1">
      <c r="A51" s="118"/>
      <c r="B51" s="413"/>
      <c r="C51" s="118"/>
      <c r="D51" s="118"/>
      <c r="E51" s="658">
        <v>15</v>
      </c>
      <c r="F51" s="50" cm="1" t="str">
        <f t="array" ref="F51:F51">OFFSET(E51,-1,1)</f>
        <v>0</v>
      </c>
      <c r="G51" s="118" t="s">
        <v>528</v>
      </c>
      <c r="H51" s="121" cm="1" t="str">
        <f t="array" ref="H51:H51">H50</f>
        <v>0</v>
      </c>
      <c r="I51" s="118" t="s">
        <v>1024</v>
      </c>
      <c r="J51" s="118"/>
      <c r="K51" s="893"/>
      <c r="L51" s="118"/>
      <c r="M51" s="118"/>
      <c r="N51" s="118"/>
      <c r="O51" s="118"/>
      <c r="P51" s="118"/>
      <c r="Q51" s="118"/>
      <c r="R51" s="118"/>
      <c r="S51" s="118"/>
      <c r="T51" s="439" cm="1" t="str">
        <f t="array" ref="T51:T51">T50</f>
        <v>false</v>
      </c>
      <c r="U51" s="118"/>
      <c r="V51" s="118"/>
      <c r="W51" s="118"/>
      <c r="X51" s="1443"/>
      <c r="Y51" s="1443"/>
      <c r="Z51" s="1549"/>
      <c r="AA51" s="1551"/>
      <c r="AB51" s="54" t="str">
        <f>AB50&amp;".1"</f>
        <v>5.0.1</v>
      </c>
      <c r="AC51" s="188" t="s">
        <v>1026</v>
      </c>
      <c r="AD51" s="54" t="s">
        <v>512</v>
      </c>
      <c r="AE51" s="2614"/>
      <c r="AF51" s="2614"/>
      <c r="AG51" s="2614"/>
      <c r="AH51" s="2614"/>
      <c r="AI51" s="182"/>
      <c r="AJ51" s="2614"/>
      <c r="AK51" s="2614"/>
      <c r="AL51" s="2614"/>
      <c r="AM51" s="2614"/>
      <c r="AN51" s="2614"/>
      <c r="AO51" s="2614"/>
      <c r="AP51" s="2614"/>
      <c r="AQ51" s="2614"/>
      <c r="AR51" s="2614"/>
      <c r="AS51" s="182"/>
      <c r="AT51" s="2614"/>
      <c r="AU51" s="2614"/>
      <c r="AV51" s="2614"/>
      <c r="AW51" s="2614"/>
      <c r="AX51" s="2614"/>
      <c r="AY51" s="2614"/>
      <c r="AZ51" s="2614"/>
      <c r="BA51" s="2614"/>
      <c r="BB51" s="2614"/>
      <c r="BC51" s="1887"/>
      <c r="BD51" s="118"/>
      <c r="BE51" s="118"/>
      <c r="BF51" s="1025" t="s">
        <v>1002</v>
      </c>
      <c r="BG51" s="1025" t="s">
        <v>1025</v>
      </c>
      <c r="BH51" s="1025" cm="1" t="str">
        <f t="array" ref="BH51:BH51">BH50</f>
        <v>0</v>
      </c>
      <c r="BI51" s="658"/>
      <c r="BJ51" s="658"/>
    </row>
    <row customHeight="1" ht="14.625" hidden="1">
      <c r="A52" s="118"/>
      <c r="B52" s="413"/>
      <c r="C52" s="118"/>
      <c r="D52" s="118"/>
      <c r="E52" s="658">
        <v>15</v>
      </c>
      <c r="F52" s="50" cm="1" t="str">
        <f t="array" ref="F52:F52">OFFSET(E52,-1,1)</f>
        <v>0</v>
      </c>
      <c r="G52" s="118"/>
      <c r="H52" s="118" t="str">
        <f>"!=='не определено' &amp;&amp; row.l5 !== null"</f>
        <v>!=='не определено' &amp;&amp; row.l5 !== null</v>
      </c>
      <c r="I52" s="118"/>
      <c r="J52" s="118"/>
      <c r="K52" s="893"/>
      <c r="L52" s="118"/>
      <c r="M52" s="118"/>
      <c r="N52" s="118"/>
      <c r="O52" s="118"/>
      <c r="P52" s="118"/>
      <c r="Q52" s="118"/>
      <c r="R52" s="118"/>
      <c r="S52" s="118"/>
      <c r="T52" s="439">
        <f>F52&gt;0</f>
        <v>0</v>
      </c>
      <c r="U52" s="118"/>
      <c r="V52" s="118"/>
      <c r="W52" s="665" t="s">
        <v>1027</v>
      </c>
      <c r="X52" s="1443"/>
      <c r="Y52" s="136"/>
      <c r="Z52" s="1549"/>
      <c r="AA52" s="118"/>
      <c r="AB52" s="661"/>
      <c r="AC52" s="199" t="s">
        <v>1004</v>
      </c>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200"/>
      <c r="BD52" s="118"/>
      <c r="BE52" s="118"/>
      <c r="BF52" s="1025"/>
      <c r="BG52" s="1025"/>
      <c r="BH52" s="1025"/>
      <c r="BI52" s="658" t="s">
        <v>1025</v>
      </c>
      <c r="BJ52" s="658"/>
    </row>
    <row s="119" customFormat="1" customHeight="1" ht="14.625" hidden="1">
      <c r="A53" s="119"/>
      <c r="B53" s="414"/>
      <c r="C53" s="119"/>
      <c r="D53" s="119"/>
      <c r="E53" s="659">
        <v>15</v>
      </c>
      <c r="F53" s="50" cm="1" t="str">
        <f t="array" ref="F53:F53">OFFSET(E53,-1,1)</f>
        <v>0</v>
      </c>
      <c r="G53" s="118" t="s">
        <v>491</v>
      </c>
      <c r="H53" s="119"/>
      <c r="I53" s="119"/>
      <c r="J53" s="119"/>
      <c r="K53" s="893" t="str">
        <f>F28&amp;"6komm"</f>
        <v>06komm</v>
      </c>
      <c r="L53" s="897" cm="1" t="str">
        <f t="array" ref="L53:L53">BC53</f>
        <v>0</v>
      </c>
      <c r="M53" s="119"/>
      <c r="N53" s="119"/>
      <c r="O53" s="119"/>
      <c r="P53" s="119"/>
      <c r="Q53" s="119"/>
      <c r="R53" s="119"/>
      <c r="S53" s="119"/>
      <c r="T53" s="439" cm="1" t="str">
        <f t="array" ref="T53:T53">T52</f>
        <v>false</v>
      </c>
      <c r="U53" s="119"/>
      <c r="V53" s="119"/>
      <c r="W53" s="119"/>
      <c r="X53" s="1443"/>
      <c r="Y53" s="119"/>
      <c r="Z53" s="1549"/>
      <c r="AA53" s="119"/>
      <c r="AB53" s="178">
        <v>6</v>
      </c>
      <c r="AC53" s="179" t="s">
        <v>1028</v>
      </c>
      <c r="AD53" s="178" t="s">
        <v>784</v>
      </c>
      <c r="AE53" s="2730"/>
      <c r="AF53" s="2730"/>
      <c r="AG53" s="2730"/>
      <c r="AH53" s="2730"/>
      <c r="AI53" s="192"/>
      <c r="AJ53" s="2730"/>
      <c r="AK53" s="2730"/>
      <c r="AL53" s="2730"/>
      <c r="AM53" s="2730"/>
      <c r="AN53" s="2730"/>
      <c r="AO53" s="2730"/>
      <c r="AP53" s="2730"/>
      <c r="AQ53" s="2730"/>
      <c r="AR53" s="2730"/>
      <c r="AS53" s="192"/>
      <c r="AT53" s="2730"/>
      <c r="AU53" s="2730"/>
      <c r="AV53" s="2730"/>
      <c r="AW53" s="2730"/>
      <c r="AX53" s="2730"/>
      <c r="AY53" s="2730"/>
      <c r="AZ53" s="2730"/>
      <c r="BA53" s="2730"/>
      <c r="BB53" s="2730"/>
      <c r="BC53" s="1887"/>
      <c r="BD53" s="119"/>
      <c r="BE53" s="119"/>
      <c r="BF53" s="1028" t="s">
        <v>1029</v>
      </c>
      <c r="BG53" s="1028"/>
      <c r="BH53" s="1028"/>
      <c r="BI53" s="659"/>
      <c r="BJ53" s="659"/>
    </row>
    <row s="119" customFormat="1" customHeight="1" ht="14.625" hidden="1">
      <c r="A54" s="119"/>
      <c r="B54" s="414"/>
      <c r="C54" s="119"/>
      <c r="D54" s="119"/>
      <c r="E54" s="659">
        <v>15</v>
      </c>
      <c r="F54" s="50" cm="1" t="str">
        <f t="array" ref="F54:F54">OFFSET(E54,-1,1)</f>
        <v>0</v>
      </c>
      <c r="G54" s="118" t="s">
        <v>495</v>
      </c>
      <c r="H54" s="119"/>
      <c r="I54" s="119"/>
      <c r="J54" s="119"/>
      <c r="K54" s="893" t="str">
        <f>F28&amp;"7komm"</f>
        <v>07komm</v>
      </c>
      <c r="L54" s="897" cm="1" t="str">
        <f t="array" ref="L54:L54">BC54</f>
        <v>0</v>
      </c>
      <c r="M54" s="119"/>
      <c r="N54" s="119"/>
      <c r="O54" s="119"/>
      <c r="P54" s="119"/>
      <c r="Q54" s="119"/>
      <c r="R54" s="119"/>
      <c r="S54" s="119"/>
      <c r="T54" s="439" cm="1" t="str">
        <f t="array" ref="T54:T54">T53</f>
        <v>false</v>
      </c>
      <c r="U54" s="119"/>
      <c r="V54" s="119"/>
      <c r="W54" s="119"/>
      <c r="X54" s="1443"/>
      <c r="Y54" s="119"/>
      <c r="Z54" s="1549"/>
      <c r="AA54" s="119"/>
      <c r="AB54" s="178">
        <v>7</v>
      </c>
      <c r="AC54" s="179" t="s">
        <v>1030</v>
      </c>
      <c r="AD54" s="178" t="s">
        <v>784</v>
      </c>
      <c r="AE54" s="2730"/>
      <c r="AF54" s="2730"/>
      <c r="AG54" s="2730"/>
      <c r="AH54" s="2730"/>
      <c r="AI54" s="192"/>
      <c r="AJ54" s="2730"/>
      <c r="AK54" s="2730"/>
      <c r="AL54" s="2730"/>
      <c r="AM54" s="2730"/>
      <c r="AN54" s="2730"/>
      <c r="AO54" s="2730"/>
      <c r="AP54" s="2730"/>
      <c r="AQ54" s="2730"/>
      <c r="AR54" s="2730"/>
      <c r="AS54" s="192"/>
      <c r="AT54" s="2730"/>
      <c r="AU54" s="2730"/>
      <c r="AV54" s="2730"/>
      <c r="AW54" s="2730"/>
      <c r="AX54" s="2730"/>
      <c r="AY54" s="2730"/>
      <c r="AZ54" s="2730"/>
      <c r="BA54" s="2730"/>
      <c r="BB54" s="2730"/>
      <c r="BC54" s="1887"/>
      <c r="BD54" s="119"/>
      <c r="BE54" s="119"/>
      <c r="BF54" s="1028" t="s">
        <v>1031</v>
      </c>
      <c r="BG54" s="1028"/>
      <c r="BH54" s="1028"/>
      <c r="BI54" s="659"/>
      <c r="BJ54" s="659"/>
    </row>
    <row s="119" customFormat="1" customHeight="1" ht="14.625" hidden="1">
      <c r="A55" s="119"/>
      <c r="B55" s="414"/>
      <c r="C55" s="119"/>
      <c r="D55" s="119"/>
      <c r="E55" s="659">
        <v>15</v>
      </c>
      <c r="F55" s="50" cm="1" t="str">
        <f t="array" ref="F55:F55">OFFSET(E55,-1,1)</f>
        <v>0</v>
      </c>
      <c r="G55" s="118" t="s">
        <v>541</v>
      </c>
      <c r="H55" s="119"/>
      <c r="I55" s="119"/>
      <c r="J55" s="119"/>
      <c r="K55" s="893" t="str">
        <f>F28&amp;"8komm"</f>
        <v>08komm</v>
      </c>
      <c r="L55" s="897" cm="1" t="str">
        <f t="array" ref="L55:L55">BC55</f>
        <v>0</v>
      </c>
      <c r="M55" s="119"/>
      <c r="N55" s="119"/>
      <c r="O55" s="119"/>
      <c r="P55" s="119"/>
      <c r="Q55" s="119"/>
      <c r="R55" s="119"/>
      <c r="S55" s="119"/>
      <c r="T55" s="439" cm="1" t="str">
        <f t="array" ref="T55:T55">T54</f>
        <v>false</v>
      </c>
      <c r="U55" s="119"/>
      <c r="V55" s="119"/>
      <c r="W55" s="119"/>
      <c r="X55" s="1443"/>
      <c r="Y55" s="119"/>
      <c r="Z55" s="1549"/>
      <c r="AA55" s="119"/>
      <c r="AB55" s="178">
        <v>8</v>
      </c>
      <c r="AC55" s="179" t="s">
        <v>1032</v>
      </c>
      <c r="AD55" s="178" t="s">
        <v>784</v>
      </c>
      <c r="AE55" s="2730"/>
      <c r="AF55" s="2730"/>
      <c r="AG55" s="2730"/>
      <c r="AH55" s="2730"/>
      <c r="AI55" s="192"/>
      <c r="AJ55" s="2730"/>
      <c r="AK55" s="2730"/>
      <c r="AL55" s="2730"/>
      <c r="AM55" s="2730"/>
      <c r="AN55" s="2730"/>
      <c r="AO55" s="2730"/>
      <c r="AP55" s="2730"/>
      <c r="AQ55" s="2730"/>
      <c r="AR55" s="2730"/>
      <c r="AS55" s="192"/>
      <c r="AT55" s="2730"/>
      <c r="AU55" s="2730"/>
      <c r="AV55" s="2730"/>
      <c r="AW55" s="2730"/>
      <c r="AX55" s="2730"/>
      <c r="AY55" s="2730"/>
      <c r="AZ55" s="2730"/>
      <c r="BA55" s="2730"/>
      <c r="BB55" s="2730"/>
      <c r="BC55" s="1887"/>
      <c r="BD55" s="119"/>
      <c r="BE55" s="119"/>
      <c r="BF55" s="1028" t="s">
        <v>1033</v>
      </c>
      <c r="BG55" s="1028"/>
      <c r="BH55" s="1028"/>
      <c r="BI55" s="659"/>
      <c r="BJ55" s="659"/>
    </row>
    <row s="119" customFormat="1" customHeight="1" ht="14.625" hidden="1">
      <c r="A56" s="119"/>
      <c r="B56" s="414"/>
      <c r="C56" s="119"/>
      <c r="D56" s="119"/>
      <c r="E56" s="659">
        <v>15</v>
      </c>
      <c r="F56" s="50" cm="1" t="str">
        <f t="array" ref="F56:F56">OFFSET(E56,-1,1)</f>
        <v>0</v>
      </c>
      <c r="G56" s="118"/>
      <c r="H56" s="119"/>
      <c r="I56" s="119"/>
      <c r="J56" s="119"/>
      <c r="K56" s="893" t="str">
        <f>F28&amp;"9komm"</f>
        <v>09komm</v>
      </c>
      <c r="L56" s="897" cm="1" t="str">
        <f t="array" ref="L56:L56">BC56</f>
        <v>0</v>
      </c>
      <c r="M56" s="119"/>
      <c r="N56" s="119"/>
      <c r="O56" s="119"/>
      <c r="P56" s="119"/>
      <c r="Q56" s="119"/>
      <c r="R56" s="119"/>
      <c r="S56" s="119"/>
      <c r="T56" s="439" cm="1" t="str">
        <f t="array" ref="T56:T56">T55</f>
        <v>false</v>
      </c>
      <c r="U56" s="119"/>
      <c r="V56" s="119"/>
      <c r="W56" s="119"/>
      <c r="X56" s="1443"/>
      <c r="Y56" s="119"/>
      <c r="Z56" s="1549"/>
      <c r="AA56" s="119"/>
      <c r="AB56" s="178">
        <v>9</v>
      </c>
      <c r="AC56" s="179" t="s">
        <v>1034</v>
      </c>
      <c r="AD56" s="178" t="s">
        <v>784</v>
      </c>
      <c r="AE56" s="2730"/>
      <c r="AF56" s="2730"/>
      <c r="AG56" s="2730"/>
      <c r="AH56" s="2730"/>
      <c r="AI56" s="192"/>
      <c r="AJ56" s="2730"/>
      <c r="AK56" s="2730"/>
      <c r="AL56" s="2730"/>
      <c r="AM56" s="2730"/>
      <c r="AN56" s="2730"/>
      <c r="AO56" s="2730"/>
      <c r="AP56" s="2730"/>
      <c r="AQ56" s="2730"/>
      <c r="AR56" s="2730"/>
      <c r="AS56" s="192"/>
      <c r="AT56" s="2730"/>
      <c r="AU56" s="2730"/>
      <c r="AV56" s="2730"/>
      <c r="AW56" s="2730"/>
      <c r="AX56" s="2730"/>
      <c r="AY56" s="2730"/>
      <c r="AZ56" s="2730"/>
      <c r="BA56" s="2730"/>
      <c r="BB56" s="2730"/>
      <c r="BC56" s="1887"/>
      <c r="BD56" s="119"/>
      <c r="BE56" s="119"/>
      <c r="BF56" s="1028" t="s">
        <v>1035</v>
      </c>
      <c r="BG56" s="1028"/>
      <c r="BH56" s="1028"/>
      <c r="BI56" s="659"/>
      <c r="BJ56" s="659"/>
    </row>
    <row s="1621" customFormat="1" customHeight="1" ht="14.25">
      <c r="A57" s="118"/>
      <c r="B57" s="413"/>
      <c r="C57" s="118"/>
      <c r="D57" s="118"/>
      <c r="E57" s="658">
        <v>15</v>
      </c>
      <c r="F57" s="64" cm="1" t="str">
        <f t="array" ref="F57:F57">X57</f>
        <v>1</v>
      </c>
      <c r="G57" s="118"/>
      <c r="H57" s="118"/>
      <c r="I57" s="867" t="s">
        <v>995</v>
      </c>
      <c r="J57" s="118"/>
      <c r="K57" s="893"/>
      <c r="L57" s="118"/>
      <c r="M57" s="118"/>
      <c r="N57" s="118"/>
      <c r="O57" s="118"/>
      <c r="P57" s="118"/>
      <c r="Q57" s="118"/>
      <c r="R57" s="118"/>
      <c r="S57" s="118"/>
      <c r="T57" s="439">
        <f>X57&gt;0</f>
        <v>1</v>
      </c>
      <c r="U57" s="118"/>
      <c r="V57" s="118" cm="1" t="str">
        <f t="array" ref="V57:V57">Аренда!$AB$37</f>
        <v>Тариф 1 (Водоснабжение) - тариф на техническую воду (Оказание услуг на территории: Прокопьевский муниципальный округ (ОКТМО: 32522000) - п Калачево)</v>
      </c>
      <c r="W57" s="118"/>
      <c r="X57" s="1443" t="s">
        <v>272</v>
      </c>
      <c r="Y57" s="660"/>
      <c r="Z57" s="1549"/>
      <c r="AA57" s="118"/>
      <c r="AB57" s="189" cm="1" t="str">
        <f t="array" ref="AB57:AB57">Аренда!$AB$37</f>
        <v>Тариф 1 (Водоснабжение) - тариф на техническую воду (Оказание услуг на территории: Прокопьевский муниципальный округ (ОКТМО: 32522000) - п Калачево)</v>
      </c>
      <c r="AC57" s="147"/>
      <c r="AD57" s="147"/>
      <c r="AE57" s="273">
        <f>AE63+AE68+AE73+AE78+AE58+AE83+AE84+AE85+AE86</f>
        <v>0</v>
      </c>
      <c r="AF57" s="273">
        <f>AF63+AF68+AF73+AF78+AF58+AF83+AF84+AF85+AF86</f>
        <v>0</v>
      </c>
      <c r="AG57" s="273">
        <f>AG63+AG68+AG73+AG78+AG58+AG83+AG84+AG85+AG86</f>
        <v>0</v>
      </c>
      <c r="AH57" s="273">
        <f>AH63+AH68+AH73+AH78+AH58+AH83+AH84+AH85+AH86</f>
        <v>0</v>
      </c>
      <c r="AI57" s="273">
        <f>AI63+AI68+AI73+AI78+AI58+AI83+AI84+AI85+AI86</f>
        <v>0</v>
      </c>
      <c r="AJ57" s="273">
        <f>AJ63+AJ68+AJ73+AJ78+AJ58+AJ83+AJ84+AJ85+AJ86</f>
        <v>0</v>
      </c>
      <c r="AK57" s="273">
        <f>AK63+AK68+AK73+AK78+AK58+AK83+AK84+AK85+AK86</f>
        <v>0</v>
      </c>
      <c r="AL57" s="273">
        <f>AL63+AL68+AL73+AL78+AL58+AL83+AL84+AL85+AL86</f>
        <v>0</v>
      </c>
      <c r="AM57" s="273">
        <f>AM63+AM68+AM73+AM78+AM58+AM83+AM84+AM85+AM86</f>
        <v>0</v>
      </c>
      <c r="AN57" s="273">
        <f>AN63+AN68+AN73+AN78+AN58+AN83+AN84+AN85+AN86</f>
        <v>0</v>
      </c>
      <c r="AO57" s="273">
        <f>AO63+AO68+AO73+AO78+AO58+AO83+AO84+AO85+AO86</f>
        <v>0</v>
      </c>
      <c r="AP57" s="273">
        <f>AP63+AP68+AP73+AP78+AP58+AP83+AP84+AP85+AP86</f>
        <v>0</v>
      </c>
      <c r="AQ57" s="273">
        <f>AQ63+AQ68+AQ73+AQ78+AQ58+AQ83+AQ84+AQ85+AQ86</f>
        <v>0</v>
      </c>
      <c r="AR57" s="273">
        <f>AR63+AR68+AR73+AR78+AR58+AR83+AR84+AR85+AR86</f>
        <v>0</v>
      </c>
      <c r="AS57" s="273">
        <f>AS63+AS68+AS73+AS78+AS58+AS83+AS84+AS85+AS86</f>
        <v>0</v>
      </c>
      <c r="AT57" s="273">
        <f>AT63+AT68+AT73+AT78+AT58+AT83+AT84+AT85+AT86</f>
        <v>0</v>
      </c>
      <c r="AU57" s="273">
        <f>AU63+AU68+AU73+AU78+AU58+AU83+AU84+AU85+AU86</f>
        <v>0</v>
      </c>
      <c r="AV57" s="273">
        <f>AV63+AV68+AV73+AV78+AV58+AV83+AV84+AV85+AV86</f>
        <v>0</v>
      </c>
      <c r="AW57" s="273">
        <f>AW63+AW68+AW73+AW78+AW58+AW83+AW84+AW85+AW86</f>
        <v>0</v>
      </c>
      <c r="AX57" s="273">
        <f>AX63+AX68+AX73+AX78+AX58+AX83+AX84+AX85+AX86</f>
        <v>0</v>
      </c>
      <c r="AY57" s="273">
        <f>AY63+AY68+AY73+AY78+AY58+AY83+AY84+AY85+AY86</f>
        <v>0</v>
      </c>
      <c r="AZ57" s="273">
        <f>AZ63+AZ68+AZ73+AZ78+AZ58+AZ83+AZ84+AZ85+AZ86</f>
        <v>0</v>
      </c>
      <c r="BA57" s="273">
        <f>BA63+BA68+BA73+BA78+BA58+BA83+BA84+BA85+BA86</f>
        <v>0</v>
      </c>
      <c r="BB57" s="273">
        <f>BB63+BB68+BB73+BB78+BB58+BB83+BB84+BB85+BB86</f>
        <v>0</v>
      </c>
      <c r="BC57" s="191"/>
      <c r="BD57" s="118"/>
      <c r="BE57" s="118"/>
      <c r="BF57" s="1025"/>
      <c r="BG57" s="1025"/>
      <c r="BH57" s="1025"/>
      <c r="BI57" s="658"/>
      <c r="BJ57" s="658"/>
    </row>
    <row s="1621" customFormat="1" customHeight="1" ht="14.25">
      <c r="A58" s="118"/>
      <c r="B58" s="413"/>
      <c r="C58" s="118"/>
      <c r="D58" s="118"/>
      <c r="E58" s="658">
        <v>15</v>
      </c>
      <c r="F58" s="50" cm="1" t="str">
        <f t="array" ref="F58:F58">OFFSET(E58,-1,1)</f>
        <v>1</v>
      </c>
      <c r="G58" s="118" t="s">
        <v>325</v>
      </c>
      <c r="H58" s="118"/>
      <c r="I58" s="118"/>
      <c r="J58" s="118"/>
      <c r="K58" s="893" t="str">
        <f>F58&amp;"1komm"</f>
        <v>11komm</v>
      </c>
      <c r="L58" s="897" cm="1" t="str">
        <f t="array" ref="L58:L58">BC58</f>
        <v>0</v>
      </c>
      <c r="M58" s="118"/>
      <c r="N58" s="118"/>
      <c r="O58" s="118"/>
      <c r="P58" s="118"/>
      <c r="Q58" s="118"/>
      <c r="R58" s="118"/>
      <c r="S58" s="118"/>
      <c r="T58" s="439" cm="1" t="str">
        <f t="array" ref="T58:T58">T57</f>
        <v>true</v>
      </c>
      <c r="U58" s="118"/>
      <c r="V58" s="118"/>
      <c r="W58" s="118"/>
      <c r="X58" s="1443"/>
      <c r="Y58" s="118"/>
      <c r="Z58" s="1549"/>
      <c r="AA58" s="118"/>
      <c r="AB58" s="178">
        <v>1</v>
      </c>
      <c r="AC58" s="179" t="s">
        <v>996</v>
      </c>
      <c r="AD58" s="178" t="s">
        <v>784</v>
      </c>
      <c r="AE58" s="180">
        <f>SUMIF(AD60:AD62,AD58,AE60:AE62)</f>
        <v>0</v>
      </c>
      <c r="AF58" s="180">
        <f>SUMIF(AD60:AD62,AD58,AF60:AF62)</f>
        <v>0</v>
      </c>
      <c r="AG58" s="180">
        <f>SUMIF(AD60:AD62,AD58,AG60:AG62)</f>
        <v>0</v>
      </c>
      <c r="AH58" s="180">
        <f>SUMIF(AD60:AD62,AD58,AH60:AH62)</f>
        <v>0</v>
      </c>
      <c r="AI58" s="180">
        <f>SUMIF(AD60:AD62,AD58,AI60:AI62)</f>
        <v>0</v>
      </c>
      <c r="AJ58" s="2730">
        <f>SUMIF(AD60:AD62,AD58,AJ60:AJ62)</f>
        <v>0</v>
      </c>
      <c r="AK58" s="2730">
        <f>SUMIF(AD60:AD62,AD58,AK60:AK62)</f>
        <v>0</v>
      </c>
      <c r="AL58" s="192">
        <f>SUMIF(AD60:AD62,AD58,AL60:AL62)</f>
        <v>0</v>
      </c>
      <c r="AM58" s="192">
        <f>SUMIF(AD60:AD62,AD58,AM60:AM62)</f>
        <v>0</v>
      </c>
      <c r="AN58" s="192">
        <f>SUMIF(AD60:AD62,AD58,AN60:AN62)</f>
        <v>0</v>
      </c>
      <c r="AO58" s="192">
        <f>SUMIF(AD60:AD62,AD58,AO60:AO62)</f>
        <v>0</v>
      </c>
      <c r="AP58" s="192">
        <f>SUMIF(AD60:AD62,AD58,AP60:AP62)</f>
        <v>0</v>
      </c>
      <c r="AQ58" s="192">
        <f>SUMIF(AD60:AD62,AD58,AQ60:AQ62)</f>
        <v>0</v>
      </c>
      <c r="AR58" s="192">
        <f>SUMIF(AD60:AD62,AD58,AR60:AR62)</f>
        <v>0</v>
      </c>
      <c r="AS58" s="180">
        <f>SUMIF(AD60:AD62,AD58,AS60:AS62)</f>
        <v>0</v>
      </c>
      <c r="AT58" s="2730">
        <f>SUMIF(AD60:AD62,AD58,AT60:AT62)</f>
        <v>0</v>
      </c>
      <c r="AU58" s="2730">
        <f>SUMIF(AD60:AD62,AD58,AU60:AU62)</f>
        <v>0</v>
      </c>
      <c r="AV58" s="192">
        <f>SUMIF(AD60:AD62,AD58,AV60:AV62)</f>
        <v>0</v>
      </c>
      <c r="AW58" s="192">
        <f>SUMIF(AD60:AD62,AD58,AW60:AW62)</f>
        <v>0</v>
      </c>
      <c r="AX58" s="192">
        <f>SUMIF(AD60:AD62,AD58,AX60:AX62)</f>
        <v>0</v>
      </c>
      <c r="AY58" s="192">
        <f>SUMIF(AD60:AD62,AD58,AY60:AY62)</f>
        <v>0</v>
      </c>
      <c r="AZ58" s="192">
        <f>SUMIF(AD60:AD62,AD58,AZ60:AZ62)</f>
        <v>0</v>
      </c>
      <c r="BA58" s="192">
        <f>SUMIF(AD60:AD62,AD58,BA60:BA62)</f>
        <v>0</v>
      </c>
      <c r="BB58" s="192">
        <f>SUMIF(AD60:AD62,AD58,BB60:BB62)</f>
        <v>0</v>
      </c>
      <c r="BC58" s="167"/>
      <c r="BD58" s="118"/>
      <c r="BE58" s="118"/>
      <c r="BF58" s="1025" t="s">
        <v>997</v>
      </c>
      <c r="BG58" s="1025"/>
      <c r="BH58" s="1025"/>
      <c r="BI58" s="658"/>
      <c r="BJ58" s="658"/>
    </row>
    <row s="1621" customFormat="1" customHeight="1" ht="15" hidden="1">
      <c r="A59" s="118"/>
      <c r="B59" s="413"/>
      <c r="C59" s="118"/>
      <c r="D59" s="118"/>
      <c r="E59" s="658">
        <v>0</v>
      </c>
      <c r="F59" s="50" cm="1" t="str">
        <f t="array" ref="F59:F59">OFFSET(E59,-1,1)</f>
        <v>1</v>
      </c>
      <c r="G59" s="118"/>
      <c r="H59" s="118"/>
      <c r="I59" s="118"/>
      <c r="J59" s="118"/>
      <c r="K59" s="893"/>
      <c r="L59" s="897"/>
      <c r="M59" s="118"/>
      <c r="N59" s="118"/>
      <c r="O59" s="118"/>
      <c r="P59" s="118"/>
      <c r="Q59" s="118"/>
      <c r="R59" s="118"/>
      <c r="S59" s="118"/>
      <c r="T59" s="439" t="b">
        <v>0</v>
      </c>
      <c r="U59" s="118"/>
      <c r="V59" s="118"/>
      <c r="W59" s="118" t="s">
        <v>173</v>
      </c>
      <c r="X59" s="1443"/>
      <c r="Y59" s="1443">
        <v>0</v>
      </c>
      <c r="Z59" s="1549"/>
      <c r="AA59" s="1550" t="s">
        <v>174</v>
      </c>
      <c r="AB59" s="178"/>
      <c r="AC59" s="179"/>
      <c r="AD59" s="178"/>
      <c r="AE59" s="183">
        <f>OR(AND(AE60&lt;&gt;"",AE61=""),AND(AE60="",AE61&lt;&gt;""))</f>
        <v>0</v>
      </c>
      <c r="AF59" s="183">
        <f>OR(AND(AF60&lt;&gt;"",AF61=""),AND(AF60="",AF61&lt;&gt;""))</f>
        <v>0</v>
      </c>
      <c r="AG59" s="183">
        <f>OR(AND(AG60&lt;&gt;"",AG61=""),AND(AG60="",AG61&lt;&gt;""))</f>
        <v>0</v>
      </c>
      <c r="AH59" s="183">
        <f>OR(AND(AH60&lt;&gt;"",AH61=""),AND(AH60="",AH61&lt;&gt;""))</f>
        <v>0</v>
      </c>
      <c r="AI59" s="183">
        <f>OR(AND(AI60&lt;&gt;"",AI61=""),AND(AI60="",AI61&lt;&gt;""))</f>
        <v>0</v>
      </c>
      <c r="AJ59" s="183">
        <f>OR(AND(AJ60&lt;&gt;"",AJ61=""),AND(AJ60="",AJ61&lt;&gt;""))</f>
        <v>0</v>
      </c>
      <c r="AK59" s="183">
        <f>OR(AND(AK60&lt;&gt;"",AK61=""),AND(AK60="",AK61&lt;&gt;""))</f>
        <v>0</v>
      </c>
      <c r="AL59" s="183">
        <f>OR(AND(AL60&lt;&gt;"",AL61=""),AND(AL60="",AL61&lt;&gt;""))</f>
        <v>0</v>
      </c>
      <c r="AM59" s="183">
        <f>OR(AND(AM60&lt;&gt;"",AM61=""),AND(AM60="",AM61&lt;&gt;""))</f>
        <v>0</v>
      </c>
      <c r="AN59" s="183">
        <f>OR(AND(AN60&lt;&gt;"",AN61=""),AND(AN60="",AN61&lt;&gt;""))</f>
        <v>0</v>
      </c>
      <c r="AO59" s="183">
        <f>OR(AND(AO60&lt;&gt;"",AO61=""),AND(AO60="",AO61&lt;&gt;""))</f>
        <v>0</v>
      </c>
      <c r="AP59" s="183">
        <f>OR(AND(AP60&lt;&gt;"",AP61=""),AND(AP60="",AP61&lt;&gt;""))</f>
        <v>0</v>
      </c>
      <c r="AQ59" s="183">
        <f>OR(AND(AQ60&lt;&gt;"",AQ61=""),AND(AQ60="",AQ61&lt;&gt;""))</f>
        <v>0</v>
      </c>
      <c r="AR59" s="183">
        <f>OR(AND(AR60&lt;&gt;"",AR61=""),AND(AR60="",AR61&lt;&gt;""))</f>
        <v>0</v>
      </c>
      <c r="AS59" s="183">
        <f>OR(AND(AS60&lt;&gt;"",AS61=""),AND(AS60="",AS61&lt;&gt;""))</f>
        <v>0</v>
      </c>
      <c r="AT59" s="183">
        <f>OR(AND(AT60&lt;&gt;"",AT61=""),AND(AT60="",AT61&lt;&gt;""))</f>
        <v>0</v>
      </c>
      <c r="AU59" s="183">
        <f>OR(AND(AU60&lt;&gt;"",AU61=""),AND(AU60="",AU61&lt;&gt;""))</f>
        <v>0</v>
      </c>
      <c r="AV59" s="183">
        <f>OR(AND(AV60&lt;&gt;"",AV61=""),AND(AV60="",AV61&lt;&gt;""))</f>
        <v>0</v>
      </c>
      <c r="AW59" s="183">
        <f>OR(AND(AW60&lt;&gt;"",AW61=""),AND(AW60="",AW61&lt;&gt;""))</f>
        <v>0</v>
      </c>
      <c r="AX59" s="183">
        <f>OR(AND(AX60&lt;&gt;"",AX61=""),AND(AX60="",AX61&lt;&gt;""))</f>
        <v>0</v>
      </c>
      <c r="AY59" s="183">
        <f>OR(AND(AY60&lt;&gt;"",AY61=""),AND(AY60="",AY61&lt;&gt;""))</f>
        <v>0</v>
      </c>
      <c r="AZ59" s="183">
        <f>OR(AND(AZ60&lt;&gt;"",AZ61=""),AND(AZ60="",AZ61&lt;&gt;""))</f>
        <v>0</v>
      </c>
      <c r="BA59" s="183">
        <f>OR(AND(BA60&lt;&gt;"",BA61=""),AND(BA60="",BA61&lt;&gt;""))</f>
        <v>0</v>
      </c>
      <c r="BB59" s="183">
        <f>OR(AND(BB60&lt;&gt;"",BB61=""),AND(BB60="",BB61&lt;&gt;""))</f>
        <v>0</v>
      </c>
      <c r="BC59" s="957"/>
      <c r="BD59" s="118"/>
      <c r="BE59" s="118"/>
      <c r="BF59" s="1025"/>
      <c r="BG59" s="1025"/>
      <c r="BH59" s="1025"/>
      <c r="BI59" s="658"/>
      <c r="BJ59" s="658"/>
    </row>
    <row s="1621" customFormat="1" customHeight="1" ht="14.25" hidden="1">
      <c r="A60" s="118"/>
      <c r="B60" s="413"/>
      <c r="C60" s="118"/>
      <c r="D60" s="118"/>
      <c r="E60" s="658">
        <v>15</v>
      </c>
      <c r="F60" s="50" cm="1" t="str">
        <f t="array" ref="F60:F60">OFFSET(E60,-1,1)</f>
        <v>1</v>
      </c>
      <c r="G60" s="118" t="s">
        <v>325</v>
      </c>
      <c r="H60" s="121" cm="1" t="str">
        <f t="array" ref="H60:H60">AC60</f>
        <v>0</v>
      </c>
      <c r="I60" s="118" t="s">
        <v>998</v>
      </c>
      <c r="J60" s="118"/>
      <c r="K60" s="893"/>
      <c r="L60" s="118"/>
      <c r="M60" s="118"/>
      <c r="N60" s="118"/>
      <c r="O60" s="118"/>
      <c r="P60" s="118"/>
      <c r="Q60" s="118"/>
      <c r="R60" s="118"/>
      <c r="S60" s="118"/>
      <c r="T60" s="439">
        <f>AND(F60&gt;0,Y59&gt;0)</f>
        <v>0</v>
      </c>
      <c r="U60" s="118"/>
      <c r="V60" s="118"/>
      <c r="W60" s="118"/>
      <c r="X60" s="1443"/>
      <c r="Y60" s="1443"/>
      <c r="Z60" s="1549"/>
      <c r="AA60" s="1550"/>
      <c r="AB60" s="54" t="str">
        <f>"1."&amp;Y59</f>
        <v>1.0</v>
      </c>
      <c r="AC60" s="241"/>
      <c r="AD60" s="178" t="s">
        <v>784</v>
      </c>
      <c r="AE60" s="2614"/>
      <c r="AF60" s="2614"/>
      <c r="AG60" s="2614"/>
      <c r="AH60" s="2614"/>
      <c r="AI60" s="182"/>
      <c r="AJ60" s="2614"/>
      <c r="AK60" s="2614"/>
      <c r="AL60" s="2614"/>
      <c r="AM60" s="2614"/>
      <c r="AN60" s="2614"/>
      <c r="AO60" s="2614"/>
      <c r="AP60" s="2614"/>
      <c r="AQ60" s="2614"/>
      <c r="AR60" s="2614"/>
      <c r="AS60" s="182"/>
      <c r="AT60" s="2614"/>
      <c r="AU60" s="2614"/>
      <c r="AV60" s="2614"/>
      <c r="AW60" s="2614"/>
      <c r="AX60" s="2614"/>
      <c r="AY60" s="2614"/>
      <c r="AZ60" s="2614"/>
      <c r="BA60" s="2614"/>
      <c r="BB60" s="2614"/>
      <c r="BC60" s="1887"/>
      <c r="BD60" s="118"/>
      <c r="BE60" s="118"/>
      <c r="BF60" s="1025" t="s">
        <v>999</v>
      </c>
      <c r="BG60" s="1025" t="s">
        <v>1000</v>
      </c>
      <c r="BH60" s="1025" cm="1" t="str">
        <f t="array" ref="BH60:BH60">AC60</f>
        <v>0</v>
      </c>
      <c r="BI60" s="658"/>
      <c r="BJ60" s="658" t="b">
        <v>1</v>
      </c>
    </row>
    <row s="1621" customFormat="1" customHeight="1" ht="14.25" hidden="1">
      <c r="A61" s="118"/>
      <c r="B61" s="413"/>
      <c r="C61" s="118"/>
      <c r="D61" s="118"/>
      <c r="E61" s="658">
        <v>15</v>
      </c>
      <c r="F61" s="50" cm="1" t="str">
        <f t="array" ref="F61:F61">OFFSET(E61,-1,1)</f>
        <v>1</v>
      </c>
      <c r="G61" s="118" t="s">
        <v>441</v>
      </c>
      <c r="H61" s="121" cm="1" t="str">
        <f t="array" ref="H61:H61">H60</f>
        <v>0</v>
      </c>
      <c r="I61" s="118" t="s">
        <v>998</v>
      </c>
      <c r="J61" s="118"/>
      <c r="K61" s="893"/>
      <c r="L61" s="118"/>
      <c r="M61" s="118"/>
      <c r="N61" s="118"/>
      <c r="O61" s="118"/>
      <c r="P61" s="118"/>
      <c r="Q61" s="118"/>
      <c r="R61" s="118"/>
      <c r="S61" s="118"/>
      <c r="T61" s="439" cm="1" t="str">
        <f t="array" ref="T61:T61">T60</f>
        <v>false</v>
      </c>
      <c r="U61" s="118"/>
      <c r="V61" s="118"/>
      <c r="W61" s="118"/>
      <c r="X61" s="1443"/>
      <c r="Y61" s="1443"/>
      <c r="Z61" s="1549"/>
      <c r="AA61" s="1550"/>
      <c r="AB61" s="54" t="str">
        <f>AB60&amp;".1"</f>
        <v>1.0.1</v>
      </c>
      <c r="AC61" s="188" t="s">
        <v>1001</v>
      </c>
      <c r="AD61" s="54" t="s">
        <v>512</v>
      </c>
      <c r="AE61" s="2614"/>
      <c r="AF61" s="2614"/>
      <c r="AG61" s="2614"/>
      <c r="AH61" s="2614"/>
      <c r="AI61" s="182"/>
      <c r="AJ61" s="2614"/>
      <c r="AK61" s="2614"/>
      <c r="AL61" s="2614"/>
      <c r="AM61" s="2614"/>
      <c r="AN61" s="2614"/>
      <c r="AO61" s="2614"/>
      <c r="AP61" s="2614"/>
      <c r="AQ61" s="2614"/>
      <c r="AR61" s="2614"/>
      <c r="AS61" s="182"/>
      <c r="AT61" s="2614"/>
      <c r="AU61" s="2614"/>
      <c r="AV61" s="2614"/>
      <c r="AW61" s="2614"/>
      <c r="AX61" s="2614"/>
      <c r="AY61" s="2614"/>
      <c r="AZ61" s="2614"/>
      <c r="BA61" s="2614"/>
      <c r="BB61" s="2614"/>
      <c r="BC61" s="1887"/>
      <c r="BD61" s="118"/>
      <c r="BE61" s="118"/>
      <c r="BF61" s="1025" t="s">
        <v>1002</v>
      </c>
      <c r="BG61" s="1025" t="s">
        <v>1000</v>
      </c>
      <c r="BH61" s="1025" cm="1" t="str">
        <f t="array" ref="BH61:BH61">BH60</f>
        <v>0</v>
      </c>
      <c r="BI61" s="658"/>
      <c r="BJ61" s="658"/>
    </row>
    <row s="1621" customFormat="1" customHeight="1" ht="14.25">
      <c r="A62" s="118"/>
      <c r="B62" s="413"/>
      <c r="C62" s="118"/>
      <c r="D62" s="118"/>
      <c r="E62" s="658">
        <v>15</v>
      </c>
      <c r="F62" s="50" cm="1" t="str">
        <f t="array" ref="F62:F62">OFFSET(E62,-1,1)</f>
        <v>1</v>
      </c>
      <c r="G62" s="118"/>
      <c r="H62" s="118" t="str">
        <f>"!=='не определено' &amp;&amp; row.l1 !== null"</f>
        <v>!=='не определено' &amp;&amp; row.l1 !== null</v>
      </c>
      <c r="I62" s="118"/>
      <c r="J62" s="118"/>
      <c r="K62" s="893"/>
      <c r="L62" s="118"/>
      <c r="M62" s="118"/>
      <c r="N62" s="118"/>
      <c r="O62" s="118"/>
      <c r="P62" s="118"/>
      <c r="Q62" s="118"/>
      <c r="R62" s="118"/>
      <c r="S62" s="118"/>
      <c r="T62" s="439">
        <f>F62&gt;0</f>
        <v>1</v>
      </c>
      <c r="U62" s="118"/>
      <c r="V62" s="118"/>
      <c r="W62" s="665" t="s">
        <v>1003</v>
      </c>
      <c r="X62" s="1443"/>
      <c r="Y62" s="118"/>
      <c r="Z62" s="1549"/>
      <c r="AA62" s="118"/>
      <c r="AB62" s="661"/>
      <c r="AC62" s="199" t="s">
        <v>1004</v>
      </c>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200"/>
      <c r="BD62" s="118"/>
      <c r="BE62" s="118"/>
      <c r="BF62" s="1025"/>
      <c r="BG62" s="1025"/>
      <c r="BH62" s="1025"/>
      <c r="BI62" s="658" t="s">
        <v>1000</v>
      </c>
      <c r="BJ62" s="658"/>
    </row>
    <row s="1621" customFormat="1" customHeight="1" ht="21.75">
      <c r="A63" s="118"/>
      <c r="B63" s="413"/>
      <c r="C63" s="118"/>
      <c r="D63" s="118"/>
      <c r="E63" s="658">
        <v>22.5</v>
      </c>
      <c r="F63" s="50" cm="1" t="str">
        <f t="array" ref="F63:F63">OFFSET(E63,-1,1)</f>
        <v>1</v>
      </c>
      <c r="G63" s="118"/>
      <c r="H63" s="118"/>
      <c r="I63" s="118"/>
      <c r="J63" s="118"/>
      <c r="K63" s="893" t="str">
        <f>F58&amp;"2komm"</f>
        <v>12komm</v>
      </c>
      <c r="L63" s="897" cm="1" t="str">
        <f t="array" ref="L63:L63">BC63</f>
        <v>0</v>
      </c>
      <c r="M63" s="118"/>
      <c r="N63" s="118"/>
      <c r="O63" s="118"/>
      <c r="P63" s="118"/>
      <c r="Q63" s="118"/>
      <c r="R63" s="118"/>
      <c r="S63" s="118"/>
      <c r="T63" s="439" cm="1" t="str">
        <f t="array" ref="T63:T63">T62</f>
        <v>true</v>
      </c>
      <c r="U63" s="118"/>
      <c r="V63" s="118"/>
      <c r="W63" s="118"/>
      <c r="X63" s="1443"/>
      <c r="Y63" s="664"/>
      <c r="Z63" s="1549"/>
      <c r="AA63" s="118"/>
      <c r="AB63" s="178">
        <v>2</v>
      </c>
      <c r="AC63" s="179" t="s">
        <v>1005</v>
      </c>
      <c r="AD63" s="178" t="s">
        <v>784</v>
      </c>
      <c r="AE63" s="180">
        <f>SUMIF(AD65:AD67,AD63,AE65:AE67)</f>
        <v>0</v>
      </c>
      <c r="AF63" s="180">
        <f>SUMIF(AD65:AD67,AD63,AF65:AF67)</f>
        <v>0</v>
      </c>
      <c r="AG63" s="180">
        <f>SUMIF(AD65:AD67,AD63,AG65:AG67)</f>
        <v>0</v>
      </c>
      <c r="AH63" s="180">
        <f>SUMIF(AD65:AD67,AD63,AH65:AH67)</f>
        <v>0</v>
      </c>
      <c r="AI63" s="180">
        <f>SUMIF(AD65:AD67,AD63,AI65:AI67)</f>
        <v>0</v>
      </c>
      <c r="AJ63" s="2730">
        <f>SUMIF(AD65:AD67,AD63,AJ65:AJ67)</f>
        <v>0</v>
      </c>
      <c r="AK63" s="2730">
        <f>SUMIF(AD65:AD67,AD63,AK65:AK67)</f>
        <v>0</v>
      </c>
      <c r="AL63" s="192">
        <f>SUMIF(AD65:AD67,AD63,AL65:AL67)</f>
        <v>0</v>
      </c>
      <c r="AM63" s="192">
        <f>SUMIF(AD65:AD67,AD63,AM65:AM67)</f>
        <v>0</v>
      </c>
      <c r="AN63" s="192">
        <f>SUMIF(AD65:AD67,AD63,AN65:AN67)</f>
        <v>0</v>
      </c>
      <c r="AO63" s="192">
        <f>SUMIF(AD65:AD67,AD63,AO65:AO67)</f>
        <v>0</v>
      </c>
      <c r="AP63" s="192">
        <f>SUMIF(AD65:AD67,AD63,AP65:AP67)</f>
        <v>0</v>
      </c>
      <c r="AQ63" s="192">
        <f>SUMIF(AD65:AD67,AD63,AQ65:AQ67)</f>
        <v>0</v>
      </c>
      <c r="AR63" s="192">
        <f>SUMIF(AD65:AD67,AD63,AR65:AR67)</f>
        <v>0</v>
      </c>
      <c r="AS63" s="180">
        <f>SUMIF(AD65:AD67,AD63,AS65:AS67)</f>
        <v>0</v>
      </c>
      <c r="AT63" s="2730">
        <f>SUMIF(AD65:AD67,AD63,AT65:AT67)</f>
        <v>0</v>
      </c>
      <c r="AU63" s="2730">
        <f>SUMIF(AD65:AD67,AD63,AU65:AU67)</f>
        <v>0</v>
      </c>
      <c r="AV63" s="192">
        <f>SUMIF(AD65:AD67,AD63,AV65:AV67)</f>
        <v>0</v>
      </c>
      <c r="AW63" s="192">
        <f>SUMIF(AD65:AD67,AD63,AW65:AW67)</f>
        <v>0</v>
      </c>
      <c r="AX63" s="192">
        <f>SUMIF(AD65:AD67,AD63,AX65:AX67)</f>
        <v>0</v>
      </c>
      <c r="AY63" s="192">
        <f>SUMIF(AD65:AD67,AD63,AY65:AY67)</f>
        <v>0</v>
      </c>
      <c r="AZ63" s="192">
        <f>SUMIF(AD65:AD67,AD63,AZ65:AZ67)</f>
        <v>0</v>
      </c>
      <c r="BA63" s="192">
        <f>SUMIF(AD65:AD67,AD63,BA65:BA67)</f>
        <v>0</v>
      </c>
      <c r="BB63" s="192">
        <f>SUMIF(AD65:AD67,AD63,BB65:BB67)</f>
        <v>0</v>
      </c>
      <c r="BC63" s="167"/>
      <c r="BD63" s="118"/>
      <c r="BE63" s="118"/>
      <c r="BF63" s="1025" t="s">
        <v>1006</v>
      </c>
      <c r="BG63" s="1025"/>
      <c r="BH63" s="1025"/>
      <c r="BI63" s="658"/>
      <c r="BJ63" s="658"/>
    </row>
    <row s="1621" customFormat="1" customHeight="1" ht="15" hidden="1">
      <c r="A64" s="118"/>
      <c r="B64" s="413"/>
      <c r="C64" s="118"/>
      <c r="D64" s="118"/>
      <c r="E64" s="658">
        <v>0</v>
      </c>
      <c r="F64" s="50" cm="1" t="str">
        <f t="array" ref="F64:F64">OFFSET(E64,-1,1)</f>
        <v>1</v>
      </c>
      <c r="G64" s="118" t="s">
        <v>326</v>
      </c>
      <c r="H64" s="118"/>
      <c r="I64" s="118"/>
      <c r="J64" s="118"/>
      <c r="K64" s="893"/>
      <c r="L64" s="897"/>
      <c r="M64" s="118"/>
      <c r="N64" s="118"/>
      <c r="O64" s="118"/>
      <c r="P64" s="118"/>
      <c r="Q64" s="118"/>
      <c r="R64" s="118"/>
      <c r="S64" s="118"/>
      <c r="T64" s="439" t="b">
        <v>0</v>
      </c>
      <c r="U64" s="118"/>
      <c r="V64" s="118"/>
      <c r="W64" s="118" t="s">
        <v>173</v>
      </c>
      <c r="X64" s="1443"/>
      <c r="Y64" s="1443">
        <v>0</v>
      </c>
      <c r="Z64" s="1549"/>
      <c r="AA64" s="1551" t="s">
        <v>174</v>
      </c>
      <c r="AB64" s="178"/>
      <c r="AC64" s="179"/>
      <c r="AD64" s="178"/>
      <c r="AE64" s="183">
        <f>OR(AND(AE65&lt;&gt;"",AE66=""),AND(AE65="",AE66&lt;&gt;""))</f>
        <v>0</v>
      </c>
      <c r="AF64" s="183">
        <f>OR(AND(AF65&lt;&gt;"",AF66=""),AND(AF65="",AF66&lt;&gt;""))</f>
        <v>0</v>
      </c>
      <c r="AG64" s="183">
        <f>OR(AND(AG65&lt;&gt;"",AG66=""),AND(AG65="",AG66&lt;&gt;""))</f>
        <v>0</v>
      </c>
      <c r="AH64" s="183">
        <f>OR(AND(AH65&lt;&gt;"",AH66=""),AND(AH65="",AH66&lt;&gt;""))</f>
        <v>0</v>
      </c>
      <c r="AI64" s="183">
        <f>OR(AND(AI65&lt;&gt;"",AI66=""),AND(AI65="",AI66&lt;&gt;""))</f>
        <v>0</v>
      </c>
      <c r="AJ64" s="183">
        <f>OR(AND(AJ65&lt;&gt;"",AJ66=""),AND(AJ65="",AJ66&lt;&gt;""))</f>
        <v>0</v>
      </c>
      <c r="AK64" s="183">
        <f>OR(AND(AK65&lt;&gt;"",AK66=""),AND(AK65="",AK66&lt;&gt;""))</f>
        <v>0</v>
      </c>
      <c r="AL64" s="183">
        <f>OR(AND(AL65&lt;&gt;"",AL66=""),AND(AL65="",AL66&lt;&gt;""))</f>
        <v>0</v>
      </c>
      <c r="AM64" s="183">
        <f>OR(AND(AM65&lt;&gt;"",AM66=""),AND(AM65="",AM66&lt;&gt;""))</f>
        <v>0</v>
      </c>
      <c r="AN64" s="183">
        <f>OR(AND(AN65&lt;&gt;"",AN66=""),AND(AN65="",AN66&lt;&gt;""))</f>
        <v>0</v>
      </c>
      <c r="AO64" s="183">
        <f>OR(AND(AO65&lt;&gt;"",AO66=""),AND(AO65="",AO66&lt;&gt;""))</f>
        <v>0</v>
      </c>
      <c r="AP64" s="183">
        <f>OR(AND(AP65&lt;&gt;"",AP66=""),AND(AP65="",AP66&lt;&gt;""))</f>
        <v>0</v>
      </c>
      <c r="AQ64" s="183">
        <f>OR(AND(AQ65&lt;&gt;"",AQ66=""),AND(AQ65="",AQ66&lt;&gt;""))</f>
        <v>0</v>
      </c>
      <c r="AR64" s="183">
        <f>OR(AND(AR65&lt;&gt;"",AR66=""),AND(AR65="",AR66&lt;&gt;""))</f>
        <v>0</v>
      </c>
      <c r="AS64" s="183">
        <f>OR(AND(AS65&lt;&gt;"",AS66=""),AND(AS65="",AS66&lt;&gt;""))</f>
        <v>0</v>
      </c>
      <c r="AT64" s="183">
        <f>OR(AND(AT65&lt;&gt;"",AT66=""),AND(AT65="",AT66&lt;&gt;""))</f>
        <v>0</v>
      </c>
      <c r="AU64" s="183">
        <f>OR(AND(AU65&lt;&gt;"",AU66=""),AND(AU65="",AU66&lt;&gt;""))</f>
        <v>0</v>
      </c>
      <c r="AV64" s="183">
        <f>OR(AND(AV65&lt;&gt;"",AV66=""),AND(AV65="",AV66&lt;&gt;""))</f>
        <v>0</v>
      </c>
      <c r="AW64" s="183">
        <f>OR(AND(AW65&lt;&gt;"",AW66=""),AND(AW65="",AW66&lt;&gt;""))</f>
        <v>0</v>
      </c>
      <c r="AX64" s="183">
        <f>OR(AND(AX65&lt;&gt;"",AX66=""),AND(AX65="",AX66&lt;&gt;""))</f>
        <v>0</v>
      </c>
      <c r="AY64" s="183">
        <f>OR(AND(AY65&lt;&gt;"",AY66=""),AND(AY65="",AY66&lt;&gt;""))</f>
        <v>0</v>
      </c>
      <c r="AZ64" s="183">
        <f>OR(AND(AZ65&lt;&gt;"",AZ66=""),AND(AZ65="",AZ66&lt;&gt;""))</f>
        <v>0</v>
      </c>
      <c r="BA64" s="183">
        <f>OR(AND(BA65&lt;&gt;"",BA66=""),AND(BA65="",BA66&lt;&gt;""))</f>
        <v>0</v>
      </c>
      <c r="BB64" s="183">
        <f>OR(AND(BB65&lt;&gt;"",BB66=""),AND(BB65="",BB66&lt;&gt;""))</f>
        <v>0</v>
      </c>
      <c r="BC64" s="957"/>
      <c r="BD64" s="118"/>
      <c r="BE64" s="118"/>
      <c r="BF64" s="1025"/>
      <c r="BG64" s="1025"/>
      <c r="BH64" s="1025"/>
      <c r="BI64" s="658"/>
      <c r="BJ64" s="658"/>
    </row>
    <row s="1621" customFormat="1" customHeight="1" ht="14.25" hidden="1">
      <c r="A65" s="118"/>
      <c r="B65" s="413"/>
      <c r="C65" s="118"/>
      <c r="D65" s="118"/>
      <c r="E65" s="658">
        <v>15</v>
      </c>
      <c r="F65" s="50" cm="1" t="str">
        <f t="array" ref="F65:F65">OFFSET(E65,-1,1)</f>
        <v>1</v>
      </c>
      <c r="G65" s="118" t="s">
        <v>326</v>
      </c>
      <c r="H65" s="121" cm="1" t="str">
        <f t="array" ref="H65:H65">AC65</f>
        <v>0</v>
      </c>
      <c r="I65" s="118" t="s">
        <v>1007</v>
      </c>
      <c r="J65" s="118"/>
      <c r="K65" s="893"/>
      <c r="L65" s="118"/>
      <c r="M65" s="118"/>
      <c r="N65" s="118"/>
      <c r="O65" s="118"/>
      <c r="P65" s="118"/>
      <c r="Q65" s="118"/>
      <c r="R65" s="118"/>
      <c r="S65" s="118"/>
      <c r="T65" s="439">
        <f>AND(F65&gt;0,Y64&gt;0)</f>
        <v>0</v>
      </c>
      <c r="U65" s="118"/>
      <c r="V65" s="118"/>
      <c r="W65" s="118"/>
      <c r="X65" s="1443"/>
      <c r="Y65" s="1443"/>
      <c r="Z65" s="1549"/>
      <c r="AA65" s="1551"/>
      <c r="AB65" s="54" t="str">
        <f>"2."&amp;Y64</f>
        <v>2.0</v>
      </c>
      <c r="AC65" s="241"/>
      <c r="AD65" s="178" t="s">
        <v>784</v>
      </c>
      <c r="AE65" s="2614"/>
      <c r="AF65" s="2614"/>
      <c r="AG65" s="2614"/>
      <c r="AH65" s="2614"/>
      <c r="AI65" s="182"/>
      <c r="AJ65" s="2614"/>
      <c r="AK65" s="2614"/>
      <c r="AL65" s="2614"/>
      <c r="AM65" s="2614"/>
      <c r="AN65" s="2614"/>
      <c r="AO65" s="2614"/>
      <c r="AP65" s="2614"/>
      <c r="AQ65" s="2614"/>
      <c r="AR65" s="2614"/>
      <c r="AS65" s="182"/>
      <c r="AT65" s="2614"/>
      <c r="AU65" s="2614"/>
      <c r="AV65" s="2614"/>
      <c r="AW65" s="2614"/>
      <c r="AX65" s="2614"/>
      <c r="AY65" s="2614"/>
      <c r="AZ65" s="2614"/>
      <c r="BA65" s="2614"/>
      <c r="BB65" s="2614"/>
      <c r="BC65" s="1887"/>
      <c r="BD65" s="118"/>
      <c r="BE65" s="118"/>
      <c r="BF65" s="1025" t="s">
        <v>999</v>
      </c>
      <c r="BG65" s="1025" t="s">
        <v>1008</v>
      </c>
      <c r="BH65" s="1025" cm="1" t="str">
        <f t="array" ref="BH65:BH65">AC65</f>
        <v>0</v>
      </c>
      <c r="BI65" s="658"/>
      <c r="BJ65" s="658" t="b">
        <v>1</v>
      </c>
    </row>
    <row s="1621" customFormat="1" customHeight="1" ht="14.25" hidden="1">
      <c r="A66" s="118"/>
      <c r="B66" s="413"/>
      <c r="C66" s="118"/>
      <c r="D66" s="118"/>
      <c r="E66" s="658">
        <v>15</v>
      </c>
      <c r="F66" s="50" cm="1" t="str">
        <f t="array" ref="F66:F66">OFFSET(E66,-1,1)</f>
        <v>1</v>
      </c>
      <c r="G66" s="118" t="s">
        <v>459</v>
      </c>
      <c r="H66" s="121" cm="1" t="str">
        <f t="array" ref="H66:H66">H65</f>
        <v>0</v>
      </c>
      <c r="I66" s="118" t="s">
        <v>1007</v>
      </c>
      <c r="J66" s="118"/>
      <c r="K66" s="893"/>
      <c r="L66" s="118"/>
      <c r="M66" s="118"/>
      <c r="N66" s="118"/>
      <c r="O66" s="118"/>
      <c r="P66" s="118"/>
      <c r="Q66" s="118"/>
      <c r="R66" s="118"/>
      <c r="S66" s="118"/>
      <c r="T66" s="439" cm="1" t="str">
        <f t="array" ref="T66:T66">T65</f>
        <v>false</v>
      </c>
      <c r="U66" s="118"/>
      <c r="V66" s="118"/>
      <c r="W66" s="118"/>
      <c r="X66" s="1443"/>
      <c r="Y66" s="1443"/>
      <c r="Z66" s="1549"/>
      <c r="AA66" s="1551"/>
      <c r="AB66" s="54" t="str">
        <f>AB65&amp;".1"</f>
        <v>2.0.1</v>
      </c>
      <c r="AC66" s="188" t="s">
        <v>1009</v>
      </c>
      <c r="AD66" s="54" t="s">
        <v>512</v>
      </c>
      <c r="AE66" s="2614"/>
      <c r="AF66" s="2614"/>
      <c r="AG66" s="2614"/>
      <c r="AH66" s="2614"/>
      <c r="AI66" s="182"/>
      <c r="AJ66" s="2614"/>
      <c r="AK66" s="2614"/>
      <c r="AL66" s="2614"/>
      <c r="AM66" s="2614"/>
      <c r="AN66" s="2614"/>
      <c r="AO66" s="2614"/>
      <c r="AP66" s="2614"/>
      <c r="AQ66" s="2614"/>
      <c r="AR66" s="2614"/>
      <c r="AS66" s="182"/>
      <c r="AT66" s="2614"/>
      <c r="AU66" s="2614"/>
      <c r="AV66" s="2614"/>
      <c r="AW66" s="2614"/>
      <c r="AX66" s="2614"/>
      <c r="AY66" s="2614"/>
      <c r="AZ66" s="2614"/>
      <c r="BA66" s="2614"/>
      <c r="BB66" s="2614"/>
      <c r="BC66" s="1887"/>
      <c r="BD66" s="118"/>
      <c r="BE66" s="118"/>
      <c r="BF66" s="1025" t="s">
        <v>1002</v>
      </c>
      <c r="BG66" s="1025" t="s">
        <v>1008</v>
      </c>
      <c r="BH66" s="1025" cm="1" t="str">
        <f t="array" ref="BH66:BH66">BH65</f>
        <v>0</v>
      </c>
      <c r="BI66" s="658"/>
      <c r="BJ66" s="658"/>
    </row>
    <row s="1621" customFormat="1" customHeight="1" ht="14.25">
      <c r="A67" s="118"/>
      <c r="B67" s="413"/>
      <c r="C67" s="118"/>
      <c r="D67" s="118"/>
      <c r="E67" s="658">
        <v>15</v>
      </c>
      <c r="F67" s="50" cm="1" t="str">
        <f t="array" ref="F67:F67">OFFSET(E67,-1,1)</f>
        <v>1</v>
      </c>
      <c r="G67" s="118"/>
      <c r="H67" s="118" t="str">
        <f>"!=='не определено' &amp;&amp; row.l2 !== null"</f>
        <v>!=='не определено' &amp;&amp; row.l2 !== null</v>
      </c>
      <c r="I67" s="118"/>
      <c r="J67" s="118"/>
      <c r="K67" s="893"/>
      <c r="L67" s="118"/>
      <c r="M67" s="118"/>
      <c r="N67" s="118"/>
      <c r="O67" s="118"/>
      <c r="P67" s="118"/>
      <c r="Q67" s="118"/>
      <c r="R67" s="118"/>
      <c r="S67" s="118"/>
      <c r="T67" s="439">
        <f>F67&gt;0</f>
        <v>1</v>
      </c>
      <c r="U67" s="118"/>
      <c r="V67" s="118"/>
      <c r="W67" s="665" t="s">
        <v>1003</v>
      </c>
      <c r="X67" s="1443"/>
      <c r="Y67" s="663"/>
      <c r="Z67" s="1549"/>
      <c r="AA67" s="118"/>
      <c r="AB67" s="661"/>
      <c r="AC67" s="199" t="s">
        <v>1004</v>
      </c>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200"/>
      <c r="BD67" s="118"/>
      <c r="BE67" s="118"/>
      <c r="BF67" s="1025"/>
      <c r="BG67" s="1025"/>
      <c r="BH67" s="1025"/>
      <c r="BI67" s="658" t="s">
        <v>1008</v>
      </c>
      <c r="BJ67" s="658"/>
    </row>
    <row s="1621" customFormat="1" customHeight="1" ht="21.75">
      <c r="A68" s="118"/>
      <c r="B68" s="413"/>
      <c r="C68" s="118"/>
      <c r="D68" s="118"/>
      <c r="E68" s="658">
        <v>23</v>
      </c>
      <c r="F68" s="50" cm="1" t="str">
        <f t="array" ref="F68:F68">OFFSET(E68,-1,1)</f>
        <v>1</v>
      </c>
      <c r="G68" s="118"/>
      <c r="H68" s="118"/>
      <c r="I68" s="118"/>
      <c r="J68" s="118"/>
      <c r="K68" s="893" t="str">
        <f>F58&amp;"3komm"</f>
        <v>13komm</v>
      </c>
      <c r="L68" s="897" cm="1" t="str">
        <f t="array" ref="L68:L68">BC68</f>
        <v>0</v>
      </c>
      <c r="M68" s="118"/>
      <c r="N68" s="118"/>
      <c r="O68" s="118"/>
      <c r="P68" s="118"/>
      <c r="Q68" s="118"/>
      <c r="R68" s="118"/>
      <c r="S68" s="118"/>
      <c r="T68" s="439" cm="1" t="str">
        <f t="array" ref="T68:T68">T67</f>
        <v>true</v>
      </c>
      <c r="U68" s="118"/>
      <c r="V68" s="118"/>
      <c r="W68" s="118"/>
      <c r="X68" s="1443"/>
      <c r="Y68" s="664"/>
      <c r="Z68" s="1549"/>
      <c r="AA68" s="118"/>
      <c r="AB68" s="178">
        <v>3</v>
      </c>
      <c r="AC68" s="179" t="s">
        <v>1010</v>
      </c>
      <c r="AD68" s="178" t="s">
        <v>784</v>
      </c>
      <c r="AE68" s="180">
        <f>SUMIF(AD70:AD72,AD68,AE70:AE72)</f>
        <v>0</v>
      </c>
      <c r="AF68" s="180">
        <f>SUMIF(AD70:AD72,AD68,AF70:AF72)</f>
        <v>0</v>
      </c>
      <c r="AG68" s="180">
        <f>SUMIF(AD70:AD72,AD68,AG70:AG72)</f>
        <v>0</v>
      </c>
      <c r="AH68" s="180">
        <f>SUMIF(AD70:AD72,AD68,AH70:AH72)</f>
        <v>0</v>
      </c>
      <c r="AI68" s="180">
        <f>SUMIF(AD70:AD72,AD68,AI70:AI72)</f>
        <v>0</v>
      </c>
      <c r="AJ68" s="2730">
        <f>SUMIF(AD70:AD72,AD68,AJ70:AJ72)</f>
        <v>0</v>
      </c>
      <c r="AK68" s="2730">
        <f>SUMIF(AD70:AD72,AD68,AK70:AK72)</f>
        <v>0</v>
      </c>
      <c r="AL68" s="192">
        <f>SUMIF(AD70:AD72,AD68,AL70:AL72)</f>
        <v>0</v>
      </c>
      <c r="AM68" s="192">
        <f>SUMIF(AD70:AD72,AD68,AM70:AM72)</f>
        <v>0</v>
      </c>
      <c r="AN68" s="192">
        <f>SUMIF(AD70:AD72,AD68,AN70:AN72)</f>
        <v>0</v>
      </c>
      <c r="AO68" s="192">
        <f>SUMIF(AD70:AD72,AD68,AO70:AO72)</f>
        <v>0</v>
      </c>
      <c r="AP68" s="192">
        <f>SUMIF(AD70:AD72,AD68,AP70:AP72)</f>
        <v>0</v>
      </c>
      <c r="AQ68" s="192">
        <f>SUMIF(AD70:AD72,AD68,AQ70:AQ72)</f>
        <v>0</v>
      </c>
      <c r="AR68" s="192">
        <f>SUMIF(AD70:AD72,AD68,AR70:AR72)</f>
        <v>0</v>
      </c>
      <c r="AS68" s="180">
        <f>SUMIF(AD70:AD72,AD68,AS70:AS72)</f>
        <v>0</v>
      </c>
      <c r="AT68" s="2730">
        <f>SUMIF(AD70:AD72,AD68,AT70:AT72)</f>
        <v>0</v>
      </c>
      <c r="AU68" s="2730">
        <f>SUMIF(AD70:AD72,AD68,AU70:AU72)</f>
        <v>0</v>
      </c>
      <c r="AV68" s="192">
        <f>SUMIF(AD70:AD72,AD68,AV70:AV72)</f>
        <v>0</v>
      </c>
      <c r="AW68" s="192">
        <f>SUMIF(AD70:AD72,AD68,AW70:AW72)</f>
        <v>0</v>
      </c>
      <c r="AX68" s="192">
        <f>SUMIF(AD70:AD72,AD68,AX70:AX72)</f>
        <v>0</v>
      </c>
      <c r="AY68" s="192">
        <f>SUMIF(AD70:AD72,AD68,AY70:AY72)</f>
        <v>0</v>
      </c>
      <c r="AZ68" s="192">
        <f>SUMIF(AD70:AD72,AD68,AZ70:AZ72)</f>
        <v>0</v>
      </c>
      <c r="BA68" s="192">
        <f>SUMIF(AD70:AD72,AD68,BA70:BA72)</f>
        <v>0</v>
      </c>
      <c r="BB68" s="192">
        <f>SUMIF(AD70:AD72,AD68,BB70:BB72)</f>
        <v>0</v>
      </c>
      <c r="BC68" s="167"/>
      <c r="BD68" s="118"/>
      <c r="BE68" s="118"/>
      <c r="BF68" s="1025" t="s">
        <v>1011</v>
      </c>
      <c r="BG68" s="1025"/>
      <c r="BH68" s="1025"/>
      <c r="BI68" s="658"/>
      <c r="BJ68" s="658"/>
    </row>
    <row s="1621" customFormat="1" customHeight="1" ht="15" hidden="1">
      <c r="A69" s="118"/>
      <c r="B69" s="413"/>
      <c r="C69" s="118"/>
      <c r="D69" s="118"/>
      <c r="E69" s="658">
        <v>0</v>
      </c>
      <c r="F69" s="50" cm="1" t="str">
        <f t="array" ref="F69:F69">OFFSET(E69,-1,1)</f>
        <v>1</v>
      </c>
      <c r="G69" s="118" t="s">
        <v>327</v>
      </c>
      <c r="H69" s="118"/>
      <c r="I69" s="118"/>
      <c r="J69" s="118"/>
      <c r="K69" s="893"/>
      <c r="L69" s="897"/>
      <c r="M69" s="118"/>
      <c r="N69" s="118"/>
      <c r="O69" s="118"/>
      <c r="P69" s="118"/>
      <c r="Q69" s="118"/>
      <c r="R69" s="118"/>
      <c r="S69" s="118"/>
      <c r="T69" s="439" t="b">
        <v>0</v>
      </c>
      <c r="U69" s="118"/>
      <c r="V69" s="118"/>
      <c r="W69" s="118" t="s">
        <v>173</v>
      </c>
      <c r="X69" s="1443"/>
      <c r="Y69" s="1443">
        <v>0</v>
      </c>
      <c r="Z69" s="1549"/>
      <c r="AA69" s="1551" t="s">
        <v>174</v>
      </c>
      <c r="AB69" s="178"/>
      <c r="AC69" s="179"/>
      <c r="AD69" s="178"/>
      <c r="AE69" s="183">
        <f>OR(AND(AE70&lt;&gt;"",AE71=""),AND(AE70="",AE71&lt;&gt;""))</f>
        <v>0</v>
      </c>
      <c r="AF69" s="183">
        <f>OR(AND(AF70&lt;&gt;"",AF71=""),AND(AF70="",AF71&lt;&gt;""))</f>
        <v>0</v>
      </c>
      <c r="AG69" s="183">
        <f>OR(AND(AG70&lt;&gt;"",AG71=""),AND(AG70="",AG71&lt;&gt;""))</f>
        <v>0</v>
      </c>
      <c r="AH69" s="183">
        <f>OR(AND(AH70&lt;&gt;"",AH71=""),AND(AH70="",AH71&lt;&gt;""))</f>
        <v>0</v>
      </c>
      <c r="AI69" s="183">
        <f>OR(AND(AI70&lt;&gt;"",AI71=""),AND(AI70="",AI71&lt;&gt;""))</f>
        <v>0</v>
      </c>
      <c r="AJ69" s="183">
        <f>OR(AND(AJ70&lt;&gt;"",AJ71=""),AND(AJ70="",AJ71&lt;&gt;""))</f>
        <v>0</v>
      </c>
      <c r="AK69" s="183">
        <f>OR(AND(AK70&lt;&gt;"",AK71=""),AND(AK70="",AK71&lt;&gt;""))</f>
        <v>0</v>
      </c>
      <c r="AL69" s="183">
        <f>OR(AND(AL70&lt;&gt;"",AL71=""),AND(AL70="",AL71&lt;&gt;""))</f>
        <v>0</v>
      </c>
      <c r="AM69" s="183">
        <f>OR(AND(AM70&lt;&gt;"",AM71=""),AND(AM70="",AM71&lt;&gt;""))</f>
        <v>0</v>
      </c>
      <c r="AN69" s="183">
        <f>OR(AND(AN70&lt;&gt;"",AN71=""),AND(AN70="",AN71&lt;&gt;""))</f>
        <v>0</v>
      </c>
      <c r="AO69" s="183">
        <f>OR(AND(AO70&lt;&gt;"",AO71=""),AND(AO70="",AO71&lt;&gt;""))</f>
        <v>0</v>
      </c>
      <c r="AP69" s="183">
        <f>OR(AND(AP70&lt;&gt;"",AP71=""),AND(AP70="",AP71&lt;&gt;""))</f>
        <v>0</v>
      </c>
      <c r="AQ69" s="183">
        <f>OR(AND(AQ70&lt;&gt;"",AQ71=""),AND(AQ70="",AQ71&lt;&gt;""))</f>
        <v>0</v>
      </c>
      <c r="AR69" s="183">
        <f>OR(AND(AR70&lt;&gt;"",AR71=""),AND(AR70="",AR71&lt;&gt;""))</f>
        <v>0</v>
      </c>
      <c r="AS69" s="183">
        <f>OR(AND(AS70&lt;&gt;"",AS71=""),AND(AS70="",AS71&lt;&gt;""))</f>
        <v>0</v>
      </c>
      <c r="AT69" s="183">
        <f>OR(AND(AT70&lt;&gt;"",AT71=""),AND(AT70="",AT71&lt;&gt;""))</f>
        <v>0</v>
      </c>
      <c r="AU69" s="183">
        <f>OR(AND(AU70&lt;&gt;"",AU71=""),AND(AU70="",AU71&lt;&gt;""))</f>
        <v>0</v>
      </c>
      <c r="AV69" s="183">
        <f>OR(AND(AV70&lt;&gt;"",AV71=""),AND(AV70="",AV71&lt;&gt;""))</f>
        <v>0</v>
      </c>
      <c r="AW69" s="183">
        <f>OR(AND(AW70&lt;&gt;"",AW71=""),AND(AW70="",AW71&lt;&gt;""))</f>
        <v>0</v>
      </c>
      <c r="AX69" s="183">
        <f>OR(AND(AX70&lt;&gt;"",AX71=""),AND(AX70="",AX71&lt;&gt;""))</f>
        <v>0</v>
      </c>
      <c r="AY69" s="183">
        <f>OR(AND(AY70&lt;&gt;"",AY71=""),AND(AY70="",AY71&lt;&gt;""))</f>
        <v>0</v>
      </c>
      <c r="AZ69" s="183">
        <f>OR(AND(AZ70&lt;&gt;"",AZ71=""),AND(AZ70="",AZ71&lt;&gt;""))</f>
        <v>0</v>
      </c>
      <c r="BA69" s="183">
        <f>OR(AND(BA70&lt;&gt;"",BA71=""),AND(BA70="",BA71&lt;&gt;""))</f>
        <v>0</v>
      </c>
      <c r="BB69" s="183">
        <f>OR(AND(BB70&lt;&gt;"",BB71=""),AND(BB70="",BB71&lt;&gt;""))</f>
        <v>0</v>
      </c>
      <c r="BC69" s="957"/>
      <c r="BD69" s="118"/>
      <c r="BE69" s="118"/>
      <c r="BF69" s="1025"/>
      <c r="BG69" s="1025"/>
      <c r="BH69" s="1025"/>
      <c r="BI69" s="658"/>
      <c r="BJ69" s="658"/>
    </row>
    <row s="1621" customFormat="1" customHeight="1" ht="14.25" hidden="1">
      <c r="A70" s="118"/>
      <c r="B70" s="413"/>
      <c r="C70" s="118"/>
      <c r="D70" s="118"/>
      <c r="E70" s="658">
        <v>15</v>
      </c>
      <c r="F70" s="50" cm="1" t="str">
        <f t="array" ref="F70:F70">OFFSET(E70,-1,1)</f>
        <v>1</v>
      </c>
      <c r="G70" s="118" t="s">
        <v>327</v>
      </c>
      <c r="H70" s="121" cm="1" t="str">
        <f t="array" ref="H70:H70">AC70</f>
        <v>0</v>
      </c>
      <c r="I70" s="118" t="s">
        <v>1012</v>
      </c>
      <c r="J70" s="118"/>
      <c r="K70" s="893"/>
      <c r="L70" s="118"/>
      <c r="M70" s="118"/>
      <c r="N70" s="118"/>
      <c r="O70" s="118"/>
      <c r="P70" s="118"/>
      <c r="Q70" s="118"/>
      <c r="R70" s="118"/>
      <c r="S70" s="118"/>
      <c r="T70" s="439">
        <f>AND(F70&gt;0,Y69&gt;0)</f>
        <v>0</v>
      </c>
      <c r="U70" s="118"/>
      <c r="V70" s="118"/>
      <c r="W70" s="118"/>
      <c r="X70" s="1443"/>
      <c r="Y70" s="1443"/>
      <c r="Z70" s="1549"/>
      <c r="AA70" s="1551"/>
      <c r="AB70" s="54" t="str">
        <f>"3."&amp;Y69</f>
        <v>3.0</v>
      </c>
      <c r="AC70" s="241"/>
      <c r="AD70" s="178" t="s">
        <v>784</v>
      </c>
      <c r="AE70" s="2614"/>
      <c r="AF70" s="2614"/>
      <c r="AG70" s="2614"/>
      <c r="AH70" s="2614"/>
      <c r="AI70" s="182"/>
      <c r="AJ70" s="2614"/>
      <c r="AK70" s="2614"/>
      <c r="AL70" s="2614"/>
      <c r="AM70" s="2614"/>
      <c r="AN70" s="2614"/>
      <c r="AO70" s="2614"/>
      <c r="AP70" s="2614"/>
      <c r="AQ70" s="2614"/>
      <c r="AR70" s="2614"/>
      <c r="AS70" s="182"/>
      <c r="AT70" s="2614"/>
      <c r="AU70" s="2614"/>
      <c r="AV70" s="2614"/>
      <c r="AW70" s="2614"/>
      <c r="AX70" s="2614"/>
      <c r="AY70" s="2614"/>
      <c r="AZ70" s="2614"/>
      <c r="BA70" s="2614"/>
      <c r="BB70" s="2614"/>
      <c r="BC70" s="1887"/>
      <c r="BD70" s="118"/>
      <c r="BE70" s="118"/>
      <c r="BF70" s="1025" t="s">
        <v>999</v>
      </c>
      <c r="BG70" s="1025" t="s">
        <v>1013</v>
      </c>
      <c r="BH70" s="1025" cm="1" t="str">
        <f t="array" ref="BH70:BH70">AC70</f>
        <v>0</v>
      </c>
      <c r="BI70" s="658"/>
      <c r="BJ70" s="658" t="b">
        <v>1</v>
      </c>
    </row>
    <row s="1621" customFormat="1" customHeight="1" ht="14.25" hidden="1">
      <c r="A71" s="118"/>
      <c r="B71" s="413"/>
      <c r="C71" s="118"/>
      <c r="D71" s="118"/>
      <c r="E71" s="658">
        <v>15</v>
      </c>
      <c r="F71" s="50" cm="1" t="str">
        <f t="array" ref="F71:F71">OFFSET(E71,-1,1)</f>
        <v>1</v>
      </c>
      <c r="G71" s="118" t="s">
        <v>875</v>
      </c>
      <c r="H71" s="121" cm="1" t="str">
        <f t="array" ref="H71:H71">H70</f>
        <v>0</v>
      </c>
      <c r="I71" s="118" t="s">
        <v>1012</v>
      </c>
      <c r="J71" s="118"/>
      <c r="K71" s="893"/>
      <c r="L71" s="118"/>
      <c r="M71" s="118"/>
      <c r="N71" s="118"/>
      <c r="O71" s="118"/>
      <c r="P71" s="118"/>
      <c r="Q71" s="118"/>
      <c r="R71" s="118"/>
      <c r="S71" s="118"/>
      <c r="T71" s="439" cm="1" t="str">
        <f t="array" ref="T71:T71">T70</f>
        <v>false</v>
      </c>
      <c r="U71" s="118"/>
      <c r="V71" s="118"/>
      <c r="W71" s="118"/>
      <c r="X71" s="1443"/>
      <c r="Y71" s="1443"/>
      <c r="Z71" s="1549"/>
      <c r="AA71" s="1551"/>
      <c r="AB71" s="54" t="str">
        <f>AB70&amp;".1"</f>
        <v>3.0.1</v>
      </c>
      <c r="AC71" s="188" t="s">
        <v>1014</v>
      </c>
      <c r="AD71" s="54" t="s">
        <v>512</v>
      </c>
      <c r="AE71" s="2614"/>
      <c r="AF71" s="2614"/>
      <c r="AG71" s="2614"/>
      <c r="AH71" s="2614"/>
      <c r="AI71" s="182"/>
      <c r="AJ71" s="2614"/>
      <c r="AK71" s="2614"/>
      <c r="AL71" s="2614"/>
      <c r="AM71" s="2614"/>
      <c r="AN71" s="2614"/>
      <c r="AO71" s="2614"/>
      <c r="AP71" s="2614"/>
      <c r="AQ71" s="2614"/>
      <c r="AR71" s="2614"/>
      <c r="AS71" s="182"/>
      <c r="AT71" s="2614"/>
      <c r="AU71" s="2614"/>
      <c r="AV71" s="2614"/>
      <c r="AW71" s="2614"/>
      <c r="AX71" s="2614"/>
      <c r="AY71" s="2614"/>
      <c r="AZ71" s="2614"/>
      <c r="BA71" s="2614"/>
      <c r="BB71" s="2614"/>
      <c r="BC71" s="1887"/>
      <c r="BD71" s="118"/>
      <c r="BE71" s="118"/>
      <c r="BF71" s="1025" t="s">
        <v>1002</v>
      </c>
      <c r="BG71" s="1025" t="s">
        <v>1013</v>
      </c>
      <c r="BH71" s="1025" cm="1" t="str">
        <f t="array" ref="BH71:BH71">BH70</f>
        <v>0</v>
      </c>
      <c r="BI71" s="658"/>
      <c r="BJ71" s="658"/>
    </row>
    <row s="1621" customFormat="1" customHeight="1" ht="14.25">
      <c r="A72" s="118"/>
      <c r="B72" s="413"/>
      <c r="C72" s="118"/>
      <c r="D72" s="118"/>
      <c r="E72" s="658">
        <v>15</v>
      </c>
      <c r="F72" s="50" cm="1" t="str">
        <f t="array" ref="F72:F72">OFFSET(E72,-1,1)</f>
        <v>1</v>
      </c>
      <c r="G72" s="118"/>
      <c r="H72" s="118" t="str">
        <f>"!=='не определено' &amp;&amp; row.l3 !== null"</f>
        <v>!=='не определено' &amp;&amp; row.l3 !== null</v>
      </c>
      <c r="I72" s="118"/>
      <c r="J72" s="118"/>
      <c r="K72" s="893"/>
      <c r="L72" s="118"/>
      <c r="M72" s="118"/>
      <c r="N72" s="118"/>
      <c r="O72" s="118"/>
      <c r="P72" s="118"/>
      <c r="Q72" s="118"/>
      <c r="R72" s="118"/>
      <c r="S72" s="118"/>
      <c r="T72" s="439">
        <f>F72&gt;0</f>
        <v>1</v>
      </c>
      <c r="U72" s="118"/>
      <c r="V72" s="118"/>
      <c r="W72" s="665" t="s">
        <v>1015</v>
      </c>
      <c r="X72" s="1443"/>
      <c r="Y72" s="663"/>
      <c r="Z72" s="1549"/>
      <c r="AA72" s="118"/>
      <c r="AB72" s="661"/>
      <c r="AC72" s="199" t="s">
        <v>1004</v>
      </c>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200"/>
      <c r="BD72" s="118"/>
      <c r="BE72" s="118"/>
      <c r="BF72" s="1025"/>
      <c r="BG72" s="1025"/>
      <c r="BH72" s="1025"/>
      <c r="BI72" s="658" t="s">
        <v>1013</v>
      </c>
      <c r="BJ72" s="658"/>
    </row>
    <row s="1621" customFormat="1" customHeight="1" ht="21.75">
      <c r="A73" s="118"/>
      <c r="B73" s="413"/>
      <c r="C73" s="118"/>
      <c r="D73" s="118"/>
      <c r="E73" s="658">
        <v>23</v>
      </c>
      <c r="F73" s="50" cm="1" t="str">
        <f t="array" ref="F73:F73">OFFSET(E73,-1,1)</f>
        <v>1</v>
      </c>
      <c r="G73" s="118"/>
      <c r="H73" s="118"/>
      <c r="I73" s="118"/>
      <c r="J73" s="118"/>
      <c r="K73" s="893" t="str">
        <f>F58&amp;"4komm"</f>
        <v>14komm</v>
      </c>
      <c r="L73" s="897" cm="1" t="str">
        <f t="array" ref="L73:L73">BC73</f>
        <v>0</v>
      </c>
      <c r="M73" s="118"/>
      <c r="N73" s="118"/>
      <c r="O73" s="118"/>
      <c r="P73" s="118"/>
      <c r="Q73" s="118"/>
      <c r="R73" s="118"/>
      <c r="S73" s="118"/>
      <c r="T73" s="439" cm="1" t="str">
        <f t="array" ref="T73:T73">T72</f>
        <v>true</v>
      </c>
      <c r="U73" s="118"/>
      <c r="V73" s="118"/>
      <c r="W73" s="118"/>
      <c r="X73" s="1443"/>
      <c r="Y73" s="664"/>
      <c r="Z73" s="1549"/>
      <c r="AA73" s="118"/>
      <c r="AB73" s="178">
        <v>4</v>
      </c>
      <c r="AC73" s="179" t="s">
        <v>1016</v>
      </c>
      <c r="AD73" s="178" t="s">
        <v>784</v>
      </c>
      <c r="AE73" s="180">
        <f>SUMIF(AD75:AD77,AD73,AE75:AE77)</f>
        <v>0</v>
      </c>
      <c r="AF73" s="180">
        <f>SUMIF(AD75:AD77,AD73,AF75:AF77)</f>
        <v>0</v>
      </c>
      <c r="AG73" s="180">
        <f>SUMIF(AD75:AD77,AD73,AG75:AG77)</f>
        <v>0</v>
      </c>
      <c r="AH73" s="180">
        <f>SUMIF(AD75:AD77,AD73,AH75:AH77)</f>
        <v>0</v>
      </c>
      <c r="AI73" s="180">
        <f>SUMIF(AD75:AD77,AD73,AI75:AI77)</f>
        <v>0</v>
      </c>
      <c r="AJ73" s="2730">
        <f>SUMIF(AD75:AD77,AD73,AJ75:AJ77)</f>
        <v>0</v>
      </c>
      <c r="AK73" s="2730">
        <f>SUMIF(AD75:AD77,AD73,AK75:AK77)</f>
        <v>0</v>
      </c>
      <c r="AL73" s="192">
        <f>SUMIF(AD75:AD77,AD73,AL75:AL77)</f>
        <v>0</v>
      </c>
      <c r="AM73" s="192">
        <f>SUMIF(AD75:AD77,AD73,AM75:AM77)</f>
        <v>0</v>
      </c>
      <c r="AN73" s="192">
        <f>SUMIF(AD75:AD77,AD73,AN75:AN77)</f>
        <v>0</v>
      </c>
      <c r="AO73" s="192">
        <f>SUMIF(AD75:AD77,AD73,AO75:AO77)</f>
        <v>0</v>
      </c>
      <c r="AP73" s="192">
        <f>SUMIF(AD75:AD77,AD73,AP75:AP77)</f>
        <v>0</v>
      </c>
      <c r="AQ73" s="192">
        <f>SUMIF(AD75:AD77,AD73,AQ75:AQ77)</f>
        <v>0</v>
      </c>
      <c r="AR73" s="192">
        <f>SUMIF(AD75:AD77,AD73,AR75:AR77)</f>
        <v>0</v>
      </c>
      <c r="AS73" s="180">
        <f>SUMIF(AD75:AD77,AD73,AS75:AS77)</f>
        <v>0</v>
      </c>
      <c r="AT73" s="2730">
        <f>SUMIF(AD75:AD77,AD73,AT75:AT77)</f>
        <v>0</v>
      </c>
      <c r="AU73" s="2730">
        <f>SUMIF(AD75:AD77,AD73,AU75:AU77)</f>
        <v>0</v>
      </c>
      <c r="AV73" s="192">
        <f>SUMIF(AD75:AD77,AD73,AV75:AV77)</f>
        <v>0</v>
      </c>
      <c r="AW73" s="192">
        <f>SUMIF(AD75:AD77,AD73,AW75:AW77)</f>
        <v>0</v>
      </c>
      <c r="AX73" s="192">
        <f>SUMIF(AD75:AD77,AD73,AX75:AX77)</f>
        <v>0</v>
      </c>
      <c r="AY73" s="192">
        <f>SUMIF(AD75:AD77,AD73,AY75:AY77)</f>
        <v>0</v>
      </c>
      <c r="AZ73" s="192">
        <f>SUMIF(AD75:AD77,AD73,AZ75:AZ77)</f>
        <v>0</v>
      </c>
      <c r="BA73" s="192">
        <f>SUMIF(AD75:AD77,AD73,BA75:BA77)</f>
        <v>0</v>
      </c>
      <c r="BB73" s="192">
        <f>SUMIF(AD75:AD77,AD73,BB75:BB77)</f>
        <v>0</v>
      </c>
      <c r="BC73" s="167"/>
      <c r="BD73" s="118"/>
      <c r="BE73" s="118"/>
      <c r="BF73" s="1025" t="s">
        <v>1017</v>
      </c>
      <c r="BG73" s="1025"/>
      <c r="BH73" s="1025"/>
      <c r="BI73" s="658"/>
      <c r="BJ73" s="658"/>
    </row>
    <row s="1621" customFormat="1" customHeight="1" ht="15" hidden="1">
      <c r="A74" s="118"/>
      <c r="B74" s="413"/>
      <c r="C74" s="118"/>
      <c r="D74" s="118"/>
      <c r="E74" s="658">
        <v>0</v>
      </c>
      <c r="F74" s="50" cm="1" t="str">
        <f t="array" ref="F74:F74">OFFSET(E74,-1,1)</f>
        <v>1</v>
      </c>
      <c r="G74" s="118" t="s">
        <v>329</v>
      </c>
      <c r="H74" s="118"/>
      <c r="I74" s="118"/>
      <c r="J74" s="118"/>
      <c r="K74" s="893"/>
      <c r="L74" s="897"/>
      <c r="M74" s="118"/>
      <c r="N74" s="118"/>
      <c r="O74" s="118"/>
      <c r="P74" s="118"/>
      <c r="Q74" s="118"/>
      <c r="R74" s="118"/>
      <c r="S74" s="118"/>
      <c r="T74" s="439" t="b">
        <v>0</v>
      </c>
      <c r="U74" s="118"/>
      <c r="V74" s="118"/>
      <c r="W74" s="118" t="s">
        <v>173</v>
      </c>
      <c r="X74" s="1443"/>
      <c r="Y74" s="1443">
        <v>0</v>
      </c>
      <c r="Z74" s="1549"/>
      <c r="AA74" s="1551" t="s">
        <v>174</v>
      </c>
      <c r="AB74" s="178"/>
      <c r="AC74" s="179"/>
      <c r="AD74" s="178"/>
      <c r="AE74" s="183">
        <f>OR(AND(AE75&lt;&gt;"",AE76=""),AND(AE75="",AE76&lt;&gt;""))</f>
        <v>0</v>
      </c>
      <c r="AF74" s="183">
        <f>OR(AND(AF75&lt;&gt;"",AF76=""),AND(AF75="",AF76&lt;&gt;""))</f>
        <v>0</v>
      </c>
      <c r="AG74" s="183">
        <f>OR(AND(AG75&lt;&gt;"",AG76=""),AND(AG75="",AG76&lt;&gt;""))</f>
        <v>0</v>
      </c>
      <c r="AH74" s="183">
        <f>OR(AND(AH75&lt;&gt;"",AH76=""),AND(AH75="",AH76&lt;&gt;""))</f>
        <v>0</v>
      </c>
      <c r="AI74" s="183">
        <f>OR(AND(AI75&lt;&gt;"",AI76=""),AND(AI75="",AI76&lt;&gt;""))</f>
        <v>0</v>
      </c>
      <c r="AJ74" s="183">
        <f>OR(AND(AJ75&lt;&gt;"",AJ76=""),AND(AJ75="",AJ76&lt;&gt;""))</f>
        <v>0</v>
      </c>
      <c r="AK74" s="183">
        <f>OR(AND(AK75&lt;&gt;"",AK76=""),AND(AK75="",AK76&lt;&gt;""))</f>
        <v>0</v>
      </c>
      <c r="AL74" s="183">
        <f>OR(AND(AL75&lt;&gt;"",AL76=""),AND(AL75="",AL76&lt;&gt;""))</f>
        <v>0</v>
      </c>
      <c r="AM74" s="183">
        <f>OR(AND(AM75&lt;&gt;"",AM76=""),AND(AM75="",AM76&lt;&gt;""))</f>
        <v>0</v>
      </c>
      <c r="AN74" s="183">
        <f>OR(AND(AN75&lt;&gt;"",AN76=""),AND(AN75="",AN76&lt;&gt;""))</f>
        <v>0</v>
      </c>
      <c r="AO74" s="183">
        <f>OR(AND(AO75&lt;&gt;"",AO76=""),AND(AO75="",AO76&lt;&gt;""))</f>
        <v>0</v>
      </c>
      <c r="AP74" s="183">
        <f>OR(AND(AP75&lt;&gt;"",AP76=""),AND(AP75="",AP76&lt;&gt;""))</f>
        <v>0</v>
      </c>
      <c r="AQ74" s="183">
        <f>OR(AND(AQ75&lt;&gt;"",AQ76=""),AND(AQ75="",AQ76&lt;&gt;""))</f>
        <v>0</v>
      </c>
      <c r="AR74" s="183">
        <f>OR(AND(AR75&lt;&gt;"",AR76=""),AND(AR75="",AR76&lt;&gt;""))</f>
        <v>0</v>
      </c>
      <c r="AS74" s="183">
        <f>OR(AND(AS75&lt;&gt;"",AS76=""),AND(AS75="",AS76&lt;&gt;""))</f>
        <v>0</v>
      </c>
      <c r="AT74" s="183">
        <f>OR(AND(AT75&lt;&gt;"",AT76=""),AND(AT75="",AT76&lt;&gt;""))</f>
        <v>0</v>
      </c>
      <c r="AU74" s="183">
        <f>OR(AND(AU75&lt;&gt;"",AU76=""),AND(AU75="",AU76&lt;&gt;""))</f>
        <v>0</v>
      </c>
      <c r="AV74" s="183">
        <f>OR(AND(AV75&lt;&gt;"",AV76=""),AND(AV75="",AV76&lt;&gt;""))</f>
        <v>0</v>
      </c>
      <c r="AW74" s="183">
        <f>OR(AND(AW75&lt;&gt;"",AW76=""),AND(AW75="",AW76&lt;&gt;""))</f>
        <v>0</v>
      </c>
      <c r="AX74" s="183">
        <f>OR(AND(AX75&lt;&gt;"",AX76=""),AND(AX75="",AX76&lt;&gt;""))</f>
        <v>0</v>
      </c>
      <c r="AY74" s="183">
        <f>OR(AND(AY75&lt;&gt;"",AY76=""),AND(AY75="",AY76&lt;&gt;""))</f>
        <v>0</v>
      </c>
      <c r="AZ74" s="183">
        <f>OR(AND(AZ75&lt;&gt;"",AZ76=""),AND(AZ75="",AZ76&lt;&gt;""))</f>
        <v>0</v>
      </c>
      <c r="BA74" s="183">
        <f>OR(AND(BA75&lt;&gt;"",BA76=""),AND(BA75="",BA76&lt;&gt;""))</f>
        <v>0</v>
      </c>
      <c r="BB74" s="183">
        <f>OR(AND(BB75&lt;&gt;"",BB76=""),AND(BB75="",BB76&lt;&gt;""))</f>
        <v>0</v>
      </c>
      <c r="BC74" s="957"/>
      <c r="BD74" s="118"/>
      <c r="BE74" s="118"/>
      <c r="BF74" s="1025"/>
      <c r="BG74" s="1025"/>
      <c r="BH74" s="1025"/>
      <c r="BI74" s="658"/>
      <c r="BJ74" s="658"/>
    </row>
    <row s="1621" customFormat="1" customHeight="1" ht="14.25" hidden="1">
      <c r="A75" s="118"/>
      <c r="B75" s="413"/>
      <c r="C75" s="118"/>
      <c r="D75" s="118"/>
      <c r="E75" s="658">
        <v>15</v>
      </c>
      <c r="F75" s="50" cm="1" t="str">
        <f t="array" ref="F75:F75">OFFSET(E75,-1,1)</f>
        <v>1</v>
      </c>
      <c r="G75" s="118" t="s">
        <v>329</v>
      </c>
      <c r="H75" s="121" cm="1" t="str">
        <f t="array" ref="H75:H75">AC75</f>
        <v>0</v>
      </c>
      <c r="I75" s="118" t="s">
        <v>1018</v>
      </c>
      <c r="J75" s="118"/>
      <c r="K75" s="893"/>
      <c r="L75" s="118"/>
      <c r="M75" s="118"/>
      <c r="N75" s="118"/>
      <c r="O75" s="118"/>
      <c r="P75" s="118"/>
      <c r="Q75" s="118"/>
      <c r="R75" s="118"/>
      <c r="S75" s="118"/>
      <c r="T75" s="439">
        <f>AND(F75&gt;0,Y74&gt;0)</f>
        <v>0</v>
      </c>
      <c r="U75" s="118"/>
      <c r="V75" s="118"/>
      <c r="W75" s="118"/>
      <c r="X75" s="1443"/>
      <c r="Y75" s="1443"/>
      <c r="Z75" s="1549"/>
      <c r="AA75" s="1551"/>
      <c r="AB75" s="54" t="str">
        <f>"4."&amp;Y74</f>
        <v>4.0</v>
      </c>
      <c r="AC75" s="241"/>
      <c r="AD75" s="178" t="s">
        <v>784</v>
      </c>
      <c r="AE75" s="2614"/>
      <c r="AF75" s="2614"/>
      <c r="AG75" s="2614"/>
      <c r="AH75" s="2614"/>
      <c r="AI75" s="182"/>
      <c r="AJ75" s="2614"/>
      <c r="AK75" s="2614"/>
      <c r="AL75" s="2614"/>
      <c r="AM75" s="2614"/>
      <c r="AN75" s="2614"/>
      <c r="AO75" s="2614"/>
      <c r="AP75" s="2614"/>
      <c r="AQ75" s="2614"/>
      <c r="AR75" s="2614"/>
      <c r="AS75" s="182"/>
      <c r="AT75" s="2614"/>
      <c r="AU75" s="2614"/>
      <c r="AV75" s="2614"/>
      <c r="AW75" s="2614"/>
      <c r="AX75" s="2614"/>
      <c r="AY75" s="2614"/>
      <c r="AZ75" s="2614"/>
      <c r="BA75" s="2614"/>
      <c r="BB75" s="2614"/>
      <c r="BC75" s="1887"/>
      <c r="BD75" s="118"/>
      <c r="BE75" s="118"/>
      <c r="BF75" s="1025" t="s">
        <v>999</v>
      </c>
      <c r="BG75" s="1025" t="s">
        <v>1019</v>
      </c>
      <c r="BH75" s="1025" cm="1" t="str">
        <f t="array" ref="BH75:BH75">AC75</f>
        <v>0</v>
      </c>
      <c r="BI75" s="658"/>
      <c r="BJ75" s="658" t="b">
        <v>1</v>
      </c>
    </row>
    <row s="1621" customFormat="1" customHeight="1" ht="14.25" hidden="1">
      <c r="A76" s="118"/>
      <c r="B76" s="413"/>
      <c r="C76" s="118"/>
      <c r="D76" s="118"/>
      <c r="E76" s="658">
        <v>15</v>
      </c>
      <c r="F76" s="50" cm="1" t="str">
        <f t="array" ref="F76:F76">OFFSET(E76,-1,1)</f>
        <v>1</v>
      </c>
      <c r="G76" s="118" t="s">
        <v>514</v>
      </c>
      <c r="H76" s="121" cm="1" t="str">
        <f t="array" ref="H76:H76">H75</f>
        <v>0</v>
      </c>
      <c r="I76" s="118" t="s">
        <v>1018</v>
      </c>
      <c r="J76" s="118"/>
      <c r="K76" s="893"/>
      <c r="L76" s="118"/>
      <c r="M76" s="118"/>
      <c r="N76" s="118"/>
      <c r="O76" s="118"/>
      <c r="P76" s="118"/>
      <c r="Q76" s="118"/>
      <c r="R76" s="118"/>
      <c r="S76" s="118"/>
      <c r="T76" s="439" cm="1" t="str">
        <f t="array" ref="T76:T76">T75</f>
        <v>false</v>
      </c>
      <c r="U76" s="118"/>
      <c r="V76" s="118"/>
      <c r="W76" s="118"/>
      <c r="X76" s="1443"/>
      <c r="Y76" s="1443"/>
      <c r="Z76" s="1549"/>
      <c r="AA76" s="1551"/>
      <c r="AB76" s="54" t="str">
        <f>AB75&amp;".1"</f>
        <v>4.0.1</v>
      </c>
      <c r="AC76" s="188" t="s">
        <v>1020</v>
      </c>
      <c r="AD76" s="54" t="s">
        <v>512</v>
      </c>
      <c r="AE76" s="2614"/>
      <c r="AF76" s="2614"/>
      <c r="AG76" s="2614"/>
      <c r="AH76" s="2614"/>
      <c r="AI76" s="182"/>
      <c r="AJ76" s="2614"/>
      <c r="AK76" s="2614"/>
      <c r="AL76" s="2614"/>
      <c r="AM76" s="2614"/>
      <c r="AN76" s="2614"/>
      <c r="AO76" s="2614"/>
      <c r="AP76" s="2614"/>
      <c r="AQ76" s="2614"/>
      <c r="AR76" s="2614"/>
      <c r="AS76" s="182"/>
      <c r="AT76" s="2614"/>
      <c r="AU76" s="2614"/>
      <c r="AV76" s="2614"/>
      <c r="AW76" s="2614"/>
      <c r="AX76" s="2614"/>
      <c r="AY76" s="2614"/>
      <c r="AZ76" s="2614"/>
      <c r="BA76" s="2614"/>
      <c r="BB76" s="2614"/>
      <c r="BC76" s="1887"/>
      <c r="BD76" s="118"/>
      <c r="BE76" s="118"/>
      <c r="BF76" s="1025" t="s">
        <v>1002</v>
      </c>
      <c r="BG76" s="1025" t="s">
        <v>1019</v>
      </c>
      <c r="BH76" s="1025" cm="1" t="str">
        <f t="array" ref="BH76:BH76">BH75</f>
        <v>0</v>
      </c>
      <c r="BI76" s="658"/>
      <c r="BJ76" s="658"/>
    </row>
    <row s="1621" customFormat="1" customHeight="1" ht="14.25">
      <c r="A77" s="118"/>
      <c r="B77" s="413"/>
      <c r="C77" s="118"/>
      <c r="D77" s="118"/>
      <c r="E77" s="658">
        <v>15</v>
      </c>
      <c r="F77" s="50" cm="1" t="str">
        <f t="array" ref="F77:F77">OFFSET(E77,-1,1)</f>
        <v>1</v>
      </c>
      <c r="G77" s="118"/>
      <c r="H77" s="118" t="str">
        <f>"!=='не определено' &amp;&amp; row.l4 !== null"</f>
        <v>!=='не определено' &amp;&amp; row.l4 !== null</v>
      </c>
      <c r="I77" s="118"/>
      <c r="J77" s="118"/>
      <c r="K77" s="893"/>
      <c r="L77" s="118"/>
      <c r="M77" s="118"/>
      <c r="N77" s="118"/>
      <c r="O77" s="118"/>
      <c r="P77" s="118"/>
      <c r="Q77" s="118"/>
      <c r="R77" s="118"/>
      <c r="S77" s="118"/>
      <c r="T77" s="439">
        <f>F77&gt;0</f>
        <v>1</v>
      </c>
      <c r="U77" s="118"/>
      <c r="V77" s="118"/>
      <c r="W77" s="665" t="s">
        <v>1021</v>
      </c>
      <c r="X77" s="1443"/>
      <c r="Y77" s="663"/>
      <c r="Z77" s="1549"/>
      <c r="AA77" s="118"/>
      <c r="AB77" s="661"/>
      <c r="AC77" s="199" t="s">
        <v>1004</v>
      </c>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200"/>
      <c r="BD77" s="118"/>
      <c r="BE77" s="118"/>
      <c r="BF77" s="1025"/>
      <c r="BG77" s="1025"/>
      <c r="BH77" s="1025"/>
      <c r="BI77" s="658" t="s">
        <v>1019</v>
      </c>
      <c r="BJ77" s="658"/>
    </row>
    <row s="1621" customFormat="1" customHeight="1" ht="21.75">
      <c r="A78" s="118"/>
      <c r="B78" s="413"/>
      <c r="C78" s="118"/>
      <c r="D78" s="118"/>
      <c r="E78" s="658">
        <v>23</v>
      </c>
      <c r="F78" s="50" cm="1" t="str">
        <f t="array" ref="F78:F78">OFFSET(E78,-1,1)</f>
        <v>1</v>
      </c>
      <c r="G78" s="118"/>
      <c r="H78" s="118"/>
      <c r="I78" s="118"/>
      <c r="J78" s="118"/>
      <c r="K78" s="893" t="str">
        <f>F58&amp;"5komm"</f>
        <v>15komm</v>
      </c>
      <c r="L78" s="897" cm="1" t="str">
        <f t="array" ref="L78:L78">BC78</f>
        <v>0</v>
      </c>
      <c r="M78" s="118"/>
      <c r="N78" s="118"/>
      <c r="O78" s="118"/>
      <c r="P78" s="118"/>
      <c r="Q78" s="118"/>
      <c r="R78" s="118"/>
      <c r="S78" s="118"/>
      <c r="T78" s="439" cm="1" t="str">
        <f t="array" ref="T78:T78">T77</f>
        <v>true</v>
      </c>
      <c r="U78" s="118"/>
      <c r="V78" s="118"/>
      <c r="W78" s="118"/>
      <c r="X78" s="1443"/>
      <c r="Y78" s="664"/>
      <c r="Z78" s="1549"/>
      <c r="AA78" s="118"/>
      <c r="AB78" s="178">
        <v>5</v>
      </c>
      <c r="AC78" s="179" t="s">
        <v>1022</v>
      </c>
      <c r="AD78" s="178" t="s">
        <v>784</v>
      </c>
      <c r="AE78" s="180">
        <f>SUMIF(AD80:AD82,AD78,AE80:AE82)</f>
        <v>0</v>
      </c>
      <c r="AF78" s="180">
        <f>SUMIF(AD80:AD82,AD78,AF80:AF82)</f>
        <v>0</v>
      </c>
      <c r="AG78" s="180">
        <f>SUMIF(AD80:AD82,AD78,AG80:AG82)</f>
        <v>0</v>
      </c>
      <c r="AH78" s="180">
        <f>SUMIF(AD80:AD82,AD78,AH80:AH82)</f>
        <v>0</v>
      </c>
      <c r="AI78" s="180">
        <f>SUMIF(AD80:AD82,AD78,AI80:AI82)</f>
        <v>0</v>
      </c>
      <c r="AJ78" s="2730">
        <f>SUMIF(AD80:AD82,AD78,AJ80:AJ82)</f>
        <v>0</v>
      </c>
      <c r="AK78" s="2730">
        <f>SUMIF(AD80:AD82,AD78,AK80:AK82)</f>
        <v>0</v>
      </c>
      <c r="AL78" s="192">
        <f>SUMIF(AD80:AD82,AD78,AL80:AL82)</f>
        <v>0</v>
      </c>
      <c r="AM78" s="192">
        <f>SUMIF(AD80:AD82,AD78,AM80:AM82)</f>
        <v>0</v>
      </c>
      <c r="AN78" s="192">
        <f>SUMIF(AD80:AD82,AD78,AN80:AN82)</f>
        <v>0</v>
      </c>
      <c r="AO78" s="192">
        <f>SUMIF(AD80:AD82,AD78,AO80:AO82)</f>
        <v>0</v>
      </c>
      <c r="AP78" s="192">
        <f>SUMIF(AD80:AD82,AD78,AP80:AP82)</f>
        <v>0</v>
      </c>
      <c r="AQ78" s="192">
        <f>SUMIF(AD80:AD82,AD78,AQ80:AQ82)</f>
        <v>0</v>
      </c>
      <c r="AR78" s="192">
        <f>SUMIF(AD80:AD82,AD78,AR80:AR82)</f>
        <v>0</v>
      </c>
      <c r="AS78" s="180">
        <f>SUMIF(AD80:AD82,AD78,AS80:AS82)</f>
        <v>0</v>
      </c>
      <c r="AT78" s="2730">
        <f>SUMIF(AD80:AD82,AD78,AT80:AT82)</f>
        <v>0</v>
      </c>
      <c r="AU78" s="2730">
        <f>SUMIF(AD80:AD82,AD78,AU80:AU82)</f>
        <v>0</v>
      </c>
      <c r="AV78" s="192">
        <f>SUMIF(AD80:AD82,AD78,AV80:AV82)</f>
        <v>0</v>
      </c>
      <c r="AW78" s="192">
        <f>SUMIF(AD80:AD82,AD78,AW80:AW82)</f>
        <v>0</v>
      </c>
      <c r="AX78" s="192">
        <f>SUMIF(AD80:AD82,AD78,AX80:AX82)</f>
        <v>0</v>
      </c>
      <c r="AY78" s="192">
        <f>SUMIF(AD80:AD82,AD78,AY80:AY82)</f>
        <v>0</v>
      </c>
      <c r="AZ78" s="192">
        <f>SUMIF(AD80:AD82,AD78,AZ80:AZ82)</f>
        <v>0</v>
      </c>
      <c r="BA78" s="192">
        <f>SUMIF(AD80:AD82,AD78,BA80:BA82)</f>
        <v>0</v>
      </c>
      <c r="BB78" s="192">
        <f>SUMIF(AD80:AD82,AD78,BB80:BB82)</f>
        <v>0</v>
      </c>
      <c r="BC78" s="167"/>
      <c r="BD78" s="118"/>
      <c r="BE78" s="118"/>
      <c r="BF78" s="1025" t="s">
        <v>1023</v>
      </c>
      <c r="BG78" s="1025"/>
      <c r="BH78" s="1025"/>
      <c r="BI78" s="658"/>
      <c r="BJ78" s="658"/>
    </row>
    <row s="1621" customFormat="1" customHeight="1" ht="15" hidden="1">
      <c r="A79" s="118"/>
      <c r="B79" s="413"/>
      <c r="C79" s="118"/>
      <c r="D79" s="118"/>
      <c r="E79" s="658">
        <v>0</v>
      </c>
      <c r="F79" s="50" cm="1" t="str">
        <f t="array" ref="F79:F79">OFFSET(E79,-1,1)</f>
        <v>1</v>
      </c>
      <c r="G79" s="118" t="s">
        <v>328</v>
      </c>
      <c r="H79" s="118"/>
      <c r="I79" s="118"/>
      <c r="J79" s="118"/>
      <c r="K79" s="893"/>
      <c r="L79" s="897"/>
      <c r="M79" s="118"/>
      <c r="N79" s="118"/>
      <c r="O79" s="118"/>
      <c r="P79" s="118"/>
      <c r="Q79" s="118"/>
      <c r="R79" s="118"/>
      <c r="S79" s="118"/>
      <c r="T79" s="439" t="b">
        <v>0</v>
      </c>
      <c r="U79" s="118"/>
      <c r="V79" s="118"/>
      <c r="W79" s="118" t="s">
        <v>173</v>
      </c>
      <c r="X79" s="1443"/>
      <c r="Y79" s="1443">
        <v>0</v>
      </c>
      <c r="Z79" s="1549"/>
      <c r="AA79" s="1551" t="s">
        <v>174</v>
      </c>
      <c r="AB79" s="178"/>
      <c r="AC79" s="179"/>
      <c r="AD79" s="178"/>
      <c r="AE79" s="183">
        <f>OR(AND(AE80&lt;&gt;"",AE81=""),AND(AE80="",AE81&lt;&gt;""))</f>
        <v>0</v>
      </c>
      <c r="AF79" s="183">
        <f>OR(AND(AF80&lt;&gt;"",AF81=""),AND(AF80="",AF81&lt;&gt;""))</f>
        <v>0</v>
      </c>
      <c r="AG79" s="183">
        <f>OR(AND(AG80&lt;&gt;"",AG81=""),AND(AG80="",AG81&lt;&gt;""))</f>
        <v>0</v>
      </c>
      <c r="AH79" s="183">
        <f>OR(AND(AH80&lt;&gt;"",AH81=""),AND(AH80="",AH81&lt;&gt;""))</f>
        <v>0</v>
      </c>
      <c r="AI79" s="183">
        <f>OR(AND(AI80&lt;&gt;"",AI81=""),AND(AI80="",AI81&lt;&gt;""))</f>
        <v>0</v>
      </c>
      <c r="AJ79" s="183">
        <f>OR(AND(AJ80&lt;&gt;"",AJ81=""),AND(AJ80="",AJ81&lt;&gt;""))</f>
        <v>0</v>
      </c>
      <c r="AK79" s="183">
        <f>OR(AND(AK80&lt;&gt;"",AK81=""),AND(AK80="",AK81&lt;&gt;""))</f>
        <v>0</v>
      </c>
      <c r="AL79" s="183">
        <f>OR(AND(AL80&lt;&gt;"",AL81=""),AND(AL80="",AL81&lt;&gt;""))</f>
        <v>0</v>
      </c>
      <c r="AM79" s="183">
        <f>OR(AND(AM80&lt;&gt;"",AM81=""),AND(AM80="",AM81&lt;&gt;""))</f>
        <v>0</v>
      </c>
      <c r="AN79" s="183">
        <f>OR(AND(AN80&lt;&gt;"",AN81=""),AND(AN80="",AN81&lt;&gt;""))</f>
        <v>0</v>
      </c>
      <c r="AO79" s="183">
        <f>OR(AND(AO80&lt;&gt;"",AO81=""),AND(AO80="",AO81&lt;&gt;""))</f>
        <v>0</v>
      </c>
      <c r="AP79" s="183">
        <f>OR(AND(AP80&lt;&gt;"",AP81=""),AND(AP80="",AP81&lt;&gt;""))</f>
        <v>0</v>
      </c>
      <c r="AQ79" s="183">
        <f>OR(AND(AQ80&lt;&gt;"",AQ81=""),AND(AQ80="",AQ81&lt;&gt;""))</f>
        <v>0</v>
      </c>
      <c r="AR79" s="183">
        <f>OR(AND(AR80&lt;&gt;"",AR81=""),AND(AR80="",AR81&lt;&gt;""))</f>
        <v>0</v>
      </c>
      <c r="AS79" s="183">
        <f>OR(AND(AS80&lt;&gt;"",AS81=""),AND(AS80="",AS81&lt;&gt;""))</f>
        <v>0</v>
      </c>
      <c r="AT79" s="183">
        <f>OR(AND(AT80&lt;&gt;"",AT81=""),AND(AT80="",AT81&lt;&gt;""))</f>
        <v>0</v>
      </c>
      <c r="AU79" s="183">
        <f>OR(AND(AU80&lt;&gt;"",AU81=""),AND(AU80="",AU81&lt;&gt;""))</f>
        <v>0</v>
      </c>
      <c r="AV79" s="183">
        <f>OR(AND(AV80&lt;&gt;"",AV81=""),AND(AV80="",AV81&lt;&gt;""))</f>
        <v>0</v>
      </c>
      <c r="AW79" s="183">
        <f>OR(AND(AW80&lt;&gt;"",AW81=""),AND(AW80="",AW81&lt;&gt;""))</f>
        <v>0</v>
      </c>
      <c r="AX79" s="183">
        <f>OR(AND(AX80&lt;&gt;"",AX81=""),AND(AX80="",AX81&lt;&gt;""))</f>
        <v>0</v>
      </c>
      <c r="AY79" s="183">
        <f>OR(AND(AY80&lt;&gt;"",AY81=""),AND(AY80="",AY81&lt;&gt;""))</f>
        <v>0</v>
      </c>
      <c r="AZ79" s="183">
        <f>OR(AND(AZ80&lt;&gt;"",AZ81=""),AND(AZ80="",AZ81&lt;&gt;""))</f>
        <v>0</v>
      </c>
      <c r="BA79" s="183">
        <f>OR(AND(BA80&lt;&gt;"",BA81=""),AND(BA80="",BA81&lt;&gt;""))</f>
        <v>0</v>
      </c>
      <c r="BB79" s="183">
        <f>OR(AND(BB80&lt;&gt;"",BB81=""),AND(BB80="",BB81&lt;&gt;""))</f>
        <v>0</v>
      </c>
      <c r="BC79" s="957"/>
      <c r="BD79" s="118"/>
      <c r="BE79" s="118"/>
      <c r="BF79" s="1025"/>
      <c r="BG79" s="1025"/>
      <c r="BH79" s="1025"/>
      <c r="BI79" s="658"/>
      <c r="BJ79" s="658"/>
    </row>
    <row s="1621" customFormat="1" customHeight="1" ht="14.25" hidden="1">
      <c r="A80" s="118"/>
      <c r="B80" s="413"/>
      <c r="C80" s="118"/>
      <c r="D80" s="118"/>
      <c r="E80" s="658">
        <v>15</v>
      </c>
      <c r="F80" s="50" cm="1" t="str">
        <f t="array" ref="F80:F80">OFFSET(E80,-1,1)</f>
        <v>1</v>
      </c>
      <c r="G80" s="118" t="s">
        <v>328</v>
      </c>
      <c r="H80" s="121" cm="1" t="str">
        <f t="array" ref="H80:H80">AC80</f>
        <v>0</v>
      </c>
      <c r="I80" s="118" t="s">
        <v>1024</v>
      </c>
      <c r="J80" s="118"/>
      <c r="K80" s="893"/>
      <c r="L80" s="118"/>
      <c r="M80" s="118"/>
      <c r="N80" s="118"/>
      <c r="O80" s="118"/>
      <c r="P80" s="118"/>
      <c r="Q80" s="118"/>
      <c r="R80" s="118"/>
      <c r="S80" s="118"/>
      <c r="T80" s="439">
        <f>AND(F80&gt;0,Y79&gt;0)</f>
        <v>0</v>
      </c>
      <c r="U80" s="118"/>
      <c r="V80" s="118"/>
      <c r="W80" s="118"/>
      <c r="X80" s="1443"/>
      <c r="Y80" s="1443"/>
      <c r="Z80" s="1549"/>
      <c r="AA80" s="1551"/>
      <c r="AB80" s="54" t="str">
        <f>"5."&amp;Y79</f>
        <v>5.0</v>
      </c>
      <c r="AC80" s="241"/>
      <c r="AD80" s="178" t="s">
        <v>784</v>
      </c>
      <c r="AE80" s="2614"/>
      <c r="AF80" s="2614"/>
      <c r="AG80" s="2614"/>
      <c r="AH80" s="2614"/>
      <c r="AI80" s="182"/>
      <c r="AJ80" s="2614"/>
      <c r="AK80" s="2614"/>
      <c r="AL80" s="2614"/>
      <c r="AM80" s="2614"/>
      <c r="AN80" s="2614"/>
      <c r="AO80" s="2614"/>
      <c r="AP80" s="2614"/>
      <c r="AQ80" s="2614"/>
      <c r="AR80" s="2614"/>
      <c r="AS80" s="182"/>
      <c r="AT80" s="2614"/>
      <c r="AU80" s="2614"/>
      <c r="AV80" s="2614"/>
      <c r="AW80" s="2614"/>
      <c r="AX80" s="2614"/>
      <c r="AY80" s="2614"/>
      <c r="AZ80" s="2614"/>
      <c r="BA80" s="2614"/>
      <c r="BB80" s="2614"/>
      <c r="BC80" s="1887"/>
      <c r="BD80" s="118"/>
      <c r="BE80" s="118"/>
      <c r="BF80" s="1025" t="s">
        <v>999</v>
      </c>
      <c r="BG80" s="1025" t="s">
        <v>1025</v>
      </c>
      <c r="BH80" s="1025" cm="1" t="str">
        <f t="array" ref="BH80:BH80">AC80</f>
        <v>0</v>
      </c>
      <c r="BI80" s="658"/>
      <c r="BJ80" s="658" t="b">
        <v>1</v>
      </c>
    </row>
    <row s="1621" customFormat="1" customHeight="1" ht="14.25" hidden="1">
      <c r="A81" s="118"/>
      <c r="B81" s="413"/>
      <c r="C81" s="118"/>
      <c r="D81" s="118"/>
      <c r="E81" s="658">
        <v>15</v>
      </c>
      <c r="F81" s="50" cm="1" t="str">
        <f t="array" ref="F81:F81">OFFSET(E81,-1,1)</f>
        <v>1</v>
      </c>
      <c r="G81" s="118" t="s">
        <v>528</v>
      </c>
      <c r="H81" s="121" cm="1" t="str">
        <f t="array" ref="H81:H81">H80</f>
        <v>0</v>
      </c>
      <c r="I81" s="118" t="s">
        <v>1024</v>
      </c>
      <c r="J81" s="118"/>
      <c r="K81" s="893"/>
      <c r="L81" s="118"/>
      <c r="M81" s="118"/>
      <c r="N81" s="118"/>
      <c r="O81" s="118"/>
      <c r="P81" s="118"/>
      <c r="Q81" s="118"/>
      <c r="R81" s="118"/>
      <c r="S81" s="118"/>
      <c r="T81" s="439" cm="1" t="str">
        <f t="array" ref="T81:T81">T80</f>
        <v>false</v>
      </c>
      <c r="U81" s="118"/>
      <c r="V81" s="118"/>
      <c r="W81" s="118"/>
      <c r="X81" s="1443"/>
      <c r="Y81" s="1443"/>
      <c r="Z81" s="1549"/>
      <c r="AA81" s="1551"/>
      <c r="AB81" s="54" t="str">
        <f>AB80&amp;".1"</f>
        <v>5.0.1</v>
      </c>
      <c r="AC81" s="188" t="s">
        <v>1026</v>
      </c>
      <c r="AD81" s="54" t="s">
        <v>512</v>
      </c>
      <c r="AE81" s="2614"/>
      <c r="AF81" s="2614"/>
      <c r="AG81" s="2614"/>
      <c r="AH81" s="2614"/>
      <c r="AI81" s="182"/>
      <c r="AJ81" s="2614"/>
      <c r="AK81" s="2614"/>
      <c r="AL81" s="2614"/>
      <c r="AM81" s="2614"/>
      <c r="AN81" s="2614"/>
      <c r="AO81" s="2614"/>
      <c r="AP81" s="2614"/>
      <c r="AQ81" s="2614"/>
      <c r="AR81" s="2614"/>
      <c r="AS81" s="182"/>
      <c r="AT81" s="2614"/>
      <c r="AU81" s="2614"/>
      <c r="AV81" s="2614"/>
      <c r="AW81" s="2614"/>
      <c r="AX81" s="2614"/>
      <c r="AY81" s="2614"/>
      <c r="AZ81" s="2614"/>
      <c r="BA81" s="2614"/>
      <c r="BB81" s="2614"/>
      <c r="BC81" s="1887"/>
      <c r="BD81" s="118"/>
      <c r="BE81" s="118"/>
      <c r="BF81" s="1025" t="s">
        <v>1002</v>
      </c>
      <c r="BG81" s="1025" t="s">
        <v>1025</v>
      </c>
      <c r="BH81" s="1025" cm="1" t="str">
        <f t="array" ref="BH81:BH81">BH80</f>
        <v>0</v>
      </c>
      <c r="BI81" s="658"/>
      <c r="BJ81" s="658"/>
    </row>
    <row s="1621" customFormat="1" customHeight="1" ht="14.25">
      <c r="A82" s="118"/>
      <c r="B82" s="413"/>
      <c r="C82" s="118"/>
      <c r="D82" s="118"/>
      <c r="E82" s="658">
        <v>15</v>
      </c>
      <c r="F82" s="50" cm="1" t="str">
        <f t="array" ref="F82:F82">OFFSET(E82,-1,1)</f>
        <v>1</v>
      </c>
      <c r="G82" s="118"/>
      <c r="H82" s="118" t="str">
        <f>"!=='не определено' &amp;&amp; row.l5 !== null"</f>
        <v>!=='не определено' &amp;&amp; row.l5 !== null</v>
      </c>
      <c r="I82" s="118"/>
      <c r="J82" s="118"/>
      <c r="K82" s="893"/>
      <c r="L82" s="118"/>
      <c r="M82" s="118"/>
      <c r="N82" s="118"/>
      <c r="O82" s="118"/>
      <c r="P82" s="118"/>
      <c r="Q82" s="118"/>
      <c r="R82" s="118"/>
      <c r="S82" s="118"/>
      <c r="T82" s="439">
        <f>F82&gt;0</f>
        <v>1</v>
      </c>
      <c r="U82" s="118"/>
      <c r="V82" s="118"/>
      <c r="W82" s="665" t="s">
        <v>1027</v>
      </c>
      <c r="X82" s="1443"/>
      <c r="Y82" s="136"/>
      <c r="Z82" s="1549"/>
      <c r="AA82" s="118"/>
      <c r="AB82" s="661"/>
      <c r="AC82" s="199" t="s">
        <v>1004</v>
      </c>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200"/>
      <c r="BD82" s="118"/>
      <c r="BE82" s="118"/>
      <c r="BF82" s="1025"/>
      <c r="BG82" s="1025"/>
      <c r="BH82" s="1025"/>
      <c r="BI82" s="658" t="s">
        <v>1025</v>
      </c>
      <c r="BJ82" s="658"/>
    </row>
    <row s="119" customFormat="1" customHeight="1" ht="14.25">
      <c r="A83" s="119"/>
      <c r="B83" s="414"/>
      <c r="C83" s="119"/>
      <c r="D83" s="119"/>
      <c r="E83" s="659">
        <v>15</v>
      </c>
      <c r="F83" s="50" cm="1" t="str">
        <f t="array" ref="F83:F83">OFFSET(E83,-1,1)</f>
        <v>1</v>
      </c>
      <c r="G83" s="118" t="s">
        <v>491</v>
      </c>
      <c r="H83" s="119"/>
      <c r="I83" s="119"/>
      <c r="J83" s="119"/>
      <c r="K83" s="893" t="str">
        <f>F58&amp;"6komm"</f>
        <v>16komm</v>
      </c>
      <c r="L83" s="897" cm="1" t="str">
        <f t="array" ref="L83:L83">BC83</f>
        <v>0</v>
      </c>
      <c r="M83" s="119"/>
      <c r="N83" s="119"/>
      <c r="O83" s="119"/>
      <c r="P83" s="119"/>
      <c r="Q83" s="119"/>
      <c r="R83" s="119"/>
      <c r="S83" s="119"/>
      <c r="T83" s="439" cm="1" t="str">
        <f t="array" ref="T83:T83">T82</f>
        <v>true</v>
      </c>
      <c r="U83" s="119"/>
      <c r="V83" s="119"/>
      <c r="W83" s="119"/>
      <c r="X83" s="1443"/>
      <c r="Y83" s="119"/>
      <c r="Z83" s="1549"/>
      <c r="AA83" s="119"/>
      <c r="AB83" s="178">
        <v>6</v>
      </c>
      <c r="AC83" s="179" t="s">
        <v>1028</v>
      </c>
      <c r="AD83" s="178" t="s">
        <v>784</v>
      </c>
      <c r="AE83" s="192"/>
      <c r="AF83" s="192"/>
      <c r="AG83" s="192"/>
      <c r="AH83" s="192"/>
      <c r="AI83" s="192"/>
      <c r="AJ83" s="2730"/>
      <c r="AK83" s="2730"/>
      <c r="AL83" s="192"/>
      <c r="AM83" s="192"/>
      <c r="AN83" s="192"/>
      <c r="AO83" s="192"/>
      <c r="AP83" s="192"/>
      <c r="AQ83" s="192"/>
      <c r="AR83" s="192"/>
      <c r="AS83" s="192"/>
      <c r="AT83" s="2730"/>
      <c r="AU83" s="2730"/>
      <c r="AV83" s="192"/>
      <c r="AW83" s="192"/>
      <c r="AX83" s="192"/>
      <c r="AY83" s="192"/>
      <c r="AZ83" s="192"/>
      <c r="BA83" s="192"/>
      <c r="BB83" s="192"/>
      <c r="BC83" s="167"/>
      <c r="BD83" s="119"/>
      <c r="BE83" s="119"/>
      <c r="BF83" s="1028" t="s">
        <v>1029</v>
      </c>
      <c r="BG83" s="1028"/>
      <c r="BH83" s="1028"/>
      <c r="BI83" s="659"/>
      <c r="BJ83" s="659"/>
    </row>
    <row s="119" customFormat="1" customHeight="1" ht="14.25">
      <c r="A84" s="119"/>
      <c r="B84" s="414"/>
      <c r="C84" s="119"/>
      <c r="D84" s="119"/>
      <c r="E84" s="659">
        <v>15</v>
      </c>
      <c r="F84" s="50" cm="1" t="str">
        <f t="array" ref="F84:F84">OFFSET(E84,-1,1)</f>
        <v>1</v>
      </c>
      <c r="G84" s="118" t="s">
        <v>495</v>
      </c>
      <c r="H84" s="119"/>
      <c r="I84" s="119"/>
      <c r="J84" s="119"/>
      <c r="K84" s="893" t="str">
        <f>F58&amp;"7komm"</f>
        <v>17komm</v>
      </c>
      <c r="L84" s="897" cm="1" t="str">
        <f t="array" ref="L84:L84">BC84</f>
        <v>0</v>
      </c>
      <c r="M84" s="119"/>
      <c r="N84" s="119"/>
      <c r="O84" s="119"/>
      <c r="P84" s="119"/>
      <c r="Q84" s="119"/>
      <c r="R84" s="119"/>
      <c r="S84" s="119"/>
      <c r="T84" s="439" cm="1" t="str">
        <f t="array" ref="T84:T84">T83</f>
        <v>true</v>
      </c>
      <c r="U84" s="119"/>
      <c r="V84" s="119"/>
      <c r="W84" s="119"/>
      <c r="X84" s="1443"/>
      <c r="Y84" s="119"/>
      <c r="Z84" s="1549"/>
      <c r="AA84" s="119"/>
      <c r="AB84" s="178">
        <v>7</v>
      </c>
      <c r="AC84" s="179" t="s">
        <v>1030</v>
      </c>
      <c r="AD84" s="178" t="s">
        <v>784</v>
      </c>
      <c r="AE84" s="192"/>
      <c r="AF84" s="192"/>
      <c r="AG84" s="192"/>
      <c r="AH84" s="192"/>
      <c r="AI84" s="192"/>
      <c r="AJ84" s="2730"/>
      <c r="AK84" s="2730"/>
      <c r="AL84" s="192"/>
      <c r="AM84" s="192"/>
      <c r="AN84" s="192"/>
      <c r="AO84" s="192"/>
      <c r="AP84" s="192"/>
      <c r="AQ84" s="192"/>
      <c r="AR84" s="192"/>
      <c r="AS84" s="192"/>
      <c r="AT84" s="2730"/>
      <c r="AU84" s="2730"/>
      <c r="AV84" s="192"/>
      <c r="AW84" s="192"/>
      <c r="AX84" s="192"/>
      <c r="AY84" s="192"/>
      <c r="AZ84" s="192"/>
      <c r="BA84" s="192"/>
      <c r="BB84" s="192"/>
      <c r="BC84" s="167"/>
      <c r="BD84" s="119"/>
      <c r="BE84" s="119"/>
      <c r="BF84" s="1028" t="s">
        <v>1031</v>
      </c>
      <c r="BG84" s="1028"/>
      <c r="BH84" s="1028"/>
      <c r="BI84" s="659"/>
      <c r="BJ84" s="659"/>
    </row>
    <row s="119" customFormat="1" customHeight="1" ht="14.25">
      <c r="A85" s="119"/>
      <c r="B85" s="414"/>
      <c r="C85" s="119"/>
      <c r="D85" s="119"/>
      <c r="E85" s="659">
        <v>15</v>
      </c>
      <c r="F85" s="50" cm="1" t="str">
        <f t="array" ref="F85:F85">OFFSET(E85,-1,1)</f>
        <v>1</v>
      </c>
      <c r="G85" s="118" t="s">
        <v>541</v>
      </c>
      <c r="H85" s="119"/>
      <c r="I85" s="119"/>
      <c r="J85" s="119"/>
      <c r="K85" s="893" t="str">
        <f>F58&amp;"8komm"</f>
        <v>18komm</v>
      </c>
      <c r="L85" s="897" cm="1" t="str">
        <f t="array" ref="L85:L85">BC85</f>
        <v>0</v>
      </c>
      <c r="M85" s="119"/>
      <c r="N85" s="119"/>
      <c r="O85" s="119"/>
      <c r="P85" s="119"/>
      <c r="Q85" s="119"/>
      <c r="R85" s="119"/>
      <c r="S85" s="119"/>
      <c r="T85" s="439" cm="1" t="str">
        <f t="array" ref="T85:T85">T84</f>
        <v>true</v>
      </c>
      <c r="U85" s="119"/>
      <c r="V85" s="119"/>
      <c r="W85" s="119"/>
      <c r="X85" s="1443"/>
      <c r="Y85" s="119"/>
      <c r="Z85" s="1549"/>
      <c r="AA85" s="119"/>
      <c r="AB85" s="178">
        <v>8</v>
      </c>
      <c r="AC85" s="179" t="s">
        <v>1032</v>
      </c>
      <c r="AD85" s="178" t="s">
        <v>784</v>
      </c>
      <c r="AE85" s="192"/>
      <c r="AF85" s="192"/>
      <c r="AG85" s="192"/>
      <c r="AH85" s="192"/>
      <c r="AI85" s="192"/>
      <c r="AJ85" s="2730"/>
      <c r="AK85" s="2730"/>
      <c r="AL85" s="192"/>
      <c r="AM85" s="192"/>
      <c r="AN85" s="192"/>
      <c r="AO85" s="192"/>
      <c r="AP85" s="192"/>
      <c r="AQ85" s="192"/>
      <c r="AR85" s="192"/>
      <c r="AS85" s="192"/>
      <c r="AT85" s="2730"/>
      <c r="AU85" s="2730"/>
      <c r="AV85" s="192"/>
      <c r="AW85" s="192"/>
      <c r="AX85" s="192"/>
      <c r="AY85" s="192"/>
      <c r="AZ85" s="192"/>
      <c r="BA85" s="192"/>
      <c r="BB85" s="192"/>
      <c r="BC85" s="167"/>
      <c r="BD85" s="119"/>
      <c r="BE85" s="119"/>
      <c r="BF85" s="1028" t="s">
        <v>1033</v>
      </c>
      <c r="BG85" s="1028"/>
      <c r="BH85" s="1028"/>
      <c r="BI85" s="659"/>
      <c r="BJ85" s="659"/>
    </row>
    <row s="119" customFormat="1" customHeight="1" ht="14.25">
      <c r="A86" s="119"/>
      <c r="B86" s="414"/>
      <c r="C86" s="119"/>
      <c r="D86" s="119"/>
      <c r="E86" s="659">
        <v>15</v>
      </c>
      <c r="F86" s="50" cm="1" t="str">
        <f t="array" ref="F86:F86">OFFSET(E86,-1,1)</f>
        <v>1</v>
      </c>
      <c r="G86" s="118"/>
      <c r="H86" s="119"/>
      <c r="I86" s="119"/>
      <c r="J86" s="119"/>
      <c r="K86" s="893" t="str">
        <f>F58&amp;"9komm"</f>
        <v>19komm</v>
      </c>
      <c r="L86" s="897" cm="1" t="str">
        <f t="array" ref="L86:L86">BC86</f>
        <v>0</v>
      </c>
      <c r="M86" s="119"/>
      <c r="N86" s="119"/>
      <c r="O86" s="119"/>
      <c r="P86" s="119"/>
      <c r="Q86" s="119"/>
      <c r="R86" s="119"/>
      <c r="S86" s="119"/>
      <c r="T86" s="439" cm="1" t="str">
        <f t="array" ref="T86:T86">T85</f>
        <v>true</v>
      </c>
      <c r="U86" s="119"/>
      <c r="V86" s="119"/>
      <c r="W86" s="119"/>
      <c r="X86" s="1443"/>
      <c r="Y86" s="119"/>
      <c r="Z86" s="1549"/>
      <c r="AA86" s="119"/>
      <c r="AB86" s="178">
        <v>9</v>
      </c>
      <c r="AC86" s="179" t="s">
        <v>1034</v>
      </c>
      <c r="AD86" s="178" t="s">
        <v>784</v>
      </c>
      <c r="AE86" s="192"/>
      <c r="AF86" s="192"/>
      <c r="AG86" s="192"/>
      <c r="AH86" s="192"/>
      <c r="AI86" s="192"/>
      <c r="AJ86" s="2730"/>
      <c r="AK86" s="2730"/>
      <c r="AL86" s="192"/>
      <c r="AM86" s="192"/>
      <c r="AN86" s="192"/>
      <c r="AO86" s="192"/>
      <c r="AP86" s="192"/>
      <c r="AQ86" s="192"/>
      <c r="AR86" s="192"/>
      <c r="AS86" s="192"/>
      <c r="AT86" s="2730"/>
      <c r="AU86" s="2730"/>
      <c r="AV86" s="192"/>
      <c r="AW86" s="192"/>
      <c r="AX86" s="192"/>
      <c r="AY86" s="192"/>
      <c r="AZ86" s="192"/>
      <c r="BA86" s="192"/>
      <c r="BB86" s="192"/>
      <c r="BC86" s="167"/>
      <c r="BD86" s="119"/>
      <c r="BE86" s="119"/>
      <c r="BF86" s="1028" t="s">
        <v>1035</v>
      </c>
      <c r="BG86" s="1028"/>
      <c r="BH86" s="1028"/>
      <c r="BI86" s="659"/>
      <c r="BJ86" s="659"/>
    </row>
    <row s="1621" customFormat="1" customHeight="1" ht="14.25">
      <c r="A87" s="118"/>
      <c r="B87" s="413"/>
      <c r="C87" s="118"/>
      <c r="D87" s="118"/>
      <c r="E87" s="658">
        <v>15</v>
      </c>
      <c r="F87" s="64" cm="1" t="str">
        <f t="array" ref="F87:F87">X87</f>
        <v>2</v>
      </c>
      <c r="G87" s="118"/>
      <c r="H87" s="118"/>
      <c r="I87" s="867" t="s">
        <v>995</v>
      </c>
      <c r="J87" s="118"/>
      <c r="K87" s="893"/>
      <c r="L87" s="118"/>
      <c r="M87" s="118"/>
      <c r="N87" s="118"/>
      <c r="O87" s="118"/>
      <c r="P87" s="118"/>
      <c r="Q87" s="118"/>
      <c r="R87" s="118"/>
      <c r="S87" s="118"/>
      <c r="T87" s="439">
        <f>X87&gt;0</f>
        <v>1</v>
      </c>
      <c r="U87" s="118"/>
      <c r="V87" s="118" cm="1" t="str">
        <f t="array" ref="V87:V87">Аренда!$AB$47</f>
        <v>Тариф 2 (Водоотведение) - тариф на водоотведение (Оказание услуг на территории: Прокопьевский муниципальный округ (ОКТМО: 32522000) - п Калачево)</v>
      </c>
      <c r="W87" s="118"/>
      <c r="X87" s="1443" t="s">
        <v>283</v>
      </c>
      <c r="Y87" s="660"/>
      <c r="Z87" s="1549"/>
      <c r="AA87" s="118"/>
      <c r="AB87" s="189" cm="1" t="str">
        <f t="array" ref="AB87:AB87">Аренда!$AB$47</f>
        <v>Тариф 2 (Водоотведение) - тариф на водоотведение (Оказание услуг на территории: Прокопьевский муниципальный округ (ОКТМО: 32522000) - п Калачево)</v>
      </c>
      <c r="AC87" s="147"/>
      <c r="AD87" s="147"/>
      <c r="AE87" s="273">
        <f>AE93+AE98+AE103+AE108+AE88+AE113+AE114+AE115+AE116</f>
        <v>0</v>
      </c>
      <c r="AF87" s="273">
        <f>AF93+AF98+AF103+AF108+AF88+AF113+AF114+AF115+AF116</f>
        <v>0</v>
      </c>
      <c r="AG87" s="273">
        <f>AG93+AG98+AG103+AG108+AG88+AG113+AG114+AG115+AG116</f>
        <v>0</v>
      </c>
      <c r="AH87" s="273">
        <f>AH93+AH98+AH103+AH108+AH88+AH113+AH114+AH115+AH116</f>
        <v>0</v>
      </c>
      <c r="AI87" s="273">
        <f>AI93+AI98+AI103+AI108+AI88+AI113+AI114+AI115+AI116</f>
        <v>0</v>
      </c>
      <c r="AJ87" s="273">
        <f>AJ93+AJ98+AJ103+AJ108+AJ88+AJ113+AJ114+AJ115+AJ116</f>
        <v>0</v>
      </c>
      <c r="AK87" s="273">
        <f>AK93+AK98+AK103+AK108+AK88+AK113+AK114+AK115+AK116</f>
        <v>0</v>
      </c>
      <c r="AL87" s="273">
        <f>AL93+AL98+AL103+AL108+AL88+AL113+AL114+AL115+AL116</f>
        <v>0</v>
      </c>
      <c r="AM87" s="273">
        <f>AM93+AM98+AM103+AM108+AM88+AM113+AM114+AM115+AM116</f>
        <v>0</v>
      </c>
      <c r="AN87" s="273">
        <f>AN93+AN98+AN103+AN108+AN88+AN113+AN114+AN115+AN116</f>
        <v>0</v>
      </c>
      <c r="AO87" s="273">
        <f>AO93+AO98+AO103+AO108+AO88+AO113+AO114+AO115+AO116</f>
        <v>0</v>
      </c>
      <c r="AP87" s="273">
        <f>AP93+AP98+AP103+AP108+AP88+AP113+AP114+AP115+AP116</f>
        <v>0</v>
      </c>
      <c r="AQ87" s="273">
        <f>AQ93+AQ98+AQ103+AQ108+AQ88+AQ113+AQ114+AQ115+AQ116</f>
        <v>0</v>
      </c>
      <c r="AR87" s="273">
        <f>AR93+AR98+AR103+AR108+AR88+AR113+AR114+AR115+AR116</f>
        <v>0</v>
      </c>
      <c r="AS87" s="273">
        <f>AS93+AS98+AS103+AS108+AS88+AS113+AS114+AS115+AS116</f>
        <v>0</v>
      </c>
      <c r="AT87" s="273">
        <f>AT93+AT98+AT103+AT108+AT88+AT113+AT114+AT115+AT116</f>
        <v>0</v>
      </c>
      <c r="AU87" s="273">
        <f>AU93+AU98+AU103+AU108+AU88+AU113+AU114+AU115+AU116</f>
        <v>0</v>
      </c>
      <c r="AV87" s="273">
        <f>AV93+AV98+AV103+AV108+AV88+AV113+AV114+AV115+AV116</f>
        <v>0</v>
      </c>
      <c r="AW87" s="273">
        <f>AW93+AW98+AW103+AW108+AW88+AW113+AW114+AW115+AW116</f>
        <v>0</v>
      </c>
      <c r="AX87" s="273">
        <f>AX93+AX98+AX103+AX108+AX88+AX113+AX114+AX115+AX116</f>
        <v>0</v>
      </c>
      <c r="AY87" s="273">
        <f>AY93+AY98+AY103+AY108+AY88+AY113+AY114+AY115+AY116</f>
        <v>0</v>
      </c>
      <c r="AZ87" s="273">
        <f>AZ93+AZ98+AZ103+AZ108+AZ88+AZ113+AZ114+AZ115+AZ116</f>
        <v>0</v>
      </c>
      <c r="BA87" s="273">
        <f>BA93+BA98+BA103+BA108+BA88+BA113+BA114+BA115+BA116</f>
        <v>0</v>
      </c>
      <c r="BB87" s="273">
        <f>BB93+BB98+BB103+BB108+BB88+BB113+BB114+BB115+BB116</f>
        <v>0</v>
      </c>
      <c r="BC87" s="191"/>
      <c r="BD87" s="118"/>
      <c r="BE87" s="118"/>
      <c r="BF87" s="1025"/>
      <c r="BG87" s="1025"/>
      <c r="BH87" s="1025"/>
      <c r="BI87" s="658"/>
      <c r="BJ87" s="658"/>
    </row>
    <row s="1621" customFormat="1" customHeight="1" ht="14.25">
      <c r="A88" s="118"/>
      <c r="B88" s="413"/>
      <c r="C88" s="118"/>
      <c r="D88" s="118"/>
      <c r="E88" s="658">
        <v>15</v>
      </c>
      <c r="F88" s="50" cm="1" t="str">
        <f t="array" ref="F88:F88">OFFSET(E88,-1,1)</f>
        <v>2</v>
      </c>
      <c r="G88" s="118" t="s">
        <v>325</v>
      </c>
      <c r="H88" s="118"/>
      <c r="I88" s="118"/>
      <c r="J88" s="118"/>
      <c r="K88" s="893" t="str">
        <f>F88&amp;"1komm"</f>
        <v>21komm</v>
      </c>
      <c r="L88" s="897" cm="1" t="str">
        <f t="array" ref="L88:L88">BC88</f>
        <v>0</v>
      </c>
      <c r="M88" s="118"/>
      <c r="N88" s="118"/>
      <c r="O88" s="118"/>
      <c r="P88" s="118"/>
      <c r="Q88" s="118"/>
      <c r="R88" s="118"/>
      <c r="S88" s="118"/>
      <c r="T88" s="439" cm="1" t="str">
        <f t="array" ref="T88:T88">T87</f>
        <v>true</v>
      </c>
      <c r="U88" s="118"/>
      <c r="V88" s="118"/>
      <c r="W88" s="118"/>
      <c r="X88" s="1443"/>
      <c r="Y88" s="118"/>
      <c r="Z88" s="1549"/>
      <c r="AA88" s="118"/>
      <c r="AB88" s="178">
        <v>1</v>
      </c>
      <c r="AC88" s="179" t="s">
        <v>996</v>
      </c>
      <c r="AD88" s="178" t="s">
        <v>784</v>
      </c>
      <c r="AE88" s="180">
        <f>SUMIF(AD90:AD92,AD88,AE90:AE92)</f>
        <v>0</v>
      </c>
      <c r="AF88" s="180">
        <f>SUMIF(AD90:AD92,AD88,AF90:AF92)</f>
        <v>0</v>
      </c>
      <c r="AG88" s="180">
        <f>SUMIF(AD90:AD92,AD88,AG90:AG92)</f>
        <v>0</v>
      </c>
      <c r="AH88" s="180">
        <f>SUMIF(AD90:AD92,AD88,AH90:AH92)</f>
        <v>0</v>
      </c>
      <c r="AI88" s="180">
        <f>SUMIF(AD90:AD92,AD88,AI90:AI92)</f>
        <v>0</v>
      </c>
      <c r="AJ88" s="2730">
        <f>SUMIF(AD90:AD92,AD88,AJ90:AJ92)</f>
        <v>0</v>
      </c>
      <c r="AK88" s="2730">
        <f>SUMIF(AD90:AD92,AD88,AK90:AK92)</f>
        <v>0</v>
      </c>
      <c r="AL88" s="192">
        <f>SUMIF(AD90:AD92,AD88,AL90:AL92)</f>
        <v>0</v>
      </c>
      <c r="AM88" s="192">
        <f>SUMIF(AD90:AD92,AD88,AM90:AM92)</f>
        <v>0</v>
      </c>
      <c r="AN88" s="192">
        <f>SUMIF(AD90:AD92,AD88,AN90:AN92)</f>
        <v>0</v>
      </c>
      <c r="AO88" s="192">
        <f>SUMIF(AD90:AD92,AD88,AO90:AO92)</f>
        <v>0</v>
      </c>
      <c r="AP88" s="192">
        <f>SUMIF(AD90:AD92,AD88,AP90:AP92)</f>
        <v>0</v>
      </c>
      <c r="AQ88" s="192">
        <f>SUMIF(AD90:AD92,AD88,AQ90:AQ92)</f>
        <v>0</v>
      </c>
      <c r="AR88" s="192">
        <f>SUMIF(AD90:AD92,AD88,AR90:AR92)</f>
        <v>0</v>
      </c>
      <c r="AS88" s="180">
        <f>SUMIF(AD90:AD92,AD88,AS90:AS92)</f>
        <v>0</v>
      </c>
      <c r="AT88" s="2730">
        <f>SUMIF(AD90:AD92,AD88,AT90:AT92)</f>
        <v>0</v>
      </c>
      <c r="AU88" s="2730">
        <f>SUMIF(AD90:AD92,AD88,AU90:AU92)</f>
        <v>0</v>
      </c>
      <c r="AV88" s="192">
        <f>SUMIF(AD90:AD92,AD88,AV90:AV92)</f>
        <v>0</v>
      </c>
      <c r="AW88" s="192">
        <f>SUMIF(AD90:AD92,AD88,AW90:AW92)</f>
        <v>0</v>
      </c>
      <c r="AX88" s="192">
        <f>SUMIF(AD90:AD92,AD88,AX90:AX92)</f>
        <v>0</v>
      </c>
      <c r="AY88" s="192">
        <f>SUMIF(AD90:AD92,AD88,AY90:AY92)</f>
        <v>0</v>
      </c>
      <c r="AZ88" s="192">
        <f>SUMIF(AD90:AD92,AD88,AZ90:AZ92)</f>
        <v>0</v>
      </c>
      <c r="BA88" s="192">
        <f>SUMIF(AD90:AD92,AD88,BA90:BA92)</f>
        <v>0</v>
      </c>
      <c r="BB88" s="192">
        <f>SUMIF(AD90:AD92,AD88,BB90:BB92)</f>
        <v>0</v>
      </c>
      <c r="BC88" s="167"/>
      <c r="BD88" s="118"/>
      <c r="BE88" s="118"/>
      <c r="BF88" s="1025" t="s">
        <v>997</v>
      </c>
      <c r="BG88" s="1025"/>
      <c r="BH88" s="1025"/>
      <c r="BI88" s="658"/>
      <c r="BJ88" s="658"/>
    </row>
    <row s="1621" customFormat="1" customHeight="1" ht="15" hidden="1">
      <c r="A89" s="118"/>
      <c r="B89" s="413"/>
      <c r="C89" s="118"/>
      <c r="D89" s="118"/>
      <c r="E89" s="658">
        <v>0</v>
      </c>
      <c r="F89" s="50" cm="1" t="str">
        <f t="array" ref="F89:F89">OFFSET(E89,-1,1)</f>
        <v>2</v>
      </c>
      <c r="G89" s="118"/>
      <c r="H89" s="118"/>
      <c r="I89" s="118"/>
      <c r="J89" s="118"/>
      <c r="K89" s="893"/>
      <c r="L89" s="897"/>
      <c r="M89" s="118"/>
      <c r="N89" s="118"/>
      <c r="O89" s="118"/>
      <c r="P89" s="118"/>
      <c r="Q89" s="118"/>
      <c r="R89" s="118"/>
      <c r="S89" s="118"/>
      <c r="T89" s="439" t="b">
        <v>0</v>
      </c>
      <c r="U89" s="118"/>
      <c r="V89" s="118"/>
      <c r="W89" s="118" t="s">
        <v>173</v>
      </c>
      <c r="X89" s="1443"/>
      <c r="Y89" s="1443">
        <v>0</v>
      </c>
      <c r="Z89" s="1549"/>
      <c r="AA89" s="1550" t="s">
        <v>174</v>
      </c>
      <c r="AB89" s="178"/>
      <c r="AC89" s="179"/>
      <c r="AD89" s="178"/>
      <c r="AE89" s="183">
        <f>OR(AND(AE90&lt;&gt;"",AE91=""),AND(AE90="",AE91&lt;&gt;""))</f>
        <v>0</v>
      </c>
      <c r="AF89" s="183">
        <f>OR(AND(AF90&lt;&gt;"",AF91=""),AND(AF90="",AF91&lt;&gt;""))</f>
        <v>0</v>
      </c>
      <c r="AG89" s="183">
        <f>OR(AND(AG90&lt;&gt;"",AG91=""),AND(AG90="",AG91&lt;&gt;""))</f>
        <v>0</v>
      </c>
      <c r="AH89" s="183">
        <f>OR(AND(AH90&lt;&gt;"",AH91=""),AND(AH90="",AH91&lt;&gt;""))</f>
        <v>0</v>
      </c>
      <c r="AI89" s="183">
        <f>OR(AND(AI90&lt;&gt;"",AI91=""),AND(AI90="",AI91&lt;&gt;""))</f>
        <v>0</v>
      </c>
      <c r="AJ89" s="183">
        <f>OR(AND(AJ90&lt;&gt;"",AJ91=""),AND(AJ90="",AJ91&lt;&gt;""))</f>
        <v>0</v>
      </c>
      <c r="AK89" s="183">
        <f>OR(AND(AK90&lt;&gt;"",AK91=""),AND(AK90="",AK91&lt;&gt;""))</f>
        <v>0</v>
      </c>
      <c r="AL89" s="183">
        <f>OR(AND(AL90&lt;&gt;"",AL91=""),AND(AL90="",AL91&lt;&gt;""))</f>
        <v>0</v>
      </c>
      <c r="AM89" s="183">
        <f>OR(AND(AM90&lt;&gt;"",AM91=""),AND(AM90="",AM91&lt;&gt;""))</f>
        <v>0</v>
      </c>
      <c r="AN89" s="183">
        <f>OR(AND(AN90&lt;&gt;"",AN91=""),AND(AN90="",AN91&lt;&gt;""))</f>
        <v>0</v>
      </c>
      <c r="AO89" s="183">
        <f>OR(AND(AO90&lt;&gt;"",AO91=""),AND(AO90="",AO91&lt;&gt;""))</f>
        <v>0</v>
      </c>
      <c r="AP89" s="183">
        <f>OR(AND(AP90&lt;&gt;"",AP91=""),AND(AP90="",AP91&lt;&gt;""))</f>
        <v>0</v>
      </c>
      <c r="AQ89" s="183">
        <f>OR(AND(AQ90&lt;&gt;"",AQ91=""),AND(AQ90="",AQ91&lt;&gt;""))</f>
        <v>0</v>
      </c>
      <c r="AR89" s="183">
        <f>OR(AND(AR90&lt;&gt;"",AR91=""),AND(AR90="",AR91&lt;&gt;""))</f>
        <v>0</v>
      </c>
      <c r="AS89" s="183">
        <f>OR(AND(AS90&lt;&gt;"",AS91=""),AND(AS90="",AS91&lt;&gt;""))</f>
        <v>0</v>
      </c>
      <c r="AT89" s="183">
        <f>OR(AND(AT90&lt;&gt;"",AT91=""),AND(AT90="",AT91&lt;&gt;""))</f>
        <v>0</v>
      </c>
      <c r="AU89" s="183">
        <f>OR(AND(AU90&lt;&gt;"",AU91=""),AND(AU90="",AU91&lt;&gt;""))</f>
        <v>0</v>
      </c>
      <c r="AV89" s="183">
        <f>OR(AND(AV90&lt;&gt;"",AV91=""),AND(AV90="",AV91&lt;&gt;""))</f>
        <v>0</v>
      </c>
      <c r="AW89" s="183">
        <f>OR(AND(AW90&lt;&gt;"",AW91=""),AND(AW90="",AW91&lt;&gt;""))</f>
        <v>0</v>
      </c>
      <c r="AX89" s="183">
        <f>OR(AND(AX90&lt;&gt;"",AX91=""),AND(AX90="",AX91&lt;&gt;""))</f>
        <v>0</v>
      </c>
      <c r="AY89" s="183">
        <f>OR(AND(AY90&lt;&gt;"",AY91=""),AND(AY90="",AY91&lt;&gt;""))</f>
        <v>0</v>
      </c>
      <c r="AZ89" s="183">
        <f>OR(AND(AZ90&lt;&gt;"",AZ91=""),AND(AZ90="",AZ91&lt;&gt;""))</f>
        <v>0</v>
      </c>
      <c r="BA89" s="183">
        <f>OR(AND(BA90&lt;&gt;"",BA91=""),AND(BA90="",BA91&lt;&gt;""))</f>
        <v>0</v>
      </c>
      <c r="BB89" s="183">
        <f>OR(AND(BB90&lt;&gt;"",BB91=""),AND(BB90="",BB91&lt;&gt;""))</f>
        <v>0</v>
      </c>
      <c r="BC89" s="957"/>
      <c r="BD89" s="118"/>
      <c r="BE89" s="118"/>
      <c r="BF89" s="1025"/>
      <c r="BG89" s="1025"/>
      <c r="BH89" s="1025"/>
      <c r="BI89" s="658"/>
      <c r="BJ89" s="658"/>
    </row>
    <row s="1621" customFormat="1" customHeight="1" ht="14.25" hidden="1">
      <c r="A90" s="118"/>
      <c r="B90" s="413"/>
      <c r="C90" s="118"/>
      <c r="D90" s="118"/>
      <c r="E90" s="658">
        <v>15</v>
      </c>
      <c r="F90" s="50" cm="1" t="str">
        <f t="array" ref="F90:F90">OFFSET(E90,-1,1)</f>
        <v>2</v>
      </c>
      <c r="G90" s="118" t="s">
        <v>325</v>
      </c>
      <c r="H90" s="121" cm="1" t="str">
        <f t="array" ref="H90:H90">AC90</f>
        <v>0</v>
      </c>
      <c r="I90" s="118" t="s">
        <v>998</v>
      </c>
      <c r="J90" s="118"/>
      <c r="K90" s="893"/>
      <c r="L90" s="118"/>
      <c r="M90" s="118"/>
      <c r="N90" s="118"/>
      <c r="O90" s="118"/>
      <c r="P90" s="118"/>
      <c r="Q90" s="118"/>
      <c r="R90" s="118"/>
      <c r="S90" s="118"/>
      <c r="T90" s="439">
        <f>AND(F90&gt;0,Y89&gt;0)</f>
        <v>0</v>
      </c>
      <c r="U90" s="118"/>
      <c r="V90" s="118"/>
      <c r="W90" s="118"/>
      <c r="X90" s="1443"/>
      <c r="Y90" s="1443"/>
      <c r="Z90" s="1549"/>
      <c r="AA90" s="1550"/>
      <c r="AB90" s="54" t="str">
        <f>"1."&amp;Y89</f>
        <v>1.0</v>
      </c>
      <c r="AC90" s="241"/>
      <c r="AD90" s="178" t="s">
        <v>784</v>
      </c>
      <c r="AE90" s="2614"/>
      <c r="AF90" s="2614"/>
      <c r="AG90" s="2614"/>
      <c r="AH90" s="2614"/>
      <c r="AI90" s="182"/>
      <c r="AJ90" s="2614"/>
      <c r="AK90" s="2614"/>
      <c r="AL90" s="2614"/>
      <c r="AM90" s="2614"/>
      <c r="AN90" s="2614"/>
      <c r="AO90" s="2614"/>
      <c r="AP90" s="2614"/>
      <c r="AQ90" s="2614"/>
      <c r="AR90" s="2614"/>
      <c r="AS90" s="182"/>
      <c r="AT90" s="2614"/>
      <c r="AU90" s="2614"/>
      <c r="AV90" s="2614"/>
      <c r="AW90" s="2614"/>
      <c r="AX90" s="2614"/>
      <c r="AY90" s="2614"/>
      <c r="AZ90" s="2614"/>
      <c r="BA90" s="2614"/>
      <c r="BB90" s="2614"/>
      <c r="BC90" s="1887"/>
      <c r="BD90" s="118"/>
      <c r="BE90" s="118"/>
      <c r="BF90" s="1025" t="s">
        <v>999</v>
      </c>
      <c r="BG90" s="1025" t="s">
        <v>1000</v>
      </c>
      <c r="BH90" s="1025" cm="1" t="str">
        <f t="array" ref="BH90:BH90">AC90</f>
        <v>0</v>
      </c>
      <c r="BI90" s="658"/>
      <c r="BJ90" s="658" t="b">
        <v>1</v>
      </c>
    </row>
    <row s="1621" customFormat="1" customHeight="1" ht="14.25" hidden="1">
      <c r="A91" s="118"/>
      <c r="B91" s="413"/>
      <c r="C91" s="118"/>
      <c r="D91" s="118"/>
      <c r="E91" s="658">
        <v>15</v>
      </c>
      <c r="F91" s="50" cm="1" t="str">
        <f t="array" ref="F91:F91">OFFSET(E91,-1,1)</f>
        <v>2</v>
      </c>
      <c r="G91" s="118" t="s">
        <v>441</v>
      </c>
      <c r="H91" s="121" cm="1" t="str">
        <f t="array" ref="H91:H91">H90</f>
        <v>0</v>
      </c>
      <c r="I91" s="118" t="s">
        <v>998</v>
      </c>
      <c r="J91" s="118"/>
      <c r="K91" s="893"/>
      <c r="L91" s="118"/>
      <c r="M91" s="118"/>
      <c r="N91" s="118"/>
      <c r="O91" s="118"/>
      <c r="P91" s="118"/>
      <c r="Q91" s="118"/>
      <c r="R91" s="118"/>
      <c r="S91" s="118"/>
      <c r="T91" s="439" cm="1" t="str">
        <f t="array" ref="T91:T91">T90</f>
        <v>false</v>
      </c>
      <c r="U91" s="118"/>
      <c r="V91" s="118"/>
      <c r="W91" s="118"/>
      <c r="X91" s="1443"/>
      <c r="Y91" s="1443"/>
      <c r="Z91" s="1549"/>
      <c r="AA91" s="1550"/>
      <c r="AB91" s="54" t="str">
        <f>AB90&amp;".1"</f>
        <v>1.0.1</v>
      </c>
      <c r="AC91" s="188" t="s">
        <v>1001</v>
      </c>
      <c r="AD91" s="54" t="s">
        <v>512</v>
      </c>
      <c r="AE91" s="2614"/>
      <c r="AF91" s="2614"/>
      <c r="AG91" s="2614"/>
      <c r="AH91" s="2614"/>
      <c r="AI91" s="182"/>
      <c r="AJ91" s="2614"/>
      <c r="AK91" s="2614"/>
      <c r="AL91" s="2614"/>
      <c r="AM91" s="2614"/>
      <c r="AN91" s="2614"/>
      <c r="AO91" s="2614"/>
      <c r="AP91" s="2614"/>
      <c r="AQ91" s="2614"/>
      <c r="AR91" s="2614"/>
      <c r="AS91" s="182"/>
      <c r="AT91" s="2614"/>
      <c r="AU91" s="2614"/>
      <c r="AV91" s="2614"/>
      <c r="AW91" s="2614"/>
      <c r="AX91" s="2614"/>
      <c r="AY91" s="2614"/>
      <c r="AZ91" s="2614"/>
      <c r="BA91" s="2614"/>
      <c r="BB91" s="2614"/>
      <c r="BC91" s="1887"/>
      <c r="BD91" s="118"/>
      <c r="BE91" s="118"/>
      <c r="BF91" s="1025" t="s">
        <v>1002</v>
      </c>
      <c r="BG91" s="1025" t="s">
        <v>1000</v>
      </c>
      <c r="BH91" s="1025" cm="1" t="str">
        <f t="array" ref="BH91:BH91">BH90</f>
        <v>0</v>
      </c>
      <c r="BI91" s="658"/>
      <c r="BJ91" s="658"/>
    </row>
    <row s="1621" customFormat="1" customHeight="1" ht="14.25">
      <c r="A92" s="118"/>
      <c r="B92" s="413"/>
      <c r="C92" s="118"/>
      <c r="D92" s="118"/>
      <c r="E92" s="658">
        <v>15</v>
      </c>
      <c r="F92" s="50" cm="1" t="str">
        <f t="array" ref="F92:F92">OFFSET(E92,-1,1)</f>
        <v>2</v>
      </c>
      <c r="G92" s="118"/>
      <c r="H92" s="118" t="str">
        <f>"!=='не определено' &amp;&amp; row.l1 !== null"</f>
        <v>!=='не определено' &amp;&amp; row.l1 !== null</v>
      </c>
      <c r="I92" s="118"/>
      <c r="J92" s="118"/>
      <c r="K92" s="893"/>
      <c r="L92" s="118"/>
      <c r="M92" s="118"/>
      <c r="N92" s="118"/>
      <c r="O92" s="118"/>
      <c r="P92" s="118"/>
      <c r="Q92" s="118"/>
      <c r="R92" s="118"/>
      <c r="S92" s="118"/>
      <c r="T92" s="439">
        <f>F92&gt;0</f>
        <v>1</v>
      </c>
      <c r="U92" s="118"/>
      <c r="V92" s="118"/>
      <c r="W92" s="665" t="s">
        <v>1003</v>
      </c>
      <c r="X92" s="1443"/>
      <c r="Y92" s="118"/>
      <c r="Z92" s="1549"/>
      <c r="AA92" s="118"/>
      <c r="AB92" s="661"/>
      <c r="AC92" s="199" t="s">
        <v>1004</v>
      </c>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200"/>
      <c r="BD92" s="118"/>
      <c r="BE92" s="118"/>
      <c r="BF92" s="1025"/>
      <c r="BG92" s="1025"/>
      <c r="BH92" s="1025"/>
      <c r="BI92" s="658" t="s">
        <v>1000</v>
      </c>
      <c r="BJ92" s="658"/>
    </row>
    <row s="1621" customFormat="1" customHeight="1" ht="21.75">
      <c r="A93" s="118"/>
      <c r="B93" s="413"/>
      <c r="C93" s="118"/>
      <c r="D93" s="118"/>
      <c r="E93" s="658">
        <v>22.5</v>
      </c>
      <c r="F93" s="50" cm="1" t="str">
        <f t="array" ref="F93:F93">OFFSET(E93,-1,1)</f>
        <v>2</v>
      </c>
      <c r="G93" s="118"/>
      <c r="H93" s="118"/>
      <c r="I93" s="118"/>
      <c r="J93" s="118"/>
      <c r="K93" s="893" t="str">
        <f>F88&amp;"2komm"</f>
        <v>22komm</v>
      </c>
      <c r="L93" s="897" cm="1" t="str">
        <f t="array" ref="L93:L93">BC93</f>
        <v>0</v>
      </c>
      <c r="M93" s="118"/>
      <c r="N93" s="118"/>
      <c r="O93" s="118"/>
      <c r="P93" s="118"/>
      <c r="Q93" s="118"/>
      <c r="R93" s="118"/>
      <c r="S93" s="118"/>
      <c r="T93" s="439" cm="1" t="str">
        <f t="array" ref="T93:T93">T92</f>
        <v>true</v>
      </c>
      <c r="U93" s="118"/>
      <c r="V93" s="118"/>
      <c r="W93" s="118"/>
      <c r="X93" s="1443"/>
      <c r="Y93" s="664"/>
      <c r="Z93" s="1549"/>
      <c r="AA93" s="118"/>
      <c r="AB93" s="178">
        <v>2</v>
      </c>
      <c r="AC93" s="179" t="s">
        <v>1005</v>
      </c>
      <c r="AD93" s="178" t="s">
        <v>784</v>
      </c>
      <c r="AE93" s="180">
        <f>SUMIF(AD95:AD97,AD93,AE95:AE97)</f>
        <v>0</v>
      </c>
      <c r="AF93" s="180">
        <f>SUMIF(AD95:AD97,AD93,AF95:AF97)</f>
        <v>0</v>
      </c>
      <c r="AG93" s="180">
        <f>SUMIF(AD95:AD97,AD93,AG95:AG97)</f>
        <v>0</v>
      </c>
      <c r="AH93" s="180">
        <f>SUMIF(AD95:AD97,AD93,AH95:AH97)</f>
        <v>0</v>
      </c>
      <c r="AI93" s="180">
        <f>SUMIF(AD95:AD97,AD93,AI95:AI97)</f>
        <v>0</v>
      </c>
      <c r="AJ93" s="2730">
        <f>SUMIF(AD95:AD97,AD93,AJ95:AJ97)</f>
        <v>0</v>
      </c>
      <c r="AK93" s="2730">
        <f>SUMIF(AD95:AD97,AD93,AK95:AK97)</f>
        <v>0</v>
      </c>
      <c r="AL93" s="192">
        <f>SUMIF(AD95:AD97,AD93,AL95:AL97)</f>
        <v>0</v>
      </c>
      <c r="AM93" s="192">
        <f>SUMIF(AD95:AD97,AD93,AM95:AM97)</f>
        <v>0</v>
      </c>
      <c r="AN93" s="192">
        <f>SUMIF(AD95:AD97,AD93,AN95:AN97)</f>
        <v>0</v>
      </c>
      <c r="AO93" s="192">
        <f>SUMIF(AD95:AD97,AD93,AO95:AO97)</f>
        <v>0</v>
      </c>
      <c r="AP93" s="192">
        <f>SUMIF(AD95:AD97,AD93,AP95:AP97)</f>
        <v>0</v>
      </c>
      <c r="AQ93" s="192">
        <f>SUMIF(AD95:AD97,AD93,AQ95:AQ97)</f>
        <v>0</v>
      </c>
      <c r="AR93" s="192">
        <f>SUMIF(AD95:AD97,AD93,AR95:AR97)</f>
        <v>0</v>
      </c>
      <c r="AS93" s="180">
        <f>SUMIF(AD95:AD97,AD93,AS95:AS97)</f>
        <v>0</v>
      </c>
      <c r="AT93" s="2730">
        <f>SUMIF(AD95:AD97,AD93,AT95:AT97)</f>
        <v>0</v>
      </c>
      <c r="AU93" s="2730">
        <f>SUMIF(AD95:AD97,AD93,AU95:AU97)</f>
        <v>0</v>
      </c>
      <c r="AV93" s="192">
        <f>SUMIF(AD95:AD97,AD93,AV95:AV97)</f>
        <v>0</v>
      </c>
      <c r="AW93" s="192">
        <f>SUMIF(AD95:AD97,AD93,AW95:AW97)</f>
        <v>0</v>
      </c>
      <c r="AX93" s="192">
        <f>SUMIF(AD95:AD97,AD93,AX95:AX97)</f>
        <v>0</v>
      </c>
      <c r="AY93" s="192">
        <f>SUMIF(AD95:AD97,AD93,AY95:AY97)</f>
        <v>0</v>
      </c>
      <c r="AZ93" s="192">
        <f>SUMIF(AD95:AD97,AD93,AZ95:AZ97)</f>
        <v>0</v>
      </c>
      <c r="BA93" s="192">
        <f>SUMIF(AD95:AD97,AD93,BA95:BA97)</f>
        <v>0</v>
      </c>
      <c r="BB93" s="192">
        <f>SUMIF(AD95:AD97,AD93,BB95:BB97)</f>
        <v>0</v>
      </c>
      <c r="BC93" s="167"/>
      <c r="BD93" s="118"/>
      <c r="BE93" s="118"/>
      <c r="BF93" s="1025" t="s">
        <v>1006</v>
      </c>
      <c r="BG93" s="1025"/>
      <c r="BH93" s="1025"/>
      <c r="BI93" s="658"/>
      <c r="BJ93" s="658"/>
    </row>
    <row s="1621" customFormat="1" customHeight="1" ht="15" hidden="1">
      <c r="A94" s="118"/>
      <c r="B94" s="413"/>
      <c r="C94" s="118"/>
      <c r="D94" s="118"/>
      <c r="E94" s="658">
        <v>0</v>
      </c>
      <c r="F94" s="50" cm="1" t="str">
        <f t="array" ref="F94:F94">OFFSET(E94,-1,1)</f>
        <v>2</v>
      </c>
      <c r="G94" s="118" t="s">
        <v>326</v>
      </c>
      <c r="H94" s="118"/>
      <c r="I94" s="118"/>
      <c r="J94" s="118"/>
      <c r="K94" s="893"/>
      <c r="L94" s="897"/>
      <c r="M94" s="118"/>
      <c r="N94" s="118"/>
      <c r="O94" s="118"/>
      <c r="P94" s="118"/>
      <c r="Q94" s="118"/>
      <c r="R94" s="118"/>
      <c r="S94" s="118"/>
      <c r="T94" s="439" t="b">
        <v>0</v>
      </c>
      <c r="U94" s="118"/>
      <c r="V94" s="118"/>
      <c r="W94" s="118" t="s">
        <v>173</v>
      </c>
      <c r="X94" s="1443"/>
      <c r="Y94" s="1443">
        <v>0</v>
      </c>
      <c r="Z94" s="1549"/>
      <c r="AA94" s="1551" t="s">
        <v>174</v>
      </c>
      <c r="AB94" s="178"/>
      <c r="AC94" s="179"/>
      <c r="AD94" s="178"/>
      <c r="AE94" s="183">
        <f>OR(AND(AE95&lt;&gt;"",AE96=""),AND(AE95="",AE96&lt;&gt;""))</f>
        <v>0</v>
      </c>
      <c r="AF94" s="183">
        <f>OR(AND(AF95&lt;&gt;"",AF96=""),AND(AF95="",AF96&lt;&gt;""))</f>
        <v>0</v>
      </c>
      <c r="AG94" s="183">
        <f>OR(AND(AG95&lt;&gt;"",AG96=""),AND(AG95="",AG96&lt;&gt;""))</f>
        <v>0</v>
      </c>
      <c r="AH94" s="183">
        <f>OR(AND(AH95&lt;&gt;"",AH96=""),AND(AH95="",AH96&lt;&gt;""))</f>
        <v>0</v>
      </c>
      <c r="AI94" s="183">
        <f>OR(AND(AI95&lt;&gt;"",AI96=""),AND(AI95="",AI96&lt;&gt;""))</f>
        <v>0</v>
      </c>
      <c r="AJ94" s="183">
        <f>OR(AND(AJ95&lt;&gt;"",AJ96=""),AND(AJ95="",AJ96&lt;&gt;""))</f>
        <v>0</v>
      </c>
      <c r="AK94" s="183">
        <f>OR(AND(AK95&lt;&gt;"",AK96=""),AND(AK95="",AK96&lt;&gt;""))</f>
        <v>0</v>
      </c>
      <c r="AL94" s="183">
        <f>OR(AND(AL95&lt;&gt;"",AL96=""),AND(AL95="",AL96&lt;&gt;""))</f>
        <v>0</v>
      </c>
      <c r="AM94" s="183">
        <f>OR(AND(AM95&lt;&gt;"",AM96=""),AND(AM95="",AM96&lt;&gt;""))</f>
        <v>0</v>
      </c>
      <c r="AN94" s="183">
        <f>OR(AND(AN95&lt;&gt;"",AN96=""),AND(AN95="",AN96&lt;&gt;""))</f>
        <v>0</v>
      </c>
      <c r="AO94" s="183">
        <f>OR(AND(AO95&lt;&gt;"",AO96=""),AND(AO95="",AO96&lt;&gt;""))</f>
        <v>0</v>
      </c>
      <c r="AP94" s="183">
        <f>OR(AND(AP95&lt;&gt;"",AP96=""),AND(AP95="",AP96&lt;&gt;""))</f>
        <v>0</v>
      </c>
      <c r="AQ94" s="183">
        <f>OR(AND(AQ95&lt;&gt;"",AQ96=""),AND(AQ95="",AQ96&lt;&gt;""))</f>
        <v>0</v>
      </c>
      <c r="AR94" s="183">
        <f>OR(AND(AR95&lt;&gt;"",AR96=""),AND(AR95="",AR96&lt;&gt;""))</f>
        <v>0</v>
      </c>
      <c r="AS94" s="183">
        <f>OR(AND(AS95&lt;&gt;"",AS96=""),AND(AS95="",AS96&lt;&gt;""))</f>
        <v>0</v>
      </c>
      <c r="AT94" s="183">
        <f>OR(AND(AT95&lt;&gt;"",AT96=""),AND(AT95="",AT96&lt;&gt;""))</f>
        <v>0</v>
      </c>
      <c r="AU94" s="183">
        <f>OR(AND(AU95&lt;&gt;"",AU96=""),AND(AU95="",AU96&lt;&gt;""))</f>
        <v>0</v>
      </c>
      <c r="AV94" s="183">
        <f>OR(AND(AV95&lt;&gt;"",AV96=""),AND(AV95="",AV96&lt;&gt;""))</f>
        <v>0</v>
      </c>
      <c r="AW94" s="183">
        <f>OR(AND(AW95&lt;&gt;"",AW96=""),AND(AW95="",AW96&lt;&gt;""))</f>
        <v>0</v>
      </c>
      <c r="AX94" s="183">
        <f>OR(AND(AX95&lt;&gt;"",AX96=""),AND(AX95="",AX96&lt;&gt;""))</f>
        <v>0</v>
      </c>
      <c r="AY94" s="183">
        <f>OR(AND(AY95&lt;&gt;"",AY96=""),AND(AY95="",AY96&lt;&gt;""))</f>
        <v>0</v>
      </c>
      <c r="AZ94" s="183">
        <f>OR(AND(AZ95&lt;&gt;"",AZ96=""),AND(AZ95="",AZ96&lt;&gt;""))</f>
        <v>0</v>
      </c>
      <c r="BA94" s="183">
        <f>OR(AND(BA95&lt;&gt;"",BA96=""),AND(BA95="",BA96&lt;&gt;""))</f>
        <v>0</v>
      </c>
      <c r="BB94" s="183">
        <f>OR(AND(BB95&lt;&gt;"",BB96=""),AND(BB95="",BB96&lt;&gt;""))</f>
        <v>0</v>
      </c>
      <c r="BC94" s="957"/>
      <c r="BD94" s="118"/>
      <c r="BE94" s="118"/>
      <c r="BF94" s="1025"/>
      <c r="BG94" s="1025"/>
      <c r="BH94" s="1025"/>
      <c r="BI94" s="658"/>
      <c r="BJ94" s="658"/>
    </row>
    <row s="1621" customFormat="1" customHeight="1" ht="14.25" hidden="1">
      <c r="A95" s="118"/>
      <c r="B95" s="413"/>
      <c r="C95" s="118"/>
      <c r="D95" s="118"/>
      <c r="E95" s="658">
        <v>15</v>
      </c>
      <c r="F95" s="50" cm="1" t="str">
        <f t="array" ref="F95:F95">OFFSET(E95,-1,1)</f>
        <v>2</v>
      </c>
      <c r="G95" s="118" t="s">
        <v>326</v>
      </c>
      <c r="H95" s="121" cm="1" t="str">
        <f t="array" ref="H95:H95">AC95</f>
        <v>0</v>
      </c>
      <c r="I95" s="118" t="s">
        <v>1007</v>
      </c>
      <c r="J95" s="118"/>
      <c r="K95" s="893"/>
      <c r="L95" s="118"/>
      <c r="M95" s="118"/>
      <c r="N95" s="118"/>
      <c r="O95" s="118"/>
      <c r="P95" s="118"/>
      <c r="Q95" s="118"/>
      <c r="R95" s="118"/>
      <c r="S95" s="118"/>
      <c r="T95" s="439">
        <f>AND(F95&gt;0,Y94&gt;0)</f>
        <v>0</v>
      </c>
      <c r="U95" s="118"/>
      <c r="V95" s="118"/>
      <c r="W95" s="118"/>
      <c r="X95" s="1443"/>
      <c r="Y95" s="1443"/>
      <c r="Z95" s="1549"/>
      <c r="AA95" s="1551"/>
      <c r="AB95" s="54" t="str">
        <f>"2."&amp;Y94</f>
        <v>2.0</v>
      </c>
      <c r="AC95" s="241"/>
      <c r="AD95" s="178" t="s">
        <v>784</v>
      </c>
      <c r="AE95" s="2614"/>
      <c r="AF95" s="2614"/>
      <c r="AG95" s="2614"/>
      <c r="AH95" s="2614"/>
      <c r="AI95" s="182"/>
      <c r="AJ95" s="2614"/>
      <c r="AK95" s="2614"/>
      <c r="AL95" s="2614"/>
      <c r="AM95" s="2614"/>
      <c r="AN95" s="2614"/>
      <c r="AO95" s="2614"/>
      <c r="AP95" s="2614"/>
      <c r="AQ95" s="2614"/>
      <c r="AR95" s="2614"/>
      <c r="AS95" s="182"/>
      <c r="AT95" s="2614"/>
      <c r="AU95" s="2614"/>
      <c r="AV95" s="2614"/>
      <c r="AW95" s="2614"/>
      <c r="AX95" s="2614"/>
      <c r="AY95" s="2614"/>
      <c r="AZ95" s="2614"/>
      <c r="BA95" s="2614"/>
      <c r="BB95" s="2614"/>
      <c r="BC95" s="1887"/>
      <c r="BD95" s="118"/>
      <c r="BE95" s="118"/>
      <c r="BF95" s="1025" t="s">
        <v>999</v>
      </c>
      <c r="BG95" s="1025" t="s">
        <v>1008</v>
      </c>
      <c r="BH95" s="1025" cm="1" t="str">
        <f t="array" ref="BH95:BH95">AC95</f>
        <v>0</v>
      </c>
      <c r="BI95" s="658"/>
      <c r="BJ95" s="658" t="b">
        <v>1</v>
      </c>
    </row>
    <row s="1621" customFormat="1" customHeight="1" ht="14.25" hidden="1">
      <c r="A96" s="118"/>
      <c r="B96" s="413"/>
      <c r="C96" s="118"/>
      <c r="D96" s="118"/>
      <c r="E96" s="658">
        <v>15</v>
      </c>
      <c r="F96" s="50" cm="1" t="str">
        <f t="array" ref="F96:F96">OFFSET(E96,-1,1)</f>
        <v>2</v>
      </c>
      <c r="G96" s="118" t="s">
        <v>459</v>
      </c>
      <c r="H96" s="121" cm="1" t="str">
        <f t="array" ref="H96:H96">H95</f>
        <v>0</v>
      </c>
      <c r="I96" s="118" t="s">
        <v>1007</v>
      </c>
      <c r="J96" s="118"/>
      <c r="K96" s="893"/>
      <c r="L96" s="118"/>
      <c r="M96" s="118"/>
      <c r="N96" s="118"/>
      <c r="O96" s="118"/>
      <c r="P96" s="118"/>
      <c r="Q96" s="118"/>
      <c r="R96" s="118"/>
      <c r="S96" s="118"/>
      <c r="T96" s="439" cm="1" t="str">
        <f t="array" ref="T96:T96">T95</f>
        <v>false</v>
      </c>
      <c r="U96" s="118"/>
      <c r="V96" s="118"/>
      <c r="W96" s="118"/>
      <c r="X96" s="1443"/>
      <c r="Y96" s="1443"/>
      <c r="Z96" s="1549"/>
      <c r="AA96" s="1551"/>
      <c r="AB96" s="54" t="str">
        <f>AB95&amp;".1"</f>
        <v>2.0.1</v>
      </c>
      <c r="AC96" s="188" t="s">
        <v>1009</v>
      </c>
      <c r="AD96" s="54" t="s">
        <v>512</v>
      </c>
      <c r="AE96" s="2614"/>
      <c r="AF96" s="2614"/>
      <c r="AG96" s="2614"/>
      <c r="AH96" s="2614"/>
      <c r="AI96" s="182"/>
      <c r="AJ96" s="2614"/>
      <c r="AK96" s="2614"/>
      <c r="AL96" s="2614"/>
      <c r="AM96" s="2614"/>
      <c r="AN96" s="2614"/>
      <c r="AO96" s="2614"/>
      <c r="AP96" s="2614"/>
      <c r="AQ96" s="2614"/>
      <c r="AR96" s="2614"/>
      <c r="AS96" s="182"/>
      <c r="AT96" s="2614"/>
      <c r="AU96" s="2614"/>
      <c r="AV96" s="2614"/>
      <c r="AW96" s="2614"/>
      <c r="AX96" s="2614"/>
      <c r="AY96" s="2614"/>
      <c r="AZ96" s="2614"/>
      <c r="BA96" s="2614"/>
      <c r="BB96" s="2614"/>
      <c r="BC96" s="1887"/>
      <c r="BD96" s="118"/>
      <c r="BE96" s="118"/>
      <c r="BF96" s="1025" t="s">
        <v>1002</v>
      </c>
      <c r="BG96" s="1025" t="s">
        <v>1008</v>
      </c>
      <c r="BH96" s="1025" cm="1" t="str">
        <f t="array" ref="BH96:BH96">BH95</f>
        <v>0</v>
      </c>
      <c r="BI96" s="658"/>
      <c r="BJ96" s="658"/>
    </row>
    <row s="1621" customFormat="1" customHeight="1" ht="14.25">
      <c r="A97" s="118"/>
      <c r="B97" s="413"/>
      <c r="C97" s="118"/>
      <c r="D97" s="118"/>
      <c r="E97" s="658">
        <v>15</v>
      </c>
      <c r="F97" s="50" cm="1" t="str">
        <f t="array" ref="F97:F97">OFFSET(E97,-1,1)</f>
        <v>2</v>
      </c>
      <c r="G97" s="118"/>
      <c r="H97" s="118" t="str">
        <f>"!=='не определено' &amp;&amp; row.l2 !== null"</f>
        <v>!=='не определено' &amp;&amp; row.l2 !== null</v>
      </c>
      <c r="I97" s="118"/>
      <c r="J97" s="118"/>
      <c r="K97" s="893"/>
      <c r="L97" s="118"/>
      <c r="M97" s="118"/>
      <c r="N97" s="118"/>
      <c r="O97" s="118"/>
      <c r="P97" s="118"/>
      <c r="Q97" s="118"/>
      <c r="R97" s="118"/>
      <c r="S97" s="118"/>
      <c r="T97" s="439">
        <f>F97&gt;0</f>
        <v>1</v>
      </c>
      <c r="U97" s="118"/>
      <c r="V97" s="118"/>
      <c r="W97" s="665" t="s">
        <v>1003</v>
      </c>
      <c r="X97" s="1443"/>
      <c r="Y97" s="663"/>
      <c r="Z97" s="1549"/>
      <c r="AA97" s="118"/>
      <c r="AB97" s="661"/>
      <c r="AC97" s="199" t="s">
        <v>1004</v>
      </c>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200"/>
      <c r="BD97" s="118"/>
      <c r="BE97" s="118"/>
      <c r="BF97" s="1025"/>
      <c r="BG97" s="1025"/>
      <c r="BH97" s="1025"/>
      <c r="BI97" s="658" t="s">
        <v>1008</v>
      </c>
      <c r="BJ97" s="658"/>
    </row>
    <row s="1621" customFormat="1" customHeight="1" ht="21.75">
      <c r="A98" s="118"/>
      <c r="B98" s="413"/>
      <c r="C98" s="118"/>
      <c r="D98" s="118"/>
      <c r="E98" s="658">
        <v>23</v>
      </c>
      <c r="F98" s="50" cm="1" t="str">
        <f t="array" ref="F98:F98">OFFSET(E98,-1,1)</f>
        <v>2</v>
      </c>
      <c r="G98" s="118"/>
      <c r="H98" s="118"/>
      <c r="I98" s="118"/>
      <c r="J98" s="118"/>
      <c r="K98" s="893" t="str">
        <f>F88&amp;"3komm"</f>
        <v>23komm</v>
      </c>
      <c r="L98" s="897" cm="1" t="str">
        <f t="array" ref="L98:L98">BC98</f>
        <v>0</v>
      </c>
      <c r="M98" s="118"/>
      <c r="N98" s="118"/>
      <c r="O98" s="118"/>
      <c r="P98" s="118"/>
      <c r="Q98" s="118"/>
      <c r="R98" s="118"/>
      <c r="S98" s="118"/>
      <c r="T98" s="439" cm="1" t="str">
        <f t="array" ref="T98:T98">T97</f>
        <v>true</v>
      </c>
      <c r="U98" s="118"/>
      <c r="V98" s="118"/>
      <c r="W98" s="118"/>
      <c r="X98" s="1443"/>
      <c r="Y98" s="664"/>
      <c r="Z98" s="1549"/>
      <c r="AA98" s="118"/>
      <c r="AB98" s="178">
        <v>3</v>
      </c>
      <c r="AC98" s="179" t="s">
        <v>1010</v>
      </c>
      <c r="AD98" s="178" t="s">
        <v>784</v>
      </c>
      <c r="AE98" s="180">
        <f>SUMIF(AD100:AD102,AD98,AE100:AE102)</f>
        <v>0</v>
      </c>
      <c r="AF98" s="180">
        <f>SUMIF(AD100:AD102,AD98,AF100:AF102)</f>
        <v>0</v>
      </c>
      <c r="AG98" s="180">
        <f>SUMIF(AD100:AD102,AD98,AG100:AG102)</f>
        <v>0</v>
      </c>
      <c r="AH98" s="180">
        <f>SUMIF(AD100:AD102,AD98,AH100:AH102)</f>
        <v>0</v>
      </c>
      <c r="AI98" s="180">
        <f>SUMIF(AD100:AD102,AD98,AI100:AI102)</f>
        <v>0</v>
      </c>
      <c r="AJ98" s="2730">
        <f>SUMIF(AD100:AD102,AD98,AJ100:AJ102)</f>
        <v>0</v>
      </c>
      <c r="AK98" s="2730">
        <f>SUMIF(AD100:AD102,AD98,AK100:AK102)</f>
        <v>0</v>
      </c>
      <c r="AL98" s="192">
        <f>SUMIF(AD100:AD102,AD98,AL100:AL102)</f>
        <v>0</v>
      </c>
      <c r="AM98" s="192">
        <f>SUMIF(AD100:AD102,AD98,AM100:AM102)</f>
        <v>0</v>
      </c>
      <c r="AN98" s="192">
        <f>SUMIF(AD100:AD102,AD98,AN100:AN102)</f>
        <v>0</v>
      </c>
      <c r="AO98" s="192">
        <f>SUMIF(AD100:AD102,AD98,AO100:AO102)</f>
        <v>0</v>
      </c>
      <c r="AP98" s="192">
        <f>SUMIF(AD100:AD102,AD98,AP100:AP102)</f>
        <v>0</v>
      </c>
      <c r="AQ98" s="192">
        <f>SUMIF(AD100:AD102,AD98,AQ100:AQ102)</f>
        <v>0</v>
      </c>
      <c r="AR98" s="192">
        <f>SUMIF(AD100:AD102,AD98,AR100:AR102)</f>
        <v>0</v>
      </c>
      <c r="AS98" s="180">
        <f>SUMIF(AD100:AD102,AD98,AS100:AS102)</f>
        <v>0</v>
      </c>
      <c r="AT98" s="2730">
        <f>SUMIF(AD100:AD102,AD98,AT100:AT102)</f>
        <v>0</v>
      </c>
      <c r="AU98" s="2730">
        <f>SUMIF(AD100:AD102,AD98,AU100:AU102)</f>
        <v>0</v>
      </c>
      <c r="AV98" s="192">
        <f>SUMIF(AD100:AD102,AD98,AV100:AV102)</f>
        <v>0</v>
      </c>
      <c r="AW98" s="192">
        <f>SUMIF(AD100:AD102,AD98,AW100:AW102)</f>
        <v>0</v>
      </c>
      <c r="AX98" s="192">
        <f>SUMIF(AD100:AD102,AD98,AX100:AX102)</f>
        <v>0</v>
      </c>
      <c r="AY98" s="192">
        <f>SUMIF(AD100:AD102,AD98,AY100:AY102)</f>
        <v>0</v>
      </c>
      <c r="AZ98" s="192">
        <f>SUMIF(AD100:AD102,AD98,AZ100:AZ102)</f>
        <v>0</v>
      </c>
      <c r="BA98" s="192">
        <f>SUMIF(AD100:AD102,AD98,BA100:BA102)</f>
        <v>0</v>
      </c>
      <c r="BB98" s="192">
        <f>SUMIF(AD100:AD102,AD98,BB100:BB102)</f>
        <v>0</v>
      </c>
      <c r="BC98" s="167"/>
      <c r="BD98" s="118"/>
      <c r="BE98" s="118"/>
      <c r="BF98" s="1025" t="s">
        <v>1011</v>
      </c>
      <c r="BG98" s="1025"/>
      <c r="BH98" s="1025"/>
      <c r="BI98" s="658"/>
      <c r="BJ98" s="658"/>
    </row>
    <row s="1621" customFormat="1" customHeight="1" ht="15" hidden="1">
      <c r="A99" s="118"/>
      <c r="B99" s="413"/>
      <c r="C99" s="118"/>
      <c r="D99" s="118"/>
      <c r="E99" s="658">
        <v>0</v>
      </c>
      <c r="F99" s="50" cm="1" t="str">
        <f t="array" ref="F99:F99">OFFSET(E99,-1,1)</f>
        <v>2</v>
      </c>
      <c r="G99" s="118" t="s">
        <v>327</v>
      </c>
      <c r="H99" s="118"/>
      <c r="I99" s="118"/>
      <c r="J99" s="118"/>
      <c r="K99" s="893"/>
      <c r="L99" s="897"/>
      <c r="M99" s="118"/>
      <c r="N99" s="118"/>
      <c r="O99" s="118"/>
      <c r="P99" s="118"/>
      <c r="Q99" s="118"/>
      <c r="R99" s="118"/>
      <c r="S99" s="118"/>
      <c r="T99" s="439" t="b">
        <v>0</v>
      </c>
      <c r="U99" s="118"/>
      <c r="V99" s="118"/>
      <c r="W99" s="118" t="s">
        <v>173</v>
      </c>
      <c r="X99" s="1443"/>
      <c r="Y99" s="1443">
        <v>0</v>
      </c>
      <c r="Z99" s="1549"/>
      <c r="AA99" s="1551" t="s">
        <v>174</v>
      </c>
      <c r="AB99" s="178"/>
      <c r="AC99" s="179"/>
      <c r="AD99" s="178"/>
      <c r="AE99" s="183">
        <f>OR(AND(AE100&lt;&gt;"",AE101=""),AND(AE100="",AE101&lt;&gt;""))</f>
        <v>0</v>
      </c>
      <c r="AF99" s="183">
        <f>OR(AND(AF100&lt;&gt;"",AF101=""),AND(AF100="",AF101&lt;&gt;""))</f>
        <v>0</v>
      </c>
      <c r="AG99" s="183">
        <f>OR(AND(AG100&lt;&gt;"",AG101=""),AND(AG100="",AG101&lt;&gt;""))</f>
        <v>0</v>
      </c>
      <c r="AH99" s="183">
        <f>OR(AND(AH100&lt;&gt;"",AH101=""),AND(AH100="",AH101&lt;&gt;""))</f>
        <v>0</v>
      </c>
      <c r="AI99" s="183">
        <f>OR(AND(AI100&lt;&gt;"",AI101=""),AND(AI100="",AI101&lt;&gt;""))</f>
        <v>0</v>
      </c>
      <c r="AJ99" s="183">
        <f>OR(AND(AJ100&lt;&gt;"",AJ101=""),AND(AJ100="",AJ101&lt;&gt;""))</f>
        <v>0</v>
      </c>
      <c r="AK99" s="183">
        <f>OR(AND(AK100&lt;&gt;"",AK101=""),AND(AK100="",AK101&lt;&gt;""))</f>
        <v>0</v>
      </c>
      <c r="AL99" s="183">
        <f>OR(AND(AL100&lt;&gt;"",AL101=""),AND(AL100="",AL101&lt;&gt;""))</f>
        <v>0</v>
      </c>
      <c r="AM99" s="183">
        <f>OR(AND(AM100&lt;&gt;"",AM101=""),AND(AM100="",AM101&lt;&gt;""))</f>
        <v>0</v>
      </c>
      <c r="AN99" s="183">
        <f>OR(AND(AN100&lt;&gt;"",AN101=""),AND(AN100="",AN101&lt;&gt;""))</f>
        <v>0</v>
      </c>
      <c r="AO99" s="183">
        <f>OR(AND(AO100&lt;&gt;"",AO101=""),AND(AO100="",AO101&lt;&gt;""))</f>
        <v>0</v>
      </c>
      <c r="AP99" s="183">
        <f>OR(AND(AP100&lt;&gt;"",AP101=""),AND(AP100="",AP101&lt;&gt;""))</f>
        <v>0</v>
      </c>
      <c r="AQ99" s="183">
        <f>OR(AND(AQ100&lt;&gt;"",AQ101=""),AND(AQ100="",AQ101&lt;&gt;""))</f>
        <v>0</v>
      </c>
      <c r="AR99" s="183">
        <f>OR(AND(AR100&lt;&gt;"",AR101=""),AND(AR100="",AR101&lt;&gt;""))</f>
        <v>0</v>
      </c>
      <c r="AS99" s="183">
        <f>OR(AND(AS100&lt;&gt;"",AS101=""),AND(AS100="",AS101&lt;&gt;""))</f>
        <v>0</v>
      </c>
      <c r="AT99" s="183">
        <f>OR(AND(AT100&lt;&gt;"",AT101=""),AND(AT100="",AT101&lt;&gt;""))</f>
        <v>0</v>
      </c>
      <c r="AU99" s="183">
        <f>OR(AND(AU100&lt;&gt;"",AU101=""),AND(AU100="",AU101&lt;&gt;""))</f>
        <v>0</v>
      </c>
      <c r="AV99" s="183">
        <f>OR(AND(AV100&lt;&gt;"",AV101=""),AND(AV100="",AV101&lt;&gt;""))</f>
        <v>0</v>
      </c>
      <c r="AW99" s="183">
        <f>OR(AND(AW100&lt;&gt;"",AW101=""),AND(AW100="",AW101&lt;&gt;""))</f>
        <v>0</v>
      </c>
      <c r="AX99" s="183">
        <f>OR(AND(AX100&lt;&gt;"",AX101=""),AND(AX100="",AX101&lt;&gt;""))</f>
        <v>0</v>
      </c>
      <c r="AY99" s="183">
        <f>OR(AND(AY100&lt;&gt;"",AY101=""),AND(AY100="",AY101&lt;&gt;""))</f>
        <v>0</v>
      </c>
      <c r="AZ99" s="183">
        <f>OR(AND(AZ100&lt;&gt;"",AZ101=""),AND(AZ100="",AZ101&lt;&gt;""))</f>
        <v>0</v>
      </c>
      <c r="BA99" s="183">
        <f>OR(AND(BA100&lt;&gt;"",BA101=""),AND(BA100="",BA101&lt;&gt;""))</f>
        <v>0</v>
      </c>
      <c r="BB99" s="183">
        <f>OR(AND(BB100&lt;&gt;"",BB101=""),AND(BB100="",BB101&lt;&gt;""))</f>
        <v>0</v>
      </c>
      <c r="BC99" s="957"/>
      <c r="BD99" s="118"/>
      <c r="BE99" s="118"/>
      <c r="BF99" s="1025"/>
      <c r="BG99" s="1025"/>
      <c r="BH99" s="1025"/>
      <c r="BI99" s="658"/>
      <c r="BJ99" s="658"/>
    </row>
    <row s="1621" customFormat="1" customHeight="1" ht="14.25" hidden="1">
      <c r="A100" s="118"/>
      <c r="B100" s="413"/>
      <c r="C100" s="118"/>
      <c r="D100" s="118"/>
      <c r="E100" s="658">
        <v>15</v>
      </c>
      <c r="F100" s="50" cm="1" t="str">
        <f t="array" ref="F100:F100">OFFSET(E100,-1,1)</f>
        <v>2</v>
      </c>
      <c r="G100" s="118" t="s">
        <v>327</v>
      </c>
      <c r="H100" s="121" cm="1" t="str">
        <f t="array" ref="H100:H100">AC100</f>
        <v>0</v>
      </c>
      <c r="I100" s="118" t="s">
        <v>1012</v>
      </c>
      <c r="J100" s="118"/>
      <c r="K100" s="893"/>
      <c r="L100" s="118"/>
      <c r="M100" s="118"/>
      <c r="N100" s="118"/>
      <c r="O100" s="118"/>
      <c r="P100" s="118"/>
      <c r="Q100" s="118"/>
      <c r="R100" s="118"/>
      <c r="S100" s="118"/>
      <c r="T100" s="439">
        <f>AND(F100&gt;0,Y99&gt;0)</f>
        <v>0</v>
      </c>
      <c r="U100" s="118"/>
      <c r="V100" s="118"/>
      <c r="W100" s="118"/>
      <c r="X100" s="1443"/>
      <c r="Y100" s="1443"/>
      <c r="Z100" s="1549"/>
      <c r="AA100" s="1551"/>
      <c r="AB100" s="54" t="str">
        <f>"3."&amp;Y99</f>
        <v>3.0</v>
      </c>
      <c r="AC100" s="241"/>
      <c r="AD100" s="178" t="s">
        <v>784</v>
      </c>
      <c r="AE100" s="2614"/>
      <c r="AF100" s="2614"/>
      <c r="AG100" s="2614"/>
      <c r="AH100" s="2614"/>
      <c r="AI100" s="182"/>
      <c r="AJ100" s="2614"/>
      <c r="AK100" s="2614"/>
      <c r="AL100" s="2614"/>
      <c r="AM100" s="2614"/>
      <c r="AN100" s="2614"/>
      <c r="AO100" s="2614"/>
      <c r="AP100" s="2614"/>
      <c r="AQ100" s="2614"/>
      <c r="AR100" s="2614"/>
      <c r="AS100" s="182"/>
      <c r="AT100" s="2614"/>
      <c r="AU100" s="2614"/>
      <c r="AV100" s="2614"/>
      <c r="AW100" s="2614"/>
      <c r="AX100" s="2614"/>
      <c r="AY100" s="2614"/>
      <c r="AZ100" s="2614"/>
      <c r="BA100" s="2614"/>
      <c r="BB100" s="2614"/>
      <c r="BC100" s="1887"/>
      <c r="BD100" s="118"/>
      <c r="BE100" s="118"/>
      <c r="BF100" s="1025" t="s">
        <v>999</v>
      </c>
      <c r="BG100" s="1025" t="s">
        <v>1013</v>
      </c>
      <c r="BH100" s="1025" cm="1" t="str">
        <f t="array" ref="BH100:BH100">AC100</f>
        <v>0</v>
      </c>
      <c r="BI100" s="658"/>
      <c r="BJ100" s="658" t="b">
        <v>1</v>
      </c>
    </row>
    <row s="1621" customFormat="1" customHeight="1" ht="14.25" hidden="1">
      <c r="A101" s="118"/>
      <c r="B101" s="413"/>
      <c r="C101" s="118"/>
      <c r="D101" s="118"/>
      <c r="E101" s="658">
        <v>15</v>
      </c>
      <c r="F101" s="50" cm="1" t="str">
        <f t="array" ref="F101:F101">OFFSET(E101,-1,1)</f>
        <v>2</v>
      </c>
      <c r="G101" s="118" t="s">
        <v>875</v>
      </c>
      <c r="H101" s="121" cm="1" t="str">
        <f t="array" ref="H101:H101">H100</f>
        <v>0</v>
      </c>
      <c r="I101" s="118" t="s">
        <v>1012</v>
      </c>
      <c r="J101" s="118"/>
      <c r="K101" s="893"/>
      <c r="L101" s="118"/>
      <c r="M101" s="118"/>
      <c r="N101" s="118"/>
      <c r="O101" s="118"/>
      <c r="P101" s="118"/>
      <c r="Q101" s="118"/>
      <c r="R101" s="118"/>
      <c r="S101" s="118"/>
      <c r="T101" s="439" cm="1" t="str">
        <f t="array" ref="T101:T101">T100</f>
        <v>false</v>
      </c>
      <c r="U101" s="118"/>
      <c r="V101" s="118"/>
      <c r="W101" s="118"/>
      <c r="X101" s="1443"/>
      <c r="Y101" s="1443"/>
      <c r="Z101" s="1549"/>
      <c r="AA101" s="1551"/>
      <c r="AB101" s="54" t="str">
        <f>AB100&amp;".1"</f>
        <v>3.0.1</v>
      </c>
      <c r="AC101" s="188" t="s">
        <v>1014</v>
      </c>
      <c r="AD101" s="54" t="s">
        <v>512</v>
      </c>
      <c r="AE101" s="2614"/>
      <c r="AF101" s="2614"/>
      <c r="AG101" s="2614"/>
      <c r="AH101" s="2614"/>
      <c r="AI101" s="182"/>
      <c r="AJ101" s="2614"/>
      <c r="AK101" s="2614"/>
      <c r="AL101" s="2614"/>
      <c r="AM101" s="2614"/>
      <c r="AN101" s="2614"/>
      <c r="AO101" s="2614"/>
      <c r="AP101" s="2614"/>
      <c r="AQ101" s="2614"/>
      <c r="AR101" s="2614"/>
      <c r="AS101" s="182"/>
      <c r="AT101" s="2614"/>
      <c r="AU101" s="2614"/>
      <c r="AV101" s="2614"/>
      <c r="AW101" s="2614"/>
      <c r="AX101" s="2614"/>
      <c r="AY101" s="2614"/>
      <c r="AZ101" s="2614"/>
      <c r="BA101" s="2614"/>
      <c r="BB101" s="2614"/>
      <c r="BC101" s="1887"/>
      <c r="BD101" s="118"/>
      <c r="BE101" s="118"/>
      <c r="BF101" s="1025" t="s">
        <v>1002</v>
      </c>
      <c r="BG101" s="1025" t="s">
        <v>1013</v>
      </c>
      <c r="BH101" s="1025" cm="1" t="str">
        <f t="array" ref="BH101:BH101">BH100</f>
        <v>0</v>
      </c>
      <c r="BI101" s="658"/>
      <c r="BJ101" s="658"/>
    </row>
    <row s="1621" customFormat="1" customHeight="1" ht="14.25">
      <c r="A102" s="118"/>
      <c r="B102" s="413"/>
      <c r="C102" s="118"/>
      <c r="D102" s="118"/>
      <c r="E102" s="658">
        <v>15</v>
      </c>
      <c r="F102" s="50" cm="1" t="str">
        <f t="array" ref="F102:F102">OFFSET(E102,-1,1)</f>
        <v>2</v>
      </c>
      <c r="G102" s="118"/>
      <c r="H102" s="118" t="str">
        <f>"!=='не определено' &amp;&amp; row.l3 !== null"</f>
        <v>!=='не определено' &amp;&amp; row.l3 !== null</v>
      </c>
      <c r="I102" s="118"/>
      <c r="J102" s="118"/>
      <c r="K102" s="893"/>
      <c r="L102" s="118"/>
      <c r="M102" s="118"/>
      <c r="N102" s="118"/>
      <c r="O102" s="118"/>
      <c r="P102" s="118"/>
      <c r="Q102" s="118"/>
      <c r="R102" s="118"/>
      <c r="S102" s="118"/>
      <c r="T102" s="439">
        <f>F102&gt;0</f>
        <v>1</v>
      </c>
      <c r="U102" s="118"/>
      <c r="V102" s="118"/>
      <c r="W102" s="665" t="s">
        <v>1015</v>
      </c>
      <c r="X102" s="1443"/>
      <c r="Y102" s="663"/>
      <c r="Z102" s="1549"/>
      <c r="AA102" s="118"/>
      <c r="AB102" s="661"/>
      <c r="AC102" s="199" t="s">
        <v>1004</v>
      </c>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200"/>
      <c r="BD102" s="118"/>
      <c r="BE102" s="118"/>
      <c r="BF102" s="1025"/>
      <c r="BG102" s="1025"/>
      <c r="BH102" s="1025"/>
      <c r="BI102" s="658" t="s">
        <v>1013</v>
      </c>
      <c r="BJ102" s="658"/>
    </row>
    <row s="1621" customFormat="1" customHeight="1" ht="21.75">
      <c r="A103" s="118"/>
      <c r="B103" s="413"/>
      <c r="C103" s="118"/>
      <c r="D103" s="118"/>
      <c r="E103" s="658">
        <v>23</v>
      </c>
      <c r="F103" s="50" cm="1" t="str">
        <f t="array" ref="F103:F103">OFFSET(E103,-1,1)</f>
        <v>2</v>
      </c>
      <c r="G103" s="118"/>
      <c r="H103" s="118"/>
      <c r="I103" s="118"/>
      <c r="J103" s="118"/>
      <c r="K103" s="893" t="str">
        <f>F88&amp;"4komm"</f>
        <v>24komm</v>
      </c>
      <c r="L103" s="897" cm="1" t="str">
        <f t="array" ref="L103:L103">BC103</f>
        <v>0</v>
      </c>
      <c r="M103" s="118"/>
      <c r="N103" s="118"/>
      <c r="O103" s="118"/>
      <c r="P103" s="118"/>
      <c r="Q103" s="118"/>
      <c r="R103" s="118"/>
      <c r="S103" s="118"/>
      <c r="T103" s="439" cm="1" t="str">
        <f t="array" ref="T103:T103">T102</f>
        <v>true</v>
      </c>
      <c r="U103" s="118"/>
      <c r="V103" s="118"/>
      <c r="W103" s="118"/>
      <c r="X103" s="1443"/>
      <c r="Y103" s="664"/>
      <c r="Z103" s="1549"/>
      <c r="AA103" s="118"/>
      <c r="AB103" s="178">
        <v>4</v>
      </c>
      <c r="AC103" s="179" t="s">
        <v>1016</v>
      </c>
      <c r="AD103" s="178" t="s">
        <v>784</v>
      </c>
      <c r="AE103" s="180">
        <f>SUMIF(AD105:AD107,AD103,AE105:AE107)</f>
        <v>0</v>
      </c>
      <c r="AF103" s="180">
        <f>SUMIF(AD105:AD107,AD103,AF105:AF107)</f>
        <v>0</v>
      </c>
      <c r="AG103" s="180">
        <f>SUMIF(AD105:AD107,AD103,AG105:AG107)</f>
        <v>0</v>
      </c>
      <c r="AH103" s="180">
        <f>SUMIF(AD105:AD107,AD103,AH105:AH107)</f>
        <v>0</v>
      </c>
      <c r="AI103" s="180">
        <f>SUMIF(AD105:AD107,AD103,AI105:AI107)</f>
        <v>0</v>
      </c>
      <c r="AJ103" s="2730">
        <f>SUMIF(AD105:AD107,AD103,AJ105:AJ107)</f>
        <v>0</v>
      </c>
      <c r="AK103" s="2730">
        <f>SUMIF(AD105:AD107,AD103,AK105:AK107)</f>
        <v>0</v>
      </c>
      <c r="AL103" s="192">
        <f>SUMIF(AD105:AD107,AD103,AL105:AL107)</f>
        <v>0</v>
      </c>
      <c r="AM103" s="192">
        <f>SUMIF(AD105:AD107,AD103,AM105:AM107)</f>
        <v>0</v>
      </c>
      <c r="AN103" s="192">
        <f>SUMIF(AD105:AD107,AD103,AN105:AN107)</f>
        <v>0</v>
      </c>
      <c r="AO103" s="192">
        <f>SUMIF(AD105:AD107,AD103,AO105:AO107)</f>
        <v>0</v>
      </c>
      <c r="AP103" s="192">
        <f>SUMIF(AD105:AD107,AD103,AP105:AP107)</f>
        <v>0</v>
      </c>
      <c r="AQ103" s="192">
        <f>SUMIF(AD105:AD107,AD103,AQ105:AQ107)</f>
        <v>0</v>
      </c>
      <c r="AR103" s="192">
        <f>SUMIF(AD105:AD107,AD103,AR105:AR107)</f>
        <v>0</v>
      </c>
      <c r="AS103" s="180">
        <f>SUMIF(AD105:AD107,AD103,AS105:AS107)</f>
        <v>0</v>
      </c>
      <c r="AT103" s="2730">
        <f>SUMIF(AD105:AD107,AD103,AT105:AT107)</f>
        <v>0</v>
      </c>
      <c r="AU103" s="2730">
        <f>SUMIF(AD105:AD107,AD103,AU105:AU107)</f>
        <v>0</v>
      </c>
      <c r="AV103" s="192">
        <f>SUMIF(AD105:AD107,AD103,AV105:AV107)</f>
        <v>0</v>
      </c>
      <c r="AW103" s="192">
        <f>SUMIF(AD105:AD107,AD103,AW105:AW107)</f>
        <v>0</v>
      </c>
      <c r="AX103" s="192">
        <f>SUMIF(AD105:AD107,AD103,AX105:AX107)</f>
        <v>0</v>
      </c>
      <c r="AY103" s="192">
        <f>SUMIF(AD105:AD107,AD103,AY105:AY107)</f>
        <v>0</v>
      </c>
      <c r="AZ103" s="192">
        <f>SUMIF(AD105:AD107,AD103,AZ105:AZ107)</f>
        <v>0</v>
      </c>
      <c r="BA103" s="192">
        <f>SUMIF(AD105:AD107,AD103,BA105:BA107)</f>
        <v>0</v>
      </c>
      <c r="BB103" s="192">
        <f>SUMIF(AD105:AD107,AD103,BB105:BB107)</f>
        <v>0</v>
      </c>
      <c r="BC103" s="167"/>
      <c r="BD103" s="118"/>
      <c r="BE103" s="118"/>
      <c r="BF103" s="1025" t="s">
        <v>1017</v>
      </c>
      <c r="BG103" s="1025"/>
      <c r="BH103" s="1025"/>
      <c r="BI103" s="658"/>
      <c r="BJ103" s="658"/>
    </row>
    <row s="1621" customFormat="1" customHeight="1" ht="15" hidden="1">
      <c r="A104" s="118"/>
      <c r="B104" s="413"/>
      <c r="C104" s="118"/>
      <c r="D104" s="118"/>
      <c r="E104" s="658">
        <v>0</v>
      </c>
      <c r="F104" s="50" cm="1" t="str">
        <f t="array" ref="F104:F104">OFFSET(E104,-1,1)</f>
        <v>2</v>
      </c>
      <c r="G104" s="118" t="s">
        <v>329</v>
      </c>
      <c r="H104" s="118"/>
      <c r="I104" s="118"/>
      <c r="J104" s="118"/>
      <c r="K104" s="893"/>
      <c r="L104" s="897"/>
      <c r="M104" s="118"/>
      <c r="N104" s="118"/>
      <c r="O104" s="118"/>
      <c r="P104" s="118"/>
      <c r="Q104" s="118"/>
      <c r="R104" s="118"/>
      <c r="S104" s="118"/>
      <c r="T104" s="439" t="b">
        <v>0</v>
      </c>
      <c r="U104" s="118"/>
      <c r="V104" s="118"/>
      <c r="W104" s="118" t="s">
        <v>173</v>
      </c>
      <c r="X104" s="1443"/>
      <c r="Y104" s="1443">
        <v>0</v>
      </c>
      <c r="Z104" s="1549"/>
      <c r="AA104" s="1551" t="s">
        <v>174</v>
      </c>
      <c r="AB104" s="178"/>
      <c r="AC104" s="179"/>
      <c r="AD104" s="178"/>
      <c r="AE104" s="183">
        <f>OR(AND(AE105&lt;&gt;"",AE106=""),AND(AE105="",AE106&lt;&gt;""))</f>
        <v>0</v>
      </c>
      <c r="AF104" s="183">
        <f>OR(AND(AF105&lt;&gt;"",AF106=""),AND(AF105="",AF106&lt;&gt;""))</f>
        <v>0</v>
      </c>
      <c r="AG104" s="183">
        <f>OR(AND(AG105&lt;&gt;"",AG106=""),AND(AG105="",AG106&lt;&gt;""))</f>
        <v>0</v>
      </c>
      <c r="AH104" s="183">
        <f>OR(AND(AH105&lt;&gt;"",AH106=""),AND(AH105="",AH106&lt;&gt;""))</f>
        <v>0</v>
      </c>
      <c r="AI104" s="183">
        <f>OR(AND(AI105&lt;&gt;"",AI106=""),AND(AI105="",AI106&lt;&gt;""))</f>
        <v>0</v>
      </c>
      <c r="AJ104" s="183">
        <f>OR(AND(AJ105&lt;&gt;"",AJ106=""),AND(AJ105="",AJ106&lt;&gt;""))</f>
        <v>0</v>
      </c>
      <c r="AK104" s="183">
        <f>OR(AND(AK105&lt;&gt;"",AK106=""),AND(AK105="",AK106&lt;&gt;""))</f>
        <v>0</v>
      </c>
      <c r="AL104" s="183">
        <f>OR(AND(AL105&lt;&gt;"",AL106=""),AND(AL105="",AL106&lt;&gt;""))</f>
        <v>0</v>
      </c>
      <c r="AM104" s="183">
        <f>OR(AND(AM105&lt;&gt;"",AM106=""),AND(AM105="",AM106&lt;&gt;""))</f>
        <v>0</v>
      </c>
      <c r="AN104" s="183">
        <f>OR(AND(AN105&lt;&gt;"",AN106=""),AND(AN105="",AN106&lt;&gt;""))</f>
        <v>0</v>
      </c>
      <c r="AO104" s="183">
        <f>OR(AND(AO105&lt;&gt;"",AO106=""),AND(AO105="",AO106&lt;&gt;""))</f>
        <v>0</v>
      </c>
      <c r="AP104" s="183">
        <f>OR(AND(AP105&lt;&gt;"",AP106=""),AND(AP105="",AP106&lt;&gt;""))</f>
        <v>0</v>
      </c>
      <c r="AQ104" s="183">
        <f>OR(AND(AQ105&lt;&gt;"",AQ106=""),AND(AQ105="",AQ106&lt;&gt;""))</f>
        <v>0</v>
      </c>
      <c r="AR104" s="183">
        <f>OR(AND(AR105&lt;&gt;"",AR106=""),AND(AR105="",AR106&lt;&gt;""))</f>
        <v>0</v>
      </c>
      <c r="AS104" s="183">
        <f>OR(AND(AS105&lt;&gt;"",AS106=""),AND(AS105="",AS106&lt;&gt;""))</f>
        <v>0</v>
      </c>
      <c r="AT104" s="183">
        <f>OR(AND(AT105&lt;&gt;"",AT106=""),AND(AT105="",AT106&lt;&gt;""))</f>
        <v>0</v>
      </c>
      <c r="AU104" s="183">
        <f>OR(AND(AU105&lt;&gt;"",AU106=""),AND(AU105="",AU106&lt;&gt;""))</f>
        <v>0</v>
      </c>
      <c r="AV104" s="183">
        <f>OR(AND(AV105&lt;&gt;"",AV106=""),AND(AV105="",AV106&lt;&gt;""))</f>
        <v>0</v>
      </c>
      <c r="AW104" s="183">
        <f>OR(AND(AW105&lt;&gt;"",AW106=""),AND(AW105="",AW106&lt;&gt;""))</f>
        <v>0</v>
      </c>
      <c r="AX104" s="183">
        <f>OR(AND(AX105&lt;&gt;"",AX106=""),AND(AX105="",AX106&lt;&gt;""))</f>
        <v>0</v>
      </c>
      <c r="AY104" s="183">
        <f>OR(AND(AY105&lt;&gt;"",AY106=""),AND(AY105="",AY106&lt;&gt;""))</f>
        <v>0</v>
      </c>
      <c r="AZ104" s="183">
        <f>OR(AND(AZ105&lt;&gt;"",AZ106=""),AND(AZ105="",AZ106&lt;&gt;""))</f>
        <v>0</v>
      </c>
      <c r="BA104" s="183">
        <f>OR(AND(BA105&lt;&gt;"",BA106=""),AND(BA105="",BA106&lt;&gt;""))</f>
        <v>0</v>
      </c>
      <c r="BB104" s="183">
        <f>OR(AND(BB105&lt;&gt;"",BB106=""),AND(BB105="",BB106&lt;&gt;""))</f>
        <v>0</v>
      </c>
      <c r="BC104" s="957"/>
      <c r="BD104" s="118"/>
      <c r="BE104" s="118"/>
      <c r="BF104" s="1025"/>
      <c r="BG104" s="1025"/>
      <c r="BH104" s="1025"/>
      <c r="BI104" s="658"/>
      <c r="BJ104" s="658"/>
    </row>
    <row s="1621" customFormat="1" customHeight="1" ht="14.25" hidden="1">
      <c r="A105" s="118"/>
      <c r="B105" s="413"/>
      <c r="C105" s="118"/>
      <c r="D105" s="118"/>
      <c r="E105" s="658">
        <v>15</v>
      </c>
      <c r="F105" s="50" cm="1" t="str">
        <f t="array" ref="F105:F105">OFFSET(E105,-1,1)</f>
        <v>2</v>
      </c>
      <c r="G105" s="118" t="s">
        <v>329</v>
      </c>
      <c r="H105" s="121" cm="1" t="str">
        <f t="array" ref="H105:H105">AC105</f>
        <v>0</v>
      </c>
      <c r="I105" s="118" t="s">
        <v>1018</v>
      </c>
      <c r="J105" s="118"/>
      <c r="K105" s="893"/>
      <c r="L105" s="118"/>
      <c r="M105" s="118"/>
      <c r="N105" s="118"/>
      <c r="O105" s="118"/>
      <c r="P105" s="118"/>
      <c r="Q105" s="118"/>
      <c r="R105" s="118"/>
      <c r="S105" s="118"/>
      <c r="T105" s="439">
        <f>AND(F105&gt;0,Y104&gt;0)</f>
        <v>0</v>
      </c>
      <c r="U105" s="118"/>
      <c r="V105" s="118"/>
      <c r="W105" s="118"/>
      <c r="X105" s="1443"/>
      <c r="Y105" s="1443"/>
      <c r="Z105" s="1549"/>
      <c r="AA105" s="1551"/>
      <c r="AB105" s="54" t="str">
        <f>"4."&amp;Y104</f>
        <v>4.0</v>
      </c>
      <c r="AC105" s="241"/>
      <c r="AD105" s="178" t="s">
        <v>784</v>
      </c>
      <c r="AE105" s="2614"/>
      <c r="AF105" s="2614"/>
      <c r="AG105" s="2614"/>
      <c r="AH105" s="2614"/>
      <c r="AI105" s="182"/>
      <c r="AJ105" s="2614"/>
      <c r="AK105" s="2614"/>
      <c r="AL105" s="2614"/>
      <c r="AM105" s="2614"/>
      <c r="AN105" s="2614"/>
      <c r="AO105" s="2614"/>
      <c r="AP105" s="2614"/>
      <c r="AQ105" s="2614"/>
      <c r="AR105" s="2614"/>
      <c r="AS105" s="182"/>
      <c r="AT105" s="2614"/>
      <c r="AU105" s="2614"/>
      <c r="AV105" s="2614"/>
      <c r="AW105" s="2614"/>
      <c r="AX105" s="2614"/>
      <c r="AY105" s="2614"/>
      <c r="AZ105" s="2614"/>
      <c r="BA105" s="2614"/>
      <c r="BB105" s="2614"/>
      <c r="BC105" s="1887"/>
      <c r="BD105" s="118"/>
      <c r="BE105" s="118"/>
      <c r="BF105" s="1025" t="s">
        <v>999</v>
      </c>
      <c r="BG105" s="1025" t="s">
        <v>1019</v>
      </c>
      <c r="BH105" s="1025" cm="1" t="str">
        <f t="array" ref="BH105:BH105">AC105</f>
        <v>0</v>
      </c>
      <c r="BI105" s="658"/>
      <c r="BJ105" s="658" t="b">
        <v>1</v>
      </c>
    </row>
    <row s="1621" customFormat="1" customHeight="1" ht="14.25" hidden="1">
      <c r="A106" s="118"/>
      <c r="B106" s="413"/>
      <c r="C106" s="118"/>
      <c r="D106" s="118"/>
      <c r="E106" s="658">
        <v>15</v>
      </c>
      <c r="F106" s="50" cm="1" t="str">
        <f t="array" ref="F106:F106">OFFSET(E106,-1,1)</f>
        <v>2</v>
      </c>
      <c r="G106" s="118" t="s">
        <v>514</v>
      </c>
      <c r="H106" s="121" cm="1" t="str">
        <f t="array" ref="H106:H106">H105</f>
        <v>0</v>
      </c>
      <c r="I106" s="118" t="s">
        <v>1018</v>
      </c>
      <c r="J106" s="118"/>
      <c r="K106" s="893"/>
      <c r="L106" s="118"/>
      <c r="M106" s="118"/>
      <c r="N106" s="118"/>
      <c r="O106" s="118"/>
      <c r="P106" s="118"/>
      <c r="Q106" s="118"/>
      <c r="R106" s="118"/>
      <c r="S106" s="118"/>
      <c r="T106" s="439" cm="1" t="str">
        <f t="array" ref="T106:T106">T105</f>
        <v>false</v>
      </c>
      <c r="U106" s="118"/>
      <c r="V106" s="118"/>
      <c r="W106" s="118"/>
      <c r="X106" s="1443"/>
      <c r="Y106" s="1443"/>
      <c r="Z106" s="1549"/>
      <c r="AA106" s="1551"/>
      <c r="AB106" s="54" t="str">
        <f>AB105&amp;".1"</f>
        <v>4.0.1</v>
      </c>
      <c r="AC106" s="188" t="s">
        <v>1020</v>
      </c>
      <c r="AD106" s="54" t="s">
        <v>512</v>
      </c>
      <c r="AE106" s="2614"/>
      <c r="AF106" s="2614"/>
      <c r="AG106" s="2614"/>
      <c r="AH106" s="2614"/>
      <c r="AI106" s="182"/>
      <c r="AJ106" s="2614"/>
      <c r="AK106" s="2614"/>
      <c r="AL106" s="2614"/>
      <c r="AM106" s="2614"/>
      <c r="AN106" s="2614"/>
      <c r="AO106" s="2614"/>
      <c r="AP106" s="2614"/>
      <c r="AQ106" s="2614"/>
      <c r="AR106" s="2614"/>
      <c r="AS106" s="182"/>
      <c r="AT106" s="2614"/>
      <c r="AU106" s="2614"/>
      <c r="AV106" s="2614"/>
      <c r="AW106" s="2614"/>
      <c r="AX106" s="2614"/>
      <c r="AY106" s="2614"/>
      <c r="AZ106" s="2614"/>
      <c r="BA106" s="2614"/>
      <c r="BB106" s="2614"/>
      <c r="BC106" s="1887"/>
      <c r="BD106" s="118"/>
      <c r="BE106" s="118"/>
      <c r="BF106" s="1025" t="s">
        <v>1002</v>
      </c>
      <c r="BG106" s="1025" t="s">
        <v>1019</v>
      </c>
      <c r="BH106" s="1025" cm="1" t="str">
        <f t="array" ref="BH106:BH106">BH105</f>
        <v>0</v>
      </c>
      <c r="BI106" s="658"/>
      <c r="BJ106" s="658"/>
    </row>
    <row s="1621" customFormat="1" customHeight="1" ht="14.25">
      <c r="A107" s="118"/>
      <c r="B107" s="413"/>
      <c r="C107" s="118"/>
      <c r="D107" s="118"/>
      <c r="E107" s="658">
        <v>15</v>
      </c>
      <c r="F107" s="50" cm="1" t="str">
        <f t="array" ref="F107:F107">OFFSET(E107,-1,1)</f>
        <v>2</v>
      </c>
      <c r="G107" s="118"/>
      <c r="H107" s="118" t="str">
        <f>"!=='не определено' &amp;&amp; row.l4 !== null"</f>
        <v>!=='не определено' &amp;&amp; row.l4 !== null</v>
      </c>
      <c r="I107" s="118"/>
      <c r="J107" s="118"/>
      <c r="K107" s="893"/>
      <c r="L107" s="118"/>
      <c r="M107" s="118"/>
      <c r="N107" s="118"/>
      <c r="O107" s="118"/>
      <c r="P107" s="118"/>
      <c r="Q107" s="118"/>
      <c r="R107" s="118"/>
      <c r="S107" s="118"/>
      <c r="T107" s="439">
        <f>F107&gt;0</f>
        <v>1</v>
      </c>
      <c r="U107" s="118"/>
      <c r="V107" s="118"/>
      <c r="W107" s="665" t="s">
        <v>1021</v>
      </c>
      <c r="X107" s="1443"/>
      <c r="Y107" s="663"/>
      <c r="Z107" s="1549"/>
      <c r="AA107" s="118"/>
      <c r="AB107" s="661"/>
      <c r="AC107" s="199" t="s">
        <v>1004</v>
      </c>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200"/>
      <c r="BD107" s="118"/>
      <c r="BE107" s="118"/>
      <c r="BF107" s="1025"/>
      <c r="BG107" s="1025"/>
      <c r="BH107" s="1025"/>
      <c r="BI107" s="658" t="s">
        <v>1019</v>
      </c>
      <c r="BJ107" s="658"/>
    </row>
    <row s="1621" customFormat="1" customHeight="1" ht="21.75">
      <c r="A108" s="118"/>
      <c r="B108" s="413"/>
      <c r="C108" s="118"/>
      <c r="D108" s="118"/>
      <c r="E108" s="658">
        <v>23</v>
      </c>
      <c r="F108" s="50" cm="1" t="str">
        <f t="array" ref="F108:F108">OFFSET(E108,-1,1)</f>
        <v>2</v>
      </c>
      <c r="G108" s="118"/>
      <c r="H108" s="118"/>
      <c r="I108" s="118"/>
      <c r="J108" s="118"/>
      <c r="K108" s="893" t="str">
        <f>F88&amp;"5komm"</f>
        <v>25komm</v>
      </c>
      <c r="L108" s="897" cm="1" t="str">
        <f t="array" ref="L108:L108">BC108</f>
        <v>0</v>
      </c>
      <c r="M108" s="118"/>
      <c r="N108" s="118"/>
      <c r="O108" s="118"/>
      <c r="P108" s="118"/>
      <c r="Q108" s="118"/>
      <c r="R108" s="118"/>
      <c r="S108" s="118"/>
      <c r="T108" s="439" cm="1" t="str">
        <f t="array" ref="T108:T108">T107</f>
        <v>true</v>
      </c>
      <c r="U108" s="118"/>
      <c r="V108" s="118"/>
      <c r="W108" s="118"/>
      <c r="X108" s="1443"/>
      <c r="Y108" s="664"/>
      <c r="Z108" s="1549"/>
      <c r="AA108" s="118"/>
      <c r="AB108" s="178">
        <v>5</v>
      </c>
      <c r="AC108" s="179" t="s">
        <v>1022</v>
      </c>
      <c r="AD108" s="178" t="s">
        <v>784</v>
      </c>
      <c r="AE108" s="180">
        <f>SUMIF(AD110:AD112,AD108,AE110:AE112)</f>
        <v>0</v>
      </c>
      <c r="AF108" s="180">
        <f>SUMIF(AD110:AD112,AD108,AF110:AF112)</f>
        <v>0</v>
      </c>
      <c r="AG108" s="180">
        <f>SUMIF(AD110:AD112,AD108,AG110:AG112)</f>
        <v>0</v>
      </c>
      <c r="AH108" s="180">
        <f>SUMIF(AD110:AD112,AD108,AH110:AH112)</f>
        <v>0</v>
      </c>
      <c r="AI108" s="180">
        <f>SUMIF(AD110:AD112,AD108,AI110:AI112)</f>
        <v>0</v>
      </c>
      <c r="AJ108" s="2730">
        <f>SUMIF(AD110:AD112,AD108,AJ110:AJ112)</f>
        <v>0</v>
      </c>
      <c r="AK108" s="2730">
        <f>SUMIF(AD110:AD112,AD108,AK110:AK112)</f>
        <v>0</v>
      </c>
      <c r="AL108" s="192">
        <f>SUMIF(AD110:AD112,AD108,AL110:AL112)</f>
        <v>0</v>
      </c>
      <c r="AM108" s="192">
        <f>SUMIF(AD110:AD112,AD108,AM110:AM112)</f>
        <v>0</v>
      </c>
      <c r="AN108" s="192">
        <f>SUMIF(AD110:AD112,AD108,AN110:AN112)</f>
        <v>0</v>
      </c>
      <c r="AO108" s="192">
        <f>SUMIF(AD110:AD112,AD108,AO110:AO112)</f>
        <v>0</v>
      </c>
      <c r="AP108" s="192">
        <f>SUMIF(AD110:AD112,AD108,AP110:AP112)</f>
        <v>0</v>
      </c>
      <c r="AQ108" s="192">
        <f>SUMIF(AD110:AD112,AD108,AQ110:AQ112)</f>
        <v>0</v>
      </c>
      <c r="AR108" s="192">
        <f>SUMIF(AD110:AD112,AD108,AR110:AR112)</f>
        <v>0</v>
      </c>
      <c r="AS108" s="180">
        <f>SUMIF(AD110:AD112,AD108,AS110:AS112)</f>
        <v>0</v>
      </c>
      <c r="AT108" s="2730">
        <f>SUMIF(AD110:AD112,AD108,AT110:AT112)</f>
        <v>0</v>
      </c>
      <c r="AU108" s="2730">
        <f>SUMIF(AD110:AD112,AD108,AU110:AU112)</f>
        <v>0</v>
      </c>
      <c r="AV108" s="192">
        <f>SUMIF(AD110:AD112,AD108,AV110:AV112)</f>
        <v>0</v>
      </c>
      <c r="AW108" s="192">
        <f>SUMIF(AD110:AD112,AD108,AW110:AW112)</f>
        <v>0</v>
      </c>
      <c r="AX108" s="192">
        <f>SUMIF(AD110:AD112,AD108,AX110:AX112)</f>
        <v>0</v>
      </c>
      <c r="AY108" s="192">
        <f>SUMIF(AD110:AD112,AD108,AY110:AY112)</f>
        <v>0</v>
      </c>
      <c r="AZ108" s="192">
        <f>SUMIF(AD110:AD112,AD108,AZ110:AZ112)</f>
        <v>0</v>
      </c>
      <c r="BA108" s="192">
        <f>SUMIF(AD110:AD112,AD108,BA110:BA112)</f>
        <v>0</v>
      </c>
      <c r="BB108" s="192">
        <f>SUMIF(AD110:AD112,AD108,BB110:BB112)</f>
        <v>0</v>
      </c>
      <c r="BC108" s="167"/>
      <c r="BD108" s="118"/>
      <c r="BE108" s="118"/>
      <c r="BF108" s="1025" t="s">
        <v>1023</v>
      </c>
      <c r="BG108" s="1025"/>
      <c r="BH108" s="1025"/>
      <c r="BI108" s="658"/>
      <c r="BJ108" s="658"/>
    </row>
    <row s="1621" customFormat="1" customHeight="1" ht="15" hidden="1">
      <c r="A109" s="118"/>
      <c r="B109" s="413"/>
      <c r="C109" s="118"/>
      <c r="D109" s="118"/>
      <c r="E109" s="658">
        <v>0</v>
      </c>
      <c r="F109" s="50" cm="1" t="str">
        <f t="array" ref="F109:F109">OFFSET(E109,-1,1)</f>
        <v>2</v>
      </c>
      <c r="G109" s="118" t="s">
        <v>328</v>
      </c>
      <c r="H109" s="118"/>
      <c r="I109" s="118"/>
      <c r="J109" s="118"/>
      <c r="K109" s="893"/>
      <c r="L109" s="897"/>
      <c r="M109" s="118"/>
      <c r="N109" s="118"/>
      <c r="O109" s="118"/>
      <c r="P109" s="118"/>
      <c r="Q109" s="118"/>
      <c r="R109" s="118"/>
      <c r="S109" s="118"/>
      <c r="T109" s="439" t="b">
        <v>0</v>
      </c>
      <c r="U109" s="118"/>
      <c r="V109" s="118"/>
      <c r="W109" s="118" t="s">
        <v>173</v>
      </c>
      <c r="X109" s="1443"/>
      <c r="Y109" s="1443">
        <v>0</v>
      </c>
      <c r="Z109" s="1549"/>
      <c r="AA109" s="1551" t="s">
        <v>174</v>
      </c>
      <c r="AB109" s="178"/>
      <c r="AC109" s="179"/>
      <c r="AD109" s="178"/>
      <c r="AE109" s="183">
        <f>OR(AND(AE110&lt;&gt;"",AE111=""),AND(AE110="",AE111&lt;&gt;""))</f>
        <v>0</v>
      </c>
      <c r="AF109" s="183">
        <f>OR(AND(AF110&lt;&gt;"",AF111=""),AND(AF110="",AF111&lt;&gt;""))</f>
        <v>0</v>
      </c>
      <c r="AG109" s="183">
        <f>OR(AND(AG110&lt;&gt;"",AG111=""),AND(AG110="",AG111&lt;&gt;""))</f>
        <v>0</v>
      </c>
      <c r="AH109" s="183">
        <f>OR(AND(AH110&lt;&gt;"",AH111=""),AND(AH110="",AH111&lt;&gt;""))</f>
        <v>0</v>
      </c>
      <c r="AI109" s="183">
        <f>OR(AND(AI110&lt;&gt;"",AI111=""),AND(AI110="",AI111&lt;&gt;""))</f>
        <v>0</v>
      </c>
      <c r="AJ109" s="183">
        <f>OR(AND(AJ110&lt;&gt;"",AJ111=""),AND(AJ110="",AJ111&lt;&gt;""))</f>
        <v>0</v>
      </c>
      <c r="AK109" s="183">
        <f>OR(AND(AK110&lt;&gt;"",AK111=""),AND(AK110="",AK111&lt;&gt;""))</f>
        <v>0</v>
      </c>
      <c r="AL109" s="183">
        <f>OR(AND(AL110&lt;&gt;"",AL111=""),AND(AL110="",AL111&lt;&gt;""))</f>
        <v>0</v>
      </c>
      <c r="AM109" s="183">
        <f>OR(AND(AM110&lt;&gt;"",AM111=""),AND(AM110="",AM111&lt;&gt;""))</f>
        <v>0</v>
      </c>
      <c r="AN109" s="183">
        <f>OR(AND(AN110&lt;&gt;"",AN111=""),AND(AN110="",AN111&lt;&gt;""))</f>
        <v>0</v>
      </c>
      <c r="AO109" s="183">
        <f>OR(AND(AO110&lt;&gt;"",AO111=""),AND(AO110="",AO111&lt;&gt;""))</f>
        <v>0</v>
      </c>
      <c r="AP109" s="183">
        <f>OR(AND(AP110&lt;&gt;"",AP111=""),AND(AP110="",AP111&lt;&gt;""))</f>
        <v>0</v>
      </c>
      <c r="AQ109" s="183">
        <f>OR(AND(AQ110&lt;&gt;"",AQ111=""),AND(AQ110="",AQ111&lt;&gt;""))</f>
        <v>0</v>
      </c>
      <c r="AR109" s="183">
        <f>OR(AND(AR110&lt;&gt;"",AR111=""),AND(AR110="",AR111&lt;&gt;""))</f>
        <v>0</v>
      </c>
      <c r="AS109" s="183">
        <f>OR(AND(AS110&lt;&gt;"",AS111=""),AND(AS110="",AS111&lt;&gt;""))</f>
        <v>0</v>
      </c>
      <c r="AT109" s="183">
        <f>OR(AND(AT110&lt;&gt;"",AT111=""),AND(AT110="",AT111&lt;&gt;""))</f>
        <v>0</v>
      </c>
      <c r="AU109" s="183">
        <f>OR(AND(AU110&lt;&gt;"",AU111=""),AND(AU110="",AU111&lt;&gt;""))</f>
        <v>0</v>
      </c>
      <c r="AV109" s="183">
        <f>OR(AND(AV110&lt;&gt;"",AV111=""),AND(AV110="",AV111&lt;&gt;""))</f>
        <v>0</v>
      </c>
      <c r="AW109" s="183">
        <f>OR(AND(AW110&lt;&gt;"",AW111=""),AND(AW110="",AW111&lt;&gt;""))</f>
        <v>0</v>
      </c>
      <c r="AX109" s="183">
        <f>OR(AND(AX110&lt;&gt;"",AX111=""),AND(AX110="",AX111&lt;&gt;""))</f>
        <v>0</v>
      </c>
      <c r="AY109" s="183">
        <f>OR(AND(AY110&lt;&gt;"",AY111=""),AND(AY110="",AY111&lt;&gt;""))</f>
        <v>0</v>
      </c>
      <c r="AZ109" s="183">
        <f>OR(AND(AZ110&lt;&gt;"",AZ111=""),AND(AZ110="",AZ111&lt;&gt;""))</f>
        <v>0</v>
      </c>
      <c r="BA109" s="183">
        <f>OR(AND(BA110&lt;&gt;"",BA111=""),AND(BA110="",BA111&lt;&gt;""))</f>
        <v>0</v>
      </c>
      <c r="BB109" s="183">
        <f>OR(AND(BB110&lt;&gt;"",BB111=""),AND(BB110="",BB111&lt;&gt;""))</f>
        <v>0</v>
      </c>
      <c r="BC109" s="957"/>
      <c r="BD109" s="118"/>
      <c r="BE109" s="118"/>
      <c r="BF109" s="1025"/>
      <c r="BG109" s="1025"/>
      <c r="BH109" s="1025"/>
      <c r="BI109" s="658"/>
      <c r="BJ109" s="658"/>
    </row>
    <row s="1621" customFormat="1" customHeight="1" ht="14.25" hidden="1">
      <c r="A110" s="118"/>
      <c r="B110" s="413"/>
      <c r="C110" s="118"/>
      <c r="D110" s="118"/>
      <c r="E110" s="658">
        <v>15</v>
      </c>
      <c r="F110" s="50" cm="1" t="str">
        <f t="array" ref="F110:F110">OFFSET(E110,-1,1)</f>
        <v>2</v>
      </c>
      <c r="G110" s="118" t="s">
        <v>328</v>
      </c>
      <c r="H110" s="121" cm="1" t="str">
        <f t="array" ref="H110:H110">AC110</f>
        <v>0</v>
      </c>
      <c r="I110" s="118" t="s">
        <v>1024</v>
      </c>
      <c r="J110" s="118"/>
      <c r="K110" s="893"/>
      <c r="L110" s="118"/>
      <c r="M110" s="118"/>
      <c r="N110" s="118"/>
      <c r="O110" s="118"/>
      <c r="P110" s="118"/>
      <c r="Q110" s="118"/>
      <c r="R110" s="118"/>
      <c r="S110" s="118"/>
      <c r="T110" s="439">
        <f>AND(F110&gt;0,Y109&gt;0)</f>
        <v>0</v>
      </c>
      <c r="U110" s="118"/>
      <c r="V110" s="118"/>
      <c r="W110" s="118"/>
      <c r="X110" s="1443"/>
      <c r="Y110" s="1443"/>
      <c r="Z110" s="1549"/>
      <c r="AA110" s="1551"/>
      <c r="AB110" s="54" t="str">
        <f>"5."&amp;Y109</f>
        <v>5.0</v>
      </c>
      <c r="AC110" s="241"/>
      <c r="AD110" s="178" t="s">
        <v>784</v>
      </c>
      <c r="AE110" s="2614"/>
      <c r="AF110" s="2614"/>
      <c r="AG110" s="2614"/>
      <c r="AH110" s="2614"/>
      <c r="AI110" s="182"/>
      <c r="AJ110" s="2614"/>
      <c r="AK110" s="2614"/>
      <c r="AL110" s="2614"/>
      <c r="AM110" s="2614"/>
      <c r="AN110" s="2614"/>
      <c r="AO110" s="2614"/>
      <c r="AP110" s="2614"/>
      <c r="AQ110" s="2614"/>
      <c r="AR110" s="2614"/>
      <c r="AS110" s="182"/>
      <c r="AT110" s="2614"/>
      <c r="AU110" s="2614"/>
      <c r="AV110" s="2614"/>
      <c r="AW110" s="2614"/>
      <c r="AX110" s="2614"/>
      <c r="AY110" s="2614"/>
      <c r="AZ110" s="2614"/>
      <c r="BA110" s="2614"/>
      <c r="BB110" s="2614"/>
      <c r="BC110" s="1887"/>
      <c r="BD110" s="118"/>
      <c r="BE110" s="118"/>
      <c r="BF110" s="1025" t="s">
        <v>999</v>
      </c>
      <c r="BG110" s="1025" t="s">
        <v>1025</v>
      </c>
      <c r="BH110" s="1025" cm="1" t="str">
        <f t="array" ref="BH110:BH110">AC110</f>
        <v>0</v>
      </c>
      <c r="BI110" s="658"/>
      <c r="BJ110" s="658" t="b">
        <v>1</v>
      </c>
    </row>
    <row s="1621" customFormat="1" customHeight="1" ht="14.25" hidden="1">
      <c r="A111" s="118"/>
      <c r="B111" s="413"/>
      <c r="C111" s="118"/>
      <c r="D111" s="118"/>
      <c r="E111" s="658">
        <v>15</v>
      </c>
      <c r="F111" s="50" cm="1" t="str">
        <f t="array" ref="F111:F111">OFFSET(E111,-1,1)</f>
        <v>2</v>
      </c>
      <c r="G111" s="118" t="s">
        <v>528</v>
      </c>
      <c r="H111" s="121" cm="1" t="str">
        <f t="array" ref="H111:H111">H110</f>
        <v>0</v>
      </c>
      <c r="I111" s="118" t="s">
        <v>1024</v>
      </c>
      <c r="J111" s="118"/>
      <c r="K111" s="893"/>
      <c r="L111" s="118"/>
      <c r="M111" s="118"/>
      <c r="N111" s="118"/>
      <c r="O111" s="118"/>
      <c r="P111" s="118"/>
      <c r="Q111" s="118"/>
      <c r="R111" s="118"/>
      <c r="S111" s="118"/>
      <c r="T111" s="439" cm="1" t="str">
        <f t="array" ref="T111:T111">T110</f>
        <v>false</v>
      </c>
      <c r="U111" s="118"/>
      <c r="V111" s="118"/>
      <c r="W111" s="118"/>
      <c r="X111" s="1443"/>
      <c r="Y111" s="1443"/>
      <c r="Z111" s="1549"/>
      <c r="AA111" s="1551"/>
      <c r="AB111" s="54" t="str">
        <f>AB110&amp;".1"</f>
        <v>5.0.1</v>
      </c>
      <c r="AC111" s="188" t="s">
        <v>1026</v>
      </c>
      <c r="AD111" s="54" t="s">
        <v>512</v>
      </c>
      <c r="AE111" s="2614"/>
      <c r="AF111" s="2614"/>
      <c r="AG111" s="2614"/>
      <c r="AH111" s="2614"/>
      <c r="AI111" s="182"/>
      <c r="AJ111" s="2614"/>
      <c r="AK111" s="2614"/>
      <c r="AL111" s="2614"/>
      <c r="AM111" s="2614"/>
      <c r="AN111" s="2614"/>
      <c r="AO111" s="2614"/>
      <c r="AP111" s="2614"/>
      <c r="AQ111" s="2614"/>
      <c r="AR111" s="2614"/>
      <c r="AS111" s="182"/>
      <c r="AT111" s="2614"/>
      <c r="AU111" s="2614"/>
      <c r="AV111" s="2614"/>
      <c r="AW111" s="2614"/>
      <c r="AX111" s="2614"/>
      <c r="AY111" s="2614"/>
      <c r="AZ111" s="2614"/>
      <c r="BA111" s="2614"/>
      <c r="BB111" s="2614"/>
      <c r="BC111" s="1887"/>
      <c r="BD111" s="118"/>
      <c r="BE111" s="118"/>
      <c r="BF111" s="1025" t="s">
        <v>1002</v>
      </c>
      <c r="BG111" s="1025" t="s">
        <v>1025</v>
      </c>
      <c r="BH111" s="1025" cm="1" t="str">
        <f t="array" ref="BH111:BH111">BH110</f>
        <v>0</v>
      </c>
      <c r="BI111" s="658"/>
      <c r="BJ111" s="658"/>
    </row>
    <row s="1621" customFormat="1" customHeight="1" ht="14.25">
      <c r="A112" s="118"/>
      <c r="B112" s="413"/>
      <c r="C112" s="118"/>
      <c r="D112" s="118"/>
      <c r="E112" s="658">
        <v>15</v>
      </c>
      <c r="F112" s="50" cm="1" t="str">
        <f t="array" ref="F112:F112">OFFSET(E112,-1,1)</f>
        <v>2</v>
      </c>
      <c r="G112" s="118"/>
      <c r="H112" s="118" t="str">
        <f>"!=='не определено' &amp;&amp; row.l5 !== null"</f>
        <v>!=='не определено' &amp;&amp; row.l5 !== null</v>
      </c>
      <c r="I112" s="118"/>
      <c r="J112" s="118"/>
      <c r="K112" s="893"/>
      <c r="L112" s="118"/>
      <c r="M112" s="118"/>
      <c r="N112" s="118"/>
      <c r="O112" s="118"/>
      <c r="P112" s="118"/>
      <c r="Q112" s="118"/>
      <c r="R112" s="118"/>
      <c r="S112" s="118"/>
      <c r="T112" s="439">
        <f>F112&gt;0</f>
        <v>1</v>
      </c>
      <c r="U112" s="118"/>
      <c r="V112" s="118"/>
      <c r="W112" s="665" t="s">
        <v>1027</v>
      </c>
      <c r="X112" s="1443"/>
      <c r="Y112" s="136"/>
      <c r="Z112" s="1549"/>
      <c r="AA112" s="118"/>
      <c r="AB112" s="661"/>
      <c r="AC112" s="199" t="s">
        <v>1004</v>
      </c>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200"/>
      <c r="BD112" s="118"/>
      <c r="BE112" s="118"/>
      <c r="BF112" s="1025"/>
      <c r="BG112" s="1025"/>
      <c r="BH112" s="1025"/>
      <c r="BI112" s="658" t="s">
        <v>1025</v>
      </c>
      <c r="BJ112" s="658"/>
    </row>
    <row s="119" customFormat="1" customHeight="1" ht="14.25">
      <c r="A113" s="119"/>
      <c r="B113" s="414"/>
      <c r="C113" s="119"/>
      <c r="D113" s="119"/>
      <c r="E113" s="659">
        <v>15</v>
      </c>
      <c r="F113" s="50" cm="1" t="str">
        <f t="array" ref="F113:F113">OFFSET(E113,-1,1)</f>
        <v>2</v>
      </c>
      <c r="G113" s="118" t="s">
        <v>491</v>
      </c>
      <c r="H113" s="119"/>
      <c r="I113" s="119"/>
      <c r="J113" s="119"/>
      <c r="K113" s="893" t="str">
        <f>F88&amp;"6komm"</f>
        <v>26komm</v>
      </c>
      <c r="L113" s="897" cm="1" t="str">
        <f t="array" ref="L113:L113">BC113</f>
        <v>0</v>
      </c>
      <c r="M113" s="119"/>
      <c r="N113" s="119"/>
      <c r="O113" s="119"/>
      <c r="P113" s="119"/>
      <c r="Q113" s="119"/>
      <c r="R113" s="119"/>
      <c r="S113" s="119"/>
      <c r="T113" s="439" cm="1" t="str">
        <f t="array" ref="T113:T113">T112</f>
        <v>true</v>
      </c>
      <c r="U113" s="119"/>
      <c r="V113" s="119"/>
      <c r="W113" s="119"/>
      <c r="X113" s="1443"/>
      <c r="Y113" s="119"/>
      <c r="Z113" s="1549"/>
      <c r="AA113" s="119"/>
      <c r="AB113" s="178">
        <v>6</v>
      </c>
      <c r="AC113" s="179" t="s">
        <v>1028</v>
      </c>
      <c r="AD113" s="178" t="s">
        <v>784</v>
      </c>
      <c r="AE113" s="192"/>
      <c r="AF113" s="192"/>
      <c r="AG113" s="192"/>
      <c r="AH113" s="192"/>
      <c r="AI113" s="192"/>
      <c r="AJ113" s="2730"/>
      <c r="AK113" s="2730"/>
      <c r="AL113" s="192"/>
      <c r="AM113" s="192"/>
      <c r="AN113" s="192"/>
      <c r="AO113" s="192"/>
      <c r="AP113" s="192"/>
      <c r="AQ113" s="192"/>
      <c r="AR113" s="192"/>
      <c r="AS113" s="192"/>
      <c r="AT113" s="2730"/>
      <c r="AU113" s="2730"/>
      <c r="AV113" s="192"/>
      <c r="AW113" s="192"/>
      <c r="AX113" s="192"/>
      <c r="AY113" s="192"/>
      <c r="AZ113" s="192"/>
      <c r="BA113" s="192"/>
      <c r="BB113" s="192"/>
      <c r="BC113" s="167"/>
      <c r="BD113" s="119"/>
      <c r="BE113" s="119"/>
      <c r="BF113" s="1028" t="s">
        <v>1029</v>
      </c>
      <c r="BG113" s="1028"/>
      <c r="BH113" s="1028"/>
      <c r="BI113" s="659"/>
      <c r="BJ113" s="659"/>
    </row>
    <row s="119" customFormat="1" customHeight="1" ht="14.25">
      <c r="A114" s="119"/>
      <c r="B114" s="414"/>
      <c r="C114" s="119"/>
      <c r="D114" s="119"/>
      <c r="E114" s="659">
        <v>15</v>
      </c>
      <c r="F114" s="50" cm="1" t="str">
        <f t="array" ref="F114:F114">OFFSET(E114,-1,1)</f>
        <v>2</v>
      </c>
      <c r="G114" s="118" t="s">
        <v>495</v>
      </c>
      <c r="H114" s="119"/>
      <c r="I114" s="119"/>
      <c r="J114" s="119"/>
      <c r="K114" s="893" t="str">
        <f>F88&amp;"7komm"</f>
        <v>27komm</v>
      </c>
      <c r="L114" s="897" cm="1" t="str">
        <f t="array" ref="L114:L114">BC114</f>
        <v>0</v>
      </c>
      <c r="M114" s="119"/>
      <c r="N114" s="119"/>
      <c r="O114" s="119"/>
      <c r="P114" s="119"/>
      <c r="Q114" s="119"/>
      <c r="R114" s="119"/>
      <c r="S114" s="119"/>
      <c r="T114" s="439" cm="1" t="str">
        <f t="array" ref="T114:T114">T113</f>
        <v>true</v>
      </c>
      <c r="U114" s="119"/>
      <c r="V114" s="119"/>
      <c r="W114" s="119"/>
      <c r="X114" s="1443"/>
      <c r="Y114" s="119"/>
      <c r="Z114" s="1549"/>
      <c r="AA114" s="119"/>
      <c r="AB114" s="178">
        <v>7</v>
      </c>
      <c r="AC114" s="179" t="s">
        <v>1030</v>
      </c>
      <c r="AD114" s="178" t="s">
        <v>784</v>
      </c>
      <c r="AE114" s="192"/>
      <c r="AF114" s="192"/>
      <c r="AG114" s="192"/>
      <c r="AH114" s="192"/>
      <c r="AI114" s="192"/>
      <c r="AJ114" s="2730"/>
      <c r="AK114" s="2730"/>
      <c r="AL114" s="192"/>
      <c r="AM114" s="192"/>
      <c r="AN114" s="192"/>
      <c r="AO114" s="192"/>
      <c r="AP114" s="192"/>
      <c r="AQ114" s="192"/>
      <c r="AR114" s="192"/>
      <c r="AS114" s="192"/>
      <c r="AT114" s="2730"/>
      <c r="AU114" s="2730"/>
      <c r="AV114" s="192"/>
      <c r="AW114" s="192"/>
      <c r="AX114" s="192"/>
      <c r="AY114" s="192"/>
      <c r="AZ114" s="192"/>
      <c r="BA114" s="192"/>
      <c r="BB114" s="192"/>
      <c r="BC114" s="167"/>
      <c r="BD114" s="119"/>
      <c r="BE114" s="119"/>
      <c r="BF114" s="1028" t="s">
        <v>1031</v>
      </c>
      <c r="BG114" s="1028"/>
      <c r="BH114" s="1028"/>
      <c r="BI114" s="659"/>
      <c r="BJ114" s="659"/>
    </row>
    <row s="119" customFormat="1" customHeight="1" ht="14.25">
      <c r="A115" s="119"/>
      <c r="B115" s="414"/>
      <c r="C115" s="119"/>
      <c r="D115" s="119"/>
      <c r="E115" s="659">
        <v>15</v>
      </c>
      <c r="F115" s="50" cm="1" t="str">
        <f t="array" ref="F115:F115">OFFSET(E115,-1,1)</f>
        <v>2</v>
      </c>
      <c r="G115" s="118" t="s">
        <v>541</v>
      </c>
      <c r="H115" s="119"/>
      <c r="I115" s="119"/>
      <c r="J115" s="119"/>
      <c r="K115" s="893" t="str">
        <f>F88&amp;"8komm"</f>
        <v>28komm</v>
      </c>
      <c r="L115" s="897" cm="1" t="str">
        <f t="array" ref="L115:L115">BC115</f>
        <v>0</v>
      </c>
      <c r="M115" s="119"/>
      <c r="N115" s="119"/>
      <c r="O115" s="119"/>
      <c r="P115" s="119"/>
      <c r="Q115" s="119"/>
      <c r="R115" s="119"/>
      <c r="S115" s="119"/>
      <c r="T115" s="439" cm="1" t="str">
        <f t="array" ref="T115:T115">T114</f>
        <v>true</v>
      </c>
      <c r="U115" s="119"/>
      <c r="V115" s="119"/>
      <c r="W115" s="119"/>
      <c r="X115" s="1443"/>
      <c r="Y115" s="119"/>
      <c r="Z115" s="1549"/>
      <c r="AA115" s="119"/>
      <c r="AB115" s="178">
        <v>8</v>
      </c>
      <c r="AC115" s="179" t="s">
        <v>1032</v>
      </c>
      <c r="AD115" s="178" t="s">
        <v>784</v>
      </c>
      <c r="AE115" s="192"/>
      <c r="AF115" s="192"/>
      <c r="AG115" s="192"/>
      <c r="AH115" s="192"/>
      <c r="AI115" s="192"/>
      <c r="AJ115" s="2730"/>
      <c r="AK115" s="2730"/>
      <c r="AL115" s="192"/>
      <c r="AM115" s="192"/>
      <c r="AN115" s="192"/>
      <c r="AO115" s="192"/>
      <c r="AP115" s="192"/>
      <c r="AQ115" s="192"/>
      <c r="AR115" s="192"/>
      <c r="AS115" s="192"/>
      <c r="AT115" s="2730"/>
      <c r="AU115" s="2730"/>
      <c r="AV115" s="192"/>
      <c r="AW115" s="192"/>
      <c r="AX115" s="192"/>
      <c r="AY115" s="192"/>
      <c r="AZ115" s="192"/>
      <c r="BA115" s="192"/>
      <c r="BB115" s="192"/>
      <c r="BC115" s="167"/>
      <c r="BD115" s="119"/>
      <c r="BE115" s="119"/>
      <c r="BF115" s="1028" t="s">
        <v>1033</v>
      </c>
      <c r="BG115" s="1028"/>
      <c r="BH115" s="1028"/>
      <c r="BI115" s="659"/>
      <c r="BJ115" s="659"/>
    </row>
    <row s="119" customFormat="1" customHeight="1" ht="14.25">
      <c r="A116" s="119"/>
      <c r="B116" s="414"/>
      <c r="C116" s="119"/>
      <c r="D116" s="119"/>
      <c r="E116" s="659">
        <v>15</v>
      </c>
      <c r="F116" s="50" cm="1" t="str">
        <f t="array" ref="F116:F116">OFFSET(E116,-1,1)</f>
        <v>2</v>
      </c>
      <c r="G116" s="118"/>
      <c r="H116" s="119"/>
      <c r="I116" s="119"/>
      <c r="J116" s="119"/>
      <c r="K116" s="893" t="str">
        <f>F88&amp;"9komm"</f>
        <v>29komm</v>
      </c>
      <c r="L116" s="897" cm="1" t="str">
        <f t="array" ref="L116:L116">BC116</f>
        <v>0</v>
      </c>
      <c r="M116" s="119"/>
      <c r="N116" s="119"/>
      <c r="O116" s="119"/>
      <c r="P116" s="119"/>
      <c r="Q116" s="119"/>
      <c r="R116" s="119"/>
      <c r="S116" s="119"/>
      <c r="T116" s="439" cm="1" t="str">
        <f t="array" ref="T116:T116">T115</f>
        <v>true</v>
      </c>
      <c r="U116" s="119"/>
      <c r="V116" s="119"/>
      <c r="W116" s="119"/>
      <c r="X116" s="1443"/>
      <c r="Y116" s="119"/>
      <c r="Z116" s="1549"/>
      <c r="AA116" s="119"/>
      <c r="AB116" s="178">
        <v>9</v>
      </c>
      <c r="AC116" s="179" t="s">
        <v>1034</v>
      </c>
      <c r="AD116" s="178" t="s">
        <v>784</v>
      </c>
      <c r="AE116" s="192"/>
      <c r="AF116" s="192"/>
      <c r="AG116" s="192"/>
      <c r="AH116" s="192"/>
      <c r="AI116" s="192"/>
      <c r="AJ116" s="2730"/>
      <c r="AK116" s="2730"/>
      <c r="AL116" s="192"/>
      <c r="AM116" s="192"/>
      <c r="AN116" s="192"/>
      <c r="AO116" s="192"/>
      <c r="AP116" s="192"/>
      <c r="AQ116" s="192"/>
      <c r="AR116" s="192"/>
      <c r="AS116" s="192"/>
      <c r="AT116" s="2730"/>
      <c r="AU116" s="2730"/>
      <c r="AV116" s="192"/>
      <c r="AW116" s="192"/>
      <c r="AX116" s="192"/>
      <c r="AY116" s="192"/>
      <c r="AZ116" s="192"/>
      <c r="BA116" s="192"/>
      <c r="BB116" s="192"/>
      <c r="BC116" s="167"/>
      <c r="BD116" s="119"/>
      <c r="BE116" s="119"/>
      <c r="BF116" s="1028" t="s">
        <v>1035</v>
      </c>
      <c r="BG116" s="1028"/>
      <c r="BH116" s="1028"/>
      <c r="BI116" s="659"/>
      <c r="BJ116" s="659"/>
    </row>
    <row customHeight="1" ht="10.2375">
      <c r="E117" s="658">
        <v>10.5</v>
      </c>
      <c r="U117" s="115" t="s">
        <v>177</v>
      </c>
      <c r="V117" s="106" t="s">
        <v>1036</v>
      </c>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row>
    <row customHeight="1" ht="14.625">
      <c r="E118" s="658">
        <v>15</v>
      </c>
      <c r="AA118" s="64"/>
      <c r="AB118" s="1485" t="s">
        <v>398</v>
      </c>
      <c r="AC118" s="1485"/>
      <c r="AD118" s="1485"/>
      <c r="AE118" s="1485"/>
      <c r="AF118" s="1485"/>
      <c r="AG118" s="1485"/>
      <c r="AH118" s="1485"/>
      <c r="AI118" s="1522"/>
      <c r="AJ118" s="1522"/>
      <c r="AK118" s="1522"/>
      <c r="AL118" s="1522"/>
      <c r="AM118" s="1522"/>
      <c r="AN118" s="1522"/>
      <c r="AO118" s="1522"/>
      <c r="AP118" s="1522"/>
      <c r="AQ118" s="1522"/>
      <c r="AR118" s="1522"/>
      <c r="AS118" s="1522"/>
      <c r="AT118" s="1522"/>
      <c r="AU118" s="1522"/>
      <c r="AV118" s="1522"/>
      <c r="AW118" s="1522"/>
      <c r="AX118" s="1522"/>
      <c r="AY118" s="1522"/>
      <c r="AZ118" s="1522"/>
      <c r="BA118" s="1522"/>
      <c r="BB118" s="1522"/>
      <c r="BC118" s="1522"/>
      <c r="BD118" s="64"/>
    </row>
    <row customHeight="1" ht="14.625">
      <c r="E119" s="658">
        <v>15</v>
      </c>
      <c r="AA119" s="641"/>
      <c r="AB119" s="1524"/>
      <c r="AC119" s="1524"/>
      <c r="AD119" s="1524"/>
      <c r="AE119" s="1524"/>
      <c r="AF119" s="1524"/>
      <c r="AG119" s="1524"/>
      <c r="AH119" s="1524"/>
      <c r="AI119" s="1526"/>
      <c r="AJ119" s="2620"/>
      <c r="AK119" s="2620"/>
      <c r="AL119" s="2620"/>
      <c r="AM119" s="2620"/>
      <c r="AN119" s="2620"/>
      <c r="AO119" s="2620"/>
      <c r="AP119" s="2620"/>
      <c r="AQ119" s="2620"/>
      <c r="AR119" s="2620"/>
      <c r="AS119" s="1526"/>
      <c r="AT119" s="2620"/>
      <c r="AU119" s="2620"/>
      <c r="AV119" s="2620"/>
      <c r="AW119" s="2620"/>
      <c r="AX119" s="2620"/>
      <c r="AY119" s="2620"/>
      <c r="AZ119" s="2620"/>
      <c r="BA119" s="2620"/>
      <c r="BB119" s="2620"/>
      <c r="BC119" s="1526"/>
      <c r="BD119" s="64"/>
    </row>
    <row customHeight="1" ht="14.625" hidden="1">
      <c r="A120" s="118"/>
      <c r="B120" s="413"/>
      <c r="C120" s="118"/>
      <c r="D120" s="118"/>
      <c r="E120" s="658">
        <v>15</v>
      </c>
      <c r="F120" s="118"/>
      <c r="G120" s="118"/>
      <c r="H120" s="118"/>
      <c r="I120" s="118"/>
      <c r="J120" s="118"/>
      <c r="K120" s="893"/>
      <c r="L120" s="118"/>
      <c r="M120" s="118"/>
      <c r="N120" s="118"/>
      <c r="O120" s="118"/>
      <c r="P120" s="118"/>
      <c r="Q120" s="118"/>
      <c r="R120" s="118"/>
      <c r="S120" s="118"/>
      <c r="T120" s="439">
        <f>ROW(W120)&gt;ROW(W$120)</f>
        <v>0</v>
      </c>
      <c r="U120" s="118"/>
      <c r="V120" s="118"/>
      <c r="W120" s="738" t="s">
        <v>173</v>
      </c>
      <c r="X120" s="118"/>
      <c r="Y120" s="118"/>
      <c r="Z120" s="118"/>
      <c r="AA120" s="652" t="s">
        <v>174</v>
      </c>
      <c r="AB120" s="2621" t="s">
        <v>222</v>
      </c>
      <c r="AC120" s="2621"/>
      <c r="AD120" s="2621"/>
      <c r="AE120" s="2621"/>
      <c r="AF120" s="2621"/>
      <c r="AG120" s="2621"/>
      <c r="AH120" s="2621"/>
      <c r="AI120" s="1526"/>
      <c r="AJ120" s="2620"/>
      <c r="AK120" s="2620"/>
      <c r="AL120" s="2620"/>
      <c r="AM120" s="2620"/>
      <c r="AN120" s="2620"/>
      <c r="AO120" s="2620"/>
      <c r="AP120" s="2620"/>
      <c r="AQ120" s="2620"/>
      <c r="AR120" s="2620"/>
      <c r="AS120" s="1526"/>
      <c r="AT120" s="2620"/>
      <c r="AU120" s="2620"/>
      <c r="AV120" s="2620"/>
      <c r="AW120" s="2620"/>
      <c r="AX120" s="2620"/>
      <c r="AY120" s="2620"/>
      <c r="AZ120" s="2620"/>
      <c r="BA120" s="2620"/>
      <c r="BB120" s="2620"/>
      <c r="BC120" s="2620"/>
      <c r="BD120" s="64"/>
      <c r="BE120" s="118"/>
      <c r="BF120" s="1025"/>
      <c r="BG120" s="1025"/>
      <c r="BH120" s="1025"/>
      <c r="BI120" s="658"/>
      <c r="BJ120" s="658"/>
    </row>
    <row customHeight="1" ht="14.625">
      <c r="E121" s="658">
        <v>15</v>
      </c>
      <c r="W121" s="738" t="s">
        <v>399</v>
      </c>
      <c r="AA121" s="64"/>
      <c r="AB121" s="662"/>
      <c r="AC121" s="488" t="s">
        <v>400</v>
      </c>
      <c r="AD121" s="277"/>
      <c r="AE121" s="277"/>
      <c r="AF121" s="278"/>
      <c r="AG121" s="278"/>
      <c r="AH121" s="278"/>
      <c r="AI121" s="278"/>
      <c r="AJ121" s="278"/>
      <c r="AK121" s="278"/>
      <c r="AL121" s="278"/>
      <c r="AM121" s="278"/>
      <c r="AN121" s="278"/>
      <c r="AO121" s="278"/>
      <c r="AP121" s="278"/>
      <c r="AQ121" s="278"/>
      <c r="AR121" s="278"/>
      <c r="AS121" s="278"/>
      <c r="AT121" s="278"/>
      <c r="AU121" s="278"/>
      <c r="AV121" s="278"/>
      <c r="AW121" s="278"/>
      <c r="AX121" s="278"/>
      <c r="AY121" s="278"/>
      <c r="AZ121" s="278"/>
      <c r="BA121" s="278"/>
      <c r="BB121" s="278"/>
      <c r="BC121" s="279"/>
      <c r="BD121" s="64"/>
    </row>
    <row customHeight="1" ht="10.96875">
      <c r="E122" s="658">
        <v>11.25</v>
      </c>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D122" s="399"/>
    </row>
  </sheetData>
  <sheetProtection formatColumns="0" formatRows="0" insertRows="0" deleteColumns="0" deleteRows="0" sort="0" autoFilter="0" insertColumns="1"/>
  <mergeCells count="43">
    <mergeCell ref="AB120:BC120"/>
    <mergeCell ref="AB118:BC118"/>
    <mergeCell ref="AB119:BC11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 ref="X87:X116"/>
    <mergeCell ref="Z87:Z116"/>
    <mergeCell ref="Y89:Y91"/>
    <mergeCell ref="AA89:AA91"/>
    <mergeCell ref="Y94:Y96"/>
    <mergeCell ref="AA94:AA96"/>
    <mergeCell ref="Y99:Y101"/>
    <mergeCell ref="AA99:AA101"/>
    <mergeCell ref="Y104:Y106"/>
    <mergeCell ref="AA104:AA106"/>
    <mergeCell ref="Y109:Y111"/>
    <mergeCell ref="AA109:AA11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C6D338-47DD-6155-F7A8-BE109DFBF398}" mc:Ignorable="x14ac xr xr2 xr3">
  <sheetPr>
    <tabColor rgb="FF002060"/>
    <outlinePr summaryBelow="0"/>
    <pageSetUpPr fitToPage="1"/>
  </sheetPr>
  <dimension ref="A1:AR10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6" style="676" width="3.57421875" hidden="1" customWidth="1"/>
    <col min="7" max="7" style="1006" width="9.8515625" hidden="1" customWidth="1"/>
    <col min="8" max="10" style="676" width="3.57421875" hidden="1" customWidth="1"/>
    <col min="11" max="11" style="1006" width="6.421875" hidden="1" customWidth="1"/>
    <col min="12" max="12" style="1006" width="3.57421875" hidden="1" customWidth="1"/>
    <col min="13" max="17" style="676" width="3.57421875" hidden="1" customWidth="1"/>
    <col min="18" max="18" style="729" width="3.57421875" hidden="1" customWidth="1"/>
    <col min="19" max="19" style="676" width="3.57421875" hidden="1" customWidth="1"/>
    <col min="20" max="20" style="676" width="11.1406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6.7109375" customWidth="1"/>
    <col min="30" max="30" style="676" width="12.00390625" customWidth="1"/>
    <col min="31" max="36" style="676" width="13.00390625" customWidth="1"/>
    <col min="37" max="37" style="676" width="20.00390625" customWidth="1"/>
    <col min="38" max="38" style="676" width="3.00390625" customWidth="1"/>
    <col min="39" max="39" style="676" width="9.140625" hidden="1"/>
    <col min="40" max="42" style="1061" width="9.140625" hidden="1"/>
    <col min="43" max="44" style="697" width="9.140625" hidden="1"/>
  </cols>
  <sheetData>
    <row customHeight="1" ht="11.25" hidden="1">
      <c r="E1" s="64"/>
      <c r="F1" s="64" t="s">
        <v>313</v>
      </c>
      <c r="H1" s="64" t="s">
        <v>324</v>
      </c>
      <c r="I1" s="64" t="s">
        <v>351</v>
      </c>
      <c r="T1" s="439" t="s">
        <v>92</v>
      </c>
      <c r="U1" s="439" t="s">
        <v>97</v>
      </c>
      <c r="V1" s="439" t="s">
        <v>93</v>
      </c>
      <c r="W1" s="439" t="s">
        <v>94</v>
      </c>
      <c r="X1" s="439" t="s">
        <v>95</v>
      </c>
      <c r="Y1" s="441" t="s">
        <v>315</v>
      </c>
      <c r="Z1" s="439" t="s">
        <v>99</v>
      </c>
      <c r="AA1" s="441" t="s">
        <v>96</v>
      </c>
      <c r="AB1" s="388"/>
      <c r="AC1" s="440" t="s">
        <v>98</v>
      </c>
      <c r="AI1" s="676"/>
      <c r="AJ1" s="676"/>
      <c r="AN1" s="998" t="s">
        <v>316</v>
      </c>
      <c r="AO1" s="998" t="s">
        <v>317</v>
      </c>
      <c r="AP1" s="998" t="s">
        <v>318</v>
      </c>
      <c r="AQ1" s="611" t="s">
        <v>321</v>
      </c>
      <c r="AR1" s="611" t="s">
        <v>322</v>
      </c>
    </row>
    <row s="1176" customFormat="1" customHeight="1" ht="11.25" hidden="1">
      <c r="B2" s="418" t="s">
        <v>18</v>
      </c>
      <c r="G2" s="459"/>
      <c r="K2" s="459"/>
      <c r="L2" s="459"/>
      <c r="AI2" s="419">
        <f>AI11&lt;=last_year_vis</f>
        <v>1</v>
      </c>
      <c r="AJ2" s="419">
        <f>AJ11&lt;=last_year_vis</f>
        <v>1</v>
      </c>
      <c r="AN2" s="999"/>
      <c r="AO2" s="999"/>
      <c r="AP2" s="999"/>
      <c r="AQ2" s="1013"/>
      <c r="AR2" s="1013"/>
    </row>
    <row customHeight="1" ht="11.25" hidden="1">
      <c r="E3" s="64"/>
      <c r="AI3" s="676"/>
      <c r="AJ3" s="676"/>
    </row>
    <row customHeight="1" ht="11.25" hidden="1">
      <c r="E4" s="64"/>
      <c r="AI4" s="676"/>
      <c r="AJ4" s="676"/>
    </row>
    <row s="697" customFormat="1" customHeight="1" ht="11.25" hidden="1">
      <c r="A5" s="64"/>
      <c r="B5" s="400"/>
      <c r="C5" s="64"/>
      <c r="D5" s="64"/>
      <c r="E5" s="611" t="s">
        <v>19</v>
      </c>
      <c r="G5" s="667"/>
      <c r="K5" s="667"/>
      <c r="L5" s="667"/>
      <c r="R5" s="596"/>
      <c r="AA5" s="611">
        <v>3</v>
      </c>
      <c r="AB5" s="611">
        <v>11</v>
      </c>
      <c r="AC5" s="611">
        <v>56.71</v>
      </c>
      <c r="AD5" s="611">
        <v>12</v>
      </c>
      <c r="AE5" s="611">
        <v>13</v>
      </c>
      <c r="AF5" s="611">
        <v>13</v>
      </c>
      <c r="AG5" s="611">
        <v>13</v>
      </c>
      <c r="AH5" s="611">
        <v>13</v>
      </c>
      <c r="AI5" s="611">
        <v>13</v>
      </c>
      <c r="AJ5" s="611">
        <v>13</v>
      </c>
      <c r="AK5" s="611">
        <v>20</v>
      </c>
      <c r="AL5" s="611">
        <v>3</v>
      </c>
      <c r="AN5" s="998"/>
      <c r="AO5" s="998"/>
      <c r="AP5" s="998"/>
    </row>
    <row customHeight="1" ht="11.25" hidden="1">
      <c r="AI6" s="676"/>
      <c r="AJ6" s="676"/>
    </row>
    <row s="1061" customFormat="1" customHeight="1" ht="11.25" hidden="1">
      <c r="A7" s="998" t="s">
        <v>359</v>
      </c>
      <c r="B7" s="999"/>
      <c r="G7" s="1015"/>
      <c r="K7" s="1015"/>
      <c r="L7" s="1015"/>
      <c r="R7" s="1000"/>
      <c r="AE7" s="998" cm="1" t="str">
        <f t="array" ref="AE7:AE7">AE11</f>
        <v>2024</v>
      </c>
      <c r="AF7" s="998" cm="1" t="str">
        <f t="array" ref="AF7:AF7">AF11</f>
        <v>2024</v>
      </c>
      <c r="AG7" s="998" cm="1" t="str">
        <f t="array" ref="AG7:AG7">AG11</f>
        <v>2024</v>
      </c>
      <c r="AH7" s="998" cm="1" t="str">
        <f t="array" ref="AH7:AH7">AH11</f>
        <v>2025</v>
      </c>
      <c r="AI7" s="998" cm="1" t="str">
        <f t="array" ref="AI7:AI7">AI11</f>
        <v>2026</v>
      </c>
      <c r="AJ7" s="998" cm="1" t="str">
        <f t="array" ref="AJ7:AJ7">AJ11</f>
        <v>2026</v>
      </c>
      <c r="AQ7" s="611"/>
      <c r="AR7" s="611"/>
    </row>
    <row s="1061" customFormat="1" customHeight="1" ht="11.25" hidden="1">
      <c r="A8" s="998" t="s">
        <v>360</v>
      </c>
      <c r="B8" s="999"/>
      <c r="G8" s="1015"/>
      <c r="K8" s="1015"/>
      <c r="L8" s="1015"/>
      <c r="R8" s="1000"/>
      <c r="AE8" s="998" cm="1" t="str">
        <f t="array" ref="AE8:AE8">AE25</f>
        <v>Принято органом регулирования</v>
      </c>
      <c r="AF8" s="998" cm="1" t="str">
        <f t="array" ref="AF8:AF8">AF25</f>
        <v>Факт по данным организации</v>
      </c>
      <c r="AG8" s="998" cm="1" t="str">
        <f t="array" ref="AG8:AG8">AG25</f>
        <v>Факт, принятый органом регулирования</v>
      </c>
      <c r="AH8" s="998" cm="1" t="str">
        <f t="array" ref="AH8:AH8">AH25</f>
        <v>Принято органом регулирования</v>
      </c>
      <c r="AI8" s="998" cm="1" t="str">
        <f t="array" ref="AI8:AI8">AI25</f>
        <v>Предложение организации</v>
      </c>
      <c r="AJ8" s="998" cm="1" t="str">
        <f t="array" ref="AJ8:AJ8">AJ25</f>
        <v>Принято органом регулирования</v>
      </c>
      <c r="AQ8" s="611"/>
      <c r="AR8" s="611"/>
    </row>
    <row s="1061" customFormat="1" customHeight="1" ht="11.25" hidden="1">
      <c r="A9" s="998" t="s">
        <v>361</v>
      </c>
      <c r="B9" s="999"/>
      <c r="G9" s="1015"/>
      <c r="K9" s="1015"/>
      <c r="L9" s="1015"/>
      <c r="R9" s="1000"/>
      <c r="AI9" s="1061"/>
      <c r="AJ9" s="1061"/>
      <c r="AK9" s="998" cm="1" t="str">
        <f t="array" ref="AK9:AK9">AK24</f>
        <v>Ссылка на правовую норму (основание для принятия показателя в расчет тарифа)</v>
      </c>
      <c r="AQ9" s="611"/>
      <c r="AR9" s="611"/>
    </row>
    <row s="1061" customFormat="1" customHeight="1" ht="11.25" hidden="1">
      <c r="A10" s="998" t="s">
        <v>331</v>
      </c>
      <c r="B10" s="999"/>
      <c r="G10" s="1015"/>
      <c r="K10" s="1015"/>
      <c r="L10" s="1015"/>
      <c r="R10" s="1000"/>
      <c r="AC10" s="998" t="s">
        <v>318</v>
      </c>
      <c r="AI10" s="1061"/>
      <c r="AJ10" s="1061"/>
      <c r="AQ10" s="611"/>
      <c r="AR10" s="611"/>
    </row>
    <row customHeight="1" ht="11.25" hidden="1">
      <c r="A11" s="64" t="s">
        <v>354</v>
      </c>
      <c r="AE11" s="64">
        <f>god-2</f>
        <v>2024</v>
      </c>
      <c r="AF11" s="64">
        <f>god-2</f>
        <v>2024</v>
      </c>
      <c r="AG11" s="64">
        <f>god-2</f>
        <v>2024</v>
      </c>
      <c r="AH11" s="64">
        <f>god-1</f>
        <v>2025</v>
      </c>
      <c r="AI11" s="64" cm="1" t="str">
        <f t="array" ref="AI11:AI11">god</f>
        <v>2026</v>
      </c>
      <c r="AJ11" s="64" cm="1" t="str">
        <f t="array" ref="AJ11:AJ11">god</f>
        <v>2026</v>
      </c>
      <c r="AK11" s="118"/>
    </row>
    <row customHeight="1" ht="11.25" hidden="1">
      <c r="A12" s="64" t="s">
        <v>355</v>
      </c>
      <c r="AE12" s="88" cm="1" t="str">
        <f t="array" ref="AE12:AE12">AE25</f>
        <v>Принято органом регулирования</v>
      </c>
      <c r="AF12" s="88" cm="1" t="str">
        <f t="array" ref="AF12:AF12">AF25</f>
        <v>Факт по данным организации</v>
      </c>
      <c r="AG12" s="88" cm="1" t="str">
        <f t="array" ref="AG12:AG12">AG25</f>
        <v>Факт, принятый органом регулирования</v>
      </c>
      <c r="AH12" s="88" cm="1" t="str">
        <f t="array" ref="AH12:AH12">AH25</f>
        <v>Принято органом регулирования</v>
      </c>
      <c r="AI12" s="88" cm="1" t="str">
        <f t="array" ref="AI12:AI12">AI25</f>
        <v>Предложение организации</v>
      </c>
      <c r="AJ12" s="88" cm="1" t="str">
        <f t="array" ref="AJ12:AJ12">AJ25</f>
        <v>Принято органом регулирования</v>
      </c>
    </row>
    <row customHeight="1" ht="11.25" hidden="1">
      <c r="AE13" s="88" t="str">
        <f>AE11&amp;AE12</f>
        <v>2024Принято органом регулирования</v>
      </c>
      <c r="AF13" s="88" t="str">
        <f>AF11&amp;AF12</f>
        <v>2024Факт по данным организации</v>
      </c>
      <c r="AG13" s="88" t="str">
        <f>AG11&amp;AG12</f>
        <v>2024Факт, принятый органом регулирования</v>
      </c>
      <c r="AH13" s="88" t="str">
        <f>AH11&amp;AH12</f>
        <v>2025Принято органом регулирования</v>
      </c>
      <c r="AI13" s="88" t="str">
        <f>AI11&amp;AI12</f>
        <v>2026Предложение организации</v>
      </c>
      <c r="AJ13" s="88" t="str">
        <f>AJ11&amp;AJ12</f>
        <v>2026Принято органом регулирования</v>
      </c>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18" s="64" t="s">
        <v>332</v>
      </c>
      <c r="AC18" s="64" t="s">
        <v>194</v>
      </c>
      <c r="AI18" s="676"/>
      <c r="AJ18" s="676"/>
    </row>
    <row customHeight="1" ht="11.25" hidden="1">
      <c r="AI19" s="676"/>
      <c r="AJ19" s="676"/>
    </row>
    <row customHeight="1" ht="11.25" hidden="1">
      <c r="AI20" s="676"/>
      <c r="AJ20" s="676"/>
    </row>
    <row customHeight="1" ht="14.625">
      <c r="E21" s="611">
        <v>15</v>
      </c>
      <c r="AA21" s="637"/>
      <c r="AC21" s="50" cm="1" t="str">
        <f t="array" ref="AC21:AC21">tpl_title</f>
        <v>Кемеровская область / 2026 / Филиал АО "УК "Кузбассразрезуголь" "Талдинский угольный разрез" (ИНН:4205049090, КПП:423802002) / ДПР: 2024-2028</v>
      </c>
      <c r="AI21" s="676"/>
      <c r="AJ21" s="676"/>
    </row>
    <row s="1168" customFormat="1" customHeight="1" ht="19.74375">
      <c r="B22" s="400"/>
      <c r="E22" s="612">
        <v>20.25</v>
      </c>
      <c r="G22" s="458"/>
      <c r="K22" s="458"/>
      <c r="L22" s="458"/>
      <c r="R22" s="50"/>
      <c r="AB22" s="286" t="s">
        <v>1037</v>
      </c>
      <c r="AC22" s="317"/>
      <c r="AD22" s="317"/>
      <c r="AE22" s="317"/>
      <c r="AF22" s="317"/>
      <c r="AG22" s="317"/>
      <c r="AH22" s="317"/>
      <c r="AI22" s="317"/>
      <c r="AJ22" s="317"/>
      <c r="AK22" s="317"/>
      <c r="AN22" s="1001"/>
      <c r="AO22" s="1001"/>
      <c r="AP22" s="1001"/>
      <c r="AQ22" s="612"/>
      <c r="AR22" s="612"/>
    </row>
    <row s="1168" customFormat="1" customHeight="1" ht="10.96875">
      <c r="B23" s="400"/>
      <c r="C23" s="467"/>
      <c r="D23" s="467"/>
      <c r="E23" s="822">
        <v>11.25</v>
      </c>
      <c r="F23" s="467"/>
      <c r="G23" s="467"/>
      <c r="H23" s="467"/>
      <c r="I23" s="467"/>
      <c r="J23" s="467"/>
      <c r="K23" s="458"/>
      <c r="L23" s="458"/>
      <c r="M23" s="467"/>
      <c r="N23" s="467"/>
      <c r="O23" s="467"/>
      <c r="P23" s="467"/>
      <c r="Q23" s="467"/>
      <c r="R23" s="341"/>
      <c r="S23" s="467"/>
      <c r="T23" s="467"/>
      <c r="U23" s="467"/>
      <c r="V23" s="467"/>
      <c r="W23" s="467"/>
      <c r="X23" s="467"/>
      <c r="Y23" s="467"/>
      <c r="Z23" s="467"/>
      <c r="AA23" s="467"/>
      <c r="AB23" s="843"/>
      <c r="AC23" s="844"/>
      <c r="AD23" s="844"/>
      <c r="AE23" s="844"/>
      <c r="AF23" s="844"/>
      <c r="AG23" s="844"/>
      <c r="AH23" s="844"/>
      <c r="AI23" s="844"/>
      <c r="AJ23" s="844"/>
      <c r="AK23" s="844"/>
      <c r="AN23" s="1001"/>
      <c r="AO23" s="1001"/>
      <c r="AP23" s="1001"/>
      <c r="AQ23" s="612"/>
      <c r="AR23" s="612"/>
    </row>
    <row s="1187" customFormat="1" customHeight="1" ht="14.625">
      <c r="B24" s="402"/>
      <c r="C24" s="547"/>
      <c r="D24" s="547"/>
      <c r="E24" s="845">
        <v>15</v>
      </c>
      <c r="F24" s="547"/>
      <c r="G24" s="547"/>
      <c r="H24" s="547"/>
      <c r="I24" s="547"/>
      <c r="J24" s="547"/>
      <c r="K24" s="460"/>
      <c r="L24" s="460"/>
      <c r="M24" s="547"/>
      <c r="N24" s="547"/>
      <c r="O24" s="547"/>
      <c r="P24" s="547"/>
      <c r="Q24" s="547"/>
      <c r="R24" s="341"/>
      <c r="S24" s="547"/>
      <c r="T24" s="547"/>
      <c r="U24" s="547"/>
      <c r="V24" s="547"/>
      <c r="W24" s="547"/>
      <c r="X24" s="547"/>
      <c r="Y24" s="547"/>
      <c r="Z24" s="547"/>
      <c r="AA24" s="547"/>
      <c r="AB24" s="1485" t="s">
        <v>766</v>
      </c>
      <c r="AC24" s="1537" t="s">
        <v>194</v>
      </c>
      <c r="AD24" s="1485" t="s">
        <v>363</v>
      </c>
      <c r="AE24" s="747" t="str">
        <f>god-2&amp;" год"</f>
        <v>2024 год</v>
      </c>
      <c r="AF24" s="1108" t="str">
        <f>god-2&amp;" год"</f>
        <v>2024 год</v>
      </c>
      <c r="AG24" s="747" t="str">
        <f>god-2&amp;" год"</f>
        <v>2024 год</v>
      </c>
      <c r="AH24" s="747" t="str">
        <f>god-1&amp;" год"</f>
        <v>2025 год</v>
      </c>
      <c r="AI24" s="1109" t="str">
        <f>god&amp;" год"</f>
        <v>2026 год</v>
      </c>
      <c r="AJ24" s="846" t="str">
        <f>god&amp;" год"</f>
        <v>2026 год</v>
      </c>
      <c r="AK24" s="1485" t="s">
        <v>507</v>
      </c>
      <c r="AN24" s="996"/>
      <c r="AO24" s="996"/>
      <c r="AP24" s="996"/>
      <c r="AQ24" s="609"/>
      <c r="AR24" s="609"/>
    </row>
    <row s="1187" customFormat="1" customHeight="1" ht="44.118750000000006">
      <c r="B25" s="402"/>
      <c r="C25" s="547"/>
      <c r="D25" s="547"/>
      <c r="E25" s="845">
        <v>45.25</v>
      </c>
      <c r="F25" s="547"/>
      <c r="G25" s="547"/>
      <c r="H25" s="547"/>
      <c r="I25" s="547"/>
      <c r="J25" s="547"/>
      <c r="K25" s="460"/>
      <c r="L25" s="460"/>
      <c r="M25" s="547"/>
      <c r="N25" s="547"/>
      <c r="O25" s="547"/>
      <c r="P25" s="547"/>
      <c r="Q25" s="547"/>
      <c r="R25" s="341"/>
      <c r="S25" s="547"/>
      <c r="T25" s="547"/>
      <c r="U25" s="547"/>
      <c r="V25" s="547"/>
      <c r="W25" s="547"/>
      <c r="X25" s="547"/>
      <c r="Y25" s="547"/>
      <c r="Z25" s="547"/>
      <c r="AA25" s="547"/>
      <c r="AB25" s="1555"/>
      <c r="AC25" s="1555"/>
      <c r="AD25" s="1555"/>
      <c r="AE25" s="747" t="s">
        <v>356</v>
      </c>
      <c r="AF25" s="1108" t="s">
        <v>431</v>
      </c>
      <c r="AG25" s="747" t="s">
        <v>432</v>
      </c>
      <c r="AH25" s="747" t="s">
        <v>356</v>
      </c>
      <c r="AI25" s="1110" t="s">
        <v>357</v>
      </c>
      <c r="AJ25" s="847" t="s">
        <v>356</v>
      </c>
      <c r="AK25" s="1555"/>
      <c r="AN25" s="996"/>
      <c r="AO25" s="996"/>
      <c r="AP25" s="996"/>
      <c r="AQ25" s="609"/>
      <c r="AR25" s="609"/>
    </row>
    <row s="1621" customFormat="1" customHeight="1" ht="11.25" hidden="1">
      <c r="A26" s="443"/>
      <c r="B26" s="638"/>
      <c r="C26" s="456"/>
      <c r="D26" s="456"/>
      <c r="E26" s="848">
        <v>0</v>
      </c>
      <c r="F26" s="456"/>
      <c r="G26" s="456"/>
      <c r="H26" s="456"/>
      <c r="I26" s="456"/>
      <c r="J26" s="456"/>
      <c r="K26" s="896"/>
      <c r="L26" s="896"/>
      <c r="M26" s="456"/>
      <c r="N26" s="456"/>
      <c r="O26" s="456"/>
      <c r="P26" s="456"/>
      <c r="Q26" s="456"/>
      <c r="R26" s="456"/>
      <c r="S26" s="456"/>
      <c r="T26" s="456"/>
      <c r="U26" s="456"/>
      <c r="V26" s="456"/>
      <c r="W26" s="456"/>
      <c r="X26" s="456"/>
      <c r="Y26" s="456"/>
      <c r="Z26" s="456"/>
      <c r="AA26" s="456"/>
      <c r="AB26" s="456"/>
      <c r="AC26" s="456"/>
      <c r="AD26" s="456"/>
      <c r="AE26" s="456"/>
      <c r="AF26" s="456"/>
      <c r="AG26" s="0"/>
      <c r="AH26" s="0"/>
      <c r="AI26" s="0"/>
      <c r="AJ26" s="0"/>
      <c r="AK26" s="0"/>
      <c r="AN26" s="1002"/>
      <c r="AO26" s="1002"/>
      <c r="AP26" s="1002"/>
      <c r="AQ26" s="990"/>
      <c r="AR26" s="666"/>
    </row>
    <row s="1484" customFormat="1" customHeight="1" ht="14.625" hidden="1">
      <c r="A27" s="1484"/>
      <c r="B27" s="402"/>
      <c r="C27" s="849"/>
      <c r="D27" s="849"/>
      <c r="E27" s="850">
        <v>15</v>
      </c>
      <c r="F27" s="467" cm="1" t="str">
        <f t="array" ref="F27:F27">X27</f>
        <v>0</v>
      </c>
      <c r="G27" s="821" t="s">
        <v>60</v>
      </c>
      <c r="H27" s="821"/>
      <c r="I27" s="821"/>
      <c r="J27" s="849"/>
      <c r="K27" s="457"/>
      <c r="L27" s="457"/>
      <c r="M27" s="849"/>
      <c r="N27" s="849"/>
      <c r="O27" s="849"/>
      <c r="P27" s="849"/>
      <c r="Q27" s="849"/>
      <c r="R27" s="849"/>
      <c r="S27" s="849"/>
      <c r="T27" s="439">
        <f>X27&gt;0</f>
        <v>0</v>
      </c>
      <c r="U27" s="849"/>
      <c r="V27" s="849" t="s">
        <v>261</v>
      </c>
      <c r="W27" s="849"/>
      <c r="X27" s="1553">
        <v>0</v>
      </c>
      <c r="Y27" s="849"/>
      <c r="Z27" s="1554"/>
      <c r="AA27" s="849"/>
      <c r="AB27" s="209" cm="1" t="str">
        <f t="array" ref="AB27:AB27">INDEX('Общие сведения'!$AG$179:$AG$222,MATCH($X27,'Общие сведения'!$Z$179:$Z$222,0))</f>
        <v>Тариф 0 () - </v>
      </c>
      <c r="AC27" s="851"/>
      <c r="AD27" s="851"/>
      <c r="AE27" s="852">
        <f>AE28+AE33+AE34+AE39+AE40+AE45+AE46+AE51</f>
        <v>0</v>
      </c>
      <c r="AF27" s="852">
        <f>AF28+AF33+AF34+AF39+AF40+AF45+AF46+AF51</f>
        <v>0</v>
      </c>
      <c r="AG27" s="852">
        <f>AG28+AG33+AG34+AG39+AG40+AG45+AG46+AG51</f>
        <v>0</v>
      </c>
      <c r="AH27" s="852">
        <f>AH28+AH33+AH34+AH39+AH40+AH45+AH46+AH51</f>
        <v>0</v>
      </c>
      <c r="AI27" s="852">
        <f>AI28+AI33+AI34+AI39+AI40+AI45+AI46+AI51</f>
        <v>0</v>
      </c>
      <c r="AJ27" s="852">
        <f>AJ28+AJ33+AJ34+AJ39+AJ40+AJ45+AJ46+AJ51</f>
        <v>0</v>
      </c>
      <c r="AK27" s="852"/>
      <c r="AL27" s="1484"/>
      <c r="AM27" s="1484"/>
      <c r="AN27" s="1014"/>
      <c r="AO27" s="1014"/>
      <c r="AP27" s="1014"/>
      <c r="AQ27" s="234"/>
      <c r="AR27" s="234"/>
    </row>
    <row s="1484" customFormat="1" customHeight="1" ht="21.9375" hidden="1">
      <c r="A28" s="1484"/>
      <c r="B28" s="402"/>
      <c r="C28" s="849"/>
      <c r="D28" s="849"/>
      <c r="E28" s="850">
        <v>22.5</v>
      </c>
      <c r="F28" s="50" cm="1" t="str">
        <f t="array" ref="F28:F28">OFFSET(E28,-1,1)</f>
        <v>0</v>
      </c>
      <c r="G28" s="341" t="s">
        <v>1038</v>
      </c>
      <c r="H28" s="821" t="s">
        <v>325</v>
      </c>
      <c r="I28" s="821"/>
      <c r="J28" s="849"/>
      <c r="K28" s="457" t="str">
        <f>F28&amp;"1komm"</f>
        <v>01komm</v>
      </c>
      <c r="L28" s="899" cm="1" t="str">
        <f t="array" ref="L28:L28">AK28</f>
        <v>0</v>
      </c>
      <c r="M28" s="849"/>
      <c r="N28" s="849"/>
      <c r="O28" s="849"/>
      <c r="P28" s="849"/>
      <c r="Q28" s="849"/>
      <c r="R28" s="849"/>
      <c r="S28" s="849"/>
      <c r="T28" s="439" cm="1" t="str">
        <f t="array" ref="T28:T28">T27</f>
        <v>false</v>
      </c>
      <c r="U28" s="849"/>
      <c r="V28" s="849"/>
      <c r="W28" s="849"/>
      <c r="X28" s="1553"/>
      <c r="Y28" s="849"/>
      <c r="Z28" s="1554"/>
      <c r="AA28" s="849"/>
      <c r="AB28" s="670">
        <v>1</v>
      </c>
      <c r="AC28" s="829" t="s">
        <v>1039</v>
      </c>
      <c r="AD28" s="747" t="s">
        <v>784</v>
      </c>
      <c r="AE28" s="3044"/>
      <c r="AF28" s="3044"/>
      <c r="AG28" s="3044"/>
      <c r="AH28" s="3044"/>
      <c r="AI28" s="180">
        <f>_xlfn.SUMIFS(AI29:AI32,$AD29:$AD32,$AD28)</f>
        <v>0</v>
      </c>
      <c r="AJ28" s="180">
        <f>_xlfn.SUMIFS(AJ29:AJ32,$AD29:$AD32,$AD28)</f>
        <v>0</v>
      </c>
      <c r="AK28" s="1771"/>
      <c r="AL28" s="1484"/>
      <c r="AM28" s="1484"/>
      <c r="AN28" s="1014" t="s">
        <v>1040</v>
      </c>
      <c r="AO28" s="1014"/>
      <c r="AP28" s="1014"/>
      <c r="AQ28" s="234"/>
      <c r="AR28" s="234"/>
    </row>
    <row s="1484" customFormat="1" customHeight="1" ht="18.28125" hidden="1">
      <c r="A29" s="1484"/>
      <c r="B29" s="402"/>
      <c r="C29" s="849"/>
      <c r="D29" s="849"/>
      <c r="E29" s="850">
        <v>18.75</v>
      </c>
      <c r="F29" s="50" cm="1" t="str">
        <f t="array" ref="F29:F29">OFFSET(E29,-1,1)</f>
        <v>0</v>
      </c>
      <c r="G29" s="821"/>
      <c r="H29" s="821" t="s">
        <v>325</v>
      </c>
      <c r="I29" s="821" cm="1" t="str">
        <f t="array" ref="I29:I29">AC29</f>
        <v>0</v>
      </c>
      <c r="J29" s="849"/>
      <c r="K29" s="457"/>
      <c r="L29" s="457"/>
      <c r="M29" s="849"/>
      <c r="N29" s="849"/>
      <c r="O29" s="849"/>
      <c r="P29" s="849"/>
      <c r="Q29" s="849"/>
      <c r="R29" s="849"/>
      <c r="S29" s="849"/>
      <c r="T29" s="439">
        <f>AND(F29&gt;0,Y29&gt;0)</f>
        <v>0</v>
      </c>
      <c r="U29" s="849"/>
      <c r="V29" s="849"/>
      <c r="W29" s="849" t="s">
        <v>173</v>
      </c>
      <c r="X29" s="1553"/>
      <c r="Y29" s="1553">
        <v>0</v>
      </c>
      <c r="Z29" s="1554"/>
      <c r="AA29" s="1551" t="s">
        <v>174</v>
      </c>
      <c r="AB29" s="267" t="str">
        <f>"1."&amp;Y29</f>
        <v>1.0</v>
      </c>
      <c r="AC29" s="3046"/>
      <c r="AD29" s="747" t="s">
        <v>784</v>
      </c>
      <c r="AE29" s="3047"/>
      <c r="AF29" s="3047"/>
      <c r="AG29" s="3047"/>
      <c r="AH29" s="3047"/>
      <c r="AI29" s="753">
        <f>AI30*AI31*12/1000</f>
        <v>0</v>
      </c>
      <c r="AJ29" s="753">
        <f>AJ30*AJ31*12/1000</f>
        <v>0</v>
      </c>
      <c r="AK29" s="1771"/>
      <c r="AL29" s="1484"/>
      <c r="AM29" s="1484"/>
      <c r="AN29" s="1014" t="s">
        <v>1041</v>
      </c>
      <c r="AO29" s="1014" t="s">
        <v>1042</v>
      </c>
      <c r="AP29" s="1014" cm="1" t="str">
        <f t="array" ref="AP29:AP29">AC29</f>
        <v>0</v>
      </c>
      <c r="AQ29" s="234"/>
      <c r="AR29" s="234" t="b">
        <v>1</v>
      </c>
    </row>
    <row s="1484" customFormat="1" customHeight="1" ht="14.625" hidden="1">
      <c r="A30" s="1484"/>
      <c r="B30" s="402"/>
      <c r="C30" s="849"/>
      <c r="D30" s="849"/>
      <c r="E30" s="850">
        <v>15</v>
      </c>
      <c r="F30" s="50" cm="1" t="str">
        <f t="array" ref="F30:F30">OFFSET(E30,-1,1)</f>
        <v>0</v>
      </c>
      <c r="G30" s="854" t="s">
        <v>1043</v>
      </c>
      <c r="H30" s="821" t="str">
        <f>H29&amp;"_1"</f>
        <v>l1_1</v>
      </c>
      <c r="I30" s="821" cm="1" t="str">
        <f t="array" ref="I30:I30">I29</f>
        <v>0</v>
      </c>
      <c r="J30" s="849"/>
      <c r="K30" s="457"/>
      <c r="L30" s="457"/>
      <c r="M30" s="849"/>
      <c r="N30" s="849"/>
      <c r="O30" s="849"/>
      <c r="P30" s="849"/>
      <c r="Q30" s="849"/>
      <c r="R30" s="849"/>
      <c r="S30" s="849"/>
      <c r="T30" s="439" cm="1" t="str">
        <f t="array" ref="T30:T30">T29</f>
        <v>false</v>
      </c>
      <c r="U30" s="849"/>
      <c r="V30" s="849"/>
      <c r="W30" s="849"/>
      <c r="X30" s="1553"/>
      <c r="Y30" s="1553"/>
      <c r="Z30" s="1554"/>
      <c r="AA30" s="1551"/>
      <c r="AB30" s="670" t="str">
        <f>AB29&amp;".1"</f>
        <v>1.0.1</v>
      </c>
      <c r="AC30" s="746" t="s">
        <v>1044</v>
      </c>
      <c r="AD30" s="747" t="s">
        <v>1045</v>
      </c>
      <c r="AE30" s="3047"/>
      <c r="AF30" s="3047"/>
      <c r="AG30" s="3047"/>
      <c r="AH30" s="3047"/>
      <c r="AI30" s="265"/>
      <c r="AJ30" s="265"/>
      <c r="AK30" s="1771"/>
      <c r="AL30" s="1484"/>
      <c r="AM30" s="1484"/>
      <c r="AN30" s="1014" t="s">
        <v>1046</v>
      </c>
      <c r="AO30" s="1014" t="s">
        <v>1042</v>
      </c>
      <c r="AP30" s="1014" cm="1" t="str">
        <f t="array" ref="AP30:AP30">AP29</f>
        <v>0</v>
      </c>
      <c r="AQ30" s="234"/>
      <c r="AR30" s="234"/>
    </row>
    <row s="1484" customFormat="1" customHeight="1" ht="14.625" hidden="1">
      <c r="A31" s="1484"/>
      <c r="B31" s="402"/>
      <c r="C31" s="849"/>
      <c r="D31" s="849"/>
      <c r="E31" s="850">
        <v>15</v>
      </c>
      <c r="F31" s="50" cm="1" t="str">
        <f t="array" ref="F31:F31">OFFSET(E31,-1,1)</f>
        <v>0</v>
      </c>
      <c r="G31" s="821"/>
      <c r="H31" s="821" t="str">
        <f>H29&amp;"_2"</f>
        <v>l1_2</v>
      </c>
      <c r="I31" s="821" cm="1" t="str">
        <f t="array" ref="I31:I31">I30</f>
        <v>0</v>
      </c>
      <c r="J31" s="849"/>
      <c r="K31" s="457"/>
      <c r="L31" s="457"/>
      <c r="M31" s="849"/>
      <c r="N31" s="849"/>
      <c r="O31" s="849"/>
      <c r="P31" s="849"/>
      <c r="Q31" s="849"/>
      <c r="R31" s="849"/>
      <c r="S31" s="849"/>
      <c r="T31" s="439" cm="1" t="str">
        <f t="array" ref="T31:T31">T30</f>
        <v>false</v>
      </c>
      <c r="U31" s="849"/>
      <c r="V31" s="849"/>
      <c r="W31" s="849"/>
      <c r="X31" s="1553"/>
      <c r="Y31" s="1553"/>
      <c r="Z31" s="1554"/>
      <c r="AA31" s="1551"/>
      <c r="AB31" s="670" t="str">
        <f>AB29&amp;".2"</f>
        <v>1.0.2</v>
      </c>
      <c r="AC31" s="746" t="s">
        <v>1047</v>
      </c>
      <c r="AD31" s="747" t="s">
        <v>1048</v>
      </c>
      <c r="AE31" s="3047"/>
      <c r="AF31" s="3047"/>
      <c r="AG31" s="3047"/>
      <c r="AH31" s="3047"/>
      <c r="AI31" s="265"/>
      <c r="AJ31" s="265"/>
      <c r="AK31" s="1771"/>
      <c r="AL31" s="1484"/>
      <c r="AM31" s="1484"/>
      <c r="AN31" s="1014" t="s">
        <v>1049</v>
      </c>
      <c r="AO31" s="1014" t="s">
        <v>1042</v>
      </c>
      <c r="AP31" s="1014" cm="1" t="str">
        <f t="array" ref="AP31:AP31">AP30</f>
        <v>0</v>
      </c>
      <c r="AQ31" s="234"/>
      <c r="AR31" s="234"/>
    </row>
    <row s="1484" customFormat="1" customHeight="1" ht="14.625" hidden="1">
      <c r="A32" s="1484"/>
      <c r="B32" s="402"/>
      <c r="C32" s="849"/>
      <c r="D32" s="849"/>
      <c r="E32" s="850">
        <v>15</v>
      </c>
      <c r="F32" s="50" cm="1" t="str">
        <f t="array" ref="F32:F32">OFFSET(E32,-1,1)</f>
        <v>0</v>
      </c>
      <c r="G32" s="341"/>
      <c r="H32" s="821"/>
      <c r="I32" s="118" t="str">
        <f>"!=='не определено' &amp;&amp; row.l1 !== null"</f>
        <v>!=='не определено' &amp;&amp; row.l1 !== null</v>
      </c>
      <c r="J32" s="849"/>
      <c r="K32" s="457"/>
      <c r="L32" s="457"/>
      <c r="M32" s="849"/>
      <c r="N32" s="849"/>
      <c r="O32" s="849"/>
      <c r="P32" s="849"/>
      <c r="Q32" s="849"/>
      <c r="R32" s="849"/>
      <c r="S32" s="849"/>
      <c r="T32" s="439">
        <f>F32&gt;0</f>
        <v>0</v>
      </c>
      <c r="U32" s="849"/>
      <c r="V32" s="849"/>
      <c r="W32" s="738" t="s">
        <v>392</v>
      </c>
      <c r="X32" s="1553"/>
      <c r="Y32" s="855"/>
      <c r="Z32" s="1554"/>
      <c r="AA32" s="849"/>
      <c r="AB32" s="856"/>
      <c r="AC32" s="227" t="s">
        <v>177</v>
      </c>
      <c r="AD32" s="757"/>
      <c r="AE32" s="757"/>
      <c r="AF32" s="757"/>
      <c r="AG32" s="757"/>
      <c r="AH32" s="757"/>
      <c r="AI32" s="757"/>
      <c r="AJ32" s="757"/>
      <c r="AK32" s="758"/>
      <c r="AL32" s="1484"/>
      <c r="AM32" s="1484"/>
      <c r="AN32" s="1014"/>
      <c r="AO32" s="1014"/>
      <c r="AP32" s="1014"/>
      <c r="AQ32" s="234" t="s">
        <v>1042</v>
      </c>
      <c r="AR32" s="234"/>
    </row>
    <row s="1484" customFormat="1" customHeight="1" ht="21.9375" hidden="1">
      <c r="A33" s="1484"/>
      <c r="B33" s="402"/>
      <c r="C33" s="849"/>
      <c r="D33" s="849"/>
      <c r="E33" s="850">
        <v>22.5</v>
      </c>
      <c r="F33" s="50" cm="1" t="str">
        <f t="array" ref="F33:F33">OFFSET(E33,-1,1)</f>
        <v>0</v>
      </c>
      <c r="G33" s="341" t="s">
        <v>1050</v>
      </c>
      <c r="H33" s="821" t="s">
        <v>326</v>
      </c>
      <c r="I33" s="821"/>
      <c r="J33" s="849"/>
      <c r="K33" s="457" t="str">
        <f>F33&amp;"2komm"</f>
        <v>02komm</v>
      </c>
      <c r="L33" s="899" cm="1" t="str">
        <f t="array" ref="L33:L33">AK33</f>
        <v>0</v>
      </c>
      <c r="M33" s="849"/>
      <c r="N33" s="849"/>
      <c r="O33" s="849"/>
      <c r="P33" s="849"/>
      <c r="Q33" s="849"/>
      <c r="R33" s="849"/>
      <c r="S33" s="849"/>
      <c r="T33" s="439" cm="1" t="str">
        <f t="array" ref="T33:T33">T32</f>
        <v>false</v>
      </c>
      <c r="U33" s="849"/>
      <c r="V33" s="849"/>
      <c r="W33" s="849"/>
      <c r="X33" s="1553"/>
      <c r="Y33" s="855"/>
      <c r="Z33" s="1554"/>
      <c r="AA33" s="849"/>
      <c r="AB33" s="670" t="s">
        <v>283</v>
      </c>
      <c r="AC33" s="829" t="s">
        <v>1051</v>
      </c>
      <c r="AD33" s="747" t="s">
        <v>784</v>
      </c>
      <c r="AE33" s="3044">
        <f>AE28*_xlfn.SUMIFS(INDEX(Сценарии!$AE$25:$BF$109,,MATCH(AE$13,Сценарии!$AE$8:$BF$8,0)),Сценарии!$F$25:$F$109,$F33,Сценарии!$G$25:$G$109,"СВФОТ")/100</f>
        <v>0</v>
      </c>
      <c r="AF33" s="3044">
        <f>AF28*_xlfn.SUMIFS(INDEX(Сценарии!$AE$25:$BF$109,,MATCH(AF$13,Сценарии!$AE$8:$BF$8,0)),Сценарии!$F$25:$F$109,$F33,Сценарии!$G$25:$G$109,"СВФОТ")/100</f>
        <v>0</v>
      </c>
      <c r="AG33" s="3044">
        <f>AG28*_xlfn.SUMIFS(INDEX(Сценарии!$AE$25:$BF$109,,MATCH(AG$13,Сценарии!$AE$8:$BF$8,0)),Сценарии!$F$25:$F$109,$F33,Сценарии!$G$25:$G$109,"СВФОТ")/100</f>
        <v>0</v>
      </c>
      <c r="AH33" s="3044">
        <f>AH28*_xlfn.SUMIFS(INDEX(Сценарии!$AE$25:$BF$109,,MATCH(AH$13,Сценарии!$AE$8:$BF$8,0)),Сценарии!$F$25:$F$109,$F33,Сценарии!$G$25:$G$109,"СВФОТ")/100</f>
        <v>0</v>
      </c>
      <c r="AI33" s="265">
        <f>AI28*_xlfn.SUMIFS(INDEX(Сценарии!$AE$25:$BF$109,,MATCH(AI$13,Сценарии!$AE$8:$BF$8,0)),Сценарии!$F$25:$F$109,$F33,Сценарии!$G$25:$G$109,"СВФОТ")/100</f>
        <v>0</v>
      </c>
      <c r="AJ33" s="265">
        <f>AJ28*_xlfn.SUMIFS(INDEX(Сценарии!$AE$25:$BF$109,,MATCH(AJ$13,Сценарии!$AE$8:$BF$8,0)),Сценарии!$F$25:$F$109,$F33,Сценарии!$G$25:$G$109,"СВФОТ")/100</f>
        <v>0</v>
      </c>
      <c r="AK33" s="1771"/>
      <c r="AL33" s="1484"/>
      <c r="AM33" s="1484"/>
      <c r="AN33" s="1014" t="s">
        <v>1052</v>
      </c>
      <c r="AO33" s="1014"/>
      <c r="AP33" s="1014"/>
      <c r="AQ33" s="234"/>
      <c r="AR33" s="234"/>
    </row>
    <row s="1484" customFormat="1" customHeight="1" ht="14.625" hidden="1">
      <c r="A34" s="1484"/>
      <c r="B34" s="402"/>
      <c r="C34" s="849"/>
      <c r="D34" s="849"/>
      <c r="E34" s="850">
        <v>15</v>
      </c>
      <c r="F34" s="50" cm="1" t="str">
        <f t="array" ref="F34:F34">OFFSET(E34,-1,1)</f>
        <v>0</v>
      </c>
      <c r="G34" s="341" t="s">
        <v>1053</v>
      </c>
      <c r="H34" s="821" t="s">
        <v>327</v>
      </c>
      <c r="I34" s="821"/>
      <c r="J34" s="849"/>
      <c r="K34" s="457" t="str">
        <f>F34&amp;"3komm"</f>
        <v>03komm</v>
      </c>
      <c r="L34" s="899" cm="1" t="str">
        <f t="array" ref="L34:L34">AK34</f>
        <v>0</v>
      </c>
      <c r="M34" s="849"/>
      <c r="N34" s="849"/>
      <c r="O34" s="849"/>
      <c r="P34" s="849"/>
      <c r="Q34" s="849"/>
      <c r="R34" s="849"/>
      <c r="S34" s="849"/>
      <c r="T34" s="439" cm="1" t="str">
        <f t="array" ref="T34:T34">T33</f>
        <v>false</v>
      </c>
      <c r="U34" s="849"/>
      <c r="V34" s="849"/>
      <c r="W34" s="849"/>
      <c r="X34" s="1553"/>
      <c r="Y34" s="855"/>
      <c r="Z34" s="1554"/>
      <c r="AA34" s="849"/>
      <c r="AB34" s="670" t="s">
        <v>323</v>
      </c>
      <c r="AC34" s="829" t="s">
        <v>1054</v>
      </c>
      <c r="AD34" s="747" t="s">
        <v>784</v>
      </c>
      <c r="AE34" s="3044"/>
      <c r="AF34" s="3044"/>
      <c r="AG34" s="3044"/>
      <c r="AH34" s="3044"/>
      <c r="AI34" s="180">
        <f>_xlfn.SUMIFS(AI35:AI38,$AD35:$AD38,$AD34)</f>
        <v>0</v>
      </c>
      <c r="AJ34" s="180">
        <f>_xlfn.SUMIFS(AJ35:AJ38,$AD35:$AD38,$AD34)</f>
        <v>0</v>
      </c>
      <c r="AK34" s="1771"/>
      <c r="AL34" s="1484"/>
      <c r="AM34" s="1484"/>
      <c r="AN34" s="1014" t="s">
        <v>1055</v>
      </c>
      <c r="AO34" s="1014"/>
      <c r="AP34" s="1014"/>
      <c r="AQ34" s="234"/>
      <c r="AR34" s="234"/>
    </row>
    <row s="1484" customFormat="1" customHeight="1" ht="18.28125" hidden="1">
      <c r="A35" s="1484"/>
      <c r="B35" s="402"/>
      <c r="C35" s="849"/>
      <c r="D35" s="849"/>
      <c r="E35" s="850">
        <v>18.75</v>
      </c>
      <c r="F35" s="50" cm="1" t="str">
        <f t="array" ref="F35:F35">OFFSET(E35,-1,1)</f>
        <v>0</v>
      </c>
      <c r="G35" s="821"/>
      <c r="H35" s="821" t="s">
        <v>327</v>
      </c>
      <c r="I35" s="821" cm="1" t="str">
        <f t="array" ref="I35:I35">AC35</f>
        <v>0</v>
      </c>
      <c r="J35" s="849"/>
      <c r="K35" s="457"/>
      <c r="L35" s="457"/>
      <c r="M35" s="849"/>
      <c r="N35" s="849"/>
      <c r="O35" s="849"/>
      <c r="P35" s="849"/>
      <c r="Q35" s="849"/>
      <c r="R35" s="849"/>
      <c r="S35" s="849"/>
      <c r="T35" s="439">
        <f>AND(F35&gt;0,Y35&gt;0)</f>
        <v>0</v>
      </c>
      <c r="U35" s="849"/>
      <c r="V35" s="849"/>
      <c r="W35" s="849" t="s">
        <v>173</v>
      </c>
      <c r="X35" s="1553"/>
      <c r="Y35" s="1553">
        <v>0</v>
      </c>
      <c r="Z35" s="1554"/>
      <c r="AA35" s="1551" t="s">
        <v>174</v>
      </c>
      <c r="AB35" s="267" t="str">
        <f>"3."&amp;Y35</f>
        <v>3.0</v>
      </c>
      <c r="AC35" s="3046"/>
      <c r="AD35" s="747" t="s">
        <v>784</v>
      </c>
      <c r="AE35" s="3047"/>
      <c r="AF35" s="3047"/>
      <c r="AG35" s="3047"/>
      <c r="AH35" s="3047"/>
      <c r="AI35" s="753">
        <f>AI36*AI37*12/1000</f>
        <v>0</v>
      </c>
      <c r="AJ35" s="753">
        <f>AJ36*AJ37*12/1000</f>
        <v>0</v>
      </c>
      <c r="AK35" s="1771"/>
      <c r="AL35" s="1484"/>
      <c r="AM35" s="1484"/>
      <c r="AN35" s="1014" t="s">
        <v>1041</v>
      </c>
      <c r="AO35" s="1014" t="s">
        <v>1056</v>
      </c>
      <c r="AP35" s="1014" cm="1" t="str">
        <f t="array" ref="AP35:AP35">AC35</f>
        <v>0</v>
      </c>
      <c r="AQ35" s="234"/>
      <c r="AR35" s="234" t="b">
        <v>1</v>
      </c>
    </row>
    <row s="1484" customFormat="1" customHeight="1" ht="14.625" hidden="1">
      <c r="A36" s="1484"/>
      <c r="B36" s="402"/>
      <c r="C36" s="849"/>
      <c r="D36" s="849"/>
      <c r="E36" s="850">
        <v>15</v>
      </c>
      <c r="F36" s="50" cm="1" t="str">
        <f t="array" ref="F36:F36">OFFSET(E36,-1,1)</f>
        <v>0</v>
      </c>
      <c r="G36" s="854" t="s">
        <v>1057</v>
      </c>
      <c r="H36" s="821" t="str">
        <f>H35&amp;"_1"</f>
        <v>l3_1</v>
      </c>
      <c r="I36" s="821" cm="1" t="str">
        <f t="array" ref="I36:I36">I35</f>
        <v>0</v>
      </c>
      <c r="J36" s="849"/>
      <c r="K36" s="457"/>
      <c r="L36" s="457"/>
      <c r="M36" s="849"/>
      <c r="N36" s="849"/>
      <c r="O36" s="849"/>
      <c r="P36" s="849"/>
      <c r="Q36" s="849"/>
      <c r="R36" s="849"/>
      <c r="S36" s="849"/>
      <c r="T36" s="439" cm="1" t="str">
        <f t="array" ref="T36:T36">T35</f>
        <v>false</v>
      </c>
      <c r="U36" s="849"/>
      <c r="V36" s="849"/>
      <c r="W36" s="849"/>
      <c r="X36" s="1553"/>
      <c r="Y36" s="1553"/>
      <c r="Z36" s="1554"/>
      <c r="AA36" s="1551"/>
      <c r="AB36" s="670" t="str">
        <f>AB35&amp;".1"</f>
        <v>3.0.1</v>
      </c>
      <c r="AC36" s="746" t="s">
        <v>1044</v>
      </c>
      <c r="AD36" s="747" t="s">
        <v>1045</v>
      </c>
      <c r="AE36" s="3047"/>
      <c r="AF36" s="3047"/>
      <c r="AG36" s="3047"/>
      <c r="AH36" s="3047"/>
      <c r="AI36" s="265"/>
      <c r="AJ36" s="265"/>
      <c r="AK36" s="1771"/>
      <c r="AL36" s="1484"/>
      <c r="AM36" s="1484"/>
      <c r="AN36" s="1014" t="s">
        <v>1046</v>
      </c>
      <c r="AO36" s="1014" t="s">
        <v>1056</v>
      </c>
      <c r="AP36" s="1014" cm="1" t="str">
        <f t="array" ref="AP36:AP36">AP35</f>
        <v>0</v>
      </c>
      <c r="AQ36" s="234"/>
      <c r="AR36" s="234"/>
    </row>
    <row s="1484" customFormat="1" customHeight="1" ht="14.625" hidden="1">
      <c r="A37" s="1484"/>
      <c r="B37" s="402"/>
      <c r="C37" s="849"/>
      <c r="D37" s="849"/>
      <c r="E37" s="850">
        <v>15</v>
      </c>
      <c r="F37" s="50" cm="1" t="str">
        <f t="array" ref="F37:F37">OFFSET(E37,-1,1)</f>
        <v>0</v>
      </c>
      <c r="G37" s="821"/>
      <c r="H37" s="821" t="str">
        <f>H35&amp;"_2"</f>
        <v>l3_2</v>
      </c>
      <c r="I37" s="821" cm="1" t="str">
        <f t="array" ref="I37:I37">I36</f>
        <v>0</v>
      </c>
      <c r="J37" s="849"/>
      <c r="K37" s="457"/>
      <c r="L37" s="457"/>
      <c r="M37" s="849"/>
      <c r="N37" s="849"/>
      <c r="O37" s="849"/>
      <c r="P37" s="849"/>
      <c r="Q37" s="849"/>
      <c r="R37" s="849"/>
      <c r="S37" s="849"/>
      <c r="T37" s="439" cm="1" t="str">
        <f t="array" ref="T37:T37">T36</f>
        <v>false</v>
      </c>
      <c r="U37" s="849"/>
      <c r="V37" s="849"/>
      <c r="W37" s="849"/>
      <c r="X37" s="1553"/>
      <c r="Y37" s="1553"/>
      <c r="Z37" s="1554"/>
      <c r="AA37" s="1551"/>
      <c r="AB37" s="670" t="str">
        <f>AB35&amp;".2"</f>
        <v>3.0.2</v>
      </c>
      <c r="AC37" s="746" t="s">
        <v>1047</v>
      </c>
      <c r="AD37" s="747" t="s">
        <v>1048</v>
      </c>
      <c r="AE37" s="3047"/>
      <c r="AF37" s="3047"/>
      <c r="AG37" s="3047"/>
      <c r="AH37" s="3047"/>
      <c r="AI37" s="265"/>
      <c r="AJ37" s="265"/>
      <c r="AK37" s="1771"/>
      <c r="AL37" s="1484"/>
      <c r="AM37" s="1484"/>
      <c r="AN37" s="1014" t="s">
        <v>1049</v>
      </c>
      <c r="AO37" s="1014" t="s">
        <v>1056</v>
      </c>
      <c r="AP37" s="1014" cm="1" t="str">
        <f t="array" ref="AP37:AP37">AP36</f>
        <v>0</v>
      </c>
      <c r="AQ37" s="234"/>
      <c r="AR37" s="234"/>
    </row>
    <row s="1484" customFormat="1" customHeight="1" ht="14.625" hidden="1">
      <c r="A38" s="1484"/>
      <c r="B38" s="402"/>
      <c r="C38" s="849"/>
      <c r="D38" s="849"/>
      <c r="E38" s="850">
        <v>15</v>
      </c>
      <c r="F38" s="50" cm="1" t="str">
        <f t="array" ref="F38:F38">OFFSET(E38,-1,1)</f>
        <v>0</v>
      </c>
      <c r="G38" s="341"/>
      <c r="H38" s="821"/>
      <c r="I38" s="118" t="str">
        <f>"!=='не определено' &amp;&amp; row.l3 !== null"</f>
        <v>!=='не определено' &amp;&amp; row.l3 !== null</v>
      </c>
      <c r="J38" s="849"/>
      <c r="K38" s="457"/>
      <c r="L38" s="457"/>
      <c r="M38" s="849"/>
      <c r="N38" s="849"/>
      <c r="O38" s="849"/>
      <c r="P38" s="849"/>
      <c r="Q38" s="849"/>
      <c r="R38" s="849"/>
      <c r="S38" s="849"/>
      <c r="T38" s="439">
        <f>F38&gt;0</f>
        <v>0</v>
      </c>
      <c r="U38" s="849"/>
      <c r="V38" s="849"/>
      <c r="W38" s="738" t="s">
        <v>832</v>
      </c>
      <c r="X38" s="1553"/>
      <c r="Y38" s="855"/>
      <c r="Z38" s="1554"/>
      <c r="AA38" s="849"/>
      <c r="AB38" s="856"/>
      <c r="AC38" s="227" t="s">
        <v>177</v>
      </c>
      <c r="AD38" s="757"/>
      <c r="AE38" s="757"/>
      <c r="AF38" s="757"/>
      <c r="AG38" s="757"/>
      <c r="AH38" s="757"/>
      <c r="AI38" s="757"/>
      <c r="AJ38" s="757"/>
      <c r="AK38" s="758"/>
      <c r="AL38" s="1484"/>
      <c r="AM38" s="1484"/>
      <c r="AN38" s="1014"/>
      <c r="AO38" s="1014"/>
      <c r="AP38" s="1014"/>
      <c r="AQ38" s="234" t="s">
        <v>1056</v>
      </c>
      <c r="AR38" s="234"/>
    </row>
    <row s="1484" customFormat="1" customHeight="1" ht="21.9375" hidden="1">
      <c r="A39" s="1484"/>
      <c r="B39" s="402"/>
      <c r="C39" s="849"/>
      <c r="D39" s="849"/>
      <c r="E39" s="850">
        <v>22.5</v>
      </c>
      <c r="F39" s="50" cm="1" t="str">
        <f t="array" ref="F39:F39">OFFSET(E39,-1,1)</f>
        <v>0</v>
      </c>
      <c r="G39" s="341" t="s">
        <v>1058</v>
      </c>
      <c r="H39" s="821" t="s">
        <v>329</v>
      </c>
      <c r="I39" s="821"/>
      <c r="J39" s="849"/>
      <c r="K39" s="457" t="str">
        <f>F39&amp;"4komm"</f>
        <v>04komm</v>
      </c>
      <c r="L39" s="899" cm="1" t="str">
        <f t="array" ref="L39:L39">AK39</f>
        <v>0</v>
      </c>
      <c r="M39" s="849"/>
      <c r="N39" s="849"/>
      <c r="O39" s="849"/>
      <c r="P39" s="849"/>
      <c r="Q39" s="849"/>
      <c r="R39" s="849"/>
      <c r="S39" s="849"/>
      <c r="T39" s="439" cm="1" t="str">
        <f t="array" ref="T39:T39">T38</f>
        <v>false</v>
      </c>
      <c r="U39" s="849"/>
      <c r="V39" s="849"/>
      <c r="W39" s="849"/>
      <c r="X39" s="1553"/>
      <c r="Y39" s="855"/>
      <c r="Z39" s="1554"/>
      <c r="AA39" s="849"/>
      <c r="AB39" s="670" t="s">
        <v>536</v>
      </c>
      <c r="AC39" s="829" t="s">
        <v>1059</v>
      </c>
      <c r="AD39" s="747" t="s">
        <v>784</v>
      </c>
      <c r="AE39" s="3044">
        <f>AE34*_xlfn.SUMIFS(INDEX(Сценарии!$AE$25:$BF$109,,MATCH(AE$13,Сценарии!$AE$8:$BF$8,0)),Сценарии!$F$25:$F$109,$F39,Сценарии!$G$25:$G$109,"СВФОТ")/100</f>
        <v>0</v>
      </c>
      <c r="AF39" s="3044">
        <f>AF34*_xlfn.SUMIFS(INDEX(Сценарии!$AE$25:$BF$109,,MATCH(AF$13,Сценарии!$AE$8:$BF$8,0)),Сценарии!$F$25:$F$109,$F39,Сценарии!$G$25:$G$109,"СВФОТ")/100</f>
        <v>0</v>
      </c>
      <c r="AG39" s="3044">
        <f>AG34*_xlfn.SUMIFS(INDEX(Сценарии!$AE$25:$BF$109,,MATCH(AG$13,Сценарии!$AE$8:$BF$8,0)),Сценарии!$F$25:$F$109,$F39,Сценарии!$G$25:$G$109,"СВФОТ")/100</f>
        <v>0</v>
      </c>
      <c r="AH39" s="3044">
        <f>AH34*_xlfn.SUMIFS(INDEX(Сценарии!$AE$25:$BF$109,,MATCH(AH$13,Сценарии!$AE$8:$BF$8,0)),Сценарии!$F$25:$F$109,$F39,Сценарии!$G$25:$G$109,"СВФОТ")/100</f>
        <v>0</v>
      </c>
      <c r="AI39" s="265">
        <f>AI34*_xlfn.SUMIFS(INDEX(Сценарии!$AE$25:$BF$109,,MATCH(AI$13,Сценарии!$AE$8:$BF$8,0)),Сценарии!$F$25:$F$109,$F39,Сценарии!$G$25:$G$109,"СВФОТ")/100</f>
        <v>0</v>
      </c>
      <c r="AJ39" s="265">
        <f>AJ34*_xlfn.SUMIFS(INDEX(Сценарии!$AE$25:$BF$109,,MATCH(AJ$13,Сценарии!$AE$8:$BF$8,0)),Сценарии!$F$25:$F$109,$F39,Сценарии!$G$25:$G$109,"СВФОТ")/100</f>
        <v>0</v>
      </c>
      <c r="AK39" s="1771"/>
      <c r="AL39" s="1484"/>
      <c r="AM39" s="1484"/>
      <c r="AN39" s="1014" t="s">
        <v>1060</v>
      </c>
      <c r="AO39" s="1014"/>
      <c r="AP39" s="1014"/>
      <c r="AQ39" s="234"/>
      <c r="AR39" s="234"/>
    </row>
    <row s="1484" customFormat="1" customHeight="1" ht="21.9375" hidden="1">
      <c r="A40" s="1484"/>
      <c r="B40" s="402"/>
      <c r="C40" s="849"/>
      <c r="D40" s="849"/>
      <c r="E40" s="850">
        <v>22.5</v>
      </c>
      <c r="F40" s="50" cm="1" t="str">
        <f t="array" ref="F40:F40">OFFSET(E40,-1,1)</f>
        <v>0</v>
      </c>
      <c r="G40" s="341" t="s">
        <v>1061</v>
      </c>
      <c r="H40" s="821" t="s">
        <v>328</v>
      </c>
      <c r="I40" s="821"/>
      <c r="J40" s="849"/>
      <c r="K40" s="457" t="str">
        <f>F40&amp;"5komm"</f>
        <v>05komm</v>
      </c>
      <c r="L40" s="899" cm="1" t="str">
        <f t="array" ref="L40:L40">AK40</f>
        <v>0</v>
      </c>
      <c r="M40" s="849"/>
      <c r="N40" s="849"/>
      <c r="O40" s="849"/>
      <c r="P40" s="849"/>
      <c r="Q40" s="849"/>
      <c r="R40" s="849"/>
      <c r="S40" s="849"/>
      <c r="T40" s="439" cm="1" t="str">
        <f t="array" ref="T40:T40">T39</f>
        <v>false</v>
      </c>
      <c r="U40" s="849"/>
      <c r="V40" s="849"/>
      <c r="W40" s="849"/>
      <c r="X40" s="1553"/>
      <c r="Y40" s="855"/>
      <c r="Z40" s="1554"/>
      <c r="AA40" s="849"/>
      <c r="AB40" s="670" t="s">
        <v>492</v>
      </c>
      <c r="AC40" s="829" t="s">
        <v>1062</v>
      </c>
      <c r="AD40" s="747" t="s">
        <v>784</v>
      </c>
      <c r="AE40" s="3044"/>
      <c r="AF40" s="3044"/>
      <c r="AG40" s="3044"/>
      <c r="AH40" s="3044"/>
      <c r="AI40" s="180">
        <f>_xlfn.SUMIFS(AI41:AI44,$AD41:$AD44,$AD40)</f>
        <v>0</v>
      </c>
      <c r="AJ40" s="180">
        <f>_xlfn.SUMIFS(AJ41:AJ44,$AD41:$AD44,$AD40)</f>
        <v>0</v>
      </c>
      <c r="AK40" s="1771"/>
      <c r="AL40" s="1484"/>
      <c r="AM40" s="1484"/>
      <c r="AN40" s="1014" t="s">
        <v>1063</v>
      </c>
      <c r="AO40" s="1014"/>
      <c r="AP40" s="1014"/>
      <c r="AQ40" s="234"/>
      <c r="AR40" s="234"/>
    </row>
    <row s="1484" customFormat="1" customHeight="1" ht="18.28125" hidden="1">
      <c r="A41" s="1484"/>
      <c r="B41" s="402"/>
      <c r="C41" s="849"/>
      <c r="D41" s="849"/>
      <c r="E41" s="850">
        <v>18.75</v>
      </c>
      <c r="F41" s="50" cm="1" t="str">
        <f t="array" ref="F41:F41">OFFSET(E41,-1,1)</f>
        <v>0</v>
      </c>
      <c r="G41" s="821"/>
      <c r="H41" s="821" t="s">
        <v>328</v>
      </c>
      <c r="I41" s="821" cm="1" t="str">
        <f t="array" ref="I41:I41">AC41</f>
        <v>0</v>
      </c>
      <c r="J41" s="849"/>
      <c r="K41" s="457"/>
      <c r="L41" s="457"/>
      <c r="M41" s="849"/>
      <c r="N41" s="849"/>
      <c r="O41" s="849"/>
      <c r="P41" s="849"/>
      <c r="Q41" s="849"/>
      <c r="R41" s="849"/>
      <c r="S41" s="849"/>
      <c r="T41" s="439">
        <f>AND(F41&gt;0,Y41&gt;0)</f>
        <v>0</v>
      </c>
      <c r="U41" s="849"/>
      <c r="V41" s="849"/>
      <c r="W41" s="849" t="s">
        <v>173</v>
      </c>
      <c r="X41" s="1553"/>
      <c r="Y41" s="1553">
        <v>0</v>
      </c>
      <c r="Z41" s="1554"/>
      <c r="AA41" s="1551" t="s">
        <v>174</v>
      </c>
      <c r="AB41" s="267" t="str">
        <f>"5."&amp;Y41</f>
        <v>5.0</v>
      </c>
      <c r="AC41" s="3046"/>
      <c r="AD41" s="747" t="s">
        <v>784</v>
      </c>
      <c r="AE41" s="3047"/>
      <c r="AF41" s="3047"/>
      <c r="AG41" s="3047"/>
      <c r="AH41" s="3047"/>
      <c r="AI41" s="753">
        <f>AI42*AI43*12/1000</f>
        <v>0</v>
      </c>
      <c r="AJ41" s="753">
        <f>AJ42*AJ43*12/1000</f>
        <v>0</v>
      </c>
      <c r="AK41" s="1771"/>
      <c r="AL41" s="1484"/>
      <c r="AM41" s="1484"/>
      <c r="AN41" s="1014" t="s">
        <v>1041</v>
      </c>
      <c r="AO41" s="1014" t="s">
        <v>1064</v>
      </c>
      <c r="AP41" s="1014" cm="1" t="str">
        <f t="array" ref="AP41:AP41">AC41</f>
        <v>0</v>
      </c>
      <c r="AQ41" s="234"/>
      <c r="AR41" s="234" t="b">
        <v>1</v>
      </c>
    </row>
    <row s="1484" customFormat="1" customHeight="1" ht="14.625" hidden="1">
      <c r="A42" s="1484"/>
      <c r="B42" s="402"/>
      <c r="C42" s="849"/>
      <c r="D42" s="849"/>
      <c r="E42" s="850">
        <v>15</v>
      </c>
      <c r="F42" s="50" cm="1" t="str">
        <f t="array" ref="F42:F42">OFFSET(E42,-1,1)</f>
        <v>0</v>
      </c>
      <c r="G42" s="821"/>
      <c r="H42" s="821" t="str">
        <f>H41&amp;"_1"</f>
        <v>l5_1</v>
      </c>
      <c r="I42" s="821" cm="1" t="str">
        <f t="array" ref="I42:I42">I41</f>
        <v>0</v>
      </c>
      <c r="J42" s="849"/>
      <c r="K42" s="457"/>
      <c r="L42" s="457"/>
      <c r="M42" s="849"/>
      <c r="N42" s="849"/>
      <c r="O42" s="849"/>
      <c r="P42" s="849"/>
      <c r="Q42" s="849"/>
      <c r="R42" s="849"/>
      <c r="S42" s="849"/>
      <c r="T42" s="439" cm="1" t="str">
        <f t="array" ref="T42:T42">T41</f>
        <v>false</v>
      </c>
      <c r="U42" s="849"/>
      <c r="V42" s="849"/>
      <c r="W42" s="849"/>
      <c r="X42" s="1553"/>
      <c r="Y42" s="1553"/>
      <c r="Z42" s="1554"/>
      <c r="AA42" s="1551"/>
      <c r="AB42" s="670" t="str">
        <f>AB41&amp;".1"</f>
        <v>5.0.1</v>
      </c>
      <c r="AC42" s="746" t="s">
        <v>1044</v>
      </c>
      <c r="AD42" s="747" t="s">
        <v>1045</v>
      </c>
      <c r="AE42" s="3047"/>
      <c r="AF42" s="3047"/>
      <c r="AG42" s="3047"/>
      <c r="AH42" s="3047"/>
      <c r="AI42" s="265"/>
      <c r="AJ42" s="265"/>
      <c r="AK42" s="1771"/>
      <c r="AL42" s="1484"/>
      <c r="AM42" s="1484"/>
      <c r="AN42" s="1014" t="s">
        <v>1046</v>
      </c>
      <c r="AO42" s="1014" t="s">
        <v>1064</v>
      </c>
      <c r="AP42" s="1014" cm="1" t="str">
        <f t="array" ref="AP42:AP42">AP41</f>
        <v>0</v>
      </c>
      <c r="AQ42" s="234"/>
      <c r="AR42" s="234"/>
    </row>
    <row s="1484" customFormat="1" customHeight="1" ht="14.625" hidden="1">
      <c r="A43" s="1484"/>
      <c r="B43" s="402"/>
      <c r="C43" s="849"/>
      <c r="D43" s="849"/>
      <c r="E43" s="850">
        <v>15</v>
      </c>
      <c r="F43" s="50" cm="1" t="str">
        <f t="array" ref="F43:F43">OFFSET(E43,-1,1)</f>
        <v>0</v>
      </c>
      <c r="G43" s="821"/>
      <c r="H43" s="821" t="str">
        <f>H41&amp;"_2"</f>
        <v>l5_2</v>
      </c>
      <c r="I43" s="821" cm="1" t="str">
        <f t="array" ref="I43:I43">I42</f>
        <v>0</v>
      </c>
      <c r="J43" s="849"/>
      <c r="K43" s="457"/>
      <c r="L43" s="457"/>
      <c r="M43" s="849"/>
      <c r="N43" s="849"/>
      <c r="O43" s="849"/>
      <c r="P43" s="849"/>
      <c r="Q43" s="849"/>
      <c r="R43" s="849"/>
      <c r="S43" s="849"/>
      <c r="T43" s="439" cm="1" t="str">
        <f t="array" ref="T43:T43">T42</f>
        <v>false</v>
      </c>
      <c r="U43" s="849"/>
      <c r="V43" s="849"/>
      <c r="W43" s="849"/>
      <c r="X43" s="1553"/>
      <c r="Y43" s="1553"/>
      <c r="Z43" s="1554"/>
      <c r="AA43" s="1551"/>
      <c r="AB43" s="670" t="str">
        <f>AB41&amp;".2"</f>
        <v>5.0.2</v>
      </c>
      <c r="AC43" s="746" t="s">
        <v>1047</v>
      </c>
      <c r="AD43" s="747" t="s">
        <v>1048</v>
      </c>
      <c r="AE43" s="3047"/>
      <c r="AF43" s="3047"/>
      <c r="AG43" s="3047"/>
      <c r="AH43" s="3047"/>
      <c r="AI43" s="265"/>
      <c r="AJ43" s="265"/>
      <c r="AK43" s="1771"/>
      <c r="AL43" s="1484"/>
      <c r="AM43" s="1484"/>
      <c r="AN43" s="1014" t="s">
        <v>1049</v>
      </c>
      <c r="AO43" s="1014" t="s">
        <v>1064</v>
      </c>
      <c r="AP43" s="1014" cm="1" t="str">
        <f t="array" ref="AP43:AP43">AP42</f>
        <v>0</v>
      </c>
      <c r="AQ43" s="234"/>
      <c r="AR43" s="234"/>
    </row>
    <row s="1484" customFormat="1" customHeight="1" ht="14.625" hidden="1">
      <c r="A44" s="1484"/>
      <c r="B44" s="402"/>
      <c r="C44" s="849"/>
      <c r="D44" s="849"/>
      <c r="E44" s="850">
        <v>15</v>
      </c>
      <c r="F44" s="50" cm="1" t="str">
        <f t="array" ref="F44:F44">OFFSET(E44,-1,1)</f>
        <v>0</v>
      </c>
      <c r="G44" s="341"/>
      <c r="H44" s="821"/>
      <c r="I44" s="118" t="str">
        <f>"!=='не определено' &amp;&amp; row.l5 !== null"</f>
        <v>!=='не определено' &amp;&amp; row.l5 !== null</v>
      </c>
      <c r="J44" s="849"/>
      <c r="K44" s="457"/>
      <c r="L44" s="457"/>
      <c r="M44" s="849"/>
      <c r="N44" s="849"/>
      <c r="O44" s="849"/>
      <c r="P44" s="849"/>
      <c r="Q44" s="849"/>
      <c r="R44" s="849"/>
      <c r="S44" s="849"/>
      <c r="T44" s="439">
        <f>F44&gt;0</f>
        <v>0</v>
      </c>
      <c r="U44" s="849"/>
      <c r="V44" s="849"/>
      <c r="W44" s="738" t="s">
        <v>1065</v>
      </c>
      <c r="X44" s="1553"/>
      <c r="Y44" s="855"/>
      <c r="Z44" s="1554"/>
      <c r="AA44" s="849"/>
      <c r="AB44" s="856"/>
      <c r="AC44" s="227" t="s">
        <v>177</v>
      </c>
      <c r="AD44" s="757"/>
      <c r="AE44" s="757"/>
      <c r="AF44" s="757"/>
      <c r="AG44" s="757"/>
      <c r="AH44" s="757"/>
      <c r="AI44" s="757"/>
      <c r="AJ44" s="757"/>
      <c r="AK44" s="758"/>
      <c r="AL44" s="1484"/>
      <c r="AM44" s="1484"/>
      <c r="AN44" s="1014"/>
      <c r="AO44" s="1014"/>
      <c r="AP44" s="1014"/>
      <c r="AQ44" s="234" t="s">
        <v>1064</v>
      </c>
      <c r="AR44" s="234"/>
    </row>
    <row s="1484" customFormat="1" customHeight="1" ht="21.9375" hidden="1">
      <c r="A45" s="1484"/>
      <c r="B45" s="402"/>
      <c r="C45" s="849"/>
      <c r="D45" s="849"/>
      <c r="E45" s="850">
        <v>22.5</v>
      </c>
      <c r="F45" s="50" cm="1" t="str">
        <f t="array" ref="F45:F45">OFFSET(E45,-1,1)</f>
        <v>0</v>
      </c>
      <c r="G45" s="341" t="s">
        <v>1066</v>
      </c>
      <c r="H45" s="821" t="s">
        <v>491</v>
      </c>
      <c r="I45" s="821"/>
      <c r="J45" s="849"/>
      <c r="K45" s="457" t="str">
        <f>F45&amp;"6komm"</f>
        <v>06komm</v>
      </c>
      <c r="L45" s="457" cm="1" t="str">
        <f t="array" ref="L45:L45">AK45</f>
        <v>0</v>
      </c>
      <c r="M45" s="849"/>
      <c r="N45" s="849"/>
      <c r="O45" s="849"/>
      <c r="P45" s="849"/>
      <c r="Q45" s="849"/>
      <c r="R45" s="849"/>
      <c r="S45" s="849"/>
      <c r="T45" s="439" cm="1" t="str">
        <f t="array" ref="T45:T45">T44</f>
        <v>false</v>
      </c>
      <c r="U45" s="849"/>
      <c r="V45" s="849"/>
      <c r="W45" s="849"/>
      <c r="X45" s="1553"/>
      <c r="Y45" s="855"/>
      <c r="Z45" s="1554"/>
      <c r="AA45" s="849"/>
      <c r="AB45" s="670" t="s">
        <v>496</v>
      </c>
      <c r="AC45" s="829" t="s">
        <v>1067</v>
      </c>
      <c r="AD45" s="747" t="s">
        <v>784</v>
      </c>
      <c r="AE45" s="3044">
        <f>AE40*_xlfn.SUMIFS(INDEX(Сценарии!$AE$25:$BF$109,,MATCH(AE$13,Сценарии!$AE$8:$BF$8,0)),Сценарии!$F$25:$F$109,$F45,Сценарии!$G$25:$G$109,"СВФОТ")/100</f>
        <v>0</v>
      </c>
      <c r="AF45" s="3044">
        <f>AF40*_xlfn.SUMIFS(INDEX(Сценарии!$AE$25:$BF$109,,MATCH(AF$13,Сценарии!$AE$8:$BF$8,0)),Сценарии!$F$25:$F$109,$F45,Сценарии!$G$25:$G$109,"СВФОТ")/100</f>
        <v>0</v>
      </c>
      <c r="AG45" s="3044">
        <f>AG40*_xlfn.SUMIFS(INDEX(Сценарии!$AE$25:$BF$109,,MATCH(AG$13,Сценарии!$AE$8:$BF$8,0)),Сценарии!$F$25:$F$109,$F45,Сценарии!$G$25:$G$109,"СВФОТ")/100</f>
        <v>0</v>
      </c>
      <c r="AH45" s="3044">
        <f>AH40*_xlfn.SUMIFS(INDEX(Сценарии!$AE$25:$BF$109,,MATCH(AH$13,Сценарии!$AE$8:$BF$8,0)),Сценарии!$F$25:$F$109,$F45,Сценарии!$G$25:$G$109,"СВФОТ")/100</f>
        <v>0</v>
      </c>
      <c r="AI45" s="265">
        <f>AI40*_xlfn.SUMIFS(INDEX(Сценарии!$AE$25:$BF$109,,MATCH(AI$13,Сценарии!$AE$8:$BF$8,0)),Сценарии!$F$25:$F$109,$F45,Сценарии!$G$25:$G$109,"СВФОТ")/100</f>
        <v>0</v>
      </c>
      <c r="AJ45" s="265">
        <f>AJ40*_xlfn.SUMIFS(INDEX(Сценарии!$AE$25:$BF$109,,MATCH(AJ$13,Сценарии!$AE$8:$BF$8,0)),Сценарии!$F$25:$F$109,$F45,Сценарии!$G$25:$G$109,"СВФОТ")/100</f>
        <v>0</v>
      </c>
      <c r="AK45" s="3054"/>
      <c r="AL45" s="1484"/>
      <c r="AM45" s="1484"/>
      <c r="AN45" s="1014" t="s">
        <v>1068</v>
      </c>
      <c r="AO45" s="1014"/>
      <c r="AP45" s="1014"/>
      <c r="AQ45" s="234"/>
      <c r="AR45" s="234"/>
    </row>
    <row s="1484" customFormat="1" customHeight="1" ht="14.625" hidden="1">
      <c r="A46" s="1484"/>
      <c r="B46" s="402"/>
      <c r="C46" s="849"/>
      <c r="D46" s="849"/>
      <c r="E46" s="850">
        <v>15</v>
      </c>
      <c r="F46" s="50" cm="1" t="str">
        <f t="array" ref="F46:F46">OFFSET(E46,-1,1)</f>
        <v>0</v>
      </c>
      <c r="G46" s="341" t="s">
        <v>1069</v>
      </c>
      <c r="H46" s="821" t="s">
        <v>495</v>
      </c>
      <c r="I46" s="821"/>
      <c r="J46" s="849"/>
      <c r="K46" s="457" t="str">
        <f>F46&amp;"7komm"</f>
        <v>07komm</v>
      </c>
      <c r="L46" s="457" cm="1" t="str">
        <f t="array" ref="L46:L46">AK46</f>
        <v>0</v>
      </c>
      <c r="M46" s="849"/>
      <c r="N46" s="849"/>
      <c r="O46" s="849"/>
      <c r="P46" s="849"/>
      <c r="Q46" s="849"/>
      <c r="R46" s="849"/>
      <c r="S46" s="849"/>
      <c r="T46" s="439" cm="1" t="str">
        <f t="array" ref="T46:T46">T45</f>
        <v>false</v>
      </c>
      <c r="U46" s="849"/>
      <c r="V46" s="849"/>
      <c r="W46" s="849"/>
      <c r="X46" s="1553"/>
      <c r="Y46" s="855"/>
      <c r="Z46" s="1554"/>
      <c r="AA46" s="849"/>
      <c r="AB46" s="670" t="s">
        <v>557</v>
      </c>
      <c r="AC46" s="829" t="s">
        <v>1070</v>
      </c>
      <c r="AD46" s="747" t="s">
        <v>784</v>
      </c>
      <c r="AE46" s="3044"/>
      <c r="AF46" s="3044"/>
      <c r="AG46" s="3044"/>
      <c r="AH46" s="3044"/>
      <c r="AI46" s="180">
        <f>_xlfn.SUMIFS(AI47:AI50,$AD47:$AD50,$AD46)</f>
        <v>0</v>
      </c>
      <c r="AJ46" s="180">
        <f>_xlfn.SUMIFS(AJ47:AJ50,$AD47:$AD50,$AD46)</f>
        <v>0</v>
      </c>
      <c r="AK46" s="3054"/>
      <c r="AL46" s="1484"/>
      <c r="AM46" s="1484"/>
      <c r="AN46" s="1014" t="s">
        <v>1071</v>
      </c>
      <c r="AO46" s="1014"/>
      <c r="AP46" s="1014"/>
      <c r="AQ46" s="234"/>
      <c r="AR46" s="234"/>
    </row>
    <row s="1484" customFormat="1" customHeight="1" ht="18.28125" hidden="1">
      <c r="A47" s="1484"/>
      <c r="B47" s="1484"/>
      <c r="C47" s="857"/>
      <c r="D47" s="857"/>
      <c r="E47" s="858">
        <v>18.75</v>
      </c>
      <c r="F47" s="50" cm="1" t="str">
        <f t="array" ref="F47:F47">OFFSET(E47,-1,1)</f>
        <v>0</v>
      </c>
      <c r="G47" s="854"/>
      <c r="H47" s="821" t="s">
        <v>495</v>
      </c>
      <c r="I47" s="854" cm="1" t="str">
        <f t="array" ref="I47:I47">AC47</f>
        <v>0</v>
      </c>
      <c r="J47" s="857"/>
      <c r="K47" s="898"/>
      <c r="L47" s="898"/>
      <c r="M47" s="857"/>
      <c r="N47" s="857"/>
      <c r="O47" s="857"/>
      <c r="P47" s="857"/>
      <c r="Q47" s="857"/>
      <c r="R47" s="857"/>
      <c r="S47" s="857"/>
      <c r="T47" s="439">
        <f>AND(F47&gt;0,Y47&gt;0)</f>
        <v>0</v>
      </c>
      <c r="U47" s="857"/>
      <c r="V47" s="857"/>
      <c r="W47" s="849" t="s">
        <v>173</v>
      </c>
      <c r="X47" s="1553"/>
      <c r="Y47" s="1553">
        <v>0</v>
      </c>
      <c r="Z47" s="1554"/>
      <c r="AA47" s="1551" t="s">
        <v>174</v>
      </c>
      <c r="AB47" s="1249" t="str">
        <f>"7."&amp;Y47</f>
        <v>7.0</v>
      </c>
      <c r="AC47" s="3059"/>
      <c r="AD47" s="860" t="s">
        <v>784</v>
      </c>
      <c r="AE47" s="3061"/>
      <c r="AF47" s="3061"/>
      <c r="AG47" s="3061"/>
      <c r="AH47" s="3061"/>
      <c r="AI47" s="862">
        <f>AI48*AI49*12/1000</f>
        <v>0</v>
      </c>
      <c r="AJ47" s="862">
        <f>AJ48*AJ49*12/1000</f>
        <v>0</v>
      </c>
      <c r="AK47" s="3063"/>
      <c r="AL47" s="1484"/>
      <c r="AM47" s="1484"/>
      <c r="AN47" s="1014" t="s">
        <v>1041</v>
      </c>
      <c r="AO47" s="1030" t="s">
        <v>1072</v>
      </c>
      <c r="AP47" s="1014" cm="1" t="str">
        <f t="array" ref="AP47:AP47">AC47</f>
        <v>0</v>
      </c>
      <c r="AQ47" s="1031"/>
      <c r="AR47" s="234" t="b">
        <v>1</v>
      </c>
    </row>
    <row s="1484" customFormat="1" customHeight="1" ht="14.625" hidden="1">
      <c r="A48" s="1484"/>
      <c r="B48" s="1484"/>
      <c r="C48" s="857"/>
      <c r="D48" s="857"/>
      <c r="E48" s="858">
        <v>15</v>
      </c>
      <c r="F48" s="50" cm="1" t="str">
        <f t="array" ref="F48:F48">OFFSET(E48,-1,1)</f>
        <v>0</v>
      </c>
      <c r="G48" s="854"/>
      <c r="H48" s="854" t="str">
        <f>H47&amp;"_1"</f>
        <v>l7_1</v>
      </c>
      <c r="I48" s="854" cm="1" t="str">
        <f t="array" ref="I48:I48">I47</f>
        <v>0</v>
      </c>
      <c r="J48" s="857"/>
      <c r="K48" s="898"/>
      <c r="L48" s="898"/>
      <c r="M48" s="857"/>
      <c r="N48" s="857"/>
      <c r="O48" s="857"/>
      <c r="P48" s="857"/>
      <c r="Q48" s="857"/>
      <c r="R48" s="857"/>
      <c r="S48" s="857"/>
      <c r="T48" s="439" cm="1" t="str">
        <f t="array" ref="T48:T48">T47</f>
        <v>false</v>
      </c>
      <c r="U48" s="857"/>
      <c r="V48" s="857"/>
      <c r="W48" s="857"/>
      <c r="X48" s="1553"/>
      <c r="Y48" s="1553"/>
      <c r="Z48" s="1554"/>
      <c r="AA48" s="1551"/>
      <c r="AB48" s="864" t="str">
        <f>AB47&amp;".1"</f>
        <v>7.0.1</v>
      </c>
      <c r="AC48" s="865" t="s">
        <v>1044</v>
      </c>
      <c r="AD48" s="860" t="s">
        <v>1045</v>
      </c>
      <c r="AE48" s="3061"/>
      <c r="AF48" s="3061"/>
      <c r="AG48" s="3061"/>
      <c r="AH48" s="3061"/>
      <c r="AI48" s="866"/>
      <c r="AJ48" s="866"/>
      <c r="AK48" s="3063"/>
      <c r="AL48" s="1484"/>
      <c r="AM48" s="1484"/>
      <c r="AN48" s="1014" t="s">
        <v>1046</v>
      </c>
      <c r="AO48" s="1030" t="s">
        <v>1072</v>
      </c>
      <c r="AP48" s="1014" cm="1" t="str">
        <f t="array" ref="AP48:AP48">AP47</f>
        <v>0</v>
      </c>
      <c r="AQ48" s="1031"/>
      <c r="AR48" s="1031"/>
    </row>
    <row s="1484" customFormat="1" customHeight="1" ht="14.625" hidden="1">
      <c r="A49" s="1484"/>
      <c r="B49" s="1484"/>
      <c r="C49" s="857"/>
      <c r="D49" s="857"/>
      <c r="E49" s="858">
        <v>15</v>
      </c>
      <c r="F49" s="50" cm="1" t="str">
        <f t="array" ref="F49:F49">OFFSET(E49,-1,1)</f>
        <v>0</v>
      </c>
      <c r="G49" s="854"/>
      <c r="H49" s="854" t="str">
        <f>H47&amp;"_2"</f>
        <v>l7_2</v>
      </c>
      <c r="I49" s="854" cm="1" t="str">
        <f t="array" ref="I49:I49">I48</f>
        <v>0</v>
      </c>
      <c r="J49" s="857"/>
      <c r="K49" s="898"/>
      <c r="L49" s="898"/>
      <c r="M49" s="857"/>
      <c r="N49" s="857"/>
      <c r="O49" s="857"/>
      <c r="P49" s="857"/>
      <c r="Q49" s="857"/>
      <c r="R49" s="857"/>
      <c r="S49" s="857"/>
      <c r="T49" s="439" cm="1" t="str">
        <f t="array" ref="T49:T49">T48</f>
        <v>false</v>
      </c>
      <c r="U49" s="857"/>
      <c r="V49" s="857"/>
      <c r="W49" s="857"/>
      <c r="X49" s="1553"/>
      <c r="Y49" s="1553"/>
      <c r="Z49" s="1554"/>
      <c r="AA49" s="1551"/>
      <c r="AB49" s="864" t="str">
        <f>AB47&amp;".2"</f>
        <v>7.0.2</v>
      </c>
      <c r="AC49" s="865" t="s">
        <v>1047</v>
      </c>
      <c r="AD49" s="860" t="s">
        <v>1048</v>
      </c>
      <c r="AE49" s="3061"/>
      <c r="AF49" s="3061"/>
      <c r="AG49" s="3061"/>
      <c r="AH49" s="3061"/>
      <c r="AI49" s="866"/>
      <c r="AJ49" s="866"/>
      <c r="AK49" s="3063"/>
      <c r="AL49" s="1484"/>
      <c r="AM49" s="1484"/>
      <c r="AN49" s="1014" t="s">
        <v>1049</v>
      </c>
      <c r="AO49" s="1030" t="s">
        <v>1072</v>
      </c>
      <c r="AP49" s="1014" cm="1" t="str">
        <f t="array" ref="AP49:AP49">AP48</f>
        <v>0</v>
      </c>
      <c r="AQ49" s="1031"/>
      <c r="AR49" s="1031"/>
    </row>
    <row s="1484" customFormat="1" customHeight="1" ht="14.625" hidden="1">
      <c r="A50" s="1484"/>
      <c r="B50" s="402"/>
      <c r="C50" s="849"/>
      <c r="D50" s="849"/>
      <c r="E50" s="850">
        <v>15</v>
      </c>
      <c r="F50" s="50" cm="1" t="str">
        <f t="array" ref="F50:F50">OFFSET(E50,-1,1)</f>
        <v>0</v>
      </c>
      <c r="G50" s="341"/>
      <c r="H50" s="821"/>
      <c r="I50" s="118" t="str">
        <f>"!=='не определено' &amp;&amp; row.l7 !== null"</f>
        <v>!=='не определено' &amp;&amp; row.l7 !== null</v>
      </c>
      <c r="J50" s="849"/>
      <c r="K50" s="457"/>
      <c r="L50" s="457"/>
      <c r="M50" s="849"/>
      <c r="N50" s="849"/>
      <c r="O50" s="849"/>
      <c r="P50" s="849"/>
      <c r="Q50" s="849"/>
      <c r="R50" s="849"/>
      <c r="S50" s="849"/>
      <c r="T50" s="439">
        <f>F50&gt;0</f>
        <v>0</v>
      </c>
      <c r="U50" s="849"/>
      <c r="V50" s="849"/>
      <c r="W50" s="738" t="s">
        <v>1073</v>
      </c>
      <c r="X50" s="1553"/>
      <c r="Y50" s="849"/>
      <c r="Z50" s="1554"/>
      <c r="AA50" s="849"/>
      <c r="AB50" s="856"/>
      <c r="AC50" s="227" t="s">
        <v>177</v>
      </c>
      <c r="AD50" s="757"/>
      <c r="AE50" s="757"/>
      <c r="AF50" s="757"/>
      <c r="AG50" s="757"/>
      <c r="AH50" s="757"/>
      <c r="AI50" s="757"/>
      <c r="AJ50" s="757"/>
      <c r="AK50" s="758"/>
      <c r="AL50" s="1484"/>
      <c r="AM50" s="1484"/>
      <c r="AN50" s="1014"/>
      <c r="AO50" s="1014"/>
      <c r="AP50" s="1014"/>
      <c r="AQ50" s="1031" t="s">
        <v>1072</v>
      </c>
      <c r="AR50" s="234"/>
    </row>
    <row s="1484" customFormat="1" customHeight="1" ht="21.9375" hidden="1">
      <c r="A51" s="1484"/>
      <c r="B51" s="402"/>
      <c r="C51" s="849"/>
      <c r="D51" s="849"/>
      <c r="E51" s="850">
        <v>22.5</v>
      </c>
      <c r="F51" s="50" cm="1" t="str">
        <f t="array" ref="F51:F51">OFFSET(E51,-1,1)</f>
        <v>0</v>
      </c>
      <c r="G51" s="341" t="s">
        <v>1074</v>
      </c>
      <c r="H51" s="821" t="s">
        <v>541</v>
      </c>
      <c r="I51" s="821"/>
      <c r="J51" s="849"/>
      <c r="K51" s="457" t="str">
        <f>F51&amp;"8komm"</f>
        <v>08komm</v>
      </c>
      <c r="L51" s="899" cm="1" t="str">
        <f t="array" ref="L51:L51">AK51</f>
        <v>0</v>
      </c>
      <c r="M51" s="849"/>
      <c r="N51" s="849"/>
      <c r="O51" s="849"/>
      <c r="P51" s="849"/>
      <c r="Q51" s="849"/>
      <c r="R51" s="849"/>
      <c r="S51" s="849"/>
      <c r="T51" s="439" cm="1" t="str">
        <f t="array" ref="T51:T51">T50</f>
        <v>false</v>
      </c>
      <c r="U51" s="849"/>
      <c r="V51" s="849"/>
      <c r="W51" s="849"/>
      <c r="X51" s="1553"/>
      <c r="Y51" s="849"/>
      <c r="Z51" s="1554"/>
      <c r="AA51" s="849"/>
      <c r="AB51" s="670" t="s">
        <v>565</v>
      </c>
      <c r="AC51" s="829" t="s">
        <v>1075</v>
      </c>
      <c r="AD51" s="747" t="s">
        <v>784</v>
      </c>
      <c r="AE51" s="3044">
        <f>AE46*_xlfn.SUMIFS(INDEX(Сценарии!$AE$25:$BF$109,,MATCH(AE$13,Сценарии!$AE$8:$BF$8,0)),Сценарии!$F$25:$F$109,$F51,Сценарии!$G$25:$G$109,"СВФОТ")/100</f>
        <v>0</v>
      </c>
      <c r="AF51" s="3044">
        <f>AF46*_xlfn.SUMIFS(INDEX(Сценарии!$AE$25:$BF$109,,MATCH(AF$13,Сценарии!$AE$8:$BF$8,0)),Сценарии!$F$25:$F$109,$F51,Сценарии!$G$25:$G$109,"СВФОТ")/100</f>
        <v>0</v>
      </c>
      <c r="AG51" s="3044">
        <f>AG46*_xlfn.SUMIFS(INDEX(Сценарии!$AE$25:$BF$109,,MATCH(AG$13,Сценарии!$AE$8:$BF$8,0)),Сценарии!$F$25:$F$109,$F51,Сценарии!$G$25:$G$109,"СВФОТ")/100</f>
        <v>0</v>
      </c>
      <c r="AH51" s="3044">
        <f>AH46*_xlfn.SUMIFS(INDEX(Сценарии!$AE$25:$BF$109,,MATCH(AH$13,Сценарии!$AE$8:$BF$8,0)),Сценарии!$F$25:$F$109,$F51,Сценарии!$G$25:$G$109,"СВФОТ")/100</f>
        <v>0</v>
      </c>
      <c r="AI51" s="265">
        <f>AI46*_xlfn.SUMIFS(INDEX(Сценарии!$AE$25:$BF$109,,MATCH(AI$13,Сценарии!$AE$8:$BF$8,0)),Сценарии!$F$25:$F$109,$F51,Сценарии!$G$25:$G$109,"СВФОТ")/100</f>
        <v>0</v>
      </c>
      <c r="AJ51" s="265">
        <f>AJ46*_xlfn.SUMIFS(INDEX(Сценарии!$AE$25:$BF$109,,MATCH(AJ$13,Сценарии!$AE$8:$BF$8,0)),Сценарии!$F$25:$F$109,$F51,Сценарии!$G$25:$G$109,"СВФОТ")/100</f>
        <v>0</v>
      </c>
      <c r="AK51" s="1771"/>
      <c r="AL51" s="1484"/>
      <c r="AM51" s="1484"/>
      <c r="AN51" s="1014" t="s">
        <v>1076</v>
      </c>
      <c r="AO51" s="1014"/>
      <c r="AP51" s="1014"/>
      <c r="AQ51" s="234"/>
      <c r="AR51" s="234"/>
    </row>
    <row s="1190" customFormat="1" customHeight="1" ht="14.25">
      <c r="A52" s="1484"/>
      <c r="B52" s="402"/>
      <c r="C52" s="849"/>
      <c r="D52" s="849"/>
      <c r="E52" s="850">
        <v>15</v>
      </c>
      <c r="F52" s="467" cm="1" t="str">
        <f t="array" ref="F52:F52">X52</f>
        <v>1</v>
      </c>
      <c r="G52" s="821" t="s">
        <v>60</v>
      </c>
      <c r="H52" s="821"/>
      <c r="I52" s="821"/>
      <c r="J52" s="849"/>
      <c r="K52" s="457"/>
      <c r="L52" s="457"/>
      <c r="M52" s="849"/>
      <c r="N52" s="849"/>
      <c r="O52" s="849"/>
      <c r="P52" s="849"/>
      <c r="Q52" s="849"/>
      <c r="R52" s="849"/>
      <c r="S52" s="849"/>
      <c r="T52" s="439">
        <f>X52&gt;0</f>
        <v>1</v>
      </c>
      <c r="U52" s="849"/>
      <c r="V52" s="849" cm="1" t="str">
        <f t="array" ref="V52:V52">Покупка!$AB$57</f>
        <v>Тариф 1 (Водоснабжение) - тариф на техническую воду (Оказание услуг на территории: Прокопьевский муниципальный округ (ОКТМО: 32522000) - п Калачево)</v>
      </c>
      <c r="W52" s="849"/>
      <c r="X52" s="1553" t="s">
        <v>272</v>
      </c>
      <c r="Y52" s="849"/>
      <c r="Z52" s="1554"/>
      <c r="AA52" s="849"/>
      <c r="AB52" s="209" cm="1" t="str">
        <f t="array" ref="AB52:AB52">Покупка!$AB$57</f>
        <v>Тариф 1 (Водоснабжение) - тариф на техническую воду (Оказание услуг на территории: Прокопьевский муниципальный округ (ОКТМО: 32522000) - п Калачево)</v>
      </c>
      <c r="AC52" s="851"/>
      <c r="AD52" s="851"/>
      <c r="AE52" s="852">
        <f>AE53+AE58+AE59+AE64+AE65+AE70+AE71+AE76</f>
        <v>0</v>
      </c>
      <c r="AF52" s="852">
        <f>AF53+AF58+AF59+AF64+AF65+AF70+AF71+AF76</f>
        <v>0</v>
      </c>
      <c r="AG52" s="852">
        <f>AG53+AG58+AG59+AG64+AG65+AG70+AG71+AG76</f>
        <v>0</v>
      </c>
      <c r="AH52" s="852">
        <f>AH53+AH58+AH59+AH64+AH65+AH70+AH71+AH76</f>
        <v>0</v>
      </c>
      <c r="AI52" s="852">
        <f>AI53+AI58+AI59+AI64+AI65+AI70+AI71+AI76</f>
        <v>0</v>
      </c>
      <c r="AJ52" s="852">
        <f>AJ53+AJ58+AJ59+AJ64+AJ65+AJ70+AJ71+AJ76</f>
        <v>0</v>
      </c>
      <c r="AK52" s="852"/>
      <c r="AL52" s="1484"/>
      <c r="AM52" s="1484"/>
      <c r="AN52" s="1014"/>
      <c r="AO52" s="1014"/>
      <c r="AP52" s="1014"/>
      <c r="AQ52" s="234"/>
      <c r="AR52" s="234"/>
    </row>
    <row s="1190" customFormat="1" customHeight="1" ht="21.75">
      <c r="A53" s="1484"/>
      <c r="B53" s="402"/>
      <c r="C53" s="849"/>
      <c r="D53" s="849"/>
      <c r="E53" s="850">
        <v>22.5</v>
      </c>
      <c r="F53" s="50" cm="1" t="str">
        <f t="array" ref="F53:F53">OFFSET(E53,-1,1)</f>
        <v>1</v>
      </c>
      <c r="G53" s="341" t="s">
        <v>1038</v>
      </c>
      <c r="H53" s="821" t="s">
        <v>325</v>
      </c>
      <c r="I53" s="821"/>
      <c r="J53" s="849"/>
      <c r="K53" s="457" t="str">
        <f>F53&amp;"1komm"</f>
        <v>11komm</v>
      </c>
      <c r="L53" s="899" cm="1" t="str">
        <f t="array" ref="L53:L53">AK53</f>
        <v>0</v>
      </c>
      <c r="M53" s="849"/>
      <c r="N53" s="849"/>
      <c r="O53" s="849"/>
      <c r="P53" s="849"/>
      <c r="Q53" s="849"/>
      <c r="R53" s="849"/>
      <c r="S53" s="849"/>
      <c r="T53" s="439" cm="1" t="str">
        <f t="array" ref="T53:T53">T52</f>
        <v>true</v>
      </c>
      <c r="U53" s="849"/>
      <c r="V53" s="849"/>
      <c r="W53" s="849"/>
      <c r="X53" s="1553"/>
      <c r="Y53" s="849"/>
      <c r="Z53" s="1554"/>
      <c r="AA53" s="849"/>
      <c r="AB53" s="670">
        <v>1</v>
      </c>
      <c r="AC53" s="829" t="s">
        <v>1039</v>
      </c>
      <c r="AD53" s="747" t="s">
        <v>784</v>
      </c>
      <c r="AE53" s="265"/>
      <c r="AF53" s="265"/>
      <c r="AG53" s="265"/>
      <c r="AH53" s="265"/>
      <c r="AI53" s="180">
        <f>_xlfn.SUMIFS(AI54:AI57,$AD54:$AD57,$AD53)</f>
        <v>0</v>
      </c>
      <c r="AJ53" s="180">
        <f>_xlfn.SUMIFS(AJ54:AJ57,$AD54:$AD57,$AD53)</f>
        <v>0</v>
      </c>
      <c r="AK53" s="828"/>
      <c r="AL53" s="1484"/>
      <c r="AM53" s="1484"/>
      <c r="AN53" s="1014" t="s">
        <v>1040</v>
      </c>
      <c r="AO53" s="1014"/>
      <c r="AP53" s="1014"/>
      <c r="AQ53" s="234"/>
      <c r="AR53" s="234"/>
    </row>
    <row s="1190" customFormat="1" customHeight="1" ht="18" hidden="1">
      <c r="A54" s="1484"/>
      <c r="B54" s="402"/>
      <c r="C54" s="849"/>
      <c r="D54" s="849"/>
      <c r="E54" s="850">
        <v>18.75</v>
      </c>
      <c r="F54" s="50" cm="1" t="str">
        <f t="array" ref="F54:F54">OFFSET(E54,-1,1)</f>
        <v>1</v>
      </c>
      <c r="G54" s="821"/>
      <c r="H54" s="821" t="s">
        <v>325</v>
      </c>
      <c r="I54" s="821" cm="1" t="str">
        <f t="array" ref="I54:I54">AC54</f>
        <v>0</v>
      </c>
      <c r="J54" s="849"/>
      <c r="K54" s="457"/>
      <c r="L54" s="457"/>
      <c r="M54" s="849"/>
      <c r="N54" s="849"/>
      <c r="O54" s="849"/>
      <c r="P54" s="849"/>
      <c r="Q54" s="849"/>
      <c r="R54" s="849"/>
      <c r="S54" s="849"/>
      <c r="T54" s="439">
        <f>AND(F54&gt;0,Y54&gt;0)</f>
        <v>0</v>
      </c>
      <c r="U54" s="849"/>
      <c r="V54" s="849"/>
      <c r="W54" s="849" t="s">
        <v>173</v>
      </c>
      <c r="X54" s="1553"/>
      <c r="Y54" s="1553">
        <v>0</v>
      </c>
      <c r="Z54" s="1554"/>
      <c r="AA54" s="1551" t="s">
        <v>174</v>
      </c>
      <c r="AB54" s="267" t="str">
        <f>"1."&amp;Y54</f>
        <v>1.0</v>
      </c>
      <c r="AC54" s="3046"/>
      <c r="AD54" s="747" t="s">
        <v>784</v>
      </c>
      <c r="AE54" s="3047"/>
      <c r="AF54" s="3047"/>
      <c r="AG54" s="3047"/>
      <c r="AH54" s="3047"/>
      <c r="AI54" s="753">
        <f>AI55*AI56*12/1000</f>
        <v>0</v>
      </c>
      <c r="AJ54" s="753">
        <f>AJ55*AJ56*12/1000</f>
        <v>0</v>
      </c>
      <c r="AK54" s="1771"/>
      <c r="AL54" s="1484"/>
      <c r="AM54" s="1484"/>
      <c r="AN54" s="1014" t="s">
        <v>1041</v>
      </c>
      <c r="AO54" s="1014" t="s">
        <v>1042</v>
      </c>
      <c r="AP54" s="1014" cm="1" t="str">
        <f t="array" ref="AP54:AP54">AC54</f>
        <v>0</v>
      </c>
      <c r="AQ54" s="234"/>
      <c r="AR54" s="234" t="b">
        <v>1</v>
      </c>
    </row>
    <row s="1190" customFormat="1" customHeight="1" ht="14.25" hidden="1">
      <c r="A55" s="1484"/>
      <c r="B55" s="402"/>
      <c r="C55" s="849"/>
      <c r="D55" s="849"/>
      <c r="E55" s="850">
        <v>15</v>
      </c>
      <c r="F55" s="50" cm="1" t="str">
        <f t="array" ref="F55:F55">OFFSET(E55,-1,1)</f>
        <v>1</v>
      </c>
      <c r="G55" s="854" t="s">
        <v>1043</v>
      </c>
      <c r="H55" s="821" t="str">
        <f>H54&amp;"_1"</f>
        <v>l1_1</v>
      </c>
      <c r="I55" s="821" cm="1" t="str">
        <f t="array" ref="I55:I55">I54</f>
        <v>0</v>
      </c>
      <c r="J55" s="849"/>
      <c r="K55" s="457"/>
      <c r="L55" s="457"/>
      <c r="M55" s="849"/>
      <c r="N55" s="849"/>
      <c r="O55" s="849"/>
      <c r="P55" s="849"/>
      <c r="Q55" s="849"/>
      <c r="R55" s="849"/>
      <c r="S55" s="849"/>
      <c r="T55" s="439" cm="1" t="str">
        <f t="array" ref="T55:T55">T54</f>
        <v>false</v>
      </c>
      <c r="U55" s="849"/>
      <c r="V55" s="849"/>
      <c r="W55" s="849"/>
      <c r="X55" s="1553"/>
      <c r="Y55" s="1553"/>
      <c r="Z55" s="1554"/>
      <c r="AA55" s="1551"/>
      <c r="AB55" s="670" t="str">
        <f>AB54&amp;".1"</f>
        <v>1.0.1</v>
      </c>
      <c r="AC55" s="746" t="s">
        <v>1044</v>
      </c>
      <c r="AD55" s="747" t="s">
        <v>1045</v>
      </c>
      <c r="AE55" s="3047"/>
      <c r="AF55" s="3047"/>
      <c r="AG55" s="3047"/>
      <c r="AH55" s="3047"/>
      <c r="AI55" s="265"/>
      <c r="AJ55" s="265"/>
      <c r="AK55" s="1771"/>
      <c r="AL55" s="1484"/>
      <c r="AM55" s="1484"/>
      <c r="AN55" s="1014" t="s">
        <v>1046</v>
      </c>
      <c r="AO55" s="1014" t="s">
        <v>1042</v>
      </c>
      <c r="AP55" s="1014" cm="1" t="str">
        <f t="array" ref="AP55:AP55">AP54</f>
        <v>0</v>
      </c>
      <c r="AQ55" s="234"/>
      <c r="AR55" s="234"/>
    </row>
    <row s="1190" customFormat="1" customHeight="1" ht="14.25" hidden="1">
      <c r="A56" s="1484"/>
      <c r="B56" s="402"/>
      <c r="C56" s="849"/>
      <c r="D56" s="849"/>
      <c r="E56" s="850">
        <v>15</v>
      </c>
      <c r="F56" s="50" cm="1" t="str">
        <f t="array" ref="F56:F56">OFFSET(E56,-1,1)</f>
        <v>1</v>
      </c>
      <c r="G56" s="821"/>
      <c r="H56" s="821" t="str">
        <f>H54&amp;"_2"</f>
        <v>l1_2</v>
      </c>
      <c r="I56" s="821" cm="1" t="str">
        <f t="array" ref="I56:I56">I55</f>
        <v>0</v>
      </c>
      <c r="J56" s="849"/>
      <c r="K56" s="457"/>
      <c r="L56" s="457"/>
      <c r="M56" s="849"/>
      <c r="N56" s="849"/>
      <c r="O56" s="849"/>
      <c r="P56" s="849"/>
      <c r="Q56" s="849"/>
      <c r="R56" s="849"/>
      <c r="S56" s="849"/>
      <c r="T56" s="439" cm="1" t="str">
        <f t="array" ref="T56:T56">T55</f>
        <v>false</v>
      </c>
      <c r="U56" s="849"/>
      <c r="V56" s="849"/>
      <c r="W56" s="849"/>
      <c r="X56" s="1553"/>
      <c r="Y56" s="1553"/>
      <c r="Z56" s="1554"/>
      <c r="AA56" s="1551"/>
      <c r="AB56" s="670" t="str">
        <f>AB54&amp;".2"</f>
        <v>1.0.2</v>
      </c>
      <c r="AC56" s="746" t="s">
        <v>1047</v>
      </c>
      <c r="AD56" s="747" t="s">
        <v>1048</v>
      </c>
      <c r="AE56" s="3047"/>
      <c r="AF56" s="3047"/>
      <c r="AG56" s="3047"/>
      <c r="AH56" s="3047"/>
      <c r="AI56" s="265"/>
      <c r="AJ56" s="265"/>
      <c r="AK56" s="1771"/>
      <c r="AL56" s="1484"/>
      <c r="AM56" s="1484"/>
      <c r="AN56" s="1014" t="s">
        <v>1049</v>
      </c>
      <c r="AO56" s="1014" t="s">
        <v>1042</v>
      </c>
      <c r="AP56" s="1014" cm="1" t="str">
        <f t="array" ref="AP56:AP56">AP55</f>
        <v>0</v>
      </c>
      <c r="AQ56" s="234"/>
      <c r="AR56" s="234"/>
    </row>
    <row s="1190" customFormat="1" customHeight="1" ht="14.25">
      <c r="A57" s="1484"/>
      <c r="B57" s="402"/>
      <c r="C57" s="849"/>
      <c r="D57" s="849"/>
      <c r="E57" s="850">
        <v>15</v>
      </c>
      <c r="F57" s="50" cm="1" t="str">
        <f t="array" ref="F57:F57">OFFSET(E57,-1,1)</f>
        <v>1</v>
      </c>
      <c r="G57" s="341"/>
      <c r="H57" s="821"/>
      <c r="I57" s="118" t="str">
        <f>"!=='не определено' &amp;&amp; row.l1 !== null"</f>
        <v>!=='не определено' &amp;&amp; row.l1 !== null</v>
      </c>
      <c r="J57" s="849"/>
      <c r="K57" s="457"/>
      <c r="L57" s="457"/>
      <c r="M57" s="849"/>
      <c r="N57" s="849"/>
      <c r="O57" s="849"/>
      <c r="P57" s="849"/>
      <c r="Q57" s="849"/>
      <c r="R57" s="849"/>
      <c r="S57" s="849"/>
      <c r="T57" s="439">
        <f>F57&gt;0</f>
        <v>1</v>
      </c>
      <c r="U57" s="849"/>
      <c r="V57" s="849"/>
      <c r="W57" s="738" t="s">
        <v>392</v>
      </c>
      <c r="X57" s="1553"/>
      <c r="Y57" s="855"/>
      <c r="Z57" s="1554"/>
      <c r="AA57" s="849"/>
      <c r="AB57" s="856"/>
      <c r="AC57" s="227" t="s">
        <v>177</v>
      </c>
      <c r="AD57" s="757"/>
      <c r="AE57" s="757"/>
      <c r="AF57" s="757"/>
      <c r="AG57" s="757"/>
      <c r="AH57" s="757"/>
      <c r="AI57" s="757"/>
      <c r="AJ57" s="757"/>
      <c r="AK57" s="758"/>
      <c r="AL57" s="1484"/>
      <c r="AM57" s="1484"/>
      <c r="AN57" s="1014"/>
      <c r="AO57" s="1014"/>
      <c r="AP57" s="1014"/>
      <c r="AQ57" s="234" t="s">
        <v>1042</v>
      </c>
      <c r="AR57" s="234"/>
    </row>
    <row s="1190" customFormat="1" customHeight="1" ht="21.75">
      <c r="A58" s="1484"/>
      <c r="B58" s="402"/>
      <c r="C58" s="849"/>
      <c r="D58" s="849"/>
      <c r="E58" s="850">
        <v>22.5</v>
      </c>
      <c r="F58" s="50" cm="1" t="str">
        <f t="array" ref="F58:F58">OFFSET(E58,-1,1)</f>
        <v>1</v>
      </c>
      <c r="G58" s="341" t="s">
        <v>1050</v>
      </c>
      <c r="H58" s="821" t="s">
        <v>326</v>
      </c>
      <c r="I58" s="821"/>
      <c r="J58" s="849"/>
      <c r="K58" s="457" t="str">
        <f>F58&amp;"2komm"</f>
        <v>12komm</v>
      </c>
      <c r="L58" s="899" cm="1" t="str">
        <f t="array" ref="L58:L58">AK58</f>
        <v>0</v>
      </c>
      <c r="M58" s="849"/>
      <c r="N58" s="849"/>
      <c r="O58" s="849"/>
      <c r="P58" s="849"/>
      <c r="Q58" s="849"/>
      <c r="R58" s="849"/>
      <c r="S58" s="849"/>
      <c r="T58" s="439" cm="1" t="str">
        <f t="array" ref="T58:T58">T57</f>
        <v>true</v>
      </c>
      <c r="U58" s="849"/>
      <c r="V58" s="849"/>
      <c r="W58" s="849"/>
      <c r="X58" s="1553"/>
      <c r="Y58" s="855"/>
      <c r="Z58" s="1554"/>
      <c r="AA58" s="849"/>
      <c r="AB58" s="670" t="s">
        <v>283</v>
      </c>
      <c r="AC58" s="829" t="s">
        <v>1051</v>
      </c>
      <c r="AD58" s="747" t="s">
        <v>784</v>
      </c>
      <c r="AE58" s="265">
        <f>AE53*_xlfn.SUMIFS(INDEX(Сценарии!$AE$25:$BF$109,,MATCH(AE$13,Сценарии!$AE$8:$BF$8,0)),Сценарии!$F$25:$F$109,$F58,Сценарии!$G$25:$G$109,"СВФОТ")/100</f>
        <v>0</v>
      </c>
      <c r="AF58" s="265">
        <f>AF53*_xlfn.SUMIFS(INDEX(Сценарии!$AE$25:$BF$109,,MATCH(AF$13,Сценарии!$AE$8:$BF$8,0)),Сценарии!$F$25:$F$109,$F58,Сценарии!$G$25:$G$109,"СВФОТ")/100</f>
        <v>0</v>
      </c>
      <c r="AG58" s="265">
        <f>AG53*_xlfn.SUMIFS(INDEX(Сценарии!$AE$25:$BF$109,,MATCH(AG$13,Сценарии!$AE$8:$BF$8,0)),Сценарии!$F$25:$F$109,$F58,Сценарии!$G$25:$G$109,"СВФОТ")/100</f>
        <v>0</v>
      </c>
      <c r="AH58" s="265">
        <f>AH53*_xlfn.SUMIFS(INDEX(Сценарии!$AE$25:$BF$109,,MATCH(AH$13,Сценарии!$AE$8:$BF$8,0)),Сценарии!$F$25:$F$109,$F58,Сценарии!$G$25:$G$109,"СВФОТ")/100</f>
        <v>0</v>
      </c>
      <c r="AI58" s="265">
        <f>AI53*_xlfn.SUMIFS(INDEX(Сценарии!$AE$25:$BF$109,,MATCH(AI$13,Сценарии!$AE$8:$BF$8,0)),Сценарии!$F$25:$F$109,$F58,Сценарии!$G$25:$G$109,"СВФОТ")/100</f>
        <v>0</v>
      </c>
      <c r="AJ58" s="265">
        <f>AJ53*_xlfn.SUMIFS(INDEX(Сценарии!$AE$25:$BF$109,,MATCH(AJ$13,Сценарии!$AE$8:$BF$8,0)),Сценарии!$F$25:$F$109,$F58,Сценарии!$G$25:$G$109,"СВФОТ")/100</f>
        <v>0</v>
      </c>
      <c r="AK58" s="828"/>
      <c r="AL58" s="1484"/>
      <c r="AM58" s="1484"/>
      <c r="AN58" s="1014" t="s">
        <v>1052</v>
      </c>
      <c r="AO58" s="1014"/>
      <c r="AP58" s="1014"/>
      <c r="AQ58" s="234"/>
      <c r="AR58" s="234"/>
    </row>
    <row s="1190" customFormat="1" customHeight="1" ht="14.25">
      <c r="A59" s="1484"/>
      <c r="B59" s="402"/>
      <c r="C59" s="849"/>
      <c r="D59" s="849"/>
      <c r="E59" s="850">
        <v>15</v>
      </c>
      <c r="F59" s="50" cm="1" t="str">
        <f t="array" ref="F59:F59">OFFSET(E59,-1,1)</f>
        <v>1</v>
      </c>
      <c r="G59" s="341" t="s">
        <v>1053</v>
      </c>
      <c r="H59" s="821" t="s">
        <v>327</v>
      </c>
      <c r="I59" s="821"/>
      <c r="J59" s="849"/>
      <c r="K59" s="457" t="str">
        <f>F59&amp;"3komm"</f>
        <v>13komm</v>
      </c>
      <c r="L59" s="899" cm="1" t="str">
        <f t="array" ref="L59:L59">AK59</f>
        <v>0</v>
      </c>
      <c r="M59" s="849"/>
      <c r="N59" s="849"/>
      <c r="O59" s="849"/>
      <c r="P59" s="849"/>
      <c r="Q59" s="849"/>
      <c r="R59" s="849"/>
      <c r="S59" s="849"/>
      <c r="T59" s="439" cm="1" t="str">
        <f t="array" ref="T59:T59">T58</f>
        <v>true</v>
      </c>
      <c r="U59" s="849"/>
      <c r="V59" s="849"/>
      <c r="W59" s="849"/>
      <c r="X59" s="1553"/>
      <c r="Y59" s="855"/>
      <c r="Z59" s="1554"/>
      <c r="AA59" s="849"/>
      <c r="AB59" s="670" t="s">
        <v>323</v>
      </c>
      <c r="AC59" s="829" t="s">
        <v>1054</v>
      </c>
      <c r="AD59" s="747" t="s">
        <v>784</v>
      </c>
      <c r="AE59" s="265"/>
      <c r="AF59" s="265"/>
      <c r="AG59" s="265"/>
      <c r="AH59" s="265"/>
      <c r="AI59" s="180">
        <f>_xlfn.SUMIFS(AI60:AI63,$AD60:$AD63,$AD59)</f>
        <v>0</v>
      </c>
      <c r="AJ59" s="180">
        <f>_xlfn.SUMIFS(AJ60:AJ63,$AD60:$AD63,$AD59)</f>
        <v>0</v>
      </c>
      <c r="AK59" s="828"/>
      <c r="AL59" s="1484"/>
      <c r="AM59" s="1484"/>
      <c r="AN59" s="1014" t="s">
        <v>1055</v>
      </c>
      <c r="AO59" s="1014"/>
      <c r="AP59" s="1014"/>
      <c r="AQ59" s="234"/>
      <c r="AR59" s="234"/>
    </row>
    <row s="1190" customFormat="1" customHeight="1" ht="18" hidden="1">
      <c r="A60" s="1484"/>
      <c r="B60" s="402"/>
      <c r="C60" s="849"/>
      <c r="D60" s="849"/>
      <c r="E60" s="850">
        <v>18.75</v>
      </c>
      <c r="F60" s="50" cm="1" t="str">
        <f t="array" ref="F60:F60">OFFSET(E60,-1,1)</f>
        <v>1</v>
      </c>
      <c r="G60" s="821"/>
      <c r="H60" s="821" t="s">
        <v>327</v>
      </c>
      <c r="I60" s="821" cm="1" t="str">
        <f t="array" ref="I60:I60">AC60</f>
        <v>0</v>
      </c>
      <c r="J60" s="849"/>
      <c r="K60" s="457"/>
      <c r="L60" s="457"/>
      <c r="M60" s="849"/>
      <c r="N60" s="849"/>
      <c r="O60" s="849"/>
      <c r="P60" s="849"/>
      <c r="Q60" s="849"/>
      <c r="R60" s="849"/>
      <c r="S60" s="849"/>
      <c r="T60" s="439">
        <f>AND(F60&gt;0,Y60&gt;0)</f>
        <v>0</v>
      </c>
      <c r="U60" s="849"/>
      <c r="V60" s="849"/>
      <c r="W60" s="849" t="s">
        <v>173</v>
      </c>
      <c r="X60" s="1553"/>
      <c r="Y60" s="1553">
        <v>0</v>
      </c>
      <c r="Z60" s="1554"/>
      <c r="AA60" s="1551" t="s">
        <v>174</v>
      </c>
      <c r="AB60" s="267" t="str">
        <f>"3."&amp;Y60</f>
        <v>3.0</v>
      </c>
      <c r="AC60" s="3046"/>
      <c r="AD60" s="747" t="s">
        <v>784</v>
      </c>
      <c r="AE60" s="3047"/>
      <c r="AF60" s="3047"/>
      <c r="AG60" s="3047"/>
      <c r="AH60" s="3047"/>
      <c r="AI60" s="753">
        <f>AI61*AI62*12/1000</f>
        <v>0</v>
      </c>
      <c r="AJ60" s="753">
        <f>AJ61*AJ62*12/1000</f>
        <v>0</v>
      </c>
      <c r="AK60" s="1771"/>
      <c r="AL60" s="1484"/>
      <c r="AM60" s="1484"/>
      <c r="AN60" s="1014" t="s">
        <v>1041</v>
      </c>
      <c r="AO60" s="1014" t="s">
        <v>1056</v>
      </c>
      <c r="AP60" s="1014" cm="1" t="str">
        <f t="array" ref="AP60:AP60">AC60</f>
        <v>0</v>
      </c>
      <c r="AQ60" s="234"/>
      <c r="AR60" s="234" t="b">
        <v>1</v>
      </c>
    </row>
    <row s="1190" customFormat="1" customHeight="1" ht="14.25" hidden="1">
      <c r="A61" s="1484"/>
      <c r="B61" s="402"/>
      <c r="C61" s="849"/>
      <c r="D61" s="849"/>
      <c r="E61" s="850">
        <v>15</v>
      </c>
      <c r="F61" s="50" cm="1" t="str">
        <f t="array" ref="F61:F61">OFFSET(E61,-1,1)</f>
        <v>1</v>
      </c>
      <c r="G61" s="854" t="s">
        <v>1057</v>
      </c>
      <c r="H61" s="821" t="str">
        <f>H60&amp;"_1"</f>
        <v>l3_1</v>
      </c>
      <c r="I61" s="821" cm="1" t="str">
        <f t="array" ref="I61:I61">I60</f>
        <v>0</v>
      </c>
      <c r="J61" s="849"/>
      <c r="K61" s="457"/>
      <c r="L61" s="457"/>
      <c r="M61" s="849"/>
      <c r="N61" s="849"/>
      <c r="O61" s="849"/>
      <c r="P61" s="849"/>
      <c r="Q61" s="849"/>
      <c r="R61" s="849"/>
      <c r="S61" s="849"/>
      <c r="T61" s="439" cm="1" t="str">
        <f t="array" ref="T61:T61">T60</f>
        <v>false</v>
      </c>
      <c r="U61" s="849"/>
      <c r="V61" s="849"/>
      <c r="W61" s="849"/>
      <c r="X61" s="1553"/>
      <c r="Y61" s="1553"/>
      <c r="Z61" s="1554"/>
      <c r="AA61" s="1551"/>
      <c r="AB61" s="670" t="str">
        <f>AB60&amp;".1"</f>
        <v>3.0.1</v>
      </c>
      <c r="AC61" s="746" t="s">
        <v>1044</v>
      </c>
      <c r="AD61" s="747" t="s">
        <v>1045</v>
      </c>
      <c r="AE61" s="3047"/>
      <c r="AF61" s="3047"/>
      <c r="AG61" s="3047"/>
      <c r="AH61" s="3047"/>
      <c r="AI61" s="265"/>
      <c r="AJ61" s="265"/>
      <c r="AK61" s="1771"/>
      <c r="AL61" s="1484"/>
      <c r="AM61" s="1484"/>
      <c r="AN61" s="1014" t="s">
        <v>1046</v>
      </c>
      <c r="AO61" s="1014" t="s">
        <v>1056</v>
      </c>
      <c r="AP61" s="1014" cm="1" t="str">
        <f t="array" ref="AP61:AP61">AP60</f>
        <v>0</v>
      </c>
      <c r="AQ61" s="234"/>
      <c r="AR61" s="234"/>
    </row>
    <row s="1190" customFormat="1" customHeight="1" ht="14.25" hidden="1">
      <c r="A62" s="1484"/>
      <c r="B62" s="402"/>
      <c r="C62" s="849"/>
      <c r="D62" s="849"/>
      <c r="E62" s="850">
        <v>15</v>
      </c>
      <c r="F62" s="50" cm="1" t="str">
        <f t="array" ref="F62:F62">OFFSET(E62,-1,1)</f>
        <v>1</v>
      </c>
      <c r="G62" s="821"/>
      <c r="H62" s="821" t="str">
        <f>H60&amp;"_2"</f>
        <v>l3_2</v>
      </c>
      <c r="I62" s="821" cm="1" t="str">
        <f t="array" ref="I62:I62">I61</f>
        <v>0</v>
      </c>
      <c r="J62" s="849"/>
      <c r="K62" s="457"/>
      <c r="L62" s="457"/>
      <c r="M62" s="849"/>
      <c r="N62" s="849"/>
      <c r="O62" s="849"/>
      <c r="P62" s="849"/>
      <c r="Q62" s="849"/>
      <c r="R62" s="849"/>
      <c r="S62" s="849"/>
      <c r="T62" s="439" cm="1" t="str">
        <f t="array" ref="T62:T62">T61</f>
        <v>false</v>
      </c>
      <c r="U62" s="849"/>
      <c r="V62" s="849"/>
      <c r="W62" s="849"/>
      <c r="X62" s="1553"/>
      <c r="Y62" s="1553"/>
      <c r="Z62" s="1554"/>
      <c r="AA62" s="1551"/>
      <c r="AB62" s="670" t="str">
        <f>AB60&amp;".2"</f>
        <v>3.0.2</v>
      </c>
      <c r="AC62" s="746" t="s">
        <v>1047</v>
      </c>
      <c r="AD62" s="747" t="s">
        <v>1048</v>
      </c>
      <c r="AE62" s="3047"/>
      <c r="AF62" s="3047"/>
      <c r="AG62" s="3047"/>
      <c r="AH62" s="3047"/>
      <c r="AI62" s="265"/>
      <c r="AJ62" s="265"/>
      <c r="AK62" s="1771"/>
      <c r="AL62" s="1484"/>
      <c r="AM62" s="1484"/>
      <c r="AN62" s="1014" t="s">
        <v>1049</v>
      </c>
      <c r="AO62" s="1014" t="s">
        <v>1056</v>
      </c>
      <c r="AP62" s="1014" cm="1" t="str">
        <f t="array" ref="AP62:AP62">AP61</f>
        <v>0</v>
      </c>
      <c r="AQ62" s="234"/>
      <c r="AR62" s="234"/>
    </row>
    <row s="1190" customFormat="1" customHeight="1" ht="14.25">
      <c r="A63" s="1484"/>
      <c r="B63" s="402"/>
      <c r="C63" s="849"/>
      <c r="D63" s="849"/>
      <c r="E63" s="850">
        <v>15</v>
      </c>
      <c r="F63" s="50" cm="1" t="str">
        <f t="array" ref="F63:F63">OFFSET(E63,-1,1)</f>
        <v>1</v>
      </c>
      <c r="G63" s="341"/>
      <c r="H63" s="821"/>
      <c r="I63" s="118" t="str">
        <f>"!=='не определено' &amp;&amp; row.l3 !== null"</f>
        <v>!=='не определено' &amp;&amp; row.l3 !== null</v>
      </c>
      <c r="J63" s="849"/>
      <c r="K63" s="457"/>
      <c r="L63" s="457"/>
      <c r="M63" s="849"/>
      <c r="N63" s="849"/>
      <c r="O63" s="849"/>
      <c r="P63" s="849"/>
      <c r="Q63" s="849"/>
      <c r="R63" s="849"/>
      <c r="S63" s="849"/>
      <c r="T63" s="439">
        <f>F63&gt;0</f>
        <v>1</v>
      </c>
      <c r="U63" s="849"/>
      <c r="V63" s="849"/>
      <c r="W63" s="738" t="s">
        <v>832</v>
      </c>
      <c r="X63" s="1553"/>
      <c r="Y63" s="855"/>
      <c r="Z63" s="1554"/>
      <c r="AA63" s="849"/>
      <c r="AB63" s="856"/>
      <c r="AC63" s="227" t="s">
        <v>177</v>
      </c>
      <c r="AD63" s="757"/>
      <c r="AE63" s="757"/>
      <c r="AF63" s="757"/>
      <c r="AG63" s="757"/>
      <c r="AH63" s="757"/>
      <c r="AI63" s="757"/>
      <c r="AJ63" s="757"/>
      <c r="AK63" s="758"/>
      <c r="AL63" s="1484"/>
      <c r="AM63" s="1484"/>
      <c r="AN63" s="1014"/>
      <c r="AO63" s="1014"/>
      <c r="AP63" s="1014"/>
      <c r="AQ63" s="234" t="s">
        <v>1056</v>
      </c>
      <c r="AR63" s="234"/>
    </row>
    <row s="1190" customFormat="1" customHeight="1" ht="21.75">
      <c r="A64" s="1484"/>
      <c r="B64" s="402"/>
      <c r="C64" s="849"/>
      <c r="D64" s="849"/>
      <c r="E64" s="850">
        <v>22.5</v>
      </c>
      <c r="F64" s="50" cm="1" t="str">
        <f t="array" ref="F64:F64">OFFSET(E64,-1,1)</f>
        <v>1</v>
      </c>
      <c r="G64" s="341" t="s">
        <v>1058</v>
      </c>
      <c r="H64" s="821" t="s">
        <v>329</v>
      </c>
      <c r="I64" s="821"/>
      <c r="J64" s="849"/>
      <c r="K64" s="457" t="str">
        <f>F64&amp;"4komm"</f>
        <v>14komm</v>
      </c>
      <c r="L64" s="899" cm="1" t="str">
        <f t="array" ref="L64:L64">AK64</f>
        <v>0</v>
      </c>
      <c r="M64" s="849"/>
      <c r="N64" s="849"/>
      <c r="O64" s="849"/>
      <c r="P64" s="849"/>
      <c r="Q64" s="849"/>
      <c r="R64" s="849"/>
      <c r="S64" s="849"/>
      <c r="T64" s="439" cm="1" t="str">
        <f t="array" ref="T64:T64">T63</f>
        <v>true</v>
      </c>
      <c r="U64" s="849"/>
      <c r="V64" s="849"/>
      <c r="W64" s="849"/>
      <c r="X64" s="1553"/>
      <c r="Y64" s="855"/>
      <c r="Z64" s="1554"/>
      <c r="AA64" s="849"/>
      <c r="AB64" s="670" t="s">
        <v>536</v>
      </c>
      <c r="AC64" s="829" t="s">
        <v>1059</v>
      </c>
      <c r="AD64" s="747" t="s">
        <v>784</v>
      </c>
      <c r="AE64" s="265">
        <f>AE59*_xlfn.SUMIFS(INDEX(Сценарии!$AE$25:$BF$109,,MATCH(AE$13,Сценарии!$AE$8:$BF$8,0)),Сценарии!$F$25:$F$109,$F64,Сценарии!$G$25:$G$109,"СВФОТ")/100</f>
        <v>0</v>
      </c>
      <c r="AF64" s="265">
        <f>AF59*_xlfn.SUMIFS(INDEX(Сценарии!$AE$25:$BF$109,,MATCH(AF$13,Сценарии!$AE$8:$BF$8,0)),Сценарии!$F$25:$F$109,$F64,Сценарии!$G$25:$G$109,"СВФОТ")/100</f>
        <v>0</v>
      </c>
      <c r="AG64" s="265">
        <f>AG59*_xlfn.SUMIFS(INDEX(Сценарии!$AE$25:$BF$109,,MATCH(AG$13,Сценарии!$AE$8:$BF$8,0)),Сценарии!$F$25:$F$109,$F64,Сценарии!$G$25:$G$109,"СВФОТ")/100</f>
        <v>0</v>
      </c>
      <c r="AH64" s="265">
        <f>AH59*_xlfn.SUMIFS(INDEX(Сценарии!$AE$25:$BF$109,,MATCH(AH$13,Сценарии!$AE$8:$BF$8,0)),Сценарии!$F$25:$F$109,$F64,Сценарии!$G$25:$G$109,"СВФОТ")/100</f>
        <v>0</v>
      </c>
      <c r="AI64" s="265">
        <f>AI59*_xlfn.SUMIFS(INDEX(Сценарии!$AE$25:$BF$109,,MATCH(AI$13,Сценарии!$AE$8:$BF$8,0)),Сценарии!$F$25:$F$109,$F64,Сценарии!$G$25:$G$109,"СВФОТ")/100</f>
        <v>0</v>
      </c>
      <c r="AJ64" s="265">
        <f>AJ59*_xlfn.SUMIFS(INDEX(Сценарии!$AE$25:$BF$109,,MATCH(AJ$13,Сценарии!$AE$8:$BF$8,0)),Сценарии!$F$25:$F$109,$F64,Сценарии!$G$25:$G$109,"СВФОТ")/100</f>
        <v>0</v>
      </c>
      <c r="AK64" s="828"/>
      <c r="AL64" s="1484"/>
      <c r="AM64" s="1484"/>
      <c r="AN64" s="1014" t="s">
        <v>1060</v>
      </c>
      <c r="AO64" s="1014"/>
      <c r="AP64" s="1014"/>
      <c r="AQ64" s="234"/>
      <c r="AR64" s="234"/>
    </row>
    <row s="1190" customFormat="1" customHeight="1" ht="21.75">
      <c r="A65" s="1484"/>
      <c r="B65" s="402"/>
      <c r="C65" s="849"/>
      <c r="D65" s="849"/>
      <c r="E65" s="850">
        <v>22.5</v>
      </c>
      <c r="F65" s="50" cm="1" t="str">
        <f t="array" ref="F65:F65">OFFSET(E65,-1,1)</f>
        <v>1</v>
      </c>
      <c r="G65" s="341" t="s">
        <v>1061</v>
      </c>
      <c r="H65" s="821" t="s">
        <v>328</v>
      </c>
      <c r="I65" s="821"/>
      <c r="J65" s="849"/>
      <c r="K65" s="457" t="str">
        <f>F65&amp;"5komm"</f>
        <v>15komm</v>
      </c>
      <c r="L65" s="899" cm="1" t="str">
        <f t="array" ref="L65:L65">AK65</f>
        <v>0</v>
      </c>
      <c r="M65" s="849"/>
      <c r="N65" s="849"/>
      <c r="O65" s="849"/>
      <c r="P65" s="849"/>
      <c r="Q65" s="849"/>
      <c r="R65" s="849"/>
      <c r="S65" s="849"/>
      <c r="T65" s="439" cm="1" t="str">
        <f t="array" ref="T65:T65">T64</f>
        <v>true</v>
      </c>
      <c r="U65" s="849"/>
      <c r="V65" s="849"/>
      <c r="W65" s="849"/>
      <c r="X65" s="1553"/>
      <c r="Y65" s="855"/>
      <c r="Z65" s="1554"/>
      <c r="AA65" s="849"/>
      <c r="AB65" s="670" t="s">
        <v>492</v>
      </c>
      <c r="AC65" s="829" t="s">
        <v>1062</v>
      </c>
      <c r="AD65" s="747" t="s">
        <v>784</v>
      </c>
      <c r="AE65" s="265"/>
      <c r="AF65" s="265"/>
      <c r="AG65" s="265"/>
      <c r="AH65" s="265"/>
      <c r="AI65" s="180">
        <f>_xlfn.SUMIFS(AI66:AI69,$AD66:$AD69,$AD65)</f>
        <v>0</v>
      </c>
      <c r="AJ65" s="180">
        <f>_xlfn.SUMIFS(AJ66:AJ69,$AD66:$AD69,$AD65)</f>
        <v>0</v>
      </c>
      <c r="AK65" s="828"/>
      <c r="AL65" s="1484"/>
      <c r="AM65" s="1484"/>
      <c r="AN65" s="1014" t="s">
        <v>1063</v>
      </c>
      <c r="AO65" s="1014"/>
      <c r="AP65" s="1014"/>
      <c r="AQ65" s="234"/>
      <c r="AR65" s="234"/>
    </row>
    <row s="1190" customFormat="1" customHeight="1" ht="18" hidden="1">
      <c r="A66" s="1484"/>
      <c r="B66" s="402"/>
      <c r="C66" s="849"/>
      <c r="D66" s="849"/>
      <c r="E66" s="850">
        <v>18.75</v>
      </c>
      <c r="F66" s="50" cm="1" t="str">
        <f t="array" ref="F66:F66">OFFSET(E66,-1,1)</f>
        <v>1</v>
      </c>
      <c r="G66" s="821"/>
      <c r="H66" s="821" t="s">
        <v>328</v>
      </c>
      <c r="I66" s="821" cm="1" t="str">
        <f t="array" ref="I66:I66">AC66</f>
        <v>0</v>
      </c>
      <c r="J66" s="849"/>
      <c r="K66" s="457"/>
      <c r="L66" s="457"/>
      <c r="M66" s="849"/>
      <c r="N66" s="849"/>
      <c r="O66" s="849"/>
      <c r="P66" s="849"/>
      <c r="Q66" s="849"/>
      <c r="R66" s="849"/>
      <c r="S66" s="849"/>
      <c r="T66" s="439">
        <f>AND(F66&gt;0,Y66&gt;0)</f>
        <v>0</v>
      </c>
      <c r="U66" s="849"/>
      <c r="V66" s="849"/>
      <c r="W66" s="849" t="s">
        <v>173</v>
      </c>
      <c r="X66" s="1553"/>
      <c r="Y66" s="1553">
        <v>0</v>
      </c>
      <c r="Z66" s="1554"/>
      <c r="AA66" s="1551" t="s">
        <v>174</v>
      </c>
      <c r="AB66" s="267" t="str">
        <f>"5."&amp;Y66</f>
        <v>5.0</v>
      </c>
      <c r="AC66" s="3046"/>
      <c r="AD66" s="747" t="s">
        <v>784</v>
      </c>
      <c r="AE66" s="3047"/>
      <c r="AF66" s="3047"/>
      <c r="AG66" s="3047"/>
      <c r="AH66" s="3047"/>
      <c r="AI66" s="753">
        <f>AI67*AI68*12/1000</f>
        <v>0</v>
      </c>
      <c r="AJ66" s="753">
        <f>AJ67*AJ68*12/1000</f>
        <v>0</v>
      </c>
      <c r="AK66" s="1771"/>
      <c r="AL66" s="1484"/>
      <c r="AM66" s="1484"/>
      <c r="AN66" s="1014" t="s">
        <v>1041</v>
      </c>
      <c r="AO66" s="1014" t="s">
        <v>1064</v>
      </c>
      <c r="AP66" s="1014" cm="1" t="str">
        <f t="array" ref="AP66:AP66">AC66</f>
        <v>0</v>
      </c>
      <c r="AQ66" s="234"/>
      <c r="AR66" s="234" t="b">
        <v>1</v>
      </c>
    </row>
    <row s="1190" customFormat="1" customHeight="1" ht="14.25" hidden="1">
      <c r="A67" s="1484"/>
      <c r="B67" s="402"/>
      <c r="C67" s="849"/>
      <c r="D67" s="849"/>
      <c r="E67" s="850">
        <v>15</v>
      </c>
      <c r="F67" s="50" cm="1" t="str">
        <f t="array" ref="F67:F67">OFFSET(E67,-1,1)</f>
        <v>1</v>
      </c>
      <c r="G67" s="821"/>
      <c r="H67" s="821" t="str">
        <f>H66&amp;"_1"</f>
        <v>l5_1</v>
      </c>
      <c r="I67" s="821" cm="1" t="str">
        <f t="array" ref="I67:I67">I66</f>
        <v>0</v>
      </c>
      <c r="J67" s="849"/>
      <c r="K67" s="457"/>
      <c r="L67" s="457"/>
      <c r="M67" s="849"/>
      <c r="N67" s="849"/>
      <c r="O67" s="849"/>
      <c r="P67" s="849"/>
      <c r="Q67" s="849"/>
      <c r="R67" s="849"/>
      <c r="S67" s="849"/>
      <c r="T67" s="439" cm="1" t="str">
        <f t="array" ref="T67:T67">T66</f>
        <v>false</v>
      </c>
      <c r="U67" s="849"/>
      <c r="V67" s="849"/>
      <c r="W67" s="849"/>
      <c r="X67" s="1553"/>
      <c r="Y67" s="1553"/>
      <c r="Z67" s="1554"/>
      <c r="AA67" s="1551"/>
      <c r="AB67" s="670" t="str">
        <f>AB66&amp;".1"</f>
        <v>5.0.1</v>
      </c>
      <c r="AC67" s="746" t="s">
        <v>1044</v>
      </c>
      <c r="AD67" s="747" t="s">
        <v>1045</v>
      </c>
      <c r="AE67" s="3047"/>
      <c r="AF67" s="3047"/>
      <c r="AG67" s="3047"/>
      <c r="AH67" s="3047"/>
      <c r="AI67" s="265"/>
      <c r="AJ67" s="265"/>
      <c r="AK67" s="1771"/>
      <c r="AL67" s="1484"/>
      <c r="AM67" s="1484"/>
      <c r="AN67" s="1014" t="s">
        <v>1046</v>
      </c>
      <c r="AO67" s="1014" t="s">
        <v>1064</v>
      </c>
      <c r="AP67" s="1014" cm="1" t="str">
        <f t="array" ref="AP67:AP67">AP66</f>
        <v>0</v>
      </c>
      <c r="AQ67" s="234"/>
      <c r="AR67" s="234"/>
    </row>
    <row s="1190" customFormat="1" customHeight="1" ht="14.25" hidden="1">
      <c r="A68" s="1484"/>
      <c r="B68" s="402"/>
      <c r="C68" s="849"/>
      <c r="D68" s="849"/>
      <c r="E68" s="850">
        <v>15</v>
      </c>
      <c r="F68" s="50" cm="1" t="str">
        <f t="array" ref="F68:F68">OFFSET(E68,-1,1)</f>
        <v>1</v>
      </c>
      <c r="G68" s="821"/>
      <c r="H68" s="821" t="str">
        <f>H66&amp;"_2"</f>
        <v>l5_2</v>
      </c>
      <c r="I68" s="821" cm="1" t="str">
        <f t="array" ref="I68:I68">I67</f>
        <v>0</v>
      </c>
      <c r="J68" s="849"/>
      <c r="K68" s="457"/>
      <c r="L68" s="457"/>
      <c r="M68" s="849"/>
      <c r="N68" s="849"/>
      <c r="O68" s="849"/>
      <c r="P68" s="849"/>
      <c r="Q68" s="849"/>
      <c r="R68" s="849"/>
      <c r="S68" s="849"/>
      <c r="T68" s="439" cm="1" t="str">
        <f t="array" ref="T68:T68">T67</f>
        <v>false</v>
      </c>
      <c r="U68" s="849"/>
      <c r="V68" s="849"/>
      <c r="W68" s="849"/>
      <c r="X68" s="1553"/>
      <c r="Y68" s="1553"/>
      <c r="Z68" s="1554"/>
      <c r="AA68" s="1551"/>
      <c r="AB68" s="670" t="str">
        <f>AB66&amp;".2"</f>
        <v>5.0.2</v>
      </c>
      <c r="AC68" s="746" t="s">
        <v>1047</v>
      </c>
      <c r="AD68" s="747" t="s">
        <v>1048</v>
      </c>
      <c r="AE68" s="3047"/>
      <c r="AF68" s="3047"/>
      <c r="AG68" s="3047"/>
      <c r="AH68" s="3047"/>
      <c r="AI68" s="265"/>
      <c r="AJ68" s="265"/>
      <c r="AK68" s="1771"/>
      <c r="AL68" s="1484"/>
      <c r="AM68" s="1484"/>
      <c r="AN68" s="1014" t="s">
        <v>1049</v>
      </c>
      <c r="AO68" s="1014" t="s">
        <v>1064</v>
      </c>
      <c r="AP68" s="1014" cm="1" t="str">
        <f t="array" ref="AP68:AP68">AP67</f>
        <v>0</v>
      </c>
      <c r="AQ68" s="234"/>
      <c r="AR68" s="234"/>
    </row>
    <row s="1190" customFormat="1" customHeight="1" ht="14.25">
      <c r="A69" s="1484"/>
      <c r="B69" s="402"/>
      <c r="C69" s="849"/>
      <c r="D69" s="849"/>
      <c r="E69" s="850">
        <v>15</v>
      </c>
      <c r="F69" s="50" cm="1" t="str">
        <f t="array" ref="F69:F69">OFFSET(E69,-1,1)</f>
        <v>1</v>
      </c>
      <c r="G69" s="341"/>
      <c r="H69" s="821"/>
      <c r="I69" s="118" t="str">
        <f>"!=='не определено' &amp;&amp; row.l5 !== null"</f>
        <v>!=='не определено' &amp;&amp; row.l5 !== null</v>
      </c>
      <c r="J69" s="849"/>
      <c r="K69" s="457"/>
      <c r="L69" s="457"/>
      <c r="M69" s="849"/>
      <c r="N69" s="849"/>
      <c r="O69" s="849"/>
      <c r="P69" s="849"/>
      <c r="Q69" s="849"/>
      <c r="R69" s="849"/>
      <c r="S69" s="849"/>
      <c r="T69" s="439">
        <f>F69&gt;0</f>
        <v>1</v>
      </c>
      <c r="U69" s="849"/>
      <c r="V69" s="849"/>
      <c r="W69" s="738" t="s">
        <v>1065</v>
      </c>
      <c r="X69" s="1553"/>
      <c r="Y69" s="855"/>
      <c r="Z69" s="1554"/>
      <c r="AA69" s="849"/>
      <c r="AB69" s="856"/>
      <c r="AC69" s="227" t="s">
        <v>177</v>
      </c>
      <c r="AD69" s="757"/>
      <c r="AE69" s="757"/>
      <c r="AF69" s="757"/>
      <c r="AG69" s="757"/>
      <c r="AH69" s="757"/>
      <c r="AI69" s="757"/>
      <c r="AJ69" s="757"/>
      <c r="AK69" s="758"/>
      <c r="AL69" s="1484"/>
      <c r="AM69" s="1484"/>
      <c r="AN69" s="1014"/>
      <c r="AO69" s="1014"/>
      <c r="AP69" s="1014"/>
      <c r="AQ69" s="234" t="s">
        <v>1064</v>
      </c>
      <c r="AR69" s="234"/>
    </row>
    <row s="1190" customFormat="1" customHeight="1" ht="21.75">
      <c r="A70" s="1484"/>
      <c r="B70" s="402"/>
      <c r="C70" s="849"/>
      <c r="D70" s="849"/>
      <c r="E70" s="850">
        <v>22.5</v>
      </c>
      <c r="F70" s="50" cm="1" t="str">
        <f t="array" ref="F70:F70">OFFSET(E70,-1,1)</f>
        <v>1</v>
      </c>
      <c r="G70" s="341" t="s">
        <v>1066</v>
      </c>
      <c r="H70" s="821" t="s">
        <v>491</v>
      </c>
      <c r="I70" s="821"/>
      <c r="J70" s="849"/>
      <c r="K70" s="457" t="str">
        <f>F70&amp;"6komm"</f>
        <v>16komm</v>
      </c>
      <c r="L70" s="457" cm="1" t="str">
        <f t="array" ref="L70:L70">AK70</f>
        <v>0</v>
      </c>
      <c r="M70" s="849"/>
      <c r="N70" s="849"/>
      <c r="O70" s="849"/>
      <c r="P70" s="849"/>
      <c r="Q70" s="849"/>
      <c r="R70" s="849"/>
      <c r="S70" s="849"/>
      <c r="T70" s="439" cm="1" t="str">
        <f t="array" ref="T70:T70">T69</f>
        <v>true</v>
      </c>
      <c r="U70" s="849"/>
      <c r="V70" s="849"/>
      <c r="W70" s="849"/>
      <c r="X70" s="1553"/>
      <c r="Y70" s="855"/>
      <c r="Z70" s="1554"/>
      <c r="AA70" s="849"/>
      <c r="AB70" s="670" t="s">
        <v>496</v>
      </c>
      <c r="AC70" s="829" t="s">
        <v>1067</v>
      </c>
      <c r="AD70" s="747" t="s">
        <v>784</v>
      </c>
      <c r="AE70" s="265">
        <f>AE65*_xlfn.SUMIFS(INDEX(Сценарии!$AE$25:$BF$109,,MATCH(AE$13,Сценарии!$AE$8:$BF$8,0)),Сценарии!$F$25:$F$109,$F70,Сценарии!$G$25:$G$109,"СВФОТ")/100</f>
        <v>0</v>
      </c>
      <c r="AF70" s="265">
        <f>AF65*_xlfn.SUMIFS(INDEX(Сценарии!$AE$25:$BF$109,,MATCH(AF$13,Сценарии!$AE$8:$BF$8,0)),Сценарии!$F$25:$F$109,$F70,Сценарии!$G$25:$G$109,"СВФОТ")/100</f>
        <v>0</v>
      </c>
      <c r="AG70" s="265">
        <f>AG65*_xlfn.SUMIFS(INDEX(Сценарии!$AE$25:$BF$109,,MATCH(AG$13,Сценарии!$AE$8:$BF$8,0)),Сценарии!$F$25:$F$109,$F70,Сценарии!$G$25:$G$109,"СВФОТ")/100</f>
        <v>0</v>
      </c>
      <c r="AH70" s="265">
        <f>AH65*_xlfn.SUMIFS(INDEX(Сценарии!$AE$25:$BF$109,,MATCH(AH$13,Сценарии!$AE$8:$BF$8,0)),Сценарии!$F$25:$F$109,$F70,Сценарии!$G$25:$G$109,"СВФОТ")/100</f>
        <v>0</v>
      </c>
      <c r="AI70" s="265">
        <f>AI65*_xlfn.SUMIFS(INDEX(Сценарии!$AE$25:$BF$109,,MATCH(AI$13,Сценарии!$AE$8:$BF$8,0)),Сценарии!$F$25:$F$109,$F70,Сценарии!$G$25:$G$109,"СВФОТ")/100</f>
        <v>0</v>
      </c>
      <c r="AJ70" s="265">
        <f>AJ65*_xlfn.SUMIFS(INDEX(Сценарии!$AE$25:$BF$109,,MATCH(AJ$13,Сценарии!$AE$8:$BF$8,0)),Сценарии!$F$25:$F$109,$F70,Сценарии!$G$25:$G$109,"СВФОТ")/100</f>
        <v>0</v>
      </c>
      <c r="AK70" s="900"/>
      <c r="AL70" s="1484"/>
      <c r="AM70" s="1484"/>
      <c r="AN70" s="1014" t="s">
        <v>1068</v>
      </c>
      <c r="AO70" s="1014"/>
      <c r="AP70" s="1014"/>
      <c r="AQ70" s="234"/>
      <c r="AR70" s="234"/>
    </row>
    <row s="1190" customFormat="1" customHeight="1" ht="14.25">
      <c r="A71" s="1484"/>
      <c r="B71" s="402"/>
      <c r="C71" s="849"/>
      <c r="D71" s="849"/>
      <c r="E71" s="850">
        <v>15</v>
      </c>
      <c r="F71" s="50" cm="1" t="str">
        <f t="array" ref="F71:F71">OFFSET(E71,-1,1)</f>
        <v>1</v>
      </c>
      <c r="G71" s="341" t="s">
        <v>1069</v>
      </c>
      <c r="H71" s="821" t="s">
        <v>495</v>
      </c>
      <c r="I71" s="821"/>
      <c r="J71" s="849"/>
      <c r="K71" s="457" t="str">
        <f>F71&amp;"7komm"</f>
        <v>17komm</v>
      </c>
      <c r="L71" s="457" cm="1" t="str">
        <f t="array" ref="L71:L71">AK71</f>
        <v>0</v>
      </c>
      <c r="M71" s="849"/>
      <c r="N71" s="849"/>
      <c r="O71" s="849"/>
      <c r="P71" s="849"/>
      <c r="Q71" s="849"/>
      <c r="R71" s="849"/>
      <c r="S71" s="849"/>
      <c r="T71" s="439" cm="1" t="str">
        <f t="array" ref="T71:T71">T70</f>
        <v>true</v>
      </c>
      <c r="U71" s="849"/>
      <c r="V71" s="849"/>
      <c r="W71" s="849"/>
      <c r="X71" s="1553"/>
      <c r="Y71" s="855"/>
      <c r="Z71" s="1554"/>
      <c r="AA71" s="849"/>
      <c r="AB71" s="670" t="s">
        <v>557</v>
      </c>
      <c r="AC71" s="829" t="s">
        <v>1070</v>
      </c>
      <c r="AD71" s="747" t="s">
        <v>784</v>
      </c>
      <c r="AE71" s="265"/>
      <c r="AF71" s="265"/>
      <c r="AG71" s="265"/>
      <c r="AH71" s="265"/>
      <c r="AI71" s="180">
        <f>_xlfn.SUMIFS(AI72:AI75,$AD72:$AD75,$AD71)</f>
        <v>0</v>
      </c>
      <c r="AJ71" s="180">
        <f>_xlfn.SUMIFS(AJ72:AJ75,$AD72:$AD75,$AD71)</f>
        <v>0</v>
      </c>
      <c r="AK71" s="900"/>
      <c r="AL71" s="1484"/>
      <c r="AM71" s="1484"/>
      <c r="AN71" s="1014" t="s">
        <v>1071</v>
      </c>
      <c r="AO71" s="1014"/>
      <c r="AP71" s="1014"/>
      <c r="AQ71" s="234"/>
      <c r="AR71" s="234"/>
    </row>
    <row s="1190" customFormat="1" customHeight="1" ht="18" hidden="1">
      <c r="A72" s="1484"/>
      <c r="B72" s="1484"/>
      <c r="C72" s="857"/>
      <c r="D72" s="857"/>
      <c r="E72" s="858">
        <v>18.75</v>
      </c>
      <c r="F72" s="50" cm="1" t="str">
        <f t="array" ref="F72:F72">OFFSET(E72,-1,1)</f>
        <v>1</v>
      </c>
      <c r="G72" s="854"/>
      <c r="H72" s="821" t="s">
        <v>495</v>
      </c>
      <c r="I72" s="854" cm="1" t="str">
        <f t="array" ref="I72:I72">AC72</f>
        <v>0</v>
      </c>
      <c r="J72" s="857"/>
      <c r="K72" s="898"/>
      <c r="L72" s="898"/>
      <c r="M72" s="857"/>
      <c r="N72" s="857"/>
      <c r="O72" s="857"/>
      <c r="P72" s="857"/>
      <c r="Q72" s="857"/>
      <c r="R72" s="857"/>
      <c r="S72" s="857"/>
      <c r="T72" s="439">
        <f>AND(F72&gt;0,Y72&gt;0)</f>
        <v>0</v>
      </c>
      <c r="U72" s="857"/>
      <c r="V72" s="857"/>
      <c r="W72" s="849" t="s">
        <v>173</v>
      </c>
      <c r="X72" s="1553"/>
      <c r="Y72" s="1553">
        <v>0</v>
      </c>
      <c r="Z72" s="1554"/>
      <c r="AA72" s="1551" t="s">
        <v>174</v>
      </c>
      <c r="AB72" s="1249" t="str">
        <f>"7."&amp;Y72</f>
        <v>7.0</v>
      </c>
      <c r="AC72" s="3059"/>
      <c r="AD72" s="860" t="s">
        <v>784</v>
      </c>
      <c r="AE72" s="3061"/>
      <c r="AF72" s="3061"/>
      <c r="AG72" s="3061"/>
      <c r="AH72" s="3061"/>
      <c r="AI72" s="862">
        <f>AI73*AI74*12/1000</f>
        <v>0</v>
      </c>
      <c r="AJ72" s="862">
        <f>AJ73*AJ74*12/1000</f>
        <v>0</v>
      </c>
      <c r="AK72" s="3063"/>
      <c r="AL72" s="1484"/>
      <c r="AM72" s="1484"/>
      <c r="AN72" s="1014" t="s">
        <v>1041</v>
      </c>
      <c r="AO72" s="1030" t="s">
        <v>1072</v>
      </c>
      <c r="AP72" s="1014" cm="1" t="str">
        <f t="array" ref="AP72:AP72">AC72</f>
        <v>0</v>
      </c>
      <c r="AQ72" s="1031"/>
      <c r="AR72" s="234" t="b">
        <v>1</v>
      </c>
    </row>
    <row s="1190" customFormat="1" customHeight="1" ht="14.25" hidden="1">
      <c r="A73" s="1484"/>
      <c r="B73" s="1484"/>
      <c r="C73" s="857"/>
      <c r="D73" s="857"/>
      <c r="E73" s="858">
        <v>15</v>
      </c>
      <c r="F73" s="50" cm="1" t="str">
        <f t="array" ref="F73:F73">OFFSET(E73,-1,1)</f>
        <v>1</v>
      </c>
      <c r="G73" s="854"/>
      <c r="H73" s="854" t="str">
        <f>H72&amp;"_1"</f>
        <v>l7_1</v>
      </c>
      <c r="I73" s="854" cm="1" t="str">
        <f t="array" ref="I73:I73">I72</f>
        <v>0</v>
      </c>
      <c r="J73" s="857"/>
      <c r="K73" s="898"/>
      <c r="L73" s="898"/>
      <c r="M73" s="857"/>
      <c r="N73" s="857"/>
      <c r="O73" s="857"/>
      <c r="P73" s="857"/>
      <c r="Q73" s="857"/>
      <c r="R73" s="857"/>
      <c r="S73" s="857"/>
      <c r="T73" s="439" cm="1" t="str">
        <f t="array" ref="T73:T73">T72</f>
        <v>false</v>
      </c>
      <c r="U73" s="857"/>
      <c r="V73" s="857"/>
      <c r="W73" s="857"/>
      <c r="X73" s="1553"/>
      <c r="Y73" s="1553"/>
      <c r="Z73" s="1554"/>
      <c r="AA73" s="1551"/>
      <c r="AB73" s="864" t="str">
        <f>AB72&amp;".1"</f>
        <v>7.0.1</v>
      </c>
      <c r="AC73" s="865" t="s">
        <v>1044</v>
      </c>
      <c r="AD73" s="860" t="s">
        <v>1045</v>
      </c>
      <c r="AE73" s="3061"/>
      <c r="AF73" s="3061"/>
      <c r="AG73" s="3061"/>
      <c r="AH73" s="3061"/>
      <c r="AI73" s="866"/>
      <c r="AJ73" s="866"/>
      <c r="AK73" s="3063"/>
      <c r="AL73" s="1484"/>
      <c r="AM73" s="1484"/>
      <c r="AN73" s="1014" t="s">
        <v>1046</v>
      </c>
      <c r="AO73" s="1030" t="s">
        <v>1072</v>
      </c>
      <c r="AP73" s="1014" cm="1" t="str">
        <f t="array" ref="AP73:AP73">AP72</f>
        <v>0</v>
      </c>
      <c r="AQ73" s="1031"/>
      <c r="AR73" s="1031"/>
    </row>
    <row s="1190" customFormat="1" customHeight="1" ht="14.25" hidden="1">
      <c r="A74" s="1484"/>
      <c r="B74" s="1484"/>
      <c r="C74" s="857"/>
      <c r="D74" s="857"/>
      <c r="E74" s="858">
        <v>15</v>
      </c>
      <c r="F74" s="50" cm="1" t="str">
        <f t="array" ref="F74:F74">OFFSET(E74,-1,1)</f>
        <v>1</v>
      </c>
      <c r="G74" s="854"/>
      <c r="H74" s="854" t="str">
        <f>H72&amp;"_2"</f>
        <v>l7_2</v>
      </c>
      <c r="I74" s="854" cm="1" t="str">
        <f t="array" ref="I74:I74">I73</f>
        <v>0</v>
      </c>
      <c r="J74" s="857"/>
      <c r="K74" s="898"/>
      <c r="L74" s="898"/>
      <c r="M74" s="857"/>
      <c r="N74" s="857"/>
      <c r="O74" s="857"/>
      <c r="P74" s="857"/>
      <c r="Q74" s="857"/>
      <c r="R74" s="857"/>
      <c r="S74" s="857"/>
      <c r="T74" s="439" cm="1" t="str">
        <f t="array" ref="T74:T74">T73</f>
        <v>false</v>
      </c>
      <c r="U74" s="857"/>
      <c r="V74" s="857"/>
      <c r="W74" s="857"/>
      <c r="X74" s="1553"/>
      <c r="Y74" s="1553"/>
      <c r="Z74" s="1554"/>
      <c r="AA74" s="1551"/>
      <c r="AB74" s="864" t="str">
        <f>AB72&amp;".2"</f>
        <v>7.0.2</v>
      </c>
      <c r="AC74" s="865" t="s">
        <v>1047</v>
      </c>
      <c r="AD74" s="860" t="s">
        <v>1048</v>
      </c>
      <c r="AE74" s="3061"/>
      <c r="AF74" s="3061"/>
      <c r="AG74" s="3061"/>
      <c r="AH74" s="3061"/>
      <c r="AI74" s="866"/>
      <c r="AJ74" s="866"/>
      <c r="AK74" s="3063"/>
      <c r="AL74" s="1484"/>
      <c r="AM74" s="1484"/>
      <c r="AN74" s="1014" t="s">
        <v>1049</v>
      </c>
      <c r="AO74" s="1030" t="s">
        <v>1072</v>
      </c>
      <c r="AP74" s="1014" cm="1" t="str">
        <f t="array" ref="AP74:AP74">AP73</f>
        <v>0</v>
      </c>
      <c r="AQ74" s="1031"/>
      <c r="AR74" s="1031"/>
    </row>
    <row s="1190" customFormat="1" customHeight="1" ht="14.25">
      <c r="A75" s="1484"/>
      <c r="B75" s="402"/>
      <c r="C75" s="849"/>
      <c r="D75" s="849"/>
      <c r="E75" s="850">
        <v>15</v>
      </c>
      <c r="F75" s="50" cm="1" t="str">
        <f t="array" ref="F75:F75">OFFSET(E75,-1,1)</f>
        <v>1</v>
      </c>
      <c r="G75" s="341"/>
      <c r="H75" s="821"/>
      <c r="I75" s="118" t="str">
        <f>"!=='не определено' &amp;&amp; row.l7 !== null"</f>
        <v>!=='не определено' &amp;&amp; row.l7 !== null</v>
      </c>
      <c r="J75" s="849"/>
      <c r="K75" s="457"/>
      <c r="L75" s="457"/>
      <c r="M75" s="849"/>
      <c r="N75" s="849"/>
      <c r="O75" s="849"/>
      <c r="P75" s="849"/>
      <c r="Q75" s="849"/>
      <c r="R75" s="849"/>
      <c r="S75" s="849"/>
      <c r="T75" s="439">
        <f>F75&gt;0</f>
        <v>1</v>
      </c>
      <c r="U75" s="849"/>
      <c r="V75" s="849"/>
      <c r="W75" s="738" t="s">
        <v>1073</v>
      </c>
      <c r="X75" s="1553"/>
      <c r="Y75" s="849"/>
      <c r="Z75" s="1554"/>
      <c r="AA75" s="849"/>
      <c r="AB75" s="856"/>
      <c r="AC75" s="227" t="s">
        <v>177</v>
      </c>
      <c r="AD75" s="757"/>
      <c r="AE75" s="757"/>
      <c r="AF75" s="757"/>
      <c r="AG75" s="757"/>
      <c r="AH75" s="757"/>
      <c r="AI75" s="757"/>
      <c r="AJ75" s="757"/>
      <c r="AK75" s="758"/>
      <c r="AL75" s="1484"/>
      <c r="AM75" s="1484"/>
      <c r="AN75" s="1014"/>
      <c r="AO75" s="1014"/>
      <c r="AP75" s="1014"/>
      <c r="AQ75" s="1031" t="s">
        <v>1072</v>
      </c>
      <c r="AR75" s="234"/>
    </row>
    <row s="1190" customFormat="1" customHeight="1" ht="21.75">
      <c r="A76" s="1484"/>
      <c r="B76" s="402"/>
      <c r="C76" s="849"/>
      <c r="D76" s="849"/>
      <c r="E76" s="850">
        <v>22.5</v>
      </c>
      <c r="F76" s="50" cm="1" t="str">
        <f t="array" ref="F76:F76">OFFSET(E76,-1,1)</f>
        <v>1</v>
      </c>
      <c r="G76" s="341" t="s">
        <v>1074</v>
      </c>
      <c r="H76" s="821" t="s">
        <v>541</v>
      </c>
      <c r="I76" s="821"/>
      <c r="J76" s="849"/>
      <c r="K76" s="457" t="str">
        <f>F76&amp;"8komm"</f>
        <v>18komm</v>
      </c>
      <c r="L76" s="899" cm="1" t="str">
        <f t="array" ref="L76:L76">AK76</f>
        <v>0</v>
      </c>
      <c r="M76" s="849"/>
      <c r="N76" s="849"/>
      <c r="O76" s="849"/>
      <c r="P76" s="849"/>
      <c r="Q76" s="849"/>
      <c r="R76" s="849"/>
      <c r="S76" s="849"/>
      <c r="T76" s="439" cm="1" t="str">
        <f t="array" ref="T76:T76">T75</f>
        <v>true</v>
      </c>
      <c r="U76" s="849"/>
      <c r="V76" s="849"/>
      <c r="W76" s="849"/>
      <c r="X76" s="1553"/>
      <c r="Y76" s="849"/>
      <c r="Z76" s="1554"/>
      <c r="AA76" s="849"/>
      <c r="AB76" s="670" t="s">
        <v>565</v>
      </c>
      <c r="AC76" s="829" t="s">
        <v>1075</v>
      </c>
      <c r="AD76" s="747" t="s">
        <v>784</v>
      </c>
      <c r="AE76" s="265">
        <f>AE71*_xlfn.SUMIFS(INDEX(Сценарии!$AE$25:$BF$109,,MATCH(AE$13,Сценарии!$AE$8:$BF$8,0)),Сценарии!$F$25:$F$109,$F76,Сценарии!$G$25:$G$109,"СВФОТ")/100</f>
        <v>0</v>
      </c>
      <c r="AF76" s="265">
        <f>AF71*_xlfn.SUMIFS(INDEX(Сценарии!$AE$25:$BF$109,,MATCH(AF$13,Сценарии!$AE$8:$BF$8,0)),Сценарии!$F$25:$F$109,$F76,Сценарии!$G$25:$G$109,"СВФОТ")/100</f>
        <v>0</v>
      </c>
      <c r="AG76" s="265">
        <f>AG71*_xlfn.SUMIFS(INDEX(Сценарии!$AE$25:$BF$109,,MATCH(AG$13,Сценарии!$AE$8:$BF$8,0)),Сценарии!$F$25:$F$109,$F76,Сценарии!$G$25:$G$109,"СВФОТ")/100</f>
        <v>0</v>
      </c>
      <c r="AH76" s="265">
        <f>AH71*_xlfn.SUMIFS(INDEX(Сценарии!$AE$25:$BF$109,,MATCH(AH$13,Сценарии!$AE$8:$BF$8,0)),Сценарии!$F$25:$F$109,$F76,Сценарии!$G$25:$G$109,"СВФОТ")/100</f>
        <v>0</v>
      </c>
      <c r="AI76" s="265">
        <f>AI71*_xlfn.SUMIFS(INDEX(Сценарии!$AE$25:$BF$109,,MATCH(AI$13,Сценарии!$AE$8:$BF$8,0)),Сценарии!$F$25:$F$109,$F76,Сценарии!$G$25:$G$109,"СВФОТ")/100</f>
        <v>0</v>
      </c>
      <c r="AJ76" s="265">
        <f>AJ71*_xlfn.SUMIFS(INDEX(Сценарии!$AE$25:$BF$109,,MATCH(AJ$13,Сценарии!$AE$8:$BF$8,0)),Сценарии!$F$25:$F$109,$F76,Сценарии!$G$25:$G$109,"СВФОТ")/100</f>
        <v>0</v>
      </c>
      <c r="AK76" s="828"/>
      <c r="AL76" s="1484"/>
      <c r="AM76" s="1484"/>
      <c r="AN76" s="1014" t="s">
        <v>1076</v>
      </c>
      <c r="AO76" s="1014"/>
      <c r="AP76" s="1014"/>
      <c r="AQ76" s="234"/>
      <c r="AR76" s="234"/>
    </row>
    <row s="1190" customFormat="1" customHeight="1" ht="14.25">
      <c r="A77" s="1484"/>
      <c r="B77" s="402"/>
      <c r="C77" s="849"/>
      <c r="D77" s="849"/>
      <c r="E77" s="850">
        <v>15</v>
      </c>
      <c r="F77" s="467" cm="1" t="str">
        <f t="array" ref="F77:F77">X77</f>
        <v>2</v>
      </c>
      <c r="G77" s="821" t="s">
        <v>60</v>
      </c>
      <c r="H77" s="821"/>
      <c r="I77" s="821"/>
      <c r="J77" s="849"/>
      <c r="K77" s="457"/>
      <c r="L77" s="457"/>
      <c r="M77" s="849"/>
      <c r="N77" s="849"/>
      <c r="O77" s="849"/>
      <c r="P77" s="849"/>
      <c r="Q77" s="849"/>
      <c r="R77" s="849"/>
      <c r="S77" s="849"/>
      <c r="T77" s="439">
        <f>X77&gt;0</f>
        <v>1</v>
      </c>
      <c r="U77" s="849"/>
      <c r="V77" s="849" cm="1" t="str">
        <f t="array" ref="V77:V77">Покупка!$AB$87</f>
        <v>Тариф 2 (Водоотведение) - тариф на водоотведение (Оказание услуг на территории: Прокопьевский муниципальный округ (ОКТМО: 32522000) - п Калачево)</v>
      </c>
      <c r="W77" s="849"/>
      <c r="X77" s="1553" t="s">
        <v>283</v>
      </c>
      <c r="Y77" s="849"/>
      <c r="Z77" s="1554"/>
      <c r="AA77" s="849"/>
      <c r="AB77" s="209" cm="1" t="str">
        <f t="array" ref="AB77:AB77">Покупка!$AB$87</f>
        <v>Тариф 2 (Водоотведение) - тариф на водоотведение (Оказание услуг на территории: Прокопьевский муниципальный округ (ОКТМО: 32522000) - п Калачево)</v>
      </c>
      <c r="AC77" s="851"/>
      <c r="AD77" s="851"/>
      <c r="AE77" s="852">
        <f>AE78+AE83+AE84+AE89+AE90+AE95+AE96+AE101</f>
        <v>0</v>
      </c>
      <c r="AF77" s="852">
        <f>AF78+AF83+AF84+AF89+AF90+AF95+AF96+AF101</f>
        <v>0</v>
      </c>
      <c r="AG77" s="852">
        <f>AG78+AG83+AG84+AG89+AG90+AG95+AG96+AG101</f>
        <v>0</v>
      </c>
      <c r="AH77" s="852">
        <f>AH78+AH83+AH84+AH89+AH90+AH95+AH96+AH101</f>
        <v>0</v>
      </c>
      <c r="AI77" s="852">
        <f>AI78+AI83+AI84+AI89+AI90+AI95+AI96+AI101</f>
        <v>0</v>
      </c>
      <c r="AJ77" s="852">
        <f>AJ78+AJ83+AJ84+AJ89+AJ90+AJ95+AJ96+AJ101</f>
        <v>0</v>
      </c>
      <c r="AK77" s="852"/>
      <c r="AL77" s="1484"/>
      <c r="AM77" s="1484"/>
      <c r="AN77" s="1014"/>
      <c r="AO77" s="1014"/>
      <c r="AP77" s="1014"/>
      <c r="AQ77" s="234"/>
      <c r="AR77" s="234"/>
    </row>
    <row s="1190" customFormat="1" customHeight="1" ht="21.75">
      <c r="A78" s="1484"/>
      <c r="B78" s="402"/>
      <c r="C78" s="849"/>
      <c r="D78" s="849"/>
      <c r="E78" s="850">
        <v>22.5</v>
      </c>
      <c r="F78" s="50" cm="1" t="str">
        <f t="array" ref="F78:F78">OFFSET(E78,-1,1)</f>
        <v>2</v>
      </c>
      <c r="G78" s="341" t="s">
        <v>1038</v>
      </c>
      <c r="H78" s="821" t="s">
        <v>325</v>
      </c>
      <c r="I78" s="821"/>
      <c r="J78" s="849"/>
      <c r="K78" s="457" t="str">
        <f>F78&amp;"1komm"</f>
        <v>21komm</v>
      </c>
      <c r="L78" s="899" cm="1" t="str">
        <f t="array" ref="L78:L78">AK78</f>
        <v>0</v>
      </c>
      <c r="M78" s="849"/>
      <c r="N78" s="849"/>
      <c r="O78" s="849"/>
      <c r="P78" s="849"/>
      <c r="Q78" s="849"/>
      <c r="R78" s="849"/>
      <c r="S78" s="849"/>
      <c r="T78" s="439" cm="1" t="str">
        <f t="array" ref="T78:T78">T77</f>
        <v>true</v>
      </c>
      <c r="U78" s="849"/>
      <c r="V78" s="849"/>
      <c r="W78" s="849"/>
      <c r="X78" s="1553"/>
      <c r="Y78" s="849"/>
      <c r="Z78" s="1554"/>
      <c r="AA78" s="849"/>
      <c r="AB78" s="670">
        <v>1</v>
      </c>
      <c r="AC78" s="829" t="s">
        <v>1039</v>
      </c>
      <c r="AD78" s="747" t="s">
        <v>784</v>
      </c>
      <c r="AE78" s="265"/>
      <c r="AF78" s="265"/>
      <c r="AG78" s="265"/>
      <c r="AH78" s="265"/>
      <c r="AI78" s="180">
        <f>_xlfn.SUMIFS(AI79:AI82,$AD79:$AD82,$AD78)</f>
        <v>0</v>
      </c>
      <c r="AJ78" s="180">
        <f>_xlfn.SUMIFS(AJ79:AJ82,$AD79:$AD82,$AD78)</f>
        <v>0</v>
      </c>
      <c r="AK78" s="828"/>
      <c r="AL78" s="1484"/>
      <c r="AM78" s="1484"/>
      <c r="AN78" s="1014" t="s">
        <v>1040</v>
      </c>
      <c r="AO78" s="1014"/>
      <c r="AP78" s="1014"/>
      <c r="AQ78" s="234"/>
      <c r="AR78" s="234"/>
    </row>
    <row s="1190" customFormat="1" customHeight="1" ht="18" hidden="1">
      <c r="A79" s="1484"/>
      <c r="B79" s="402"/>
      <c r="C79" s="849"/>
      <c r="D79" s="849"/>
      <c r="E79" s="850">
        <v>18.75</v>
      </c>
      <c r="F79" s="50" cm="1" t="str">
        <f t="array" ref="F79:F79">OFFSET(E79,-1,1)</f>
        <v>2</v>
      </c>
      <c r="G79" s="821"/>
      <c r="H79" s="821" t="s">
        <v>325</v>
      </c>
      <c r="I79" s="821" cm="1" t="str">
        <f t="array" ref="I79:I79">AC79</f>
        <v>0</v>
      </c>
      <c r="J79" s="849"/>
      <c r="K79" s="457"/>
      <c r="L79" s="457"/>
      <c r="M79" s="849"/>
      <c r="N79" s="849"/>
      <c r="O79" s="849"/>
      <c r="P79" s="849"/>
      <c r="Q79" s="849"/>
      <c r="R79" s="849"/>
      <c r="S79" s="849"/>
      <c r="T79" s="439">
        <f>AND(F79&gt;0,Y79&gt;0)</f>
        <v>0</v>
      </c>
      <c r="U79" s="849"/>
      <c r="V79" s="849"/>
      <c r="W79" s="849" t="s">
        <v>173</v>
      </c>
      <c r="X79" s="1553"/>
      <c r="Y79" s="1553">
        <v>0</v>
      </c>
      <c r="Z79" s="1554"/>
      <c r="AA79" s="1551" t="s">
        <v>174</v>
      </c>
      <c r="AB79" s="267" t="str">
        <f>"1."&amp;Y79</f>
        <v>1.0</v>
      </c>
      <c r="AC79" s="3046"/>
      <c r="AD79" s="747" t="s">
        <v>784</v>
      </c>
      <c r="AE79" s="3047"/>
      <c r="AF79" s="3047"/>
      <c r="AG79" s="3047"/>
      <c r="AH79" s="3047"/>
      <c r="AI79" s="753">
        <f>AI80*AI81*12/1000</f>
        <v>0</v>
      </c>
      <c r="AJ79" s="753">
        <f>AJ80*AJ81*12/1000</f>
        <v>0</v>
      </c>
      <c r="AK79" s="1771"/>
      <c r="AL79" s="1484"/>
      <c r="AM79" s="1484"/>
      <c r="AN79" s="1014" t="s">
        <v>1041</v>
      </c>
      <c r="AO79" s="1014" t="s">
        <v>1042</v>
      </c>
      <c r="AP79" s="1014" cm="1" t="str">
        <f t="array" ref="AP79:AP79">AC79</f>
        <v>0</v>
      </c>
      <c r="AQ79" s="234"/>
      <c r="AR79" s="234" t="b">
        <v>1</v>
      </c>
    </row>
    <row s="1190" customFormat="1" customHeight="1" ht="14.25" hidden="1">
      <c r="A80" s="1484"/>
      <c r="B80" s="402"/>
      <c r="C80" s="849"/>
      <c r="D80" s="849"/>
      <c r="E80" s="850">
        <v>15</v>
      </c>
      <c r="F80" s="50" cm="1" t="str">
        <f t="array" ref="F80:F80">OFFSET(E80,-1,1)</f>
        <v>2</v>
      </c>
      <c r="G80" s="854" t="s">
        <v>1043</v>
      </c>
      <c r="H80" s="821" t="str">
        <f>H79&amp;"_1"</f>
        <v>l1_1</v>
      </c>
      <c r="I80" s="821" cm="1" t="str">
        <f t="array" ref="I80:I80">I79</f>
        <v>0</v>
      </c>
      <c r="J80" s="849"/>
      <c r="K80" s="457"/>
      <c r="L80" s="457"/>
      <c r="M80" s="849"/>
      <c r="N80" s="849"/>
      <c r="O80" s="849"/>
      <c r="P80" s="849"/>
      <c r="Q80" s="849"/>
      <c r="R80" s="849"/>
      <c r="S80" s="849"/>
      <c r="T80" s="439" cm="1" t="str">
        <f t="array" ref="T80:T80">T79</f>
        <v>false</v>
      </c>
      <c r="U80" s="849"/>
      <c r="V80" s="849"/>
      <c r="W80" s="849"/>
      <c r="X80" s="1553"/>
      <c r="Y80" s="1553"/>
      <c r="Z80" s="1554"/>
      <c r="AA80" s="1551"/>
      <c r="AB80" s="670" t="str">
        <f>AB79&amp;".1"</f>
        <v>1.0.1</v>
      </c>
      <c r="AC80" s="746" t="s">
        <v>1044</v>
      </c>
      <c r="AD80" s="747" t="s">
        <v>1045</v>
      </c>
      <c r="AE80" s="3047"/>
      <c r="AF80" s="3047"/>
      <c r="AG80" s="3047"/>
      <c r="AH80" s="3047"/>
      <c r="AI80" s="265"/>
      <c r="AJ80" s="265"/>
      <c r="AK80" s="1771"/>
      <c r="AL80" s="1484"/>
      <c r="AM80" s="1484"/>
      <c r="AN80" s="1014" t="s">
        <v>1046</v>
      </c>
      <c r="AO80" s="1014" t="s">
        <v>1042</v>
      </c>
      <c r="AP80" s="1014" cm="1" t="str">
        <f t="array" ref="AP80:AP80">AP79</f>
        <v>0</v>
      </c>
      <c r="AQ80" s="234"/>
      <c r="AR80" s="234"/>
    </row>
    <row s="1190" customFormat="1" customHeight="1" ht="14.25" hidden="1">
      <c r="A81" s="1484"/>
      <c r="B81" s="402"/>
      <c r="C81" s="849"/>
      <c r="D81" s="849"/>
      <c r="E81" s="850">
        <v>15</v>
      </c>
      <c r="F81" s="50" cm="1" t="str">
        <f t="array" ref="F81:F81">OFFSET(E81,-1,1)</f>
        <v>2</v>
      </c>
      <c r="G81" s="821"/>
      <c r="H81" s="821" t="str">
        <f>H79&amp;"_2"</f>
        <v>l1_2</v>
      </c>
      <c r="I81" s="821" cm="1" t="str">
        <f t="array" ref="I81:I81">I80</f>
        <v>0</v>
      </c>
      <c r="J81" s="849"/>
      <c r="K81" s="457"/>
      <c r="L81" s="457"/>
      <c r="M81" s="849"/>
      <c r="N81" s="849"/>
      <c r="O81" s="849"/>
      <c r="P81" s="849"/>
      <c r="Q81" s="849"/>
      <c r="R81" s="849"/>
      <c r="S81" s="849"/>
      <c r="T81" s="439" cm="1" t="str">
        <f t="array" ref="T81:T81">T80</f>
        <v>false</v>
      </c>
      <c r="U81" s="849"/>
      <c r="V81" s="849"/>
      <c r="W81" s="849"/>
      <c r="X81" s="1553"/>
      <c r="Y81" s="1553"/>
      <c r="Z81" s="1554"/>
      <c r="AA81" s="1551"/>
      <c r="AB81" s="670" t="str">
        <f>AB79&amp;".2"</f>
        <v>1.0.2</v>
      </c>
      <c r="AC81" s="746" t="s">
        <v>1047</v>
      </c>
      <c r="AD81" s="747" t="s">
        <v>1048</v>
      </c>
      <c r="AE81" s="3047"/>
      <c r="AF81" s="3047"/>
      <c r="AG81" s="3047"/>
      <c r="AH81" s="3047"/>
      <c r="AI81" s="265"/>
      <c r="AJ81" s="265"/>
      <c r="AK81" s="1771"/>
      <c r="AL81" s="1484"/>
      <c r="AM81" s="1484"/>
      <c r="AN81" s="1014" t="s">
        <v>1049</v>
      </c>
      <c r="AO81" s="1014" t="s">
        <v>1042</v>
      </c>
      <c r="AP81" s="1014" cm="1" t="str">
        <f t="array" ref="AP81:AP81">AP80</f>
        <v>0</v>
      </c>
      <c r="AQ81" s="234"/>
      <c r="AR81" s="234"/>
    </row>
    <row s="1190" customFormat="1" customHeight="1" ht="14.25">
      <c r="A82" s="1484"/>
      <c r="B82" s="402"/>
      <c r="C82" s="849"/>
      <c r="D82" s="849"/>
      <c r="E82" s="850">
        <v>15</v>
      </c>
      <c r="F82" s="50" cm="1" t="str">
        <f t="array" ref="F82:F82">OFFSET(E82,-1,1)</f>
        <v>2</v>
      </c>
      <c r="G82" s="341"/>
      <c r="H82" s="821"/>
      <c r="I82" s="118" t="str">
        <f>"!=='не определено' &amp;&amp; row.l1 !== null"</f>
        <v>!=='не определено' &amp;&amp; row.l1 !== null</v>
      </c>
      <c r="J82" s="849"/>
      <c r="K82" s="457"/>
      <c r="L82" s="457"/>
      <c r="M82" s="849"/>
      <c r="N82" s="849"/>
      <c r="O82" s="849"/>
      <c r="P82" s="849"/>
      <c r="Q82" s="849"/>
      <c r="R82" s="849"/>
      <c r="S82" s="849"/>
      <c r="T82" s="439">
        <f>F82&gt;0</f>
        <v>1</v>
      </c>
      <c r="U82" s="849"/>
      <c r="V82" s="849"/>
      <c r="W82" s="738" t="s">
        <v>392</v>
      </c>
      <c r="X82" s="1553"/>
      <c r="Y82" s="855"/>
      <c r="Z82" s="1554"/>
      <c r="AA82" s="849"/>
      <c r="AB82" s="856"/>
      <c r="AC82" s="227" t="s">
        <v>177</v>
      </c>
      <c r="AD82" s="757"/>
      <c r="AE82" s="757"/>
      <c r="AF82" s="757"/>
      <c r="AG82" s="757"/>
      <c r="AH82" s="757"/>
      <c r="AI82" s="757"/>
      <c r="AJ82" s="757"/>
      <c r="AK82" s="758"/>
      <c r="AL82" s="1484"/>
      <c r="AM82" s="1484"/>
      <c r="AN82" s="1014"/>
      <c r="AO82" s="1014"/>
      <c r="AP82" s="1014"/>
      <c r="AQ82" s="234" t="s">
        <v>1042</v>
      </c>
      <c r="AR82" s="234"/>
    </row>
    <row s="1190" customFormat="1" customHeight="1" ht="21.75">
      <c r="A83" s="1484"/>
      <c r="B83" s="402"/>
      <c r="C83" s="849"/>
      <c r="D83" s="849"/>
      <c r="E83" s="850">
        <v>22.5</v>
      </c>
      <c r="F83" s="50" cm="1" t="str">
        <f t="array" ref="F83:F83">OFFSET(E83,-1,1)</f>
        <v>2</v>
      </c>
      <c r="G83" s="341" t="s">
        <v>1050</v>
      </c>
      <c r="H83" s="821" t="s">
        <v>326</v>
      </c>
      <c r="I83" s="821"/>
      <c r="J83" s="849"/>
      <c r="K83" s="457" t="str">
        <f>F83&amp;"2komm"</f>
        <v>22komm</v>
      </c>
      <c r="L83" s="899" cm="1" t="str">
        <f t="array" ref="L83:L83">AK83</f>
        <v>0</v>
      </c>
      <c r="M83" s="849"/>
      <c r="N83" s="849"/>
      <c r="O83" s="849"/>
      <c r="P83" s="849"/>
      <c r="Q83" s="849"/>
      <c r="R83" s="849"/>
      <c r="S83" s="849"/>
      <c r="T83" s="439" cm="1" t="str">
        <f t="array" ref="T83:T83">T82</f>
        <v>true</v>
      </c>
      <c r="U83" s="849"/>
      <c r="V83" s="849"/>
      <c r="W83" s="849"/>
      <c r="X83" s="1553"/>
      <c r="Y83" s="855"/>
      <c r="Z83" s="1554"/>
      <c r="AA83" s="849"/>
      <c r="AB83" s="670" t="s">
        <v>283</v>
      </c>
      <c r="AC83" s="829" t="s">
        <v>1051</v>
      </c>
      <c r="AD83" s="747" t="s">
        <v>784</v>
      </c>
      <c r="AE83" s="265">
        <f>AE78*_xlfn.SUMIFS(INDEX(Сценарии!$AE$25:$BF$109,,MATCH(AE$13,Сценарии!$AE$8:$BF$8,0)),Сценарии!$F$25:$F$109,$F83,Сценарии!$G$25:$G$109,"СВФОТ")/100</f>
        <v>0</v>
      </c>
      <c r="AF83" s="265">
        <f>AF78*_xlfn.SUMIFS(INDEX(Сценарии!$AE$25:$BF$109,,MATCH(AF$13,Сценарии!$AE$8:$BF$8,0)),Сценарии!$F$25:$F$109,$F83,Сценарии!$G$25:$G$109,"СВФОТ")/100</f>
        <v>0</v>
      </c>
      <c r="AG83" s="265">
        <f>AG78*_xlfn.SUMIFS(INDEX(Сценарии!$AE$25:$BF$109,,MATCH(AG$13,Сценарии!$AE$8:$BF$8,0)),Сценарии!$F$25:$F$109,$F83,Сценарии!$G$25:$G$109,"СВФОТ")/100</f>
        <v>0</v>
      </c>
      <c r="AH83" s="265">
        <f>AH78*_xlfn.SUMIFS(INDEX(Сценарии!$AE$25:$BF$109,,MATCH(AH$13,Сценарии!$AE$8:$BF$8,0)),Сценарии!$F$25:$F$109,$F83,Сценарии!$G$25:$G$109,"СВФОТ")/100</f>
        <v>0</v>
      </c>
      <c r="AI83" s="265">
        <f>AI78*_xlfn.SUMIFS(INDEX(Сценарии!$AE$25:$BF$109,,MATCH(AI$13,Сценарии!$AE$8:$BF$8,0)),Сценарии!$F$25:$F$109,$F83,Сценарии!$G$25:$G$109,"СВФОТ")/100</f>
        <v>0</v>
      </c>
      <c r="AJ83" s="265">
        <f>AJ78*_xlfn.SUMIFS(INDEX(Сценарии!$AE$25:$BF$109,,MATCH(AJ$13,Сценарии!$AE$8:$BF$8,0)),Сценарии!$F$25:$F$109,$F83,Сценарии!$G$25:$G$109,"СВФОТ")/100</f>
        <v>0</v>
      </c>
      <c r="AK83" s="828"/>
      <c r="AL83" s="1484"/>
      <c r="AM83" s="1484"/>
      <c r="AN83" s="1014" t="s">
        <v>1052</v>
      </c>
      <c r="AO83" s="1014"/>
      <c r="AP83" s="1014"/>
      <c r="AQ83" s="234"/>
      <c r="AR83" s="234"/>
    </row>
    <row s="1190" customFormat="1" customHeight="1" ht="14.25">
      <c r="A84" s="1484"/>
      <c r="B84" s="402"/>
      <c r="C84" s="849"/>
      <c r="D84" s="849"/>
      <c r="E84" s="850">
        <v>15</v>
      </c>
      <c r="F84" s="50" cm="1" t="str">
        <f t="array" ref="F84:F84">OFFSET(E84,-1,1)</f>
        <v>2</v>
      </c>
      <c r="G84" s="341" t="s">
        <v>1053</v>
      </c>
      <c r="H84" s="821" t="s">
        <v>327</v>
      </c>
      <c r="I84" s="821"/>
      <c r="J84" s="849"/>
      <c r="K84" s="457" t="str">
        <f>F84&amp;"3komm"</f>
        <v>23komm</v>
      </c>
      <c r="L84" s="899" cm="1" t="str">
        <f t="array" ref="L84:L84">AK84</f>
        <v>0</v>
      </c>
      <c r="M84" s="849"/>
      <c r="N84" s="849"/>
      <c r="O84" s="849"/>
      <c r="P84" s="849"/>
      <c r="Q84" s="849"/>
      <c r="R84" s="849"/>
      <c r="S84" s="849"/>
      <c r="T84" s="439" cm="1" t="str">
        <f t="array" ref="T84:T84">T83</f>
        <v>true</v>
      </c>
      <c r="U84" s="849"/>
      <c r="V84" s="849"/>
      <c r="W84" s="849"/>
      <c r="X84" s="1553"/>
      <c r="Y84" s="855"/>
      <c r="Z84" s="1554"/>
      <c r="AA84" s="849"/>
      <c r="AB84" s="670" t="s">
        <v>323</v>
      </c>
      <c r="AC84" s="829" t="s">
        <v>1054</v>
      </c>
      <c r="AD84" s="747" t="s">
        <v>784</v>
      </c>
      <c r="AE84" s="265"/>
      <c r="AF84" s="265"/>
      <c r="AG84" s="265"/>
      <c r="AH84" s="265"/>
      <c r="AI84" s="180">
        <f>_xlfn.SUMIFS(AI85:AI88,$AD85:$AD88,$AD84)</f>
        <v>0</v>
      </c>
      <c r="AJ84" s="180">
        <f>_xlfn.SUMIFS(AJ85:AJ88,$AD85:$AD88,$AD84)</f>
        <v>0</v>
      </c>
      <c r="AK84" s="828"/>
      <c r="AL84" s="1484"/>
      <c r="AM84" s="1484"/>
      <c r="AN84" s="1014" t="s">
        <v>1055</v>
      </c>
      <c r="AO84" s="1014"/>
      <c r="AP84" s="1014"/>
      <c r="AQ84" s="234"/>
      <c r="AR84" s="234"/>
    </row>
    <row s="1190" customFormat="1" customHeight="1" ht="18" hidden="1">
      <c r="A85" s="1484"/>
      <c r="B85" s="402"/>
      <c r="C85" s="849"/>
      <c r="D85" s="849"/>
      <c r="E85" s="850">
        <v>18.75</v>
      </c>
      <c r="F85" s="50" cm="1" t="str">
        <f t="array" ref="F85:F85">OFFSET(E85,-1,1)</f>
        <v>2</v>
      </c>
      <c r="G85" s="821"/>
      <c r="H85" s="821" t="s">
        <v>327</v>
      </c>
      <c r="I85" s="821" cm="1" t="str">
        <f t="array" ref="I85:I85">AC85</f>
        <v>0</v>
      </c>
      <c r="J85" s="849"/>
      <c r="K85" s="457"/>
      <c r="L85" s="457"/>
      <c r="M85" s="849"/>
      <c r="N85" s="849"/>
      <c r="O85" s="849"/>
      <c r="P85" s="849"/>
      <c r="Q85" s="849"/>
      <c r="R85" s="849"/>
      <c r="S85" s="849"/>
      <c r="T85" s="439">
        <f>AND(F85&gt;0,Y85&gt;0)</f>
        <v>0</v>
      </c>
      <c r="U85" s="849"/>
      <c r="V85" s="849"/>
      <c r="W85" s="849" t="s">
        <v>173</v>
      </c>
      <c r="X85" s="1553"/>
      <c r="Y85" s="1553">
        <v>0</v>
      </c>
      <c r="Z85" s="1554"/>
      <c r="AA85" s="1551" t="s">
        <v>174</v>
      </c>
      <c r="AB85" s="267" t="str">
        <f>"3."&amp;Y85</f>
        <v>3.0</v>
      </c>
      <c r="AC85" s="3046"/>
      <c r="AD85" s="747" t="s">
        <v>784</v>
      </c>
      <c r="AE85" s="3047"/>
      <c r="AF85" s="3047"/>
      <c r="AG85" s="3047"/>
      <c r="AH85" s="3047"/>
      <c r="AI85" s="753">
        <f>AI86*AI87*12/1000</f>
        <v>0</v>
      </c>
      <c r="AJ85" s="753">
        <f>AJ86*AJ87*12/1000</f>
        <v>0</v>
      </c>
      <c r="AK85" s="1771"/>
      <c r="AL85" s="1484"/>
      <c r="AM85" s="1484"/>
      <c r="AN85" s="1014" t="s">
        <v>1041</v>
      </c>
      <c r="AO85" s="1014" t="s">
        <v>1056</v>
      </c>
      <c r="AP85" s="1014" cm="1" t="str">
        <f t="array" ref="AP85:AP85">AC85</f>
        <v>0</v>
      </c>
      <c r="AQ85" s="234"/>
      <c r="AR85" s="234" t="b">
        <v>1</v>
      </c>
    </row>
    <row s="1190" customFormat="1" customHeight="1" ht="14.25" hidden="1">
      <c r="A86" s="1484"/>
      <c r="B86" s="402"/>
      <c r="C86" s="849"/>
      <c r="D86" s="849"/>
      <c r="E86" s="850">
        <v>15</v>
      </c>
      <c r="F86" s="50" cm="1" t="str">
        <f t="array" ref="F86:F86">OFFSET(E86,-1,1)</f>
        <v>2</v>
      </c>
      <c r="G86" s="854" t="s">
        <v>1057</v>
      </c>
      <c r="H86" s="821" t="str">
        <f>H85&amp;"_1"</f>
        <v>l3_1</v>
      </c>
      <c r="I86" s="821" cm="1" t="str">
        <f t="array" ref="I86:I86">I85</f>
        <v>0</v>
      </c>
      <c r="J86" s="849"/>
      <c r="K86" s="457"/>
      <c r="L86" s="457"/>
      <c r="M86" s="849"/>
      <c r="N86" s="849"/>
      <c r="O86" s="849"/>
      <c r="P86" s="849"/>
      <c r="Q86" s="849"/>
      <c r="R86" s="849"/>
      <c r="S86" s="849"/>
      <c r="T86" s="439" cm="1" t="str">
        <f t="array" ref="T86:T86">T85</f>
        <v>false</v>
      </c>
      <c r="U86" s="849"/>
      <c r="V86" s="849"/>
      <c r="W86" s="849"/>
      <c r="X86" s="1553"/>
      <c r="Y86" s="1553"/>
      <c r="Z86" s="1554"/>
      <c r="AA86" s="1551"/>
      <c r="AB86" s="670" t="str">
        <f>AB85&amp;".1"</f>
        <v>3.0.1</v>
      </c>
      <c r="AC86" s="746" t="s">
        <v>1044</v>
      </c>
      <c r="AD86" s="747" t="s">
        <v>1045</v>
      </c>
      <c r="AE86" s="3047"/>
      <c r="AF86" s="3047"/>
      <c r="AG86" s="3047"/>
      <c r="AH86" s="3047"/>
      <c r="AI86" s="265"/>
      <c r="AJ86" s="265"/>
      <c r="AK86" s="1771"/>
      <c r="AL86" s="1484"/>
      <c r="AM86" s="1484"/>
      <c r="AN86" s="1014" t="s">
        <v>1046</v>
      </c>
      <c r="AO86" s="1014" t="s">
        <v>1056</v>
      </c>
      <c r="AP86" s="1014" cm="1" t="str">
        <f t="array" ref="AP86:AP86">AP85</f>
        <v>0</v>
      </c>
      <c r="AQ86" s="234"/>
      <c r="AR86" s="234"/>
    </row>
    <row s="1190" customFormat="1" customHeight="1" ht="14.25" hidden="1">
      <c r="A87" s="1484"/>
      <c r="B87" s="402"/>
      <c r="C87" s="849"/>
      <c r="D87" s="849"/>
      <c r="E87" s="850">
        <v>15</v>
      </c>
      <c r="F87" s="50" cm="1" t="str">
        <f t="array" ref="F87:F87">OFFSET(E87,-1,1)</f>
        <v>2</v>
      </c>
      <c r="G87" s="821"/>
      <c r="H87" s="821" t="str">
        <f>H85&amp;"_2"</f>
        <v>l3_2</v>
      </c>
      <c r="I87" s="821" cm="1" t="str">
        <f t="array" ref="I87:I87">I86</f>
        <v>0</v>
      </c>
      <c r="J87" s="849"/>
      <c r="K87" s="457"/>
      <c r="L87" s="457"/>
      <c r="M87" s="849"/>
      <c r="N87" s="849"/>
      <c r="O87" s="849"/>
      <c r="P87" s="849"/>
      <c r="Q87" s="849"/>
      <c r="R87" s="849"/>
      <c r="S87" s="849"/>
      <c r="T87" s="439" cm="1" t="str">
        <f t="array" ref="T87:T87">T86</f>
        <v>false</v>
      </c>
      <c r="U87" s="849"/>
      <c r="V87" s="849"/>
      <c r="W87" s="849"/>
      <c r="X87" s="1553"/>
      <c r="Y87" s="1553"/>
      <c r="Z87" s="1554"/>
      <c r="AA87" s="1551"/>
      <c r="AB87" s="670" t="str">
        <f>AB85&amp;".2"</f>
        <v>3.0.2</v>
      </c>
      <c r="AC87" s="746" t="s">
        <v>1047</v>
      </c>
      <c r="AD87" s="747" t="s">
        <v>1048</v>
      </c>
      <c r="AE87" s="3047"/>
      <c r="AF87" s="3047"/>
      <c r="AG87" s="3047"/>
      <c r="AH87" s="3047"/>
      <c r="AI87" s="265"/>
      <c r="AJ87" s="265"/>
      <c r="AK87" s="1771"/>
      <c r="AL87" s="1484"/>
      <c r="AM87" s="1484"/>
      <c r="AN87" s="1014" t="s">
        <v>1049</v>
      </c>
      <c r="AO87" s="1014" t="s">
        <v>1056</v>
      </c>
      <c r="AP87" s="1014" cm="1" t="str">
        <f t="array" ref="AP87:AP87">AP86</f>
        <v>0</v>
      </c>
      <c r="AQ87" s="234"/>
      <c r="AR87" s="234"/>
    </row>
    <row s="1190" customFormat="1" customHeight="1" ht="14.25">
      <c r="A88" s="1484"/>
      <c r="B88" s="402"/>
      <c r="C88" s="849"/>
      <c r="D88" s="849"/>
      <c r="E88" s="850">
        <v>15</v>
      </c>
      <c r="F88" s="50" cm="1" t="str">
        <f t="array" ref="F88:F88">OFFSET(E88,-1,1)</f>
        <v>2</v>
      </c>
      <c r="G88" s="341"/>
      <c r="H88" s="821"/>
      <c r="I88" s="118" t="str">
        <f>"!=='не определено' &amp;&amp; row.l3 !== null"</f>
        <v>!=='не определено' &amp;&amp; row.l3 !== null</v>
      </c>
      <c r="J88" s="849"/>
      <c r="K88" s="457"/>
      <c r="L88" s="457"/>
      <c r="M88" s="849"/>
      <c r="N88" s="849"/>
      <c r="O88" s="849"/>
      <c r="P88" s="849"/>
      <c r="Q88" s="849"/>
      <c r="R88" s="849"/>
      <c r="S88" s="849"/>
      <c r="T88" s="439">
        <f>F88&gt;0</f>
        <v>1</v>
      </c>
      <c r="U88" s="849"/>
      <c r="V88" s="849"/>
      <c r="W88" s="738" t="s">
        <v>832</v>
      </c>
      <c r="X88" s="1553"/>
      <c r="Y88" s="855"/>
      <c r="Z88" s="1554"/>
      <c r="AA88" s="849"/>
      <c r="AB88" s="856"/>
      <c r="AC88" s="227" t="s">
        <v>177</v>
      </c>
      <c r="AD88" s="757"/>
      <c r="AE88" s="757"/>
      <c r="AF88" s="757"/>
      <c r="AG88" s="757"/>
      <c r="AH88" s="757"/>
      <c r="AI88" s="757"/>
      <c r="AJ88" s="757"/>
      <c r="AK88" s="758"/>
      <c r="AL88" s="1484"/>
      <c r="AM88" s="1484"/>
      <c r="AN88" s="1014"/>
      <c r="AO88" s="1014"/>
      <c r="AP88" s="1014"/>
      <c r="AQ88" s="234" t="s">
        <v>1056</v>
      </c>
      <c r="AR88" s="234"/>
    </row>
    <row s="1190" customFormat="1" customHeight="1" ht="21.75">
      <c r="A89" s="1484"/>
      <c r="B89" s="402"/>
      <c r="C89" s="849"/>
      <c r="D89" s="849"/>
      <c r="E89" s="850">
        <v>22.5</v>
      </c>
      <c r="F89" s="50" cm="1" t="str">
        <f t="array" ref="F89:F89">OFFSET(E89,-1,1)</f>
        <v>2</v>
      </c>
      <c r="G89" s="341" t="s">
        <v>1058</v>
      </c>
      <c r="H89" s="821" t="s">
        <v>329</v>
      </c>
      <c r="I89" s="821"/>
      <c r="J89" s="849"/>
      <c r="K89" s="457" t="str">
        <f>F89&amp;"4komm"</f>
        <v>24komm</v>
      </c>
      <c r="L89" s="899" cm="1" t="str">
        <f t="array" ref="L89:L89">AK89</f>
        <v>0</v>
      </c>
      <c r="M89" s="849"/>
      <c r="N89" s="849"/>
      <c r="O89" s="849"/>
      <c r="P89" s="849"/>
      <c r="Q89" s="849"/>
      <c r="R89" s="849"/>
      <c r="S89" s="849"/>
      <c r="T89" s="439" cm="1" t="str">
        <f t="array" ref="T89:T89">T88</f>
        <v>true</v>
      </c>
      <c r="U89" s="849"/>
      <c r="V89" s="849"/>
      <c r="W89" s="849"/>
      <c r="X89" s="1553"/>
      <c r="Y89" s="855"/>
      <c r="Z89" s="1554"/>
      <c r="AA89" s="849"/>
      <c r="AB89" s="670" t="s">
        <v>536</v>
      </c>
      <c r="AC89" s="829" t="s">
        <v>1059</v>
      </c>
      <c r="AD89" s="747" t="s">
        <v>784</v>
      </c>
      <c r="AE89" s="265">
        <f>AE84*_xlfn.SUMIFS(INDEX(Сценарии!$AE$25:$BF$109,,MATCH(AE$13,Сценарии!$AE$8:$BF$8,0)),Сценарии!$F$25:$F$109,$F89,Сценарии!$G$25:$G$109,"СВФОТ")/100</f>
        <v>0</v>
      </c>
      <c r="AF89" s="265">
        <f>AF84*_xlfn.SUMIFS(INDEX(Сценарии!$AE$25:$BF$109,,MATCH(AF$13,Сценарии!$AE$8:$BF$8,0)),Сценарии!$F$25:$F$109,$F89,Сценарии!$G$25:$G$109,"СВФОТ")/100</f>
        <v>0</v>
      </c>
      <c r="AG89" s="265">
        <f>AG84*_xlfn.SUMIFS(INDEX(Сценарии!$AE$25:$BF$109,,MATCH(AG$13,Сценарии!$AE$8:$BF$8,0)),Сценарии!$F$25:$F$109,$F89,Сценарии!$G$25:$G$109,"СВФОТ")/100</f>
        <v>0</v>
      </c>
      <c r="AH89" s="265">
        <f>AH84*_xlfn.SUMIFS(INDEX(Сценарии!$AE$25:$BF$109,,MATCH(AH$13,Сценарии!$AE$8:$BF$8,0)),Сценарии!$F$25:$F$109,$F89,Сценарии!$G$25:$G$109,"СВФОТ")/100</f>
        <v>0</v>
      </c>
      <c r="AI89" s="265">
        <f>AI84*_xlfn.SUMIFS(INDEX(Сценарии!$AE$25:$BF$109,,MATCH(AI$13,Сценарии!$AE$8:$BF$8,0)),Сценарии!$F$25:$F$109,$F89,Сценарии!$G$25:$G$109,"СВФОТ")/100</f>
        <v>0</v>
      </c>
      <c r="AJ89" s="265">
        <f>AJ84*_xlfn.SUMIFS(INDEX(Сценарии!$AE$25:$BF$109,,MATCH(AJ$13,Сценарии!$AE$8:$BF$8,0)),Сценарии!$F$25:$F$109,$F89,Сценарии!$G$25:$G$109,"СВФОТ")/100</f>
        <v>0</v>
      </c>
      <c r="AK89" s="828"/>
      <c r="AL89" s="1484"/>
      <c r="AM89" s="1484"/>
      <c r="AN89" s="1014" t="s">
        <v>1060</v>
      </c>
      <c r="AO89" s="1014"/>
      <c r="AP89" s="1014"/>
      <c r="AQ89" s="234"/>
      <c r="AR89" s="234"/>
    </row>
    <row s="1190" customFormat="1" customHeight="1" ht="21.75">
      <c r="A90" s="1484"/>
      <c r="B90" s="402"/>
      <c r="C90" s="849"/>
      <c r="D90" s="849"/>
      <c r="E90" s="850">
        <v>22.5</v>
      </c>
      <c r="F90" s="50" cm="1" t="str">
        <f t="array" ref="F90:F90">OFFSET(E90,-1,1)</f>
        <v>2</v>
      </c>
      <c r="G90" s="341" t="s">
        <v>1061</v>
      </c>
      <c r="H90" s="821" t="s">
        <v>328</v>
      </c>
      <c r="I90" s="821"/>
      <c r="J90" s="849"/>
      <c r="K90" s="457" t="str">
        <f>F90&amp;"5komm"</f>
        <v>25komm</v>
      </c>
      <c r="L90" s="899" cm="1" t="str">
        <f t="array" ref="L90:L90">AK90</f>
        <v>0</v>
      </c>
      <c r="M90" s="849"/>
      <c r="N90" s="849"/>
      <c r="O90" s="849"/>
      <c r="P90" s="849"/>
      <c r="Q90" s="849"/>
      <c r="R90" s="849"/>
      <c r="S90" s="849"/>
      <c r="T90" s="439" cm="1" t="str">
        <f t="array" ref="T90:T90">T89</f>
        <v>true</v>
      </c>
      <c r="U90" s="849"/>
      <c r="V90" s="849"/>
      <c r="W90" s="849"/>
      <c r="X90" s="1553"/>
      <c r="Y90" s="855"/>
      <c r="Z90" s="1554"/>
      <c r="AA90" s="849"/>
      <c r="AB90" s="670" t="s">
        <v>492</v>
      </c>
      <c r="AC90" s="829" t="s">
        <v>1062</v>
      </c>
      <c r="AD90" s="747" t="s">
        <v>784</v>
      </c>
      <c r="AE90" s="265"/>
      <c r="AF90" s="265"/>
      <c r="AG90" s="265"/>
      <c r="AH90" s="265"/>
      <c r="AI90" s="180">
        <f>_xlfn.SUMIFS(AI91:AI94,$AD91:$AD94,$AD90)</f>
        <v>0</v>
      </c>
      <c r="AJ90" s="180">
        <f>_xlfn.SUMIFS(AJ91:AJ94,$AD91:$AD94,$AD90)</f>
        <v>0</v>
      </c>
      <c r="AK90" s="828"/>
      <c r="AL90" s="1484"/>
      <c r="AM90" s="1484"/>
      <c r="AN90" s="1014" t="s">
        <v>1063</v>
      </c>
      <c r="AO90" s="1014"/>
      <c r="AP90" s="1014"/>
      <c r="AQ90" s="234"/>
      <c r="AR90" s="234"/>
    </row>
    <row s="1190" customFormat="1" customHeight="1" ht="18" hidden="1">
      <c r="A91" s="1484"/>
      <c r="B91" s="402"/>
      <c r="C91" s="849"/>
      <c r="D91" s="849"/>
      <c r="E91" s="850">
        <v>18.75</v>
      </c>
      <c r="F91" s="50" cm="1" t="str">
        <f t="array" ref="F91:F91">OFFSET(E91,-1,1)</f>
        <v>2</v>
      </c>
      <c r="G91" s="821"/>
      <c r="H91" s="821" t="s">
        <v>328</v>
      </c>
      <c r="I91" s="821" cm="1" t="str">
        <f t="array" ref="I91:I91">AC91</f>
        <v>0</v>
      </c>
      <c r="J91" s="849"/>
      <c r="K91" s="457"/>
      <c r="L91" s="457"/>
      <c r="M91" s="849"/>
      <c r="N91" s="849"/>
      <c r="O91" s="849"/>
      <c r="P91" s="849"/>
      <c r="Q91" s="849"/>
      <c r="R91" s="849"/>
      <c r="S91" s="849"/>
      <c r="T91" s="439">
        <f>AND(F91&gt;0,Y91&gt;0)</f>
        <v>0</v>
      </c>
      <c r="U91" s="849"/>
      <c r="V91" s="849"/>
      <c r="W91" s="849" t="s">
        <v>173</v>
      </c>
      <c r="X91" s="1553"/>
      <c r="Y91" s="1553">
        <v>0</v>
      </c>
      <c r="Z91" s="1554"/>
      <c r="AA91" s="1551" t="s">
        <v>174</v>
      </c>
      <c r="AB91" s="267" t="str">
        <f>"5."&amp;Y91</f>
        <v>5.0</v>
      </c>
      <c r="AC91" s="3046"/>
      <c r="AD91" s="747" t="s">
        <v>784</v>
      </c>
      <c r="AE91" s="3047"/>
      <c r="AF91" s="3047"/>
      <c r="AG91" s="3047"/>
      <c r="AH91" s="3047"/>
      <c r="AI91" s="753">
        <f>AI92*AI93*12/1000</f>
        <v>0</v>
      </c>
      <c r="AJ91" s="753">
        <f>AJ92*AJ93*12/1000</f>
        <v>0</v>
      </c>
      <c r="AK91" s="1771"/>
      <c r="AL91" s="1484"/>
      <c r="AM91" s="1484"/>
      <c r="AN91" s="1014" t="s">
        <v>1041</v>
      </c>
      <c r="AO91" s="1014" t="s">
        <v>1064</v>
      </c>
      <c r="AP91" s="1014" cm="1" t="str">
        <f t="array" ref="AP91:AP91">AC91</f>
        <v>0</v>
      </c>
      <c r="AQ91" s="234"/>
      <c r="AR91" s="234" t="b">
        <v>1</v>
      </c>
    </row>
    <row s="1190" customFormat="1" customHeight="1" ht="14.25" hidden="1">
      <c r="A92" s="1484"/>
      <c r="B92" s="402"/>
      <c r="C92" s="849"/>
      <c r="D92" s="849"/>
      <c r="E92" s="850">
        <v>15</v>
      </c>
      <c r="F92" s="50" cm="1" t="str">
        <f t="array" ref="F92:F92">OFFSET(E92,-1,1)</f>
        <v>2</v>
      </c>
      <c r="G92" s="821"/>
      <c r="H92" s="821" t="str">
        <f>H91&amp;"_1"</f>
        <v>l5_1</v>
      </c>
      <c r="I92" s="821" cm="1" t="str">
        <f t="array" ref="I92:I92">I91</f>
        <v>0</v>
      </c>
      <c r="J92" s="849"/>
      <c r="K92" s="457"/>
      <c r="L92" s="457"/>
      <c r="M92" s="849"/>
      <c r="N92" s="849"/>
      <c r="O92" s="849"/>
      <c r="P92" s="849"/>
      <c r="Q92" s="849"/>
      <c r="R92" s="849"/>
      <c r="S92" s="849"/>
      <c r="T92" s="439" cm="1" t="str">
        <f t="array" ref="T92:T92">T91</f>
        <v>false</v>
      </c>
      <c r="U92" s="849"/>
      <c r="V92" s="849"/>
      <c r="W92" s="849"/>
      <c r="X92" s="1553"/>
      <c r="Y92" s="1553"/>
      <c r="Z92" s="1554"/>
      <c r="AA92" s="1551"/>
      <c r="AB92" s="670" t="str">
        <f>AB91&amp;".1"</f>
        <v>5.0.1</v>
      </c>
      <c r="AC92" s="746" t="s">
        <v>1044</v>
      </c>
      <c r="AD92" s="747" t="s">
        <v>1045</v>
      </c>
      <c r="AE92" s="3047"/>
      <c r="AF92" s="3047"/>
      <c r="AG92" s="3047"/>
      <c r="AH92" s="3047"/>
      <c r="AI92" s="265"/>
      <c r="AJ92" s="265"/>
      <c r="AK92" s="1771"/>
      <c r="AL92" s="1484"/>
      <c r="AM92" s="1484"/>
      <c r="AN92" s="1014" t="s">
        <v>1046</v>
      </c>
      <c r="AO92" s="1014" t="s">
        <v>1064</v>
      </c>
      <c r="AP92" s="1014" cm="1" t="str">
        <f t="array" ref="AP92:AP92">AP91</f>
        <v>0</v>
      </c>
      <c r="AQ92" s="234"/>
      <c r="AR92" s="234"/>
    </row>
    <row s="1190" customFormat="1" customHeight="1" ht="14.25" hidden="1">
      <c r="A93" s="1484"/>
      <c r="B93" s="402"/>
      <c r="C93" s="849"/>
      <c r="D93" s="849"/>
      <c r="E93" s="850">
        <v>15</v>
      </c>
      <c r="F93" s="50" cm="1" t="str">
        <f t="array" ref="F93:F93">OFFSET(E93,-1,1)</f>
        <v>2</v>
      </c>
      <c r="G93" s="821"/>
      <c r="H93" s="821" t="str">
        <f>H91&amp;"_2"</f>
        <v>l5_2</v>
      </c>
      <c r="I93" s="821" cm="1" t="str">
        <f t="array" ref="I93:I93">I92</f>
        <v>0</v>
      </c>
      <c r="J93" s="849"/>
      <c r="K93" s="457"/>
      <c r="L93" s="457"/>
      <c r="M93" s="849"/>
      <c r="N93" s="849"/>
      <c r="O93" s="849"/>
      <c r="P93" s="849"/>
      <c r="Q93" s="849"/>
      <c r="R93" s="849"/>
      <c r="S93" s="849"/>
      <c r="T93" s="439" cm="1" t="str">
        <f t="array" ref="T93:T93">T92</f>
        <v>false</v>
      </c>
      <c r="U93" s="849"/>
      <c r="V93" s="849"/>
      <c r="W93" s="849"/>
      <c r="X93" s="1553"/>
      <c r="Y93" s="1553"/>
      <c r="Z93" s="1554"/>
      <c r="AA93" s="1551"/>
      <c r="AB93" s="670" t="str">
        <f>AB91&amp;".2"</f>
        <v>5.0.2</v>
      </c>
      <c r="AC93" s="746" t="s">
        <v>1047</v>
      </c>
      <c r="AD93" s="747" t="s">
        <v>1048</v>
      </c>
      <c r="AE93" s="3047"/>
      <c r="AF93" s="3047"/>
      <c r="AG93" s="3047"/>
      <c r="AH93" s="3047"/>
      <c r="AI93" s="265"/>
      <c r="AJ93" s="265"/>
      <c r="AK93" s="1771"/>
      <c r="AL93" s="1484"/>
      <c r="AM93" s="1484"/>
      <c r="AN93" s="1014" t="s">
        <v>1049</v>
      </c>
      <c r="AO93" s="1014" t="s">
        <v>1064</v>
      </c>
      <c r="AP93" s="1014" cm="1" t="str">
        <f t="array" ref="AP93:AP93">AP92</f>
        <v>0</v>
      </c>
      <c r="AQ93" s="234"/>
      <c r="AR93" s="234"/>
    </row>
    <row s="1190" customFormat="1" customHeight="1" ht="14.25">
      <c r="A94" s="1484"/>
      <c r="B94" s="402"/>
      <c r="C94" s="849"/>
      <c r="D94" s="849"/>
      <c r="E94" s="850">
        <v>15</v>
      </c>
      <c r="F94" s="50" cm="1" t="str">
        <f t="array" ref="F94:F94">OFFSET(E94,-1,1)</f>
        <v>2</v>
      </c>
      <c r="G94" s="341"/>
      <c r="H94" s="821"/>
      <c r="I94" s="118" t="str">
        <f>"!=='не определено' &amp;&amp; row.l5 !== null"</f>
        <v>!=='не определено' &amp;&amp; row.l5 !== null</v>
      </c>
      <c r="J94" s="849"/>
      <c r="K94" s="457"/>
      <c r="L94" s="457"/>
      <c r="M94" s="849"/>
      <c r="N94" s="849"/>
      <c r="O94" s="849"/>
      <c r="P94" s="849"/>
      <c r="Q94" s="849"/>
      <c r="R94" s="849"/>
      <c r="S94" s="849"/>
      <c r="T94" s="439">
        <f>F94&gt;0</f>
        <v>1</v>
      </c>
      <c r="U94" s="849"/>
      <c r="V94" s="849"/>
      <c r="W94" s="738" t="s">
        <v>1065</v>
      </c>
      <c r="X94" s="1553"/>
      <c r="Y94" s="855"/>
      <c r="Z94" s="1554"/>
      <c r="AA94" s="849"/>
      <c r="AB94" s="856"/>
      <c r="AC94" s="227" t="s">
        <v>177</v>
      </c>
      <c r="AD94" s="757"/>
      <c r="AE94" s="757"/>
      <c r="AF94" s="757"/>
      <c r="AG94" s="757"/>
      <c r="AH94" s="757"/>
      <c r="AI94" s="757"/>
      <c r="AJ94" s="757"/>
      <c r="AK94" s="758"/>
      <c r="AL94" s="1484"/>
      <c r="AM94" s="1484"/>
      <c r="AN94" s="1014"/>
      <c r="AO94" s="1014"/>
      <c r="AP94" s="1014"/>
      <c r="AQ94" s="234" t="s">
        <v>1064</v>
      </c>
      <c r="AR94" s="234"/>
    </row>
    <row s="1190" customFormat="1" customHeight="1" ht="21.75">
      <c r="A95" s="1484"/>
      <c r="B95" s="402"/>
      <c r="C95" s="849"/>
      <c r="D95" s="849"/>
      <c r="E95" s="850">
        <v>22.5</v>
      </c>
      <c r="F95" s="50" cm="1" t="str">
        <f t="array" ref="F95:F95">OFFSET(E95,-1,1)</f>
        <v>2</v>
      </c>
      <c r="G95" s="341" t="s">
        <v>1066</v>
      </c>
      <c r="H95" s="821" t="s">
        <v>491</v>
      </c>
      <c r="I95" s="821"/>
      <c r="J95" s="849"/>
      <c r="K95" s="457" t="str">
        <f>F95&amp;"6komm"</f>
        <v>26komm</v>
      </c>
      <c r="L95" s="457" cm="1" t="str">
        <f t="array" ref="L95:L95">AK95</f>
        <v>0</v>
      </c>
      <c r="M95" s="849"/>
      <c r="N95" s="849"/>
      <c r="O95" s="849"/>
      <c r="P95" s="849"/>
      <c r="Q95" s="849"/>
      <c r="R95" s="849"/>
      <c r="S95" s="849"/>
      <c r="T95" s="439" cm="1" t="str">
        <f t="array" ref="T95:T95">T94</f>
        <v>true</v>
      </c>
      <c r="U95" s="849"/>
      <c r="V95" s="849"/>
      <c r="W95" s="849"/>
      <c r="X95" s="1553"/>
      <c r="Y95" s="855"/>
      <c r="Z95" s="1554"/>
      <c r="AA95" s="849"/>
      <c r="AB95" s="670" t="s">
        <v>496</v>
      </c>
      <c r="AC95" s="829" t="s">
        <v>1067</v>
      </c>
      <c r="AD95" s="747" t="s">
        <v>784</v>
      </c>
      <c r="AE95" s="265">
        <f>AE90*_xlfn.SUMIFS(INDEX(Сценарии!$AE$25:$BF$109,,MATCH(AE$13,Сценарии!$AE$8:$BF$8,0)),Сценарии!$F$25:$F$109,$F95,Сценарии!$G$25:$G$109,"СВФОТ")/100</f>
        <v>0</v>
      </c>
      <c r="AF95" s="265">
        <f>AF90*_xlfn.SUMIFS(INDEX(Сценарии!$AE$25:$BF$109,,MATCH(AF$13,Сценарии!$AE$8:$BF$8,0)),Сценарии!$F$25:$F$109,$F95,Сценарии!$G$25:$G$109,"СВФОТ")/100</f>
        <v>0</v>
      </c>
      <c r="AG95" s="265">
        <f>AG90*_xlfn.SUMIFS(INDEX(Сценарии!$AE$25:$BF$109,,MATCH(AG$13,Сценарии!$AE$8:$BF$8,0)),Сценарии!$F$25:$F$109,$F95,Сценарии!$G$25:$G$109,"СВФОТ")/100</f>
        <v>0</v>
      </c>
      <c r="AH95" s="265">
        <f>AH90*_xlfn.SUMIFS(INDEX(Сценарии!$AE$25:$BF$109,,MATCH(AH$13,Сценарии!$AE$8:$BF$8,0)),Сценарии!$F$25:$F$109,$F95,Сценарии!$G$25:$G$109,"СВФОТ")/100</f>
        <v>0</v>
      </c>
      <c r="AI95" s="265">
        <f>AI90*_xlfn.SUMIFS(INDEX(Сценарии!$AE$25:$BF$109,,MATCH(AI$13,Сценарии!$AE$8:$BF$8,0)),Сценарии!$F$25:$F$109,$F95,Сценарии!$G$25:$G$109,"СВФОТ")/100</f>
        <v>0</v>
      </c>
      <c r="AJ95" s="265">
        <f>AJ90*_xlfn.SUMIFS(INDEX(Сценарии!$AE$25:$BF$109,,MATCH(AJ$13,Сценарии!$AE$8:$BF$8,0)),Сценарии!$F$25:$F$109,$F95,Сценарии!$G$25:$G$109,"СВФОТ")/100</f>
        <v>0</v>
      </c>
      <c r="AK95" s="900"/>
      <c r="AL95" s="1484"/>
      <c r="AM95" s="1484"/>
      <c r="AN95" s="1014" t="s">
        <v>1068</v>
      </c>
      <c r="AO95" s="1014"/>
      <c r="AP95" s="1014"/>
      <c r="AQ95" s="234"/>
      <c r="AR95" s="234"/>
    </row>
    <row s="1190" customFormat="1" customHeight="1" ht="14.25">
      <c r="A96" s="1484"/>
      <c r="B96" s="402"/>
      <c r="C96" s="849"/>
      <c r="D96" s="849"/>
      <c r="E96" s="850">
        <v>15</v>
      </c>
      <c r="F96" s="50" cm="1" t="str">
        <f t="array" ref="F96:F96">OFFSET(E96,-1,1)</f>
        <v>2</v>
      </c>
      <c r="G96" s="341" t="s">
        <v>1069</v>
      </c>
      <c r="H96" s="821" t="s">
        <v>495</v>
      </c>
      <c r="I96" s="821"/>
      <c r="J96" s="849"/>
      <c r="K96" s="457" t="str">
        <f>F96&amp;"7komm"</f>
        <v>27komm</v>
      </c>
      <c r="L96" s="457" cm="1" t="str">
        <f t="array" ref="L96:L96">AK96</f>
        <v>0</v>
      </c>
      <c r="M96" s="849"/>
      <c r="N96" s="849"/>
      <c r="O96" s="849"/>
      <c r="P96" s="849"/>
      <c r="Q96" s="849"/>
      <c r="R96" s="849"/>
      <c r="S96" s="849"/>
      <c r="T96" s="439" cm="1" t="str">
        <f t="array" ref="T96:T96">T95</f>
        <v>true</v>
      </c>
      <c r="U96" s="849"/>
      <c r="V96" s="849"/>
      <c r="W96" s="849"/>
      <c r="X96" s="1553"/>
      <c r="Y96" s="855"/>
      <c r="Z96" s="1554"/>
      <c r="AA96" s="849"/>
      <c r="AB96" s="670" t="s">
        <v>557</v>
      </c>
      <c r="AC96" s="829" t="s">
        <v>1070</v>
      </c>
      <c r="AD96" s="747" t="s">
        <v>784</v>
      </c>
      <c r="AE96" s="265"/>
      <c r="AF96" s="265"/>
      <c r="AG96" s="265"/>
      <c r="AH96" s="265"/>
      <c r="AI96" s="180">
        <f>_xlfn.SUMIFS(AI97:AI100,$AD97:$AD100,$AD96)</f>
        <v>0</v>
      </c>
      <c r="AJ96" s="180">
        <f>_xlfn.SUMIFS(AJ97:AJ100,$AD97:$AD100,$AD96)</f>
        <v>0</v>
      </c>
      <c r="AK96" s="900"/>
      <c r="AL96" s="1484"/>
      <c r="AM96" s="1484"/>
      <c r="AN96" s="1014" t="s">
        <v>1071</v>
      </c>
      <c r="AO96" s="1014"/>
      <c r="AP96" s="1014"/>
      <c r="AQ96" s="234"/>
      <c r="AR96" s="234"/>
    </row>
    <row s="1190" customFormat="1" customHeight="1" ht="18" hidden="1">
      <c r="A97" s="1484"/>
      <c r="B97" s="1484"/>
      <c r="C97" s="857"/>
      <c r="D97" s="857"/>
      <c r="E97" s="858">
        <v>18.75</v>
      </c>
      <c r="F97" s="50" cm="1" t="str">
        <f t="array" ref="F97:F97">OFFSET(E97,-1,1)</f>
        <v>2</v>
      </c>
      <c r="G97" s="854"/>
      <c r="H97" s="821" t="s">
        <v>495</v>
      </c>
      <c r="I97" s="854" cm="1" t="str">
        <f t="array" ref="I97:I97">AC97</f>
        <v>0</v>
      </c>
      <c r="J97" s="857"/>
      <c r="K97" s="898"/>
      <c r="L97" s="898"/>
      <c r="M97" s="857"/>
      <c r="N97" s="857"/>
      <c r="O97" s="857"/>
      <c r="P97" s="857"/>
      <c r="Q97" s="857"/>
      <c r="R97" s="857"/>
      <c r="S97" s="857"/>
      <c r="T97" s="439">
        <f>AND(F97&gt;0,Y97&gt;0)</f>
        <v>0</v>
      </c>
      <c r="U97" s="857"/>
      <c r="V97" s="857"/>
      <c r="W97" s="849" t="s">
        <v>173</v>
      </c>
      <c r="X97" s="1553"/>
      <c r="Y97" s="1553">
        <v>0</v>
      </c>
      <c r="Z97" s="1554"/>
      <c r="AA97" s="1551" t="s">
        <v>174</v>
      </c>
      <c r="AB97" s="1249" t="str">
        <f>"7."&amp;Y97</f>
        <v>7.0</v>
      </c>
      <c r="AC97" s="3059"/>
      <c r="AD97" s="860" t="s">
        <v>784</v>
      </c>
      <c r="AE97" s="3061"/>
      <c r="AF97" s="3061"/>
      <c r="AG97" s="3061"/>
      <c r="AH97" s="3061"/>
      <c r="AI97" s="862">
        <f>AI98*AI99*12/1000</f>
        <v>0</v>
      </c>
      <c r="AJ97" s="862">
        <f>AJ98*AJ99*12/1000</f>
        <v>0</v>
      </c>
      <c r="AK97" s="3063"/>
      <c r="AL97" s="1484"/>
      <c r="AM97" s="1484"/>
      <c r="AN97" s="1014" t="s">
        <v>1041</v>
      </c>
      <c r="AO97" s="1030" t="s">
        <v>1072</v>
      </c>
      <c r="AP97" s="1014" cm="1" t="str">
        <f t="array" ref="AP97:AP97">AC97</f>
        <v>0</v>
      </c>
      <c r="AQ97" s="1031"/>
      <c r="AR97" s="234" t="b">
        <v>1</v>
      </c>
    </row>
    <row s="1190" customFormat="1" customHeight="1" ht="14.25" hidden="1">
      <c r="A98" s="1484"/>
      <c r="B98" s="1484"/>
      <c r="C98" s="857"/>
      <c r="D98" s="857"/>
      <c r="E98" s="858">
        <v>15</v>
      </c>
      <c r="F98" s="50" cm="1" t="str">
        <f t="array" ref="F98:F98">OFFSET(E98,-1,1)</f>
        <v>2</v>
      </c>
      <c r="G98" s="854"/>
      <c r="H98" s="854" t="str">
        <f>H97&amp;"_1"</f>
        <v>l7_1</v>
      </c>
      <c r="I98" s="854" cm="1" t="str">
        <f t="array" ref="I98:I98">I97</f>
        <v>0</v>
      </c>
      <c r="J98" s="857"/>
      <c r="K98" s="898"/>
      <c r="L98" s="898"/>
      <c r="M98" s="857"/>
      <c r="N98" s="857"/>
      <c r="O98" s="857"/>
      <c r="P98" s="857"/>
      <c r="Q98" s="857"/>
      <c r="R98" s="857"/>
      <c r="S98" s="857"/>
      <c r="T98" s="439" cm="1" t="str">
        <f t="array" ref="T98:T98">T97</f>
        <v>false</v>
      </c>
      <c r="U98" s="857"/>
      <c r="V98" s="857"/>
      <c r="W98" s="857"/>
      <c r="X98" s="1553"/>
      <c r="Y98" s="1553"/>
      <c r="Z98" s="1554"/>
      <c r="AA98" s="1551"/>
      <c r="AB98" s="864" t="str">
        <f>AB97&amp;".1"</f>
        <v>7.0.1</v>
      </c>
      <c r="AC98" s="865" t="s">
        <v>1044</v>
      </c>
      <c r="AD98" s="860" t="s">
        <v>1045</v>
      </c>
      <c r="AE98" s="3061"/>
      <c r="AF98" s="3061"/>
      <c r="AG98" s="3061"/>
      <c r="AH98" s="3061"/>
      <c r="AI98" s="866"/>
      <c r="AJ98" s="866"/>
      <c r="AK98" s="3063"/>
      <c r="AL98" s="1484"/>
      <c r="AM98" s="1484"/>
      <c r="AN98" s="1014" t="s">
        <v>1046</v>
      </c>
      <c r="AO98" s="1030" t="s">
        <v>1072</v>
      </c>
      <c r="AP98" s="1014" cm="1" t="str">
        <f t="array" ref="AP98:AP98">AP97</f>
        <v>0</v>
      </c>
      <c r="AQ98" s="1031"/>
      <c r="AR98" s="1031"/>
    </row>
    <row s="1190" customFormat="1" customHeight="1" ht="14.25" hidden="1">
      <c r="A99" s="1484"/>
      <c r="B99" s="1484"/>
      <c r="C99" s="857"/>
      <c r="D99" s="857"/>
      <c r="E99" s="858">
        <v>15</v>
      </c>
      <c r="F99" s="50" cm="1" t="str">
        <f t="array" ref="F99:F99">OFFSET(E99,-1,1)</f>
        <v>2</v>
      </c>
      <c r="G99" s="854"/>
      <c r="H99" s="854" t="str">
        <f>H97&amp;"_2"</f>
        <v>l7_2</v>
      </c>
      <c r="I99" s="854" cm="1" t="str">
        <f t="array" ref="I99:I99">I98</f>
        <v>0</v>
      </c>
      <c r="J99" s="857"/>
      <c r="K99" s="898"/>
      <c r="L99" s="898"/>
      <c r="M99" s="857"/>
      <c r="N99" s="857"/>
      <c r="O99" s="857"/>
      <c r="P99" s="857"/>
      <c r="Q99" s="857"/>
      <c r="R99" s="857"/>
      <c r="S99" s="857"/>
      <c r="T99" s="439" cm="1" t="str">
        <f t="array" ref="T99:T99">T98</f>
        <v>false</v>
      </c>
      <c r="U99" s="857"/>
      <c r="V99" s="857"/>
      <c r="W99" s="857"/>
      <c r="X99" s="1553"/>
      <c r="Y99" s="1553"/>
      <c r="Z99" s="1554"/>
      <c r="AA99" s="1551"/>
      <c r="AB99" s="864" t="str">
        <f>AB97&amp;".2"</f>
        <v>7.0.2</v>
      </c>
      <c r="AC99" s="865" t="s">
        <v>1047</v>
      </c>
      <c r="AD99" s="860" t="s">
        <v>1048</v>
      </c>
      <c r="AE99" s="3061"/>
      <c r="AF99" s="3061"/>
      <c r="AG99" s="3061"/>
      <c r="AH99" s="3061"/>
      <c r="AI99" s="866"/>
      <c r="AJ99" s="866"/>
      <c r="AK99" s="3063"/>
      <c r="AL99" s="1484"/>
      <c r="AM99" s="1484"/>
      <c r="AN99" s="1014" t="s">
        <v>1049</v>
      </c>
      <c r="AO99" s="1030" t="s">
        <v>1072</v>
      </c>
      <c r="AP99" s="1014" cm="1" t="str">
        <f t="array" ref="AP99:AP99">AP98</f>
        <v>0</v>
      </c>
      <c r="AQ99" s="1031"/>
      <c r="AR99" s="1031"/>
    </row>
    <row s="1190" customFormat="1" customHeight="1" ht="14.25">
      <c r="A100" s="1484"/>
      <c r="B100" s="402"/>
      <c r="C100" s="849"/>
      <c r="D100" s="849"/>
      <c r="E100" s="850">
        <v>15</v>
      </c>
      <c r="F100" s="50" cm="1" t="str">
        <f t="array" ref="F100:F100">OFFSET(E100,-1,1)</f>
        <v>2</v>
      </c>
      <c r="G100" s="341"/>
      <c r="H100" s="821"/>
      <c r="I100" s="118" t="str">
        <f>"!=='не определено' &amp;&amp; row.l7 !== null"</f>
        <v>!=='не определено' &amp;&amp; row.l7 !== null</v>
      </c>
      <c r="J100" s="849"/>
      <c r="K100" s="457"/>
      <c r="L100" s="457"/>
      <c r="M100" s="849"/>
      <c r="N100" s="849"/>
      <c r="O100" s="849"/>
      <c r="P100" s="849"/>
      <c r="Q100" s="849"/>
      <c r="R100" s="849"/>
      <c r="S100" s="849"/>
      <c r="T100" s="439">
        <f>F100&gt;0</f>
        <v>1</v>
      </c>
      <c r="U100" s="849"/>
      <c r="V100" s="849"/>
      <c r="W100" s="738" t="s">
        <v>1073</v>
      </c>
      <c r="X100" s="1553"/>
      <c r="Y100" s="849"/>
      <c r="Z100" s="1554"/>
      <c r="AA100" s="849"/>
      <c r="AB100" s="856"/>
      <c r="AC100" s="227" t="s">
        <v>177</v>
      </c>
      <c r="AD100" s="757"/>
      <c r="AE100" s="757"/>
      <c r="AF100" s="757"/>
      <c r="AG100" s="757"/>
      <c r="AH100" s="757"/>
      <c r="AI100" s="757"/>
      <c r="AJ100" s="757"/>
      <c r="AK100" s="758"/>
      <c r="AL100" s="1484"/>
      <c r="AM100" s="1484"/>
      <c r="AN100" s="1014"/>
      <c r="AO100" s="1014"/>
      <c r="AP100" s="1014"/>
      <c r="AQ100" s="1031" t="s">
        <v>1072</v>
      </c>
      <c r="AR100" s="234"/>
    </row>
    <row s="1190" customFormat="1" customHeight="1" ht="21.75">
      <c r="A101" s="1484"/>
      <c r="B101" s="402"/>
      <c r="C101" s="849"/>
      <c r="D101" s="849"/>
      <c r="E101" s="850">
        <v>22.5</v>
      </c>
      <c r="F101" s="50" cm="1" t="str">
        <f t="array" ref="F101:F101">OFFSET(E101,-1,1)</f>
        <v>2</v>
      </c>
      <c r="G101" s="341" t="s">
        <v>1074</v>
      </c>
      <c r="H101" s="821" t="s">
        <v>541</v>
      </c>
      <c r="I101" s="821"/>
      <c r="J101" s="849"/>
      <c r="K101" s="457" t="str">
        <f>F101&amp;"8komm"</f>
        <v>28komm</v>
      </c>
      <c r="L101" s="899" cm="1" t="str">
        <f t="array" ref="L101:L101">AK101</f>
        <v>0</v>
      </c>
      <c r="M101" s="849"/>
      <c r="N101" s="849"/>
      <c r="O101" s="849"/>
      <c r="P101" s="849"/>
      <c r="Q101" s="849"/>
      <c r="R101" s="849"/>
      <c r="S101" s="849"/>
      <c r="T101" s="439" cm="1" t="str">
        <f t="array" ref="T101:T101">T100</f>
        <v>true</v>
      </c>
      <c r="U101" s="849"/>
      <c r="V101" s="849"/>
      <c r="W101" s="849"/>
      <c r="X101" s="1553"/>
      <c r="Y101" s="849"/>
      <c r="Z101" s="1554"/>
      <c r="AA101" s="849"/>
      <c r="AB101" s="670" t="s">
        <v>565</v>
      </c>
      <c r="AC101" s="829" t="s">
        <v>1075</v>
      </c>
      <c r="AD101" s="747" t="s">
        <v>784</v>
      </c>
      <c r="AE101" s="265">
        <f>AE96*_xlfn.SUMIFS(INDEX(Сценарии!$AE$25:$BF$109,,MATCH(AE$13,Сценарии!$AE$8:$BF$8,0)),Сценарии!$F$25:$F$109,$F101,Сценарии!$G$25:$G$109,"СВФОТ")/100</f>
        <v>0</v>
      </c>
      <c r="AF101" s="265">
        <f>AF96*_xlfn.SUMIFS(INDEX(Сценарии!$AE$25:$BF$109,,MATCH(AF$13,Сценарии!$AE$8:$BF$8,0)),Сценарии!$F$25:$F$109,$F101,Сценарии!$G$25:$G$109,"СВФОТ")/100</f>
        <v>0</v>
      </c>
      <c r="AG101" s="265">
        <f>AG96*_xlfn.SUMIFS(INDEX(Сценарии!$AE$25:$BF$109,,MATCH(AG$13,Сценарии!$AE$8:$BF$8,0)),Сценарии!$F$25:$F$109,$F101,Сценарии!$G$25:$G$109,"СВФОТ")/100</f>
        <v>0</v>
      </c>
      <c r="AH101" s="265">
        <f>AH96*_xlfn.SUMIFS(INDEX(Сценарии!$AE$25:$BF$109,,MATCH(AH$13,Сценарии!$AE$8:$BF$8,0)),Сценарии!$F$25:$F$109,$F101,Сценарии!$G$25:$G$109,"СВФОТ")/100</f>
        <v>0</v>
      </c>
      <c r="AI101" s="265">
        <f>AI96*_xlfn.SUMIFS(INDEX(Сценарии!$AE$25:$BF$109,,MATCH(AI$13,Сценарии!$AE$8:$BF$8,0)),Сценарии!$F$25:$F$109,$F101,Сценарии!$G$25:$G$109,"СВФОТ")/100</f>
        <v>0</v>
      </c>
      <c r="AJ101" s="265">
        <f>AJ96*_xlfn.SUMIFS(INDEX(Сценарии!$AE$25:$BF$109,,MATCH(AJ$13,Сценарии!$AE$8:$BF$8,0)),Сценарии!$F$25:$F$109,$F101,Сценарии!$G$25:$G$109,"СВФОТ")/100</f>
        <v>0</v>
      </c>
      <c r="AK101" s="828"/>
      <c r="AL101" s="1484"/>
      <c r="AM101" s="1484"/>
      <c r="AN101" s="1014" t="s">
        <v>1076</v>
      </c>
      <c r="AO101" s="1014"/>
      <c r="AP101" s="1014"/>
      <c r="AQ101" s="234"/>
      <c r="AR101" s="234"/>
    </row>
    <row s="1621" customFormat="1" customHeight="1" ht="10.96875">
      <c r="A102" s="443"/>
      <c r="B102" s="638"/>
      <c r="C102" s="456"/>
      <c r="D102" s="456"/>
      <c r="E102" s="848">
        <v>11.25</v>
      </c>
      <c r="F102" s="456"/>
      <c r="G102" s="456"/>
      <c r="H102" s="456"/>
      <c r="I102" s="456"/>
      <c r="J102" s="456"/>
      <c r="K102" s="896"/>
      <c r="L102" s="896"/>
      <c r="M102" s="456"/>
      <c r="N102" s="456"/>
      <c r="O102" s="456"/>
      <c r="P102" s="456"/>
      <c r="Q102" s="456"/>
      <c r="R102" s="456"/>
      <c r="S102" s="456"/>
      <c r="T102" s="456"/>
      <c r="U102" s="456" t="s">
        <v>177</v>
      </c>
      <c r="V102" s="831" t="s">
        <v>1077</v>
      </c>
      <c r="W102" s="456"/>
      <c r="X102" s="456"/>
      <c r="Y102" s="456"/>
      <c r="Z102" s="456"/>
      <c r="AA102" s="456"/>
      <c r="AB102" s="456"/>
      <c r="AC102" s="456"/>
      <c r="AD102" s="456"/>
      <c r="AE102" s="456"/>
      <c r="AF102" s="456"/>
      <c r="AG102" s="0"/>
      <c r="AH102" s="0"/>
      <c r="AI102" s="0"/>
      <c r="AJ102" s="0"/>
      <c r="AK102" s="0"/>
      <c r="AN102" s="1002"/>
      <c r="AO102" s="1002"/>
      <c r="AP102" s="1002"/>
      <c r="AQ102" s="666"/>
      <c r="AR102" s="666"/>
    </row>
    <row customHeight="1" ht="14.625">
      <c r="C103" s="467"/>
      <c r="D103" s="467"/>
      <c r="E103" s="822">
        <v>15</v>
      </c>
      <c r="F103" s="467"/>
      <c r="G103" s="467"/>
      <c r="H103" s="467"/>
      <c r="I103" s="467"/>
      <c r="J103" s="467"/>
      <c r="M103" s="467"/>
      <c r="N103" s="467"/>
      <c r="O103" s="467"/>
      <c r="P103" s="467"/>
      <c r="Q103" s="467"/>
      <c r="R103" s="341"/>
      <c r="S103" s="467"/>
      <c r="T103" s="467"/>
      <c r="U103" s="467"/>
      <c r="V103" s="467"/>
      <c r="W103" s="467"/>
      <c r="X103" s="467"/>
      <c r="Y103" s="467"/>
      <c r="Z103" s="467"/>
      <c r="AA103" s="467"/>
      <c r="AB103" s="1485" t="s">
        <v>398</v>
      </c>
      <c r="AC103" s="1485"/>
      <c r="AD103" s="1485"/>
      <c r="AE103" s="1485"/>
      <c r="AF103" s="1485"/>
      <c r="AG103" s="1485"/>
      <c r="AH103" s="1485"/>
      <c r="AI103" s="1556"/>
      <c r="AJ103" s="1556"/>
      <c r="AK103" s="1556"/>
    </row>
    <row customHeight="1" ht="14.625">
      <c r="E104" s="611">
        <v>15</v>
      </c>
      <c r="AA104" s="641"/>
      <c r="AB104" s="1524"/>
      <c r="AC104" s="1524"/>
      <c r="AD104" s="1524"/>
      <c r="AE104" s="1524"/>
      <c r="AF104" s="1524"/>
      <c r="AG104" s="1524"/>
      <c r="AH104" s="1524"/>
      <c r="AI104" s="1526"/>
      <c r="AJ104" s="1526"/>
      <c r="AK104" s="1526"/>
    </row>
    <row customHeight="1" ht="14.625" hidden="1">
      <c r="A105" s="676"/>
      <c r="B105" s="1176"/>
      <c r="C105" s="676"/>
      <c r="D105" s="676"/>
      <c r="E105" s="611">
        <v>15</v>
      </c>
      <c r="F105" s="676"/>
      <c r="G105" s="1006"/>
      <c r="H105" s="676"/>
      <c r="I105" s="676"/>
      <c r="J105" s="676"/>
      <c r="K105" s="1006"/>
      <c r="L105" s="1006"/>
      <c r="M105" s="676"/>
      <c r="N105" s="676"/>
      <c r="O105" s="676"/>
      <c r="P105" s="676"/>
      <c r="Q105" s="676"/>
      <c r="R105" s="729"/>
      <c r="S105" s="676"/>
      <c r="T105" s="439">
        <f>ROW(W105)&gt;ROW(W$105)</f>
        <v>0</v>
      </c>
      <c r="U105" s="676"/>
      <c r="V105" s="676"/>
      <c r="W105" s="738" t="s">
        <v>173</v>
      </c>
      <c r="X105" s="676"/>
      <c r="Y105" s="676"/>
      <c r="Z105" s="676"/>
      <c r="AA105" s="642" t="s">
        <v>174</v>
      </c>
      <c r="AB105" s="2621" t="s">
        <v>222</v>
      </c>
      <c r="AC105" s="2621"/>
      <c r="AD105" s="2621"/>
      <c r="AE105" s="2621"/>
      <c r="AF105" s="2621"/>
      <c r="AG105" s="2621"/>
      <c r="AH105" s="2621"/>
      <c r="AI105" s="1526"/>
      <c r="AJ105" s="1526"/>
      <c r="AK105" s="2620"/>
      <c r="AL105" s="676"/>
      <c r="AM105" s="676"/>
      <c r="AN105" s="1061"/>
      <c r="AO105" s="1061"/>
      <c r="AP105" s="1061"/>
      <c r="AQ105" s="697"/>
      <c r="AR105" s="697"/>
    </row>
    <row customHeight="1" ht="14.625">
      <c r="E106" s="611">
        <v>15</v>
      </c>
      <c r="W106" s="738" t="s">
        <v>399</v>
      </c>
      <c r="AB106" s="662"/>
      <c r="AC106" s="488" t="s">
        <v>400</v>
      </c>
      <c r="AD106" s="277"/>
      <c r="AE106" s="277"/>
      <c r="AF106" s="278"/>
      <c r="AG106" s="278"/>
      <c r="AH106" s="278"/>
      <c r="AI106" s="278"/>
      <c r="AJ106" s="278"/>
      <c r="AK106" s="279"/>
    </row>
    <row customHeight="1" ht="10.725000000000001">
      <c r="E107" s="611">
        <v>11</v>
      </c>
      <c r="AI107" s="676"/>
      <c r="AJ107" s="676"/>
      <c r="AL107" s="399"/>
    </row>
  </sheetData>
  <sheetProtection formatColumns="0" formatRows="0" insertRows="0" deleteColumns="0" deleteRows="0" sort="0" autoFilter="0" insertColumns="1"/>
  <mergeCells count="37">
    <mergeCell ref="AB24:AB25"/>
    <mergeCell ref="AC24:AC25"/>
    <mergeCell ref="AD24:AD25"/>
    <mergeCell ref="AK24:AK25"/>
    <mergeCell ref="AB105:AK105"/>
    <mergeCell ref="AB103:AK103"/>
    <mergeCell ref="AB104:AK104"/>
    <mergeCell ref="X27:X51"/>
    <mergeCell ref="Z27:Z51"/>
    <mergeCell ref="AA29:AA31"/>
    <mergeCell ref="AA35:AA37"/>
    <mergeCell ref="AA41:AA43"/>
    <mergeCell ref="AA47:AA49"/>
    <mergeCell ref="Y29:Y31"/>
    <mergeCell ref="Y35:Y37"/>
    <mergeCell ref="Y41:Y43"/>
    <mergeCell ref="Y47:Y49"/>
    <mergeCell ref="X52:X76"/>
    <mergeCell ref="Z52:Z76"/>
    <mergeCell ref="AA54:AA56"/>
    <mergeCell ref="AA60:AA62"/>
    <mergeCell ref="AA66:AA68"/>
    <mergeCell ref="AA72:AA74"/>
    <mergeCell ref="Y54:Y56"/>
    <mergeCell ref="Y60:Y62"/>
    <mergeCell ref="Y66:Y68"/>
    <mergeCell ref="Y72:Y74"/>
    <mergeCell ref="X77:X101"/>
    <mergeCell ref="Z77:Z101"/>
    <mergeCell ref="AA79:AA81"/>
    <mergeCell ref="AA85:AA87"/>
    <mergeCell ref="AA91:AA93"/>
    <mergeCell ref="AA97:AA99"/>
    <mergeCell ref="Y79:Y81"/>
    <mergeCell ref="Y85:Y87"/>
    <mergeCell ref="Y91:Y93"/>
    <mergeCell ref="Y97:Y9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9D5D78-8D09-DBD8-91EA-C70312182479}" mc:Ignorable="x14ac xr xr2 xr3">
  <dimension ref="A1:AA17"/>
  <sheetViews>
    <sheetView topLeftCell="A1" showGridLines="0" showRowColHeaders="0" workbookViewId="0">
      <selection activeCell="A1" sqref="A1"/>
    </sheetView>
  </sheetViews>
  <sheetFormatPr defaultColWidth="10.421875" customHeight="1" defaultRowHeight="12.600000000000001"/>
  <cols>
    <col min="1" max="1" style="1151" width="5.140625" customWidth="1"/>
    <col min="2" max="2" style="410" width="8.57421875" customWidth="1"/>
    <col min="3" max="3" style="1151" width="15.57421875" customWidth="1"/>
    <col min="4" max="25" style="1151" width="6.00390625" customWidth="1"/>
    <col min="26" max="27" style="1151" width="10.421875"/>
  </cols>
  <sheetData>
    <row customHeight="1" ht="15.75">
      <c r="A1" s="1119"/>
      <c r="B1" s="409"/>
      <c r="C1" s="1120"/>
      <c r="D1" s="1120"/>
      <c r="E1" s="1120"/>
      <c r="F1" s="1120"/>
      <c r="G1" s="1120"/>
      <c r="H1" s="1120"/>
      <c r="I1" s="1120"/>
      <c r="J1" s="1120"/>
      <c r="K1" s="1120"/>
      <c r="L1" s="1120"/>
      <c r="M1" s="1120"/>
      <c r="N1" s="1120"/>
      <c r="O1" s="1120"/>
      <c r="P1" s="1120"/>
      <c r="Q1" s="1120"/>
      <c r="R1" s="1120"/>
      <c r="S1" s="1120"/>
      <c r="T1" s="1120"/>
      <c r="U1" s="1120"/>
      <c r="V1" s="1120"/>
      <c r="W1" s="1120"/>
      <c r="X1" s="1120"/>
      <c r="Y1" s="1121"/>
      <c r="Z1" s="1120"/>
      <c r="AA1" s="1122" t="s">
        <v>3</v>
      </c>
    </row>
    <row s="410" customFormat="1" customHeight="1" ht="17.25">
      <c r="A2" s="1123"/>
      <c r="B2" s="1393" t="s">
        <v>4</v>
      </c>
      <c r="C2" s="1393"/>
      <c r="D2" s="1393"/>
      <c r="E2" s="1393"/>
      <c r="F2" s="1393"/>
      <c r="G2" s="1393"/>
      <c r="H2" s="1393"/>
      <c r="I2" s="1393"/>
      <c r="J2" s="1393"/>
      <c r="K2" s="1393"/>
      <c r="L2" s="1393"/>
      <c r="M2" s="1393"/>
      <c r="N2" s="1393"/>
      <c r="O2" s="1393"/>
      <c r="P2" s="1393"/>
      <c r="Q2" s="1124"/>
      <c r="R2" s="1124"/>
      <c r="S2" s="1124"/>
      <c r="T2" s="1124"/>
      <c r="U2" s="1124"/>
      <c r="V2" s="1125"/>
      <c r="W2" s="1124"/>
      <c r="X2" s="1124"/>
      <c r="Y2" s="1126"/>
      <c r="Z2" s="1123"/>
      <c r="AA2" s="1123"/>
    </row>
    <row customHeight="1" ht="15.75">
      <c r="A3" s="1120"/>
      <c r="B3" s="1394" t="s">
        <v>5</v>
      </c>
      <c r="C3" s="1394"/>
      <c r="D3" s="1394"/>
      <c r="E3" s="1394"/>
      <c r="F3" s="1394"/>
      <c r="G3" s="1394"/>
      <c r="H3" s="1394"/>
      <c r="I3" s="1394"/>
      <c r="J3" s="1394"/>
      <c r="K3" s="1394"/>
      <c r="L3" s="1394"/>
      <c r="M3" s="1394"/>
      <c r="N3" s="1394"/>
      <c r="O3" s="1394"/>
      <c r="P3" s="1394"/>
      <c r="Q3" s="1127"/>
      <c r="R3" s="1127"/>
      <c r="S3" s="1128"/>
      <c r="T3" s="1128"/>
      <c r="U3" s="1128"/>
      <c r="V3" s="1127"/>
      <c r="W3" s="1127"/>
      <c r="X3" s="1127"/>
      <c r="Y3" s="1127"/>
      <c r="Z3" s="1120"/>
      <c r="AA3" s="395"/>
    </row>
    <row customHeight="1" ht="16.5">
      <c r="A4" s="1120"/>
      <c r="B4" s="411"/>
      <c r="C4" s="1120"/>
      <c r="D4" s="1127"/>
      <c r="E4" s="1127"/>
      <c r="F4" s="1127"/>
      <c r="G4" s="1127"/>
      <c r="H4" s="1127"/>
      <c r="I4" s="1127"/>
      <c r="J4" s="1127"/>
      <c r="K4" s="1127"/>
      <c r="L4" s="1127"/>
      <c r="M4" s="1127"/>
      <c r="N4" s="1127"/>
      <c r="O4" s="1127"/>
      <c r="P4" s="1127"/>
      <c r="Q4" s="1127"/>
      <c r="R4" s="1127"/>
      <c r="S4" s="1127"/>
      <c r="T4" s="1127"/>
      <c r="U4" s="1127"/>
      <c r="V4" s="1127"/>
      <c r="W4" s="1127"/>
      <c r="X4" s="1127"/>
      <c r="Y4" s="1127"/>
      <c r="Z4" s="1120"/>
      <c r="AA4" s="395"/>
    </row>
    <row customHeight="1" ht="22.5">
      <c r="A5" s="1129"/>
      <c r="B5" s="1395"/>
      <c r="C5" s="1396"/>
      <c r="D5" s="1396"/>
      <c r="E5" s="1396"/>
      <c r="F5" s="1396"/>
      <c r="G5" s="1396"/>
      <c r="H5" s="1396"/>
      <c r="I5" s="1396"/>
      <c r="J5" s="1396"/>
      <c r="K5" s="1396"/>
      <c r="L5" s="1396"/>
      <c r="M5" s="1396"/>
      <c r="N5" s="1396"/>
      <c r="O5" s="1396"/>
      <c r="P5" s="1396"/>
      <c r="Q5" s="1396"/>
      <c r="R5" s="1396"/>
      <c r="S5" s="1396"/>
      <c r="T5" s="1396"/>
      <c r="U5" s="1396"/>
      <c r="V5" s="1396"/>
      <c r="W5" s="1396"/>
      <c r="X5" s="1396"/>
      <c r="Y5" s="1397"/>
      <c r="Z5" s="1129"/>
      <c r="AA5" s="395"/>
    </row>
    <row customHeight="1" ht="13.5">
      <c r="A6" s="1130"/>
      <c r="B6" s="1398" t="s">
        <v>6</v>
      </c>
      <c r="C6" s="1399"/>
      <c r="D6" s="1131"/>
      <c r="E6" s="1131"/>
      <c r="F6" s="1131"/>
      <c r="G6" s="1131"/>
      <c r="H6" s="1131"/>
      <c r="I6" s="1131"/>
      <c r="J6" s="1131"/>
      <c r="K6" s="1131"/>
      <c r="L6" s="1131"/>
      <c r="M6" s="1131"/>
      <c r="N6" s="1131"/>
      <c r="O6" s="1131"/>
      <c r="P6" s="1131"/>
      <c r="Q6" s="1131"/>
      <c r="R6" s="1131"/>
      <c r="S6" s="1131"/>
      <c r="T6" s="1131"/>
      <c r="U6" s="1131"/>
      <c r="V6" s="1131"/>
      <c r="W6" s="1131"/>
      <c r="X6" s="1131"/>
      <c r="Y6" s="1132"/>
      <c r="Z6" s="1133"/>
      <c r="AA6" s="1134"/>
    </row>
    <row customHeight="1" ht="13.5">
      <c r="A7" s="1130"/>
      <c r="B7" s="1398"/>
      <c r="C7" s="1399"/>
      <c r="D7" s="1131"/>
      <c r="E7" s="1131"/>
      <c r="F7" s="1135"/>
      <c r="G7" s="1135"/>
      <c r="H7" s="1135"/>
      <c r="I7" s="1135"/>
      <c r="J7" s="1135"/>
      <c r="K7" s="1135"/>
      <c r="L7" s="1135"/>
      <c r="M7" s="1135"/>
      <c r="N7" s="1135"/>
      <c r="O7" s="1131"/>
      <c r="P7" s="1135"/>
      <c r="Q7" s="1135"/>
      <c r="R7" s="1135"/>
      <c r="S7" s="1135"/>
      <c r="T7" s="1135"/>
      <c r="U7" s="1135"/>
      <c r="V7" s="1135"/>
      <c r="W7" s="1135"/>
      <c r="X7" s="1135"/>
      <c r="Y7" s="1132"/>
      <c r="Z7" s="1133"/>
      <c r="AA7" s="1134"/>
    </row>
    <row customHeight="1" ht="13.5">
      <c r="A8" s="1130"/>
      <c r="B8" s="1398"/>
      <c r="C8" s="1399"/>
      <c r="D8" s="1136"/>
      <c r="E8" s="1137" t="s">
        <v>7</v>
      </c>
      <c r="F8" s="1401" t="s">
        <v>8</v>
      </c>
      <c r="G8" s="1402"/>
      <c r="H8" s="1402"/>
      <c r="I8" s="1402"/>
      <c r="J8" s="1402"/>
      <c r="K8" s="1402"/>
      <c r="L8" s="1402"/>
      <c r="M8" s="1402"/>
      <c r="N8" s="1136"/>
      <c r="O8" s="1138" t="s">
        <v>7</v>
      </c>
      <c r="P8" s="1403" t="s">
        <v>9</v>
      </c>
      <c r="Q8" s="1404"/>
      <c r="R8" s="1404"/>
      <c r="S8" s="1404"/>
      <c r="T8" s="1404"/>
      <c r="U8" s="1404"/>
      <c r="V8" s="1404"/>
      <c r="W8" s="1404"/>
      <c r="X8" s="1404"/>
      <c r="Y8" s="1132"/>
      <c r="Z8" s="1133"/>
      <c r="AA8" s="1134"/>
    </row>
    <row customHeight="1" ht="13.5">
      <c r="A9" s="1130"/>
      <c r="B9" s="1398"/>
      <c r="C9" s="1399"/>
      <c r="D9" s="1136"/>
      <c r="E9" s="1139" t="s">
        <v>7</v>
      </c>
      <c r="F9" s="1401" t="s">
        <v>10</v>
      </c>
      <c r="G9" s="1402"/>
      <c r="H9" s="1402"/>
      <c r="I9" s="1402"/>
      <c r="J9" s="1402"/>
      <c r="K9" s="1402"/>
      <c r="L9" s="1402"/>
      <c r="M9" s="1402"/>
      <c r="N9" s="1136"/>
      <c r="O9" s="1140" t="s">
        <v>7</v>
      </c>
      <c r="P9" s="1403" t="s">
        <v>11</v>
      </c>
      <c r="Q9" s="1404"/>
      <c r="R9" s="1404"/>
      <c r="S9" s="1404"/>
      <c r="T9" s="1404"/>
      <c r="U9" s="1404"/>
      <c r="V9" s="1404"/>
      <c r="W9" s="1404"/>
      <c r="X9" s="1404"/>
      <c r="Y9" s="1132"/>
      <c r="Z9" s="1133"/>
      <c r="AA9" s="1134"/>
    </row>
    <row customHeight="1" ht="13.5">
      <c r="A10" s="1130"/>
      <c r="B10" s="1398"/>
      <c r="C10" s="1400"/>
      <c r="D10" s="1136"/>
      <c r="E10" s="1141" t="s">
        <v>7</v>
      </c>
      <c r="F10" s="1404" t="s">
        <v>12</v>
      </c>
      <c r="G10" s="1405"/>
      <c r="H10" s="1405"/>
      <c r="I10" s="1405"/>
      <c r="J10" s="1405"/>
      <c r="K10" s="1405"/>
      <c r="L10" s="1405"/>
      <c r="M10" s="1405"/>
      <c r="N10" s="1405"/>
      <c r="O10" s="1142" t="s">
        <v>7</v>
      </c>
      <c r="P10" s="1404" t="s">
        <v>13</v>
      </c>
      <c r="Q10" s="1405"/>
      <c r="R10" s="1405"/>
      <c r="S10" s="1405"/>
      <c r="T10" s="1405"/>
      <c r="U10" s="1405"/>
      <c r="V10" s="1405"/>
      <c r="W10" s="1405"/>
      <c r="X10" s="1405"/>
      <c r="Y10" s="1132"/>
      <c r="Z10" s="1133"/>
      <c r="AA10" s="1134"/>
    </row>
    <row customHeight="1" ht="30">
      <c r="A11" s="1130"/>
      <c r="B11" s="1398"/>
      <c r="C11" s="1400"/>
      <c r="D11" s="1143"/>
      <c r="E11" s="1144"/>
      <c r="F11" s="1135"/>
      <c r="G11" s="1135"/>
      <c r="H11" s="1135"/>
      <c r="I11" s="1135"/>
      <c r="J11" s="1135"/>
      <c r="K11" s="1135"/>
      <c r="L11" s="1135"/>
      <c r="M11" s="1135"/>
      <c r="N11" s="1135"/>
      <c r="O11" s="1144"/>
      <c r="P11" s="1135"/>
      <c r="Q11" s="1135"/>
      <c r="R11" s="1135"/>
      <c r="S11" s="1135"/>
      <c r="T11" s="1135"/>
      <c r="U11" s="1135"/>
      <c r="V11" s="1135"/>
      <c r="W11" s="1135"/>
      <c r="X11" s="1135"/>
      <c r="Y11" s="1132"/>
      <c r="Z11" s="1133"/>
      <c r="AA11" s="1134"/>
    </row>
    <row customHeight="1" ht="19.5">
      <c r="A12" s="1130"/>
      <c r="B12" s="1406" t="s">
        <v>14</v>
      </c>
      <c r="C12" s="1407"/>
      <c r="D12" s="1136"/>
      <c r="E12" s="1145"/>
      <c r="F12" s="1145"/>
      <c r="G12" s="1145"/>
      <c r="H12" s="1145"/>
      <c r="I12" s="1145"/>
      <c r="J12" s="1145"/>
      <c r="K12" s="1145"/>
      <c r="L12" s="1145"/>
      <c r="M12" s="1145"/>
      <c r="N12" s="1145"/>
      <c r="O12" s="1145"/>
      <c r="P12" s="1145"/>
      <c r="Q12" s="1145"/>
      <c r="R12" s="1145"/>
      <c r="S12" s="1145"/>
      <c r="T12" s="1145"/>
      <c r="U12" s="1145"/>
      <c r="V12" s="1145"/>
      <c r="W12" s="1145"/>
      <c r="X12" s="1145"/>
      <c r="Y12" s="1132"/>
      <c r="Z12" s="1133"/>
      <c r="AA12" s="1134"/>
    </row>
    <row customHeight="1" ht="68.25">
      <c r="A13" s="1130"/>
      <c r="B13" s="1398"/>
      <c r="C13" s="1400"/>
      <c r="D13" s="1146"/>
      <c r="E13" s="1402" t="s">
        <v>15</v>
      </c>
      <c r="F13" s="1402"/>
      <c r="G13" s="1402"/>
      <c r="H13" s="1402"/>
      <c r="I13" s="1402"/>
      <c r="J13" s="1402"/>
      <c r="K13" s="1402"/>
      <c r="L13" s="1402"/>
      <c r="M13" s="1402"/>
      <c r="N13" s="1402"/>
      <c r="O13" s="1402"/>
      <c r="P13" s="1402"/>
      <c r="Q13" s="1402"/>
      <c r="R13" s="1402"/>
      <c r="S13" s="1402"/>
      <c r="T13" s="1402"/>
      <c r="U13" s="1402"/>
      <c r="V13" s="1402"/>
      <c r="W13" s="1402"/>
      <c r="X13" s="1402"/>
      <c r="Y13" s="1132"/>
      <c r="Z13" s="1133"/>
      <c r="AA13" s="1134"/>
    </row>
    <row customHeight="1" ht="13.5">
      <c r="A14" s="1130"/>
      <c r="B14" s="1406" t="s">
        <v>16</v>
      </c>
      <c r="C14" s="1407"/>
      <c r="D14" s="1131"/>
      <c r="E14" s="1145"/>
      <c r="F14" s="1145"/>
      <c r="G14" s="1145"/>
      <c r="H14" s="1145"/>
      <c r="I14" s="1145"/>
      <c r="J14" s="1145"/>
      <c r="K14" s="1145"/>
      <c r="L14" s="1145"/>
      <c r="M14" s="1145"/>
      <c r="N14" s="1145"/>
      <c r="O14" s="1145"/>
      <c r="P14" s="1145"/>
      <c r="Q14" s="1145"/>
      <c r="R14" s="1145"/>
      <c r="S14" s="1145"/>
      <c r="T14" s="1145"/>
      <c r="U14" s="1145"/>
      <c r="V14" s="1145"/>
      <c r="W14" s="1145"/>
      <c r="X14" s="1145"/>
      <c r="Y14" s="1132"/>
      <c r="Z14" s="1133"/>
      <c r="AA14" s="1134"/>
    </row>
    <row customHeight="1" ht="65.25">
      <c r="A15" s="1130"/>
      <c r="B15" s="1398"/>
      <c r="C15" s="1399"/>
      <c r="D15" s="1136"/>
      <c r="E15" s="1410" t="s">
        <v>17</v>
      </c>
      <c r="F15" s="1410"/>
      <c r="G15" s="1410"/>
      <c r="H15" s="1410"/>
      <c r="I15" s="1410"/>
      <c r="J15" s="1410"/>
      <c r="K15" s="1410"/>
      <c r="L15" s="1410"/>
      <c r="M15" s="1410"/>
      <c r="N15" s="1410"/>
      <c r="O15" s="1410"/>
      <c r="P15" s="1410"/>
      <c r="Q15" s="1410"/>
      <c r="R15" s="1410"/>
      <c r="S15" s="1410"/>
      <c r="T15" s="1410"/>
      <c r="U15" s="1410"/>
      <c r="V15" s="1410"/>
      <c r="W15" s="1410"/>
      <c r="X15" s="1410"/>
      <c r="Y15" s="1132"/>
      <c r="Z15" s="1133"/>
      <c r="AA15" s="1134"/>
    </row>
    <row customHeight="1" ht="16.5">
      <c r="A16" s="1130"/>
      <c r="B16" s="1408"/>
      <c r="C16" s="1409"/>
      <c r="D16" s="1147"/>
      <c r="E16" s="1148"/>
      <c r="F16" s="1148"/>
      <c r="G16" s="1148"/>
      <c r="H16" s="1148"/>
      <c r="I16" s="1148"/>
      <c r="J16" s="1148"/>
      <c r="K16" s="1148"/>
      <c r="L16" s="1148"/>
      <c r="M16" s="1148"/>
      <c r="N16" s="1148"/>
      <c r="O16" s="1148"/>
      <c r="P16" s="1148"/>
      <c r="Q16" s="1148"/>
      <c r="R16" s="1148"/>
      <c r="S16" s="1148"/>
      <c r="T16" s="1148"/>
      <c r="U16" s="1148"/>
      <c r="V16" s="1148"/>
      <c r="W16" s="1148"/>
      <c r="X16" s="1148"/>
      <c r="Y16" s="1149"/>
      <c r="Z16" s="1133"/>
      <c r="AA16" s="1150"/>
    </row>
    <row customHeight="1" ht="95.25">
      <c r="A17" s="1120"/>
      <c r="B17" s="1410"/>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120"/>
      <c r="AA17" s="395"/>
    </row>
  </sheetData>
  <sheetProtection insertRows="0" deleteColumns="0" deleteRows="0" sort="0" autoFilter="0" insertColumns="1"/>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363547-4978-61D6-1FBE-E968C17047B8}" mc:Ignorable="x14ac xr xr2 xr3">
  <sheetPr>
    <tabColor rgb="FF002060"/>
    <outlinePr summaryBelow="0"/>
    <pageSetUpPr fitToPage="1"/>
  </sheetPr>
  <dimension ref="A1:AN89"/>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7" style="676" width="3.57421875" hidden="1" customWidth="1"/>
    <col min="8" max="8" style="676" width="2.28125" hidden="1" customWidth="1"/>
    <col min="9" max="10" style="676" width="3.57421875" hidden="1" customWidth="1"/>
    <col min="11" max="11" style="676" width="6.140625" hidden="1" customWidth="1"/>
    <col min="12" max="12" style="676" width="8.57421875" hidden="1" customWidth="1"/>
    <col min="13" max="17" style="676" width="3.57421875" hidden="1" customWidth="1"/>
    <col min="18" max="18" style="729" width="3.57421875" hidden="1" customWidth="1"/>
    <col min="19" max="19" style="676" width="3.57421875" hidden="1" customWidth="1"/>
    <col min="20" max="20" style="676" width="9.57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5.00390625" customWidth="1"/>
    <col min="30" max="30" style="676" width="12.00390625" customWidth="1"/>
    <col min="31" max="36" style="676" width="13.00390625" customWidth="1"/>
    <col min="37" max="37" style="676" width="20.00390625" customWidth="1"/>
    <col min="38" max="38" style="676" width="3.00390625" customWidth="1"/>
    <col min="39" max="39" style="676" width="9.140625" hidden="1"/>
    <col min="40" max="40" style="1061" width="9.140625" hidden="1"/>
  </cols>
  <sheetData>
    <row customHeight="1" ht="11.25" hidden="1">
      <c r="E1" s="64"/>
      <c r="F1" s="64" t="s">
        <v>313</v>
      </c>
      <c r="H1" s="64" t="s">
        <v>324</v>
      </c>
      <c r="T1" s="439" t="s">
        <v>92</v>
      </c>
      <c r="U1" s="439" t="s">
        <v>97</v>
      </c>
      <c r="V1" s="439" t="s">
        <v>93</v>
      </c>
      <c r="W1" s="439" t="s">
        <v>94</v>
      </c>
      <c r="X1" s="439" t="s">
        <v>95</v>
      </c>
      <c r="Y1" s="441" t="s">
        <v>315</v>
      </c>
      <c r="Z1" s="439" t="s">
        <v>99</v>
      </c>
      <c r="AA1" s="440" t="s">
        <v>96</v>
      </c>
      <c r="AB1" s="51"/>
      <c r="AC1" s="440" t="s">
        <v>98</v>
      </c>
      <c r="AI1" s="676"/>
      <c r="AJ1" s="676"/>
      <c r="AN1" s="998" t="s">
        <v>316</v>
      </c>
    </row>
    <row s="1176" customFormat="1" customHeight="1" ht="11.25" hidden="1">
      <c r="B2" s="418" t="s">
        <v>18</v>
      </c>
      <c r="AI2" s="419">
        <f>AI6&lt;=last_year_vis</f>
        <v>1</v>
      </c>
      <c r="AJ2" s="419">
        <f>AJ6&lt;=last_year_vis</f>
        <v>1</v>
      </c>
      <c r="AN2" s="999"/>
    </row>
    <row customHeight="1" ht="11.25" hidden="1">
      <c r="E3" s="64"/>
      <c r="AI3" s="676"/>
      <c r="AJ3" s="676"/>
    </row>
    <row customHeight="1" ht="11.25" hidden="1">
      <c r="E4" s="64"/>
      <c r="AI4" s="676"/>
      <c r="AJ4" s="676"/>
    </row>
    <row s="697" customFormat="1" customHeight="1" ht="11.25" hidden="1">
      <c r="A5" s="64"/>
      <c r="B5" s="400"/>
      <c r="C5" s="64"/>
      <c r="D5" s="64"/>
      <c r="E5" s="611" t="s">
        <v>19</v>
      </c>
      <c r="R5" s="596"/>
      <c r="AA5" s="611">
        <v>3</v>
      </c>
      <c r="AB5" s="611">
        <v>11</v>
      </c>
      <c r="AC5" s="611">
        <v>55</v>
      </c>
      <c r="AD5" s="611">
        <v>12</v>
      </c>
      <c r="AE5" s="611">
        <v>13</v>
      </c>
      <c r="AF5" s="611">
        <v>13</v>
      </c>
      <c r="AG5" s="611">
        <v>13</v>
      </c>
      <c r="AH5" s="611">
        <v>13</v>
      </c>
      <c r="AI5" s="611">
        <v>13</v>
      </c>
      <c r="AJ5" s="611">
        <v>13</v>
      </c>
      <c r="AK5" s="611">
        <v>20</v>
      </c>
      <c r="AL5" s="611">
        <v>3</v>
      </c>
      <c r="AN5" s="998"/>
    </row>
    <row customHeight="1" ht="11.25" hidden="1">
      <c r="A6" s="64" t="s">
        <v>354</v>
      </c>
      <c r="AE6" s="64">
        <f>god-2</f>
        <v>2024</v>
      </c>
      <c r="AF6" s="64">
        <f>god-2</f>
        <v>2024</v>
      </c>
      <c r="AG6" s="64">
        <f>god-2</f>
        <v>2024</v>
      </c>
      <c r="AH6" s="64">
        <f>god-1</f>
        <v>2025</v>
      </c>
      <c r="AI6" s="64" cm="1" t="str">
        <f t="array" ref="AI6:AI6">god</f>
        <v>2026</v>
      </c>
      <c r="AJ6" s="64" cm="1" t="str">
        <f t="array" ref="AJ6:AJ6">god</f>
        <v>2026</v>
      </c>
    </row>
    <row customHeight="1" ht="11.25" hidden="1">
      <c r="A7" s="64" t="s">
        <v>355</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Принято органом регулирования</v>
      </c>
    </row>
    <row customHeight="1" ht="11.25" hidden="1">
      <c r="AI8" s="676"/>
      <c r="AJ8" s="676"/>
    </row>
    <row s="1061" customFormat="1" customHeight="1" ht="11.25" hidden="1">
      <c r="A9" s="998" t="s">
        <v>359</v>
      </c>
      <c r="B9" s="999"/>
      <c r="R9" s="1000"/>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2026</v>
      </c>
    </row>
    <row s="1061" customFormat="1" customHeight="1" ht="11.25" hidden="1">
      <c r="A10" s="998" t="s">
        <v>360</v>
      </c>
      <c r="B10" s="999"/>
      <c r="R10" s="1000"/>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Принято органом регулирования</v>
      </c>
    </row>
    <row s="1061" customFormat="1" customHeight="1" ht="11.25" hidden="1">
      <c r="A11" s="998" t="s">
        <v>361</v>
      </c>
      <c r="B11" s="999"/>
      <c r="R11" s="1000"/>
      <c r="AI11" s="1061"/>
      <c r="AJ11" s="1061"/>
      <c r="AK11" s="1025" cm="1" t="str">
        <f t="array" ref="AK11:AK11">AK24</f>
        <v>Ссылка на правовую норму (основание для принятия показателя в расчет тарифа)</v>
      </c>
    </row>
    <row customHeight="1" ht="11.25" hidden="1">
      <c r="AI12" s="676"/>
      <c r="AJ12" s="676"/>
    </row>
    <row customHeight="1" ht="11.25" hidden="1">
      <c r="AI13" s="676"/>
      <c r="AJ13" s="676"/>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I18" s="676"/>
      <c r="AJ18" s="676"/>
    </row>
    <row customHeight="1" ht="11.25" hidden="1">
      <c r="AI19" s="676"/>
      <c r="AJ19" s="676"/>
    </row>
    <row customHeight="1" ht="11.25" hidden="1">
      <c r="AI20" s="676"/>
      <c r="AJ20" s="676"/>
    </row>
    <row customHeight="1" ht="14.625">
      <c r="E21" s="611">
        <v>15</v>
      </c>
      <c r="AA21" s="398"/>
      <c r="AC21" s="50" cm="1" t="str">
        <f t="array" ref="AC21:AC21">tpl_title</f>
        <v>Кемеровская область / 2026 / Филиал АО "УК "Кузбассразрезуголь" "Талдинский угольный разрез" (ИНН:4205049090, КПП:423802002) / ДПР: 2024-2028</v>
      </c>
      <c r="AI21" s="676"/>
      <c r="AJ21" s="676"/>
    </row>
    <row s="1168" customFormat="1" customHeight="1" ht="19.74375">
      <c r="B22" s="400"/>
      <c r="E22" s="612">
        <v>20.25</v>
      </c>
      <c r="R22" s="50"/>
      <c r="AB22" s="287" t="s">
        <v>63</v>
      </c>
      <c r="AC22" s="317"/>
      <c r="AD22" s="317"/>
      <c r="AE22" s="317"/>
      <c r="AF22" s="317"/>
      <c r="AG22" s="317"/>
      <c r="AH22" s="317"/>
      <c r="AI22" s="317"/>
      <c r="AJ22" s="317"/>
      <c r="AK22" s="317"/>
      <c r="AN22" s="1001"/>
    </row>
    <row s="1168" customFormat="1" customHeight="1" ht="10.96875">
      <c r="B23" s="400"/>
      <c r="E23" s="612">
        <v>11.25</v>
      </c>
      <c r="R23" s="50"/>
      <c r="AB23" s="318"/>
      <c r="AC23" s="169"/>
      <c r="AD23" s="169"/>
      <c r="AE23" s="169"/>
      <c r="AF23" s="169"/>
      <c r="AG23" s="169"/>
      <c r="AH23" s="169"/>
      <c r="AI23" s="169"/>
      <c r="AJ23" s="169"/>
      <c r="AK23" s="169"/>
      <c r="AN23" s="1001"/>
    </row>
    <row s="1187" customFormat="1" customHeight="1" ht="14.625">
      <c r="B24" s="402"/>
      <c r="E24" s="609">
        <v>15</v>
      </c>
      <c r="R24" s="316"/>
      <c r="AB24" s="1485" t="s">
        <v>766</v>
      </c>
      <c r="AC24" s="1537" t="s">
        <v>194</v>
      </c>
      <c r="AD24" s="1485" t="s">
        <v>363</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10" t="s">
        <v>507</v>
      </c>
      <c r="AN24" s="996"/>
    </row>
    <row s="1187" customFormat="1" customHeight="1" ht="44.118750000000006">
      <c r="B25" s="402"/>
      <c r="E25" s="609">
        <v>45.25</v>
      </c>
      <c r="R25" s="316"/>
      <c r="AB25" s="1552"/>
      <c r="AC25" s="1552"/>
      <c r="AD25" s="1552"/>
      <c r="AE25" s="57" t="s">
        <v>356</v>
      </c>
      <c r="AF25" s="1105" t="s">
        <v>431</v>
      </c>
      <c r="AG25" s="57" t="s">
        <v>432</v>
      </c>
      <c r="AH25" s="57" t="s">
        <v>356</v>
      </c>
      <c r="AI25" s="1107" t="s">
        <v>357</v>
      </c>
      <c r="AJ25" s="327" t="s">
        <v>356</v>
      </c>
      <c r="AK25" s="1552"/>
      <c r="AN25" s="996"/>
    </row>
    <row customHeight="1" ht="15" hidden="1">
      <c r="C26" s="0"/>
      <c r="D26" s="0"/>
      <c r="E26" s="234">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row>
    <row customHeight="1" ht="10.96875" hidden="1">
      <c r="A27" s="676"/>
      <c r="B27" s="1176"/>
      <c r="C27" s="112"/>
      <c r="D27" s="112"/>
      <c r="E27" s="234">
        <v>11.25</v>
      </c>
      <c r="F27" s="64" cm="1" t="str">
        <f t="array" ref="F27:F27">X27</f>
        <v>0</v>
      </c>
      <c r="G27" s="112"/>
      <c r="H27" s="112"/>
      <c r="I27" s="112"/>
      <c r="J27" s="112"/>
      <c r="K27" s="112"/>
      <c r="L27" s="112"/>
      <c r="M27" s="112"/>
      <c r="N27" s="112"/>
      <c r="O27" s="112"/>
      <c r="P27" s="112"/>
      <c r="Q27" s="112"/>
      <c r="R27" s="112"/>
      <c r="S27" s="112"/>
      <c r="T27" s="439">
        <f>X27&gt;0</f>
        <v>0</v>
      </c>
      <c r="U27" s="112"/>
      <c r="V27" s="112" t="s">
        <v>261</v>
      </c>
      <c r="W27" s="112"/>
      <c r="X27" s="1462">
        <v>0</v>
      </c>
      <c r="Y27" s="112"/>
      <c r="Z27" s="1484"/>
      <c r="AA27" s="112"/>
      <c r="AB27" s="209" cm="1" t="str">
        <f t="array" ref="AB27:AB27">INDEX('Общие сведения'!$AG$179:$AG$222,MATCH($X27,'Общие сведения'!$Z$179:$Z$222,0))</f>
        <v>Тариф 0 () - </v>
      </c>
      <c r="AC27" s="147"/>
      <c r="AD27" s="147"/>
      <c r="AE27" s="273">
        <f>AE28+AE29+AE30+AE38+AE39+AE40+AE41+AE42</f>
        <v>0</v>
      </c>
      <c r="AF27" s="273">
        <f>AF28+AF29+AF30+AF38+AF39+AF40+AF41+AF42</f>
        <v>0</v>
      </c>
      <c r="AG27" s="273">
        <f>AG28+AG29+AG30+AG38+AG39+AG40+AG41+AG42</f>
        <v>0</v>
      </c>
      <c r="AH27" s="273">
        <f>AH28+AH29+AH30+AH38+AH39+AH40+AH41+AH42</f>
        <v>0</v>
      </c>
      <c r="AI27" s="273">
        <f>AI28+AI29+AI30+AI38+AI39+AI40+AI41+AI42</f>
        <v>0</v>
      </c>
      <c r="AJ27" s="273">
        <f>AJ28+AJ29+AJ30+AJ38+AJ39+AJ40+AJ41+AJ42</f>
        <v>0</v>
      </c>
      <c r="AK27" s="141"/>
      <c r="AL27" s="112"/>
      <c r="AM27" s="676"/>
      <c r="AN27" s="1061"/>
    </row>
    <row customHeight="1" ht="21.9375" hidden="1">
      <c r="A28" s="676"/>
      <c r="B28" s="1176"/>
      <c r="C28" s="112"/>
      <c r="D28" s="112"/>
      <c r="E28" s="234">
        <v>22.5</v>
      </c>
      <c r="F28" s="50" cm="1" t="str">
        <f t="array" ref="F28:F28">OFFSET(E28,-1,1)</f>
        <v>0</v>
      </c>
      <c r="G28" s="112"/>
      <c r="H28" s="92" t="s">
        <v>325</v>
      </c>
      <c r="I28" s="112"/>
      <c r="J28" s="112"/>
      <c r="K28" s="112"/>
      <c r="L28" s="112"/>
      <c r="M28" s="112"/>
      <c r="N28" s="112"/>
      <c r="O28" s="112"/>
      <c r="P28" s="112"/>
      <c r="Q28" s="112"/>
      <c r="R28" s="112"/>
      <c r="S28" s="112"/>
      <c r="T28" s="439" cm="1" t="str">
        <f t="array" ref="T28:T28">T27</f>
        <v>false</v>
      </c>
      <c r="U28" s="112"/>
      <c r="V28" s="112"/>
      <c r="W28" s="112"/>
      <c r="X28" s="1462"/>
      <c r="Y28" s="112"/>
      <c r="Z28" s="1484"/>
      <c r="AA28" s="112"/>
      <c r="AB28" s="319">
        <v>1</v>
      </c>
      <c r="AC28" s="308" t="s">
        <v>1062</v>
      </c>
      <c r="AD28" s="56" t="s">
        <v>784</v>
      </c>
      <c r="AE28" s="874">
        <f>_xlfn.SUMIFS(ФОТ!AE$25:AE$102,ФОТ!$F$25:$F$102,$F28,ФОТ!$AC$25:$AC$102,$AC28)</f>
        <v>0</v>
      </c>
      <c r="AF28" s="874">
        <f>_xlfn.SUMIFS(ФОТ!AF$25:AF$102,ФОТ!$F$25:$F$102,$F28,ФОТ!$AC$25:$AC$102,$AC28)</f>
        <v>0</v>
      </c>
      <c r="AG28" s="874">
        <f>_xlfn.SUMIFS(ФОТ!AG$25:AG$102,ФОТ!$F$25:$F$102,$F28,ФОТ!$AC$25:$AC$102,$AC28)</f>
        <v>0</v>
      </c>
      <c r="AH28" s="874">
        <f>_xlfn.SUMIFS(ФОТ!AH$25:AH$102,ФОТ!$F$25:$F$102,$F28,ФОТ!$AC$25:$AC$102,$AC28)</f>
        <v>0</v>
      </c>
      <c r="AI28" s="874">
        <f>_xlfn.SUMIFS(ФОТ!AI$25:AI$102,ФОТ!$F$25:$F$102,$F28,ФОТ!$AC$25:$AC$102,$AC28)</f>
        <v>0</v>
      </c>
      <c r="AJ28" s="874">
        <f>_xlfn.SUMIFS(ФОТ!AJ$25:AJ$102,ФОТ!$F$25:$F$102,$F28,ФОТ!$AC$25:$AC$102,$AC28)</f>
        <v>0</v>
      </c>
      <c r="AK28" s="1914"/>
      <c r="AL28" s="112"/>
      <c r="AM28" s="676"/>
      <c r="AN28" s="998" t="s">
        <v>1078</v>
      </c>
    </row>
    <row customHeight="1" ht="21.9375" hidden="1">
      <c r="A29" s="676"/>
      <c r="B29" s="1176"/>
      <c r="C29" s="112"/>
      <c r="D29" s="112"/>
      <c r="E29" s="234">
        <v>22.5</v>
      </c>
      <c r="F29" s="50" cm="1" t="str">
        <f t="array" ref="F29:F29">OFFSET(E29,-1,1)</f>
        <v>0</v>
      </c>
      <c r="G29" s="112"/>
      <c r="H29" s="92" t="s">
        <v>326</v>
      </c>
      <c r="I29" s="112"/>
      <c r="J29" s="457"/>
      <c r="K29" s="457"/>
      <c r="L29" s="457"/>
      <c r="M29" s="112"/>
      <c r="N29" s="112"/>
      <c r="O29" s="112"/>
      <c r="P29" s="112"/>
      <c r="Q29" s="112"/>
      <c r="R29" s="112"/>
      <c r="S29" s="112"/>
      <c r="T29" s="439" cm="1" t="str">
        <f t="array" ref="T29:T29">T28</f>
        <v>false</v>
      </c>
      <c r="U29" s="112"/>
      <c r="V29" s="112"/>
      <c r="W29" s="112"/>
      <c r="X29" s="1462"/>
      <c r="Y29" s="112"/>
      <c r="Z29" s="1484"/>
      <c r="AA29" s="112"/>
      <c r="AB29" s="319" t="s">
        <v>283</v>
      </c>
      <c r="AC29" s="308" t="s">
        <v>1067</v>
      </c>
      <c r="AD29" s="56" t="s">
        <v>784</v>
      </c>
      <c r="AE29" s="874">
        <f>_xlfn.SUMIFS(ФОТ!AE$25:AE$102,ФОТ!$F$25:$F$102,$F29,ФОТ!$AC$25:$AC$102,$AC29)</f>
        <v>0</v>
      </c>
      <c r="AF29" s="874">
        <f>_xlfn.SUMIFS(ФОТ!AF$25:AF$102,ФОТ!$F$25:$F$102,$F29,ФОТ!$AC$25:$AC$102,$AC29)</f>
        <v>0</v>
      </c>
      <c r="AG29" s="874">
        <f>_xlfn.SUMIFS(ФОТ!AG$25:AG$102,ФОТ!$F$25:$F$102,$F29,ФОТ!$AC$25:$AC$102,$AC29)</f>
        <v>0</v>
      </c>
      <c r="AH29" s="874">
        <f>_xlfn.SUMIFS(ФОТ!AH$25:AH$102,ФОТ!$F$25:$F$102,$F29,ФОТ!$AC$25:$AC$102,$AC29)</f>
        <v>0</v>
      </c>
      <c r="AI29" s="874">
        <f>_xlfn.SUMIFS(ФОТ!AI$25:AI$102,ФОТ!$F$25:$F$102,$F29,ФОТ!$AC$25:$AC$102,$AC29)</f>
        <v>0</v>
      </c>
      <c r="AJ29" s="874">
        <f>_xlfn.SUMIFS(ФОТ!AJ$25:AJ$102,ФОТ!$F$25:$F$102,$F29,ФОТ!$AC$25:$AC$102,$AC29)</f>
        <v>0</v>
      </c>
      <c r="AK29" s="1914"/>
      <c r="AL29" s="112"/>
      <c r="AM29" s="676"/>
      <c r="AN29" s="998" t="s">
        <v>1068</v>
      </c>
    </row>
    <row customHeight="1" ht="32.90625" hidden="1">
      <c r="A30" s="676"/>
      <c r="B30" s="1176"/>
      <c r="C30" s="112"/>
      <c r="D30" s="112"/>
      <c r="E30" s="234">
        <v>33.75</v>
      </c>
      <c r="F30" s="50" cm="1" t="str">
        <f t="array" ref="F30:F30">OFFSET(E30,-1,1)</f>
        <v>0</v>
      </c>
      <c r="G30" s="316" t="s">
        <v>1079</v>
      </c>
      <c r="H30" s="92" t="s">
        <v>327</v>
      </c>
      <c r="I30" s="112"/>
      <c r="J30" s="457"/>
      <c r="K30" s="457" t="str">
        <f>F30&amp;"17komm"</f>
        <v>017komm</v>
      </c>
      <c r="L30" s="899" cm="1" t="str">
        <f t="array" ref="L30:L30">AK30</f>
        <v>0</v>
      </c>
      <c r="M30" s="112"/>
      <c r="N30" s="112"/>
      <c r="O30" s="112"/>
      <c r="P30" s="112"/>
      <c r="Q30" s="112"/>
      <c r="R30" s="112"/>
      <c r="S30" s="112"/>
      <c r="T30" s="439" cm="1" t="str">
        <f t="array" ref="T30:T30">T29</f>
        <v>false</v>
      </c>
      <c r="U30" s="112"/>
      <c r="V30" s="112"/>
      <c r="W30" s="112"/>
      <c r="X30" s="1462"/>
      <c r="Y30" s="112"/>
      <c r="Z30" s="1484"/>
      <c r="AA30" s="112"/>
      <c r="AB30" s="319" t="s">
        <v>323</v>
      </c>
      <c r="AC30" s="308" t="s">
        <v>1080</v>
      </c>
      <c r="AD30" s="56" t="s">
        <v>784</v>
      </c>
      <c r="AE30" s="205">
        <f>SUM(AE31:AE37)</f>
        <v>0</v>
      </c>
      <c r="AF30" s="205">
        <f>SUM(AF31:AF37)</f>
        <v>0</v>
      </c>
      <c r="AG30" s="205">
        <f>SUM(AG31:AG37)</f>
        <v>0</v>
      </c>
      <c r="AH30" s="205">
        <f>SUM(AH31:AH37)</f>
        <v>0</v>
      </c>
      <c r="AI30" s="205">
        <f>SUM(AI31:AI37)</f>
        <v>0</v>
      </c>
      <c r="AJ30" s="205">
        <f>SUM(AJ31:AJ37)</f>
        <v>0</v>
      </c>
      <c r="AK30" s="1914"/>
      <c r="AL30" s="112"/>
      <c r="AM30" s="676"/>
      <c r="AN30" s="998" t="s">
        <v>1081</v>
      </c>
    </row>
    <row s="1621" customFormat="1" customHeight="1" ht="14.625" hidden="1">
      <c r="A31" s="1621"/>
      <c r="B31" s="403"/>
      <c r="C31" s="112"/>
      <c r="D31" s="112"/>
      <c r="E31" s="234">
        <v>15</v>
      </c>
      <c r="F31" s="1202" cm="1" t="str">
        <f t="array" ref="F31:F31">OFFSET(E31,-1,1)</f>
        <v>0</v>
      </c>
      <c r="G31" s="124" t="s">
        <v>1082</v>
      </c>
      <c r="H31" s="92" t="s">
        <v>875</v>
      </c>
      <c r="I31" s="112"/>
      <c r="J31" s="457"/>
      <c r="K31" s="457" t="str">
        <f>F31&amp;"18komm"</f>
        <v>018komm</v>
      </c>
      <c r="L31" s="899" cm="1" t="str">
        <f t="array" ref="L31:L31">AK31</f>
        <v>0</v>
      </c>
      <c r="M31" s="112"/>
      <c r="N31" s="112"/>
      <c r="O31" s="112"/>
      <c r="P31" s="112"/>
      <c r="Q31" s="112"/>
      <c r="R31" s="112"/>
      <c r="S31" s="112"/>
      <c r="T31" s="439" cm="1" t="str">
        <f t="array" ref="T31:T31">T30</f>
        <v>false</v>
      </c>
      <c r="U31" s="112"/>
      <c r="V31" s="112"/>
      <c r="W31" s="112"/>
      <c r="X31" s="1462"/>
      <c r="Y31" s="112"/>
      <c r="Z31" s="1484"/>
      <c r="AA31" s="112"/>
      <c r="AB31" s="319" t="s">
        <v>529</v>
      </c>
      <c r="AC31" s="181" t="s">
        <v>1083</v>
      </c>
      <c r="AD31" s="56" t="s">
        <v>784</v>
      </c>
      <c r="AE31" s="3159"/>
      <c r="AF31" s="3159"/>
      <c r="AG31" s="3159"/>
      <c r="AH31" s="3159"/>
      <c r="AI31" s="196"/>
      <c r="AJ31" s="196"/>
      <c r="AK31" s="1914"/>
      <c r="AL31" s="112"/>
      <c r="AM31" s="1621"/>
      <c r="AN31" s="1002" t="s">
        <v>1084</v>
      </c>
    </row>
    <row s="1484" customFormat="1" customHeight="1" ht="14.625" hidden="1">
      <c r="A32" s="1484"/>
      <c r="B32" s="402"/>
      <c r="C32" s="1484"/>
      <c r="D32" s="1484"/>
      <c r="E32" s="234">
        <v>15</v>
      </c>
      <c r="F32" s="50" cm="1" t="str">
        <f t="array" ref="F32:F32">OFFSET(E32,-1,1)</f>
        <v>0</v>
      </c>
      <c r="G32" s="124" t="s">
        <v>1085</v>
      </c>
      <c r="H32" s="92" t="s">
        <v>877</v>
      </c>
      <c r="I32" s="1484"/>
      <c r="J32" s="457"/>
      <c r="K32" s="457" t="str">
        <f>F32&amp;"11komm"</f>
        <v>011komm</v>
      </c>
      <c r="L32" s="899" cm="1" t="str">
        <f t="array" ref="L32:L32">AK32</f>
        <v>0</v>
      </c>
      <c r="M32" s="1484"/>
      <c r="N32" s="1484"/>
      <c r="O32" s="1484"/>
      <c r="P32" s="1484"/>
      <c r="Q32" s="1484"/>
      <c r="R32" s="1484"/>
      <c r="S32" s="1484"/>
      <c r="T32" s="439" cm="1" t="str">
        <f t="array" ref="T32:T32">T31</f>
        <v>false</v>
      </c>
      <c r="U32" s="1484"/>
      <c r="V32" s="1484"/>
      <c r="W32" s="1484"/>
      <c r="X32" s="1462"/>
      <c r="Y32" s="1484"/>
      <c r="Z32" s="1484"/>
      <c r="AA32" s="1484"/>
      <c r="AB32" s="319" t="s">
        <v>533</v>
      </c>
      <c r="AC32" s="181" t="s">
        <v>1086</v>
      </c>
      <c r="AD32" s="56" t="s">
        <v>784</v>
      </c>
      <c r="AE32" s="3159"/>
      <c r="AF32" s="3159"/>
      <c r="AG32" s="3159"/>
      <c r="AH32" s="3159"/>
      <c r="AI32" s="196"/>
      <c r="AJ32" s="196"/>
      <c r="AK32" s="1914"/>
      <c r="AL32" s="1484"/>
      <c r="AM32" s="1484"/>
      <c r="AN32" s="1014" t="s">
        <v>1087</v>
      </c>
    </row>
    <row s="1484" customFormat="1" customHeight="1" ht="14.625" hidden="1">
      <c r="A33" s="1484"/>
      <c r="B33" s="402"/>
      <c r="C33" s="1484"/>
      <c r="D33" s="1484"/>
      <c r="E33" s="234">
        <v>15</v>
      </c>
      <c r="F33" s="50" cm="1" t="str">
        <f t="array" ref="F33:F33">OFFSET(E33,-1,1)</f>
        <v>0</v>
      </c>
      <c r="G33" s="124" t="s">
        <v>1088</v>
      </c>
      <c r="H33" s="92" t="s">
        <v>879</v>
      </c>
      <c r="I33" s="1484"/>
      <c r="J33" s="457"/>
      <c r="K33" s="457" t="str">
        <f>F33&amp;"12komm"</f>
        <v>012komm</v>
      </c>
      <c r="L33" s="899" cm="1" t="str">
        <f t="array" ref="L33:L33">AK33</f>
        <v>0</v>
      </c>
      <c r="M33" s="1484"/>
      <c r="N33" s="1484"/>
      <c r="O33" s="1484"/>
      <c r="P33" s="1484"/>
      <c r="Q33" s="1484"/>
      <c r="R33" s="1484"/>
      <c r="S33" s="1484"/>
      <c r="T33" s="439" cm="1" t="str">
        <f t="array" ref="T33:T33">T32</f>
        <v>false</v>
      </c>
      <c r="U33" s="1484"/>
      <c r="V33" s="1484"/>
      <c r="W33" s="1484"/>
      <c r="X33" s="1462"/>
      <c r="Y33" s="1484"/>
      <c r="Z33" s="1484"/>
      <c r="AA33" s="1484"/>
      <c r="AB33" s="319" t="s">
        <v>750</v>
      </c>
      <c r="AC33" s="181" t="s">
        <v>1089</v>
      </c>
      <c r="AD33" s="56" t="s">
        <v>784</v>
      </c>
      <c r="AE33" s="3159"/>
      <c r="AF33" s="3159"/>
      <c r="AG33" s="3159"/>
      <c r="AH33" s="3159"/>
      <c r="AI33" s="196"/>
      <c r="AJ33" s="196"/>
      <c r="AK33" s="1914"/>
      <c r="AL33" s="1484"/>
      <c r="AM33" s="1484"/>
      <c r="AN33" s="1014" t="s">
        <v>1090</v>
      </c>
    </row>
    <row s="1484" customFormat="1" customHeight="1" ht="14.625" hidden="1">
      <c r="A34" s="1484"/>
      <c r="B34" s="402"/>
      <c r="C34" s="1484"/>
      <c r="D34" s="1484"/>
      <c r="E34" s="234">
        <v>15</v>
      </c>
      <c r="F34" s="50" cm="1" t="str">
        <f t="array" ref="F34:F34">OFFSET(E34,-1,1)</f>
        <v>0</v>
      </c>
      <c r="G34" s="124" t="s">
        <v>1091</v>
      </c>
      <c r="H34" s="92" t="s">
        <v>881</v>
      </c>
      <c r="I34" s="1484"/>
      <c r="J34" s="457"/>
      <c r="K34" s="457" t="str">
        <f>F34&amp;"13komm"</f>
        <v>013komm</v>
      </c>
      <c r="L34" s="899" cm="1" t="str">
        <f t="array" ref="L34:L34">AK34</f>
        <v>0</v>
      </c>
      <c r="M34" s="1484"/>
      <c r="N34" s="1484"/>
      <c r="O34" s="1484"/>
      <c r="P34" s="1484"/>
      <c r="Q34" s="1484"/>
      <c r="R34" s="1484"/>
      <c r="S34" s="1484"/>
      <c r="T34" s="439" cm="1" t="str">
        <f t="array" ref="T34:T34">T33</f>
        <v>false</v>
      </c>
      <c r="U34" s="1484"/>
      <c r="V34" s="1484"/>
      <c r="W34" s="1484"/>
      <c r="X34" s="1462"/>
      <c r="Y34" s="1484"/>
      <c r="Z34" s="1484"/>
      <c r="AA34" s="1484"/>
      <c r="AB34" s="319" t="s">
        <v>882</v>
      </c>
      <c r="AC34" s="181" t="s">
        <v>1092</v>
      </c>
      <c r="AD34" s="56" t="s">
        <v>784</v>
      </c>
      <c r="AE34" s="3159"/>
      <c r="AF34" s="3159"/>
      <c r="AG34" s="3159"/>
      <c r="AH34" s="3159"/>
      <c r="AI34" s="196"/>
      <c r="AJ34" s="196"/>
      <c r="AK34" s="1914"/>
      <c r="AL34" s="1484"/>
      <c r="AM34" s="1484"/>
      <c r="AN34" s="1014" t="s">
        <v>1093</v>
      </c>
    </row>
    <row s="1484" customFormat="1" customHeight="1" ht="14.625" hidden="1">
      <c r="A35" s="1484"/>
      <c r="B35" s="402"/>
      <c r="C35" s="1484"/>
      <c r="D35" s="1484"/>
      <c r="E35" s="234">
        <v>15</v>
      </c>
      <c r="F35" s="50" cm="1" t="str">
        <f t="array" ref="F35:F35">OFFSET(E35,-1,1)</f>
        <v>0</v>
      </c>
      <c r="G35" s="124" t="s">
        <v>1094</v>
      </c>
      <c r="H35" s="92" t="s">
        <v>884</v>
      </c>
      <c r="I35" s="1484"/>
      <c r="J35" s="457"/>
      <c r="K35" s="457" t="str">
        <f>F35&amp;"14komm"</f>
        <v>014komm</v>
      </c>
      <c r="L35" s="899" cm="1" t="str">
        <f t="array" ref="L35:L35">AK35</f>
        <v>0</v>
      </c>
      <c r="M35" s="1484"/>
      <c r="N35" s="1484"/>
      <c r="O35" s="1484"/>
      <c r="P35" s="1484"/>
      <c r="Q35" s="1484"/>
      <c r="R35" s="1484"/>
      <c r="S35" s="1484"/>
      <c r="T35" s="439" cm="1" t="str">
        <f t="array" ref="T35:T35">T34</f>
        <v>false</v>
      </c>
      <c r="U35" s="1484"/>
      <c r="V35" s="1484"/>
      <c r="W35" s="1484"/>
      <c r="X35" s="1462"/>
      <c r="Y35" s="1484"/>
      <c r="Z35" s="1484"/>
      <c r="AA35" s="1484"/>
      <c r="AB35" s="319" t="s">
        <v>885</v>
      </c>
      <c r="AC35" s="181" t="s">
        <v>1095</v>
      </c>
      <c r="AD35" s="56" t="s">
        <v>784</v>
      </c>
      <c r="AE35" s="3159"/>
      <c r="AF35" s="3159"/>
      <c r="AG35" s="3159"/>
      <c r="AH35" s="3159"/>
      <c r="AI35" s="196"/>
      <c r="AJ35" s="196"/>
      <c r="AK35" s="1914"/>
      <c r="AL35" s="1484"/>
      <c r="AM35" s="1484"/>
      <c r="AN35" s="1014" t="s">
        <v>1096</v>
      </c>
    </row>
    <row s="1484" customFormat="1" customHeight="1" ht="14.625" hidden="1">
      <c r="A36" s="1484"/>
      <c r="B36" s="402"/>
      <c r="C36" s="1484"/>
      <c r="D36" s="1484"/>
      <c r="E36" s="234">
        <v>15</v>
      </c>
      <c r="F36" s="50" cm="1" t="str">
        <f t="array" ref="F36:F36">OFFSET(E36,-1,1)</f>
        <v>0</v>
      </c>
      <c r="G36" s="124" t="s">
        <v>1097</v>
      </c>
      <c r="H36" s="92" t="s">
        <v>1098</v>
      </c>
      <c r="I36" s="1484"/>
      <c r="J36" s="457"/>
      <c r="K36" s="457" t="str">
        <f>F36&amp;"15komm"</f>
        <v>015komm</v>
      </c>
      <c r="L36" s="899" cm="1" t="str">
        <f t="array" ref="L36:L36">AK36</f>
        <v>0</v>
      </c>
      <c r="M36" s="1484"/>
      <c r="N36" s="1484"/>
      <c r="O36" s="1484"/>
      <c r="P36" s="1484"/>
      <c r="Q36" s="1484"/>
      <c r="R36" s="1484"/>
      <c r="S36" s="1484"/>
      <c r="T36" s="439" cm="1" t="str">
        <f t="array" ref="T36:T36">T35</f>
        <v>false</v>
      </c>
      <c r="U36" s="1484"/>
      <c r="V36" s="1484"/>
      <c r="W36" s="1484"/>
      <c r="X36" s="1462"/>
      <c r="Y36" s="1484"/>
      <c r="Z36" s="1484"/>
      <c r="AA36" s="1484"/>
      <c r="AB36" s="319" t="s">
        <v>1099</v>
      </c>
      <c r="AC36" s="181" t="s">
        <v>1100</v>
      </c>
      <c r="AD36" s="56" t="s">
        <v>784</v>
      </c>
      <c r="AE36" s="3159"/>
      <c r="AF36" s="3159"/>
      <c r="AG36" s="3159"/>
      <c r="AH36" s="3159"/>
      <c r="AI36" s="196"/>
      <c r="AJ36" s="196"/>
      <c r="AK36" s="1914"/>
      <c r="AL36" s="1484"/>
      <c r="AM36" s="1484"/>
      <c r="AN36" s="1014" t="s">
        <v>1101</v>
      </c>
    </row>
    <row s="1484" customFormat="1" customHeight="1" ht="14.625" hidden="1">
      <c r="A37" s="1484"/>
      <c r="B37" s="402"/>
      <c r="C37" s="1484"/>
      <c r="D37" s="1484"/>
      <c r="E37" s="234">
        <v>15</v>
      </c>
      <c r="F37" s="50" cm="1" t="str">
        <f t="array" ref="F37:F37">OFFSET(E37,-1,1)</f>
        <v>0</v>
      </c>
      <c r="G37" s="124" t="s">
        <v>1102</v>
      </c>
      <c r="H37" s="92" t="s">
        <v>1103</v>
      </c>
      <c r="I37" s="1484"/>
      <c r="J37" s="457"/>
      <c r="K37" s="457" t="str">
        <f>F37&amp;"16komm"</f>
        <v>016komm</v>
      </c>
      <c r="L37" s="899" cm="1" t="str">
        <f t="array" ref="L37:L37">AK37</f>
        <v>0</v>
      </c>
      <c r="M37" s="1484"/>
      <c r="N37" s="1484"/>
      <c r="O37" s="1484"/>
      <c r="P37" s="1484"/>
      <c r="Q37" s="1484"/>
      <c r="R37" s="1484"/>
      <c r="S37" s="1484"/>
      <c r="T37" s="439" cm="1" t="str">
        <f t="array" ref="T37:T37">T36</f>
        <v>false</v>
      </c>
      <c r="U37" s="1484"/>
      <c r="V37" s="1484"/>
      <c r="W37" s="1484"/>
      <c r="X37" s="1462"/>
      <c r="Y37" s="1484"/>
      <c r="Z37" s="1484"/>
      <c r="AA37" s="1484"/>
      <c r="AB37" s="319" t="s">
        <v>1104</v>
      </c>
      <c r="AC37" s="181" t="s">
        <v>1105</v>
      </c>
      <c r="AD37" s="56" t="s">
        <v>784</v>
      </c>
      <c r="AE37" s="3159"/>
      <c r="AF37" s="3159"/>
      <c r="AG37" s="3159"/>
      <c r="AH37" s="3159"/>
      <c r="AI37" s="196"/>
      <c r="AJ37" s="196"/>
      <c r="AK37" s="1914"/>
      <c r="AL37" s="1484"/>
      <c r="AM37" s="1484"/>
      <c r="AN37" s="1014" t="s">
        <v>1106</v>
      </c>
    </row>
    <row s="1484" customFormat="1" customHeight="1" ht="32.90625" hidden="1">
      <c r="A38" s="1484"/>
      <c r="B38" s="402"/>
      <c r="C38" s="1484"/>
      <c r="D38" s="1484"/>
      <c r="E38" s="234">
        <v>33.75</v>
      </c>
      <c r="F38" s="50" cm="1" t="str">
        <f t="array" ref="F38:F38">OFFSET(E38,-1,1)</f>
        <v>0</v>
      </c>
      <c r="G38" s="316" t="s">
        <v>1107</v>
      </c>
      <c r="H38" s="92" t="s">
        <v>329</v>
      </c>
      <c r="I38" s="1484"/>
      <c r="J38" s="457"/>
      <c r="K38" s="457" t="str">
        <f>F38&amp;"2komm"</f>
        <v>02komm</v>
      </c>
      <c r="L38" s="899" cm="1" t="str">
        <f t="array" ref="L38:L38">AK38</f>
        <v>0</v>
      </c>
      <c r="M38" s="1484"/>
      <c r="N38" s="1484"/>
      <c r="O38" s="1484"/>
      <c r="P38" s="1484"/>
      <c r="Q38" s="1484"/>
      <c r="R38" s="1484"/>
      <c r="S38" s="1484"/>
      <c r="T38" s="439" cm="1" t="str">
        <f t="array" ref="T38:T38">T37</f>
        <v>false</v>
      </c>
      <c r="U38" s="1484"/>
      <c r="V38" s="1484"/>
      <c r="W38" s="1484"/>
      <c r="X38" s="1462"/>
      <c r="Y38" s="1484"/>
      <c r="Z38" s="1484"/>
      <c r="AA38" s="1484"/>
      <c r="AB38" s="319" t="s">
        <v>536</v>
      </c>
      <c r="AC38" s="308" t="s">
        <v>1108</v>
      </c>
      <c r="AD38" s="56" t="s">
        <v>784</v>
      </c>
      <c r="AE38" s="3159"/>
      <c r="AF38" s="3159"/>
      <c r="AG38" s="3159"/>
      <c r="AH38" s="3159"/>
      <c r="AI38" s="196"/>
      <c r="AJ38" s="196"/>
      <c r="AK38" s="1914"/>
      <c r="AL38" s="1484"/>
      <c r="AM38" s="1484"/>
      <c r="AN38" s="1014" t="s">
        <v>1109</v>
      </c>
    </row>
    <row s="1484" customFormat="1" customHeight="1" ht="14.625" hidden="1">
      <c r="A39" s="1484"/>
      <c r="B39" s="402"/>
      <c r="C39" s="1484"/>
      <c r="D39" s="1484"/>
      <c r="E39" s="234">
        <v>15</v>
      </c>
      <c r="F39" s="50" cm="1" t="str">
        <f t="array" ref="F39:F39">OFFSET(E39,-1,1)</f>
        <v>0</v>
      </c>
      <c r="G39" s="316" t="s">
        <v>1110</v>
      </c>
      <c r="H39" s="92" t="s">
        <v>328</v>
      </c>
      <c r="I39" s="1484"/>
      <c r="J39" s="457"/>
      <c r="K39" s="457" t="str">
        <f>F39&amp;"3komm"</f>
        <v>03komm</v>
      </c>
      <c r="L39" s="899" cm="1" t="str">
        <f t="array" ref="L39:L39">AK39</f>
        <v>0</v>
      </c>
      <c r="M39" s="1484"/>
      <c r="N39" s="1484"/>
      <c r="O39" s="1484"/>
      <c r="P39" s="1484"/>
      <c r="Q39" s="1484"/>
      <c r="R39" s="1484"/>
      <c r="S39" s="1484"/>
      <c r="T39" s="439" cm="1" t="str">
        <f t="array" ref="T39:T39">T38</f>
        <v>false</v>
      </c>
      <c r="U39" s="1484"/>
      <c r="V39" s="1484"/>
      <c r="W39" s="1484"/>
      <c r="X39" s="1462"/>
      <c r="Y39" s="1484"/>
      <c r="Z39" s="1484"/>
      <c r="AA39" s="1484"/>
      <c r="AB39" s="319" t="s">
        <v>492</v>
      </c>
      <c r="AC39" s="308" t="s">
        <v>1111</v>
      </c>
      <c r="AD39" s="56" t="s">
        <v>784</v>
      </c>
      <c r="AE39" s="3159"/>
      <c r="AF39" s="3159"/>
      <c r="AG39" s="3159"/>
      <c r="AH39" s="3159"/>
      <c r="AI39" s="196"/>
      <c r="AJ39" s="196"/>
      <c r="AK39" s="1914"/>
      <c r="AL39" s="1484"/>
      <c r="AM39" s="1484"/>
      <c r="AN39" s="1014" t="s">
        <v>1112</v>
      </c>
    </row>
    <row s="1484" customFormat="1" customHeight="1" ht="14.625" hidden="1">
      <c r="A40" s="1484"/>
      <c r="B40" s="402"/>
      <c r="C40" s="1484"/>
      <c r="D40" s="1484"/>
      <c r="E40" s="234">
        <v>15</v>
      </c>
      <c r="F40" s="50" cm="1" t="str">
        <f t="array" ref="F40:F40">OFFSET(E40,-1,1)</f>
        <v>0</v>
      </c>
      <c r="G40" s="316" t="s">
        <v>1113</v>
      </c>
      <c r="H40" s="92" t="s">
        <v>491</v>
      </c>
      <c r="I40" s="1484"/>
      <c r="J40" s="1484"/>
      <c r="K40" s="457" t="str">
        <f>F40&amp;"4komm"</f>
        <v>04komm</v>
      </c>
      <c r="L40" s="899" cm="1" t="str">
        <f t="array" ref="L40:L40">AK40</f>
        <v>0</v>
      </c>
      <c r="M40" s="1484"/>
      <c r="N40" s="1484"/>
      <c r="O40" s="1484"/>
      <c r="P40" s="1484"/>
      <c r="Q40" s="1484"/>
      <c r="R40" s="1484"/>
      <c r="S40" s="1484"/>
      <c r="T40" s="439" cm="1" t="str">
        <f t="array" ref="T40:T40">T39</f>
        <v>false</v>
      </c>
      <c r="U40" s="1484"/>
      <c r="V40" s="1484"/>
      <c r="W40" s="1484"/>
      <c r="X40" s="1462"/>
      <c r="Y40" s="1484"/>
      <c r="Z40" s="1484"/>
      <c r="AA40" s="1484"/>
      <c r="AB40" s="319" t="s">
        <v>496</v>
      </c>
      <c r="AC40" s="308" t="s">
        <v>1114</v>
      </c>
      <c r="AD40" s="56" t="s">
        <v>784</v>
      </c>
      <c r="AE40" s="3159"/>
      <c r="AF40" s="3159"/>
      <c r="AG40" s="3159"/>
      <c r="AH40" s="3159"/>
      <c r="AI40" s="196"/>
      <c r="AJ40" s="196"/>
      <c r="AK40" s="1914"/>
      <c r="AL40" s="1484"/>
      <c r="AM40" s="1484"/>
      <c r="AN40" s="1014" t="s">
        <v>1115</v>
      </c>
    </row>
    <row s="1484" customFormat="1" customHeight="1" ht="14.625" hidden="1">
      <c r="A41" s="1484"/>
      <c r="B41" s="402"/>
      <c r="C41" s="1484"/>
      <c r="D41" s="1484"/>
      <c r="E41" s="234">
        <v>15</v>
      </c>
      <c r="F41" s="50" cm="1" t="str">
        <f t="array" ref="F41:F41">OFFSET(E41,-1,1)</f>
        <v>0</v>
      </c>
      <c r="G41" s="316" t="s">
        <v>1116</v>
      </c>
      <c r="H41" s="92" t="s">
        <v>495</v>
      </c>
      <c r="I41" s="1484"/>
      <c r="J41" s="1484"/>
      <c r="K41" s="457" t="str">
        <f>F41&amp;"5komm"</f>
        <v>05komm</v>
      </c>
      <c r="L41" s="899" cm="1" t="str">
        <f t="array" ref="L41:L41">AK41</f>
        <v>0</v>
      </c>
      <c r="M41" s="1484"/>
      <c r="N41" s="1484"/>
      <c r="O41" s="1484"/>
      <c r="P41" s="1484"/>
      <c r="Q41" s="1484"/>
      <c r="R41" s="1484"/>
      <c r="S41" s="1484"/>
      <c r="T41" s="439" cm="1" t="str">
        <f t="array" ref="T41:T41">T40</f>
        <v>false</v>
      </c>
      <c r="U41" s="1484"/>
      <c r="V41" s="1484"/>
      <c r="W41" s="1484"/>
      <c r="X41" s="1462"/>
      <c r="Y41" s="1484"/>
      <c r="Z41" s="1484"/>
      <c r="AA41" s="1484"/>
      <c r="AB41" s="319" t="s">
        <v>557</v>
      </c>
      <c r="AC41" s="308" t="s">
        <v>1117</v>
      </c>
      <c r="AD41" s="56" t="s">
        <v>784</v>
      </c>
      <c r="AE41" s="3159"/>
      <c r="AF41" s="3159"/>
      <c r="AG41" s="3159"/>
      <c r="AH41" s="3159"/>
      <c r="AI41" s="196"/>
      <c r="AJ41" s="196"/>
      <c r="AK41" s="1914"/>
      <c r="AL41" s="1484"/>
      <c r="AM41" s="1484"/>
      <c r="AN41" s="1014" t="s">
        <v>1118</v>
      </c>
    </row>
    <row s="1484" customFormat="1" customHeight="1" ht="14.625" hidden="1">
      <c r="A42" s="1484"/>
      <c r="B42" s="402"/>
      <c r="C42" s="1484"/>
      <c r="D42" s="1484"/>
      <c r="E42" s="234">
        <v>15</v>
      </c>
      <c r="F42" s="50" cm="1" t="str">
        <f t="array" ref="F42:F42">OFFSET(E42,-1,1)</f>
        <v>0</v>
      </c>
      <c r="G42" s="316" t="s">
        <v>1119</v>
      </c>
      <c r="H42" s="92" t="s">
        <v>541</v>
      </c>
      <c r="I42" s="1484"/>
      <c r="J42" s="1484"/>
      <c r="K42" s="457" t="str">
        <f>F42&amp;"6komm"</f>
        <v>06komm</v>
      </c>
      <c r="L42" s="899" cm="1" t="str">
        <f t="array" ref="L42:L42">AK42</f>
        <v>0</v>
      </c>
      <c r="M42" s="1484"/>
      <c r="N42" s="1484"/>
      <c r="O42" s="1484"/>
      <c r="P42" s="1484"/>
      <c r="Q42" s="1484"/>
      <c r="R42" s="1484"/>
      <c r="S42" s="1484"/>
      <c r="T42" s="439" cm="1" t="str">
        <f t="array" ref="T42:T42">T41</f>
        <v>false</v>
      </c>
      <c r="U42" s="1484"/>
      <c r="V42" s="1484"/>
      <c r="W42" s="1484"/>
      <c r="X42" s="1462"/>
      <c r="Y42" s="1484"/>
      <c r="Z42" s="1484"/>
      <c r="AA42" s="1484"/>
      <c r="AB42" s="319" t="s">
        <v>565</v>
      </c>
      <c r="AC42" s="308" t="s">
        <v>1120</v>
      </c>
      <c r="AD42" s="56" t="s">
        <v>784</v>
      </c>
      <c r="AE42" s="320">
        <f>SUM(AE43:AE45)</f>
        <v>0</v>
      </c>
      <c r="AF42" s="320">
        <f>SUM(AF43:AF45)</f>
        <v>0</v>
      </c>
      <c r="AG42" s="320">
        <f>SUM(AG43:AG45)</f>
        <v>0</v>
      </c>
      <c r="AH42" s="320">
        <f>SUM(AH43:AH45)</f>
        <v>0</v>
      </c>
      <c r="AI42" s="320">
        <f>SUM(AI43:AI45)</f>
        <v>0</v>
      </c>
      <c r="AJ42" s="320">
        <f>SUM(AJ43:AJ45)</f>
        <v>0</v>
      </c>
      <c r="AK42" s="1914"/>
      <c r="AL42" s="1484"/>
      <c r="AM42" s="1484"/>
      <c r="AN42" s="1014" t="s">
        <v>389</v>
      </c>
    </row>
    <row s="1484" customFormat="1" customHeight="1" ht="14.625" hidden="1">
      <c r="A43" s="1484"/>
      <c r="B43" s="402"/>
      <c r="C43" s="1484"/>
      <c r="D43" s="1484"/>
      <c r="E43" s="234">
        <v>15</v>
      </c>
      <c r="F43" s="50" cm="1" t="str">
        <f t="array" ref="F43:F43">OFFSET(E43,-1,1)</f>
        <v>0</v>
      </c>
      <c r="G43" s="316" t="s">
        <v>1121</v>
      </c>
      <c r="H43" s="92" t="s">
        <v>544</v>
      </c>
      <c r="I43" s="1484"/>
      <c r="J43" s="1484"/>
      <c r="K43" s="457" t="str">
        <f>F43&amp;"7komm"</f>
        <v>07komm</v>
      </c>
      <c r="L43" s="899" cm="1" t="str">
        <f t="array" ref="L43:L43">AK43</f>
        <v>0</v>
      </c>
      <c r="M43" s="1484"/>
      <c r="N43" s="1484"/>
      <c r="O43" s="1484"/>
      <c r="P43" s="1484"/>
      <c r="Q43" s="1484"/>
      <c r="R43" s="1484"/>
      <c r="S43" s="1484"/>
      <c r="T43" s="439" cm="1" t="str">
        <f t="array" ref="T43:T43">T42</f>
        <v>false</v>
      </c>
      <c r="U43" s="1484"/>
      <c r="V43" s="1484"/>
      <c r="W43" s="1484"/>
      <c r="X43" s="1462"/>
      <c r="Y43" s="1484"/>
      <c r="Z43" s="1484"/>
      <c r="AA43" s="1484"/>
      <c r="AB43" s="319" t="s">
        <v>569</v>
      </c>
      <c r="AC43" s="181" t="s">
        <v>1122</v>
      </c>
      <c r="AD43" s="56" t="s">
        <v>784</v>
      </c>
      <c r="AE43" s="3159"/>
      <c r="AF43" s="3159"/>
      <c r="AG43" s="3159"/>
      <c r="AH43" s="3159"/>
      <c r="AI43" s="196"/>
      <c r="AJ43" s="196"/>
      <c r="AK43" s="1914"/>
      <c r="AL43" s="1484"/>
      <c r="AM43" s="1484"/>
      <c r="AN43" s="1014" t="s">
        <v>1123</v>
      </c>
    </row>
    <row s="1484" customFormat="1" customHeight="1" ht="43.875" hidden="1">
      <c r="A44" s="1484"/>
      <c r="B44" s="402"/>
      <c r="C44" s="1484"/>
      <c r="D44" s="1484"/>
      <c r="E44" s="234">
        <v>45</v>
      </c>
      <c r="F44" s="50" cm="1" t="str">
        <f t="array" ref="F44:F44">OFFSET(E44,-1,1)</f>
        <v>0</v>
      </c>
      <c r="G44" s="316" t="s">
        <v>1124</v>
      </c>
      <c r="H44" s="92" t="s">
        <v>548</v>
      </c>
      <c r="I44" s="1484"/>
      <c r="J44" s="1484"/>
      <c r="K44" s="457" t="str">
        <f>F44&amp;"8komm"</f>
        <v>08komm</v>
      </c>
      <c r="L44" s="899" cm="1" t="str">
        <f t="array" ref="L44:L44">AK44</f>
        <v>0</v>
      </c>
      <c r="M44" s="1484"/>
      <c r="N44" s="1484"/>
      <c r="O44" s="1484"/>
      <c r="P44" s="1484"/>
      <c r="Q44" s="1484"/>
      <c r="R44" s="1484"/>
      <c r="S44" s="1484"/>
      <c r="T44" s="439" cm="1" t="str">
        <f t="array" ref="T44:T44">T43</f>
        <v>false</v>
      </c>
      <c r="U44" s="1484"/>
      <c r="V44" s="1484"/>
      <c r="W44" s="1484"/>
      <c r="X44" s="1462"/>
      <c r="Y44" s="1484"/>
      <c r="Z44" s="1484"/>
      <c r="AA44" s="1484"/>
      <c r="AB44" s="319" t="s">
        <v>586</v>
      </c>
      <c r="AC44" s="743" t="s">
        <v>1125</v>
      </c>
      <c r="AD44" s="56" t="s">
        <v>784</v>
      </c>
      <c r="AE44" s="3159"/>
      <c r="AF44" s="3159"/>
      <c r="AG44" s="3159"/>
      <c r="AH44" s="3159"/>
      <c r="AI44" s="196"/>
      <c r="AJ44" s="196"/>
      <c r="AK44" s="1914"/>
      <c r="AL44" s="1484"/>
      <c r="AM44" s="1484"/>
      <c r="AN44" s="1014" t="s">
        <v>1126</v>
      </c>
    </row>
    <row s="1484" customFormat="1" customHeight="1" ht="14.625" hidden="1">
      <c r="A45" s="1484"/>
      <c r="B45" s="402"/>
      <c r="C45" s="1484"/>
      <c r="D45" s="1484"/>
      <c r="E45" s="234">
        <v>15</v>
      </c>
      <c r="F45" s="50" cm="1" t="str">
        <f t="array" ref="F45:F45">OFFSET(E45,-1,1)</f>
        <v>0</v>
      </c>
      <c r="G45" s="124" t="s">
        <v>1127</v>
      </c>
      <c r="H45" s="92" t="s">
        <v>552</v>
      </c>
      <c r="I45" s="1484"/>
      <c r="J45" s="1484"/>
      <c r="K45" s="457" t="str">
        <f>F45&amp;"9komm"</f>
        <v>09komm</v>
      </c>
      <c r="L45" s="899" cm="1" t="str">
        <f t="array" ref="L45:L45">AK45</f>
        <v>0</v>
      </c>
      <c r="M45" s="1484"/>
      <c r="N45" s="1484"/>
      <c r="O45" s="1484"/>
      <c r="P45" s="1484"/>
      <c r="Q45" s="1484"/>
      <c r="R45" s="1484"/>
      <c r="S45" s="1484"/>
      <c r="T45" s="439" cm="1" t="str">
        <f t="array" ref="T45:T45">T44</f>
        <v>false</v>
      </c>
      <c r="U45" s="1484"/>
      <c r="V45" s="1484"/>
      <c r="W45" s="1484"/>
      <c r="X45" s="1462"/>
      <c r="Y45" s="1484"/>
      <c r="Z45" s="1484"/>
      <c r="AA45" s="1484"/>
      <c r="AB45" s="319" t="s">
        <v>598</v>
      </c>
      <c r="AC45" s="181" t="s">
        <v>1128</v>
      </c>
      <c r="AD45" s="56" t="s">
        <v>784</v>
      </c>
      <c r="AE45" s="3159"/>
      <c r="AF45" s="3159"/>
      <c r="AG45" s="3159"/>
      <c r="AH45" s="3159"/>
      <c r="AI45" s="1390"/>
      <c r="AJ45" s="1390"/>
      <c r="AK45" s="1914"/>
      <c r="AL45" s="1484"/>
      <c r="AM45" s="1484"/>
      <c r="AN45" s="1014" t="s">
        <v>1129</v>
      </c>
    </row>
    <row s="1621" customFormat="1" customHeight="1" ht="10.5">
      <c r="A46" s="676"/>
      <c r="B46" s="1176"/>
      <c r="C46" s="112"/>
      <c r="D46" s="112"/>
      <c r="E46" s="234">
        <v>11.25</v>
      </c>
      <c r="F46" s="64" cm="1" t="str">
        <f t="array" ref="F46:F46">X46</f>
        <v>1</v>
      </c>
      <c r="G46" s="112"/>
      <c r="H46" s="112"/>
      <c r="I46" s="112"/>
      <c r="J46" s="112"/>
      <c r="K46" s="112"/>
      <c r="L46" s="112"/>
      <c r="M46" s="112"/>
      <c r="N46" s="112"/>
      <c r="O46" s="112"/>
      <c r="P46" s="112"/>
      <c r="Q46" s="112"/>
      <c r="R46" s="112"/>
      <c r="S46" s="112"/>
      <c r="T46" s="439">
        <f>X46&gt;0</f>
        <v>1</v>
      </c>
      <c r="U46" s="112"/>
      <c r="V46" s="112" cm="1" t="str">
        <f t="array" ref="V46:V46">ФОТ!$AB$52</f>
        <v>Тариф 1 (Водоснабжение) - тариф на техническую воду (Оказание услуг на территории: Прокопьевский муниципальный округ (ОКТМО: 32522000) - п Калачево)</v>
      </c>
      <c r="W46" s="112"/>
      <c r="X46" s="1462" t="s">
        <v>272</v>
      </c>
      <c r="Y46" s="112"/>
      <c r="Z46" s="1484"/>
      <c r="AA46" s="112"/>
      <c r="AB46" s="209" cm="1" t="str">
        <f t="array" ref="AB46:AB46">ФОТ!$AB$52</f>
        <v>Тариф 1 (Водоснабжение) - тариф на техническую воду (Оказание услуг на территории: Прокопьевский муниципальный округ (ОКТМО: 32522000) - п Калачево)</v>
      </c>
      <c r="AC46" s="147"/>
      <c r="AD46" s="147"/>
      <c r="AE46" s="273">
        <f>AE47+AE48+AE49+AE57+AE58+AE59+AE60+AE61</f>
        <v>0</v>
      </c>
      <c r="AF46" s="273">
        <f>AF47+AF48+AF49+AF57+AF58+AF59+AF60+AF61</f>
        <v>0</v>
      </c>
      <c r="AG46" s="273">
        <f>AG47+AG48+AG49+AG57+AG58+AG59+AG60+AG61</f>
        <v>0</v>
      </c>
      <c r="AH46" s="273">
        <f>AH47+AH48+AH49+AH57+AH58+AH59+AH60+AH61</f>
        <v>0</v>
      </c>
      <c r="AI46" s="273">
        <f>AI47+AI48+AI49+AI57+AI58+AI59+AI60+AI61</f>
        <v>0</v>
      </c>
      <c r="AJ46" s="273">
        <f>AJ47+AJ48+AJ49+AJ57+AJ58+AJ59+AJ60+AJ61</f>
        <v>0</v>
      </c>
      <c r="AK46" s="141"/>
      <c r="AL46" s="112"/>
      <c r="AM46" s="676"/>
      <c r="AN46" s="1061"/>
    </row>
    <row s="1621" customFormat="1" customHeight="1" ht="21.75">
      <c r="A47" s="676"/>
      <c r="B47" s="1176"/>
      <c r="C47" s="112"/>
      <c r="D47" s="112"/>
      <c r="E47" s="234">
        <v>22.5</v>
      </c>
      <c r="F47" s="50" cm="1" t="str">
        <f t="array" ref="F47:F47">OFFSET(E47,-1,1)</f>
        <v>1</v>
      </c>
      <c r="G47" s="112"/>
      <c r="H47" s="92" t="s">
        <v>325</v>
      </c>
      <c r="I47" s="112"/>
      <c r="J47" s="112"/>
      <c r="K47" s="112"/>
      <c r="L47" s="112"/>
      <c r="M47" s="112"/>
      <c r="N47" s="112"/>
      <c r="O47" s="112"/>
      <c r="P47" s="112"/>
      <c r="Q47" s="112"/>
      <c r="R47" s="112"/>
      <c r="S47" s="112"/>
      <c r="T47" s="439" cm="1" t="str">
        <f t="array" ref="T47:T47">T46</f>
        <v>true</v>
      </c>
      <c r="U47" s="112"/>
      <c r="V47" s="112"/>
      <c r="W47" s="112"/>
      <c r="X47" s="1462"/>
      <c r="Y47" s="112"/>
      <c r="Z47" s="1484"/>
      <c r="AA47" s="112"/>
      <c r="AB47" s="319">
        <v>1</v>
      </c>
      <c r="AC47" s="308" t="s">
        <v>1062</v>
      </c>
      <c r="AD47" s="56" t="s">
        <v>784</v>
      </c>
      <c r="AE47" s="874">
        <f>_xlfn.SUMIFS(ФОТ!AE$25:AE$102,ФОТ!$F$25:$F$102,$F47,ФОТ!$AC$25:$AC$102,$AC47)</f>
        <v>0</v>
      </c>
      <c r="AF47" s="874">
        <f>_xlfn.SUMIFS(ФОТ!AF$25:AF$102,ФОТ!$F$25:$F$102,$F47,ФОТ!$AC$25:$AC$102,$AC47)</f>
        <v>0</v>
      </c>
      <c r="AG47" s="874">
        <f>_xlfn.SUMIFS(ФОТ!AG$25:AG$102,ФОТ!$F$25:$F$102,$F47,ФОТ!$AC$25:$AC$102,$AC47)</f>
        <v>0</v>
      </c>
      <c r="AH47" s="874">
        <f>_xlfn.SUMIFS(ФОТ!AH$25:AH$102,ФОТ!$F$25:$F$102,$F47,ФОТ!$AC$25:$AC$102,$AC47)</f>
        <v>0</v>
      </c>
      <c r="AI47" s="874">
        <f>_xlfn.SUMIFS(ФОТ!AI$25:AI$102,ФОТ!$F$25:$F$102,$F47,ФОТ!$AC$25:$AC$102,$AC47)</f>
        <v>0</v>
      </c>
      <c r="AJ47" s="874">
        <f>_xlfn.SUMIFS(ФОТ!AJ$25:AJ$102,ФОТ!$F$25:$F$102,$F47,ФОТ!$AC$25:$AC$102,$AC47)</f>
        <v>0</v>
      </c>
      <c r="AK47" s="276"/>
      <c r="AL47" s="112"/>
      <c r="AM47" s="676"/>
      <c r="AN47" s="998" t="s">
        <v>1078</v>
      </c>
    </row>
    <row s="1621" customFormat="1" customHeight="1" ht="21.75">
      <c r="A48" s="676"/>
      <c r="B48" s="1176"/>
      <c r="C48" s="112"/>
      <c r="D48" s="112"/>
      <c r="E48" s="234">
        <v>22.5</v>
      </c>
      <c r="F48" s="50" cm="1" t="str">
        <f t="array" ref="F48:F48">OFFSET(E48,-1,1)</f>
        <v>1</v>
      </c>
      <c r="G48" s="112"/>
      <c r="H48" s="92" t="s">
        <v>326</v>
      </c>
      <c r="I48" s="112"/>
      <c r="J48" s="457"/>
      <c r="K48" s="457"/>
      <c r="L48" s="457"/>
      <c r="M48" s="112"/>
      <c r="N48" s="112"/>
      <c r="O48" s="112"/>
      <c r="P48" s="112"/>
      <c r="Q48" s="112"/>
      <c r="R48" s="112"/>
      <c r="S48" s="112"/>
      <c r="T48" s="439" cm="1" t="str">
        <f t="array" ref="T48:T48">T47</f>
        <v>true</v>
      </c>
      <c r="U48" s="112"/>
      <c r="V48" s="112"/>
      <c r="W48" s="112"/>
      <c r="X48" s="1462"/>
      <c r="Y48" s="112"/>
      <c r="Z48" s="1484"/>
      <c r="AA48" s="112"/>
      <c r="AB48" s="319" t="s">
        <v>283</v>
      </c>
      <c r="AC48" s="308" t="s">
        <v>1067</v>
      </c>
      <c r="AD48" s="56" t="s">
        <v>784</v>
      </c>
      <c r="AE48" s="874">
        <f>_xlfn.SUMIFS(ФОТ!AE$25:AE$102,ФОТ!$F$25:$F$102,$F48,ФОТ!$AC$25:$AC$102,$AC48)</f>
        <v>0</v>
      </c>
      <c r="AF48" s="874">
        <f>_xlfn.SUMIFS(ФОТ!AF$25:AF$102,ФОТ!$F$25:$F$102,$F48,ФОТ!$AC$25:$AC$102,$AC48)</f>
        <v>0</v>
      </c>
      <c r="AG48" s="874">
        <f>_xlfn.SUMIFS(ФОТ!AG$25:AG$102,ФОТ!$F$25:$F$102,$F48,ФОТ!$AC$25:$AC$102,$AC48)</f>
        <v>0</v>
      </c>
      <c r="AH48" s="874">
        <f>_xlfn.SUMIFS(ФОТ!AH$25:AH$102,ФОТ!$F$25:$F$102,$F48,ФОТ!$AC$25:$AC$102,$AC48)</f>
        <v>0</v>
      </c>
      <c r="AI48" s="874">
        <f>_xlfn.SUMIFS(ФОТ!AI$25:AI$102,ФОТ!$F$25:$F$102,$F48,ФОТ!$AC$25:$AC$102,$AC48)</f>
        <v>0</v>
      </c>
      <c r="AJ48" s="874">
        <f>_xlfn.SUMIFS(ФОТ!AJ$25:AJ$102,ФОТ!$F$25:$F$102,$F48,ФОТ!$AC$25:$AC$102,$AC48)</f>
        <v>0</v>
      </c>
      <c r="AK48" s="276"/>
      <c r="AL48" s="112"/>
      <c r="AM48" s="676"/>
      <c r="AN48" s="998" t="s">
        <v>1068</v>
      </c>
    </row>
    <row s="1621" customFormat="1" customHeight="1" ht="32.25">
      <c r="A49" s="676"/>
      <c r="B49" s="1176"/>
      <c r="C49" s="112"/>
      <c r="D49" s="112"/>
      <c r="E49" s="234">
        <v>33.75</v>
      </c>
      <c r="F49" s="50" cm="1" t="str">
        <f t="array" ref="F49:F49">OFFSET(E49,-1,1)</f>
        <v>1</v>
      </c>
      <c r="G49" s="316" t="s">
        <v>1079</v>
      </c>
      <c r="H49" s="92" t="s">
        <v>327</v>
      </c>
      <c r="I49" s="112"/>
      <c r="J49" s="457"/>
      <c r="K49" s="457" t="str">
        <f>F49&amp;"17komm"</f>
        <v>117komm</v>
      </c>
      <c r="L49" s="899" cm="1" t="str">
        <f t="array" ref="L49:L49">AK49</f>
        <v>0</v>
      </c>
      <c r="M49" s="112"/>
      <c r="N49" s="112"/>
      <c r="O49" s="112"/>
      <c r="P49" s="112"/>
      <c r="Q49" s="112"/>
      <c r="R49" s="112"/>
      <c r="S49" s="112"/>
      <c r="T49" s="439" cm="1" t="str">
        <f t="array" ref="T49:T49">T48</f>
        <v>true</v>
      </c>
      <c r="U49" s="112"/>
      <c r="V49" s="112"/>
      <c r="W49" s="112"/>
      <c r="X49" s="1462"/>
      <c r="Y49" s="112"/>
      <c r="Z49" s="1484"/>
      <c r="AA49" s="112"/>
      <c r="AB49" s="319" t="s">
        <v>323</v>
      </c>
      <c r="AC49" s="308" t="s">
        <v>1080</v>
      </c>
      <c r="AD49" s="56" t="s">
        <v>784</v>
      </c>
      <c r="AE49" s="205">
        <f>SUM(AE50:AE56)</f>
        <v>0</v>
      </c>
      <c r="AF49" s="205">
        <f>SUM(AF50:AF56)</f>
        <v>0</v>
      </c>
      <c r="AG49" s="205">
        <f>SUM(AG50:AG56)</f>
        <v>0</v>
      </c>
      <c r="AH49" s="205">
        <f>SUM(AH50:AH56)</f>
        <v>0</v>
      </c>
      <c r="AI49" s="205">
        <f>SUM(AI50:AI56)</f>
        <v>0</v>
      </c>
      <c r="AJ49" s="205">
        <f>SUM(AJ50:AJ56)</f>
        <v>0</v>
      </c>
      <c r="AK49" s="276"/>
      <c r="AL49" s="112"/>
      <c r="AM49" s="676"/>
      <c r="AN49" s="998" t="s">
        <v>1081</v>
      </c>
    </row>
    <row s="1621" customFormat="1" customHeight="1" ht="14.25">
      <c r="A50" s="1621"/>
      <c r="B50" s="403"/>
      <c r="C50" s="112"/>
      <c r="D50" s="112"/>
      <c r="E50" s="234">
        <v>15</v>
      </c>
      <c r="F50" s="1202" cm="1" t="str">
        <f t="array" ref="F50:F50">OFFSET(E50,-1,1)</f>
        <v>1</v>
      </c>
      <c r="G50" s="124" t="s">
        <v>1082</v>
      </c>
      <c r="H50" s="92" t="s">
        <v>875</v>
      </c>
      <c r="I50" s="112"/>
      <c r="J50" s="457"/>
      <c r="K50" s="457" t="str">
        <f>F50&amp;"18komm"</f>
        <v>118komm</v>
      </c>
      <c r="L50" s="899" cm="1" t="str">
        <f t="array" ref="L50:L50">AK50</f>
        <v>0</v>
      </c>
      <c r="M50" s="112"/>
      <c r="N50" s="112"/>
      <c r="O50" s="112"/>
      <c r="P50" s="112"/>
      <c r="Q50" s="112"/>
      <c r="R50" s="112"/>
      <c r="S50" s="112"/>
      <c r="T50" s="439" cm="1" t="str">
        <f t="array" ref="T50:T50">T49</f>
        <v>true</v>
      </c>
      <c r="U50" s="112"/>
      <c r="V50" s="112"/>
      <c r="W50" s="112"/>
      <c r="X50" s="1462"/>
      <c r="Y50" s="112"/>
      <c r="Z50" s="1484"/>
      <c r="AA50" s="112"/>
      <c r="AB50" s="319" t="s">
        <v>529</v>
      </c>
      <c r="AC50" s="181" t="s">
        <v>1083</v>
      </c>
      <c r="AD50" s="56" t="s">
        <v>784</v>
      </c>
      <c r="AE50" s="196"/>
      <c r="AF50" s="196"/>
      <c r="AG50" s="196"/>
      <c r="AH50" s="196"/>
      <c r="AI50" s="196"/>
      <c r="AJ50" s="196"/>
      <c r="AK50" s="276"/>
      <c r="AL50" s="112"/>
      <c r="AM50" s="1621"/>
      <c r="AN50" s="1002" t="s">
        <v>1084</v>
      </c>
    </row>
    <row s="1190" customFormat="1" customHeight="1" ht="14.25">
      <c r="A51" s="1484"/>
      <c r="B51" s="402"/>
      <c r="C51" s="1484"/>
      <c r="D51" s="1484"/>
      <c r="E51" s="234">
        <v>15</v>
      </c>
      <c r="F51" s="50" cm="1" t="str">
        <f t="array" ref="F51:F51">OFFSET(E51,-1,1)</f>
        <v>1</v>
      </c>
      <c r="G51" s="124" t="s">
        <v>1085</v>
      </c>
      <c r="H51" s="92" t="s">
        <v>877</v>
      </c>
      <c r="I51" s="1484"/>
      <c r="J51" s="457"/>
      <c r="K51" s="457" t="str">
        <f>F51&amp;"11komm"</f>
        <v>111komm</v>
      </c>
      <c r="L51" s="899" cm="1" t="str">
        <f t="array" ref="L51:L51">AK51</f>
        <v>0</v>
      </c>
      <c r="M51" s="1484"/>
      <c r="N51" s="1484"/>
      <c r="O51" s="1484"/>
      <c r="P51" s="1484"/>
      <c r="Q51" s="1484"/>
      <c r="R51" s="1484"/>
      <c r="S51" s="1484"/>
      <c r="T51" s="439" cm="1" t="str">
        <f t="array" ref="T51:T51">T50</f>
        <v>true</v>
      </c>
      <c r="U51" s="1484"/>
      <c r="V51" s="1484"/>
      <c r="W51" s="1484"/>
      <c r="X51" s="1462"/>
      <c r="Y51" s="1484"/>
      <c r="Z51" s="1484"/>
      <c r="AA51" s="1484"/>
      <c r="AB51" s="319" t="s">
        <v>533</v>
      </c>
      <c r="AC51" s="181" t="s">
        <v>1086</v>
      </c>
      <c r="AD51" s="56" t="s">
        <v>784</v>
      </c>
      <c r="AE51" s="196"/>
      <c r="AF51" s="196"/>
      <c r="AG51" s="196"/>
      <c r="AH51" s="196"/>
      <c r="AI51" s="196"/>
      <c r="AJ51" s="196"/>
      <c r="AK51" s="276"/>
      <c r="AL51" s="1484"/>
      <c r="AM51" s="1484"/>
      <c r="AN51" s="1014" t="s">
        <v>1087</v>
      </c>
    </row>
    <row s="1190" customFormat="1" customHeight="1" ht="14.25">
      <c r="A52" s="1484"/>
      <c r="B52" s="402"/>
      <c r="C52" s="1484"/>
      <c r="D52" s="1484"/>
      <c r="E52" s="234">
        <v>15</v>
      </c>
      <c r="F52" s="50" cm="1" t="str">
        <f t="array" ref="F52:F52">OFFSET(E52,-1,1)</f>
        <v>1</v>
      </c>
      <c r="G52" s="124" t="s">
        <v>1088</v>
      </c>
      <c r="H52" s="92" t="s">
        <v>879</v>
      </c>
      <c r="I52" s="1484"/>
      <c r="J52" s="457"/>
      <c r="K52" s="457" t="str">
        <f>F52&amp;"12komm"</f>
        <v>112komm</v>
      </c>
      <c r="L52" s="899" cm="1" t="str">
        <f t="array" ref="L52:L52">AK52</f>
        <v>0</v>
      </c>
      <c r="M52" s="1484"/>
      <c r="N52" s="1484"/>
      <c r="O52" s="1484"/>
      <c r="P52" s="1484"/>
      <c r="Q52" s="1484"/>
      <c r="R52" s="1484"/>
      <c r="S52" s="1484"/>
      <c r="T52" s="439" cm="1" t="str">
        <f t="array" ref="T52:T52">T51</f>
        <v>true</v>
      </c>
      <c r="U52" s="1484"/>
      <c r="V52" s="1484"/>
      <c r="W52" s="1484"/>
      <c r="X52" s="1462"/>
      <c r="Y52" s="1484"/>
      <c r="Z52" s="1484"/>
      <c r="AA52" s="1484"/>
      <c r="AB52" s="319" t="s">
        <v>750</v>
      </c>
      <c r="AC52" s="181" t="s">
        <v>1089</v>
      </c>
      <c r="AD52" s="56" t="s">
        <v>784</v>
      </c>
      <c r="AE52" s="196"/>
      <c r="AF52" s="196"/>
      <c r="AG52" s="196"/>
      <c r="AH52" s="196"/>
      <c r="AI52" s="196"/>
      <c r="AJ52" s="196"/>
      <c r="AK52" s="276"/>
      <c r="AL52" s="1484"/>
      <c r="AM52" s="1484"/>
      <c r="AN52" s="1014" t="s">
        <v>1090</v>
      </c>
    </row>
    <row s="1190" customFormat="1" customHeight="1" ht="14.25">
      <c r="A53" s="1484"/>
      <c r="B53" s="402"/>
      <c r="C53" s="1484"/>
      <c r="D53" s="1484"/>
      <c r="E53" s="234">
        <v>15</v>
      </c>
      <c r="F53" s="50" cm="1" t="str">
        <f t="array" ref="F53:F53">OFFSET(E53,-1,1)</f>
        <v>1</v>
      </c>
      <c r="G53" s="124" t="s">
        <v>1091</v>
      </c>
      <c r="H53" s="92" t="s">
        <v>881</v>
      </c>
      <c r="I53" s="1484"/>
      <c r="J53" s="457"/>
      <c r="K53" s="457" t="str">
        <f>F53&amp;"13komm"</f>
        <v>113komm</v>
      </c>
      <c r="L53" s="899" cm="1" t="str">
        <f t="array" ref="L53:L53">AK53</f>
        <v>0</v>
      </c>
      <c r="M53" s="1484"/>
      <c r="N53" s="1484"/>
      <c r="O53" s="1484"/>
      <c r="P53" s="1484"/>
      <c r="Q53" s="1484"/>
      <c r="R53" s="1484"/>
      <c r="S53" s="1484"/>
      <c r="T53" s="439" cm="1" t="str">
        <f t="array" ref="T53:T53">T52</f>
        <v>true</v>
      </c>
      <c r="U53" s="1484"/>
      <c r="V53" s="1484"/>
      <c r="W53" s="1484"/>
      <c r="X53" s="1462"/>
      <c r="Y53" s="1484"/>
      <c r="Z53" s="1484"/>
      <c r="AA53" s="1484"/>
      <c r="AB53" s="319" t="s">
        <v>882</v>
      </c>
      <c r="AC53" s="181" t="s">
        <v>1092</v>
      </c>
      <c r="AD53" s="56" t="s">
        <v>784</v>
      </c>
      <c r="AE53" s="196"/>
      <c r="AF53" s="196"/>
      <c r="AG53" s="196"/>
      <c r="AH53" s="196"/>
      <c r="AI53" s="196"/>
      <c r="AJ53" s="196"/>
      <c r="AK53" s="276"/>
      <c r="AL53" s="1484"/>
      <c r="AM53" s="1484"/>
      <c r="AN53" s="1014" t="s">
        <v>1093</v>
      </c>
    </row>
    <row s="1190" customFormat="1" customHeight="1" ht="14.25">
      <c r="A54" s="1484"/>
      <c r="B54" s="402"/>
      <c r="C54" s="1484"/>
      <c r="D54" s="1484"/>
      <c r="E54" s="234">
        <v>15</v>
      </c>
      <c r="F54" s="50" cm="1" t="str">
        <f t="array" ref="F54:F54">OFFSET(E54,-1,1)</f>
        <v>1</v>
      </c>
      <c r="G54" s="124" t="s">
        <v>1094</v>
      </c>
      <c r="H54" s="92" t="s">
        <v>884</v>
      </c>
      <c r="I54" s="1484"/>
      <c r="J54" s="457"/>
      <c r="K54" s="457" t="str">
        <f>F54&amp;"14komm"</f>
        <v>114komm</v>
      </c>
      <c r="L54" s="899" cm="1" t="str">
        <f t="array" ref="L54:L54">AK54</f>
        <v>0</v>
      </c>
      <c r="M54" s="1484"/>
      <c r="N54" s="1484"/>
      <c r="O54" s="1484"/>
      <c r="P54" s="1484"/>
      <c r="Q54" s="1484"/>
      <c r="R54" s="1484"/>
      <c r="S54" s="1484"/>
      <c r="T54" s="439" cm="1" t="str">
        <f t="array" ref="T54:T54">T53</f>
        <v>true</v>
      </c>
      <c r="U54" s="1484"/>
      <c r="V54" s="1484"/>
      <c r="W54" s="1484"/>
      <c r="X54" s="1462"/>
      <c r="Y54" s="1484"/>
      <c r="Z54" s="1484"/>
      <c r="AA54" s="1484"/>
      <c r="AB54" s="319" t="s">
        <v>885</v>
      </c>
      <c r="AC54" s="181" t="s">
        <v>1095</v>
      </c>
      <c r="AD54" s="56" t="s">
        <v>784</v>
      </c>
      <c r="AE54" s="196"/>
      <c r="AF54" s="196"/>
      <c r="AG54" s="196"/>
      <c r="AH54" s="196"/>
      <c r="AI54" s="196"/>
      <c r="AJ54" s="196"/>
      <c r="AK54" s="276"/>
      <c r="AL54" s="1484"/>
      <c r="AM54" s="1484"/>
      <c r="AN54" s="1014" t="s">
        <v>1096</v>
      </c>
    </row>
    <row s="1190" customFormat="1" customHeight="1" ht="14.25">
      <c r="A55" s="1484"/>
      <c r="B55" s="402"/>
      <c r="C55" s="1484"/>
      <c r="D55" s="1484"/>
      <c r="E55" s="234">
        <v>15</v>
      </c>
      <c r="F55" s="50" cm="1" t="str">
        <f t="array" ref="F55:F55">OFFSET(E55,-1,1)</f>
        <v>1</v>
      </c>
      <c r="G55" s="124" t="s">
        <v>1097</v>
      </c>
      <c r="H55" s="92" t="s">
        <v>1098</v>
      </c>
      <c r="I55" s="1484"/>
      <c r="J55" s="457"/>
      <c r="K55" s="457" t="str">
        <f>F55&amp;"15komm"</f>
        <v>115komm</v>
      </c>
      <c r="L55" s="899" cm="1" t="str">
        <f t="array" ref="L55:L55">AK55</f>
        <v>0</v>
      </c>
      <c r="M55" s="1484"/>
      <c r="N55" s="1484"/>
      <c r="O55" s="1484"/>
      <c r="P55" s="1484"/>
      <c r="Q55" s="1484"/>
      <c r="R55" s="1484"/>
      <c r="S55" s="1484"/>
      <c r="T55" s="439" cm="1" t="str">
        <f t="array" ref="T55:T55">T54</f>
        <v>true</v>
      </c>
      <c r="U55" s="1484"/>
      <c r="V55" s="1484"/>
      <c r="W55" s="1484"/>
      <c r="X55" s="1462"/>
      <c r="Y55" s="1484"/>
      <c r="Z55" s="1484"/>
      <c r="AA55" s="1484"/>
      <c r="AB55" s="319" t="s">
        <v>1099</v>
      </c>
      <c r="AC55" s="181" t="s">
        <v>1100</v>
      </c>
      <c r="AD55" s="56" t="s">
        <v>784</v>
      </c>
      <c r="AE55" s="196"/>
      <c r="AF55" s="196"/>
      <c r="AG55" s="196"/>
      <c r="AH55" s="196"/>
      <c r="AI55" s="196"/>
      <c r="AJ55" s="196"/>
      <c r="AK55" s="276"/>
      <c r="AL55" s="1484"/>
      <c r="AM55" s="1484"/>
      <c r="AN55" s="1014" t="s">
        <v>1101</v>
      </c>
    </row>
    <row s="1190" customFormat="1" customHeight="1" ht="14.25">
      <c r="A56" s="1484"/>
      <c r="B56" s="402"/>
      <c r="C56" s="1484"/>
      <c r="D56" s="1484"/>
      <c r="E56" s="234">
        <v>15</v>
      </c>
      <c r="F56" s="50" cm="1" t="str">
        <f t="array" ref="F56:F56">OFFSET(E56,-1,1)</f>
        <v>1</v>
      </c>
      <c r="G56" s="124" t="s">
        <v>1102</v>
      </c>
      <c r="H56" s="92" t="s">
        <v>1103</v>
      </c>
      <c r="I56" s="1484"/>
      <c r="J56" s="457"/>
      <c r="K56" s="457" t="str">
        <f>F56&amp;"16komm"</f>
        <v>116komm</v>
      </c>
      <c r="L56" s="899" cm="1" t="str">
        <f t="array" ref="L56:L56">AK56</f>
        <v>0</v>
      </c>
      <c r="M56" s="1484"/>
      <c r="N56" s="1484"/>
      <c r="O56" s="1484"/>
      <c r="P56" s="1484"/>
      <c r="Q56" s="1484"/>
      <c r="R56" s="1484"/>
      <c r="S56" s="1484"/>
      <c r="T56" s="439" cm="1" t="str">
        <f t="array" ref="T56:T56">T55</f>
        <v>true</v>
      </c>
      <c r="U56" s="1484"/>
      <c r="V56" s="1484"/>
      <c r="W56" s="1484"/>
      <c r="X56" s="1462"/>
      <c r="Y56" s="1484"/>
      <c r="Z56" s="1484"/>
      <c r="AA56" s="1484"/>
      <c r="AB56" s="319" t="s">
        <v>1104</v>
      </c>
      <c r="AC56" s="181" t="s">
        <v>1105</v>
      </c>
      <c r="AD56" s="56" t="s">
        <v>784</v>
      </c>
      <c r="AE56" s="196"/>
      <c r="AF56" s="196"/>
      <c r="AG56" s="196"/>
      <c r="AH56" s="196"/>
      <c r="AI56" s="196"/>
      <c r="AJ56" s="196"/>
      <c r="AK56" s="276"/>
      <c r="AL56" s="1484"/>
      <c r="AM56" s="1484"/>
      <c r="AN56" s="1014" t="s">
        <v>1106</v>
      </c>
    </row>
    <row s="1190" customFormat="1" customHeight="1" ht="32.25">
      <c r="A57" s="1484"/>
      <c r="B57" s="402"/>
      <c r="C57" s="1484"/>
      <c r="D57" s="1484"/>
      <c r="E57" s="234">
        <v>33.75</v>
      </c>
      <c r="F57" s="50" cm="1" t="str">
        <f t="array" ref="F57:F57">OFFSET(E57,-1,1)</f>
        <v>1</v>
      </c>
      <c r="G57" s="316" t="s">
        <v>1107</v>
      </c>
      <c r="H57" s="92" t="s">
        <v>329</v>
      </c>
      <c r="I57" s="1484"/>
      <c r="J57" s="457"/>
      <c r="K57" s="457" t="str">
        <f>F57&amp;"2komm"</f>
        <v>12komm</v>
      </c>
      <c r="L57" s="899" cm="1" t="str">
        <f t="array" ref="L57:L57">AK57</f>
        <v>0</v>
      </c>
      <c r="M57" s="1484"/>
      <c r="N57" s="1484"/>
      <c r="O57" s="1484"/>
      <c r="P57" s="1484"/>
      <c r="Q57" s="1484"/>
      <c r="R57" s="1484"/>
      <c r="S57" s="1484"/>
      <c r="T57" s="439" cm="1" t="str">
        <f t="array" ref="T57:T57">T56</f>
        <v>true</v>
      </c>
      <c r="U57" s="1484"/>
      <c r="V57" s="1484"/>
      <c r="W57" s="1484"/>
      <c r="X57" s="1462"/>
      <c r="Y57" s="1484"/>
      <c r="Z57" s="1484"/>
      <c r="AA57" s="1484"/>
      <c r="AB57" s="319" t="s">
        <v>536</v>
      </c>
      <c r="AC57" s="308" t="s">
        <v>1108</v>
      </c>
      <c r="AD57" s="56" t="s">
        <v>784</v>
      </c>
      <c r="AE57" s="196"/>
      <c r="AF57" s="196"/>
      <c r="AG57" s="196"/>
      <c r="AH57" s="196"/>
      <c r="AI57" s="196"/>
      <c r="AJ57" s="196"/>
      <c r="AK57" s="276"/>
      <c r="AL57" s="1484"/>
      <c r="AM57" s="1484"/>
      <c r="AN57" s="1014" t="s">
        <v>1109</v>
      </c>
    </row>
    <row s="1190" customFormat="1" customHeight="1" ht="14.25">
      <c r="A58" s="1484"/>
      <c r="B58" s="402"/>
      <c r="C58" s="1484"/>
      <c r="D58" s="1484"/>
      <c r="E58" s="234">
        <v>15</v>
      </c>
      <c r="F58" s="50" cm="1" t="str">
        <f t="array" ref="F58:F58">OFFSET(E58,-1,1)</f>
        <v>1</v>
      </c>
      <c r="G58" s="316" t="s">
        <v>1110</v>
      </c>
      <c r="H58" s="92" t="s">
        <v>328</v>
      </c>
      <c r="I58" s="1484"/>
      <c r="J58" s="457"/>
      <c r="K58" s="457" t="str">
        <f>F58&amp;"3komm"</f>
        <v>13komm</v>
      </c>
      <c r="L58" s="899" cm="1" t="str">
        <f t="array" ref="L58:L58">AK58</f>
        <v>0</v>
      </c>
      <c r="M58" s="1484"/>
      <c r="N58" s="1484"/>
      <c r="O58" s="1484"/>
      <c r="P58" s="1484"/>
      <c r="Q58" s="1484"/>
      <c r="R58" s="1484"/>
      <c r="S58" s="1484"/>
      <c r="T58" s="439" cm="1" t="str">
        <f t="array" ref="T58:T58">T57</f>
        <v>true</v>
      </c>
      <c r="U58" s="1484"/>
      <c r="V58" s="1484"/>
      <c r="W58" s="1484"/>
      <c r="X58" s="1462"/>
      <c r="Y58" s="1484"/>
      <c r="Z58" s="1484"/>
      <c r="AA58" s="1484"/>
      <c r="AB58" s="319" t="s">
        <v>492</v>
      </c>
      <c r="AC58" s="308" t="s">
        <v>1111</v>
      </c>
      <c r="AD58" s="56" t="s">
        <v>784</v>
      </c>
      <c r="AE58" s="196"/>
      <c r="AF58" s="196"/>
      <c r="AG58" s="196"/>
      <c r="AH58" s="196"/>
      <c r="AI58" s="196"/>
      <c r="AJ58" s="196"/>
      <c r="AK58" s="276"/>
      <c r="AL58" s="1484"/>
      <c r="AM58" s="1484"/>
      <c r="AN58" s="1014" t="s">
        <v>1112</v>
      </c>
    </row>
    <row s="1190" customFormat="1" customHeight="1" ht="14.25">
      <c r="A59" s="1484"/>
      <c r="B59" s="402"/>
      <c r="C59" s="1484"/>
      <c r="D59" s="1484"/>
      <c r="E59" s="234">
        <v>15</v>
      </c>
      <c r="F59" s="50" cm="1" t="str">
        <f t="array" ref="F59:F59">OFFSET(E59,-1,1)</f>
        <v>1</v>
      </c>
      <c r="G59" s="316" t="s">
        <v>1113</v>
      </c>
      <c r="H59" s="92" t="s">
        <v>491</v>
      </c>
      <c r="I59" s="1484"/>
      <c r="J59" s="1484"/>
      <c r="K59" s="457" t="str">
        <f>F59&amp;"4komm"</f>
        <v>14komm</v>
      </c>
      <c r="L59" s="899" cm="1" t="str">
        <f t="array" ref="L59:L59">AK59</f>
        <v>0</v>
      </c>
      <c r="M59" s="1484"/>
      <c r="N59" s="1484"/>
      <c r="O59" s="1484"/>
      <c r="P59" s="1484"/>
      <c r="Q59" s="1484"/>
      <c r="R59" s="1484"/>
      <c r="S59" s="1484"/>
      <c r="T59" s="439" cm="1" t="str">
        <f t="array" ref="T59:T59">T58</f>
        <v>true</v>
      </c>
      <c r="U59" s="1484"/>
      <c r="V59" s="1484"/>
      <c r="W59" s="1484"/>
      <c r="X59" s="1462"/>
      <c r="Y59" s="1484"/>
      <c r="Z59" s="1484"/>
      <c r="AA59" s="1484"/>
      <c r="AB59" s="319" t="s">
        <v>496</v>
      </c>
      <c r="AC59" s="308" t="s">
        <v>1114</v>
      </c>
      <c r="AD59" s="56" t="s">
        <v>784</v>
      </c>
      <c r="AE59" s="196"/>
      <c r="AF59" s="196"/>
      <c r="AG59" s="196"/>
      <c r="AH59" s="196"/>
      <c r="AI59" s="196"/>
      <c r="AJ59" s="196"/>
      <c r="AK59" s="276"/>
      <c r="AL59" s="1484"/>
      <c r="AM59" s="1484"/>
      <c r="AN59" s="1014" t="s">
        <v>1115</v>
      </c>
    </row>
    <row s="1190" customFormat="1" customHeight="1" ht="14.25">
      <c r="A60" s="1484"/>
      <c r="B60" s="402"/>
      <c r="C60" s="1484"/>
      <c r="D60" s="1484"/>
      <c r="E60" s="234">
        <v>15</v>
      </c>
      <c r="F60" s="50" cm="1" t="str">
        <f t="array" ref="F60:F60">OFFSET(E60,-1,1)</f>
        <v>1</v>
      </c>
      <c r="G60" s="316" t="s">
        <v>1116</v>
      </c>
      <c r="H60" s="92" t="s">
        <v>495</v>
      </c>
      <c r="I60" s="1484"/>
      <c r="J60" s="1484"/>
      <c r="K60" s="457" t="str">
        <f>F60&amp;"5komm"</f>
        <v>15komm</v>
      </c>
      <c r="L60" s="899" cm="1" t="str">
        <f t="array" ref="L60:L60">AK60</f>
        <v>0</v>
      </c>
      <c r="M60" s="1484"/>
      <c r="N60" s="1484"/>
      <c r="O60" s="1484"/>
      <c r="P60" s="1484"/>
      <c r="Q60" s="1484"/>
      <c r="R60" s="1484"/>
      <c r="S60" s="1484"/>
      <c r="T60" s="439" cm="1" t="str">
        <f t="array" ref="T60:T60">T59</f>
        <v>true</v>
      </c>
      <c r="U60" s="1484"/>
      <c r="V60" s="1484"/>
      <c r="W60" s="1484"/>
      <c r="X60" s="1462"/>
      <c r="Y60" s="1484"/>
      <c r="Z60" s="1484"/>
      <c r="AA60" s="1484"/>
      <c r="AB60" s="319" t="s">
        <v>557</v>
      </c>
      <c r="AC60" s="308" t="s">
        <v>1117</v>
      </c>
      <c r="AD60" s="56" t="s">
        <v>784</v>
      </c>
      <c r="AE60" s="196"/>
      <c r="AF60" s="196"/>
      <c r="AG60" s="196"/>
      <c r="AH60" s="196"/>
      <c r="AI60" s="196"/>
      <c r="AJ60" s="196"/>
      <c r="AK60" s="276"/>
      <c r="AL60" s="1484"/>
      <c r="AM60" s="1484"/>
      <c r="AN60" s="1014" t="s">
        <v>1118</v>
      </c>
    </row>
    <row s="1190" customFormat="1" customHeight="1" ht="14.25">
      <c r="A61" s="1484"/>
      <c r="B61" s="402"/>
      <c r="C61" s="1484"/>
      <c r="D61" s="1484"/>
      <c r="E61" s="234">
        <v>15</v>
      </c>
      <c r="F61" s="50" cm="1" t="str">
        <f t="array" ref="F61:F61">OFFSET(E61,-1,1)</f>
        <v>1</v>
      </c>
      <c r="G61" s="316" t="s">
        <v>1119</v>
      </c>
      <c r="H61" s="92" t="s">
        <v>541</v>
      </c>
      <c r="I61" s="1484"/>
      <c r="J61" s="1484"/>
      <c r="K61" s="457" t="str">
        <f>F61&amp;"6komm"</f>
        <v>16komm</v>
      </c>
      <c r="L61" s="899" cm="1" t="str">
        <f t="array" ref="L61:L61">AK61</f>
        <v>0</v>
      </c>
      <c r="M61" s="1484"/>
      <c r="N61" s="1484"/>
      <c r="O61" s="1484"/>
      <c r="P61" s="1484"/>
      <c r="Q61" s="1484"/>
      <c r="R61" s="1484"/>
      <c r="S61" s="1484"/>
      <c r="T61" s="439" cm="1" t="str">
        <f t="array" ref="T61:T61">T60</f>
        <v>true</v>
      </c>
      <c r="U61" s="1484"/>
      <c r="V61" s="1484"/>
      <c r="W61" s="1484"/>
      <c r="X61" s="1462"/>
      <c r="Y61" s="1484"/>
      <c r="Z61" s="1484"/>
      <c r="AA61" s="1484"/>
      <c r="AB61" s="319" t="s">
        <v>565</v>
      </c>
      <c r="AC61" s="308" t="s">
        <v>1120</v>
      </c>
      <c r="AD61" s="56" t="s">
        <v>784</v>
      </c>
      <c r="AE61" s="320">
        <f>SUM(AE62:AE64)</f>
        <v>0</v>
      </c>
      <c r="AF61" s="320">
        <f>SUM(AF62:AF64)</f>
        <v>0</v>
      </c>
      <c r="AG61" s="320">
        <f>SUM(AG62:AG64)</f>
        <v>0</v>
      </c>
      <c r="AH61" s="320">
        <f>SUM(AH62:AH64)</f>
        <v>0</v>
      </c>
      <c r="AI61" s="320">
        <f>SUM(AI62:AI64)</f>
        <v>0</v>
      </c>
      <c r="AJ61" s="320">
        <f>SUM(AJ62:AJ64)</f>
        <v>0</v>
      </c>
      <c r="AK61" s="276"/>
      <c r="AL61" s="1484"/>
      <c r="AM61" s="1484"/>
      <c r="AN61" s="1014" t="s">
        <v>389</v>
      </c>
    </row>
    <row s="1190" customFormat="1" customHeight="1" ht="14.25">
      <c r="A62" s="1484"/>
      <c r="B62" s="402"/>
      <c r="C62" s="1484"/>
      <c r="D62" s="1484"/>
      <c r="E62" s="234">
        <v>15</v>
      </c>
      <c r="F62" s="50" cm="1" t="str">
        <f t="array" ref="F62:F62">OFFSET(E62,-1,1)</f>
        <v>1</v>
      </c>
      <c r="G62" s="316" t="s">
        <v>1121</v>
      </c>
      <c r="H62" s="92" t="s">
        <v>544</v>
      </c>
      <c r="I62" s="1484"/>
      <c r="J62" s="1484"/>
      <c r="K62" s="457" t="str">
        <f>F62&amp;"7komm"</f>
        <v>17komm</v>
      </c>
      <c r="L62" s="899" cm="1" t="str">
        <f t="array" ref="L62:L62">AK62</f>
        <v>0</v>
      </c>
      <c r="M62" s="1484"/>
      <c r="N62" s="1484"/>
      <c r="O62" s="1484"/>
      <c r="P62" s="1484"/>
      <c r="Q62" s="1484"/>
      <c r="R62" s="1484"/>
      <c r="S62" s="1484"/>
      <c r="T62" s="439" cm="1" t="str">
        <f t="array" ref="T62:T62">T61</f>
        <v>true</v>
      </c>
      <c r="U62" s="1484"/>
      <c r="V62" s="1484"/>
      <c r="W62" s="1484"/>
      <c r="X62" s="1462"/>
      <c r="Y62" s="1484"/>
      <c r="Z62" s="1484"/>
      <c r="AA62" s="1484"/>
      <c r="AB62" s="319" t="s">
        <v>569</v>
      </c>
      <c r="AC62" s="181" t="s">
        <v>1122</v>
      </c>
      <c r="AD62" s="56" t="s">
        <v>784</v>
      </c>
      <c r="AE62" s="196"/>
      <c r="AF62" s="196"/>
      <c r="AG62" s="196"/>
      <c r="AH62" s="196"/>
      <c r="AI62" s="196"/>
      <c r="AJ62" s="196"/>
      <c r="AK62" s="276"/>
      <c r="AL62" s="1484"/>
      <c r="AM62" s="1484"/>
      <c r="AN62" s="1014" t="s">
        <v>1123</v>
      </c>
    </row>
    <row s="1190" customFormat="1" customHeight="1" ht="43.5">
      <c r="A63" s="1484"/>
      <c r="B63" s="402"/>
      <c r="C63" s="1484"/>
      <c r="D63" s="1484"/>
      <c r="E63" s="234">
        <v>45</v>
      </c>
      <c r="F63" s="50" cm="1" t="str">
        <f t="array" ref="F63:F63">OFFSET(E63,-1,1)</f>
        <v>1</v>
      </c>
      <c r="G63" s="316" t="s">
        <v>1124</v>
      </c>
      <c r="H63" s="92" t="s">
        <v>548</v>
      </c>
      <c r="I63" s="1484"/>
      <c r="J63" s="1484"/>
      <c r="K63" s="457" t="str">
        <f>F63&amp;"8komm"</f>
        <v>18komm</v>
      </c>
      <c r="L63" s="899" cm="1" t="str">
        <f t="array" ref="L63:L63">AK63</f>
        <v>0</v>
      </c>
      <c r="M63" s="1484"/>
      <c r="N63" s="1484"/>
      <c r="O63" s="1484"/>
      <c r="P63" s="1484"/>
      <c r="Q63" s="1484"/>
      <c r="R63" s="1484"/>
      <c r="S63" s="1484"/>
      <c r="T63" s="439" cm="1" t="str">
        <f t="array" ref="T63:T63">T62</f>
        <v>true</v>
      </c>
      <c r="U63" s="1484"/>
      <c r="V63" s="1484"/>
      <c r="W63" s="1484"/>
      <c r="X63" s="1462"/>
      <c r="Y63" s="1484"/>
      <c r="Z63" s="1484"/>
      <c r="AA63" s="1484"/>
      <c r="AB63" s="319" t="s">
        <v>586</v>
      </c>
      <c r="AC63" s="743" t="s">
        <v>1125</v>
      </c>
      <c r="AD63" s="56" t="s">
        <v>784</v>
      </c>
      <c r="AE63" s="196"/>
      <c r="AF63" s="196"/>
      <c r="AG63" s="196"/>
      <c r="AH63" s="196"/>
      <c r="AI63" s="196"/>
      <c r="AJ63" s="196"/>
      <c r="AK63" s="276"/>
      <c r="AL63" s="1484"/>
      <c r="AM63" s="1484"/>
      <c r="AN63" s="1014" t="s">
        <v>1126</v>
      </c>
    </row>
    <row s="1190" customFormat="1" customHeight="1" ht="14.25">
      <c r="A64" s="1484"/>
      <c r="B64" s="402"/>
      <c r="C64" s="1484"/>
      <c r="D64" s="1484"/>
      <c r="E64" s="234">
        <v>15</v>
      </c>
      <c r="F64" s="50" cm="1" t="str">
        <f t="array" ref="F64:F64">OFFSET(E64,-1,1)</f>
        <v>1</v>
      </c>
      <c r="G64" s="124" t="s">
        <v>1127</v>
      </c>
      <c r="H64" s="92" t="s">
        <v>552</v>
      </c>
      <c r="I64" s="1484"/>
      <c r="J64" s="1484"/>
      <c r="K64" s="457" t="str">
        <f>F64&amp;"9komm"</f>
        <v>19komm</v>
      </c>
      <c r="L64" s="899" cm="1" t="str">
        <f t="array" ref="L64:L64">AK64</f>
        <v>0</v>
      </c>
      <c r="M64" s="1484"/>
      <c r="N64" s="1484"/>
      <c r="O64" s="1484"/>
      <c r="P64" s="1484"/>
      <c r="Q64" s="1484"/>
      <c r="R64" s="1484"/>
      <c r="S64" s="1484"/>
      <c r="T64" s="439" cm="1" t="str">
        <f t="array" ref="T64:T64">T63</f>
        <v>true</v>
      </c>
      <c r="U64" s="1484"/>
      <c r="V64" s="1484"/>
      <c r="W64" s="1484"/>
      <c r="X64" s="1462"/>
      <c r="Y64" s="1484"/>
      <c r="Z64" s="1484"/>
      <c r="AA64" s="1484"/>
      <c r="AB64" s="319" t="s">
        <v>598</v>
      </c>
      <c r="AC64" s="181" t="s">
        <v>1128</v>
      </c>
      <c r="AD64" s="56" t="s">
        <v>784</v>
      </c>
      <c r="AE64" s="196"/>
      <c r="AF64" s="196"/>
      <c r="AG64" s="196"/>
      <c r="AH64" s="196"/>
      <c r="AI64" s="1390"/>
      <c r="AJ64" s="1390"/>
      <c r="AK64" s="276"/>
      <c r="AL64" s="1484"/>
      <c r="AM64" s="1484"/>
      <c r="AN64" s="1014" t="s">
        <v>1129</v>
      </c>
    </row>
    <row s="1621" customFormat="1" customHeight="1" ht="10.5">
      <c r="A65" s="676"/>
      <c r="B65" s="1176"/>
      <c r="C65" s="112"/>
      <c r="D65" s="112"/>
      <c r="E65" s="234">
        <v>11.25</v>
      </c>
      <c r="F65" s="64" cm="1" t="str">
        <f t="array" ref="F65:F65">X65</f>
        <v>2</v>
      </c>
      <c r="G65" s="112"/>
      <c r="H65" s="112"/>
      <c r="I65" s="112"/>
      <c r="J65" s="112"/>
      <c r="K65" s="112"/>
      <c r="L65" s="112"/>
      <c r="M65" s="112"/>
      <c r="N65" s="112"/>
      <c r="O65" s="112"/>
      <c r="P65" s="112"/>
      <c r="Q65" s="112"/>
      <c r="R65" s="112"/>
      <c r="S65" s="112"/>
      <c r="T65" s="439">
        <f>X65&gt;0</f>
        <v>1</v>
      </c>
      <c r="U65" s="112"/>
      <c r="V65" s="112" cm="1" t="str">
        <f t="array" ref="V65:V65">ФОТ!$AB$77</f>
        <v>Тариф 2 (Водоотведение) - тариф на водоотведение (Оказание услуг на территории: Прокопьевский муниципальный округ (ОКТМО: 32522000) - п Калачево)</v>
      </c>
      <c r="W65" s="112"/>
      <c r="X65" s="1462" t="s">
        <v>283</v>
      </c>
      <c r="Y65" s="112"/>
      <c r="Z65" s="1484"/>
      <c r="AA65" s="112"/>
      <c r="AB65" s="209" cm="1" t="str">
        <f t="array" ref="AB65:AB65">ФОТ!$AB$77</f>
        <v>Тариф 2 (Водоотведение) - тариф на водоотведение (Оказание услуг на территории: Прокопьевский муниципальный округ (ОКТМО: 32522000) - п Калачево)</v>
      </c>
      <c r="AC65" s="147"/>
      <c r="AD65" s="147"/>
      <c r="AE65" s="273">
        <f>AE66+AE67+AE68+AE76+AE77+AE78+AE79+AE80</f>
        <v>0</v>
      </c>
      <c r="AF65" s="273">
        <f>AF66+AF67+AF68+AF76+AF77+AF78+AF79+AF80</f>
        <v>0</v>
      </c>
      <c r="AG65" s="273">
        <f>AG66+AG67+AG68+AG76+AG77+AG78+AG79+AG80</f>
        <v>0</v>
      </c>
      <c r="AH65" s="273">
        <f>AH66+AH67+AH68+AH76+AH77+AH78+AH79+AH80</f>
        <v>0</v>
      </c>
      <c r="AI65" s="273">
        <f>AI66+AI67+AI68+AI76+AI77+AI78+AI79+AI80</f>
        <v>0</v>
      </c>
      <c r="AJ65" s="273">
        <f>AJ66+AJ67+AJ68+AJ76+AJ77+AJ78+AJ79+AJ80</f>
        <v>0</v>
      </c>
      <c r="AK65" s="141"/>
      <c r="AL65" s="112"/>
      <c r="AM65" s="676"/>
      <c r="AN65" s="1061"/>
    </row>
    <row s="1621" customFormat="1" customHeight="1" ht="21.75">
      <c r="A66" s="676"/>
      <c r="B66" s="1176"/>
      <c r="C66" s="112"/>
      <c r="D66" s="112"/>
      <c r="E66" s="234">
        <v>22.5</v>
      </c>
      <c r="F66" s="50" cm="1" t="str">
        <f t="array" ref="F66:F66">OFFSET(E66,-1,1)</f>
        <v>2</v>
      </c>
      <c r="G66" s="112"/>
      <c r="H66" s="92" t="s">
        <v>325</v>
      </c>
      <c r="I66" s="112"/>
      <c r="J66" s="112"/>
      <c r="K66" s="112"/>
      <c r="L66" s="112"/>
      <c r="M66" s="112"/>
      <c r="N66" s="112"/>
      <c r="O66" s="112"/>
      <c r="P66" s="112"/>
      <c r="Q66" s="112"/>
      <c r="R66" s="112"/>
      <c r="S66" s="112"/>
      <c r="T66" s="439" cm="1" t="str">
        <f t="array" ref="T66:T66">T65</f>
        <v>true</v>
      </c>
      <c r="U66" s="112"/>
      <c r="V66" s="112"/>
      <c r="W66" s="112"/>
      <c r="X66" s="1462"/>
      <c r="Y66" s="112"/>
      <c r="Z66" s="1484"/>
      <c r="AA66" s="112"/>
      <c r="AB66" s="319">
        <v>1</v>
      </c>
      <c r="AC66" s="308" t="s">
        <v>1062</v>
      </c>
      <c r="AD66" s="56" t="s">
        <v>784</v>
      </c>
      <c r="AE66" s="874">
        <f>_xlfn.SUMIFS(ФОТ!AE$25:AE$102,ФОТ!$F$25:$F$102,$F66,ФОТ!$AC$25:$AC$102,$AC66)</f>
        <v>0</v>
      </c>
      <c r="AF66" s="874">
        <f>_xlfn.SUMIFS(ФОТ!AF$25:AF$102,ФОТ!$F$25:$F$102,$F66,ФОТ!$AC$25:$AC$102,$AC66)</f>
        <v>0</v>
      </c>
      <c r="AG66" s="874">
        <f>_xlfn.SUMIFS(ФОТ!AG$25:AG$102,ФОТ!$F$25:$F$102,$F66,ФОТ!$AC$25:$AC$102,$AC66)</f>
        <v>0</v>
      </c>
      <c r="AH66" s="874">
        <f>_xlfn.SUMIFS(ФОТ!AH$25:AH$102,ФОТ!$F$25:$F$102,$F66,ФОТ!$AC$25:$AC$102,$AC66)</f>
        <v>0</v>
      </c>
      <c r="AI66" s="874">
        <f>_xlfn.SUMIFS(ФОТ!AI$25:AI$102,ФОТ!$F$25:$F$102,$F66,ФОТ!$AC$25:$AC$102,$AC66)</f>
        <v>0</v>
      </c>
      <c r="AJ66" s="874">
        <f>_xlfn.SUMIFS(ФОТ!AJ$25:AJ$102,ФОТ!$F$25:$F$102,$F66,ФОТ!$AC$25:$AC$102,$AC66)</f>
        <v>0</v>
      </c>
      <c r="AK66" s="276"/>
      <c r="AL66" s="112"/>
      <c r="AM66" s="676"/>
      <c r="AN66" s="998" t="s">
        <v>1078</v>
      </c>
    </row>
    <row s="1621" customFormat="1" customHeight="1" ht="21.75">
      <c r="A67" s="676"/>
      <c r="B67" s="1176"/>
      <c r="C67" s="112"/>
      <c r="D67" s="112"/>
      <c r="E67" s="234">
        <v>22.5</v>
      </c>
      <c r="F67" s="50" cm="1" t="str">
        <f t="array" ref="F67:F67">OFFSET(E67,-1,1)</f>
        <v>2</v>
      </c>
      <c r="G67" s="112"/>
      <c r="H67" s="92" t="s">
        <v>326</v>
      </c>
      <c r="I67" s="112"/>
      <c r="J67" s="457"/>
      <c r="K67" s="457"/>
      <c r="L67" s="457"/>
      <c r="M67" s="112"/>
      <c r="N67" s="112"/>
      <c r="O67" s="112"/>
      <c r="P67" s="112"/>
      <c r="Q67" s="112"/>
      <c r="R67" s="112"/>
      <c r="S67" s="112"/>
      <c r="T67" s="439" cm="1" t="str">
        <f t="array" ref="T67:T67">T66</f>
        <v>true</v>
      </c>
      <c r="U67" s="112"/>
      <c r="V67" s="112"/>
      <c r="W67" s="112"/>
      <c r="X67" s="1462"/>
      <c r="Y67" s="112"/>
      <c r="Z67" s="1484"/>
      <c r="AA67" s="112"/>
      <c r="AB67" s="319" t="s">
        <v>283</v>
      </c>
      <c r="AC67" s="308" t="s">
        <v>1067</v>
      </c>
      <c r="AD67" s="56" t="s">
        <v>784</v>
      </c>
      <c r="AE67" s="874">
        <f>_xlfn.SUMIFS(ФОТ!AE$25:AE$102,ФОТ!$F$25:$F$102,$F67,ФОТ!$AC$25:$AC$102,$AC67)</f>
        <v>0</v>
      </c>
      <c r="AF67" s="874">
        <f>_xlfn.SUMIFS(ФОТ!AF$25:AF$102,ФОТ!$F$25:$F$102,$F67,ФОТ!$AC$25:$AC$102,$AC67)</f>
        <v>0</v>
      </c>
      <c r="AG67" s="874">
        <f>_xlfn.SUMIFS(ФОТ!AG$25:AG$102,ФОТ!$F$25:$F$102,$F67,ФОТ!$AC$25:$AC$102,$AC67)</f>
        <v>0</v>
      </c>
      <c r="AH67" s="874">
        <f>_xlfn.SUMIFS(ФОТ!AH$25:AH$102,ФОТ!$F$25:$F$102,$F67,ФОТ!$AC$25:$AC$102,$AC67)</f>
        <v>0</v>
      </c>
      <c r="AI67" s="874">
        <f>_xlfn.SUMIFS(ФОТ!AI$25:AI$102,ФОТ!$F$25:$F$102,$F67,ФОТ!$AC$25:$AC$102,$AC67)</f>
        <v>0</v>
      </c>
      <c r="AJ67" s="874">
        <f>_xlfn.SUMIFS(ФОТ!AJ$25:AJ$102,ФОТ!$F$25:$F$102,$F67,ФОТ!$AC$25:$AC$102,$AC67)</f>
        <v>0</v>
      </c>
      <c r="AK67" s="276"/>
      <c r="AL67" s="112"/>
      <c r="AM67" s="676"/>
      <c r="AN67" s="998" t="s">
        <v>1068</v>
      </c>
    </row>
    <row s="1621" customFormat="1" customHeight="1" ht="32.25">
      <c r="A68" s="676"/>
      <c r="B68" s="1176"/>
      <c r="C68" s="112"/>
      <c r="D68" s="112"/>
      <c r="E68" s="234">
        <v>33.75</v>
      </c>
      <c r="F68" s="50" cm="1" t="str">
        <f t="array" ref="F68:F68">OFFSET(E68,-1,1)</f>
        <v>2</v>
      </c>
      <c r="G68" s="316" t="s">
        <v>1079</v>
      </c>
      <c r="H68" s="92" t="s">
        <v>327</v>
      </c>
      <c r="I68" s="112"/>
      <c r="J68" s="457"/>
      <c r="K68" s="457" t="str">
        <f>F68&amp;"17komm"</f>
        <v>217komm</v>
      </c>
      <c r="L68" s="899" cm="1" t="str">
        <f t="array" ref="L68:L68">AK68</f>
        <v>0</v>
      </c>
      <c r="M68" s="112"/>
      <c r="N68" s="112"/>
      <c r="O68" s="112"/>
      <c r="P68" s="112"/>
      <c r="Q68" s="112"/>
      <c r="R68" s="112"/>
      <c r="S68" s="112"/>
      <c r="T68" s="439" cm="1" t="str">
        <f t="array" ref="T68:T68">T67</f>
        <v>true</v>
      </c>
      <c r="U68" s="112"/>
      <c r="V68" s="112"/>
      <c r="W68" s="112"/>
      <c r="X68" s="1462"/>
      <c r="Y68" s="112"/>
      <c r="Z68" s="1484"/>
      <c r="AA68" s="112"/>
      <c r="AB68" s="319" t="s">
        <v>323</v>
      </c>
      <c r="AC68" s="308" t="s">
        <v>1080</v>
      </c>
      <c r="AD68" s="56" t="s">
        <v>784</v>
      </c>
      <c r="AE68" s="205">
        <f>SUM(AE69:AE75)</f>
        <v>0</v>
      </c>
      <c r="AF68" s="205">
        <f>SUM(AF69:AF75)</f>
        <v>0</v>
      </c>
      <c r="AG68" s="205">
        <f>SUM(AG69:AG75)</f>
        <v>0</v>
      </c>
      <c r="AH68" s="205">
        <f>SUM(AH69:AH75)</f>
        <v>0</v>
      </c>
      <c r="AI68" s="205">
        <f>SUM(AI69:AI75)</f>
        <v>0</v>
      </c>
      <c r="AJ68" s="205">
        <f>SUM(AJ69:AJ75)</f>
        <v>0</v>
      </c>
      <c r="AK68" s="276"/>
      <c r="AL68" s="112"/>
      <c r="AM68" s="676"/>
      <c r="AN68" s="998" t="s">
        <v>1081</v>
      </c>
    </row>
    <row s="1621" customFormat="1" customHeight="1" ht="14.25">
      <c r="A69" s="1621"/>
      <c r="B69" s="403"/>
      <c r="C69" s="112"/>
      <c r="D69" s="112"/>
      <c r="E69" s="234">
        <v>15</v>
      </c>
      <c r="F69" s="1202" cm="1" t="str">
        <f t="array" ref="F69:F69">OFFSET(E69,-1,1)</f>
        <v>2</v>
      </c>
      <c r="G69" s="124" t="s">
        <v>1082</v>
      </c>
      <c r="H69" s="92" t="s">
        <v>875</v>
      </c>
      <c r="I69" s="112"/>
      <c r="J69" s="457"/>
      <c r="K69" s="457" t="str">
        <f>F69&amp;"18komm"</f>
        <v>218komm</v>
      </c>
      <c r="L69" s="899" cm="1" t="str">
        <f t="array" ref="L69:L69">AK69</f>
        <v>0</v>
      </c>
      <c r="M69" s="112"/>
      <c r="N69" s="112"/>
      <c r="O69" s="112"/>
      <c r="P69" s="112"/>
      <c r="Q69" s="112"/>
      <c r="R69" s="112"/>
      <c r="S69" s="112"/>
      <c r="T69" s="439" cm="1" t="str">
        <f t="array" ref="T69:T69">T68</f>
        <v>true</v>
      </c>
      <c r="U69" s="112"/>
      <c r="V69" s="112"/>
      <c r="W69" s="112"/>
      <c r="X69" s="1462"/>
      <c r="Y69" s="112"/>
      <c r="Z69" s="1484"/>
      <c r="AA69" s="112"/>
      <c r="AB69" s="319" t="s">
        <v>529</v>
      </c>
      <c r="AC69" s="181" t="s">
        <v>1083</v>
      </c>
      <c r="AD69" s="56" t="s">
        <v>784</v>
      </c>
      <c r="AE69" s="196"/>
      <c r="AF69" s="196"/>
      <c r="AG69" s="196"/>
      <c r="AH69" s="196"/>
      <c r="AI69" s="196"/>
      <c r="AJ69" s="196"/>
      <c r="AK69" s="276"/>
      <c r="AL69" s="112"/>
      <c r="AM69" s="1621"/>
      <c r="AN69" s="1002" t="s">
        <v>1084</v>
      </c>
    </row>
    <row s="1190" customFormat="1" customHeight="1" ht="14.25">
      <c r="A70" s="1484"/>
      <c r="B70" s="402"/>
      <c r="C70" s="1484"/>
      <c r="D70" s="1484"/>
      <c r="E70" s="234">
        <v>15</v>
      </c>
      <c r="F70" s="50" cm="1" t="str">
        <f t="array" ref="F70:F70">OFFSET(E70,-1,1)</f>
        <v>2</v>
      </c>
      <c r="G70" s="124" t="s">
        <v>1085</v>
      </c>
      <c r="H70" s="92" t="s">
        <v>877</v>
      </c>
      <c r="I70" s="1484"/>
      <c r="J70" s="457"/>
      <c r="K70" s="457" t="str">
        <f>F70&amp;"11komm"</f>
        <v>211komm</v>
      </c>
      <c r="L70" s="899" cm="1" t="str">
        <f t="array" ref="L70:L70">AK70</f>
        <v>0</v>
      </c>
      <c r="M70" s="1484"/>
      <c r="N70" s="1484"/>
      <c r="O70" s="1484"/>
      <c r="P70" s="1484"/>
      <c r="Q70" s="1484"/>
      <c r="R70" s="1484"/>
      <c r="S70" s="1484"/>
      <c r="T70" s="439" cm="1" t="str">
        <f t="array" ref="T70:T70">T69</f>
        <v>true</v>
      </c>
      <c r="U70" s="1484"/>
      <c r="V70" s="1484"/>
      <c r="W70" s="1484"/>
      <c r="X70" s="1462"/>
      <c r="Y70" s="1484"/>
      <c r="Z70" s="1484"/>
      <c r="AA70" s="1484"/>
      <c r="AB70" s="319" t="s">
        <v>533</v>
      </c>
      <c r="AC70" s="181" t="s">
        <v>1086</v>
      </c>
      <c r="AD70" s="56" t="s">
        <v>784</v>
      </c>
      <c r="AE70" s="196"/>
      <c r="AF70" s="196"/>
      <c r="AG70" s="196"/>
      <c r="AH70" s="196"/>
      <c r="AI70" s="196"/>
      <c r="AJ70" s="196"/>
      <c r="AK70" s="276"/>
      <c r="AL70" s="1484"/>
      <c r="AM70" s="1484"/>
      <c r="AN70" s="1014" t="s">
        <v>1087</v>
      </c>
    </row>
    <row s="1190" customFormat="1" customHeight="1" ht="14.25">
      <c r="A71" s="1484"/>
      <c r="B71" s="402"/>
      <c r="C71" s="1484"/>
      <c r="D71" s="1484"/>
      <c r="E71" s="234">
        <v>15</v>
      </c>
      <c r="F71" s="50" cm="1" t="str">
        <f t="array" ref="F71:F71">OFFSET(E71,-1,1)</f>
        <v>2</v>
      </c>
      <c r="G71" s="124" t="s">
        <v>1088</v>
      </c>
      <c r="H71" s="92" t="s">
        <v>879</v>
      </c>
      <c r="I71" s="1484"/>
      <c r="J71" s="457"/>
      <c r="K71" s="457" t="str">
        <f>F71&amp;"12komm"</f>
        <v>212komm</v>
      </c>
      <c r="L71" s="899" cm="1" t="str">
        <f t="array" ref="L71:L71">AK71</f>
        <v>0</v>
      </c>
      <c r="M71" s="1484"/>
      <c r="N71" s="1484"/>
      <c r="O71" s="1484"/>
      <c r="P71" s="1484"/>
      <c r="Q71" s="1484"/>
      <c r="R71" s="1484"/>
      <c r="S71" s="1484"/>
      <c r="T71" s="439" cm="1" t="str">
        <f t="array" ref="T71:T71">T70</f>
        <v>true</v>
      </c>
      <c r="U71" s="1484"/>
      <c r="V71" s="1484"/>
      <c r="W71" s="1484"/>
      <c r="X71" s="1462"/>
      <c r="Y71" s="1484"/>
      <c r="Z71" s="1484"/>
      <c r="AA71" s="1484"/>
      <c r="AB71" s="319" t="s">
        <v>750</v>
      </c>
      <c r="AC71" s="181" t="s">
        <v>1089</v>
      </c>
      <c r="AD71" s="56" t="s">
        <v>784</v>
      </c>
      <c r="AE71" s="196"/>
      <c r="AF71" s="196"/>
      <c r="AG71" s="196"/>
      <c r="AH71" s="196"/>
      <c r="AI71" s="196"/>
      <c r="AJ71" s="196"/>
      <c r="AK71" s="276"/>
      <c r="AL71" s="1484"/>
      <c r="AM71" s="1484"/>
      <c r="AN71" s="1014" t="s">
        <v>1090</v>
      </c>
    </row>
    <row s="1190" customFormat="1" customHeight="1" ht="14.25">
      <c r="A72" s="1484"/>
      <c r="B72" s="402"/>
      <c r="C72" s="1484"/>
      <c r="D72" s="1484"/>
      <c r="E72" s="234">
        <v>15</v>
      </c>
      <c r="F72" s="50" cm="1" t="str">
        <f t="array" ref="F72:F72">OFFSET(E72,-1,1)</f>
        <v>2</v>
      </c>
      <c r="G72" s="124" t="s">
        <v>1091</v>
      </c>
      <c r="H72" s="92" t="s">
        <v>881</v>
      </c>
      <c r="I72" s="1484"/>
      <c r="J72" s="457"/>
      <c r="K72" s="457" t="str">
        <f>F72&amp;"13komm"</f>
        <v>213komm</v>
      </c>
      <c r="L72" s="899" cm="1" t="str">
        <f t="array" ref="L72:L72">AK72</f>
        <v>0</v>
      </c>
      <c r="M72" s="1484"/>
      <c r="N72" s="1484"/>
      <c r="O72" s="1484"/>
      <c r="P72" s="1484"/>
      <c r="Q72" s="1484"/>
      <c r="R72" s="1484"/>
      <c r="S72" s="1484"/>
      <c r="T72" s="439" cm="1" t="str">
        <f t="array" ref="T72:T72">T71</f>
        <v>true</v>
      </c>
      <c r="U72" s="1484"/>
      <c r="V72" s="1484"/>
      <c r="W72" s="1484"/>
      <c r="X72" s="1462"/>
      <c r="Y72" s="1484"/>
      <c r="Z72" s="1484"/>
      <c r="AA72" s="1484"/>
      <c r="AB72" s="319" t="s">
        <v>882</v>
      </c>
      <c r="AC72" s="181" t="s">
        <v>1092</v>
      </c>
      <c r="AD72" s="56" t="s">
        <v>784</v>
      </c>
      <c r="AE72" s="196"/>
      <c r="AF72" s="196"/>
      <c r="AG72" s="196"/>
      <c r="AH72" s="196"/>
      <c r="AI72" s="196"/>
      <c r="AJ72" s="196"/>
      <c r="AK72" s="276"/>
      <c r="AL72" s="1484"/>
      <c r="AM72" s="1484"/>
      <c r="AN72" s="1014" t="s">
        <v>1093</v>
      </c>
    </row>
    <row s="1190" customFormat="1" customHeight="1" ht="14.25">
      <c r="A73" s="1484"/>
      <c r="B73" s="402"/>
      <c r="C73" s="1484"/>
      <c r="D73" s="1484"/>
      <c r="E73" s="234">
        <v>15</v>
      </c>
      <c r="F73" s="50" cm="1" t="str">
        <f t="array" ref="F73:F73">OFFSET(E73,-1,1)</f>
        <v>2</v>
      </c>
      <c r="G73" s="124" t="s">
        <v>1094</v>
      </c>
      <c r="H73" s="92" t="s">
        <v>884</v>
      </c>
      <c r="I73" s="1484"/>
      <c r="J73" s="457"/>
      <c r="K73" s="457" t="str">
        <f>F73&amp;"14komm"</f>
        <v>214komm</v>
      </c>
      <c r="L73" s="899" cm="1" t="str">
        <f t="array" ref="L73:L73">AK73</f>
        <v>0</v>
      </c>
      <c r="M73" s="1484"/>
      <c r="N73" s="1484"/>
      <c r="O73" s="1484"/>
      <c r="P73" s="1484"/>
      <c r="Q73" s="1484"/>
      <c r="R73" s="1484"/>
      <c r="S73" s="1484"/>
      <c r="T73" s="439" cm="1" t="str">
        <f t="array" ref="T73:T73">T72</f>
        <v>true</v>
      </c>
      <c r="U73" s="1484"/>
      <c r="V73" s="1484"/>
      <c r="W73" s="1484"/>
      <c r="X73" s="1462"/>
      <c r="Y73" s="1484"/>
      <c r="Z73" s="1484"/>
      <c r="AA73" s="1484"/>
      <c r="AB73" s="319" t="s">
        <v>885</v>
      </c>
      <c r="AC73" s="181" t="s">
        <v>1095</v>
      </c>
      <c r="AD73" s="56" t="s">
        <v>784</v>
      </c>
      <c r="AE73" s="196"/>
      <c r="AF73" s="196"/>
      <c r="AG73" s="196"/>
      <c r="AH73" s="196"/>
      <c r="AI73" s="196"/>
      <c r="AJ73" s="196"/>
      <c r="AK73" s="276"/>
      <c r="AL73" s="1484"/>
      <c r="AM73" s="1484"/>
      <c r="AN73" s="1014" t="s">
        <v>1096</v>
      </c>
    </row>
    <row s="1190" customFormat="1" customHeight="1" ht="14.25">
      <c r="A74" s="1484"/>
      <c r="B74" s="402"/>
      <c r="C74" s="1484"/>
      <c r="D74" s="1484"/>
      <c r="E74" s="234">
        <v>15</v>
      </c>
      <c r="F74" s="50" cm="1" t="str">
        <f t="array" ref="F74:F74">OFFSET(E74,-1,1)</f>
        <v>2</v>
      </c>
      <c r="G74" s="124" t="s">
        <v>1097</v>
      </c>
      <c r="H74" s="92" t="s">
        <v>1098</v>
      </c>
      <c r="I74" s="1484"/>
      <c r="J74" s="457"/>
      <c r="K74" s="457" t="str">
        <f>F74&amp;"15komm"</f>
        <v>215komm</v>
      </c>
      <c r="L74" s="899" cm="1" t="str">
        <f t="array" ref="L74:L74">AK74</f>
        <v>0</v>
      </c>
      <c r="M74" s="1484"/>
      <c r="N74" s="1484"/>
      <c r="O74" s="1484"/>
      <c r="P74" s="1484"/>
      <c r="Q74" s="1484"/>
      <c r="R74" s="1484"/>
      <c r="S74" s="1484"/>
      <c r="T74" s="439" cm="1" t="str">
        <f t="array" ref="T74:T74">T73</f>
        <v>true</v>
      </c>
      <c r="U74" s="1484"/>
      <c r="V74" s="1484"/>
      <c r="W74" s="1484"/>
      <c r="X74" s="1462"/>
      <c r="Y74" s="1484"/>
      <c r="Z74" s="1484"/>
      <c r="AA74" s="1484"/>
      <c r="AB74" s="319" t="s">
        <v>1099</v>
      </c>
      <c r="AC74" s="181" t="s">
        <v>1100</v>
      </c>
      <c r="AD74" s="56" t="s">
        <v>784</v>
      </c>
      <c r="AE74" s="196"/>
      <c r="AF74" s="196"/>
      <c r="AG74" s="196"/>
      <c r="AH74" s="196"/>
      <c r="AI74" s="196"/>
      <c r="AJ74" s="196"/>
      <c r="AK74" s="276"/>
      <c r="AL74" s="1484"/>
      <c r="AM74" s="1484"/>
      <c r="AN74" s="1014" t="s">
        <v>1101</v>
      </c>
    </row>
    <row s="1190" customFormat="1" customHeight="1" ht="14.25">
      <c r="A75" s="1484"/>
      <c r="B75" s="402"/>
      <c r="C75" s="1484"/>
      <c r="D75" s="1484"/>
      <c r="E75" s="234">
        <v>15</v>
      </c>
      <c r="F75" s="50" cm="1" t="str">
        <f t="array" ref="F75:F75">OFFSET(E75,-1,1)</f>
        <v>2</v>
      </c>
      <c r="G75" s="124" t="s">
        <v>1102</v>
      </c>
      <c r="H75" s="92" t="s">
        <v>1103</v>
      </c>
      <c r="I75" s="1484"/>
      <c r="J75" s="457"/>
      <c r="K75" s="457" t="str">
        <f>F75&amp;"16komm"</f>
        <v>216komm</v>
      </c>
      <c r="L75" s="899" cm="1" t="str">
        <f t="array" ref="L75:L75">AK75</f>
        <v>0</v>
      </c>
      <c r="M75" s="1484"/>
      <c r="N75" s="1484"/>
      <c r="O75" s="1484"/>
      <c r="P75" s="1484"/>
      <c r="Q75" s="1484"/>
      <c r="R75" s="1484"/>
      <c r="S75" s="1484"/>
      <c r="T75" s="439" cm="1" t="str">
        <f t="array" ref="T75:T75">T74</f>
        <v>true</v>
      </c>
      <c r="U75" s="1484"/>
      <c r="V75" s="1484"/>
      <c r="W75" s="1484"/>
      <c r="X75" s="1462"/>
      <c r="Y75" s="1484"/>
      <c r="Z75" s="1484"/>
      <c r="AA75" s="1484"/>
      <c r="AB75" s="319" t="s">
        <v>1104</v>
      </c>
      <c r="AC75" s="181" t="s">
        <v>1105</v>
      </c>
      <c r="AD75" s="56" t="s">
        <v>784</v>
      </c>
      <c r="AE75" s="196"/>
      <c r="AF75" s="196"/>
      <c r="AG75" s="196"/>
      <c r="AH75" s="196"/>
      <c r="AI75" s="196"/>
      <c r="AJ75" s="196"/>
      <c r="AK75" s="276"/>
      <c r="AL75" s="1484"/>
      <c r="AM75" s="1484"/>
      <c r="AN75" s="1014" t="s">
        <v>1106</v>
      </c>
    </row>
    <row s="1190" customFormat="1" customHeight="1" ht="32.25">
      <c r="A76" s="1484"/>
      <c r="B76" s="402"/>
      <c r="C76" s="1484"/>
      <c r="D76" s="1484"/>
      <c r="E76" s="234">
        <v>33.75</v>
      </c>
      <c r="F76" s="50" cm="1" t="str">
        <f t="array" ref="F76:F76">OFFSET(E76,-1,1)</f>
        <v>2</v>
      </c>
      <c r="G76" s="316" t="s">
        <v>1107</v>
      </c>
      <c r="H76" s="92" t="s">
        <v>329</v>
      </c>
      <c r="I76" s="1484"/>
      <c r="J76" s="457"/>
      <c r="K76" s="457" t="str">
        <f>F76&amp;"2komm"</f>
        <v>22komm</v>
      </c>
      <c r="L76" s="899" cm="1" t="str">
        <f t="array" ref="L76:L76">AK76</f>
        <v>0</v>
      </c>
      <c r="M76" s="1484"/>
      <c r="N76" s="1484"/>
      <c r="O76" s="1484"/>
      <c r="P76" s="1484"/>
      <c r="Q76" s="1484"/>
      <c r="R76" s="1484"/>
      <c r="S76" s="1484"/>
      <c r="T76" s="439" cm="1" t="str">
        <f t="array" ref="T76:T76">T75</f>
        <v>true</v>
      </c>
      <c r="U76" s="1484"/>
      <c r="V76" s="1484"/>
      <c r="W76" s="1484"/>
      <c r="X76" s="1462"/>
      <c r="Y76" s="1484"/>
      <c r="Z76" s="1484"/>
      <c r="AA76" s="1484"/>
      <c r="AB76" s="319" t="s">
        <v>536</v>
      </c>
      <c r="AC76" s="308" t="s">
        <v>1108</v>
      </c>
      <c r="AD76" s="56" t="s">
        <v>784</v>
      </c>
      <c r="AE76" s="196"/>
      <c r="AF76" s="196"/>
      <c r="AG76" s="196"/>
      <c r="AH76" s="196"/>
      <c r="AI76" s="196"/>
      <c r="AJ76" s="196"/>
      <c r="AK76" s="276"/>
      <c r="AL76" s="1484"/>
      <c r="AM76" s="1484"/>
      <c r="AN76" s="1014" t="s">
        <v>1109</v>
      </c>
    </row>
    <row s="1190" customFormat="1" customHeight="1" ht="14.25">
      <c r="A77" s="1484"/>
      <c r="B77" s="402"/>
      <c r="C77" s="1484"/>
      <c r="D77" s="1484"/>
      <c r="E77" s="234">
        <v>15</v>
      </c>
      <c r="F77" s="50" cm="1" t="str">
        <f t="array" ref="F77:F77">OFFSET(E77,-1,1)</f>
        <v>2</v>
      </c>
      <c r="G77" s="316" t="s">
        <v>1110</v>
      </c>
      <c r="H77" s="92" t="s">
        <v>328</v>
      </c>
      <c r="I77" s="1484"/>
      <c r="J77" s="457"/>
      <c r="K77" s="457" t="str">
        <f>F77&amp;"3komm"</f>
        <v>23komm</v>
      </c>
      <c r="L77" s="899" cm="1" t="str">
        <f t="array" ref="L77:L77">AK77</f>
        <v>0</v>
      </c>
      <c r="M77" s="1484"/>
      <c r="N77" s="1484"/>
      <c r="O77" s="1484"/>
      <c r="P77" s="1484"/>
      <c r="Q77" s="1484"/>
      <c r="R77" s="1484"/>
      <c r="S77" s="1484"/>
      <c r="T77" s="439" cm="1" t="str">
        <f t="array" ref="T77:T77">T76</f>
        <v>true</v>
      </c>
      <c r="U77" s="1484"/>
      <c r="V77" s="1484"/>
      <c r="W77" s="1484"/>
      <c r="X77" s="1462"/>
      <c r="Y77" s="1484"/>
      <c r="Z77" s="1484"/>
      <c r="AA77" s="1484"/>
      <c r="AB77" s="319" t="s">
        <v>492</v>
      </c>
      <c r="AC77" s="308" t="s">
        <v>1111</v>
      </c>
      <c r="AD77" s="56" t="s">
        <v>784</v>
      </c>
      <c r="AE77" s="196"/>
      <c r="AF77" s="196"/>
      <c r="AG77" s="196"/>
      <c r="AH77" s="196"/>
      <c r="AI77" s="196"/>
      <c r="AJ77" s="196"/>
      <c r="AK77" s="276"/>
      <c r="AL77" s="1484"/>
      <c r="AM77" s="1484"/>
      <c r="AN77" s="1014" t="s">
        <v>1112</v>
      </c>
    </row>
    <row s="1190" customFormat="1" customHeight="1" ht="14.25">
      <c r="A78" s="1484"/>
      <c r="B78" s="402"/>
      <c r="C78" s="1484"/>
      <c r="D78" s="1484"/>
      <c r="E78" s="234">
        <v>15</v>
      </c>
      <c r="F78" s="50" cm="1" t="str">
        <f t="array" ref="F78:F78">OFFSET(E78,-1,1)</f>
        <v>2</v>
      </c>
      <c r="G78" s="316" t="s">
        <v>1113</v>
      </c>
      <c r="H78" s="92" t="s">
        <v>491</v>
      </c>
      <c r="I78" s="1484"/>
      <c r="J78" s="1484"/>
      <c r="K78" s="457" t="str">
        <f>F78&amp;"4komm"</f>
        <v>24komm</v>
      </c>
      <c r="L78" s="899" cm="1" t="str">
        <f t="array" ref="L78:L78">AK78</f>
        <v>0</v>
      </c>
      <c r="M78" s="1484"/>
      <c r="N78" s="1484"/>
      <c r="O78" s="1484"/>
      <c r="P78" s="1484"/>
      <c r="Q78" s="1484"/>
      <c r="R78" s="1484"/>
      <c r="S78" s="1484"/>
      <c r="T78" s="439" cm="1" t="str">
        <f t="array" ref="T78:T78">T77</f>
        <v>true</v>
      </c>
      <c r="U78" s="1484"/>
      <c r="V78" s="1484"/>
      <c r="W78" s="1484"/>
      <c r="X78" s="1462"/>
      <c r="Y78" s="1484"/>
      <c r="Z78" s="1484"/>
      <c r="AA78" s="1484"/>
      <c r="AB78" s="319" t="s">
        <v>496</v>
      </c>
      <c r="AC78" s="308" t="s">
        <v>1114</v>
      </c>
      <c r="AD78" s="56" t="s">
        <v>784</v>
      </c>
      <c r="AE78" s="196"/>
      <c r="AF78" s="196"/>
      <c r="AG78" s="196"/>
      <c r="AH78" s="196"/>
      <c r="AI78" s="196"/>
      <c r="AJ78" s="196"/>
      <c r="AK78" s="276"/>
      <c r="AL78" s="1484"/>
      <c r="AM78" s="1484"/>
      <c r="AN78" s="1014" t="s">
        <v>1115</v>
      </c>
    </row>
    <row s="1190" customFormat="1" customHeight="1" ht="14.25">
      <c r="A79" s="1484"/>
      <c r="B79" s="402"/>
      <c r="C79" s="1484"/>
      <c r="D79" s="1484"/>
      <c r="E79" s="234">
        <v>15</v>
      </c>
      <c r="F79" s="50" cm="1" t="str">
        <f t="array" ref="F79:F79">OFFSET(E79,-1,1)</f>
        <v>2</v>
      </c>
      <c r="G79" s="316" t="s">
        <v>1116</v>
      </c>
      <c r="H79" s="92" t="s">
        <v>495</v>
      </c>
      <c r="I79" s="1484"/>
      <c r="J79" s="1484"/>
      <c r="K79" s="457" t="str">
        <f>F79&amp;"5komm"</f>
        <v>25komm</v>
      </c>
      <c r="L79" s="899" cm="1" t="str">
        <f t="array" ref="L79:L79">AK79</f>
        <v>0</v>
      </c>
      <c r="M79" s="1484"/>
      <c r="N79" s="1484"/>
      <c r="O79" s="1484"/>
      <c r="P79" s="1484"/>
      <c r="Q79" s="1484"/>
      <c r="R79" s="1484"/>
      <c r="S79" s="1484"/>
      <c r="T79" s="439" cm="1" t="str">
        <f t="array" ref="T79:T79">T78</f>
        <v>true</v>
      </c>
      <c r="U79" s="1484"/>
      <c r="V79" s="1484"/>
      <c r="W79" s="1484"/>
      <c r="X79" s="1462"/>
      <c r="Y79" s="1484"/>
      <c r="Z79" s="1484"/>
      <c r="AA79" s="1484"/>
      <c r="AB79" s="319" t="s">
        <v>557</v>
      </c>
      <c r="AC79" s="308" t="s">
        <v>1117</v>
      </c>
      <c r="AD79" s="56" t="s">
        <v>784</v>
      </c>
      <c r="AE79" s="196"/>
      <c r="AF79" s="196"/>
      <c r="AG79" s="196"/>
      <c r="AH79" s="196"/>
      <c r="AI79" s="196"/>
      <c r="AJ79" s="196"/>
      <c r="AK79" s="276"/>
      <c r="AL79" s="1484"/>
      <c r="AM79" s="1484"/>
      <c r="AN79" s="1014" t="s">
        <v>1118</v>
      </c>
    </row>
    <row s="1190" customFormat="1" customHeight="1" ht="14.25">
      <c r="A80" s="1484"/>
      <c r="B80" s="402"/>
      <c r="C80" s="1484"/>
      <c r="D80" s="1484"/>
      <c r="E80" s="234">
        <v>15</v>
      </c>
      <c r="F80" s="50" cm="1" t="str">
        <f t="array" ref="F80:F80">OFFSET(E80,-1,1)</f>
        <v>2</v>
      </c>
      <c r="G80" s="316" t="s">
        <v>1119</v>
      </c>
      <c r="H80" s="92" t="s">
        <v>541</v>
      </c>
      <c r="I80" s="1484"/>
      <c r="J80" s="1484"/>
      <c r="K80" s="457" t="str">
        <f>F80&amp;"6komm"</f>
        <v>26komm</v>
      </c>
      <c r="L80" s="899" cm="1" t="str">
        <f t="array" ref="L80:L80">AK80</f>
        <v>0</v>
      </c>
      <c r="M80" s="1484"/>
      <c r="N80" s="1484"/>
      <c r="O80" s="1484"/>
      <c r="P80" s="1484"/>
      <c r="Q80" s="1484"/>
      <c r="R80" s="1484"/>
      <c r="S80" s="1484"/>
      <c r="T80" s="439" cm="1" t="str">
        <f t="array" ref="T80:T80">T79</f>
        <v>true</v>
      </c>
      <c r="U80" s="1484"/>
      <c r="V80" s="1484"/>
      <c r="W80" s="1484"/>
      <c r="X80" s="1462"/>
      <c r="Y80" s="1484"/>
      <c r="Z80" s="1484"/>
      <c r="AA80" s="1484"/>
      <c r="AB80" s="319" t="s">
        <v>565</v>
      </c>
      <c r="AC80" s="308" t="s">
        <v>1120</v>
      </c>
      <c r="AD80" s="56" t="s">
        <v>784</v>
      </c>
      <c r="AE80" s="320">
        <f>SUM(AE81:AE83)</f>
        <v>0</v>
      </c>
      <c r="AF80" s="320">
        <f>SUM(AF81:AF83)</f>
        <v>0</v>
      </c>
      <c r="AG80" s="320">
        <f>SUM(AG81:AG83)</f>
        <v>0</v>
      </c>
      <c r="AH80" s="320">
        <f>SUM(AH81:AH83)</f>
        <v>0</v>
      </c>
      <c r="AI80" s="320">
        <f>SUM(AI81:AI83)</f>
        <v>0</v>
      </c>
      <c r="AJ80" s="320">
        <f>SUM(AJ81:AJ83)</f>
        <v>0</v>
      </c>
      <c r="AK80" s="276"/>
      <c r="AL80" s="1484"/>
      <c r="AM80" s="1484"/>
      <c r="AN80" s="1014" t="s">
        <v>389</v>
      </c>
    </row>
    <row s="1190" customFormat="1" customHeight="1" ht="14.25">
      <c r="A81" s="1484"/>
      <c r="B81" s="402"/>
      <c r="C81" s="1484"/>
      <c r="D81" s="1484"/>
      <c r="E81" s="234">
        <v>15</v>
      </c>
      <c r="F81" s="50" cm="1" t="str">
        <f t="array" ref="F81:F81">OFFSET(E81,-1,1)</f>
        <v>2</v>
      </c>
      <c r="G81" s="316" t="s">
        <v>1121</v>
      </c>
      <c r="H81" s="92" t="s">
        <v>544</v>
      </c>
      <c r="I81" s="1484"/>
      <c r="J81" s="1484"/>
      <c r="K81" s="457" t="str">
        <f>F81&amp;"7komm"</f>
        <v>27komm</v>
      </c>
      <c r="L81" s="899" cm="1" t="str">
        <f t="array" ref="L81:L81">AK81</f>
        <v>0</v>
      </c>
      <c r="M81" s="1484"/>
      <c r="N81" s="1484"/>
      <c r="O81" s="1484"/>
      <c r="P81" s="1484"/>
      <c r="Q81" s="1484"/>
      <c r="R81" s="1484"/>
      <c r="S81" s="1484"/>
      <c r="T81" s="439" cm="1" t="str">
        <f t="array" ref="T81:T81">T80</f>
        <v>true</v>
      </c>
      <c r="U81" s="1484"/>
      <c r="V81" s="1484"/>
      <c r="W81" s="1484"/>
      <c r="X81" s="1462"/>
      <c r="Y81" s="1484"/>
      <c r="Z81" s="1484"/>
      <c r="AA81" s="1484"/>
      <c r="AB81" s="319" t="s">
        <v>569</v>
      </c>
      <c r="AC81" s="181" t="s">
        <v>1122</v>
      </c>
      <c r="AD81" s="56" t="s">
        <v>784</v>
      </c>
      <c r="AE81" s="196"/>
      <c r="AF81" s="196"/>
      <c r="AG81" s="196"/>
      <c r="AH81" s="196"/>
      <c r="AI81" s="196"/>
      <c r="AJ81" s="196"/>
      <c r="AK81" s="276"/>
      <c r="AL81" s="1484"/>
      <c r="AM81" s="1484"/>
      <c r="AN81" s="1014" t="s">
        <v>1123</v>
      </c>
    </row>
    <row s="1190" customFormat="1" customHeight="1" ht="43.5">
      <c r="A82" s="1484"/>
      <c r="B82" s="402"/>
      <c r="C82" s="1484"/>
      <c r="D82" s="1484"/>
      <c r="E82" s="234">
        <v>45</v>
      </c>
      <c r="F82" s="50" cm="1" t="str">
        <f t="array" ref="F82:F82">OFFSET(E82,-1,1)</f>
        <v>2</v>
      </c>
      <c r="G82" s="316" t="s">
        <v>1124</v>
      </c>
      <c r="H82" s="92" t="s">
        <v>548</v>
      </c>
      <c r="I82" s="1484"/>
      <c r="J82" s="1484"/>
      <c r="K82" s="457" t="str">
        <f>F82&amp;"8komm"</f>
        <v>28komm</v>
      </c>
      <c r="L82" s="899" cm="1" t="str">
        <f t="array" ref="L82:L82">AK82</f>
        <v>0</v>
      </c>
      <c r="M82" s="1484"/>
      <c r="N82" s="1484"/>
      <c r="O82" s="1484"/>
      <c r="P82" s="1484"/>
      <c r="Q82" s="1484"/>
      <c r="R82" s="1484"/>
      <c r="S82" s="1484"/>
      <c r="T82" s="439" cm="1" t="str">
        <f t="array" ref="T82:T82">T81</f>
        <v>true</v>
      </c>
      <c r="U82" s="1484"/>
      <c r="V82" s="1484"/>
      <c r="W82" s="1484"/>
      <c r="X82" s="1462"/>
      <c r="Y82" s="1484"/>
      <c r="Z82" s="1484"/>
      <c r="AA82" s="1484"/>
      <c r="AB82" s="319" t="s">
        <v>586</v>
      </c>
      <c r="AC82" s="743" t="s">
        <v>1125</v>
      </c>
      <c r="AD82" s="56" t="s">
        <v>784</v>
      </c>
      <c r="AE82" s="196"/>
      <c r="AF82" s="196"/>
      <c r="AG82" s="196"/>
      <c r="AH82" s="196"/>
      <c r="AI82" s="196"/>
      <c r="AJ82" s="196"/>
      <c r="AK82" s="276"/>
      <c r="AL82" s="1484"/>
      <c r="AM82" s="1484"/>
      <c r="AN82" s="1014" t="s">
        <v>1126</v>
      </c>
    </row>
    <row s="1190" customFormat="1" customHeight="1" ht="14.25">
      <c r="A83" s="1484"/>
      <c r="B83" s="402"/>
      <c r="C83" s="1484"/>
      <c r="D83" s="1484"/>
      <c r="E83" s="234">
        <v>15</v>
      </c>
      <c r="F83" s="50" cm="1" t="str">
        <f t="array" ref="F83:F83">OFFSET(E83,-1,1)</f>
        <v>2</v>
      </c>
      <c r="G83" s="124" t="s">
        <v>1127</v>
      </c>
      <c r="H83" s="92" t="s">
        <v>552</v>
      </c>
      <c r="I83" s="1484"/>
      <c r="J83" s="1484"/>
      <c r="K83" s="457" t="str">
        <f>F83&amp;"9komm"</f>
        <v>29komm</v>
      </c>
      <c r="L83" s="899" cm="1" t="str">
        <f t="array" ref="L83:L83">AK83</f>
        <v>0</v>
      </c>
      <c r="M83" s="1484"/>
      <c r="N83" s="1484"/>
      <c r="O83" s="1484"/>
      <c r="P83" s="1484"/>
      <c r="Q83" s="1484"/>
      <c r="R83" s="1484"/>
      <c r="S83" s="1484"/>
      <c r="T83" s="439" cm="1" t="str">
        <f t="array" ref="T83:T83">T82</f>
        <v>true</v>
      </c>
      <c r="U83" s="1484"/>
      <c r="V83" s="1484"/>
      <c r="W83" s="1484"/>
      <c r="X83" s="1462"/>
      <c r="Y83" s="1484"/>
      <c r="Z83" s="1484"/>
      <c r="AA83" s="1484"/>
      <c r="AB83" s="319" t="s">
        <v>598</v>
      </c>
      <c r="AC83" s="181" t="s">
        <v>1128</v>
      </c>
      <c r="AD83" s="56" t="s">
        <v>784</v>
      </c>
      <c r="AE83" s="196"/>
      <c r="AF83" s="196"/>
      <c r="AG83" s="196"/>
      <c r="AH83" s="196"/>
      <c r="AI83" s="1390"/>
      <c r="AJ83" s="1390"/>
      <c r="AK83" s="276"/>
      <c r="AL83" s="1484"/>
      <c r="AM83" s="1484"/>
      <c r="AN83" s="1014" t="s">
        <v>1129</v>
      </c>
    </row>
    <row s="1484" customFormat="1" customHeight="1" ht="10.96875">
      <c r="B84" s="402"/>
      <c r="C84" s="0"/>
      <c r="D84" s="0"/>
      <c r="E84" s="234">
        <v>11.25</v>
      </c>
      <c r="F84" s="51"/>
      <c r="G84" s="0"/>
      <c r="H84" s="0"/>
      <c r="I84" s="0"/>
      <c r="J84" s="0"/>
      <c r="K84" s="0"/>
      <c r="L84" s="0"/>
      <c r="M84" s="0"/>
      <c r="N84" s="0"/>
      <c r="O84" s="0"/>
      <c r="P84" s="0"/>
      <c r="Q84" s="0"/>
      <c r="R84" s="0"/>
      <c r="S84" s="0"/>
      <c r="T84" s="0"/>
      <c r="U84" s="0" t="s">
        <v>177</v>
      </c>
      <c r="V84" s="106" t="s">
        <v>1130</v>
      </c>
      <c r="W84" s="0"/>
      <c r="X84" s="0"/>
      <c r="Y84" s="0"/>
      <c r="Z84" s="0"/>
      <c r="AA84" s="0"/>
      <c r="AB84" s="0"/>
      <c r="AC84" s="66"/>
      <c r="AD84" s="66"/>
      <c r="AE84" s="321"/>
      <c r="AF84" s="321"/>
      <c r="AG84" s="322"/>
      <c r="AH84" s="322"/>
      <c r="AI84" s="322"/>
      <c r="AJ84" s="0"/>
      <c r="AK84" s="0"/>
      <c r="AL84" s="0"/>
      <c r="AN84" s="1014"/>
    </row>
    <row s="1484" customFormat="1" customHeight="1" ht="14.625">
      <c r="B85" s="402"/>
      <c r="C85" s="64"/>
      <c r="D85" s="64"/>
      <c r="E85" s="611">
        <v>15</v>
      </c>
      <c r="F85" s="64"/>
      <c r="G85" s="64"/>
      <c r="H85" s="64"/>
      <c r="I85" s="64"/>
      <c r="J85" s="64"/>
      <c r="K85" s="64"/>
      <c r="L85" s="64"/>
      <c r="M85" s="64"/>
      <c r="N85" s="64"/>
      <c r="O85" s="64"/>
      <c r="P85" s="64"/>
      <c r="Q85" s="64"/>
      <c r="R85" s="316"/>
      <c r="S85" s="64"/>
      <c r="T85" s="64"/>
      <c r="U85" s="64"/>
      <c r="V85" s="64"/>
      <c r="W85" s="64"/>
      <c r="X85" s="64"/>
      <c r="Y85" s="64"/>
      <c r="Z85" s="64"/>
      <c r="AA85" s="64"/>
      <c r="AB85" s="1485" t="s">
        <v>398</v>
      </c>
      <c r="AC85" s="1485"/>
      <c r="AD85" s="1485"/>
      <c r="AE85" s="1485"/>
      <c r="AF85" s="1485"/>
      <c r="AG85" s="1485"/>
      <c r="AH85" s="1485"/>
      <c r="AI85" s="1522"/>
      <c r="AJ85" s="1522"/>
      <c r="AK85" s="1522"/>
      <c r="AL85" s="64"/>
      <c r="AN85" s="1014"/>
    </row>
    <row s="1484" customFormat="1" customHeight="1" ht="14.625">
      <c r="B86" s="402"/>
      <c r="C86" s="64"/>
      <c r="D86" s="64"/>
      <c r="E86" s="611">
        <v>15</v>
      </c>
      <c r="F86" s="64"/>
      <c r="G86" s="64"/>
      <c r="H86" s="64"/>
      <c r="I86" s="64"/>
      <c r="J86" s="64"/>
      <c r="K86" s="64"/>
      <c r="L86" s="64"/>
      <c r="M86" s="64"/>
      <c r="N86" s="64"/>
      <c r="O86" s="64"/>
      <c r="P86" s="64"/>
      <c r="Q86" s="64"/>
      <c r="R86" s="316"/>
      <c r="S86" s="64"/>
      <c r="U86" s="64"/>
      <c r="V86" s="64"/>
      <c r="W86" s="64"/>
      <c r="X86" s="64"/>
      <c r="Y86" s="64"/>
      <c r="Z86" s="64"/>
      <c r="AA86" s="140"/>
      <c r="AB86" s="1524"/>
      <c r="AC86" s="1524"/>
      <c r="AD86" s="1524"/>
      <c r="AE86" s="1524"/>
      <c r="AF86" s="1524"/>
      <c r="AG86" s="1524"/>
      <c r="AH86" s="1524"/>
      <c r="AI86" s="1526"/>
      <c r="AJ86" s="1526"/>
      <c r="AK86" s="1526"/>
      <c r="AL86" s="64"/>
      <c r="AN86" s="1014"/>
    </row>
    <row s="1484" customFormat="1" customHeight="1" ht="14.625" hidden="1">
      <c r="A87" s="1484"/>
      <c r="B87" s="402"/>
      <c r="C87" s="64"/>
      <c r="D87" s="64"/>
      <c r="E87" s="611">
        <v>15</v>
      </c>
      <c r="F87" s="64"/>
      <c r="G87" s="64"/>
      <c r="H87" s="64"/>
      <c r="I87" s="64"/>
      <c r="J87" s="64"/>
      <c r="K87" s="64"/>
      <c r="L87" s="64"/>
      <c r="M87" s="64"/>
      <c r="N87" s="64"/>
      <c r="O87" s="64"/>
      <c r="P87" s="64"/>
      <c r="Q87" s="64"/>
      <c r="R87" s="316"/>
      <c r="S87" s="64"/>
      <c r="T87" s="439">
        <f>ROW(W87)&gt;ROW(W$87)</f>
        <v>0</v>
      </c>
      <c r="U87" s="64"/>
      <c r="V87" s="64"/>
      <c r="W87" s="738" t="s">
        <v>173</v>
      </c>
      <c r="X87" s="64"/>
      <c r="Y87" s="64"/>
      <c r="Z87" s="64"/>
      <c r="AA87" s="393" t="s">
        <v>174</v>
      </c>
      <c r="AB87" s="2621" t="s">
        <v>222</v>
      </c>
      <c r="AC87" s="2621"/>
      <c r="AD87" s="2621"/>
      <c r="AE87" s="2621"/>
      <c r="AF87" s="2621"/>
      <c r="AG87" s="2621"/>
      <c r="AH87" s="2621"/>
      <c r="AI87" s="1526"/>
      <c r="AJ87" s="1526"/>
      <c r="AK87" s="2620"/>
      <c r="AL87" s="64"/>
      <c r="AM87" s="1484"/>
      <c r="AN87" s="1014"/>
    </row>
    <row s="1484" customFormat="1" customHeight="1" ht="14.625">
      <c r="B88" s="402"/>
      <c r="C88" s="64"/>
      <c r="D88" s="64"/>
      <c r="E88" s="611">
        <v>15</v>
      </c>
      <c r="F88" s="64"/>
      <c r="G88" s="64"/>
      <c r="H88" s="64"/>
      <c r="I88" s="64"/>
      <c r="J88" s="64"/>
      <c r="K88" s="64"/>
      <c r="L88" s="64"/>
      <c r="M88" s="64"/>
      <c r="N88" s="64"/>
      <c r="O88" s="64"/>
      <c r="P88" s="64"/>
      <c r="Q88" s="64"/>
      <c r="R88" s="316"/>
      <c r="S88" s="64"/>
      <c r="T88" s="64"/>
      <c r="U88" s="64"/>
      <c r="V88" s="64"/>
      <c r="W88" s="738" t="s">
        <v>399</v>
      </c>
      <c r="X88" s="64"/>
      <c r="Y88" s="64"/>
      <c r="Z88" s="64"/>
      <c r="AA88" s="64"/>
      <c r="AB88" s="627"/>
      <c r="AC88" s="488" t="s">
        <v>1131</v>
      </c>
      <c r="AD88" s="277"/>
      <c r="AE88" s="277"/>
      <c r="AF88" s="278"/>
      <c r="AG88" s="278"/>
      <c r="AH88" s="278"/>
      <c r="AI88" s="278"/>
      <c r="AJ88" s="278"/>
      <c r="AK88" s="279"/>
      <c r="AL88" s="64"/>
      <c r="AN88" s="1014"/>
    </row>
    <row s="1621" customFormat="1" customHeight="1" ht="11.25">
      <c r="B89" s="403"/>
      <c r="E89" s="666" t="s">
        <v>978</v>
      </c>
      <c r="F89" s="51"/>
      <c r="AC89" s="66"/>
      <c r="AD89" s="66"/>
      <c r="AE89" s="321"/>
      <c r="AF89" s="321"/>
      <c r="AG89" s="322"/>
      <c r="AH89" s="322"/>
      <c r="AI89" s="322"/>
      <c r="AJ89" s="1621"/>
      <c r="AL89" s="0"/>
      <c r="AN89" s="1002"/>
    </row>
  </sheetData>
  <sheetProtection formatColumns="0" formatRows="0" insertRows="0" deleteColumns="0" deleteRows="0" sort="0" autoFilter="0" insertColumns="1"/>
  <mergeCells count="13">
    <mergeCell ref="X27:X45"/>
    <mergeCell ref="Z27:Z45"/>
    <mergeCell ref="AB85:AK85"/>
    <mergeCell ref="AB86:AK86"/>
    <mergeCell ref="AB24:AB25"/>
    <mergeCell ref="AC24:AC25"/>
    <mergeCell ref="AD24:AD25"/>
    <mergeCell ref="AK24:AK25"/>
    <mergeCell ref="AB87:AK87"/>
    <mergeCell ref="X46:X64"/>
    <mergeCell ref="Z46:Z64"/>
    <mergeCell ref="X65:X83"/>
    <mergeCell ref="Z65:Z83"/>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D541CF-B3E8-91F8-F478-F1E24AD2F8F8}" mc:Ignorable="x14ac xr xr2 xr3">
  <sheetPr>
    <tabColor rgb="FF002060"/>
    <outlinePr summaryBelow="0"/>
  </sheetPr>
  <dimension ref="A1:AR69"/>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4.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9.28125" hidden="1" customWidth="1"/>
    <col min="8"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421" width="3.00390625" customWidth="1"/>
    <col min="28" max="28" style="421" width="11.00390625" customWidth="1"/>
    <col min="29" max="29" style="421" width="50.140625" customWidth="1"/>
    <col min="30" max="30" style="421" width="10.29296875" customWidth="1"/>
    <col min="31" max="36" style="421" width="13.00390625" customWidth="1"/>
    <col min="37" max="37" style="421" width="20.00390625" customWidth="1"/>
    <col min="38" max="38" style="421" width="3.00390625" customWidth="1"/>
    <col min="39" max="39" style="421" width="9.140625" hidden="1"/>
    <col min="40" max="42" style="1253" width="9.140625" hidden="1"/>
    <col min="43" max="44" style="1161" width="9.140625" hidden="1"/>
  </cols>
  <sheetData>
    <row s="1153" customFormat="1" customHeight="1" ht="11.25" hidden="1">
      <c r="B1" s="401"/>
      <c r="F1" s="88" t="s">
        <v>313</v>
      </c>
      <c r="G1" s="88" t="s">
        <v>324</v>
      </c>
      <c r="H1" s="88" t="s">
        <v>351</v>
      </c>
      <c r="T1" s="439" t="s">
        <v>92</v>
      </c>
      <c r="U1" s="439" t="s">
        <v>97</v>
      </c>
      <c r="V1" s="439" t="s">
        <v>93</v>
      </c>
      <c r="W1" s="439" t="s">
        <v>94</v>
      </c>
      <c r="X1" s="439" t="s">
        <v>95</v>
      </c>
      <c r="Y1" s="441" t="s">
        <v>315</v>
      </c>
      <c r="Z1" s="439" t="s">
        <v>99</v>
      </c>
      <c r="AA1" s="440" t="s">
        <v>96</v>
      </c>
      <c r="AB1" s="51"/>
      <c r="AC1" s="440" t="s">
        <v>98</v>
      </c>
      <c r="AI1" s="1153"/>
      <c r="AJ1" s="1153"/>
      <c r="AN1" s="980" t="s">
        <v>316</v>
      </c>
      <c r="AO1" s="980" t="s">
        <v>317</v>
      </c>
      <c r="AP1" s="980" t="s">
        <v>318</v>
      </c>
      <c r="AQ1" s="597" t="s">
        <v>321</v>
      </c>
      <c r="AR1" s="597" t="s">
        <v>322</v>
      </c>
    </row>
    <row s="1160" customFormat="1" customHeight="1" ht="11.25" hidden="1">
      <c r="B2" s="419" t="s">
        <v>18</v>
      </c>
      <c r="AI2" s="419">
        <f>AI6&lt;=last_year_vis</f>
        <v>1</v>
      </c>
      <c r="AJ2" s="419">
        <f>AJ6&lt;=last_year_vis</f>
        <v>1</v>
      </c>
      <c r="AN2" s="992"/>
      <c r="AO2" s="992"/>
      <c r="AP2" s="992"/>
      <c r="AQ2" s="997"/>
      <c r="AR2" s="997"/>
    </row>
    <row s="1153" customFormat="1" customHeight="1" ht="11.25" hidden="1">
      <c r="B3" s="401"/>
      <c r="AI3" s="1153"/>
      <c r="AJ3" s="1153"/>
      <c r="AN3" s="980"/>
      <c r="AO3" s="980"/>
      <c r="AP3" s="980"/>
      <c r="AQ3" s="597"/>
      <c r="AR3" s="597"/>
    </row>
    <row s="1153" customFormat="1" customHeight="1" ht="11.25" hidden="1">
      <c r="B4" s="401"/>
      <c r="AI4" s="1153"/>
      <c r="AJ4" s="1153"/>
      <c r="AN4" s="980"/>
      <c r="AO4" s="980"/>
      <c r="AP4" s="980"/>
      <c r="AQ4" s="597"/>
      <c r="AR4" s="597"/>
    </row>
    <row s="1161" customFormat="1" customHeight="1" ht="11.25" hidden="1">
      <c r="A5" s="88"/>
      <c r="B5" s="401"/>
      <c r="C5" s="88"/>
      <c r="D5" s="88"/>
      <c r="E5" s="597" t="s">
        <v>19</v>
      </c>
      <c r="AA5" s="597">
        <v>3</v>
      </c>
      <c r="AB5" s="597">
        <v>11</v>
      </c>
      <c r="AC5" s="597">
        <v>50.14</v>
      </c>
      <c r="AD5" s="597">
        <v>10.29</v>
      </c>
      <c r="AE5" s="597">
        <v>13</v>
      </c>
      <c r="AF5" s="597">
        <v>13</v>
      </c>
      <c r="AG5" s="597">
        <v>13</v>
      </c>
      <c r="AH5" s="597">
        <v>13</v>
      </c>
      <c r="AI5" s="597">
        <v>13</v>
      </c>
      <c r="AJ5" s="597">
        <v>13</v>
      </c>
      <c r="AK5" s="597">
        <v>20</v>
      </c>
      <c r="AL5" s="597">
        <v>3</v>
      </c>
      <c r="AN5" s="980"/>
      <c r="AO5" s="980"/>
      <c r="AP5" s="980"/>
    </row>
    <row s="1153" customFormat="1" customHeight="1" ht="11.25" hidden="1">
      <c r="A6" s="88" t="s">
        <v>354</v>
      </c>
      <c r="B6" s="401"/>
      <c r="E6" s="597"/>
      <c r="AE6" s="88">
        <f>god-2</f>
        <v>2024</v>
      </c>
      <c r="AF6" s="88">
        <f>god-2</f>
        <v>2024</v>
      </c>
      <c r="AG6" s="88">
        <f>god-2</f>
        <v>2024</v>
      </c>
      <c r="AH6" s="88">
        <f>god-1</f>
        <v>2025</v>
      </c>
      <c r="AI6" s="64" cm="1" t="str">
        <f t="array" ref="AI6:AI6">god</f>
        <v>2026</v>
      </c>
      <c r="AJ6" s="64" cm="1" t="str">
        <f t="array" ref="AJ6:AJ6">god</f>
        <v>2026</v>
      </c>
      <c r="AN6" s="980"/>
      <c r="AO6" s="980"/>
      <c r="AP6" s="980"/>
      <c r="AQ6" s="597"/>
      <c r="AR6" s="597"/>
    </row>
    <row s="1153" customFormat="1" customHeight="1" ht="11.25" hidden="1">
      <c r="A7" s="88" t="s">
        <v>355</v>
      </c>
      <c r="B7" s="401"/>
      <c r="E7" s="597"/>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cm="1" t="str">
        <f t="array" ref="AH7:AH7">AH25</f>
        <v>Принято органом регулирования</v>
      </c>
      <c r="AI7" s="88" cm="1" t="str">
        <f t="array" ref="AI7:AI7">AI25</f>
        <v>Предложение организации</v>
      </c>
      <c r="AJ7" s="88" cm="1" t="str">
        <f t="array" ref="AJ7:AJ7">AJ25</f>
        <v>Принято органом регулирования</v>
      </c>
      <c r="AN7" s="980"/>
      <c r="AO7" s="980"/>
      <c r="AP7" s="980"/>
      <c r="AQ7" s="597"/>
      <c r="AR7" s="597"/>
    </row>
    <row s="1153" customFormat="1" customHeight="1" ht="11.25" hidden="1">
      <c r="B8" s="401"/>
      <c r="E8" s="597"/>
      <c r="AI8" s="1153"/>
      <c r="AJ8" s="1153"/>
      <c r="AN8" s="980"/>
      <c r="AO8" s="980"/>
      <c r="AP8" s="980"/>
      <c r="AQ8" s="597"/>
      <c r="AR8" s="597"/>
    </row>
    <row s="1253" customFormat="1" customHeight="1" ht="11.25" hidden="1">
      <c r="A9" s="980" t="s">
        <v>359</v>
      </c>
      <c r="B9" s="992"/>
      <c r="AE9" s="980" cm="1" t="str">
        <f t="array" ref="AE9:AE9">AE6</f>
        <v>2024</v>
      </c>
      <c r="AF9" s="980" cm="1" t="str">
        <f t="array" ref="AF9:AF9">AF6</f>
        <v>2024</v>
      </c>
      <c r="AG9" s="980" cm="1" t="str">
        <f t="array" ref="AG9:AG9">AG6</f>
        <v>2024</v>
      </c>
      <c r="AH9" s="980" cm="1" t="str">
        <f t="array" ref="AH9:AH9">AH6</f>
        <v>2025</v>
      </c>
      <c r="AI9" s="980" cm="1" t="str">
        <f t="array" ref="AI9:AI9">AI6</f>
        <v>2026</v>
      </c>
      <c r="AJ9" s="980" cm="1" t="str">
        <f t="array" ref="AJ9:AJ9">AJ6</f>
        <v>2026</v>
      </c>
      <c r="AQ9" s="597"/>
      <c r="AR9" s="597"/>
    </row>
    <row s="1253" customFormat="1" customHeight="1" ht="11.25" hidden="1">
      <c r="A10" s="980" t="s">
        <v>360</v>
      </c>
      <c r="B10" s="992"/>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H10" s="980" cm="1" t="str">
        <f t="array" ref="AH10:AH10">AH25</f>
        <v>Принято органом регулирования</v>
      </c>
      <c r="AI10" s="980" cm="1" t="str">
        <f t="array" ref="AI10:AI10">AI25</f>
        <v>Предложение организации</v>
      </c>
      <c r="AJ10" s="980" cm="1" t="str">
        <f t="array" ref="AJ10:AJ10">AJ25</f>
        <v>Принято органом регулирования</v>
      </c>
      <c r="AQ10" s="597"/>
      <c r="AR10" s="597"/>
    </row>
    <row s="1253" customFormat="1" customHeight="1" ht="11.25" hidden="1">
      <c r="A11" s="980" t="s">
        <v>361</v>
      </c>
      <c r="B11" s="992"/>
      <c r="AI11" s="1253"/>
      <c r="AJ11" s="1253"/>
      <c r="AK11" s="1016" cm="1" t="str">
        <f t="array" ref="AK11:AK11">AK24</f>
        <v>Ссылка на правовую норму (основание для принятия показателя в расчет тарифа)</v>
      </c>
      <c r="AQ11" s="597"/>
      <c r="AR11" s="597"/>
    </row>
    <row s="1253" customFormat="1" customHeight="1" ht="11.25" hidden="1">
      <c r="A12" s="980" t="s">
        <v>331</v>
      </c>
      <c r="B12" s="992"/>
      <c r="AC12" s="980" t="s">
        <v>318</v>
      </c>
      <c r="AI12" s="1253"/>
      <c r="AJ12" s="1253"/>
      <c r="AQ12" s="597"/>
      <c r="AR12" s="597"/>
    </row>
    <row s="1153" customFormat="1" customHeight="1" ht="11.25" hidden="1">
      <c r="B13" s="401"/>
      <c r="E13" s="597"/>
      <c r="AI13" s="1153"/>
      <c r="AJ13" s="1153"/>
      <c r="AN13" s="980"/>
      <c r="AO13" s="980"/>
      <c r="AP13" s="980"/>
      <c r="AQ13" s="597"/>
      <c r="AR13" s="597"/>
    </row>
    <row s="1153" customFormat="1" customHeight="1" ht="11.25" hidden="1">
      <c r="B14" s="401"/>
      <c r="E14" s="597"/>
      <c r="AI14" s="1153"/>
      <c r="AJ14" s="1153"/>
      <c r="AN14" s="980"/>
      <c r="AO14" s="980"/>
      <c r="AP14" s="980"/>
      <c r="AQ14" s="597"/>
      <c r="AR14" s="597"/>
    </row>
    <row s="1153" customFormat="1" customHeight="1" ht="11.25" hidden="1">
      <c r="B15" s="401"/>
      <c r="E15" s="597"/>
      <c r="AI15" s="1153"/>
      <c r="AJ15" s="1153"/>
      <c r="AN15" s="980"/>
      <c r="AO15" s="980"/>
      <c r="AP15" s="980"/>
      <c r="AQ15" s="597"/>
      <c r="AR15" s="597"/>
    </row>
    <row s="1153" customFormat="1" customHeight="1" ht="11.25" hidden="1">
      <c r="B16" s="401"/>
      <c r="E16" s="597"/>
      <c r="AI16" s="1153"/>
      <c r="AJ16" s="1153"/>
      <c r="AN16" s="980"/>
      <c r="AO16" s="980"/>
      <c r="AP16" s="980"/>
      <c r="AQ16" s="597"/>
      <c r="AR16" s="597"/>
    </row>
    <row s="1153" customFormat="1" customHeight="1" ht="11.25" hidden="1">
      <c r="B17" s="401"/>
      <c r="E17" s="597"/>
      <c r="AE17" s="64"/>
      <c r="AF17" s="64"/>
      <c r="AG17" s="64"/>
      <c r="AH17" s="64"/>
      <c r="AI17" s="1153"/>
      <c r="AJ17" s="1153"/>
      <c r="AK17" s="399"/>
      <c r="AN17" s="980"/>
      <c r="AO17" s="980"/>
      <c r="AP17" s="980"/>
      <c r="AQ17" s="597"/>
      <c r="AR17" s="597"/>
    </row>
    <row s="1153" customFormat="1" customHeight="1" ht="11.25" hidden="1">
      <c r="A18" s="88" t="s">
        <v>332</v>
      </c>
      <c r="B18" s="401"/>
      <c r="E18" s="597"/>
      <c r="AC18" s="88" t="s">
        <v>362</v>
      </c>
      <c r="AI18" s="1153"/>
      <c r="AJ18" s="1153"/>
      <c r="AN18" s="980"/>
      <c r="AO18" s="980"/>
      <c r="AP18" s="980"/>
      <c r="AQ18" s="597"/>
      <c r="AR18" s="597"/>
    </row>
    <row s="1153" customFormat="1" customHeight="1" ht="11.25" hidden="1">
      <c r="B19" s="401"/>
      <c r="E19" s="597"/>
      <c r="AI19" s="1153"/>
      <c r="AJ19" s="1153"/>
      <c r="AN19" s="980"/>
      <c r="AO19" s="980"/>
      <c r="AP19" s="980"/>
      <c r="AQ19" s="597"/>
      <c r="AR19" s="597"/>
    </row>
    <row s="1153" customFormat="1" customHeight="1" ht="11.25" hidden="1">
      <c r="B20" s="401"/>
      <c r="E20" s="597"/>
      <c r="AI20" s="1153"/>
      <c r="AJ20" s="1153"/>
      <c r="AN20" s="980"/>
      <c r="AO20" s="980"/>
      <c r="AP20" s="980"/>
      <c r="AQ20" s="597"/>
      <c r="AR20" s="597"/>
    </row>
    <row customHeight="1" ht="14.625">
      <c r="E21" s="597">
        <v>15</v>
      </c>
      <c r="AA21" s="422"/>
      <c r="AC21" s="341" cm="1" t="str">
        <f t="array" ref="AC21:AC21">tpl_title</f>
        <v>Кемеровская область / 2026 / Филиал АО "УК "Кузбассразрезуголь" "Талдинский угольный разрез" (ИНН:4205049090, КПП:423802002) / ДПР: 2024-2028</v>
      </c>
      <c r="AI21" s="421"/>
      <c r="AJ21" s="421"/>
    </row>
    <row customHeight="1" ht="19.5">
      <c r="E22" s="597">
        <v>20</v>
      </c>
      <c r="AB22" s="287" t="s">
        <v>65</v>
      </c>
      <c r="AC22" s="193"/>
      <c r="AD22" s="193"/>
      <c r="AE22" s="193"/>
      <c r="AF22" s="193"/>
      <c r="AG22" s="193"/>
      <c r="AH22" s="193"/>
      <c r="AI22" s="193"/>
      <c r="AJ22" s="193"/>
      <c r="AK22" s="423"/>
    </row>
    <row customHeight="1" ht="13.893750000000002">
      <c r="E23" s="597">
        <v>14.25</v>
      </c>
      <c r="AB23" s="115"/>
      <c r="AC23" s="115"/>
      <c r="AD23" s="115"/>
      <c r="AE23" s="115"/>
      <c r="AF23" s="115"/>
      <c r="AG23" s="115"/>
      <c r="AH23" s="115"/>
      <c r="AI23" s="115"/>
      <c r="AJ23" s="115"/>
      <c r="AK23" s="115"/>
    </row>
    <row customHeight="1" ht="14.625">
      <c r="E24" s="597">
        <v>15</v>
      </c>
      <c r="AB24" s="1485" t="s">
        <v>21</v>
      </c>
      <c r="AC24" s="1485" t="s">
        <v>362</v>
      </c>
      <c r="AD24" s="1485" t="s">
        <v>947</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57" t="s">
        <v>507</v>
      </c>
    </row>
    <row customHeight="1" ht="44.118750000000006">
      <c r="E25" s="597">
        <v>45.25</v>
      </c>
      <c r="AB25" s="1485"/>
      <c r="AC25" s="1485"/>
      <c r="AD25" s="1485"/>
      <c r="AE25" s="57" t="s">
        <v>356</v>
      </c>
      <c r="AF25" s="1105" t="s">
        <v>431</v>
      </c>
      <c r="AG25" s="57" t="s">
        <v>432</v>
      </c>
      <c r="AH25" s="57" t="s">
        <v>356</v>
      </c>
      <c r="AI25" s="1107" t="s">
        <v>357</v>
      </c>
      <c r="AJ25" s="327" t="s">
        <v>356</v>
      </c>
      <c r="AK25" s="1557"/>
    </row>
    <row customHeight="1" ht="12" hidden="1">
      <c r="E26" s="597">
        <v>0</v>
      </c>
      <c r="AB26" s="716"/>
      <c r="AC26" s="716"/>
      <c r="AD26" s="716"/>
      <c r="AE26" s="717"/>
      <c r="AF26" s="717"/>
      <c r="AG26" s="717"/>
      <c r="AH26" s="717"/>
      <c r="AI26" s="701"/>
      <c r="AJ26" s="701"/>
      <c r="AK26" s="718"/>
    </row>
    <row customHeight="1" ht="14.625" hidden="1">
      <c r="A27" s="1153"/>
      <c r="B27" s="1160"/>
      <c r="C27" s="1153"/>
      <c r="D27" s="1153"/>
      <c r="E27" s="597">
        <v>15</v>
      </c>
      <c r="F27" s="64" cm="1" t="str">
        <f t="array" ref="F27:F27">X27</f>
        <v>0</v>
      </c>
      <c r="G27" s="88" t="s">
        <v>1132</v>
      </c>
      <c r="H27" s="1153"/>
      <c r="I27" s="1153"/>
      <c r="J27" s="1153"/>
      <c r="K27" s="1153"/>
      <c r="L27" s="1153"/>
      <c r="M27" s="1153"/>
      <c r="N27" s="1153"/>
      <c r="O27" s="1153"/>
      <c r="P27" s="1153"/>
      <c r="Q27" s="1153"/>
      <c r="R27" s="1153"/>
      <c r="S27" s="1153"/>
      <c r="T27" s="439">
        <f>X27&gt;0</f>
        <v>0</v>
      </c>
      <c r="U27" s="1153"/>
      <c r="V27" s="88" t="s">
        <v>261</v>
      </c>
      <c r="W27" s="1153"/>
      <c r="X27" s="1482">
        <v>0</v>
      </c>
      <c r="Y27" s="1153"/>
      <c r="Z27" s="1465"/>
      <c r="AA27" s="421"/>
      <c r="AB27" s="189" cm="1" t="str">
        <f t="array" ref="AB27:AB27">INDEX('Общие сведения'!$AG$179:$AG$222,MATCH($X27,'Общие сведения'!$Z$179:$Z$222,0))</f>
        <v>Тариф 0 () - </v>
      </c>
      <c r="AC27" s="147"/>
      <c r="AD27" s="147"/>
      <c r="AE27" s="273">
        <f>SUM(AE28:AE36)</f>
        <v>0</v>
      </c>
      <c r="AF27" s="273">
        <f>SUM(AF28:AF36)</f>
        <v>0</v>
      </c>
      <c r="AG27" s="273">
        <f>SUM(AG28:AG36)</f>
        <v>0</v>
      </c>
      <c r="AH27" s="273">
        <f>SUM(AH28:AH36)</f>
        <v>0</v>
      </c>
      <c r="AI27" s="273">
        <f>SUM(AI28:AI36)</f>
        <v>0</v>
      </c>
      <c r="AJ27" s="273">
        <f>SUM(AJ28:AJ36)</f>
        <v>0</v>
      </c>
      <c r="AK27" s="191"/>
      <c r="AL27" s="421"/>
      <c r="AM27" s="421"/>
      <c r="AN27" s="1253"/>
      <c r="AO27" s="1253"/>
      <c r="AP27" s="1253"/>
      <c r="AQ27" s="1161"/>
      <c r="AR27" s="1161"/>
    </row>
    <row customHeight="1" ht="21.9375" hidden="1">
      <c r="A28" s="1153"/>
      <c r="B28" s="1160"/>
      <c r="C28" s="1153"/>
      <c r="D28" s="1153"/>
      <c r="E28" s="597">
        <v>22.5</v>
      </c>
      <c r="F28" s="50" cm="1" t="str">
        <f t="array" ref="F28:F28">OFFSET(E28,-1,1)</f>
        <v>0</v>
      </c>
      <c r="G28" s="88" t="s">
        <v>325</v>
      </c>
      <c r="H28" s="1153"/>
      <c r="I28" s="1153"/>
      <c r="J28" s="1153"/>
      <c r="K28" s="90" t="str">
        <f>F28&amp;"komm"</f>
        <v>0komm</v>
      </c>
      <c r="L28" s="901" cm="1" t="str">
        <f t="array" ref="L28:L28">AK28</f>
        <v>0</v>
      </c>
      <c r="M28" s="1153"/>
      <c r="N28" s="1153"/>
      <c r="O28" s="1153"/>
      <c r="P28" s="1153"/>
      <c r="Q28" s="1153"/>
      <c r="R28" s="1153"/>
      <c r="S28" s="1153"/>
      <c r="T28" s="439" cm="1" t="str">
        <f t="array" ref="T28:T28">T27</f>
        <v>false</v>
      </c>
      <c r="U28" s="1153"/>
      <c r="V28" s="1153"/>
      <c r="W28" s="1153"/>
      <c r="X28" s="1482"/>
      <c r="Y28" s="1153"/>
      <c r="Z28" s="1465"/>
      <c r="AA28" s="421"/>
      <c r="AB28" s="266" t="s">
        <v>272</v>
      </c>
      <c r="AC28" s="425" t="s">
        <v>1133</v>
      </c>
      <c r="AD28" s="267" t="s">
        <v>784</v>
      </c>
      <c r="AE28" s="3044"/>
      <c r="AF28" s="3159"/>
      <c r="AG28" s="3159"/>
      <c r="AH28" s="3159"/>
      <c r="AI28" s="196"/>
      <c r="AJ28" s="196"/>
      <c r="AK28" s="1887"/>
      <c r="AL28" s="421"/>
      <c r="AM28" s="421"/>
      <c r="AN28" s="980" t="s">
        <v>1134</v>
      </c>
      <c r="AO28" s="1253"/>
      <c r="AP28" s="1253"/>
      <c r="AQ28" s="1161"/>
      <c r="AR28" s="1161"/>
    </row>
    <row customHeight="1" ht="21.9375" hidden="1">
      <c r="A29" s="1153"/>
      <c r="B29" s="1160"/>
      <c r="C29" s="1153"/>
      <c r="D29" s="1153"/>
      <c r="E29" s="597">
        <v>22.5</v>
      </c>
      <c r="F29" s="50" cm="1" t="str">
        <f t="array" ref="F29:F29">OFFSET(E29,-1,1)</f>
        <v>0</v>
      </c>
      <c r="G29" s="88" t="s">
        <v>326</v>
      </c>
      <c r="H29" s="1153"/>
      <c r="I29" s="1153"/>
      <c r="J29" s="1153"/>
      <c r="K29" s="1153"/>
      <c r="L29" s="1153"/>
      <c r="M29" s="1153"/>
      <c r="N29" s="1153"/>
      <c r="O29" s="1153"/>
      <c r="P29" s="1153"/>
      <c r="Q29" s="1153"/>
      <c r="R29" s="1153"/>
      <c r="S29" s="1153"/>
      <c r="T29" s="439" cm="1" t="str">
        <f t="array" ref="T29:T29">T28</f>
        <v>false</v>
      </c>
      <c r="U29" s="1153"/>
      <c r="V29" s="1153"/>
      <c r="W29" s="1153"/>
      <c r="X29" s="1482"/>
      <c r="Y29" s="1153"/>
      <c r="Z29" s="1465"/>
      <c r="AA29" s="421"/>
      <c r="AB29" s="266" t="s">
        <v>283</v>
      </c>
      <c r="AC29" s="425" t="s">
        <v>1135</v>
      </c>
      <c r="AD29" s="267" t="s">
        <v>784</v>
      </c>
      <c r="AE29" s="3044"/>
      <c r="AF29" s="3159"/>
      <c r="AG29" s="3159"/>
      <c r="AH29" s="3159"/>
      <c r="AI29" s="196"/>
      <c r="AJ29" s="196"/>
      <c r="AK29" s="1887"/>
      <c r="AL29" s="421"/>
      <c r="AM29" s="421"/>
      <c r="AN29" s="980" t="s">
        <v>1136</v>
      </c>
      <c r="AO29" s="1253"/>
      <c r="AP29" s="1253"/>
      <c r="AQ29" s="1161"/>
      <c r="AR29" s="1161"/>
    </row>
    <row customHeight="1" ht="21.9375" hidden="1">
      <c r="A30" s="1153"/>
      <c r="B30" s="1160"/>
      <c r="C30" s="1153"/>
      <c r="D30" s="1153"/>
      <c r="E30" s="597">
        <v>22.5</v>
      </c>
      <c r="F30" s="50" cm="1" t="str">
        <f t="array" ref="F30:F30">OFFSET(E30,-1,1)</f>
        <v>0</v>
      </c>
      <c r="G30" s="88" t="s">
        <v>327</v>
      </c>
      <c r="H30" s="1153"/>
      <c r="I30" s="1153"/>
      <c r="J30" s="1153"/>
      <c r="K30" s="1153"/>
      <c r="L30" s="1153"/>
      <c r="M30" s="1153"/>
      <c r="N30" s="1153"/>
      <c r="O30" s="1153"/>
      <c r="P30" s="1153"/>
      <c r="Q30" s="1153"/>
      <c r="R30" s="1153"/>
      <c r="S30" s="1153"/>
      <c r="T30" s="439" cm="1" t="str">
        <f t="array" ref="T30:T30">T29</f>
        <v>false</v>
      </c>
      <c r="U30" s="1153"/>
      <c r="V30" s="1153"/>
      <c r="W30" s="1153"/>
      <c r="X30" s="1482"/>
      <c r="Y30" s="1153"/>
      <c r="Z30" s="1465"/>
      <c r="AA30" s="421"/>
      <c r="AB30" s="266" t="s">
        <v>323</v>
      </c>
      <c r="AC30" s="425" t="s">
        <v>1137</v>
      </c>
      <c r="AD30" s="267" t="s">
        <v>784</v>
      </c>
      <c r="AE30" s="3044"/>
      <c r="AF30" s="3159"/>
      <c r="AG30" s="3159"/>
      <c r="AH30" s="3159"/>
      <c r="AI30" s="196"/>
      <c r="AJ30" s="196"/>
      <c r="AK30" s="1887"/>
      <c r="AL30" s="421"/>
      <c r="AM30" s="421"/>
      <c r="AN30" s="980" t="s">
        <v>1138</v>
      </c>
      <c r="AO30" s="1253"/>
      <c r="AP30" s="1253"/>
      <c r="AQ30" s="1161"/>
      <c r="AR30" s="1161"/>
    </row>
    <row s="1621" customFormat="1" customHeight="1" ht="32.90625" hidden="1">
      <c r="A31" s="88"/>
      <c r="B31" s="401"/>
      <c r="C31" s="88"/>
      <c r="D31" s="88"/>
      <c r="E31" s="597">
        <v>33.75</v>
      </c>
      <c r="F31" s="1202" cm="1" t="str">
        <f t="array" ref="F31:F31">OFFSET(E31,-1,1)</f>
        <v>0</v>
      </c>
      <c r="G31" s="88" t="s">
        <v>329</v>
      </c>
      <c r="H31" s="88"/>
      <c r="I31" s="88"/>
      <c r="J31" s="88"/>
      <c r="K31" s="88"/>
      <c r="L31" s="88"/>
      <c r="M31" s="88"/>
      <c r="N31" s="88"/>
      <c r="O31" s="88"/>
      <c r="P31" s="88"/>
      <c r="Q31" s="88"/>
      <c r="R31" s="88"/>
      <c r="S31" s="88"/>
      <c r="T31" s="439" cm="1" t="str">
        <f t="array" ref="T31:T31">T30</f>
        <v>false</v>
      </c>
      <c r="U31" s="88"/>
      <c r="V31" s="88"/>
      <c r="W31" s="88"/>
      <c r="X31" s="1482"/>
      <c r="Y31" s="88"/>
      <c r="Z31" s="1465"/>
      <c r="AA31" s="421"/>
      <c r="AB31" s="868">
        <v>4</v>
      </c>
      <c r="AC31" s="425" t="s">
        <v>1139</v>
      </c>
      <c r="AD31" s="267" t="s">
        <v>784</v>
      </c>
      <c r="AE31" s="754">
        <f>_xlfn.SUMIFS(ФОТ!AE$25:AE$102,ФОТ!$F$25:$F$102,$F31,ФОТ!$G$25:$G$102,"СП")+_xlfn.SUMIFS(ФОТ!AE$25:AE$102,ФОТ!$F$25:$F$102,$F31,ФОТ!$G$25:$G$102,"СОЦ_СП")</f>
        <v>0</v>
      </c>
      <c r="AF31" s="754">
        <f>_xlfn.SUMIFS(ФОТ!AF$25:AF$102,ФОТ!$F$25:$F$102,$F31,ФОТ!$G$25:$G$102,"СП")+_xlfn.SUMIFS(ФОТ!AF$25:AF$102,ФОТ!$F$25:$F$102,$F31,ФОТ!$G$25:$G$102,"СОЦ_СП")</f>
        <v>0</v>
      </c>
      <c r="AG31" s="754">
        <f>_xlfn.SUMIFS(ФОТ!AG$25:AG$102,ФОТ!$F$25:$F$102,$F31,ФОТ!$G$25:$G$102,"СП")+_xlfn.SUMIFS(ФОТ!AG$25:AG$102,ФОТ!$F$25:$F$102,$F31,ФОТ!$G$25:$G$102,"СОЦ_СП")</f>
        <v>0</v>
      </c>
      <c r="AH31" s="754">
        <f>_xlfn.SUMIFS(ФОТ!AH$25:AH$102,ФОТ!$F$25:$F$102,$F31,ФОТ!$G$25:$G$102,"СП")+_xlfn.SUMIFS(ФОТ!AH$25:AH$102,ФОТ!$F$25:$F$102,$F31,ФОТ!$G$25:$G$102,"СОЦ_СП")</f>
        <v>0</v>
      </c>
      <c r="AI31" s="754">
        <f>_xlfn.SUMIFS(ФОТ!AI$25:AI$102,ФОТ!$F$25:$F$102,$F31,ФОТ!$G$25:$G$102,"СП")+_xlfn.SUMIFS(ФОТ!AI$25:AI$102,ФОТ!$F$25:$F$102,$F31,ФОТ!$G$25:$G$102,"СОЦ_СП")</f>
        <v>0</v>
      </c>
      <c r="AJ31" s="754">
        <f>_xlfn.SUMIFS(ФОТ!AJ$25:AJ$102,ФОТ!$F$25:$F$102,$F31,ФОТ!$G$25:$G$102,"СП")+_xlfn.SUMIFS(ФОТ!AJ$25:AJ$102,ФОТ!$F$25:$F$102,$F31,ФОТ!$G$25:$G$102,"СОЦ_СП")</f>
        <v>0</v>
      </c>
      <c r="AK31" s="1887"/>
      <c r="AL31" s="421"/>
      <c r="AM31" s="1621"/>
      <c r="AN31" s="1032" t="s">
        <v>1140</v>
      </c>
      <c r="AO31" s="1032"/>
      <c r="AP31" s="1032"/>
      <c r="AQ31" s="651"/>
      <c r="AR31" s="651"/>
    </row>
    <row customHeight="1" ht="32.90625" hidden="1">
      <c r="A32" s="1153"/>
      <c r="B32" s="1160"/>
      <c r="C32" s="1153"/>
      <c r="D32" s="1153"/>
      <c r="E32" s="597">
        <v>33.75</v>
      </c>
      <c r="F32" s="50" cm="1" t="str">
        <f t="array" ref="F32:F32">OFFSET(E32,-1,1)</f>
        <v>0</v>
      </c>
      <c r="G32" s="88" t="s">
        <v>328</v>
      </c>
      <c r="H32" s="1153"/>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421"/>
      <c r="AB32" s="266" t="s">
        <v>492</v>
      </c>
      <c r="AC32" s="425" t="s">
        <v>1141</v>
      </c>
      <c r="AD32" s="267" t="s">
        <v>784</v>
      </c>
      <c r="AE32" s="3044"/>
      <c r="AF32" s="3044"/>
      <c r="AG32" s="3044"/>
      <c r="AH32" s="3044"/>
      <c r="AI32" s="265"/>
      <c r="AJ32" s="265"/>
      <c r="AK32" s="1887"/>
      <c r="AL32" s="421"/>
      <c r="AM32" s="421"/>
      <c r="AN32" s="980" t="s">
        <v>1123</v>
      </c>
      <c r="AO32" s="1253"/>
      <c r="AP32" s="1253"/>
      <c r="AQ32" s="1161"/>
      <c r="AR32" s="1161"/>
    </row>
    <row customHeight="1" ht="21.9375" hidden="1">
      <c r="A33" s="1153"/>
      <c r="B33" s="1160"/>
      <c r="C33" s="1153"/>
      <c r="D33" s="1153"/>
      <c r="E33" s="597">
        <v>22.5</v>
      </c>
      <c r="F33" s="50" cm="1" t="str">
        <f t="array" ref="F33:F33">OFFSET(E33,-1,1)</f>
        <v>0</v>
      </c>
      <c r="G33" s="88" t="s">
        <v>491</v>
      </c>
      <c r="H33" s="1153"/>
      <c r="I33" s="1153"/>
      <c r="J33" s="1153"/>
      <c r="K33" s="1153"/>
      <c r="L33" s="1153"/>
      <c r="M33" s="1153"/>
      <c r="N33" s="1153"/>
      <c r="O33" s="1153"/>
      <c r="P33" s="1153"/>
      <c r="Q33" s="1153"/>
      <c r="R33" s="1153"/>
      <c r="S33" s="1153"/>
      <c r="T33" s="439" cm="1" t="str">
        <f t="array" ref="T33:T33">T32</f>
        <v>false</v>
      </c>
      <c r="U33" s="1153"/>
      <c r="V33" s="1153"/>
      <c r="W33" s="1153"/>
      <c r="X33" s="1482"/>
      <c r="Y33" s="1153"/>
      <c r="Z33" s="1465"/>
      <c r="AA33" s="421"/>
      <c r="AB33" s="266" t="s">
        <v>496</v>
      </c>
      <c r="AC33" s="425" t="s">
        <v>1142</v>
      </c>
      <c r="AD33" s="267" t="s">
        <v>784</v>
      </c>
      <c r="AE33" s="3044"/>
      <c r="AF33" s="3044"/>
      <c r="AG33" s="3044"/>
      <c r="AH33" s="3044"/>
      <c r="AI33" s="265"/>
      <c r="AJ33" s="265"/>
      <c r="AK33" s="1887"/>
      <c r="AL33" s="421"/>
      <c r="AM33" s="421"/>
      <c r="AN33" s="980" t="s">
        <v>1109</v>
      </c>
      <c r="AO33" s="1253"/>
      <c r="AP33" s="1253"/>
      <c r="AQ33" s="1161"/>
      <c r="AR33" s="1161"/>
    </row>
    <row customHeight="1" ht="43.875" hidden="1">
      <c r="A34" s="1153"/>
      <c r="B34" s="1160"/>
      <c r="C34" s="1153"/>
      <c r="D34" s="1153"/>
      <c r="E34" s="597">
        <v>45</v>
      </c>
      <c r="F34" s="50" cm="1" t="str">
        <f t="array" ref="F34:F34">OFFSET(E34,-1,1)</f>
        <v>0</v>
      </c>
      <c r="G34" s="88" t="s">
        <v>495</v>
      </c>
      <c r="H34" s="1153"/>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421"/>
      <c r="AB34" s="266" t="s">
        <v>557</v>
      </c>
      <c r="AC34" s="425" t="s">
        <v>1143</v>
      </c>
      <c r="AD34" s="267" t="s">
        <v>784</v>
      </c>
      <c r="AE34" s="3044"/>
      <c r="AF34" s="3044"/>
      <c r="AG34" s="3044"/>
      <c r="AH34" s="3044"/>
      <c r="AI34" s="265"/>
      <c r="AJ34" s="265"/>
      <c r="AK34" s="1887"/>
      <c r="AL34" s="421"/>
      <c r="AM34" s="421"/>
      <c r="AN34" s="980" t="s">
        <v>1144</v>
      </c>
      <c r="AO34" s="1253"/>
      <c r="AP34" s="1253"/>
      <c r="AQ34" s="1161"/>
      <c r="AR34" s="1161"/>
    </row>
    <row customHeight="1" ht="43.875" hidden="1">
      <c r="A35" s="1153"/>
      <c r="B35" s="1160"/>
      <c r="C35" s="1153"/>
      <c r="D35" s="1153"/>
      <c r="E35" s="597">
        <v>45</v>
      </c>
      <c r="F35" s="50" cm="1" t="str">
        <f t="array" ref="F35:F35">OFFSET(E35,-1,1)</f>
        <v>0</v>
      </c>
      <c r="G35" s="88" t="s">
        <v>541</v>
      </c>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421"/>
      <c r="AB35" s="266" t="s">
        <v>565</v>
      </c>
      <c r="AC35" s="425" t="s">
        <v>1145</v>
      </c>
      <c r="AD35" s="267" t="s">
        <v>784</v>
      </c>
      <c r="AE35" s="3044"/>
      <c r="AF35" s="3044"/>
      <c r="AG35" s="3044"/>
      <c r="AH35" s="3044"/>
      <c r="AI35" s="265"/>
      <c r="AJ35" s="265"/>
      <c r="AK35" s="1887"/>
      <c r="AL35" s="421"/>
      <c r="AM35" s="421"/>
      <c r="AN35" s="980" t="s">
        <v>1146</v>
      </c>
      <c r="AO35" s="1253"/>
      <c r="AP35" s="1253"/>
      <c r="AQ35" s="1161"/>
      <c r="AR35" s="1161"/>
    </row>
    <row customHeight="1" ht="14.625" hidden="1">
      <c r="A36" s="1153"/>
      <c r="B36" s="1160"/>
      <c r="C36" s="1153"/>
      <c r="D36" s="1153"/>
      <c r="E36" s="597">
        <v>15</v>
      </c>
      <c r="F36" s="50" cm="1" t="str">
        <f t="array" ref="F36:F36">OFFSET(E36,-1,1)</f>
        <v>0</v>
      </c>
      <c r="G36" s="88" t="s">
        <v>556</v>
      </c>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421"/>
      <c r="AB36" s="323">
        <v>9</v>
      </c>
      <c r="AC36" s="425" t="s">
        <v>1147</v>
      </c>
      <c r="AD36" s="267" t="s">
        <v>784</v>
      </c>
      <c r="AE36" s="202">
        <f>SUM(AE37:AE38)</f>
        <v>0</v>
      </c>
      <c r="AF36" s="202">
        <f>SUM(AF37:AF38)</f>
        <v>0</v>
      </c>
      <c r="AG36" s="202">
        <f>SUM(AG37:AG38)</f>
        <v>0</v>
      </c>
      <c r="AH36" s="202">
        <f>SUM(AH37:AH38)</f>
        <v>0</v>
      </c>
      <c r="AI36" s="202">
        <f>SUM(AI37:AI38)</f>
        <v>0</v>
      </c>
      <c r="AJ36" s="202">
        <f>SUM(AJ37:AJ38)</f>
        <v>0</v>
      </c>
      <c r="AK36" s="1887"/>
      <c r="AL36" s="421"/>
      <c r="AM36" s="421"/>
      <c r="AN36" s="980" t="s">
        <v>389</v>
      </c>
      <c r="AO36" s="1253"/>
      <c r="AP36" s="1253"/>
      <c r="AQ36" s="1161"/>
      <c r="AR36" s="1161"/>
    </row>
    <row customHeight="1" ht="14.625" hidden="1">
      <c r="A37" s="1153"/>
      <c r="B37" s="1160"/>
      <c r="C37" s="1153"/>
      <c r="D37" s="1153"/>
      <c r="E37" s="597">
        <v>15</v>
      </c>
      <c r="F37" s="50" cm="1" t="str">
        <f t="array" ref="F37:F37">OFFSET(E37,-1,1)</f>
        <v>0</v>
      </c>
      <c r="G37" s="88" t="s">
        <v>556</v>
      </c>
      <c r="H37" s="88" cm="1" t="str">
        <f t="array" ref="H37:H37">AC37</f>
        <v>0</v>
      </c>
      <c r="I37" s="1153"/>
      <c r="J37" s="1153"/>
      <c r="K37" s="1153"/>
      <c r="L37" s="1153"/>
      <c r="M37" s="1153"/>
      <c r="N37" s="1153"/>
      <c r="O37" s="1153"/>
      <c r="P37" s="1153"/>
      <c r="Q37" s="1153"/>
      <c r="R37" s="1153"/>
      <c r="S37" s="1153"/>
      <c r="T37" s="439">
        <f>AND(F37&gt;0,Y37&gt;0)</f>
        <v>0</v>
      </c>
      <c r="U37" s="1153"/>
      <c r="V37" s="1153"/>
      <c r="W37" s="738" t="s">
        <v>173</v>
      </c>
      <c r="X37" s="1482"/>
      <c r="Y37" s="88">
        <v>0</v>
      </c>
      <c r="Z37" s="1465"/>
      <c r="AA37" s="393" t="s">
        <v>174</v>
      </c>
      <c r="AB37" s="670" t="str">
        <f>"9."&amp;Y37</f>
        <v>9.0</v>
      </c>
      <c r="AC37" s="3046"/>
      <c r="AD37" s="267" t="s">
        <v>784</v>
      </c>
      <c r="AE37" s="3044"/>
      <c r="AF37" s="3044"/>
      <c r="AG37" s="3044"/>
      <c r="AH37" s="3044"/>
      <c r="AI37" s="265"/>
      <c r="AJ37" s="265"/>
      <c r="AK37" s="1887"/>
      <c r="AL37" s="421"/>
      <c r="AM37" s="421"/>
      <c r="AN37" s="980" t="s">
        <v>389</v>
      </c>
      <c r="AO37" s="980" t="s">
        <v>1148</v>
      </c>
      <c r="AP37" s="980" cm="1" t="str">
        <f t="array" ref="AP37:AP37">AC37</f>
        <v>0</v>
      </c>
      <c r="AQ37" s="1161"/>
      <c r="AR37" s="597" t="b">
        <v>1</v>
      </c>
    </row>
    <row customHeight="1" ht="14.625" hidden="1">
      <c r="A38" s="112"/>
      <c r="B38" s="402"/>
      <c r="C38" s="112"/>
      <c r="D38" s="112"/>
      <c r="E38" s="234">
        <v>15</v>
      </c>
      <c r="F38" s="50" cm="1" t="str">
        <f t="array" ref="F38:F38">OFFSET(E38,-1,1)</f>
        <v>0</v>
      </c>
      <c r="G38" s="112"/>
      <c r="H38" s="118" t="str">
        <f>"!=='не определено'"</f>
        <v>!=='не определено'</v>
      </c>
      <c r="I38" s="112"/>
      <c r="J38" s="112"/>
      <c r="K38" s="112"/>
      <c r="L38" s="112"/>
      <c r="M38" s="112"/>
      <c r="N38" s="112"/>
      <c r="O38" s="112"/>
      <c r="P38" s="112"/>
      <c r="Q38" s="112"/>
      <c r="R38" s="112"/>
      <c r="S38" s="112"/>
      <c r="T38" s="439">
        <f>F38&gt;0</f>
        <v>0</v>
      </c>
      <c r="U38" s="112"/>
      <c r="V38" s="112"/>
      <c r="W38" s="738" t="s">
        <v>780</v>
      </c>
      <c r="X38" s="1482"/>
      <c r="Y38" s="112"/>
      <c r="Z38" s="1465"/>
      <c r="AA38" s="112"/>
      <c r="AB38" s="198"/>
      <c r="AC38" s="199" t="s">
        <v>177</v>
      </c>
      <c r="AD38" s="199"/>
      <c r="AE38" s="199"/>
      <c r="AF38" s="199"/>
      <c r="AG38" s="199"/>
      <c r="AH38" s="199"/>
      <c r="AI38" s="199"/>
      <c r="AJ38" s="199"/>
      <c r="AK38" s="200"/>
      <c r="AL38" s="112"/>
      <c r="AM38" s="421"/>
      <c r="AN38" s="1253"/>
      <c r="AO38" s="1253"/>
      <c r="AP38" s="1253"/>
      <c r="AQ38" s="597" t="s">
        <v>1148</v>
      </c>
      <c r="AR38" s="1161"/>
    </row>
    <row s="1621" customFormat="1" customHeight="1" ht="14.25">
      <c r="A39" s="1153"/>
      <c r="B39" s="1160"/>
      <c r="C39" s="1153"/>
      <c r="D39" s="1153"/>
      <c r="E39" s="597">
        <v>15</v>
      </c>
      <c r="F39" s="64" cm="1" t="str">
        <f t="array" ref="F39:F39">X39</f>
        <v>1</v>
      </c>
      <c r="G39" s="88" t="s">
        <v>1132</v>
      </c>
      <c r="H39" s="1153"/>
      <c r="I39" s="1153"/>
      <c r="J39" s="1153"/>
      <c r="K39" s="1153"/>
      <c r="L39" s="1153"/>
      <c r="M39" s="1153"/>
      <c r="N39" s="1153"/>
      <c r="O39" s="1153"/>
      <c r="P39" s="1153"/>
      <c r="Q39" s="1153"/>
      <c r="R39" s="1153"/>
      <c r="S39" s="1153"/>
      <c r="T39" s="439">
        <f>X39&gt;0</f>
        <v>1</v>
      </c>
      <c r="U39" s="1153"/>
      <c r="V39" s="88" cm="1" t="str">
        <f t="array" ref="V39:V39">Административные!$AB$46</f>
        <v>Тариф 1 (Водоснабжение) - тариф на техническую воду (Оказание услуг на территории: Прокопьевский муниципальный округ (ОКТМО: 32522000) - п Калачево)</v>
      </c>
      <c r="W39" s="1153"/>
      <c r="X39" s="1482" t="s">
        <v>272</v>
      </c>
      <c r="Y39" s="1153"/>
      <c r="Z39" s="1465"/>
      <c r="AA39" s="421"/>
      <c r="AB39" s="189" cm="1" t="str">
        <f t="array" ref="AB39:AB39">Административные!$AB$46</f>
        <v>Тариф 1 (Водоснабжение) - тариф на техническую воду (Оказание услуг на территории: Прокопьевский муниципальный округ (ОКТМО: 32522000) - п Калачево)</v>
      </c>
      <c r="AC39" s="147"/>
      <c r="AD39" s="147"/>
      <c r="AE39" s="273">
        <f>SUM(AE40:AE48)</f>
        <v>0</v>
      </c>
      <c r="AF39" s="273">
        <f>SUM(AF40:AF48)</f>
        <v>0</v>
      </c>
      <c r="AG39" s="273">
        <f>SUM(AG40:AG48)</f>
        <v>0</v>
      </c>
      <c r="AH39" s="273">
        <f>SUM(AH40:AH48)</f>
        <v>0</v>
      </c>
      <c r="AI39" s="273">
        <f>SUM(AI40:AI48)</f>
        <v>0</v>
      </c>
      <c r="AJ39" s="273">
        <f>SUM(AJ40:AJ48)</f>
        <v>0</v>
      </c>
      <c r="AK39" s="191"/>
      <c r="AL39" s="421"/>
      <c r="AM39" s="421"/>
      <c r="AN39" s="1253"/>
      <c r="AO39" s="1253"/>
      <c r="AP39" s="1253"/>
      <c r="AQ39" s="1161"/>
      <c r="AR39" s="1161"/>
    </row>
    <row s="1621" customFormat="1" customHeight="1" ht="21.75">
      <c r="A40" s="1153"/>
      <c r="B40" s="1160"/>
      <c r="C40" s="1153"/>
      <c r="D40" s="1153"/>
      <c r="E40" s="597">
        <v>22.5</v>
      </c>
      <c r="F40" s="50" cm="1" t="str">
        <f t="array" ref="F40:F40">OFFSET(E40,-1,1)</f>
        <v>1</v>
      </c>
      <c r="G40" s="88" t="s">
        <v>325</v>
      </c>
      <c r="H40" s="1153"/>
      <c r="I40" s="1153"/>
      <c r="J40" s="1153"/>
      <c r="K40" s="90" t="str">
        <f>F40&amp;"komm"</f>
        <v>1komm</v>
      </c>
      <c r="L40" s="901" cm="1" t="str">
        <f t="array" ref="L40:L40">AK40</f>
        <v>0</v>
      </c>
      <c r="M40" s="1153"/>
      <c r="N40" s="1153"/>
      <c r="O40" s="1153"/>
      <c r="P40" s="1153"/>
      <c r="Q40" s="1153"/>
      <c r="R40" s="1153"/>
      <c r="S40" s="1153"/>
      <c r="T40" s="439" cm="1" t="str">
        <f t="array" ref="T40:T40">T39</f>
        <v>true</v>
      </c>
      <c r="U40" s="1153"/>
      <c r="V40" s="1153"/>
      <c r="W40" s="1153"/>
      <c r="X40" s="1482"/>
      <c r="Y40" s="1153"/>
      <c r="Z40" s="1465"/>
      <c r="AA40" s="421"/>
      <c r="AB40" s="266" t="s">
        <v>272</v>
      </c>
      <c r="AC40" s="425" t="s">
        <v>1133</v>
      </c>
      <c r="AD40" s="267" t="s">
        <v>784</v>
      </c>
      <c r="AE40" s="265"/>
      <c r="AF40" s="196"/>
      <c r="AG40" s="196"/>
      <c r="AH40" s="196"/>
      <c r="AI40" s="196"/>
      <c r="AJ40" s="196"/>
      <c r="AK40" s="167"/>
      <c r="AL40" s="421"/>
      <c r="AM40" s="421"/>
      <c r="AN40" s="980" t="s">
        <v>1134</v>
      </c>
      <c r="AO40" s="1253"/>
      <c r="AP40" s="1253"/>
      <c r="AQ40" s="1161"/>
      <c r="AR40" s="1161"/>
    </row>
    <row s="1621" customFormat="1" customHeight="1" ht="21.75">
      <c r="A41" s="1153"/>
      <c r="B41" s="1160"/>
      <c r="C41" s="1153"/>
      <c r="D41" s="1153"/>
      <c r="E41" s="597">
        <v>22.5</v>
      </c>
      <c r="F41" s="50" cm="1" t="str">
        <f t="array" ref="F41:F41">OFFSET(E41,-1,1)</f>
        <v>1</v>
      </c>
      <c r="G41" s="88" t="s">
        <v>326</v>
      </c>
      <c r="H41" s="1153"/>
      <c r="I41" s="1153"/>
      <c r="J41" s="1153"/>
      <c r="K41" s="1153"/>
      <c r="L41" s="1153"/>
      <c r="M41" s="1153"/>
      <c r="N41" s="1153"/>
      <c r="O41" s="1153"/>
      <c r="P41" s="1153"/>
      <c r="Q41" s="1153"/>
      <c r="R41" s="1153"/>
      <c r="S41" s="1153"/>
      <c r="T41" s="439" cm="1" t="str">
        <f t="array" ref="T41:T41">T40</f>
        <v>true</v>
      </c>
      <c r="U41" s="1153"/>
      <c r="V41" s="1153"/>
      <c r="W41" s="1153"/>
      <c r="X41" s="1482"/>
      <c r="Y41" s="1153"/>
      <c r="Z41" s="1465"/>
      <c r="AA41" s="421"/>
      <c r="AB41" s="266" t="s">
        <v>283</v>
      </c>
      <c r="AC41" s="425" t="s">
        <v>1135</v>
      </c>
      <c r="AD41" s="267" t="s">
        <v>784</v>
      </c>
      <c r="AE41" s="265"/>
      <c r="AF41" s="196"/>
      <c r="AG41" s="196"/>
      <c r="AH41" s="196"/>
      <c r="AI41" s="196"/>
      <c r="AJ41" s="196"/>
      <c r="AK41" s="167"/>
      <c r="AL41" s="421"/>
      <c r="AM41" s="421"/>
      <c r="AN41" s="980" t="s">
        <v>1136</v>
      </c>
      <c r="AO41" s="1253"/>
      <c r="AP41" s="1253"/>
      <c r="AQ41" s="1161"/>
      <c r="AR41" s="1161"/>
    </row>
    <row s="1621" customFormat="1" customHeight="1" ht="21.75">
      <c r="A42" s="1153"/>
      <c r="B42" s="1160"/>
      <c r="C42" s="1153"/>
      <c r="D42" s="1153"/>
      <c r="E42" s="597">
        <v>22.5</v>
      </c>
      <c r="F42" s="50" cm="1" t="str">
        <f t="array" ref="F42:F42">OFFSET(E42,-1,1)</f>
        <v>1</v>
      </c>
      <c r="G42" s="88" t="s">
        <v>327</v>
      </c>
      <c r="H42" s="1153"/>
      <c r="I42" s="1153"/>
      <c r="J42" s="1153"/>
      <c r="K42" s="1153"/>
      <c r="L42" s="1153"/>
      <c r="M42" s="1153"/>
      <c r="N42" s="1153"/>
      <c r="O42" s="1153"/>
      <c r="P42" s="1153"/>
      <c r="Q42" s="1153"/>
      <c r="R42" s="1153"/>
      <c r="S42" s="1153"/>
      <c r="T42" s="439" cm="1" t="str">
        <f t="array" ref="T42:T42">T41</f>
        <v>true</v>
      </c>
      <c r="U42" s="1153"/>
      <c r="V42" s="1153"/>
      <c r="W42" s="1153"/>
      <c r="X42" s="1482"/>
      <c r="Y42" s="1153"/>
      <c r="Z42" s="1465"/>
      <c r="AA42" s="421"/>
      <c r="AB42" s="266" t="s">
        <v>323</v>
      </c>
      <c r="AC42" s="425" t="s">
        <v>1137</v>
      </c>
      <c r="AD42" s="267" t="s">
        <v>784</v>
      </c>
      <c r="AE42" s="265"/>
      <c r="AF42" s="196"/>
      <c r="AG42" s="196"/>
      <c r="AH42" s="196"/>
      <c r="AI42" s="196"/>
      <c r="AJ42" s="196"/>
      <c r="AK42" s="167"/>
      <c r="AL42" s="421"/>
      <c r="AM42" s="421"/>
      <c r="AN42" s="980" t="s">
        <v>1138</v>
      </c>
      <c r="AO42" s="1253"/>
      <c r="AP42" s="1253"/>
      <c r="AQ42" s="1161"/>
      <c r="AR42" s="1161"/>
    </row>
    <row s="1621" customFormat="1" customHeight="1" ht="32.25">
      <c r="A43" s="88"/>
      <c r="B43" s="401"/>
      <c r="C43" s="88"/>
      <c r="D43" s="88"/>
      <c r="E43" s="597">
        <v>33.75</v>
      </c>
      <c r="F43" s="1202" cm="1" t="str">
        <f t="array" ref="F43:F43">OFFSET(E43,-1,1)</f>
        <v>1</v>
      </c>
      <c r="G43" s="88" t="s">
        <v>329</v>
      </c>
      <c r="H43" s="88"/>
      <c r="I43" s="88"/>
      <c r="J43" s="88"/>
      <c r="K43" s="88"/>
      <c r="L43" s="88"/>
      <c r="M43" s="88"/>
      <c r="N43" s="88"/>
      <c r="O43" s="88"/>
      <c r="P43" s="88"/>
      <c r="Q43" s="88"/>
      <c r="R43" s="88"/>
      <c r="S43" s="88"/>
      <c r="T43" s="439" cm="1" t="str">
        <f t="array" ref="T43:T43">T42</f>
        <v>true</v>
      </c>
      <c r="U43" s="88"/>
      <c r="V43" s="88"/>
      <c r="W43" s="88"/>
      <c r="X43" s="1482"/>
      <c r="Y43" s="88"/>
      <c r="Z43" s="1465"/>
      <c r="AA43" s="421"/>
      <c r="AB43" s="868">
        <v>4</v>
      </c>
      <c r="AC43" s="425" t="s">
        <v>1139</v>
      </c>
      <c r="AD43" s="267" t="s">
        <v>784</v>
      </c>
      <c r="AE43" s="754">
        <f>_xlfn.SUMIFS(ФОТ!AE$25:AE$102,ФОТ!$F$25:$F$102,$F43,ФОТ!$G$25:$G$102,"СП")+_xlfn.SUMIFS(ФОТ!AE$25:AE$102,ФОТ!$F$25:$F$102,$F43,ФОТ!$G$25:$G$102,"СОЦ_СП")</f>
        <v>0</v>
      </c>
      <c r="AF43" s="754">
        <f>_xlfn.SUMIFS(ФОТ!AF$25:AF$102,ФОТ!$F$25:$F$102,$F43,ФОТ!$G$25:$G$102,"СП")+_xlfn.SUMIFS(ФОТ!AF$25:AF$102,ФОТ!$F$25:$F$102,$F43,ФОТ!$G$25:$G$102,"СОЦ_СП")</f>
        <v>0</v>
      </c>
      <c r="AG43" s="754">
        <f>_xlfn.SUMIFS(ФОТ!AG$25:AG$102,ФОТ!$F$25:$F$102,$F43,ФОТ!$G$25:$G$102,"СП")+_xlfn.SUMIFS(ФОТ!AG$25:AG$102,ФОТ!$F$25:$F$102,$F43,ФОТ!$G$25:$G$102,"СОЦ_СП")</f>
        <v>0</v>
      </c>
      <c r="AH43" s="754">
        <f>_xlfn.SUMIFS(ФОТ!AH$25:AH$102,ФОТ!$F$25:$F$102,$F43,ФОТ!$G$25:$G$102,"СП")+_xlfn.SUMIFS(ФОТ!AH$25:AH$102,ФОТ!$F$25:$F$102,$F43,ФОТ!$G$25:$G$102,"СОЦ_СП")</f>
        <v>0</v>
      </c>
      <c r="AI43" s="754">
        <f>_xlfn.SUMIFS(ФОТ!AI$25:AI$102,ФОТ!$F$25:$F$102,$F43,ФОТ!$G$25:$G$102,"СП")+_xlfn.SUMIFS(ФОТ!AI$25:AI$102,ФОТ!$F$25:$F$102,$F43,ФОТ!$G$25:$G$102,"СОЦ_СП")</f>
        <v>0</v>
      </c>
      <c r="AJ43" s="754">
        <f>_xlfn.SUMIFS(ФОТ!AJ$25:AJ$102,ФОТ!$F$25:$F$102,$F43,ФОТ!$G$25:$G$102,"СП")+_xlfn.SUMIFS(ФОТ!AJ$25:AJ$102,ФОТ!$F$25:$F$102,$F43,ФОТ!$G$25:$G$102,"СОЦ_СП")</f>
        <v>0</v>
      </c>
      <c r="AK43" s="167"/>
      <c r="AL43" s="421"/>
      <c r="AM43" s="1621"/>
      <c r="AN43" s="1032" t="s">
        <v>1140</v>
      </c>
      <c r="AO43" s="1032"/>
      <c r="AP43" s="1032"/>
      <c r="AQ43" s="651"/>
      <c r="AR43" s="651"/>
    </row>
    <row s="1621" customFormat="1" customHeight="1" ht="32.25">
      <c r="A44" s="1153"/>
      <c r="B44" s="1160"/>
      <c r="C44" s="1153"/>
      <c r="D44" s="1153"/>
      <c r="E44" s="597">
        <v>33.75</v>
      </c>
      <c r="F44" s="50" cm="1" t="str">
        <f t="array" ref="F44:F44">OFFSET(E44,-1,1)</f>
        <v>1</v>
      </c>
      <c r="G44" s="88" t="s">
        <v>328</v>
      </c>
      <c r="H44" s="1153"/>
      <c r="I44" s="1153"/>
      <c r="J44" s="1153"/>
      <c r="K44" s="1153"/>
      <c r="L44" s="1153"/>
      <c r="M44" s="1153"/>
      <c r="N44" s="1153"/>
      <c r="O44" s="1153"/>
      <c r="P44" s="1153"/>
      <c r="Q44" s="1153"/>
      <c r="R44" s="1153"/>
      <c r="S44" s="1153"/>
      <c r="T44" s="439" cm="1" t="str">
        <f t="array" ref="T44:T44">T43</f>
        <v>true</v>
      </c>
      <c r="U44" s="1153"/>
      <c r="V44" s="1153"/>
      <c r="W44" s="1153"/>
      <c r="X44" s="1482"/>
      <c r="Y44" s="1153"/>
      <c r="Z44" s="1465"/>
      <c r="AA44" s="421"/>
      <c r="AB44" s="266" t="s">
        <v>492</v>
      </c>
      <c r="AC44" s="425" t="s">
        <v>1141</v>
      </c>
      <c r="AD44" s="267" t="s">
        <v>784</v>
      </c>
      <c r="AE44" s="265"/>
      <c r="AF44" s="265"/>
      <c r="AG44" s="265"/>
      <c r="AH44" s="265"/>
      <c r="AI44" s="265"/>
      <c r="AJ44" s="265"/>
      <c r="AK44" s="167"/>
      <c r="AL44" s="421"/>
      <c r="AM44" s="421"/>
      <c r="AN44" s="980" t="s">
        <v>1123</v>
      </c>
      <c r="AO44" s="1253"/>
      <c r="AP44" s="1253"/>
      <c r="AQ44" s="1161"/>
      <c r="AR44" s="1161"/>
    </row>
    <row s="1621" customFormat="1" customHeight="1" ht="21.75">
      <c r="A45" s="1153"/>
      <c r="B45" s="1160"/>
      <c r="C45" s="1153"/>
      <c r="D45" s="1153"/>
      <c r="E45" s="597">
        <v>22.5</v>
      </c>
      <c r="F45" s="50" cm="1" t="str">
        <f t="array" ref="F45:F45">OFFSET(E45,-1,1)</f>
        <v>1</v>
      </c>
      <c r="G45" s="88" t="s">
        <v>491</v>
      </c>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465"/>
      <c r="AA45" s="421"/>
      <c r="AB45" s="266" t="s">
        <v>496</v>
      </c>
      <c r="AC45" s="425" t="s">
        <v>1142</v>
      </c>
      <c r="AD45" s="267" t="s">
        <v>784</v>
      </c>
      <c r="AE45" s="265"/>
      <c r="AF45" s="265"/>
      <c r="AG45" s="265"/>
      <c r="AH45" s="265"/>
      <c r="AI45" s="265"/>
      <c r="AJ45" s="265"/>
      <c r="AK45" s="167"/>
      <c r="AL45" s="421"/>
      <c r="AM45" s="421"/>
      <c r="AN45" s="980" t="s">
        <v>1109</v>
      </c>
      <c r="AO45" s="1253"/>
      <c r="AP45" s="1253"/>
      <c r="AQ45" s="1161"/>
      <c r="AR45" s="1161"/>
    </row>
    <row s="1621" customFormat="1" customHeight="1" ht="43.5">
      <c r="A46" s="1153"/>
      <c r="B46" s="1160"/>
      <c r="C46" s="1153"/>
      <c r="D46" s="1153"/>
      <c r="E46" s="597">
        <v>45</v>
      </c>
      <c r="F46" s="50" cm="1" t="str">
        <f t="array" ref="F46:F46">OFFSET(E46,-1,1)</f>
        <v>1</v>
      </c>
      <c r="G46" s="88" t="s">
        <v>495</v>
      </c>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465"/>
      <c r="AA46" s="421"/>
      <c r="AB46" s="266" t="s">
        <v>557</v>
      </c>
      <c r="AC46" s="425" t="s">
        <v>1143</v>
      </c>
      <c r="AD46" s="267" t="s">
        <v>784</v>
      </c>
      <c r="AE46" s="265"/>
      <c r="AF46" s="265"/>
      <c r="AG46" s="265"/>
      <c r="AH46" s="265"/>
      <c r="AI46" s="265"/>
      <c r="AJ46" s="265"/>
      <c r="AK46" s="167"/>
      <c r="AL46" s="421"/>
      <c r="AM46" s="421"/>
      <c r="AN46" s="980" t="s">
        <v>1144</v>
      </c>
      <c r="AO46" s="1253"/>
      <c r="AP46" s="1253"/>
      <c r="AQ46" s="1161"/>
      <c r="AR46" s="1161"/>
    </row>
    <row s="1621" customFormat="1" customHeight="1" ht="43.5">
      <c r="A47" s="1153"/>
      <c r="B47" s="1160"/>
      <c r="C47" s="1153"/>
      <c r="D47" s="1153"/>
      <c r="E47" s="597">
        <v>45</v>
      </c>
      <c r="F47" s="50" cm="1" t="str">
        <f t="array" ref="F47:F47">OFFSET(E47,-1,1)</f>
        <v>1</v>
      </c>
      <c r="G47" s="88" t="s">
        <v>541</v>
      </c>
      <c r="H47" s="1153"/>
      <c r="I47" s="1153"/>
      <c r="J47" s="1153"/>
      <c r="K47" s="1153"/>
      <c r="L47" s="1153"/>
      <c r="M47" s="1153"/>
      <c r="N47" s="1153"/>
      <c r="O47" s="1153"/>
      <c r="P47" s="1153"/>
      <c r="Q47" s="1153"/>
      <c r="R47" s="1153"/>
      <c r="S47" s="1153"/>
      <c r="T47" s="439" cm="1" t="str">
        <f t="array" ref="T47:T47">T46</f>
        <v>true</v>
      </c>
      <c r="U47" s="1153"/>
      <c r="V47" s="1153"/>
      <c r="W47" s="1153"/>
      <c r="X47" s="1482"/>
      <c r="Y47" s="1153"/>
      <c r="Z47" s="1465"/>
      <c r="AA47" s="421"/>
      <c r="AB47" s="266" t="s">
        <v>565</v>
      </c>
      <c r="AC47" s="425" t="s">
        <v>1145</v>
      </c>
      <c r="AD47" s="267" t="s">
        <v>784</v>
      </c>
      <c r="AE47" s="265"/>
      <c r="AF47" s="265"/>
      <c r="AG47" s="265"/>
      <c r="AH47" s="265"/>
      <c r="AI47" s="265"/>
      <c r="AJ47" s="265"/>
      <c r="AK47" s="167"/>
      <c r="AL47" s="421"/>
      <c r="AM47" s="421"/>
      <c r="AN47" s="980" t="s">
        <v>1146</v>
      </c>
      <c r="AO47" s="1253"/>
      <c r="AP47" s="1253"/>
      <c r="AQ47" s="1161"/>
      <c r="AR47" s="1161"/>
    </row>
    <row s="1621" customFormat="1" customHeight="1" ht="14.25">
      <c r="A48" s="1153"/>
      <c r="B48" s="1160"/>
      <c r="C48" s="1153"/>
      <c r="D48" s="1153"/>
      <c r="E48" s="597">
        <v>15</v>
      </c>
      <c r="F48" s="50" cm="1" t="str">
        <f t="array" ref="F48:F48">OFFSET(E48,-1,1)</f>
        <v>1</v>
      </c>
      <c r="G48" s="88" t="s">
        <v>556</v>
      </c>
      <c r="H48" s="1153"/>
      <c r="I48" s="1153"/>
      <c r="J48" s="1153"/>
      <c r="K48" s="1153"/>
      <c r="L48" s="1153"/>
      <c r="M48" s="1153"/>
      <c r="N48" s="1153"/>
      <c r="O48" s="1153"/>
      <c r="P48" s="1153"/>
      <c r="Q48" s="1153"/>
      <c r="R48" s="1153"/>
      <c r="S48" s="1153"/>
      <c r="T48" s="439" cm="1" t="str">
        <f t="array" ref="T48:T48">T47</f>
        <v>true</v>
      </c>
      <c r="U48" s="1153"/>
      <c r="V48" s="1153"/>
      <c r="W48" s="1153"/>
      <c r="X48" s="1482"/>
      <c r="Y48" s="1153"/>
      <c r="Z48" s="1465"/>
      <c r="AA48" s="421"/>
      <c r="AB48" s="323">
        <v>9</v>
      </c>
      <c r="AC48" s="425" t="s">
        <v>1147</v>
      </c>
      <c r="AD48" s="267" t="s">
        <v>784</v>
      </c>
      <c r="AE48" s="202">
        <f>SUM(AE49:AE50)</f>
        <v>0</v>
      </c>
      <c r="AF48" s="202">
        <f>SUM(AF49:AF50)</f>
        <v>0</v>
      </c>
      <c r="AG48" s="202">
        <f>SUM(AG49:AG50)</f>
        <v>0</v>
      </c>
      <c r="AH48" s="202">
        <f>SUM(AH49:AH50)</f>
        <v>0</v>
      </c>
      <c r="AI48" s="202">
        <f>SUM(AI49:AI50)</f>
        <v>0</v>
      </c>
      <c r="AJ48" s="202">
        <f>SUM(AJ49:AJ50)</f>
        <v>0</v>
      </c>
      <c r="AK48" s="167"/>
      <c r="AL48" s="421"/>
      <c r="AM48" s="421"/>
      <c r="AN48" s="980" t="s">
        <v>389</v>
      </c>
      <c r="AO48" s="1253"/>
      <c r="AP48" s="1253"/>
      <c r="AQ48" s="1161"/>
      <c r="AR48" s="1161"/>
    </row>
    <row s="1621" customFormat="1" customHeight="1" ht="14.25" hidden="1">
      <c r="A49" s="1153"/>
      <c r="B49" s="1160"/>
      <c r="C49" s="1153"/>
      <c r="D49" s="1153"/>
      <c r="E49" s="597">
        <v>15</v>
      </c>
      <c r="F49" s="50" cm="1" t="str">
        <f t="array" ref="F49:F49">OFFSET(E49,-1,1)</f>
        <v>1</v>
      </c>
      <c r="G49" s="88" t="s">
        <v>556</v>
      </c>
      <c r="H49" s="88" cm="1" t="str">
        <f t="array" ref="H49:H49">AC49</f>
        <v>0</v>
      </c>
      <c r="I49" s="1153"/>
      <c r="J49" s="1153"/>
      <c r="K49" s="1153"/>
      <c r="L49" s="1153"/>
      <c r="M49" s="1153"/>
      <c r="N49" s="1153"/>
      <c r="O49" s="1153"/>
      <c r="P49" s="1153"/>
      <c r="Q49" s="1153"/>
      <c r="R49" s="1153"/>
      <c r="S49" s="1153"/>
      <c r="T49" s="439">
        <f>AND(F49&gt;0,Y49&gt;0)</f>
        <v>0</v>
      </c>
      <c r="U49" s="1153"/>
      <c r="V49" s="1153"/>
      <c r="W49" s="738" t="s">
        <v>173</v>
      </c>
      <c r="X49" s="1482"/>
      <c r="Y49" s="88">
        <v>0</v>
      </c>
      <c r="Z49" s="1465"/>
      <c r="AA49" s="393" t="s">
        <v>174</v>
      </c>
      <c r="AB49" s="670" t="str">
        <f>"9."&amp;Y49</f>
        <v>9.0</v>
      </c>
      <c r="AC49" s="3046"/>
      <c r="AD49" s="267" t="s">
        <v>784</v>
      </c>
      <c r="AE49" s="3044"/>
      <c r="AF49" s="3044"/>
      <c r="AG49" s="3044"/>
      <c r="AH49" s="3044"/>
      <c r="AI49" s="265"/>
      <c r="AJ49" s="265"/>
      <c r="AK49" s="1887"/>
      <c r="AL49" s="421"/>
      <c r="AM49" s="421"/>
      <c r="AN49" s="980" t="s">
        <v>389</v>
      </c>
      <c r="AO49" s="980" t="s">
        <v>1148</v>
      </c>
      <c r="AP49" s="980" cm="1" t="str">
        <f t="array" ref="AP49:AP49">AC49</f>
        <v>0</v>
      </c>
      <c r="AQ49" s="1161"/>
      <c r="AR49" s="597" t="b">
        <v>1</v>
      </c>
    </row>
    <row s="1621" customFormat="1" customHeight="1" ht="14.25">
      <c r="A50" s="112"/>
      <c r="B50" s="402"/>
      <c r="C50" s="112"/>
      <c r="D50" s="112"/>
      <c r="E50" s="234">
        <v>15</v>
      </c>
      <c r="F50" s="50" cm="1" t="str">
        <f t="array" ref="F50:F50">OFFSET(E50,-1,1)</f>
        <v>1</v>
      </c>
      <c r="G50" s="112"/>
      <c r="H50" s="118" t="str">
        <f>"!=='не определено'"</f>
        <v>!=='не определено'</v>
      </c>
      <c r="I50" s="112"/>
      <c r="J50" s="112"/>
      <c r="K50" s="112"/>
      <c r="L50" s="112"/>
      <c r="M50" s="112"/>
      <c r="N50" s="112"/>
      <c r="O50" s="112"/>
      <c r="P50" s="112"/>
      <c r="Q50" s="112"/>
      <c r="R50" s="112"/>
      <c r="S50" s="112"/>
      <c r="T50" s="439">
        <f>F50&gt;0</f>
        <v>1</v>
      </c>
      <c r="U50" s="112"/>
      <c r="V50" s="112"/>
      <c r="W50" s="738" t="s">
        <v>780</v>
      </c>
      <c r="X50" s="1482"/>
      <c r="Y50" s="112"/>
      <c r="Z50" s="1465"/>
      <c r="AA50" s="112"/>
      <c r="AB50" s="198"/>
      <c r="AC50" s="199" t="s">
        <v>177</v>
      </c>
      <c r="AD50" s="199"/>
      <c r="AE50" s="199"/>
      <c r="AF50" s="199"/>
      <c r="AG50" s="199"/>
      <c r="AH50" s="199"/>
      <c r="AI50" s="199"/>
      <c r="AJ50" s="199"/>
      <c r="AK50" s="200"/>
      <c r="AL50" s="112"/>
      <c r="AM50" s="421"/>
      <c r="AN50" s="1253"/>
      <c r="AO50" s="1253"/>
      <c r="AP50" s="1253"/>
      <c r="AQ50" s="597" t="s">
        <v>1148</v>
      </c>
      <c r="AR50" s="1161"/>
    </row>
    <row s="1621" customFormat="1" customHeight="1" ht="14.25">
      <c r="A51" s="1153"/>
      <c r="B51" s="1160"/>
      <c r="C51" s="1153"/>
      <c r="D51" s="1153"/>
      <c r="E51" s="597">
        <v>15</v>
      </c>
      <c r="F51" s="64" cm="1" t="str">
        <f t="array" ref="F51:F51">X51</f>
        <v>2</v>
      </c>
      <c r="G51" s="88" t="s">
        <v>1132</v>
      </c>
      <c r="H51" s="1153"/>
      <c r="I51" s="1153"/>
      <c r="J51" s="1153"/>
      <c r="K51" s="1153"/>
      <c r="L51" s="1153"/>
      <c r="M51" s="1153"/>
      <c r="N51" s="1153"/>
      <c r="O51" s="1153"/>
      <c r="P51" s="1153"/>
      <c r="Q51" s="1153"/>
      <c r="R51" s="1153"/>
      <c r="S51" s="1153"/>
      <c r="T51" s="439">
        <f>X51&gt;0</f>
        <v>1</v>
      </c>
      <c r="U51" s="1153"/>
      <c r="V51" s="88" cm="1" t="str">
        <f t="array" ref="V51:V51">Административные!$AB$65</f>
        <v>Тариф 2 (Водоотведение) - тариф на водоотведение (Оказание услуг на территории: Прокопьевский муниципальный округ (ОКТМО: 32522000) - п Калачево)</v>
      </c>
      <c r="W51" s="1153"/>
      <c r="X51" s="1482" t="s">
        <v>283</v>
      </c>
      <c r="Y51" s="1153"/>
      <c r="Z51" s="1465"/>
      <c r="AA51" s="421"/>
      <c r="AB51" s="189" cm="1" t="str">
        <f t="array" ref="AB51:AB51">Административные!$AB$65</f>
        <v>Тариф 2 (Водоотведение) - тариф на водоотведение (Оказание услуг на территории: Прокопьевский муниципальный округ (ОКТМО: 32522000) - п Калачево)</v>
      </c>
      <c r="AC51" s="147"/>
      <c r="AD51" s="147"/>
      <c r="AE51" s="273">
        <f>SUM(AE52:AE60)</f>
        <v>0</v>
      </c>
      <c r="AF51" s="273">
        <f>SUM(AF52:AF60)</f>
        <v>0</v>
      </c>
      <c r="AG51" s="273">
        <f>SUM(AG52:AG60)</f>
        <v>0</v>
      </c>
      <c r="AH51" s="273">
        <f>SUM(AH52:AH60)</f>
        <v>0</v>
      </c>
      <c r="AI51" s="273">
        <f>SUM(AI52:AI60)</f>
        <v>0</v>
      </c>
      <c r="AJ51" s="273">
        <f>SUM(AJ52:AJ60)</f>
        <v>0</v>
      </c>
      <c r="AK51" s="191"/>
      <c r="AL51" s="421"/>
      <c r="AM51" s="421"/>
      <c r="AN51" s="1253"/>
      <c r="AO51" s="1253"/>
      <c r="AP51" s="1253"/>
      <c r="AQ51" s="1161"/>
      <c r="AR51" s="1161"/>
    </row>
    <row s="1621" customFormat="1" customHeight="1" ht="21.75">
      <c r="A52" s="1153"/>
      <c r="B52" s="1160"/>
      <c r="C52" s="1153"/>
      <c r="D52" s="1153"/>
      <c r="E52" s="597">
        <v>22.5</v>
      </c>
      <c r="F52" s="50" cm="1" t="str">
        <f t="array" ref="F52:F52">OFFSET(E52,-1,1)</f>
        <v>2</v>
      </c>
      <c r="G52" s="88" t="s">
        <v>325</v>
      </c>
      <c r="H52" s="1153"/>
      <c r="I52" s="1153"/>
      <c r="J52" s="1153"/>
      <c r="K52" s="90" t="str">
        <f>F52&amp;"komm"</f>
        <v>2komm</v>
      </c>
      <c r="L52" s="901" cm="1" t="str">
        <f t="array" ref="L52:L52">AK52</f>
        <v>0</v>
      </c>
      <c r="M52" s="1153"/>
      <c r="N52" s="1153"/>
      <c r="O52" s="1153"/>
      <c r="P52" s="1153"/>
      <c r="Q52" s="1153"/>
      <c r="R52" s="1153"/>
      <c r="S52" s="1153"/>
      <c r="T52" s="439" cm="1" t="str">
        <f t="array" ref="T52:T52">T51</f>
        <v>true</v>
      </c>
      <c r="U52" s="1153"/>
      <c r="V52" s="1153"/>
      <c r="W52" s="1153"/>
      <c r="X52" s="1482"/>
      <c r="Y52" s="1153"/>
      <c r="Z52" s="1465"/>
      <c r="AA52" s="421"/>
      <c r="AB52" s="266" t="s">
        <v>272</v>
      </c>
      <c r="AC52" s="425" t="s">
        <v>1133</v>
      </c>
      <c r="AD52" s="267" t="s">
        <v>784</v>
      </c>
      <c r="AE52" s="265"/>
      <c r="AF52" s="196"/>
      <c r="AG52" s="196"/>
      <c r="AH52" s="196"/>
      <c r="AI52" s="196"/>
      <c r="AJ52" s="196"/>
      <c r="AK52" s="167"/>
      <c r="AL52" s="421"/>
      <c r="AM52" s="421"/>
      <c r="AN52" s="980" t="s">
        <v>1134</v>
      </c>
      <c r="AO52" s="1253"/>
      <c r="AP52" s="1253"/>
      <c r="AQ52" s="1161"/>
      <c r="AR52" s="1161"/>
    </row>
    <row s="1621" customFormat="1" customHeight="1" ht="21.75">
      <c r="A53" s="1153"/>
      <c r="B53" s="1160"/>
      <c r="C53" s="1153"/>
      <c r="D53" s="1153"/>
      <c r="E53" s="597">
        <v>22.5</v>
      </c>
      <c r="F53" s="50" cm="1" t="str">
        <f t="array" ref="F53:F53">OFFSET(E53,-1,1)</f>
        <v>2</v>
      </c>
      <c r="G53" s="88" t="s">
        <v>326</v>
      </c>
      <c r="H53" s="1153"/>
      <c r="I53" s="1153"/>
      <c r="J53" s="1153"/>
      <c r="K53" s="1153"/>
      <c r="L53" s="1153"/>
      <c r="M53" s="1153"/>
      <c r="N53" s="1153"/>
      <c r="O53" s="1153"/>
      <c r="P53" s="1153"/>
      <c r="Q53" s="1153"/>
      <c r="R53" s="1153"/>
      <c r="S53" s="1153"/>
      <c r="T53" s="439" cm="1" t="str">
        <f t="array" ref="T53:T53">T52</f>
        <v>true</v>
      </c>
      <c r="U53" s="1153"/>
      <c r="V53" s="1153"/>
      <c r="W53" s="1153"/>
      <c r="X53" s="1482"/>
      <c r="Y53" s="1153"/>
      <c r="Z53" s="1465"/>
      <c r="AA53" s="421"/>
      <c r="AB53" s="266" t="s">
        <v>283</v>
      </c>
      <c r="AC53" s="425" t="s">
        <v>1135</v>
      </c>
      <c r="AD53" s="267" t="s">
        <v>784</v>
      </c>
      <c r="AE53" s="265"/>
      <c r="AF53" s="196"/>
      <c r="AG53" s="196"/>
      <c r="AH53" s="196"/>
      <c r="AI53" s="196"/>
      <c r="AJ53" s="196"/>
      <c r="AK53" s="167"/>
      <c r="AL53" s="421"/>
      <c r="AM53" s="421"/>
      <c r="AN53" s="980" t="s">
        <v>1136</v>
      </c>
      <c r="AO53" s="1253"/>
      <c r="AP53" s="1253"/>
      <c r="AQ53" s="1161"/>
      <c r="AR53" s="1161"/>
    </row>
    <row s="1621" customFormat="1" customHeight="1" ht="21.75">
      <c r="A54" s="1153"/>
      <c r="B54" s="1160"/>
      <c r="C54" s="1153"/>
      <c r="D54" s="1153"/>
      <c r="E54" s="597">
        <v>22.5</v>
      </c>
      <c r="F54" s="50" cm="1" t="str">
        <f t="array" ref="F54:F54">OFFSET(E54,-1,1)</f>
        <v>2</v>
      </c>
      <c r="G54" s="88" t="s">
        <v>327</v>
      </c>
      <c r="H54" s="1153"/>
      <c r="I54" s="1153"/>
      <c r="J54" s="1153"/>
      <c r="K54" s="1153"/>
      <c r="L54" s="1153"/>
      <c r="M54" s="1153"/>
      <c r="N54" s="1153"/>
      <c r="O54" s="1153"/>
      <c r="P54" s="1153"/>
      <c r="Q54" s="1153"/>
      <c r="R54" s="1153"/>
      <c r="S54" s="1153"/>
      <c r="T54" s="439" cm="1" t="str">
        <f t="array" ref="T54:T54">T53</f>
        <v>true</v>
      </c>
      <c r="U54" s="1153"/>
      <c r="V54" s="1153"/>
      <c r="W54" s="1153"/>
      <c r="X54" s="1482"/>
      <c r="Y54" s="1153"/>
      <c r="Z54" s="1465"/>
      <c r="AA54" s="421"/>
      <c r="AB54" s="266" t="s">
        <v>323</v>
      </c>
      <c r="AC54" s="425" t="s">
        <v>1137</v>
      </c>
      <c r="AD54" s="267" t="s">
        <v>784</v>
      </c>
      <c r="AE54" s="265"/>
      <c r="AF54" s="196"/>
      <c r="AG54" s="196"/>
      <c r="AH54" s="196"/>
      <c r="AI54" s="196"/>
      <c r="AJ54" s="196"/>
      <c r="AK54" s="167"/>
      <c r="AL54" s="421"/>
      <c r="AM54" s="421"/>
      <c r="AN54" s="980" t="s">
        <v>1138</v>
      </c>
      <c r="AO54" s="1253"/>
      <c r="AP54" s="1253"/>
      <c r="AQ54" s="1161"/>
      <c r="AR54" s="1161"/>
    </row>
    <row s="1621" customFormat="1" customHeight="1" ht="32.25">
      <c r="A55" s="88"/>
      <c r="B55" s="401"/>
      <c r="C55" s="88"/>
      <c r="D55" s="88"/>
      <c r="E55" s="597">
        <v>33.75</v>
      </c>
      <c r="F55" s="1202" cm="1" t="str">
        <f t="array" ref="F55:F55">OFFSET(E55,-1,1)</f>
        <v>2</v>
      </c>
      <c r="G55" s="88" t="s">
        <v>329</v>
      </c>
      <c r="H55" s="88"/>
      <c r="I55" s="88"/>
      <c r="J55" s="88"/>
      <c r="K55" s="88"/>
      <c r="L55" s="88"/>
      <c r="M55" s="88"/>
      <c r="N55" s="88"/>
      <c r="O55" s="88"/>
      <c r="P55" s="88"/>
      <c r="Q55" s="88"/>
      <c r="R55" s="88"/>
      <c r="S55" s="88"/>
      <c r="T55" s="439" cm="1" t="str">
        <f t="array" ref="T55:T55">T54</f>
        <v>true</v>
      </c>
      <c r="U55" s="88"/>
      <c r="V55" s="88"/>
      <c r="W55" s="88"/>
      <c r="X55" s="1482"/>
      <c r="Y55" s="88"/>
      <c r="Z55" s="1465"/>
      <c r="AA55" s="421"/>
      <c r="AB55" s="868">
        <v>4</v>
      </c>
      <c r="AC55" s="425" t="s">
        <v>1139</v>
      </c>
      <c r="AD55" s="267" t="s">
        <v>784</v>
      </c>
      <c r="AE55" s="754">
        <f>_xlfn.SUMIFS(ФОТ!AE$25:AE$102,ФОТ!$F$25:$F$102,$F55,ФОТ!$G$25:$G$102,"СП")+_xlfn.SUMIFS(ФОТ!AE$25:AE$102,ФОТ!$F$25:$F$102,$F55,ФОТ!$G$25:$G$102,"СОЦ_СП")</f>
        <v>0</v>
      </c>
      <c r="AF55" s="754">
        <f>_xlfn.SUMIFS(ФОТ!AF$25:AF$102,ФОТ!$F$25:$F$102,$F55,ФОТ!$G$25:$G$102,"СП")+_xlfn.SUMIFS(ФОТ!AF$25:AF$102,ФОТ!$F$25:$F$102,$F55,ФОТ!$G$25:$G$102,"СОЦ_СП")</f>
        <v>0</v>
      </c>
      <c r="AG55" s="754">
        <f>_xlfn.SUMIFS(ФОТ!AG$25:AG$102,ФОТ!$F$25:$F$102,$F55,ФОТ!$G$25:$G$102,"СП")+_xlfn.SUMIFS(ФОТ!AG$25:AG$102,ФОТ!$F$25:$F$102,$F55,ФОТ!$G$25:$G$102,"СОЦ_СП")</f>
        <v>0</v>
      </c>
      <c r="AH55" s="754">
        <f>_xlfn.SUMIFS(ФОТ!AH$25:AH$102,ФОТ!$F$25:$F$102,$F55,ФОТ!$G$25:$G$102,"СП")+_xlfn.SUMIFS(ФОТ!AH$25:AH$102,ФОТ!$F$25:$F$102,$F55,ФОТ!$G$25:$G$102,"СОЦ_СП")</f>
        <v>0</v>
      </c>
      <c r="AI55" s="754">
        <f>_xlfn.SUMIFS(ФОТ!AI$25:AI$102,ФОТ!$F$25:$F$102,$F55,ФОТ!$G$25:$G$102,"СП")+_xlfn.SUMIFS(ФОТ!AI$25:AI$102,ФОТ!$F$25:$F$102,$F55,ФОТ!$G$25:$G$102,"СОЦ_СП")</f>
        <v>0</v>
      </c>
      <c r="AJ55" s="754">
        <f>_xlfn.SUMIFS(ФОТ!AJ$25:AJ$102,ФОТ!$F$25:$F$102,$F55,ФОТ!$G$25:$G$102,"СП")+_xlfn.SUMIFS(ФОТ!AJ$25:AJ$102,ФОТ!$F$25:$F$102,$F55,ФОТ!$G$25:$G$102,"СОЦ_СП")</f>
        <v>0</v>
      </c>
      <c r="AK55" s="167"/>
      <c r="AL55" s="421"/>
      <c r="AM55" s="1621"/>
      <c r="AN55" s="1032" t="s">
        <v>1140</v>
      </c>
      <c r="AO55" s="1032"/>
      <c r="AP55" s="1032"/>
      <c r="AQ55" s="651"/>
      <c r="AR55" s="651"/>
    </row>
    <row s="1621" customFormat="1" customHeight="1" ht="32.25">
      <c r="A56" s="1153"/>
      <c r="B56" s="1160"/>
      <c r="C56" s="1153"/>
      <c r="D56" s="1153"/>
      <c r="E56" s="597">
        <v>33.75</v>
      </c>
      <c r="F56" s="50" cm="1" t="str">
        <f t="array" ref="F56:F56">OFFSET(E56,-1,1)</f>
        <v>2</v>
      </c>
      <c r="G56" s="88" t="s">
        <v>328</v>
      </c>
      <c r="H56" s="1153"/>
      <c r="I56" s="1153"/>
      <c r="J56" s="1153"/>
      <c r="K56" s="1153"/>
      <c r="L56" s="1153"/>
      <c r="M56" s="1153"/>
      <c r="N56" s="1153"/>
      <c r="O56" s="1153"/>
      <c r="P56" s="1153"/>
      <c r="Q56" s="1153"/>
      <c r="R56" s="1153"/>
      <c r="S56" s="1153"/>
      <c r="T56" s="439" cm="1" t="str">
        <f t="array" ref="T56:T56">T55</f>
        <v>true</v>
      </c>
      <c r="U56" s="1153"/>
      <c r="V56" s="1153"/>
      <c r="W56" s="1153"/>
      <c r="X56" s="1482"/>
      <c r="Y56" s="1153"/>
      <c r="Z56" s="1465"/>
      <c r="AA56" s="421"/>
      <c r="AB56" s="266" t="s">
        <v>492</v>
      </c>
      <c r="AC56" s="425" t="s">
        <v>1141</v>
      </c>
      <c r="AD56" s="267" t="s">
        <v>784</v>
      </c>
      <c r="AE56" s="265"/>
      <c r="AF56" s="265"/>
      <c r="AG56" s="265"/>
      <c r="AH56" s="265"/>
      <c r="AI56" s="265"/>
      <c r="AJ56" s="265"/>
      <c r="AK56" s="167"/>
      <c r="AL56" s="421"/>
      <c r="AM56" s="421"/>
      <c r="AN56" s="980" t="s">
        <v>1123</v>
      </c>
      <c r="AO56" s="1253"/>
      <c r="AP56" s="1253"/>
      <c r="AQ56" s="1161"/>
      <c r="AR56" s="1161"/>
    </row>
    <row s="1621" customFormat="1" customHeight="1" ht="21.75">
      <c r="A57" s="1153"/>
      <c r="B57" s="1160"/>
      <c r="C57" s="1153"/>
      <c r="D57" s="1153"/>
      <c r="E57" s="597">
        <v>22.5</v>
      </c>
      <c r="F57" s="50" cm="1" t="str">
        <f t="array" ref="F57:F57">OFFSET(E57,-1,1)</f>
        <v>2</v>
      </c>
      <c r="G57" s="88" t="s">
        <v>491</v>
      </c>
      <c r="H57" s="1153"/>
      <c r="I57" s="1153"/>
      <c r="J57" s="1153"/>
      <c r="K57" s="1153"/>
      <c r="L57" s="1153"/>
      <c r="M57" s="1153"/>
      <c r="N57" s="1153"/>
      <c r="O57" s="1153"/>
      <c r="P57" s="1153"/>
      <c r="Q57" s="1153"/>
      <c r="R57" s="1153"/>
      <c r="S57" s="1153"/>
      <c r="T57" s="439" cm="1" t="str">
        <f t="array" ref="T57:T57">T56</f>
        <v>true</v>
      </c>
      <c r="U57" s="1153"/>
      <c r="V57" s="1153"/>
      <c r="W57" s="1153"/>
      <c r="X57" s="1482"/>
      <c r="Y57" s="1153"/>
      <c r="Z57" s="1465"/>
      <c r="AA57" s="421"/>
      <c r="AB57" s="266" t="s">
        <v>496</v>
      </c>
      <c r="AC57" s="425" t="s">
        <v>1142</v>
      </c>
      <c r="AD57" s="267" t="s">
        <v>784</v>
      </c>
      <c r="AE57" s="265"/>
      <c r="AF57" s="265"/>
      <c r="AG57" s="265"/>
      <c r="AH57" s="265"/>
      <c r="AI57" s="265"/>
      <c r="AJ57" s="265"/>
      <c r="AK57" s="167"/>
      <c r="AL57" s="421"/>
      <c r="AM57" s="421"/>
      <c r="AN57" s="980" t="s">
        <v>1109</v>
      </c>
      <c r="AO57" s="1253"/>
      <c r="AP57" s="1253"/>
      <c r="AQ57" s="1161"/>
      <c r="AR57" s="1161"/>
    </row>
    <row s="1621" customFormat="1" customHeight="1" ht="43.5">
      <c r="A58" s="1153"/>
      <c r="B58" s="1160"/>
      <c r="C58" s="1153"/>
      <c r="D58" s="1153"/>
      <c r="E58" s="597">
        <v>45</v>
      </c>
      <c r="F58" s="50" cm="1" t="str">
        <f t="array" ref="F58:F58">OFFSET(E58,-1,1)</f>
        <v>2</v>
      </c>
      <c r="G58" s="88" t="s">
        <v>495</v>
      </c>
      <c r="H58" s="1153"/>
      <c r="I58" s="1153"/>
      <c r="J58" s="1153"/>
      <c r="K58" s="1153"/>
      <c r="L58" s="1153"/>
      <c r="M58" s="1153"/>
      <c r="N58" s="1153"/>
      <c r="O58" s="1153"/>
      <c r="P58" s="1153"/>
      <c r="Q58" s="1153"/>
      <c r="R58" s="1153"/>
      <c r="S58" s="1153"/>
      <c r="T58" s="439" cm="1" t="str">
        <f t="array" ref="T58:T58">T57</f>
        <v>true</v>
      </c>
      <c r="U58" s="1153"/>
      <c r="V58" s="1153"/>
      <c r="W58" s="1153"/>
      <c r="X58" s="1482"/>
      <c r="Y58" s="1153"/>
      <c r="Z58" s="1465"/>
      <c r="AA58" s="421"/>
      <c r="AB58" s="266" t="s">
        <v>557</v>
      </c>
      <c r="AC58" s="425" t="s">
        <v>1143</v>
      </c>
      <c r="AD58" s="267" t="s">
        <v>784</v>
      </c>
      <c r="AE58" s="265"/>
      <c r="AF58" s="265"/>
      <c r="AG58" s="265"/>
      <c r="AH58" s="265"/>
      <c r="AI58" s="265"/>
      <c r="AJ58" s="265"/>
      <c r="AK58" s="167"/>
      <c r="AL58" s="421"/>
      <c r="AM58" s="421"/>
      <c r="AN58" s="980" t="s">
        <v>1144</v>
      </c>
      <c r="AO58" s="1253"/>
      <c r="AP58" s="1253"/>
      <c r="AQ58" s="1161"/>
      <c r="AR58" s="1161"/>
    </row>
    <row s="1621" customFormat="1" customHeight="1" ht="43.5">
      <c r="A59" s="1153"/>
      <c r="B59" s="1160"/>
      <c r="C59" s="1153"/>
      <c r="D59" s="1153"/>
      <c r="E59" s="597">
        <v>45</v>
      </c>
      <c r="F59" s="50" cm="1" t="str">
        <f t="array" ref="F59:F59">OFFSET(E59,-1,1)</f>
        <v>2</v>
      </c>
      <c r="G59" s="88" t="s">
        <v>541</v>
      </c>
      <c r="H59" s="1153"/>
      <c r="I59" s="1153"/>
      <c r="J59" s="1153"/>
      <c r="K59" s="1153"/>
      <c r="L59" s="1153"/>
      <c r="M59" s="1153"/>
      <c r="N59" s="1153"/>
      <c r="O59" s="1153"/>
      <c r="P59" s="1153"/>
      <c r="Q59" s="1153"/>
      <c r="R59" s="1153"/>
      <c r="S59" s="1153"/>
      <c r="T59" s="439" cm="1" t="str">
        <f t="array" ref="T59:T59">T58</f>
        <v>true</v>
      </c>
      <c r="U59" s="1153"/>
      <c r="V59" s="1153"/>
      <c r="W59" s="1153"/>
      <c r="X59" s="1482"/>
      <c r="Y59" s="1153"/>
      <c r="Z59" s="1465"/>
      <c r="AA59" s="421"/>
      <c r="AB59" s="266" t="s">
        <v>565</v>
      </c>
      <c r="AC59" s="425" t="s">
        <v>1145</v>
      </c>
      <c r="AD59" s="267" t="s">
        <v>784</v>
      </c>
      <c r="AE59" s="265"/>
      <c r="AF59" s="265"/>
      <c r="AG59" s="265"/>
      <c r="AH59" s="265"/>
      <c r="AI59" s="265"/>
      <c r="AJ59" s="265"/>
      <c r="AK59" s="167"/>
      <c r="AL59" s="421"/>
      <c r="AM59" s="421"/>
      <c r="AN59" s="980" t="s">
        <v>1146</v>
      </c>
      <c r="AO59" s="1253"/>
      <c r="AP59" s="1253"/>
      <c r="AQ59" s="1161"/>
      <c r="AR59" s="1161"/>
    </row>
    <row s="1621" customFormat="1" customHeight="1" ht="14.25">
      <c r="A60" s="1153"/>
      <c r="B60" s="1160"/>
      <c r="C60" s="1153"/>
      <c r="D60" s="1153"/>
      <c r="E60" s="597">
        <v>15</v>
      </c>
      <c r="F60" s="50" cm="1" t="str">
        <f t="array" ref="F60:F60">OFFSET(E60,-1,1)</f>
        <v>2</v>
      </c>
      <c r="G60" s="88" t="s">
        <v>556</v>
      </c>
      <c r="H60" s="1153"/>
      <c r="I60" s="1153"/>
      <c r="J60" s="1153"/>
      <c r="K60" s="1153"/>
      <c r="L60" s="1153"/>
      <c r="M60" s="1153"/>
      <c r="N60" s="1153"/>
      <c r="O60" s="1153"/>
      <c r="P60" s="1153"/>
      <c r="Q60" s="1153"/>
      <c r="R60" s="1153"/>
      <c r="S60" s="1153"/>
      <c r="T60" s="439" cm="1" t="str">
        <f t="array" ref="T60:T60">T59</f>
        <v>true</v>
      </c>
      <c r="U60" s="1153"/>
      <c r="V60" s="1153"/>
      <c r="W60" s="1153"/>
      <c r="X60" s="1482"/>
      <c r="Y60" s="1153"/>
      <c r="Z60" s="1465"/>
      <c r="AA60" s="421"/>
      <c r="AB60" s="323">
        <v>9</v>
      </c>
      <c r="AC60" s="425" t="s">
        <v>1147</v>
      </c>
      <c r="AD60" s="267" t="s">
        <v>784</v>
      </c>
      <c r="AE60" s="202">
        <f>SUM(AE61:AE62)</f>
        <v>0</v>
      </c>
      <c r="AF60" s="202">
        <f>SUM(AF61:AF62)</f>
        <v>0</v>
      </c>
      <c r="AG60" s="202">
        <f>SUM(AG61:AG62)</f>
        <v>0</v>
      </c>
      <c r="AH60" s="202">
        <f>SUM(AH61:AH62)</f>
        <v>0</v>
      </c>
      <c r="AI60" s="202">
        <f>SUM(AI61:AI62)</f>
        <v>0</v>
      </c>
      <c r="AJ60" s="202">
        <f>SUM(AJ61:AJ62)</f>
        <v>0</v>
      </c>
      <c r="AK60" s="167"/>
      <c r="AL60" s="421"/>
      <c r="AM60" s="421"/>
      <c r="AN60" s="980" t="s">
        <v>389</v>
      </c>
      <c r="AO60" s="1253"/>
      <c r="AP60" s="1253"/>
      <c r="AQ60" s="1161"/>
      <c r="AR60" s="1161"/>
    </row>
    <row s="1621" customFormat="1" customHeight="1" ht="14.25" hidden="1">
      <c r="A61" s="1153"/>
      <c r="B61" s="1160"/>
      <c r="C61" s="1153"/>
      <c r="D61" s="1153"/>
      <c r="E61" s="597">
        <v>15</v>
      </c>
      <c r="F61" s="50" cm="1" t="str">
        <f t="array" ref="F61:F61">OFFSET(E61,-1,1)</f>
        <v>2</v>
      </c>
      <c r="G61" s="88" t="s">
        <v>556</v>
      </c>
      <c r="H61" s="88" cm="1" t="str">
        <f t="array" ref="H61:H61">AC61</f>
        <v>0</v>
      </c>
      <c r="I61" s="1153"/>
      <c r="J61" s="1153"/>
      <c r="K61" s="1153"/>
      <c r="L61" s="1153"/>
      <c r="M61" s="1153"/>
      <c r="N61" s="1153"/>
      <c r="O61" s="1153"/>
      <c r="P61" s="1153"/>
      <c r="Q61" s="1153"/>
      <c r="R61" s="1153"/>
      <c r="S61" s="1153"/>
      <c r="T61" s="439">
        <f>AND(F61&gt;0,Y61&gt;0)</f>
        <v>0</v>
      </c>
      <c r="U61" s="1153"/>
      <c r="V61" s="1153"/>
      <c r="W61" s="738" t="s">
        <v>173</v>
      </c>
      <c r="X61" s="1482"/>
      <c r="Y61" s="88">
        <v>0</v>
      </c>
      <c r="Z61" s="1465"/>
      <c r="AA61" s="393" t="s">
        <v>174</v>
      </c>
      <c r="AB61" s="670" t="str">
        <f>"9."&amp;Y61</f>
        <v>9.0</v>
      </c>
      <c r="AC61" s="3046"/>
      <c r="AD61" s="267" t="s">
        <v>784</v>
      </c>
      <c r="AE61" s="3044"/>
      <c r="AF61" s="3044"/>
      <c r="AG61" s="3044"/>
      <c r="AH61" s="3044"/>
      <c r="AI61" s="265"/>
      <c r="AJ61" s="265"/>
      <c r="AK61" s="1887"/>
      <c r="AL61" s="421"/>
      <c r="AM61" s="421"/>
      <c r="AN61" s="980" t="s">
        <v>389</v>
      </c>
      <c r="AO61" s="980" t="s">
        <v>1148</v>
      </c>
      <c r="AP61" s="980" cm="1" t="str">
        <f t="array" ref="AP61:AP61">AC61</f>
        <v>0</v>
      </c>
      <c r="AQ61" s="1161"/>
      <c r="AR61" s="597" t="b">
        <v>1</v>
      </c>
    </row>
    <row s="1621" customFormat="1" customHeight="1" ht="14.25">
      <c r="A62" s="112"/>
      <c r="B62" s="402"/>
      <c r="C62" s="112"/>
      <c r="D62" s="112"/>
      <c r="E62" s="234">
        <v>15</v>
      </c>
      <c r="F62" s="50" cm="1" t="str">
        <f t="array" ref="F62:F62">OFFSET(E62,-1,1)</f>
        <v>2</v>
      </c>
      <c r="G62" s="112"/>
      <c r="H62" s="118" t="str">
        <f>"!=='не определено'"</f>
        <v>!=='не определено'</v>
      </c>
      <c r="I62" s="112"/>
      <c r="J62" s="112"/>
      <c r="K62" s="112"/>
      <c r="L62" s="112"/>
      <c r="M62" s="112"/>
      <c r="N62" s="112"/>
      <c r="O62" s="112"/>
      <c r="P62" s="112"/>
      <c r="Q62" s="112"/>
      <c r="R62" s="112"/>
      <c r="S62" s="112"/>
      <c r="T62" s="439">
        <f>F62&gt;0</f>
        <v>1</v>
      </c>
      <c r="U62" s="112"/>
      <c r="V62" s="112"/>
      <c r="W62" s="738" t="s">
        <v>780</v>
      </c>
      <c r="X62" s="1482"/>
      <c r="Y62" s="112"/>
      <c r="Z62" s="1465"/>
      <c r="AA62" s="112"/>
      <c r="AB62" s="198"/>
      <c r="AC62" s="199" t="s">
        <v>177</v>
      </c>
      <c r="AD62" s="199"/>
      <c r="AE62" s="199"/>
      <c r="AF62" s="199"/>
      <c r="AG62" s="199"/>
      <c r="AH62" s="199"/>
      <c r="AI62" s="199"/>
      <c r="AJ62" s="199"/>
      <c r="AK62" s="200"/>
      <c r="AL62" s="112"/>
      <c r="AM62" s="421"/>
      <c r="AN62" s="1253"/>
      <c r="AO62" s="1253"/>
      <c r="AP62" s="1253"/>
      <c r="AQ62" s="597" t="s">
        <v>1148</v>
      </c>
      <c r="AR62" s="1161"/>
    </row>
    <row customHeight="1" ht="10.725000000000001">
      <c r="A63" s="0"/>
      <c r="B63" s="403"/>
      <c r="C63" s="0"/>
      <c r="D63" s="0"/>
      <c r="E63" s="597">
        <v>11</v>
      </c>
      <c r="F63" s="51"/>
      <c r="G63" s="0"/>
      <c r="H63" s="0"/>
      <c r="I63" s="0"/>
      <c r="J63" s="0"/>
      <c r="K63" s="0"/>
      <c r="L63" s="0"/>
      <c r="M63" s="0"/>
      <c r="N63" s="0"/>
      <c r="O63" s="0"/>
      <c r="P63" s="0"/>
      <c r="Q63" s="0"/>
      <c r="R63" s="0"/>
      <c r="S63" s="0"/>
      <c r="T63" s="0"/>
      <c r="U63" s="0" t="s">
        <v>177</v>
      </c>
      <c r="V63" s="106" t="s">
        <v>1149</v>
      </c>
      <c r="W63" s="0"/>
      <c r="X63" s="0"/>
      <c r="Y63" s="0"/>
      <c r="Z63" s="0"/>
      <c r="AA63" s="0"/>
      <c r="AB63" s="0"/>
      <c r="AC63" s="66"/>
      <c r="AD63" s="66"/>
      <c r="AE63" s="66"/>
      <c r="AF63" s="66"/>
      <c r="AG63" s="0"/>
      <c r="AH63" s="0"/>
      <c r="AI63" s="0"/>
      <c r="AJ63" s="0"/>
      <c r="AK63" s="0"/>
      <c r="AL63" s="0"/>
    </row>
    <row customHeight="1" ht="14.625">
      <c r="A64" s="64"/>
      <c r="B64" s="400"/>
      <c r="C64" s="64"/>
      <c r="D64" s="64"/>
      <c r="E64" s="611">
        <v>15</v>
      </c>
      <c r="F64" s="64"/>
      <c r="G64" s="64"/>
      <c r="H64" s="64"/>
      <c r="I64" s="64"/>
      <c r="J64" s="64"/>
      <c r="K64" s="64"/>
      <c r="L64" s="64"/>
      <c r="M64" s="64"/>
      <c r="N64" s="64"/>
      <c r="O64" s="64"/>
      <c r="P64" s="64"/>
      <c r="Q64" s="64"/>
      <c r="R64" s="64"/>
      <c r="S64" s="64"/>
      <c r="T64" s="64"/>
      <c r="U64" s="64"/>
      <c r="V64" s="64"/>
      <c r="W64" s="64"/>
      <c r="X64" s="64"/>
      <c r="Y64" s="64"/>
      <c r="Z64" s="64"/>
      <c r="AA64" s="64"/>
      <c r="AB64" s="1485" t="s">
        <v>398</v>
      </c>
      <c r="AC64" s="1485"/>
      <c r="AD64" s="1485"/>
      <c r="AE64" s="1485"/>
      <c r="AF64" s="1485"/>
      <c r="AG64" s="1485"/>
      <c r="AH64" s="1485"/>
      <c r="AI64" s="1559"/>
      <c r="AJ64" s="1559"/>
      <c r="AK64" s="1559"/>
      <c r="AL64" s="64"/>
    </row>
    <row customHeight="1" ht="14.625">
      <c r="A65" s="64"/>
      <c r="B65" s="400"/>
      <c r="C65" s="64"/>
      <c r="D65" s="64"/>
      <c r="E65" s="611">
        <v>15</v>
      </c>
      <c r="F65" s="64"/>
      <c r="G65" s="64"/>
      <c r="H65" s="64"/>
      <c r="I65" s="64"/>
      <c r="J65" s="64"/>
      <c r="K65" s="64"/>
      <c r="L65" s="64"/>
      <c r="M65" s="64"/>
      <c r="N65" s="64"/>
      <c r="O65" s="64"/>
      <c r="P65" s="64"/>
      <c r="Q65" s="64"/>
      <c r="R65" s="64"/>
      <c r="S65" s="64"/>
      <c r="U65" s="64"/>
      <c r="V65" s="64"/>
      <c r="W65" s="64"/>
      <c r="X65" s="64"/>
      <c r="Y65" s="64"/>
      <c r="Z65" s="64"/>
      <c r="AA65" s="424"/>
      <c r="AB65" s="1524"/>
      <c r="AC65" s="1524"/>
      <c r="AD65" s="1524"/>
      <c r="AE65" s="1524"/>
      <c r="AF65" s="1524"/>
      <c r="AG65" s="1524"/>
      <c r="AH65" s="1524"/>
      <c r="AI65" s="1558"/>
      <c r="AJ65" s="1558"/>
      <c r="AK65" s="1558"/>
      <c r="AL65" s="64"/>
    </row>
    <row customHeight="1" ht="14.625" hidden="1">
      <c r="A66" s="64"/>
      <c r="B66" s="400"/>
      <c r="C66" s="64"/>
      <c r="D66" s="64"/>
      <c r="E66" s="611">
        <v>15</v>
      </c>
      <c r="F66" s="64"/>
      <c r="G66" s="64"/>
      <c r="H66" s="64"/>
      <c r="I66" s="64"/>
      <c r="J66" s="64"/>
      <c r="K66" s="64"/>
      <c r="L66" s="64"/>
      <c r="M66" s="64"/>
      <c r="N66" s="64"/>
      <c r="O66" s="64"/>
      <c r="P66" s="64"/>
      <c r="Q66" s="64"/>
      <c r="R66" s="64"/>
      <c r="S66" s="64"/>
      <c r="T66" s="439">
        <f>ROW(W66)&gt;ROW(W$66)</f>
        <v>0</v>
      </c>
      <c r="U66" s="64"/>
      <c r="V66" s="64"/>
      <c r="W66" s="738" t="s">
        <v>173</v>
      </c>
      <c r="X66" s="64"/>
      <c r="Y66" s="64"/>
      <c r="Z66" s="64"/>
      <c r="AA66" s="393" t="s">
        <v>174</v>
      </c>
      <c r="AB66" s="2621" t="s">
        <v>222</v>
      </c>
      <c r="AC66" s="2621"/>
      <c r="AD66" s="2621"/>
      <c r="AE66" s="2621"/>
      <c r="AF66" s="2621"/>
      <c r="AG66" s="2621"/>
      <c r="AH66" s="2621"/>
      <c r="AI66" s="1558"/>
      <c r="AJ66" s="1558"/>
      <c r="AK66" s="3196"/>
      <c r="AL66" s="64"/>
      <c r="AM66" s="421"/>
      <c r="AN66" s="1253"/>
      <c r="AO66" s="1253"/>
      <c r="AP66" s="1253"/>
      <c r="AQ66" s="1161"/>
      <c r="AR66" s="1161"/>
    </row>
    <row s="1484" customFormat="1" customHeight="1" ht="14.625">
      <c r="A67" s="64"/>
      <c r="B67" s="400"/>
      <c r="C67" s="64"/>
      <c r="D67" s="64"/>
      <c r="E67" s="611">
        <v>15</v>
      </c>
      <c r="F67" s="64"/>
      <c r="G67" s="64"/>
      <c r="H67" s="64"/>
      <c r="I67" s="64"/>
      <c r="J67" s="64"/>
      <c r="K67" s="64"/>
      <c r="L67" s="64"/>
      <c r="M67" s="64"/>
      <c r="N67" s="64"/>
      <c r="O67" s="64"/>
      <c r="P67" s="64"/>
      <c r="Q67" s="64"/>
      <c r="R67" s="64"/>
      <c r="S67" s="64"/>
      <c r="T67" s="64"/>
      <c r="U67" s="64"/>
      <c r="V67" s="64"/>
      <c r="W67" s="738" t="s">
        <v>399</v>
      </c>
      <c r="X67" s="64"/>
      <c r="Y67" s="64"/>
      <c r="Z67" s="64"/>
      <c r="AA67" s="64"/>
      <c r="AB67" s="627"/>
      <c r="AC67" s="488" t="s">
        <v>400</v>
      </c>
      <c r="AD67" s="277"/>
      <c r="AE67" s="277"/>
      <c r="AF67" s="278"/>
      <c r="AG67" s="278"/>
      <c r="AH67" s="278"/>
      <c r="AI67" s="278"/>
      <c r="AJ67" s="278"/>
      <c r="AK67" s="279"/>
      <c r="AL67" s="64"/>
      <c r="AN67" s="1014"/>
      <c r="AO67" s="1014"/>
      <c r="AP67" s="1014"/>
      <c r="AQ67" s="234"/>
      <c r="AR67" s="234"/>
    </row>
    <row s="1621" customFormat="1" customHeight="1" ht="10.725000000000001">
      <c r="A68" s="88"/>
      <c r="B68" s="401"/>
      <c r="C68" s="88"/>
      <c r="D68" s="88"/>
      <c r="E68" s="597">
        <v>11</v>
      </c>
      <c r="F68" s="88"/>
      <c r="G68" s="88"/>
      <c r="H68" s="88"/>
      <c r="I68" s="88"/>
      <c r="J68" s="88"/>
      <c r="K68" s="88"/>
      <c r="L68" s="88"/>
      <c r="M68" s="88"/>
      <c r="N68" s="88"/>
      <c r="O68" s="88"/>
      <c r="P68" s="88"/>
      <c r="Q68" s="88"/>
      <c r="R68" s="88"/>
      <c r="S68" s="88"/>
      <c r="T68" s="88"/>
      <c r="U68" s="88"/>
      <c r="V68" s="88"/>
      <c r="W68" s="88"/>
      <c r="X68" s="88"/>
      <c r="Y68" s="88"/>
      <c r="Z68" s="88"/>
      <c r="AA68" s="421"/>
      <c r="AB68" s="421"/>
      <c r="AC68" s="421"/>
      <c r="AD68" s="421"/>
      <c r="AE68" s="421"/>
      <c r="AF68" s="421"/>
      <c r="AG68" s="421"/>
      <c r="AH68" s="421"/>
      <c r="AI68" s="421"/>
      <c r="AJ68" s="421"/>
      <c r="AK68" s="421"/>
      <c r="AL68" s="399"/>
      <c r="AN68" s="1032"/>
      <c r="AO68" s="1032"/>
      <c r="AP68" s="1032"/>
      <c r="AQ68" s="651"/>
      <c r="AR68" s="651"/>
    </row>
    <row customHeight="1" ht="14.25" hidden="1">
      <c r="A69" s="421"/>
      <c r="B69" s="421"/>
      <c r="C69" s="421"/>
      <c r="D69" s="421"/>
      <c r="E69" s="669"/>
      <c r="F69" s="421"/>
      <c r="G69" s="421"/>
      <c r="H69" s="421"/>
      <c r="I69" s="421"/>
      <c r="J69" s="421"/>
      <c r="K69" s="421"/>
      <c r="L69" s="421"/>
      <c r="M69" s="421"/>
      <c r="N69" s="421"/>
      <c r="O69" s="421"/>
      <c r="P69" s="421"/>
      <c r="Q69" s="421"/>
      <c r="R69" s="421"/>
      <c r="S69" s="421"/>
      <c r="T69" s="421"/>
      <c r="U69" s="421"/>
      <c r="V69" s="421"/>
      <c r="W69" s="421"/>
      <c r="X69" s="421"/>
      <c r="Y69" s="421"/>
      <c r="Z69" s="421"/>
      <c r="AI69" s="421"/>
      <c r="AJ69" s="421"/>
    </row>
  </sheetData>
  <sheetProtection formatColumns="0" formatRows="0" insertRows="0" deleteColumns="0" deleteRows="0" sort="0" autoFilter="0" insertColumns="1"/>
  <mergeCells count="13">
    <mergeCell ref="X27:X38"/>
    <mergeCell ref="Z27:Z38"/>
    <mergeCell ref="AB64:AK64"/>
    <mergeCell ref="AB65:AK65"/>
    <mergeCell ref="AB24:AB25"/>
    <mergeCell ref="AC24:AC25"/>
    <mergeCell ref="AD24:AD25"/>
    <mergeCell ref="AK24:AK25"/>
    <mergeCell ref="AB66:AK66"/>
    <mergeCell ref="X39:X50"/>
    <mergeCell ref="Z39:Z50"/>
    <mergeCell ref="X51:X62"/>
    <mergeCell ref="Z51:Z62"/>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formula1>0</formula1>
      <formula2>9.99999999999999E+23</formula2>
    </dataValidation>
    <dataValidation allowBlank="1" showInputMessage="1" showErrorMessage="1" sqref="AI64:AK67 AI37:AJ37 AI49 AJ49 AI61 AJ6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FDB778-FB78-C1AE-D3E8-77C83C02935F}" mc:Ignorable="x14ac xr xr2 xr3">
  <sheetPr>
    <tabColor rgb="FF002060"/>
    <outlinePr summaryRight="0" summaryBelow="0"/>
    <pageSetUpPr fitToPage="1"/>
  </sheetPr>
  <dimension ref="A1:BJ74"/>
  <sheetViews>
    <sheetView showGridLines="0" workbookViewId="0">
      <pane xSplit="30" ySplit="25" topLeftCell="AE26" activePane="bottomRight" state="frozen"/>
      <selection pane="bottomLeft" activeCell="A26" sqref="A26"/>
      <selection pane="topRight" activeCell="AE1" sqref="AE1"/>
      <selection pane="bottomRight" activeCell="AS74" sqref="AS74"/>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7" style="1153" width="3.57421875" hidden="1" customWidth="1"/>
    <col min="8" max="8" style="1153" width="6.00390625" hidden="1" customWidth="1"/>
    <col min="9" max="19" style="1153" width="3.57421875" hidden="1" customWidth="1"/>
    <col min="20" max="20" style="1153" width="10.0039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6.00390625" customWidth="1"/>
    <col min="29" max="29" style="1153" width="35.00390625" customWidth="1"/>
    <col min="30" max="30" style="1153" width="12.00390625" customWidth="1"/>
    <col min="31" max="35" style="1153" width="12.57421875" customWidth="1"/>
    <col min="36" max="44" style="1153" width="12.57421875" hidden="1" customWidth="1"/>
    <col min="45" max="45" style="1153" width="12.57421875" customWidth="1"/>
    <col min="46" max="54" style="1153" width="12.57421875" hidden="1" customWidth="1"/>
    <col min="55" max="55" style="1153" width="20.00390625" customWidth="1"/>
    <col min="56" max="56" style="1153" width="3.00390625" customWidth="1"/>
    <col min="57" max="57" style="1153" width="9.140625" hidden="1"/>
    <col min="58" max="60" style="1253" width="9.140625" hidden="1"/>
    <col min="61" max="62" style="1161" width="9.140625" hidden="1"/>
  </cols>
  <sheetData>
    <row customHeight="1" ht="11.25" hidden="1">
      <c r="E1" s="115"/>
      <c r="F1" s="115" t="s">
        <v>313</v>
      </c>
      <c r="G1" s="115" t="s">
        <v>324</v>
      </c>
      <c r="I1" s="115" t="s">
        <v>351</v>
      </c>
      <c r="T1" s="439" t="s">
        <v>92</v>
      </c>
      <c r="U1" s="439" t="s">
        <v>97</v>
      </c>
      <c r="V1" s="439" t="s">
        <v>93</v>
      </c>
      <c r="W1" s="439" t="s">
        <v>94</v>
      </c>
      <c r="X1" s="439" t="s">
        <v>95</v>
      </c>
      <c r="Y1" s="441" t="s">
        <v>315</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316</v>
      </c>
      <c r="BG1" s="1022" t="s">
        <v>317</v>
      </c>
      <c r="BH1" s="1022" t="s">
        <v>318</v>
      </c>
      <c r="BI1" s="656" t="s">
        <v>321</v>
      </c>
      <c r="BJ1" s="656" t="s">
        <v>322</v>
      </c>
    </row>
    <row s="1160" customFormat="1" customHeight="1" ht="11.25" hidden="1">
      <c r="B2" s="420"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c r="BG2" s="1021"/>
      <c r="BH2" s="1021"/>
      <c r="BI2" s="1033"/>
      <c r="BJ2" s="1033"/>
    </row>
    <row customHeight="1" ht="11.25" hidden="1">
      <c r="E3" s="115"/>
      <c r="AI3" s="1153"/>
      <c r="AJ3" s="1153"/>
      <c r="AK3" s="1153"/>
      <c r="AL3" s="1153"/>
      <c r="AM3" s="1153"/>
      <c r="AN3" s="1153"/>
      <c r="AO3" s="1153"/>
      <c r="AP3" s="1153"/>
      <c r="AQ3" s="1153"/>
      <c r="AR3" s="1153"/>
      <c r="AS3" s="1153"/>
      <c r="AT3" s="1153"/>
      <c r="AU3" s="1153"/>
      <c r="AV3" s="1153"/>
      <c r="AW3" s="1153"/>
      <c r="AX3" s="1153"/>
      <c r="AY3" s="1153"/>
      <c r="AZ3" s="1153"/>
      <c r="BA3" s="1153"/>
      <c r="BB3" s="1153"/>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6</v>
      </c>
      <c r="AC5" s="656">
        <v>35</v>
      </c>
      <c r="AD5" s="656">
        <v>12</v>
      </c>
      <c r="AE5" s="656">
        <v>12.57</v>
      </c>
      <c r="AF5" s="656">
        <v>12.57</v>
      </c>
      <c r="AG5" s="656">
        <v>12.57</v>
      </c>
      <c r="AH5" s="656">
        <v>12.57</v>
      </c>
      <c r="AI5" s="656">
        <v>12.57</v>
      </c>
      <c r="AJ5" s="656">
        <v>12.57</v>
      </c>
      <c r="AK5" s="656">
        <v>12.57</v>
      </c>
      <c r="AL5" s="656">
        <v>12.57</v>
      </c>
      <c r="AM5" s="656">
        <v>12.57</v>
      </c>
      <c r="AN5" s="656">
        <v>12.57</v>
      </c>
      <c r="AO5" s="656">
        <v>12.57</v>
      </c>
      <c r="AP5" s="656">
        <v>12.57</v>
      </c>
      <c r="AQ5" s="656">
        <v>12.57</v>
      </c>
      <c r="AR5" s="656">
        <v>12.57</v>
      </c>
      <c r="AS5" s="656">
        <v>12.57</v>
      </c>
      <c r="AT5" s="656">
        <v>12.57</v>
      </c>
      <c r="AU5" s="656">
        <v>12.57</v>
      </c>
      <c r="AV5" s="656">
        <v>12.57</v>
      </c>
      <c r="AW5" s="656">
        <v>12.57</v>
      </c>
      <c r="AX5" s="656">
        <v>12.57</v>
      </c>
      <c r="AY5" s="656">
        <v>12.57</v>
      </c>
      <c r="AZ5" s="656">
        <v>12.57</v>
      </c>
      <c r="BA5" s="656">
        <v>12.57</v>
      </c>
      <c r="BB5" s="656">
        <v>12.57</v>
      </c>
      <c r="BC5" s="656">
        <v>20</v>
      </c>
      <c r="BD5" s="656">
        <v>3</v>
      </c>
      <c r="BF5" s="1022"/>
      <c r="BG5" s="1022"/>
      <c r="BH5" s="1022"/>
    </row>
    <row customHeight="1" ht="11.25" hidden="1">
      <c r="A6" s="115" t="s">
        <v>354</v>
      </c>
      <c r="AE6" s="115">
        <f>god-2</f>
        <v>2024</v>
      </c>
      <c r="AF6" s="115">
        <f>god-2</f>
        <v>2024</v>
      </c>
      <c r="AG6" s="115">
        <f>god-2</f>
        <v>2024</v>
      </c>
      <c r="AH6" s="115">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355</v>
      </c>
      <c r="AE7" s="115" cm="1" t="str">
        <f t="array" ref="AE7:AE7">AE25</f>
        <v>Принято органом регулирования</v>
      </c>
      <c r="AF7" s="115" cm="1" t="str">
        <f t="array" ref="AF7:AF7">AF25</f>
        <v>Факт по данным организации</v>
      </c>
      <c r="AG7" s="115" cm="1" t="str">
        <f t="array" ref="AG7:AG7">AG25</f>
        <v>Факт, принятый органом регулирования</v>
      </c>
      <c r="AH7" s="115" cm="1" t="str">
        <f t="array" ref="AH7:AH7">AH25</f>
        <v>Принято органом регулирования</v>
      </c>
      <c r="AI7" s="115" cm="1" t="str">
        <f t="array" ref="AI7:AI7">AI25</f>
        <v>Предложение организации</v>
      </c>
      <c r="AJ7" s="115" cm="1" t="str">
        <f t="array" ref="AJ7:AJ7">AJ25</f>
        <v>Предложение организации</v>
      </c>
      <c r="AK7" s="115" cm="1" t="str">
        <f t="array" ref="AK7:AK7">AK25</f>
        <v>Предложение организации</v>
      </c>
      <c r="AL7" s="115" cm="1" t="str">
        <f t="array" ref="AL7:AL7">AL25</f>
        <v>Предложение организации</v>
      </c>
      <c r="AM7" s="115" cm="1" t="str">
        <f t="array" ref="AM7:AM7">AM25</f>
        <v>Предложение организации</v>
      </c>
      <c r="AN7" s="115" cm="1" t="str">
        <f t="array" ref="AN7:AN7">AN25</f>
        <v>Предложение организации</v>
      </c>
      <c r="AO7" s="115" cm="1" t="str">
        <f t="array" ref="AO7:AO7">AO25</f>
        <v>Предложение организации</v>
      </c>
      <c r="AP7" s="115" cm="1" t="str">
        <f t="array" ref="AP7:AP7">AP25</f>
        <v>Предложение организации</v>
      </c>
      <c r="AQ7" s="115" cm="1" t="str">
        <f t="array" ref="AQ7:AQ7">AQ25</f>
        <v>Предложение организации</v>
      </c>
      <c r="AR7" s="115" cm="1" t="str">
        <f t="array" ref="AR7:AR7">AR25</f>
        <v>Предложение организации</v>
      </c>
      <c r="AS7" s="115" cm="1" t="str">
        <f t="array" ref="AS7:AS7">AS25</f>
        <v>Принято органом регулирования</v>
      </c>
      <c r="AT7" s="115" cm="1" t="str">
        <f t="array" ref="AT7:AT7">AT25</f>
        <v>Принято органом регулирования</v>
      </c>
      <c r="AU7" s="115" cm="1" t="str">
        <f t="array" ref="AU7:AU7">AU25</f>
        <v>Принято органом регулирования</v>
      </c>
      <c r="AV7" s="115" cm="1" t="str">
        <f t="array" ref="AV7:AV7">AV25</f>
        <v>Принято органом регулирования</v>
      </c>
      <c r="AW7" s="115" cm="1" t="str">
        <f t="array" ref="AW7:AW7">AW25</f>
        <v>Принято органом регулирования</v>
      </c>
      <c r="AX7" s="115" cm="1" t="str">
        <f t="array" ref="AX7:AX7">AX25</f>
        <v>Принято органом регулирования</v>
      </c>
      <c r="AY7" s="115" cm="1" t="str">
        <f t="array" ref="AY7:AY7">AY25</f>
        <v>Принято органом регулирования</v>
      </c>
      <c r="AZ7" s="115" cm="1" t="str">
        <f t="array" ref="AZ7:AZ7">AZ25</f>
        <v>Принято органом регулирования</v>
      </c>
      <c r="BA7" s="115" cm="1" t="str">
        <f t="array" ref="BA7:BA7">BA25</f>
        <v>Принято органом регулирования</v>
      </c>
      <c r="BB7" s="115"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1022" t="s">
        <v>359</v>
      </c>
      <c r="B9" s="1021"/>
      <c r="AE9" s="1022" cm="1" t="str">
        <f t="array" ref="AE9:AE9">AE6</f>
        <v>2024</v>
      </c>
      <c r="AF9" s="1022" cm="1" t="str">
        <f t="array" ref="AF9:AF9">AF6</f>
        <v>2024</v>
      </c>
      <c r="AG9" s="1022" cm="1" t="str">
        <f t="array" ref="AG9:AG9">AG6</f>
        <v>2024</v>
      </c>
      <c r="AH9" s="1022" cm="1" t="str">
        <f t="array" ref="AH9:AH9">AH6</f>
        <v>2025</v>
      </c>
      <c r="AI9" s="1022" cm="1" t="str">
        <f t="array" ref="AI9:AI9">AI6</f>
        <v>2026</v>
      </c>
      <c r="AJ9" s="1022" cm="1" t="str">
        <f t="array" ref="AJ9:AJ9">AJ6</f>
        <v>2027</v>
      </c>
      <c r="AK9" s="1022" cm="1" t="str">
        <f t="array" ref="AK9:AK9">AK6</f>
        <v>2028</v>
      </c>
      <c r="AL9" s="1022" cm="1" t="str">
        <f t="array" ref="AL9:AL9">AL6</f>
        <v>2029</v>
      </c>
      <c r="AM9" s="1022" cm="1" t="str">
        <f t="array" ref="AM9:AM9">AM6</f>
        <v>2030</v>
      </c>
      <c r="AN9" s="1022" cm="1" t="str">
        <f t="array" ref="AN9:AN9">AN6</f>
        <v>2031</v>
      </c>
      <c r="AO9" s="1022" cm="1" t="str">
        <f t="array" ref="AO9:AO9">AO6</f>
        <v>2032</v>
      </c>
      <c r="AP9" s="1022" cm="1" t="str">
        <f t="array" ref="AP9:AP9">AP6</f>
        <v>2033</v>
      </c>
      <c r="AQ9" s="1022" cm="1" t="str">
        <f t="array" ref="AQ9:AQ9">AQ6</f>
        <v>2034</v>
      </c>
      <c r="AR9" s="1022" cm="1" t="str">
        <f t="array" ref="AR9:AR9">AR6</f>
        <v>2035</v>
      </c>
      <c r="AS9" s="1022" cm="1" t="str">
        <f t="array" ref="AS9:AS9">AS6</f>
        <v>2026</v>
      </c>
      <c r="AT9" s="1022" cm="1" t="str">
        <f t="array" ref="AT9:AT9">AT6</f>
        <v>2027</v>
      </c>
      <c r="AU9" s="1022" cm="1" t="str">
        <f t="array" ref="AU9:AU9">AU6</f>
        <v>2028</v>
      </c>
      <c r="AV9" s="1022" cm="1" t="str">
        <f t="array" ref="AV9:AV9">AV6</f>
        <v>2029</v>
      </c>
      <c r="AW9" s="1022" cm="1" t="str">
        <f t="array" ref="AW9:AW9">AW6</f>
        <v>2030</v>
      </c>
      <c r="AX9" s="1022" cm="1" t="str">
        <f t="array" ref="AX9:AX9">AX6</f>
        <v>2031</v>
      </c>
      <c r="AY9" s="1022" cm="1" t="str">
        <f t="array" ref="AY9:AY9">AY6</f>
        <v>2032</v>
      </c>
      <c r="AZ9" s="1022" cm="1" t="str">
        <f t="array" ref="AZ9:AZ9">AZ6</f>
        <v>2033</v>
      </c>
      <c r="BA9" s="1022" cm="1" t="str">
        <f t="array" ref="BA9:BA9">BA6</f>
        <v>2034</v>
      </c>
      <c r="BB9" s="1022" cm="1" t="str">
        <f t="array" ref="BB9:BB9">BB6</f>
        <v>2035</v>
      </c>
      <c r="BI9" s="656"/>
      <c r="BJ9" s="656"/>
    </row>
    <row s="1253" customFormat="1" customHeight="1" ht="11.25" hidden="1">
      <c r="A10" s="1022" t="s">
        <v>360</v>
      </c>
      <c r="B10" s="1021"/>
      <c r="AE10" s="1022" cm="1" t="str">
        <f t="array" ref="AE10:AE10">AE25</f>
        <v>Принято органом регулирования</v>
      </c>
      <c r="AF10" s="1022" cm="1" t="str">
        <f t="array" ref="AF10:AF10">AF25</f>
        <v>Факт по данным организации</v>
      </c>
      <c r="AG10" s="1022" cm="1" t="str">
        <f t="array" ref="AG10:AG10">AG25</f>
        <v>Факт, принятый органом регулирования</v>
      </c>
      <c r="AH10" s="1022" cm="1" t="str">
        <f t="array" ref="AH10:AH10">AH25</f>
        <v>Принято органом регулирования</v>
      </c>
      <c r="AI10" s="1022" cm="1" t="str">
        <f t="array" ref="AI10:AI10">AI25</f>
        <v>Предложение организации</v>
      </c>
      <c r="AJ10" s="1022" cm="1" t="str">
        <f t="array" ref="AJ10:AJ10">AJ25</f>
        <v>Предложение организации</v>
      </c>
      <c r="AK10" s="1022" cm="1" t="str">
        <f t="array" ref="AK10:AK10">AK25</f>
        <v>Предложение организации</v>
      </c>
      <c r="AL10" s="1022" cm="1" t="str">
        <f t="array" ref="AL10:AL10">AL25</f>
        <v>Предложение организации</v>
      </c>
      <c r="AM10" s="1022" cm="1" t="str">
        <f t="array" ref="AM10:AM10">AM25</f>
        <v>Предложение организации</v>
      </c>
      <c r="AN10" s="1022" cm="1" t="str">
        <f t="array" ref="AN10:AN10">AN25</f>
        <v>Предложение организации</v>
      </c>
      <c r="AO10" s="1022" cm="1" t="str">
        <f t="array" ref="AO10:AO10">AO25</f>
        <v>Предложение организации</v>
      </c>
      <c r="AP10" s="1022" cm="1" t="str">
        <f t="array" ref="AP10:AP10">AP25</f>
        <v>Предложение организации</v>
      </c>
      <c r="AQ10" s="1022" cm="1" t="str">
        <f t="array" ref="AQ10:AQ10">AQ25</f>
        <v>Предложение организации</v>
      </c>
      <c r="AR10" s="1022" cm="1" t="str">
        <f t="array" ref="AR10:AR10">AR25</f>
        <v>Предложение организации</v>
      </c>
      <c r="AS10" s="1022" cm="1" t="str">
        <f t="array" ref="AS10:AS10">AS25</f>
        <v>Принято органом регулирования</v>
      </c>
      <c r="AT10" s="1022" cm="1" t="str">
        <f t="array" ref="AT10:AT10">AT25</f>
        <v>Принято органом регулирования</v>
      </c>
      <c r="AU10" s="1022" cm="1" t="str">
        <f t="array" ref="AU10:AU10">AU25</f>
        <v>Принято органом регулирования</v>
      </c>
      <c r="AV10" s="1022" cm="1" t="str">
        <f t="array" ref="AV10:AV10">AV25</f>
        <v>Принято органом регулирования</v>
      </c>
      <c r="AW10" s="1022" cm="1" t="str">
        <f t="array" ref="AW10:AW10">AW25</f>
        <v>Принято органом регулирования</v>
      </c>
      <c r="AX10" s="1022" cm="1" t="str">
        <f t="array" ref="AX10:AX10">AX25</f>
        <v>Принято органом регулирования</v>
      </c>
      <c r="AY10" s="1022" cm="1" t="str">
        <f t="array" ref="AY10:AY10">AY25</f>
        <v>Принято органом регулирования</v>
      </c>
      <c r="AZ10" s="1022" cm="1" t="str">
        <f t="array" ref="AZ10:AZ10">AZ25</f>
        <v>Принято органом регулирования</v>
      </c>
      <c r="BA10" s="1022" cm="1" t="str">
        <f t="array" ref="BA10:BA10">BA25</f>
        <v>Принято органом регулирования</v>
      </c>
      <c r="BB10" s="1022" cm="1" t="str">
        <f t="array" ref="BB10:BB10">BB25</f>
        <v>Принято органом регулирования</v>
      </c>
      <c r="BI10" s="656"/>
      <c r="BJ10" s="656"/>
    </row>
    <row s="1253" customFormat="1" customHeight="1" ht="11.25" hidden="1">
      <c r="A11" s="1022" t="s">
        <v>361</v>
      </c>
      <c r="B11" s="1021"/>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c r="BI11" s="656"/>
      <c r="BJ11" s="656"/>
    </row>
    <row s="1253" customFormat="1" customHeight="1" ht="11.25" hidden="1">
      <c r="A12" s="1022" t="s">
        <v>331</v>
      </c>
      <c r="B12" s="1021"/>
      <c r="AC12" s="1022" t="s">
        <v>318</v>
      </c>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I12" s="656"/>
      <c r="BJ12" s="656"/>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18" s="115" t="s">
        <v>332</v>
      </c>
      <c r="AC18" s="115" t="s">
        <v>362</v>
      </c>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Филиал АО "УК "Кузбассразрезуголь" "Талдинский угольный разрез" (ИНН:4205049090, КПП:423802002) / ДПР: 2024-2028</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customHeight="1" ht="19.5">
      <c r="E22" s="656">
        <v>20</v>
      </c>
      <c r="AB22" s="287" t="s">
        <v>67</v>
      </c>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0"/>
    </row>
    <row customHeight="1" ht="10.96875">
      <c r="E23" s="656">
        <v>11.25</v>
      </c>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row>
    <row s="1153" customFormat="1" customHeight="1" ht="14.625">
      <c r="B24" s="401"/>
      <c r="E24" s="597">
        <v>15</v>
      </c>
      <c r="AB24" s="1485" t="s">
        <v>21</v>
      </c>
      <c r="AC24" s="1485" t="s">
        <v>362</v>
      </c>
      <c r="AD24" s="1485" t="s">
        <v>947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57" t="s">
        <v>507</v>
      </c>
      <c r="BF24" s="980"/>
      <c r="BG24" s="980"/>
      <c r="BH24" s="980"/>
      <c r="BI24" s="597"/>
      <c r="BJ24" s="597"/>
    </row>
    <row s="1153" customFormat="1" customHeight="1" ht="48.75">
      <c r="B25" s="401"/>
      <c r="E25" s="597">
        <v>50</v>
      </c>
      <c r="AB25" s="1485"/>
      <c r="AC25" s="1485"/>
      <c r="AD25" s="1485"/>
      <c r="AE25" s="58" t="s">
        <v>356</v>
      </c>
      <c r="AF25" s="1103" t="s">
        <v>431</v>
      </c>
      <c r="AG25" s="58" t="s">
        <v>432</v>
      </c>
      <c r="AH25" s="58" t="s">
        <v>356</v>
      </c>
      <c r="AI25" s="1107" t="s">
        <v>357</v>
      </c>
      <c r="AJ25" s="1107" t="s">
        <v>357</v>
      </c>
      <c r="AK25" s="1107" t="s">
        <v>357</v>
      </c>
      <c r="AL25" s="1107" t="s">
        <v>357</v>
      </c>
      <c r="AM25" s="1107" t="s">
        <v>357</v>
      </c>
      <c r="AN25" s="1107" t="s">
        <v>357</v>
      </c>
      <c r="AO25" s="1107" t="s">
        <v>357</v>
      </c>
      <c r="AP25" s="1107" t="s">
        <v>357</v>
      </c>
      <c r="AQ25" s="1107" t="s">
        <v>357</v>
      </c>
      <c r="AR25" s="1107" t="s">
        <v>357</v>
      </c>
      <c r="AS25" s="327" t="s">
        <v>356</v>
      </c>
      <c r="AT25" s="327" t="s">
        <v>356</v>
      </c>
      <c r="AU25" s="327" t="s">
        <v>356</v>
      </c>
      <c r="AV25" s="327" t="s">
        <v>356</v>
      </c>
      <c r="AW25" s="327" t="s">
        <v>356</v>
      </c>
      <c r="AX25" s="327" t="s">
        <v>356</v>
      </c>
      <c r="AY25" s="327" t="s">
        <v>356</v>
      </c>
      <c r="AZ25" s="327" t="s">
        <v>356</v>
      </c>
      <c r="BA25" s="327" t="s">
        <v>356</v>
      </c>
      <c r="BB25" s="327" t="s">
        <v>356</v>
      </c>
      <c r="BC25" s="1557"/>
      <c r="BF25" s="980"/>
      <c r="BG25" s="980"/>
      <c r="BH25" s="980"/>
      <c r="BI25" s="597"/>
      <c r="BJ25" s="597"/>
    </row>
    <row s="1621" customFormat="1" customHeight="1" ht="11.25">
      <c r="B26" s="403"/>
      <c r="E26" s="651" t="s">
        <v>366</v>
      </c>
      <c r="F26" s="51"/>
      <c r="AC26" s="66"/>
      <c r="AD26" s="66"/>
      <c r="AE26" s="66"/>
      <c r="AF26" s="66"/>
      <c r="AI26" s="1621"/>
      <c r="AJ26" s="1621"/>
      <c r="AK26" s="1621"/>
      <c r="AL26" s="1621"/>
      <c r="AM26" s="1621"/>
      <c r="AN26" s="1621"/>
      <c r="AO26" s="1621"/>
      <c r="AP26" s="1621"/>
      <c r="AQ26" s="67"/>
      <c r="AR26" s="1621"/>
      <c r="AS26" s="1621"/>
      <c r="AT26" s="1621"/>
      <c r="AU26" s="1621"/>
      <c r="AV26" s="1621"/>
      <c r="AW26" s="1621"/>
      <c r="AX26" s="1621"/>
      <c r="AY26" s="1621"/>
      <c r="AZ26" s="1621"/>
      <c r="BA26" s="1621"/>
      <c r="BB26" s="1621"/>
      <c r="BF26" s="987"/>
      <c r="BG26" s="987"/>
      <c r="BH26" s="987"/>
      <c r="BI26" s="603"/>
      <c r="BJ26" s="603"/>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261</v>
      </c>
      <c r="W27" s="1153"/>
      <c r="X27" s="1482">
        <v>0</v>
      </c>
      <c r="Y27" s="1153"/>
      <c r="Z27" s="1465"/>
      <c r="AA27" s="1153"/>
      <c r="AB27" s="189" cm="1" t="str">
        <f t="array" ref="AB27:AB27">INDEX('Общие сведения'!$AG$179:$AG$222,MATCH($X27,'Общие сведения'!$Z$179:$Z$222,0))</f>
        <v>Тариф 0 () - </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153"/>
      <c r="BE27" s="1153"/>
      <c r="BF27" s="980"/>
      <c r="BG27" s="980"/>
      <c r="BH27" s="980"/>
      <c r="BI27" s="597"/>
      <c r="BJ27" s="597"/>
    </row>
    <row s="1153" customFormat="1" customHeight="1" ht="21.9375" hidden="1">
      <c r="A28" s="1153"/>
      <c r="B28" s="401"/>
      <c r="C28" s="1153"/>
      <c r="D28" s="1153"/>
      <c r="E28" s="597">
        <v>22.5</v>
      </c>
      <c r="F28" s="50" cm="1" t="str">
        <f t="array" ref="F28:F28">OFFSET(E28,-1,1)</f>
        <v>0</v>
      </c>
      <c r="G28" s="88" t="s">
        <v>1132</v>
      </c>
      <c r="H28" s="1153"/>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465"/>
      <c r="AA28" s="1153"/>
      <c r="AB28" s="201">
        <v>0</v>
      </c>
      <c r="AC28" s="186" t="s">
        <v>1150</v>
      </c>
      <c r="AD28" s="178" t="s">
        <v>784</v>
      </c>
      <c r="AE28" s="194">
        <f>SUM(AE29:AE38)</f>
        <v>0</v>
      </c>
      <c r="AF28" s="194">
        <f>SUM(AF29:AF38)</f>
        <v>0</v>
      </c>
      <c r="AG28" s="194">
        <f>SUM(AG29:AG38)</f>
        <v>0</v>
      </c>
      <c r="AH28" s="194">
        <f>SUM(AH29:AH38)</f>
        <v>0</v>
      </c>
      <c r="AI28" s="194">
        <f>SUM(AI29:AI38)</f>
        <v>0</v>
      </c>
      <c r="AJ28" s="194">
        <f>SUM(AJ29:AJ38)</f>
        <v>0</v>
      </c>
      <c r="AK28" s="194">
        <f>SUM(AK29:AK38)</f>
        <v>0</v>
      </c>
      <c r="AL28" s="194">
        <f>SUM(AL29:AL38)</f>
        <v>0</v>
      </c>
      <c r="AM28" s="194">
        <f>SUM(AM29:AM38)</f>
        <v>0</v>
      </c>
      <c r="AN28" s="194">
        <f>SUM(AN29:AN38)</f>
        <v>0</v>
      </c>
      <c r="AO28" s="194">
        <f>SUM(AO29:AO38)</f>
        <v>0</v>
      </c>
      <c r="AP28" s="194">
        <f>SUM(AP29:AP38)</f>
        <v>0</v>
      </c>
      <c r="AQ28" s="194">
        <f>SUM(AQ29:AQ38)</f>
        <v>0</v>
      </c>
      <c r="AR28" s="194">
        <f>SUM(AR29:AR38)</f>
        <v>0</v>
      </c>
      <c r="AS28" s="194">
        <f>SUM(AS29:AS38)</f>
        <v>0</v>
      </c>
      <c r="AT28" s="194">
        <f>SUM(AT29:AT38)</f>
        <v>0</v>
      </c>
      <c r="AU28" s="194">
        <f>SUM(AU29:AU38)</f>
        <v>0</v>
      </c>
      <c r="AV28" s="194">
        <f>SUM(AV29:AV38)</f>
        <v>0</v>
      </c>
      <c r="AW28" s="194">
        <f>SUM(AW29:AW38)</f>
        <v>0</v>
      </c>
      <c r="AX28" s="194">
        <f>SUM(AX29:AX38)</f>
        <v>0</v>
      </c>
      <c r="AY28" s="194">
        <f>SUM(AY29:AY38)</f>
        <v>0</v>
      </c>
      <c r="AZ28" s="194">
        <f>SUM(AZ29:AZ38)</f>
        <v>0</v>
      </c>
      <c r="BA28" s="194">
        <f>SUM(BA29:BA38)</f>
        <v>0</v>
      </c>
      <c r="BB28" s="194">
        <f>SUM(BB29:BB38)</f>
        <v>0</v>
      </c>
      <c r="BC28" s="1887"/>
      <c r="BD28" s="1153"/>
      <c r="BE28" s="1153"/>
      <c r="BF28" s="980" t="s">
        <v>1151</v>
      </c>
      <c r="BG28" s="980"/>
      <c r="BH28" s="980"/>
      <c r="BI28" s="597"/>
      <c r="BJ28" s="597"/>
    </row>
    <row s="1153" customFormat="1" customHeight="1" ht="14.625" hidden="1">
      <c r="A29" s="1153"/>
      <c r="B29" s="401"/>
      <c r="C29" s="1153"/>
      <c r="D29" s="1153"/>
      <c r="E29" s="597">
        <v>15</v>
      </c>
      <c r="F29" s="50" cm="1" t="str">
        <f t="array" ref="F29:F29">OFFSET(E29,-1,1)</f>
        <v>0</v>
      </c>
      <c r="G29" s="88" t="s">
        <v>325</v>
      </c>
      <c r="H29" s="1153"/>
      <c r="I29" s="1153"/>
      <c r="J29" s="1153"/>
      <c r="K29" s="90" t="str">
        <f>F29&amp;"1komm"</f>
        <v>01komm</v>
      </c>
      <c r="L29" s="901" cm="1" t="str">
        <f t="array" ref="L29:L29">BC29</f>
        <v>0</v>
      </c>
      <c r="M29" s="1153"/>
      <c r="N29" s="1153"/>
      <c r="O29" s="1153"/>
      <c r="P29" s="1153"/>
      <c r="Q29" s="1153"/>
      <c r="R29" s="1153"/>
      <c r="S29" s="1153"/>
      <c r="T29" s="439" cm="1" t="str">
        <f t="array" ref="T29:T29">T28</f>
        <v>false</v>
      </c>
      <c r="U29" s="1153"/>
      <c r="V29" s="1153"/>
      <c r="W29" s="1153"/>
      <c r="X29" s="1482"/>
      <c r="Y29" s="1153"/>
      <c r="Z29" s="1465"/>
      <c r="AA29" s="1153"/>
      <c r="AB29" s="266" t="s">
        <v>272</v>
      </c>
      <c r="AC29" s="425" t="s">
        <v>1152</v>
      </c>
      <c r="AD29" s="267" t="s">
        <v>784</v>
      </c>
      <c r="AE29" s="3199"/>
      <c r="AF29" s="3159"/>
      <c r="AG29" s="3159"/>
      <c r="AH29" s="3159"/>
      <c r="AI29" s="196"/>
      <c r="AJ29" s="3159"/>
      <c r="AK29" s="3159"/>
      <c r="AL29" s="3159"/>
      <c r="AM29" s="3159"/>
      <c r="AN29" s="3159"/>
      <c r="AO29" s="3159"/>
      <c r="AP29" s="3159"/>
      <c r="AQ29" s="3159"/>
      <c r="AR29" s="3159"/>
      <c r="AS29" s="196"/>
      <c r="AT29" s="3159"/>
      <c r="AU29" s="3159"/>
      <c r="AV29" s="3159"/>
      <c r="AW29" s="3159"/>
      <c r="AX29" s="3159"/>
      <c r="AY29" s="3159"/>
      <c r="AZ29" s="3159"/>
      <c r="BA29" s="3159"/>
      <c r="BB29" s="3159"/>
      <c r="BC29" s="1887"/>
      <c r="BD29" s="1153"/>
      <c r="BE29" s="1153"/>
      <c r="BF29" s="980" t="s">
        <v>1153</v>
      </c>
      <c r="BG29" s="980"/>
      <c r="BH29" s="980"/>
      <c r="BI29" s="597"/>
      <c r="BJ29" s="597"/>
    </row>
    <row s="1153" customFormat="1" customHeight="1" ht="21.9375" hidden="1">
      <c r="A30" s="1153"/>
      <c r="B30" s="820"/>
      <c r="C30" s="399"/>
      <c r="D30" s="399"/>
      <c r="E30" s="598">
        <v>22.5</v>
      </c>
      <c r="F30" s="50" cm="1" t="str">
        <f t="array" ref="F30:F30">OFFSET(E30,-1,1)</f>
        <v>0</v>
      </c>
      <c r="G30" s="399" t="s">
        <v>326</v>
      </c>
      <c r="H30" s="399"/>
      <c r="I30" s="399"/>
      <c r="J30" s="399"/>
      <c r="K30" s="90" t="str">
        <f>F30&amp;"2komm"</f>
        <v>02komm</v>
      </c>
      <c r="L30" s="901" cm="1" t="str">
        <f t="array" ref="L30:L30">BC30</f>
        <v>0</v>
      </c>
      <c r="M30" s="399"/>
      <c r="N30" s="399"/>
      <c r="O30" s="399"/>
      <c r="P30" s="399"/>
      <c r="Q30" s="399"/>
      <c r="R30" s="399"/>
      <c r="S30" s="399"/>
      <c r="T30" s="439" cm="1" t="str">
        <f t="array" ref="T30:T30">T29</f>
        <v>false</v>
      </c>
      <c r="U30" s="399"/>
      <c r="V30" s="399"/>
      <c r="W30" s="1153"/>
      <c r="X30" s="1482"/>
      <c r="Y30" s="1153"/>
      <c r="Z30" s="1465"/>
      <c r="AA30" s="1153"/>
      <c r="AB30" s="266" t="s">
        <v>283</v>
      </c>
      <c r="AC30" s="425" t="s">
        <v>1154</v>
      </c>
      <c r="AD30" s="267" t="s">
        <v>784</v>
      </c>
      <c r="AE30" s="3199"/>
      <c r="AF30" s="3159"/>
      <c r="AG30" s="3159"/>
      <c r="AH30" s="3159"/>
      <c r="AI30" s="196"/>
      <c r="AJ30" s="3159"/>
      <c r="AK30" s="3159"/>
      <c r="AL30" s="3159"/>
      <c r="AM30" s="3159"/>
      <c r="AN30" s="3159"/>
      <c r="AO30" s="3159"/>
      <c r="AP30" s="3159"/>
      <c r="AQ30" s="3159"/>
      <c r="AR30" s="3159"/>
      <c r="AS30" s="196"/>
      <c r="AT30" s="3159"/>
      <c r="AU30" s="3159"/>
      <c r="AV30" s="3159"/>
      <c r="AW30" s="3159"/>
      <c r="AX30" s="3159"/>
      <c r="AY30" s="3159"/>
      <c r="AZ30" s="3159"/>
      <c r="BA30" s="3159"/>
      <c r="BB30" s="3159"/>
      <c r="BC30" s="1887"/>
      <c r="BD30" s="1153"/>
      <c r="BE30" s="1153"/>
      <c r="BF30" s="980" t="s">
        <v>1155</v>
      </c>
      <c r="BG30" s="980"/>
      <c r="BH30" s="980"/>
      <c r="BI30" s="597"/>
      <c r="BJ30" s="597"/>
    </row>
    <row s="1153" customFormat="1" customHeight="1" ht="21.9375" hidden="1">
      <c r="A31" s="1153"/>
      <c r="B31" s="820"/>
      <c r="C31" s="399"/>
      <c r="D31" s="399"/>
      <c r="E31" s="598">
        <v>22.5</v>
      </c>
      <c r="F31" s="50" cm="1" t="str">
        <f t="array" ref="F31:F31">OFFSET(E31,-1,1)</f>
        <v>0</v>
      </c>
      <c r="G31" s="399" t="s">
        <v>327</v>
      </c>
      <c r="H31" s="399" t="s">
        <v>1156</v>
      </c>
      <c r="I31" s="399"/>
      <c r="J31" s="399"/>
      <c r="K31" s="90" t="str">
        <f>F31&amp;"3komm"</f>
        <v>03komm</v>
      </c>
      <c r="L31" s="901" cm="1" t="str">
        <f t="array" ref="L31:L31">BC31</f>
        <v>0</v>
      </c>
      <c r="M31" s="399"/>
      <c r="N31" s="399"/>
      <c r="O31" s="399"/>
      <c r="P31" s="399"/>
      <c r="Q31" s="399"/>
      <c r="R31" s="399"/>
      <c r="S31" s="399"/>
      <c r="T31" s="439" cm="1" t="str">
        <f t="array" ref="T31:T31">T30</f>
        <v>false</v>
      </c>
      <c r="U31" s="399"/>
      <c r="V31" s="399"/>
      <c r="W31" s="1153"/>
      <c r="X31" s="1482"/>
      <c r="Y31" s="1153"/>
      <c r="Z31" s="1465"/>
      <c r="AA31" s="1153"/>
      <c r="AB31" s="266" t="s">
        <v>323</v>
      </c>
      <c r="AC31" s="425" t="s">
        <v>1157</v>
      </c>
      <c r="AD31" s="267" t="s">
        <v>784</v>
      </c>
      <c r="AE31" s="3199"/>
      <c r="AF31" s="3159"/>
      <c r="AG31" s="3159"/>
      <c r="AH31" s="3159"/>
      <c r="AI31" s="196"/>
      <c r="AJ31" s="3159"/>
      <c r="AK31" s="3159"/>
      <c r="AL31" s="3159"/>
      <c r="AM31" s="3159"/>
      <c r="AN31" s="3159"/>
      <c r="AO31" s="3159"/>
      <c r="AP31" s="3159"/>
      <c r="AQ31" s="3159"/>
      <c r="AR31" s="3159"/>
      <c r="AS31" s="196"/>
      <c r="AT31" s="3159"/>
      <c r="AU31" s="3159"/>
      <c r="AV31" s="3159"/>
      <c r="AW31" s="3159"/>
      <c r="AX31" s="3159"/>
      <c r="AY31" s="3159"/>
      <c r="AZ31" s="3159"/>
      <c r="BA31" s="3159"/>
      <c r="BB31" s="3159"/>
      <c r="BC31" s="1887"/>
      <c r="BD31" s="1153"/>
      <c r="BE31" s="1153"/>
      <c r="BF31" s="980" t="s">
        <v>1158</v>
      </c>
      <c r="BG31" s="980"/>
      <c r="BH31" s="980"/>
      <c r="BI31" s="597"/>
      <c r="BJ31" s="597"/>
    </row>
    <row customHeight="1" ht="14.625" hidden="1">
      <c r="A32" s="1153"/>
      <c r="B32" s="873"/>
      <c r="C32" s="869"/>
      <c r="D32" s="869"/>
      <c r="E32" s="870">
        <v>15</v>
      </c>
      <c r="F32" s="50" cm="1" t="str">
        <f t="array" ref="F32:F32">OFFSET(E32,-1,1)</f>
        <v>0</v>
      </c>
      <c r="G32" s="869" t="s">
        <v>329</v>
      </c>
      <c r="H32" s="869"/>
      <c r="I32" s="869"/>
      <c r="J32" s="869"/>
      <c r="K32" s="90" t="str">
        <f>F32&amp;"4komm"</f>
        <v>04komm</v>
      </c>
      <c r="L32" s="901" cm="1" t="str">
        <f t="array" ref="L32:L32">BC32</f>
        <v>0</v>
      </c>
      <c r="M32" s="869"/>
      <c r="N32" s="869"/>
      <c r="O32" s="869"/>
      <c r="P32" s="869"/>
      <c r="Q32" s="869"/>
      <c r="R32" s="869"/>
      <c r="S32" s="869"/>
      <c r="T32" s="439" cm="1" t="str">
        <f t="array" ref="T32:T32">T31</f>
        <v>false</v>
      </c>
      <c r="U32" s="869"/>
      <c r="V32" s="869"/>
      <c r="W32" s="1153"/>
      <c r="X32" s="1482"/>
      <c r="Y32" s="1153"/>
      <c r="Z32" s="1465"/>
      <c r="AA32" s="1153"/>
      <c r="AB32" s="871">
        <v>4</v>
      </c>
      <c r="AC32" s="425" t="s">
        <v>1159</v>
      </c>
      <c r="AD32" s="267" t="s">
        <v>784</v>
      </c>
      <c r="AE32" s="3206"/>
      <c r="AF32" s="3206"/>
      <c r="AG32" s="3206"/>
      <c r="AH32" s="3206"/>
      <c r="AI32" s="197"/>
      <c r="AJ32" s="3206"/>
      <c r="AK32" s="3206"/>
      <c r="AL32" s="3206"/>
      <c r="AM32" s="3206"/>
      <c r="AN32" s="3206"/>
      <c r="AO32" s="3206"/>
      <c r="AP32" s="3206"/>
      <c r="AQ32" s="3206"/>
      <c r="AR32" s="3206"/>
      <c r="AS32" s="197"/>
      <c r="AT32" s="3206"/>
      <c r="AU32" s="3206"/>
      <c r="AV32" s="3206"/>
      <c r="AW32" s="3206"/>
      <c r="AX32" s="3206"/>
      <c r="AY32" s="3206"/>
      <c r="AZ32" s="3206"/>
      <c r="BA32" s="3206"/>
      <c r="BB32" s="3206"/>
      <c r="BC32" s="1887"/>
      <c r="BD32" s="1153"/>
      <c r="BE32" s="1153"/>
      <c r="BF32" s="1022" t="s">
        <v>1160</v>
      </c>
      <c r="BG32" s="1253"/>
      <c r="BH32" s="1253"/>
      <c r="BI32" s="1161"/>
      <c r="BJ32" s="1161"/>
    </row>
    <row s="1153" customFormat="1" customHeight="1" ht="14.625" hidden="1">
      <c r="A33" s="1153"/>
      <c r="B33" s="820"/>
      <c r="C33" s="399"/>
      <c r="D33" s="399"/>
      <c r="E33" s="598">
        <v>15</v>
      </c>
      <c r="F33" s="50" cm="1" t="str">
        <f t="array" ref="F33:F33">OFFSET(E33,-1,1)</f>
        <v>0</v>
      </c>
      <c r="G33" s="399" t="s">
        <v>328</v>
      </c>
      <c r="H33" s="399"/>
      <c r="I33" s="399"/>
      <c r="J33" s="399"/>
      <c r="K33" s="90" t="str">
        <f>F33&amp;"5komm"</f>
        <v>05komm</v>
      </c>
      <c r="L33" s="901" cm="1" t="str">
        <f t="array" ref="L33:L33">BC33</f>
        <v>0</v>
      </c>
      <c r="M33" s="399"/>
      <c r="N33" s="399"/>
      <c r="O33" s="399"/>
      <c r="P33" s="399"/>
      <c r="Q33" s="399"/>
      <c r="R33" s="399"/>
      <c r="S33" s="399"/>
      <c r="T33" s="439" cm="1" t="str">
        <f t="array" ref="T33:T33">T32</f>
        <v>false</v>
      </c>
      <c r="U33" s="399"/>
      <c r="V33" s="399"/>
      <c r="W33" s="1153"/>
      <c r="X33" s="1482"/>
      <c r="Y33" s="1153"/>
      <c r="Z33" s="1465"/>
      <c r="AA33" s="1153"/>
      <c r="AB33" s="266" t="s">
        <v>492</v>
      </c>
      <c r="AC33" s="425" t="s">
        <v>1161</v>
      </c>
      <c r="AD33" s="267" t="s">
        <v>784</v>
      </c>
      <c r="AE33" s="3199"/>
      <c r="AF33" s="3199"/>
      <c r="AG33" s="3199"/>
      <c r="AH33" s="3199"/>
      <c r="AI33" s="195"/>
      <c r="AJ33" s="3199"/>
      <c r="AK33" s="3199"/>
      <c r="AL33" s="3199"/>
      <c r="AM33" s="3199"/>
      <c r="AN33" s="3199"/>
      <c r="AO33" s="3199"/>
      <c r="AP33" s="3199"/>
      <c r="AQ33" s="3199"/>
      <c r="AR33" s="3199"/>
      <c r="AS33" s="195"/>
      <c r="AT33" s="3199"/>
      <c r="AU33" s="3199"/>
      <c r="AV33" s="3199"/>
      <c r="AW33" s="3199"/>
      <c r="AX33" s="3199"/>
      <c r="AY33" s="3199"/>
      <c r="AZ33" s="3199"/>
      <c r="BA33" s="3199"/>
      <c r="BB33" s="3199"/>
      <c r="BC33" s="1887"/>
      <c r="BD33" s="1153"/>
      <c r="BE33" s="1153"/>
      <c r="BF33" s="980" t="s">
        <v>1162</v>
      </c>
      <c r="BG33" s="980"/>
      <c r="BH33" s="980"/>
      <c r="BI33" s="597"/>
      <c r="BJ33" s="597"/>
    </row>
    <row s="1153" customFormat="1" customHeight="1" ht="14.625" hidden="1">
      <c r="A34" s="1153"/>
      <c r="B34" s="820"/>
      <c r="C34" s="399"/>
      <c r="D34" s="399"/>
      <c r="E34" s="598">
        <v>15</v>
      </c>
      <c r="F34" s="50" cm="1" t="str">
        <f t="array" ref="F34:F34">OFFSET(E34,-1,1)</f>
        <v>0</v>
      </c>
      <c r="G34" s="399" t="s">
        <v>491</v>
      </c>
      <c r="H34" s="399"/>
      <c r="I34" s="399"/>
      <c r="J34" s="399"/>
      <c r="K34" s="90" t="str">
        <f>F34&amp;"6komm"</f>
        <v>06komm</v>
      </c>
      <c r="L34" s="901" cm="1" t="str">
        <f t="array" ref="L34:L34">BC34</f>
        <v>0</v>
      </c>
      <c r="M34" s="399"/>
      <c r="N34" s="399"/>
      <c r="O34" s="399"/>
      <c r="P34" s="399"/>
      <c r="Q34" s="399"/>
      <c r="R34" s="399"/>
      <c r="S34" s="399"/>
      <c r="T34" s="439" cm="1" t="str">
        <f t="array" ref="T34:T34">T33</f>
        <v>false</v>
      </c>
      <c r="U34" s="399"/>
      <c r="V34" s="399"/>
      <c r="W34" s="1153"/>
      <c r="X34" s="1482"/>
      <c r="Y34" s="1153"/>
      <c r="Z34" s="1465"/>
      <c r="AA34" s="1153"/>
      <c r="AB34" s="266" t="s">
        <v>496</v>
      </c>
      <c r="AC34" s="425" t="s">
        <v>1163</v>
      </c>
      <c r="AD34" s="267" t="s">
        <v>784</v>
      </c>
      <c r="AE34" s="3199"/>
      <c r="AF34" s="3199"/>
      <c r="AG34" s="3199"/>
      <c r="AH34" s="3199"/>
      <c r="AI34" s="195"/>
      <c r="AJ34" s="3199"/>
      <c r="AK34" s="3199"/>
      <c r="AL34" s="3199"/>
      <c r="AM34" s="3199"/>
      <c r="AN34" s="3199"/>
      <c r="AO34" s="3199"/>
      <c r="AP34" s="3199"/>
      <c r="AQ34" s="3199"/>
      <c r="AR34" s="3199"/>
      <c r="AS34" s="195"/>
      <c r="AT34" s="3199"/>
      <c r="AU34" s="3199"/>
      <c r="AV34" s="3199"/>
      <c r="AW34" s="3199"/>
      <c r="AX34" s="3199"/>
      <c r="AY34" s="3199"/>
      <c r="AZ34" s="3199"/>
      <c r="BA34" s="3199"/>
      <c r="BB34" s="3199"/>
      <c r="BC34" s="1887"/>
      <c r="BD34" s="1153"/>
      <c r="BE34" s="1153"/>
      <c r="BF34" s="980" t="s">
        <v>1164</v>
      </c>
      <c r="BG34" s="980"/>
      <c r="BH34" s="980"/>
      <c r="BI34" s="597"/>
      <c r="BJ34" s="597"/>
    </row>
    <row s="1153" customFormat="1" customHeight="1" ht="14.625" hidden="1">
      <c r="A35" s="1153"/>
      <c r="B35" s="820"/>
      <c r="C35" s="399"/>
      <c r="D35" s="399"/>
      <c r="E35" s="598">
        <v>15</v>
      </c>
      <c r="F35" s="50" cm="1" t="str">
        <f t="array" ref="F35:F35">OFFSET(E35,-1,1)</f>
        <v>0</v>
      </c>
      <c r="G35" s="399" t="s">
        <v>495</v>
      </c>
      <c r="H35" s="399" t="s">
        <v>1165</v>
      </c>
      <c r="I35" s="399"/>
      <c r="J35" s="399"/>
      <c r="K35" s="90" t="str">
        <f>F35&amp;"7komm"</f>
        <v>07komm</v>
      </c>
      <c r="L35" s="901" cm="1" t="str">
        <f t="array" ref="L35:L35">BC35</f>
        <v>0</v>
      </c>
      <c r="M35" s="399"/>
      <c r="N35" s="399"/>
      <c r="O35" s="399"/>
      <c r="P35" s="399"/>
      <c r="Q35" s="399"/>
      <c r="R35" s="399"/>
      <c r="S35" s="399"/>
      <c r="T35" s="439" cm="1" t="str">
        <f t="array" ref="T35:T35">T34</f>
        <v>false</v>
      </c>
      <c r="U35" s="399"/>
      <c r="V35" s="399"/>
      <c r="W35" s="1153"/>
      <c r="X35" s="1482"/>
      <c r="Y35" s="1153"/>
      <c r="Z35" s="1465"/>
      <c r="AA35" s="1153"/>
      <c r="AB35" s="266" t="s">
        <v>557</v>
      </c>
      <c r="AC35" s="425" t="s">
        <v>1166</v>
      </c>
      <c r="AD35" s="267" t="s">
        <v>784</v>
      </c>
      <c r="AE35" s="3199"/>
      <c r="AF35" s="3199"/>
      <c r="AG35" s="3199"/>
      <c r="AH35" s="3199"/>
      <c r="AI35" s="195"/>
      <c r="AJ35" s="3199"/>
      <c r="AK35" s="3199"/>
      <c r="AL35" s="3199"/>
      <c r="AM35" s="3199"/>
      <c r="AN35" s="3199"/>
      <c r="AO35" s="3199"/>
      <c r="AP35" s="3199"/>
      <c r="AQ35" s="3199"/>
      <c r="AR35" s="3199"/>
      <c r="AS35" s="195"/>
      <c r="AT35" s="3199"/>
      <c r="AU35" s="3199"/>
      <c r="AV35" s="3199"/>
      <c r="AW35" s="3199"/>
      <c r="AX35" s="3199"/>
      <c r="AY35" s="3199"/>
      <c r="AZ35" s="3199"/>
      <c r="BA35" s="3199"/>
      <c r="BB35" s="3199"/>
      <c r="BC35" s="1887"/>
      <c r="BD35" s="1153"/>
      <c r="BE35" s="1153"/>
      <c r="BF35" s="980" t="s">
        <v>1167</v>
      </c>
      <c r="BG35" s="980"/>
      <c r="BH35" s="980"/>
      <c r="BI35" s="597"/>
      <c r="BJ35" s="597"/>
    </row>
    <row s="1153" customFormat="1" customHeight="1" ht="21.9375" hidden="1">
      <c r="A36" s="1153"/>
      <c r="B36" s="820"/>
      <c r="C36" s="399"/>
      <c r="D36" s="399"/>
      <c r="E36" s="598">
        <v>22.5</v>
      </c>
      <c r="F36" s="50" cm="1" t="str">
        <f t="array" ref="F36:F36">OFFSET(E36,-1,1)</f>
        <v>0</v>
      </c>
      <c r="G36" s="399" t="s">
        <v>541</v>
      </c>
      <c r="H36" s="399"/>
      <c r="I36" s="399"/>
      <c r="J36" s="399"/>
      <c r="K36" s="90" t="str">
        <f>F36&amp;"8komm"</f>
        <v>08komm</v>
      </c>
      <c r="L36" s="901" cm="1" t="str">
        <f t="array" ref="L36:L36">BC36</f>
        <v>0</v>
      </c>
      <c r="M36" s="399"/>
      <c r="N36" s="399"/>
      <c r="O36" s="399"/>
      <c r="P36" s="399"/>
      <c r="Q36" s="399"/>
      <c r="R36" s="399"/>
      <c r="S36" s="399"/>
      <c r="T36" s="439" cm="1" t="str">
        <f t="array" ref="T36:T36">T35</f>
        <v>false</v>
      </c>
      <c r="U36" s="399"/>
      <c r="V36" s="399"/>
      <c r="W36" s="1153"/>
      <c r="X36" s="1482"/>
      <c r="Y36" s="1153"/>
      <c r="Z36" s="1465"/>
      <c r="AA36" s="1153"/>
      <c r="AB36" s="266" t="s">
        <v>565</v>
      </c>
      <c r="AC36" s="425" t="s">
        <v>1168</v>
      </c>
      <c r="AD36" s="267" t="s">
        <v>784</v>
      </c>
      <c r="AE36" s="3199"/>
      <c r="AF36" s="3199"/>
      <c r="AG36" s="3199"/>
      <c r="AH36" s="3199"/>
      <c r="AI36" s="195"/>
      <c r="AJ36" s="3199"/>
      <c r="AK36" s="3199"/>
      <c r="AL36" s="3199"/>
      <c r="AM36" s="3199"/>
      <c r="AN36" s="3199"/>
      <c r="AO36" s="3199"/>
      <c r="AP36" s="3199"/>
      <c r="AQ36" s="3199"/>
      <c r="AR36" s="3199"/>
      <c r="AS36" s="195"/>
      <c r="AT36" s="3199"/>
      <c r="AU36" s="3199"/>
      <c r="AV36" s="3199"/>
      <c r="AW36" s="3199"/>
      <c r="AX36" s="3199"/>
      <c r="AY36" s="3199"/>
      <c r="AZ36" s="3199"/>
      <c r="BA36" s="3199"/>
      <c r="BB36" s="3199"/>
      <c r="BC36" s="1887"/>
      <c r="BD36" s="1153"/>
      <c r="BE36" s="1153"/>
      <c r="BF36" s="980" t="s">
        <v>1169</v>
      </c>
      <c r="BG36" s="980"/>
      <c r="BH36" s="980"/>
      <c r="BI36" s="597"/>
      <c r="BJ36" s="597"/>
    </row>
    <row s="90" customFormat="1" customHeight="1" ht="21.9375" hidden="1">
      <c r="A37" s="90"/>
      <c r="B37" s="820"/>
      <c r="C37" s="399"/>
      <c r="D37" s="399"/>
      <c r="E37" s="598">
        <v>22.5</v>
      </c>
      <c r="F37" s="50" cm="1" t="str">
        <f t="array" ref="F37:F37">OFFSET(E37,-1,1)</f>
        <v>0</v>
      </c>
      <c r="G37" s="399"/>
      <c r="H37" s="399"/>
      <c r="I37" s="399"/>
      <c r="J37" s="399"/>
      <c r="K37" s="90" t="str">
        <f>F37&amp;"9komm"</f>
        <v>09komm</v>
      </c>
      <c r="L37" s="901" cm="1" t="str">
        <f t="array" ref="L37:L37">BC37</f>
        <v>0</v>
      </c>
      <c r="M37" s="399"/>
      <c r="N37" s="399"/>
      <c r="O37" s="399"/>
      <c r="P37" s="399"/>
      <c r="Q37" s="399"/>
      <c r="R37" s="399"/>
      <c r="S37" s="399"/>
      <c r="T37" s="439" cm="1" t="str">
        <f t="array" ref="T37:T37">T36</f>
        <v>false</v>
      </c>
      <c r="U37" s="399"/>
      <c r="V37" s="399"/>
      <c r="W37" s="90"/>
      <c r="X37" s="1482"/>
      <c r="Y37" s="90"/>
      <c r="Z37" s="1465"/>
      <c r="AA37" s="90"/>
      <c r="AB37" s="266" t="s">
        <v>723</v>
      </c>
      <c r="AC37" s="425" t="s">
        <v>1170</v>
      </c>
      <c r="AD37" s="267" t="s">
        <v>784</v>
      </c>
      <c r="AE37" s="3044"/>
      <c r="AF37" s="3044"/>
      <c r="AG37" s="3044"/>
      <c r="AH37" s="3044"/>
      <c r="AI37" s="265"/>
      <c r="AJ37" s="3044"/>
      <c r="AK37" s="3044"/>
      <c r="AL37" s="3044"/>
      <c r="AM37" s="3044"/>
      <c r="AN37" s="3044"/>
      <c r="AO37" s="3044"/>
      <c r="AP37" s="3044"/>
      <c r="AQ37" s="3044"/>
      <c r="AR37" s="3044"/>
      <c r="AS37" s="265"/>
      <c r="AT37" s="3044"/>
      <c r="AU37" s="3044"/>
      <c r="AV37" s="3044"/>
      <c r="AW37" s="3044"/>
      <c r="AX37" s="3044"/>
      <c r="AY37" s="3044"/>
      <c r="AZ37" s="3044"/>
      <c r="BA37" s="3044"/>
      <c r="BB37" s="3044"/>
      <c r="BC37" s="3209"/>
      <c r="BD37" s="90"/>
      <c r="BE37" s="90"/>
      <c r="BF37" s="988" t="s">
        <v>1171</v>
      </c>
      <c r="BG37" s="988"/>
      <c r="BH37" s="988"/>
      <c r="BI37" s="672"/>
      <c r="BJ37" s="672"/>
    </row>
    <row customHeight="1" ht="14.625" hidden="1">
      <c r="A38" s="1153"/>
      <c r="B38" s="873"/>
      <c r="C38" s="869"/>
      <c r="D38" s="869"/>
      <c r="E38" s="870">
        <v>15</v>
      </c>
      <c r="F38" s="50" cm="1" t="str">
        <f t="array" ref="F38:F38">OFFSET(E38,-1,1)</f>
        <v>0</v>
      </c>
      <c r="G38" s="869" t="s">
        <v>556</v>
      </c>
      <c r="H38" s="905"/>
      <c r="I38" s="869"/>
      <c r="J38" s="869"/>
      <c r="K38" s="90" t="str">
        <f>F38&amp;"10komm"</f>
        <v>010komm</v>
      </c>
      <c r="L38" s="901" cm="1" t="str">
        <f t="array" ref="L38:L38">BC38</f>
        <v>0</v>
      </c>
      <c r="M38" s="869"/>
      <c r="N38" s="869"/>
      <c r="O38" s="869"/>
      <c r="P38" s="869"/>
      <c r="Q38" s="869"/>
      <c r="R38" s="869"/>
      <c r="S38" s="869"/>
      <c r="T38" s="439" cm="1" t="str">
        <f t="array" ref="T38:T38">T37</f>
        <v>false</v>
      </c>
      <c r="U38" s="869"/>
      <c r="V38" s="869"/>
      <c r="W38" s="1153"/>
      <c r="X38" s="1482"/>
      <c r="Y38" s="1153"/>
      <c r="Z38" s="1465"/>
      <c r="AA38" s="1153"/>
      <c r="AB38" s="871">
        <v>10</v>
      </c>
      <c r="AC38" s="425" t="s">
        <v>1172</v>
      </c>
      <c r="AD38" s="267" t="s">
        <v>784</v>
      </c>
      <c r="AE38" s="202">
        <f>SUM(AE39:AE40)</f>
        <v>0</v>
      </c>
      <c r="AF38" s="202">
        <f>SUM(AF39:AF40)</f>
        <v>0</v>
      </c>
      <c r="AG38" s="202">
        <f>SUM(AG39:AG40)</f>
        <v>0</v>
      </c>
      <c r="AH38" s="202">
        <f>SUM(AH39:AH40)</f>
        <v>0</v>
      </c>
      <c r="AI38" s="202">
        <f>SUM(AI39:AI40)</f>
        <v>0</v>
      </c>
      <c r="AJ38" s="202">
        <f>SUM(AJ39:AJ40)</f>
        <v>0</v>
      </c>
      <c r="AK38" s="202">
        <f>SUM(AK39:AK40)</f>
        <v>0</v>
      </c>
      <c r="AL38" s="202">
        <f>SUM(AL39:AL40)</f>
        <v>0</v>
      </c>
      <c r="AM38" s="202">
        <f>SUM(AM39:AM40)</f>
        <v>0</v>
      </c>
      <c r="AN38" s="202">
        <f>SUM(AN39:AN40)</f>
        <v>0</v>
      </c>
      <c r="AO38" s="202">
        <f>SUM(AO39:AO40)</f>
        <v>0</v>
      </c>
      <c r="AP38" s="202">
        <f>SUM(AP39:AP40)</f>
        <v>0</v>
      </c>
      <c r="AQ38" s="202">
        <f>SUM(AQ39:AQ40)</f>
        <v>0</v>
      </c>
      <c r="AR38" s="202">
        <f>SUM(AR39:AR40)</f>
        <v>0</v>
      </c>
      <c r="AS38" s="202">
        <f>SUM(AS39:AS40)</f>
        <v>0</v>
      </c>
      <c r="AT38" s="202">
        <f>SUM(AT39:AT40)</f>
        <v>0</v>
      </c>
      <c r="AU38" s="202">
        <f>SUM(AU39:AU40)</f>
        <v>0</v>
      </c>
      <c r="AV38" s="202">
        <f>SUM(AV39:AV40)</f>
        <v>0</v>
      </c>
      <c r="AW38" s="202">
        <f>SUM(AW39:AW40)</f>
        <v>0</v>
      </c>
      <c r="AX38" s="202">
        <f>SUM(AX39:AX40)</f>
        <v>0</v>
      </c>
      <c r="AY38" s="202">
        <f>SUM(AY39:AY40)</f>
        <v>0</v>
      </c>
      <c r="AZ38" s="202">
        <f>SUM(AZ39:AZ40)</f>
        <v>0</v>
      </c>
      <c r="BA38" s="202">
        <f>SUM(BA39:BA40)</f>
        <v>0</v>
      </c>
      <c r="BB38" s="202">
        <f>SUM(BB39:BB40)</f>
        <v>0</v>
      </c>
      <c r="BC38" s="1887"/>
      <c r="BD38" s="1153"/>
      <c r="BE38" s="1153"/>
      <c r="BF38" s="1022" t="s">
        <v>1173</v>
      </c>
      <c r="BG38" s="1253"/>
      <c r="BH38" s="1253"/>
      <c r="BI38" s="1161"/>
      <c r="BJ38" s="1161"/>
    </row>
    <row customHeight="1" ht="14.625" hidden="1">
      <c r="A39" s="88"/>
      <c r="B39" s="820"/>
      <c r="C39" s="399"/>
      <c r="D39" s="399"/>
      <c r="E39" s="598">
        <v>15</v>
      </c>
      <c r="F39" s="50" cm="1" t="str">
        <f t="array" ref="F39:F39">OFFSET(E39,-1,1)</f>
        <v>0</v>
      </c>
      <c r="G39" s="399" t="s">
        <v>556</v>
      </c>
      <c r="H39" s="905"/>
      <c r="I39" s="1064" cm="1" t="str">
        <f t="array" ref="I39:I39">AC39</f>
        <v>0</v>
      </c>
      <c r="J39" s="399"/>
      <c r="K39" s="399"/>
      <c r="L39" s="399"/>
      <c r="M39" s="399"/>
      <c r="N39" s="399"/>
      <c r="O39" s="399"/>
      <c r="P39" s="399"/>
      <c r="Q39" s="399"/>
      <c r="R39" s="399"/>
      <c r="S39" s="399"/>
      <c r="T39" s="439">
        <f>AND(F39&gt;0,Y39&gt;0)</f>
        <v>0</v>
      </c>
      <c r="U39" s="399"/>
      <c r="V39" s="399"/>
      <c r="W39" s="738" t="s">
        <v>173</v>
      </c>
      <c r="X39" s="1482"/>
      <c r="Y39" s="88">
        <v>0</v>
      </c>
      <c r="Z39" s="1465"/>
      <c r="AA39" s="393" t="s">
        <v>174</v>
      </c>
      <c r="AB39" s="670" t="str">
        <f>"10."&amp;Y39</f>
        <v>10.0</v>
      </c>
      <c r="AC39" s="3212"/>
      <c r="AD39" s="267" t="s">
        <v>784</v>
      </c>
      <c r="AE39" s="3199"/>
      <c r="AF39" s="3199"/>
      <c r="AG39" s="3199"/>
      <c r="AH39" s="3199"/>
      <c r="AI39" s="195"/>
      <c r="AJ39" s="3199"/>
      <c r="AK39" s="3199"/>
      <c r="AL39" s="3199"/>
      <c r="AM39" s="3199"/>
      <c r="AN39" s="3199"/>
      <c r="AO39" s="3199"/>
      <c r="AP39" s="3199"/>
      <c r="AQ39" s="3199"/>
      <c r="AR39" s="3199"/>
      <c r="AS39" s="195"/>
      <c r="AT39" s="3199"/>
      <c r="AU39" s="3199"/>
      <c r="AV39" s="3199"/>
      <c r="AW39" s="3199"/>
      <c r="AX39" s="3199"/>
      <c r="AY39" s="3199"/>
      <c r="AZ39" s="3199"/>
      <c r="BA39" s="3199"/>
      <c r="BB39" s="3199"/>
      <c r="BC39" s="1887"/>
      <c r="BD39" s="88"/>
      <c r="BE39" s="1153"/>
      <c r="BF39" s="1022" t="s">
        <v>1173</v>
      </c>
      <c r="BG39" s="1022" t="s">
        <v>1174</v>
      </c>
      <c r="BH39" s="1034" cm="1" t="str">
        <f t="array" ref="BH39:BH39">AC39</f>
        <v>0</v>
      </c>
      <c r="BI39" s="1161"/>
      <c r="BJ39" s="656" t="b">
        <v>1</v>
      </c>
    </row>
    <row s="1153" customFormat="1" customHeight="1" ht="14.625" hidden="1">
      <c r="A40" s="1153"/>
      <c r="B40" s="820"/>
      <c r="C40" s="399"/>
      <c r="D40" s="399"/>
      <c r="E40" s="598">
        <v>15</v>
      </c>
      <c r="F40" s="50" cm="1" t="str">
        <f t="array" ref="F40:F40">OFFSET(E40,-1,1)</f>
        <v>0</v>
      </c>
      <c r="G40" s="399"/>
      <c r="H40" s="1153"/>
      <c r="I40" s="399" t="str">
        <f>"!=='не определено'"</f>
        <v>!=='не определено'</v>
      </c>
      <c r="J40" s="399"/>
      <c r="K40" s="399"/>
      <c r="L40" s="399"/>
      <c r="M40" s="399"/>
      <c r="N40" s="399"/>
      <c r="O40" s="399"/>
      <c r="P40" s="399"/>
      <c r="Q40" s="399"/>
      <c r="R40" s="399"/>
      <c r="S40" s="399"/>
      <c r="T40" s="439">
        <f>F40&gt;0</f>
        <v>0</v>
      </c>
      <c r="U40" s="399"/>
      <c r="V40" s="399"/>
      <c r="W40" s="738" t="s">
        <v>392</v>
      </c>
      <c r="X40" s="1482"/>
      <c r="Y40" s="1153"/>
      <c r="Z40" s="1465"/>
      <c r="AA40" s="1153"/>
      <c r="AB40" s="756"/>
      <c r="AC40" s="227" t="s">
        <v>177</v>
      </c>
      <c r="AD40" s="757"/>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200"/>
      <c r="BD40" s="1153"/>
      <c r="BE40" s="1153"/>
      <c r="BF40" s="980"/>
      <c r="BG40" s="980"/>
      <c r="BH40" s="980"/>
      <c r="BI40" s="597" t="s">
        <v>1174</v>
      </c>
      <c r="BJ40" s="597"/>
    </row>
    <row s="3215" customFormat="1" customHeight="1" ht="14.25">
      <c r="A41" s="1153"/>
      <c r="B41" s="401"/>
      <c r="C41" s="1153"/>
      <c r="D41" s="1153"/>
      <c r="E41" s="597">
        <v>15</v>
      </c>
      <c r="F41" s="64" cm="1" t="str">
        <f t="array" ref="F41:F41">X41</f>
        <v>1</v>
      </c>
      <c r="G41" s="1153"/>
      <c r="H41" s="1153"/>
      <c r="I41" s="1153"/>
      <c r="J41" s="1153"/>
      <c r="K41" s="1153"/>
      <c r="L41" s="1153"/>
      <c r="M41" s="1153"/>
      <c r="N41" s="1153"/>
      <c r="O41" s="1153"/>
      <c r="P41" s="1153"/>
      <c r="Q41" s="1153"/>
      <c r="R41" s="1153"/>
      <c r="S41" s="1153"/>
      <c r="T41" s="439">
        <f>X41&gt;0</f>
        <v>1</v>
      </c>
      <c r="U41" s="1153"/>
      <c r="V41" s="88" cm="1" t="str">
        <f t="array" ref="V41:V41">'Сбытовые расходы ГО'!$AB$39</f>
        <v>Тариф 1 (Водоснабжение) - тариф на техническую воду (Оказание услуг на территории: Прокопьевский муниципальный округ (ОКТМО: 32522000) - п Калачево)</v>
      </c>
      <c r="W41" s="1153"/>
      <c r="X41" s="1482" t="s">
        <v>272</v>
      </c>
      <c r="Y41" s="1153"/>
      <c r="Z41" s="1465"/>
      <c r="AA41" s="1153"/>
      <c r="AB41" s="189" cm="1" t="str">
        <f t="array" ref="AB41:AB41">'Сбытовые расходы ГО'!$AB$39</f>
        <v>Тариф 1 (Водоснабжение) - тариф на техническую воду (Оказание услуг на территории: Прокопьевский муниципальный округ (ОКТМО: 32522000) - п Калачево)</v>
      </c>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153"/>
      <c r="BE41" s="1153"/>
      <c r="BF41" s="980"/>
      <c r="BG41" s="980"/>
      <c r="BH41" s="980"/>
      <c r="BI41" s="597"/>
      <c r="BJ41" s="597"/>
    </row>
    <row s="3216" customFormat="1" customHeight="1" ht="21.75">
      <c r="A42" s="1153"/>
      <c r="B42" s="401"/>
      <c r="C42" s="1153"/>
      <c r="D42" s="1153"/>
      <c r="E42" s="597">
        <v>22.5</v>
      </c>
      <c r="F42" s="50" cm="1" t="str">
        <f t="array" ref="F42:F42">OFFSET(E42,-1,1)</f>
        <v>1</v>
      </c>
      <c r="G42" s="88" t="s">
        <v>1132</v>
      </c>
      <c r="H42" s="1153"/>
      <c r="I42" s="1153"/>
      <c r="J42" s="1153"/>
      <c r="K42" s="90" t="str">
        <f>F42&amp;"komm"</f>
        <v>1komm</v>
      </c>
      <c r="L42" s="901" cm="1" t="str">
        <f t="array" ref="L42:L42">BC42</f>
        <v>0</v>
      </c>
      <c r="M42" s="1153"/>
      <c r="N42" s="1153"/>
      <c r="O42" s="1153"/>
      <c r="P42" s="1153"/>
      <c r="Q42" s="1153"/>
      <c r="R42" s="1153"/>
      <c r="S42" s="1153"/>
      <c r="T42" s="439" cm="1" t="str">
        <f t="array" ref="T42:T42">T41</f>
        <v>true</v>
      </c>
      <c r="U42" s="1153"/>
      <c r="V42" s="1153"/>
      <c r="W42" s="1153"/>
      <c r="X42" s="1482"/>
      <c r="Y42" s="1153"/>
      <c r="Z42" s="1465"/>
      <c r="AA42" s="1153"/>
      <c r="AB42" s="201">
        <v>0</v>
      </c>
      <c r="AC42" s="186" t="s">
        <v>1150</v>
      </c>
      <c r="AD42" s="178" t="s">
        <v>784</v>
      </c>
      <c r="AE42" s="194">
        <f>SUM(AE43:AE52)</f>
        <v>365.9347407579</v>
      </c>
      <c r="AF42" s="194">
        <f>SUM(AF43:AF52)</f>
        <v>487.1680486313</v>
      </c>
      <c r="AG42" s="194">
        <f>SUM(AG43:AG52)</f>
        <v>487.17</v>
      </c>
      <c r="AH42" s="194">
        <f>SUM(AH43:AH52)</f>
        <v>313.7872186209</v>
      </c>
      <c r="AI42" s="194">
        <f>SUM(AI43:AI52)</f>
        <v>488.8704665498</v>
      </c>
      <c r="AJ42" s="194">
        <f>SUM(AJ43:AJ52)</f>
        <v>0</v>
      </c>
      <c r="AK42" s="194">
        <f>SUM(AK43:AK52)</f>
        <v>0</v>
      </c>
      <c r="AL42" s="194">
        <f>SUM(AL43:AL52)</f>
        <v>0</v>
      </c>
      <c r="AM42" s="194">
        <f>SUM(AM43:AM52)</f>
        <v>0</v>
      </c>
      <c r="AN42" s="194">
        <f>SUM(AN43:AN52)</f>
        <v>0</v>
      </c>
      <c r="AO42" s="194">
        <f>SUM(AO43:AO52)</f>
        <v>0</v>
      </c>
      <c r="AP42" s="194">
        <f>SUM(AP43:AP52)</f>
        <v>0</v>
      </c>
      <c r="AQ42" s="194">
        <f>SUM(AQ43:AQ52)</f>
        <v>0</v>
      </c>
      <c r="AR42" s="194">
        <f>SUM(AR43:AR52)</f>
        <v>0</v>
      </c>
      <c r="AS42" s="194">
        <f>SUM(AS43:AS52)</f>
        <v>488.8709465498</v>
      </c>
      <c r="AT42" s="194">
        <f>SUM(AT43:AT52)</f>
        <v>0</v>
      </c>
      <c r="AU42" s="194">
        <f>SUM(AU43:AU52)</f>
        <v>0</v>
      </c>
      <c r="AV42" s="194">
        <f>SUM(AV43:AV52)</f>
        <v>0</v>
      </c>
      <c r="AW42" s="194">
        <f>SUM(AW43:AW52)</f>
        <v>0</v>
      </c>
      <c r="AX42" s="194">
        <f>SUM(AX43:AX52)</f>
        <v>0</v>
      </c>
      <c r="AY42" s="194">
        <f>SUM(AY43:AY52)</f>
        <v>0</v>
      </c>
      <c r="AZ42" s="194">
        <f>SUM(AZ43:AZ52)</f>
        <v>0</v>
      </c>
      <c r="BA42" s="194">
        <f>SUM(BA43:BA52)</f>
        <v>0</v>
      </c>
      <c r="BB42" s="194">
        <f>SUM(BB43:BB52)</f>
        <v>0</v>
      </c>
      <c r="BC42" s="167"/>
      <c r="BD42" s="1153"/>
      <c r="BE42" s="1153"/>
      <c r="BF42" s="980" t="s">
        <v>1151</v>
      </c>
      <c r="BG42" s="980"/>
      <c r="BH42" s="980"/>
      <c r="BI42" s="597"/>
      <c r="BJ42" s="597"/>
    </row>
    <row s="3217" customFormat="1" customHeight="1" ht="14.25">
      <c r="A43" s="1153"/>
      <c r="B43" s="401"/>
      <c r="C43" s="1153"/>
      <c r="D43" s="1153"/>
      <c r="E43" s="597">
        <v>15</v>
      </c>
      <c r="F43" s="50" cm="1" t="str">
        <f t="array" ref="F43:F43">OFFSET(E43,-1,1)</f>
        <v>1</v>
      </c>
      <c r="G43" s="88" t="s">
        <v>325</v>
      </c>
      <c r="H43" s="1153"/>
      <c r="I43" s="1153"/>
      <c r="J43" s="1153"/>
      <c r="K43" s="90" t="str">
        <f>F43&amp;"1komm"</f>
        <v>11komm</v>
      </c>
      <c r="L43" s="901" cm="1" t="str">
        <f t="array" ref="L43:L43">BC43</f>
        <v>0</v>
      </c>
      <c r="M43" s="1153"/>
      <c r="N43" s="1153"/>
      <c r="O43" s="1153"/>
      <c r="P43" s="1153"/>
      <c r="Q43" s="1153"/>
      <c r="R43" s="1153"/>
      <c r="S43" s="1153"/>
      <c r="T43" s="439" cm="1" t="str">
        <f t="array" ref="T43:T43">T42</f>
        <v>true</v>
      </c>
      <c r="U43" s="1153"/>
      <c r="V43" s="1153"/>
      <c r="W43" s="1153"/>
      <c r="X43" s="1482"/>
      <c r="Y43" s="1153"/>
      <c r="Z43" s="1465"/>
      <c r="AA43" s="1153"/>
      <c r="AB43" s="266" t="s">
        <v>272</v>
      </c>
      <c r="AC43" s="425" t="s">
        <v>1152</v>
      </c>
      <c r="AD43" s="267" t="s">
        <v>784</v>
      </c>
      <c r="AE43" s="195"/>
      <c r="AF43" s="196"/>
      <c r="AG43" s="196"/>
      <c r="AH43" s="196"/>
      <c r="AI43" s="196"/>
      <c r="AJ43" s="3159"/>
      <c r="AK43" s="3159"/>
      <c r="AL43" s="196"/>
      <c r="AM43" s="196"/>
      <c r="AN43" s="196"/>
      <c r="AO43" s="196"/>
      <c r="AP43" s="196"/>
      <c r="AQ43" s="196"/>
      <c r="AR43" s="196"/>
      <c r="AS43" s="196"/>
      <c r="AT43" s="3159"/>
      <c r="AU43" s="3159"/>
      <c r="AV43" s="196"/>
      <c r="AW43" s="196"/>
      <c r="AX43" s="196"/>
      <c r="AY43" s="196"/>
      <c r="AZ43" s="196"/>
      <c r="BA43" s="196"/>
      <c r="BB43" s="196"/>
      <c r="BC43" s="167"/>
      <c r="BD43" s="1153"/>
      <c r="BE43" s="1153"/>
      <c r="BF43" s="980" t="s">
        <v>1153</v>
      </c>
      <c r="BG43" s="980"/>
      <c r="BH43" s="980"/>
      <c r="BI43" s="597"/>
      <c r="BJ43" s="597"/>
    </row>
    <row s="3218" customFormat="1" customHeight="1" ht="96.75">
      <c r="A44" s="1153"/>
      <c r="B44" s="820"/>
      <c r="C44" s="399"/>
      <c r="D44" s="399"/>
      <c r="E44" s="598">
        <v>22.5</v>
      </c>
      <c r="F44" s="50" cm="1" t="str">
        <f t="array" ref="F44:F44">OFFSET(E44,-1,1)</f>
        <v>1</v>
      </c>
      <c r="G44" s="399" t="s">
        <v>326</v>
      </c>
      <c r="H44" s="399"/>
      <c r="I44" s="399"/>
      <c r="J44" s="399"/>
      <c r="K44" s="90" t="str">
        <f>F44&amp;"2komm"</f>
        <v>12komm</v>
      </c>
      <c r="L44" s="901" cm="1" t="str">
        <f t="array" ref="L44:L44">BC44</f>
        <v>По предложению организации, так как не превышает расчет регулятора (участок 42:10:01 07 003:25 по факту 2024 года в доле площади, относимой к тарифу (224,9 тыс. руб.))</v>
      </c>
      <c r="M44" s="399"/>
      <c r="N44" s="399"/>
      <c r="O44" s="399"/>
      <c r="P44" s="399"/>
      <c r="Q44" s="399"/>
      <c r="R44" s="399"/>
      <c r="S44" s="399"/>
      <c r="T44" s="439" cm="1" t="str">
        <f t="array" ref="T44:T44">T43</f>
        <v>true</v>
      </c>
      <c r="U44" s="399"/>
      <c r="V44" s="399"/>
      <c r="W44" s="1153"/>
      <c r="X44" s="1482"/>
      <c r="Y44" s="1153"/>
      <c r="Z44" s="1465"/>
      <c r="AA44" s="1153"/>
      <c r="AB44" s="266" t="s">
        <v>283</v>
      </c>
      <c r="AC44" s="425" t="s">
        <v>1154</v>
      </c>
      <c r="AD44" s="267" t="s">
        <v>784</v>
      </c>
      <c r="AE44" s="195">
        <v>76.3655694246</v>
      </c>
      <c r="AF44" s="196">
        <v>223.7037642913</v>
      </c>
      <c r="AG44" s="196">
        <v>223.7</v>
      </c>
      <c r="AH44" s="196">
        <v>103.4538612948</v>
      </c>
      <c r="AI44" s="196">
        <v>223.7037642913</v>
      </c>
      <c r="AJ44" s="3159"/>
      <c r="AK44" s="3159"/>
      <c r="AL44" s="196"/>
      <c r="AM44" s="196"/>
      <c r="AN44" s="196"/>
      <c r="AO44" s="196"/>
      <c r="AP44" s="196"/>
      <c r="AQ44" s="196"/>
      <c r="AR44" s="196"/>
      <c r="AS44" s="196">
        <v>223.7037642913</v>
      </c>
      <c r="AT44" s="3159"/>
      <c r="AU44" s="3159"/>
      <c r="AV44" s="196"/>
      <c r="AW44" s="196"/>
      <c r="AX44" s="196"/>
      <c r="AY44" s="196"/>
      <c r="AZ44" s="196"/>
      <c r="BA44" s="196"/>
      <c r="BB44" s="196"/>
      <c r="BC44" s="167" t="s">
        <v>1175</v>
      </c>
      <c r="BD44" s="1153"/>
      <c r="BE44" s="1153"/>
      <c r="BF44" s="980" t="s">
        <v>1155</v>
      </c>
      <c r="BG44" s="980"/>
      <c r="BH44" s="980"/>
      <c r="BI44" s="597"/>
      <c r="BJ44" s="597"/>
    </row>
    <row s="3219" customFormat="1" customHeight="1" ht="21.75">
      <c r="A45" s="1153"/>
      <c r="B45" s="820"/>
      <c r="C45" s="399"/>
      <c r="D45" s="399"/>
      <c r="E45" s="598">
        <v>22.5</v>
      </c>
      <c r="F45" s="50" cm="1" t="str">
        <f t="array" ref="F45:F45">OFFSET(E45,-1,1)</f>
        <v>1</v>
      </c>
      <c r="G45" s="399" t="s">
        <v>327</v>
      </c>
      <c r="H45" s="399" t="s">
        <v>1156</v>
      </c>
      <c r="I45" s="399"/>
      <c r="J45" s="399"/>
      <c r="K45" s="90" t="str">
        <f>F45&amp;"3komm"</f>
        <v>13komm</v>
      </c>
      <c r="L45" s="901" cm="1" t="str">
        <f t="array" ref="L45:L45">BC45</f>
        <v>0</v>
      </c>
      <c r="M45" s="399"/>
      <c r="N45" s="399"/>
      <c r="O45" s="399"/>
      <c r="P45" s="399"/>
      <c r="Q45" s="399"/>
      <c r="R45" s="399"/>
      <c r="S45" s="399"/>
      <c r="T45" s="439" cm="1" t="str">
        <f t="array" ref="T45:T45">T44</f>
        <v>true</v>
      </c>
      <c r="U45" s="399"/>
      <c r="V45" s="399"/>
      <c r="W45" s="1153"/>
      <c r="X45" s="1482"/>
      <c r="Y45" s="1153"/>
      <c r="Z45" s="1465"/>
      <c r="AA45" s="1153"/>
      <c r="AB45" s="266" t="s">
        <v>323</v>
      </c>
      <c r="AC45" s="425" t="s">
        <v>1157</v>
      </c>
      <c r="AD45" s="267" t="s">
        <v>784</v>
      </c>
      <c r="AE45" s="195"/>
      <c r="AF45" s="196"/>
      <c r="AG45" s="196"/>
      <c r="AH45" s="196"/>
      <c r="AI45" s="196"/>
      <c r="AJ45" s="3159"/>
      <c r="AK45" s="3159"/>
      <c r="AL45" s="196"/>
      <c r="AM45" s="196"/>
      <c r="AN45" s="196"/>
      <c r="AO45" s="196"/>
      <c r="AP45" s="196"/>
      <c r="AQ45" s="196"/>
      <c r="AR45" s="196"/>
      <c r="AS45" s="196"/>
      <c r="AT45" s="3159"/>
      <c r="AU45" s="3159"/>
      <c r="AV45" s="196"/>
      <c r="AW45" s="196"/>
      <c r="AX45" s="196"/>
      <c r="AY45" s="196"/>
      <c r="AZ45" s="196"/>
      <c r="BA45" s="196"/>
      <c r="BB45" s="196"/>
      <c r="BC45" s="167"/>
      <c r="BD45" s="1153"/>
      <c r="BE45" s="1153"/>
      <c r="BF45" s="980" t="s">
        <v>1158</v>
      </c>
      <c r="BG45" s="980"/>
      <c r="BH45" s="980"/>
      <c r="BI45" s="597"/>
      <c r="BJ45" s="597"/>
    </row>
    <row s="1621" customFormat="1" customHeight="1" ht="107.25">
      <c r="A46" s="1153"/>
      <c r="B46" s="873"/>
      <c r="C46" s="869"/>
      <c r="D46" s="869"/>
      <c r="E46" s="870">
        <v>15</v>
      </c>
      <c r="F46" s="50" cm="1" t="str">
        <f t="array" ref="F46:F46">OFFSET(E46,-1,1)</f>
        <v>1</v>
      </c>
      <c r="G46" s="869" t="s">
        <v>329</v>
      </c>
      <c r="H46" s="869"/>
      <c r="I46" s="869"/>
      <c r="J46" s="869"/>
      <c r="K46" s="90" t="str">
        <f>F46&amp;"4komm"</f>
        <v>14komm</v>
      </c>
      <c r="L46" s="901" cm="1" t="str">
        <f t="array" ref="L46:L46">BC46</f>
        <v>По предложению организации, так как не превышает расчет регулятора (271,8 тыс. руб.) исходя из объема поднятой воды и ставок водного налога в соответствии с Налоговым кодексом  РФ</v>
      </c>
      <c r="M46" s="869"/>
      <c r="N46" s="869"/>
      <c r="O46" s="869"/>
      <c r="P46" s="869"/>
      <c r="Q46" s="869"/>
      <c r="R46" s="869"/>
      <c r="S46" s="869"/>
      <c r="T46" s="439" cm="1" t="str">
        <f t="array" ref="T46:T46">T45</f>
        <v>true</v>
      </c>
      <c r="U46" s="869"/>
      <c r="V46" s="869"/>
      <c r="W46" s="1153"/>
      <c r="X46" s="1482"/>
      <c r="Y46" s="1153"/>
      <c r="Z46" s="1465"/>
      <c r="AA46" s="1153"/>
      <c r="AB46" s="871">
        <v>4</v>
      </c>
      <c r="AC46" s="425" t="s">
        <v>1159</v>
      </c>
      <c r="AD46" s="267" t="s">
        <v>784</v>
      </c>
      <c r="AE46" s="197">
        <v>245.2838808</v>
      </c>
      <c r="AF46" s="197">
        <v>219.179</v>
      </c>
      <c r="AG46" s="197">
        <v>219.18</v>
      </c>
      <c r="AH46" s="197">
        <v>175.72926</v>
      </c>
      <c r="AI46" s="197">
        <v>240.31952</v>
      </c>
      <c r="AJ46" s="3206"/>
      <c r="AK46" s="3206"/>
      <c r="AL46" s="197"/>
      <c r="AM46" s="197"/>
      <c r="AN46" s="197"/>
      <c r="AO46" s="197"/>
      <c r="AP46" s="197"/>
      <c r="AQ46" s="197"/>
      <c r="AR46" s="197"/>
      <c r="AS46" s="197">
        <v>240.32</v>
      </c>
      <c r="AT46" s="3206"/>
      <c r="AU46" s="3206"/>
      <c r="AV46" s="197"/>
      <c r="AW46" s="197"/>
      <c r="AX46" s="197"/>
      <c r="AY46" s="197"/>
      <c r="AZ46" s="197"/>
      <c r="BA46" s="197"/>
      <c r="BB46" s="197"/>
      <c r="BC46" s="167" t="s">
        <v>1176</v>
      </c>
      <c r="BD46" s="1153"/>
      <c r="BE46" s="1153"/>
      <c r="BF46" s="1022" t="s">
        <v>1160</v>
      </c>
      <c r="BG46" s="1253"/>
      <c r="BH46" s="1253"/>
      <c r="BI46" s="1161"/>
      <c r="BJ46" s="1161"/>
    </row>
    <row s="3220" customFormat="1" customHeight="1" ht="14.25">
      <c r="A47" s="1153"/>
      <c r="B47" s="820"/>
      <c r="C47" s="399"/>
      <c r="D47" s="399"/>
      <c r="E47" s="598">
        <v>15</v>
      </c>
      <c r="F47" s="50" cm="1" t="str">
        <f t="array" ref="F47:F47">OFFSET(E47,-1,1)</f>
        <v>1</v>
      </c>
      <c r="G47" s="399" t="s">
        <v>328</v>
      </c>
      <c r="H47" s="399"/>
      <c r="I47" s="399"/>
      <c r="J47" s="399"/>
      <c r="K47" s="90" t="str">
        <f>F47&amp;"5komm"</f>
        <v>15komm</v>
      </c>
      <c r="L47" s="901" cm="1" t="str">
        <f t="array" ref="L47:L47">BC47</f>
        <v>0</v>
      </c>
      <c r="M47" s="399"/>
      <c r="N47" s="399"/>
      <c r="O47" s="399"/>
      <c r="P47" s="399"/>
      <c r="Q47" s="399"/>
      <c r="R47" s="399"/>
      <c r="S47" s="399"/>
      <c r="T47" s="439" cm="1" t="str">
        <f t="array" ref="T47:T47">T46</f>
        <v>true</v>
      </c>
      <c r="U47" s="399"/>
      <c r="V47" s="399"/>
      <c r="W47" s="1153"/>
      <c r="X47" s="1482"/>
      <c r="Y47" s="1153"/>
      <c r="Z47" s="1465"/>
      <c r="AA47" s="1153"/>
      <c r="AB47" s="266" t="s">
        <v>492</v>
      </c>
      <c r="AC47" s="425" t="s">
        <v>1161</v>
      </c>
      <c r="AD47" s="267" t="s">
        <v>784</v>
      </c>
      <c r="AE47" s="195"/>
      <c r="AF47" s="195"/>
      <c r="AG47" s="195"/>
      <c r="AH47" s="195"/>
      <c r="AI47" s="195"/>
      <c r="AJ47" s="3199"/>
      <c r="AK47" s="3199"/>
      <c r="AL47" s="195"/>
      <c r="AM47" s="195"/>
      <c r="AN47" s="195"/>
      <c r="AO47" s="195"/>
      <c r="AP47" s="195"/>
      <c r="AQ47" s="195"/>
      <c r="AR47" s="195"/>
      <c r="AS47" s="195"/>
      <c r="AT47" s="3199"/>
      <c r="AU47" s="3199"/>
      <c r="AV47" s="195"/>
      <c r="AW47" s="195"/>
      <c r="AX47" s="195"/>
      <c r="AY47" s="195"/>
      <c r="AZ47" s="195"/>
      <c r="BA47" s="195"/>
      <c r="BB47" s="195"/>
      <c r="BC47" s="167"/>
      <c r="BD47" s="1153"/>
      <c r="BE47" s="1153"/>
      <c r="BF47" s="980" t="s">
        <v>1162</v>
      </c>
      <c r="BG47" s="980"/>
      <c r="BH47" s="980"/>
      <c r="BI47" s="597"/>
      <c r="BJ47" s="597"/>
    </row>
    <row s="3221" customFormat="1" customHeight="1" ht="86.25">
      <c r="A48" s="1153"/>
      <c r="B48" s="820"/>
      <c r="C48" s="399"/>
      <c r="D48" s="399"/>
      <c r="E48" s="598">
        <v>15</v>
      </c>
      <c r="F48" s="50" cm="1" t="str">
        <f t="array" ref="F48:F48">OFFSET(E48,-1,1)</f>
        <v>1</v>
      </c>
      <c r="G48" s="399" t="s">
        <v>491</v>
      </c>
      <c r="H48" s="399"/>
      <c r="I48" s="399"/>
      <c r="J48" s="399"/>
      <c r="K48" s="90" t="str">
        <f>F48&amp;"6komm"</f>
        <v>16komm</v>
      </c>
      <c r="L48" s="901" cm="1" t="str">
        <f t="array" ref="L48:L48">BC48</f>
        <v>По предложению организации, так как не превышает расчет регулятор в соответствии с НК РФ (исходя из остаточной стоимости объектов) 34,6 тыс. руб.</v>
      </c>
      <c r="M48" s="399"/>
      <c r="N48" s="399"/>
      <c r="O48" s="399"/>
      <c r="P48" s="399"/>
      <c r="Q48" s="399"/>
      <c r="R48" s="399"/>
      <c r="S48" s="399"/>
      <c r="T48" s="439" cm="1" t="str">
        <f t="array" ref="T48:T48">T47</f>
        <v>true</v>
      </c>
      <c r="U48" s="399"/>
      <c r="V48" s="399"/>
      <c r="W48" s="1153"/>
      <c r="X48" s="1482"/>
      <c r="Y48" s="1153"/>
      <c r="Z48" s="1465"/>
      <c r="AA48" s="1153"/>
      <c r="AB48" s="266" t="s">
        <v>496</v>
      </c>
      <c r="AC48" s="425" t="s">
        <v>1163</v>
      </c>
      <c r="AD48" s="267" t="s">
        <v>784</v>
      </c>
      <c r="AE48" s="195">
        <v>44.2852905333</v>
      </c>
      <c r="AF48" s="195">
        <v>44.28528434</v>
      </c>
      <c r="AG48" s="195">
        <v>44.29</v>
      </c>
      <c r="AH48" s="195">
        <v>34.6040973261</v>
      </c>
      <c r="AI48" s="195">
        <v>24.8471822585</v>
      </c>
      <c r="AJ48" s="3199"/>
      <c r="AK48" s="3199"/>
      <c r="AL48" s="195"/>
      <c r="AM48" s="195"/>
      <c r="AN48" s="195"/>
      <c r="AO48" s="195"/>
      <c r="AP48" s="195"/>
      <c r="AQ48" s="195"/>
      <c r="AR48" s="195"/>
      <c r="AS48" s="195">
        <v>24.8471822585</v>
      </c>
      <c r="AT48" s="3199"/>
      <c r="AU48" s="3199"/>
      <c r="AV48" s="195"/>
      <c r="AW48" s="195"/>
      <c r="AX48" s="195"/>
      <c r="AY48" s="195"/>
      <c r="AZ48" s="195"/>
      <c r="BA48" s="195"/>
      <c r="BB48" s="195"/>
      <c r="BC48" s="167" t="s">
        <v>1177</v>
      </c>
      <c r="BD48" s="1153"/>
      <c r="BE48" s="1153"/>
      <c r="BF48" s="980" t="s">
        <v>1164</v>
      </c>
      <c r="BG48" s="980"/>
      <c r="BH48" s="980"/>
      <c r="BI48" s="597"/>
      <c r="BJ48" s="597"/>
    </row>
    <row s="3222" customFormat="1" customHeight="1" ht="14.25">
      <c r="A49" s="1153"/>
      <c r="B49" s="820"/>
      <c r="C49" s="399"/>
      <c r="D49" s="399"/>
      <c r="E49" s="598">
        <v>15</v>
      </c>
      <c r="F49" s="50" cm="1" t="str">
        <f t="array" ref="F49:F49">OFFSET(E49,-1,1)</f>
        <v>1</v>
      </c>
      <c r="G49" s="399" t="s">
        <v>495</v>
      </c>
      <c r="H49" s="399" t="s">
        <v>1165</v>
      </c>
      <c r="I49" s="399"/>
      <c r="J49" s="399"/>
      <c r="K49" s="90" t="str">
        <f>F49&amp;"7komm"</f>
        <v>17komm</v>
      </c>
      <c r="L49" s="901" cm="1" t="str">
        <f t="array" ref="L49:L49">BC49</f>
        <v>0</v>
      </c>
      <c r="M49" s="399"/>
      <c r="N49" s="399"/>
      <c r="O49" s="399"/>
      <c r="P49" s="399"/>
      <c r="Q49" s="399"/>
      <c r="R49" s="399"/>
      <c r="S49" s="399"/>
      <c r="T49" s="439" cm="1" t="str">
        <f t="array" ref="T49:T49">T48</f>
        <v>true</v>
      </c>
      <c r="U49" s="399"/>
      <c r="V49" s="399"/>
      <c r="W49" s="1153"/>
      <c r="X49" s="1482"/>
      <c r="Y49" s="1153"/>
      <c r="Z49" s="1465"/>
      <c r="AA49" s="1153"/>
      <c r="AB49" s="266" t="s">
        <v>557</v>
      </c>
      <c r="AC49" s="425" t="s">
        <v>1166</v>
      </c>
      <c r="AD49" s="267" t="s">
        <v>784</v>
      </c>
      <c r="AE49" s="195"/>
      <c r="AF49" s="195"/>
      <c r="AG49" s="195"/>
      <c r="AH49" s="195"/>
      <c r="AI49" s="195"/>
      <c r="AJ49" s="3199"/>
      <c r="AK49" s="3199"/>
      <c r="AL49" s="195"/>
      <c r="AM49" s="195"/>
      <c r="AN49" s="195"/>
      <c r="AO49" s="195"/>
      <c r="AP49" s="195"/>
      <c r="AQ49" s="195"/>
      <c r="AR49" s="195"/>
      <c r="AS49" s="195"/>
      <c r="AT49" s="3199"/>
      <c r="AU49" s="3199"/>
      <c r="AV49" s="195"/>
      <c r="AW49" s="195"/>
      <c r="AX49" s="195"/>
      <c r="AY49" s="195"/>
      <c r="AZ49" s="195"/>
      <c r="BA49" s="195"/>
      <c r="BB49" s="195"/>
      <c r="BC49" s="167"/>
      <c r="BD49" s="1153"/>
      <c r="BE49" s="1153"/>
      <c r="BF49" s="980" t="s">
        <v>1167</v>
      </c>
      <c r="BG49" s="980"/>
      <c r="BH49" s="980"/>
      <c r="BI49" s="597"/>
      <c r="BJ49" s="597"/>
    </row>
    <row s="3223" customFormat="1" customHeight="1" ht="21.75">
      <c r="A50" s="1153"/>
      <c r="B50" s="820"/>
      <c r="C50" s="399"/>
      <c r="D50" s="399"/>
      <c r="E50" s="598">
        <v>22.5</v>
      </c>
      <c r="F50" s="50" cm="1" t="str">
        <f t="array" ref="F50:F50">OFFSET(E50,-1,1)</f>
        <v>1</v>
      </c>
      <c r="G50" s="399" t="s">
        <v>541</v>
      </c>
      <c r="H50" s="399"/>
      <c r="I50" s="399"/>
      <c r="J50" s="399"/>
      <c r="K50" s="90" t="str">
        <f>F50&amp;"8komm"</f>
        <v>18komm</v>
      </c>
      <c r="L50" s="901" cm="1" t="str">
        <f t="array" ref="L50:L50">BC50</f>
        <v>0</v>
      </c>
      <c r="M50" s="399"/>
      <c r="N50" s="399"/>
      <c r="O50" s="399"/>
      <c r="P50" s="399"/>
      <c r="Q50" s="399"/>
      <c r="R50" s="399"/>
      <c r="S50" s="399"/>
      <c r="T50" s="439" cm="1" t="str">
        <f t="array" ref="T50:T50">T49</f>
        <v>true</v>
      </c>
      <c r="U50" s="399"/>
      <c r="V50" s="399"/>
      <c r="W50" s="1153"/>
      <c r="X50" s="1482"/>
      <c r="Y50" s="1153"/>
      <c r="Z50" s="1465"/>
      <c r="AA50" s="1153"/>
      <c r="AB50" s="266" t="s">
        <v>565</v>
      </c>
      <c r="AC50" s="425" t="s">
        <v>1168</v>
      </c>
      <c r="AD50" s="267" t="s">
        <v>784</v>
      </c>
      <c r="AE50" s="195"/>
      <c r="AF50" s="195"/>
      <c r="AG50" s="195"/>
      <c r="AH50" s="195"/>
      <c r="AI50" s="195"/>
      <c r="AJ50" s="3199"/>
      <c r="AK50" s="3199"/>
      <c r="AL50" s="195"/>
      <c r="AM50" s="195"/>
      <c r="AN50" s="195"/>
      <c r="AO50" s="195"/>
      <c r="AP50" s="195"/>
      <c r="AQ50" s="195"/>
      <c r="AR50" s="195"/>
      <c r="AS50" s="195"/>
      <c r="AT50" s="3199"/>
      <c r="AU50" s="3199"/>
      <c r="AV50" s="195"/>
      <c r="AW50" s="195"/>
      <c r="AX50" s="195"/>
      <c r="AY50" s="195"/>
      <c r="AZ50" s="195"/>
      <c r="BA50" s="195"/>
      <c r="BB50" s="195"/>
      <c r="BC50" s="167"/>
      <c r="BD50" s="1153"/>
      <c r="BE50" s="1153"/>
      <c r="BF50" s="980" t="s">
        <v>1169</v>
      </c>
      <c r="BG50" s="980"/>
      <c r="BH50" s="980"/>
      <c r="BI50" s="597"/>
      <c r="BJ50" s="597"/>
    </row>
    <row s="90" customFormat="1" customHeight="1" ht="21.75">
      <c r="A51" s="90"/>
      <c r="B51" s="820"/>
      <c r="C51" s="399"/>
      <c r="D51" s="399"/>
      <c r="E51" s="598">
        <v>22.5</v>
      </c>
      <c r="F51" s="50" cm="1" t="str">
        <f t="array" ref="F51:F51">OFFSET(E51,-1,1)</f>
        <v>1</v>
      </c>
      <c r="G51" s="399"/>
      <c r="H51" s="399"/>
      <c r="I51" s="399"/>
      <c r="J51" s="399"/>
      <c r="K51" s="90" t="str">
        <f>F51&amp;"9komm"</f>
        <v>19komm</v>
      </c>
      <c r="L51" s="901" cm="1" t="str">
        <f t="array" ref="L51:L51">BC51</f>
        <v>0</v>
      </c>
      <c r="M51" s="399"/>
      <c r="N51" s="399"/>
      <c r="O51" s="399"/>
      <c r="P51" s="399"/>
      <c r="Q51" s="399"/>
      <c r="R51" s="399"/>
      <c r="S51" s="399"/>
      <c r="T51" s="439" cm="1" t="str">
        <f t="array" ref="T51:T51">T50</f>
        <v>true</v>
      </c>
      <c r="U51" s="399"/>
      <c r="V51" s="399"/>
      <c r="W51" s="90"/>
      <c r="X51" s="1482"/>
      <c r="Y51" s="90"/>
      <c r="Z51" s="1465"/>
      <c r="AA51" s="90"/>
      <c r="AB51" s="266" t="s">
        <v>723</v>
      </c>
      <c r="AC51" s="425" t="s">
        <v>1170</v>
      </c>
      <c r="AD51" s="267" t="s">
        <v>784</v>
      </c>
      <c r="AE51" s="265"/>
      <c r="AF51" s="265"/>
      <c r="AG51" s="265"/>
      <c r="AH51" s="265"/>
      <c r="AI51" s="265"/>
      <c r="AJ51" s="3044"/>
      <c r="AK51" s="3044"/>
      <c r="AL51" s="265"/>
      <c r="AM51" s="265"/>
      <c r="AN51" s="265"/>
      <c r="AO51" s="265"/>
      <c r="AP51" s="265"/>
      <c r="AQ51" s="265"/>
      <c r="AR51" s="265"/>
      <c r="AS51" s="265"/>
      <c r="AT51" s="3044"/>
      <c r="AU51" s="3044"/>
      <c r="AV51" s="265"/>
      <c r="AW51" s="265"/>
      <c r="AX51" s="265"/>
      <c r="AY51" s="265"/>
      <c r="AZ51" s="265"/>
      <c r="BA51" s="265"/>
      <c r="BB51" s="265"/>
      <c r="BC51" s="755"/>
      <c r="BD51" s="90"/>
      <c r="BE51" s="90"/>
      <c r="BF51" s="988" t="s">
        <v>1171</v>
      </c>
      <c r="BG51" s="988"/>
      <c r="BH51" s="988"/>
      <c r="BI51" s="672"/>
      <c r="BJ51" s="672"/>
    </row>
    <row s="1621" customFormat="1" customHeight="1" ht="14.25">
      <c r="A52" s="1153"/>
      <c r="B52" s="873"/>
      <c r="C52" s="869"/>
      <c r="D52" s="869"/>
      <c r="E52" s="870">
        <v>15</v>
      </c>
      <c r="F52" s="50" cm="1" t="str">
        <f t="array" ref="F52:F52">OFFSET(E52,-1,1)</f>
        <v>1</v>
      </c>
      <c r="G52" s="869" t="s">
        <v>556</v>
      </c>
      <c r="H52" s="905"/>
      <c r="I52" s="869"/>
      <c r="J52" s="869"/>
      <c r="K52" s="90" t="str">
        <f>F52&amp;"10komm"</f>
        <v>110komm</v>
      </c>
      <c r="L52" s="901" cm="1" t="str">
        <f t="array" ref="L52:L52">BC52</f>
        <v>0</v>
      </c>
      <c r="M52" s="869"/>
      <c r="N52" s="869"/>
      <c r="O52" s="869"/>
      <c r="P52" s="869"/>
      <c r="Q52" s="869"/>
      <c r="R52" s="869"/>
      <c r="S52" s="869"/>
      <c r="T52" s="439" cm="1" t="str">
        <f t="array" ref="T52:T52">T51</f>
        <v>true</v>
      </c>
      <c r="U52" s="869"/>
      <c r="V52" s="869"/>
      <c r="W52" s="1153"/>
      <c r="X52" s="1482"/>
      <c r="Y52" s="1153"/>
      <c r="Z52" s="1465"/>
      <c r="AA52" s="1153"/>
      <c r="AB52" s="871">
        <v>10</v>
      </c>
      <c r="AC52" s="425" t="s">
        <v>1172</v>
      </c>
      <c r="AD52" s="267" t="s">
        <v>784</v>
      </c>
      <c r="AE52" s="202">
        <f>SUM(AE53:AE54)</f>
        <v>0</v>
      </c>
      <c r="AF52" s="202">
        <f>SUM(AF53:AF54)</f>
        <v>0</v>
      </c>
      <c r="AG52" s="202">
        <f>SUM(AG53:AG54)</f>
        <v>0</v>
      </c>
      <c r="AH52" s="202">
        <f>SUM(AH53:AH54)</f>
        <v>0</v>
      </c>
      <c r="AI52" s="202">
        <f>SUM(AI53:AI54)</f>
        <v>0</v>
      </c>
      <c r="AJ52" s="202">
        <f>SUM(AJ53:AJ54)</f>
        <v>0</v>
      </c>
      <c r="AK52" s="202">
        <f>SUM(AK53:AK54)</f>
        <v>0</v>
      </c>
      <c r="AL52" s="202">
        <f>SUM(AL53:AL54)</f>
        <v>0</v>
      </c>
      <c r="AM52" s="202">
        <f>SUM(AM53:AM54)</f>
        <v>0</v>
      </c>
      <c r="AN52" s="202">
        <f>SUM(AN53:AN54)</f>
        <v>0</v>
      </c>
      <c r="AO52" s="202">
        <f>SUM(AO53:AO54)</f>
        <v>0</v>
      </c>
      <c r="AP52" s="202">
        <f>SUM(AP53:AP54)</f>
        <v>0</v>
      </c>
      <c r="AQ52" s="202">
        <f>SUM(AQ53:AQ54)</f>
        <v>0</v>
      </c>
      <c r="AR52" s="202">
        <f>SUM(AR53:AR54)</f>
        <v>0</v>
      </c>
      <c r="AS52" s="202">
        <f>SUM(AS53:AS54)</f>
        <v>0</v>
      </c>
      <c r="AT52" s="202">
        <f>SUM(AT53:AT54)</f>
        <v>0</v>
      </c>
      <c r="AU52" s="202">
        <f>SUM(AU53:AU54)</f>
        <v>0</v>
      </c>
      <c r="AV52" s="202">
        <f>SUM(AV53:AV54)</f>
        <v>0</v>
      </c>
      <c r="AW52" s="202">
        <f>SUM(AW53:AW54)</f>
        <v>0</v>
      </c>
      <c r="AX52" s="202">
        <f>SUM(AX53:AX54)</f>
        <v>0</v>
      </c>
      <c r="AY52" s="202">
        <f>SUM(AY53:AY54)</f>
        <v>0</v>
      </c>
      <c r="AZ52" s="202">
        <f>SUM(AZ53:AZ54)</f>
        <v>0</v>
      </c>
      <c r="BA52" s="202">
        <f>SUM(BA53:BA54)</f>
        <v>0</v>
      </c>
      <c r="BB52" s="202">
        <f>SUM(BB53:BB54)</f>
        <v>0</v>
      </c>
      <c r="BC52" s="167"/>
      <c r="BD52" s="1153"/>
      <c r="BE52" s="1153"/>
      <c r="BF52" s="1022" t="s">
        <v>1173</v>
      </c>
      <c r="BG52" s="1253"/>
      <c r="BH52" s="1253"/>
      <c r="BI52" s="1161"/>
      <c r="BJ52" s="1161"/>
    </row>
    <row s="1621" customFormat="1" customHeight="1" ht="14.25" hidden="1">
      <c r="A53" s="88"/>
      <c r="B53" s="820"/>
      <c r="C53" s="399"/>
      <c r="D53" s="399"/>
      <c r="E53" s="598">
        <v>15</v>
      </c>
      <c r="F53" s="50" cm="1" t="str">
        <f t="array" ref="F53:F53">OFFSET(E53,-1,1)</f>
        <v>1</v>
      </c>
      <c r="G53" s="399" t="s">
        <v>556</v>
      </c>
      <c r="H53" s="905"/>
      <c r="I53" s="1064" cm="1" t="str">
        <f t="array" ref="I53:I53">AC53</f>
        <v>0</v>
      </c>
      <c r="J53" s="399"/>
      <c r="K53" s="399"/>
      <c r="L53" s="399"/>
      <c r="M53" s="399"/>
      <c r="N53" s="399"/>
      <c r="O53" s="399"/>
      <c r="P53" s="399"/>
      <c r="Q53" s="399"/>
      <c r="R53" s="399"/>
      <c r="S53" s="399"/>
      <c r="T53" s="439">
        <f>AND(F53&gt;0,Y53&gt;0)</f>
        <v>0</v>
      </c>
      <c r="U53" s="399"/>
      <c r="V53" s="399"/>
      <c r="W53" s="738" t="s">
        <v>173</v>
      </c>
      <c r="X53" s="1482"/>
      <c r="Y53" s="88">
        <v>0</v>
      </c>
      <c r="Z53" s="1465"/>
      <c r="AA53" s="393" t="s">
        <v>174</v>
      </c>
      <c r="AB53" s="670" t="str">
        <f>"10."&amp;Y53</f>
        <v>10.0</v>
      </c>
      <c r="AC53" s="3212"/>
      <c r="AD53" s="267" t="s">
        <v>784</v>
      </c>
      <c r="AE53" s="3199"/>
      <c r="AF53" s="3199"/>
      <c r="AG53" s="3199"/>
      <c r="AH53" s="3199"/>
      <c r="AI53" s="195"/>
      <c r="AJ53" s="3199"/>
      <c r="AK53" s="3199"/>
      <c r="AL53" s="3199"/>
      <c r="AM53" s="3199"/>
      <c r="AN53" s="3199"/>
      <c r="AO53" s="3199"/>
      <c r="AP53" s="3199"/>
      <c r="AQ53" s="3199"/>
      <c r="AR53" s="3199"/>
      <c r="AS53" s="195"/>
      <c r="AT53" s="3199"/>
      <c r="AU53" s="3199"/>
      <c r="AV53" s="3199"/>
      <c r="AW53" s="3199"/>
      <c r="AX53" s="3199"/>
      <c r="AY53" s="3199"/>
      <c r="AZ53" s="3199"/>
      <c r="BA53" s="3199"/>
      <c r="BB53" s="3199"/>
      <c r="BC53" s="1887"/>
      <c r="BD53" s="88"/>
      <c r="BE53" s="1153"/>
      <c r="BF53" s="1022" t="s">
        <v>1173</v>
      </c>
      <c r="BG53" s="1022" t="s">
        <v>1174</v>
      </c>
      <c r="BH53" s="1034" cm="1" t="str">
        <f t="array" ref="BH53:BH53">AC53</f>
        <v>0</v>
      </c>
      <c r="BI53" s="1161"/>
      <c r="BJ53" s="656" t="b">
        <v>1</v>
      </c>
    </row>
    <row s="3225" customFormat="1" customHeight="1" ht="14.25">
      <c r="A54" s="1153"/>
      <c r="B54" s="820"/>
      <c r="C54" s="399"/>
      <c r="D54" s="399"/>
      <c r="E54" s="598">
        <v>15</v>
      </c>
      <c r="F54" s="50" cm="1" t="str">
        <f t="array" ref="F54:F54">OFFSET(E54,-1,1)</f>
        <v>1</v>
      </c>
      <c r="G54" s="399"/>
      <c r="H54" s="1153"/>
      <c r="I54" s="399" t="str">
        <f>"!=='не определено'"</f>
        <v>!=='не определено'</v>
      </c>
      <c r="J54" s="399"/>
      <c r="K54" s="399"/>
      <c r="L54" s="399"/>
      <c r="M54" s="399"/>
      <c r="N54" s="399"/>
      <c r="O54" s="399"/>
      <c r="P54" s="399"/>
      <c r="Q54" s="399"/>
      <c r="R54" s="399"/>
      <c r="S54" s="399"/>
      <c r="T54" s="439">
        <f>F54&gt;0</f>
        <v>1</v>
      </c>
      <c r="U54" s="399"/>
      <c r="V54" s="399"/>
      <c r="W54" s="738" t="s">
        <v>392</v>
      </c>
      <c r="X54" s="1482"/>
      <c r="Y54" s="1153"/>
      <c r="Z54" s="1465"/>
      <c r="AA54" s="1153"/>
      <c r="AB54" s="756"/>
      <c r="AC54" s="227" t="s">
        <v>177</v>
      </c>
      <c r="AD54" s="757"/>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200"/>
      <c r="BD54" s="1153"/>
      <c r="BE54" s="1153"/>
      <c r="BF54" s="980"/>
      <c r="BG54" s="980"/>
      <c r="BH54" s="980"/>
      <c r="BI54" s="597" t="s">
        <v>1174</v>
      </c>
      <c r="BJ54" s="597"/>
    </row>
    <row s="3254" customFormat="1" customHeight="1" ht="14.25">
      <c r="A55" s="1153"/>
      <c r="B55" s="401"/>
      <c r="C55" s="1153"/>
      <c r="D55" s="1153"/>
      <c r="E55" s="597">
        <v>15</v>
      </c>
      <c r="F55" s="64" cm="1" t="str">
        <f t="array" ref="F55:F55">X55</f>
        <v>2</v>
      </c>
      <c r="G55" s="1153"/>
      <c r="H55" s="1153"/>
      <c r="I55" s="1153"/>
      <c r="J55" s="1153"/>
      <c r="K55" s="1153"/>
      <c r="L55" s="1153"/>
      <c r="M55" s="1153"/>
      <c r="N55" s="1153"/>
      <c r="O55" s="1153"/>
      <c r="P55" s="1153"/>
      <c r="Q55" s="1153"/>
      <c r="R55" s="1153"/>
      <c r="S55" s="1153"/>
      <c r="T55" s="439">
        <f>X55&gt;0</f>
        <v>1</v>
      </c>
      <c r="U55" s="1153"/>
      <c r="V55" s="88" cm="1" t="str">
        <f t="array" ref="V55:V55">'Сбытовые расходы ГО'!$AB$51</f>
        <v>Тариф 2 (Водоотведение) - тариф на водоотведение (Оказание услуг на территории: Прокопьевский муниципальный округ (ОКТМО: 32522000) - п Калачево)</v>
      </c>
      <c r="W55" s="1153"/>
      <c r="X55" s="1482" t="s">
        <v>283</v>
      </c>
      <c r="Y55" s="1153"/>
      <c r="Z55" s="1465"/>
      <c r="AA55" s="1153"/>
      <c r="AB55" s="189" cm="1" t="str">
        <f t="array" ref="AB55:AB55">'Сбытовые расходы ГО'!$AB$51</f>
        <v>Тариф 2 (Водоотведение) - тариф на водоотведение (Оказание услуг на территории: Прокопьевский муниципальный округ (ОКТМО: 32522000) - п Калачево)</v>
      </c>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153"/>
      <c r="BE55" s="1153"/>
      <c r="BF55" s="980"/>
      <c r="BG55" s="980"/>
      <c r="BH55" s="980"/>
      <c r="BI55" s="597"/>
      <c r="BJ55" s="597"/>
    </row>
    <row s="3255" customFormat="1" customHeight="1" ht="21.75">
      <c r="A56" s="1153"/>
      <c r="B56" s="401"/>
      <c r="C56" s="1153"/>
      <c r="D56" s="1153"/>
      <c r="E56" s="597">
        <v>22.5</v>
      </c>
      <c r="F56" s="50" cm="1" t="str">
        <f t="array" ref="F56:F56">OFFSET(E56,-1,1)</f>
        <v>2</v>
      </c>
      <c r="G56" s="88" t="s">
        <v>1132</v>
      </c>
      <c r="H56" s="1153"/>
      <c r="I56" s="1153"/>
      <c r="J56" s="1153"/>
      <c r="K56" s="90" t="str">
        <f>F56&amp;"komm"</f>
        <v>2komm</v>
      </c>
      <c r="L56" s="901" cm="1" t="str">
        <f t="array" ref="L56:L56">BC56</f>
        <v>0</v>
      </c>
      <c r="M56" s="1153"/>
      <c r="N56" s="1153"/>
      <c r="O56" s="1153"/>
      <c r="P56" s="1153"/>
      <c r="Q56" s="1153"/>
      <c r="R56" s="1153"/>
      <c r="S56" s="1153"/>
      <c r="T56" s="439" cm="1" t="str">
        <f t="array" ref="T56:T56">T55</f>
        <v>true</v>
      </c>
      <c r="U56" s="1153"/>
      <c r="V56" s="1153"/>
      <c r="W56" s="1153"/>
      <c r="X56" s="1482"/>
      <c r="Y56" s="1153"/>
      <c r="Z56" s="1465"/>
      <c r="AA56" s="1153"/>
      <c r="AB56" s="201">
        <v>0</v>
      </c>
      <c r="AC56" s="186" t="s">
        <v>1150</v>
      </c>
      <c r="AD56" s="178" t="s">
        <v>784</v>
      </c>
      <c r="AE56" s="194">
        <f>SUM(AE57:AE66)</f>
        <v>0.26489</v>
      </c>
      <c r="AF56" s="194">
        <f>SUM(AF57:AF66)</f>
        <v>1463.87518634</v>
      </c>
      <c r="AG56" s="194">
        <f>SUM(AG57:AG66)</f>
        <v>0</v>
      </c>
      <c r="AH56" s="194">
        <f>SUM(AH57:AH66)</f>
        <v>0.39641</v>
      </c>
      <c r="AI56" s="194">
        <f>SUM(AI57:AI66)</f>
        <v>1335.0137169634</v>
      </c>
      <c r="AJ56" s="194">
        <f>SUM(AJ57:AJ66)</f>
        <v>0</v>
      </c>
      <c r="AK56" s="194">
        <f>SUM(AK57:AK66)</f>
        <v>0</v>
      </c>
      <c r="AL56" s="194">
        <f>SUM(AL57:AL66)</f>
        <v>0</v>
      </c>
      <c r="AM56" s="194">
        <f>SUM(AM57:AM66)</f>
        <v>0</v>
      </c>
      <c r="AN56" s="194">
        <f>SUM(AN57:AN66)</f>
        <v>0</v>
      </c>
      <c r="AO56" s="194">
        <f>SUM(AO57:AO66)</f>
        <v>0</v>
      </c>
      <c r="AP56" s="194">
        <f>SUM(AP57:AP66)</f>
        <v>0</v>
      </c>
      <c r="AQ56" s="194">
        <f>SUM(AQ57:AQ66)</f>
        <v>0</v>
      </c>
      <c r="AR56" s="194">
        <f>SUM(AR57:AR66)</f>
        <v>0</v>
      </c>
      <c r="AS56" s="194">
        <f>SUM(AS57:AS66)</f>
        <v>0.37351</v>
      </c>
      <c r="AT56" s="194">
        <f>SUM(AT57:AT66)</f>
        <v>0</v>
      </c>
      <c r="AU56" s="194">
        <f>SUM(AU57:AU66)</f>
        <v>0</v>
      </c>
      <c r="AV56" s="194">
        <f>SUM(AV57:AV66)</f>
        <v>0</v>
      </c>
      <c r="AW56" s="194">
        <f>SUM(AW57:AW66)</f>
        <v>0</v>
      </c>
      <c r="AX56" s="194">
        <f>SUM(AX57:AX66)</f>
        <v>0</v>
      </c>
      <c r="AY56" s="194">
        <f>SUM(AY57:AY66)</f>
        <v>0</v>
      </c>
      <c r="AZ56" s="194">
        <f>SUM(AZ57:AZ66)</f>
        <v>0</v>
      </c>
      <c r="BA56" s="194">
        <f>SUM(BA57:BA66)</f>
        <v>0</v>
      </c>
      <c r="BB56" s="194">
        <f>SUM(BB57:BB66)</f>
        <v>0</v>
      </c>
      <c r="BC56" s="167"/>
      <c r="BD56" s="1153"/>
      <c r="BE56" s="1153"/>
      <c r="BF56" s="980" t="s">
        <v>1151</v>
      </c>
      <c r="BG56" s="980"/>
      <c r="BH56" s="980"/>
      <c r="BI56" s="597"/>
      <c r="BJ56" s="597"/>
    </row>
    <row s="3256" customFormat="1" customHeight="1" ht="14.25">
      <c r="A57" s="1153"/>
      <c r="B57" s="401"/>
      <c r="C57" s="1153"/>
      <c r="D57" s="1153"/>
      <c r="E57" s="597">
        <v>15</v>
      </c>
      <c r="F57" s="50" cm="1" t="str">
        <f t="array" ref="F57:F57">OFFSET(E57,-1,1)</f>
        <v>2</v>
      </c>
      <c r="G57" s="88" t="s">
        <v>325</v>
      </c>
      <c r="H57" s="1153"/>
      <c r="I57" s="1153"/>
      <c r="J57" s="1153"/>
      <c r="K57" s="90" t="str">
        <f>F57&amp;"1komm"</f>
        <v>21komm</v>
      </c>
      <c r="L57" s="901" cm="1" t="str">
        <f t="array" ref="L57:L57">BC57</f>
        <v>0</v>
      </c>
      <c r="M57" s="1153"/>
      <c r="N57" s="1153"/>
      <c r="O57" s="1153"/>
      <c r="P57" s="1153"/>
      <c r="Q57" s="1153"/>
      <c r="R57" s="1153"/>
      <c r="S57" s="1153"/>
      <c r="T57" s="439" cm="1" t="str">
        <f t="array" ref="T57:T57">T56</f>
        <v>true</v>
      </c>
      <c r="U57" s="1153"/>
      <c r="V57" s="1153"/>
      <c r="W57" s="1153"/>
      <c r="X57" s="1482"/>
      <c r="Y57" s="1153"/>
      <c r="Z57" s="1465"/>
      <c r="AA57" s="1153"/>
      <c r="AB57" s="266" t="s">
        <v>272</v>
      </c>
      <c r="AC57" s="425" t="s">
        <v>1152</v>
      </c>
      <c r="AD57" s="267" t="s">
        <v>784</v>
      </c>
      <c r="AE57" s="195"/>
      <c r="AF57" s="196"/>
      <c r="AG57" s="196"/>
      <c r="AH57" s="196"/>
      <c r="AI57" s="196"/>
      <c r="AJ57" s="3159"/>
      <c r="AK57" s="3159"/>
      <c r="AL57" s="196"/>
      <c r="AM57" s="196"/>
      <c r="AN57" s="196"/>
      <c r="AO57" s="196"/>
      <c r="AP57" s="196"/>
      <c r="AQ57" s="196"/>
      <c r="AR57" s="196"/>
      <c r="AS57" s="196"/>
      <c r="AT57" s="3159"/>
      <c r="AU57" s="3159"/>
      <c r="AV57" s="196"/>
      <c r="AW57" s="196"/>
      <c r="AX57" s="196"/>
      <c r="AY57" s="196"/>
      <c r="AZ57" s="196"/>
      <c r="BA57" s="196"/>
      <c r="BB57" s="196"/>
      <c r="BC57" s="167"/>
      <c r="BD57" s="1153"/>
      <c r="BE57" s="1153"/>
      <c r="BF57" s="980" t="s">
        <v>1153</v>
      </c>
      <c r="BG57" s="980"/>
      <c r="BH57" s="980"/>
      <c r="BI57" s="597"/>
      <c r="BJ57" s="597"/>
    </row>
    <row s="3257" customFormat="1" customHeight="1" ht="21.75">
      <c r="A58" s="1153"/>
      <c r="B58" s="820"/>
      <c r="C58" s="399"/>
      <c r="D58" s="399"/>
      <c r="E58" s="598">
        <v>22.5</v>
      </c>
      <c r="F58" s="50" cm="1" t="str">
        <f t="array" ref="F58:F58">OFFSET(E58,-1,1)</f>
        <v>2</v>
      </c>
      <c r="G58" s="399" t="s">
        <v>326</v>
      </c>
      <c r="H58" s="399"/>
      <c r="I58" s="399"/>
      <c r="J58" s="399"/>
      <c r="K58" s="90" t="str">
        <f>F58&amp;"2komm"</f>
        <v>22komm</v>
      </c>
      <c r="L58" s="901" cm="1" t="str">
        <f t="array" ref="L58:L58">BC58</f>
        <v>0</v>
      </c>
      <c r="M58" s="399"/>
      <c r="N58" s="399"/>
      <c r="O58" s="399"/>
      <c r="P58" s="399"/>
      <c r="Q58" s="399"/>
      <c r="R58" s="399"/>
      <c r="S58" s="399"/>
      <c r="T58" s="439" cm="1" t="str">
        <f t="array" ref="T58:T58">T57</f>
        <v>true</v>
      </c>
      <c r="U58" s="399"/>
      <c r="V58" s="399"/>
      <c r="W58" s="1153"/>
      <c r="X58" s="1482"/>
      <c r="Y58" s="1153"/>
      <c r="Z58" s="1465"/>
      <c r="AA58" s="1153"/>
      <c r="AB58" s="266" t="s">
        <v>283</v>
      </c>
      <c r="AC58" s="425" t="s">
        <v>1154</v>
      </c>
      <c r="AD58" s="267" t="s">
        <v>784</v>
      </c>
      <c r="AE58" s="195"/>
      <c r="AF58" s="196"/>
      <c r="AG58" s="196"/>
      <c r="AH58" s="196"/>
      <c r="AI58" s="196"/>
      <c r="AJ58" s="3159"/>
      <c r="AK58" s="3159"/>
      <c r="AL58" s="196"/>
      <c r="AM58" s="196"/>
      <c r="AN58" s="196"/>
      <c r="AO58" s="196"/>
      <c r="AP58" s="196"/>
      <c r="AQ58" s="196"/>
      <c r="AR58" s="196"/>
      <c r="AS58" s="196"/>
      <c r="AT58" s="3159"/>
      <c r="AU58" s="3159"/>
      <c r="AV58" s="196"/>
      <c r="AW58" s="196"/>
      <c r="AX58" s="196"/>
      <c r="AY58" s="196"/>
      <c r="AZ58" s="196"/>
      <c r="BA58" s="196"/>
      <c r="BB58" s="196"/>
      <c r="BC58" s="167"/>
      <c r="BD58" s="1153"/>
      <c r="BE58" s="1153"/>
      <c r="BF58" s="980" t="s">
        <v>1155</v>
      </c>
      <c r="BG58" s="980"/>
      <c r="BH58" s="980"/>
      <c r="BI58" s="597"/>
      <c r="BJ58" s="597"/>
    </row>
    <row s="3258" customFormat="1" customHeight="1" ht="44.25">
      <c r="A59" s="1153"/>
      <c r="B59" s="820"/>
      <c r="C59" s="399"/>
      <c r="D59" s="399"/>
      <c r="E59" s="598">
        <v>22.5</v>
      </c>
      <c r="F59" s="50" cm="1" t="str">
        <f t="array" ref="F59:F59">OFFSET(E59,-1,1)</f>
        <v>2</v>
      </c>
      <c r="G59" s="399" t="s">
        <v>327</v>
      </c>
      <c r="H59" s="399" t="s">
        <v>1156</v>
      </c>
      <c r="I59" s="399"/>
      <c r="J59" s="399"/>
      <c r="K59" s="90" t="str">
        <f>F59&amp;"3komm"</f>
        <v>23komm</v>
      </c>
      <c r="L59" s="901" cm="1" t="str">
        <f t="array" ref="L59:L59">BC59</f>
        <v>по факту 2024 года выпуск № 3 в р. Кыргай (по декларации 373,51 руб.)</v>
      </c>
      <c r="M59" s="399"/>
      <c r="N59" s="399"/>
      <c r="O59" s="399"/>
      <c r="P59" s="399"/>
      <c r="Q59" s="399"/>
      <c r="R59" s="399"/>
      <c r="S59" s="399"/>
      <c r="T59" s="439" cm="1" t="str">
        <f t="array" ref="T59:T59">T58</f>
        <v>true</v>
      </c>
      <c r="U59" s="399"/>
      <c r="V59" s="399"/>
      <c r="W59" s="1153"/>
      <c r="X59" s="1482"/>
      <c r="Y59" s="1153"/>
      <c r="Z59" s="1465"/>
      <c r="AA59" s="1153"/>
      <c r="AB59" s="266" t="s">
        <v>323</v>
      </c>
      <c r="AC59" s="425" t="s">
        <v>1157</v>
      </c>
      <c r="AD59" s="267" t="s">
        <v>784</v>
      </c>
      <c r="AE59" s="195">
        <v>0.26489</v>
      </c>
      <c r="AF59" s="196">
        <v>0.37351</v>
      </c>
      <c r="AG59" s="196"/>
      <c r="AH59" s="196">
        <v>0.39641</v>
      </c>
      <c r="AI59" s="196">
        <v>0.6445412634</v>
      </c>
      <c r="AJ59" s="3159"/>
      <c r="AK59" s="3159"/>
      <c r="AL59" s="196"/>
      <c r="AM59" s="196"/>
      <c r="AN59" s="196"/>
      <c r="AO59" s="196"/>
      <c r="AP59" s="196"/>
      <c r="AQ59" s="196"/>
      <c r="AR59" s="196"/>
      <c r="AS59" s="196">
        <v>0.37351</v>
      </c>
      <c r="AT59" s="3159"/>
      <c r="AU59" s="3159"/>
      <c r="AV59" s="196"/>
      <c r="AW59" s="196"/>
      <c r="AX59" s="196"/>
      <c r="AY59" s="196"/>
      <c r="AZ59" s="196"/>
      <c r="BA59" s="196"/>
      <c r="BB59" s="196"/>
      <c r="BC59" s="167" t="s">
        <v>1178</v>
      </c>
      <c r="BD59" s="1153"/>
      <c r="BE59" s="1153"/>
      <c r="BF59" s="980" t="s">
        <v>1158</v>
      </c>
      <c r="BG59" s="980"/>
      <c r="BH59" s="980"/>
      <c r="BI59" s="597"/>
      <c r="BJ59" s="597"/>
    </row>
    <row s="1621" customFormat="1" customHeight="1" ht="14.25">
      <c r="A60" s="1153"/>
      <c r="B60" s="873"/>
      <c r="C60" s="869"/>
      <c r="D60" s="869"/>
      <c r="E60" s="870">
        <v>15</v>
      </c>
      <c r="F60" s="50" cm="1" t="str">
        <f t="array" ref="F60:F60">OFFSET(E60,-1,1)</f>
        <v>2</v>
      </c>
      <c r="G60" s="869" t="s">
        <v>329</v>
      </c>
      <c r="H60" s="869"/>
      <c r="I60" s="869"/>
      <c r="J60" s="869"/>
      <c r="K60" s="90" t="str">
        <f>F60&amp;"4komm"</f>
        <v>24komm</v>
      </c>
      <c r="L60" s="901" cm="1" t="str">
        <f t="array" ref="L60:L60">BC60</f>
        <v>0</v>
      </c>
      <c r="M60" s="869"/>
      <c r="N60" s="869"/>
      <c r="O60" s="869"/>
      <c r="P60" s="869"/>
      <c r="Q60" s="869"/>
      <c r="R60" s="869"/>
      <c r="S60" s="869"/>
      <c r="T60" s="439" cm="1" t="str">
        <f t="array" ref="T60:T60">T59</f>
        <v>true</v>
      </c>
      <c r="U60" s="869"/>
      <c r="V60" s="869"/>
      <c r="W60" s="1153"/>
      <c r="X60" s="1482"/>
      <c r="Y60" s="1153"/>
      <c r="Z60" s="1465"/>
      <c r="AA60" s="1153"/>
      <c r="AB60" s="871">
        <v>4</v>
      </c>
      <c r="AC60" s="425" t="s">
        <v>1159</v>
      </c>
      <c r="AD60" s="267" t="s">
        <v>784</v>
      </c>
      <c r="AE60" s="197"/>
      <c r="AF60" s="197"/>
      <c r="AG60" s="197"/>
      <c r="AH60" s="197"/>
      <c r="AI60" s="197"/>
      <c r="AJ60" s="3206"/>
      <c r="AK60" s="3206"/>
      <c r="AL60" s="197"/>
      <c r="AM60" s="197"/>
      <c r="AN60" s="197"/>
      <c r="AO60" s="197"/>
      <c r="AP60" s="197"/>
      <c r="AQ60" s="197"/>
      <c r="AR60" s="197"/>
      <c r="AS60" s="197"/>
      <c r="AT60" s="3206"/>
      <c r="AU60" s="3206"/>
      <c r="AV60" s="197"/>
      <c r="AW60" s="197"/>
      <c r="AX60" s="197"/>
      <c r="AY60" s="197"/>
      <c r="AZ60" s="197"/>
      <c r="BA60" s="197"/>
      <c r="BB60" s="197"/>
      <c r="BC60" s="167"/>
      <c r="BD60" s="1153"/>
      <c r="BE60" s="1153"/>
      <c r="BF60" s="1022" t="s">
        <v>1160</v>
      </c>
      <c r="BG60" s="1253"/>
      <c r="BH60" s="1253"/>
      <c r="BI60" s="1161"/>
      <c r="BJ60" s="1161"/>
    </row>
    <row s="3259" customFormat="1" customHeight="1" ht="14.25">
      <c r="A61" s="1153"/>
      <c r="B61" s="820"/>
      <c r="C61" s="399"/>
      <c r="D61" s="399"/>
      <c r="E61" s="598">
        <v>15</v>
      </c>
      <c r="F61" s="50" cm="1" t="str">
        <f t="array" ref="F61:F61">OFFSET(E61,-1,1)</f>
        <v>2</v>
      </c>
      <c r="G61" s="399" t="s">
        <v>328</v>
      </c>
      <c r="H61" s="399"/>
      <c r="I61" s="399"/>
      <c r="J61" s="399"/>
      <c r="K61" s="90" t="str">
        <f>F61&amp;"5komm"</f>
        <v>25komm</v>
      </c>
      <c r="L61" s="901" cm="1" t="str">
        <f t="array" ref="L61:L61">BC61</f>
        <v>0</v>
      </c>
      <c r="M61" s="399"/>
      <c r="N61" s="399"/>
      <c r="O61" s="399"/>
      <c r="P61" s="399"/>
      <c r="Q61" s="399"/>
      <c r="R61" s="399"/>
      <c r="S61" s="399"/>
      <c r="T61" s="439" cm="1" t="str">
        <f t="array" ref="T61:T61">T60</f>
        <v>true</v>
      </c>
      <c r="U61" s="399"/>
      <c r="V61" s="399"/>
      <c r="W61" s="1153"/>
      <c r="X61" s="1482"/>
      <c r="Y61" s="1153"/>
      <c r="Z61" s="1465"/>
      <c r="AA61" s="1153"/>
      <c r="AB61" s="266" t="s">
        <v>492</v>
      </c>
      <c r="AC61" s="425" t="s">
        <v>1161</v>
      </c>
      <c r="AD61" s="267" t="s">
        <v>784</v>
      </c>
      <c r="AE61" s="195"/>
      <c r="AF61" s="195"/>
      <c r="AG61" s="195"/>
      <c r="AH61" s="195"/>
      <c r="AI61" s="195"/>
      <c r="AJ61" s="3199"/>
      <c r="AK61" s="3199"/>
      <c r="AL61" s="195"/>
      <c r="AM61" s="195"/>
      <c r="AN61" s="195"/>
      <c r="AO61" s="195"/>
      <c r="AP61" s="195"/>
      <c r="AQ61" s="195"/>
      <c r="AR61" s="195"/>
      <c r="AS61" s="195"/>
      <c r="AT61" s="3199"/>
      <c r="AU61" s="3199"/>
      <c r="AV61" s="195"/>
      <c r="AW61" s="195"/>
      <c r="AX61" s="195"/>
      <c r="AY61" s="195"/>
      <c r="AZ61" s="195"/>
      <c r="BA61" s="195"/>
      <c r="BB61" s="195"/>
      <c r="BC61" s="167"/>
      <c r="BD61" s="1153"/>
      <c r="BE61" s="1153"/>
      <c r="BF61" s="980" t="s">
        <v>1162</v>
      </c>
      <c r="BG61" s="980"/>
      <c r="BH61" s="980"/>
      <c r="BI61" s="597"/>
      <c r="BJ61" s="597"/>
    </row>
    <row s="3260" customFormat="1" customHeight="1" ht="54.75">
      <c r="A62" s="1153"/>
      <c r="B62" s="820"/>
      <c r="C62" s="399"/>
      <c r="D62" s="399"/>
      <c r="E62" s="598">
        <v>15</v>
      </c>
      <c r="F62" s="50" cm="1" t="str">
        <f t="array" ref="F62:F62">OFFSET(E62,-1,1)</f>
        <v>2</v>
      </c>
      <c r="G62" s="399" t="s">
        <v>491</v>
      </c>
      <c r="H62" s="399"/>
      <c r="I62" s="399"/>
      <c r="J62" s="399"/>
      <c r="K62" s="90" t="str">
        <f>F62&amp;"6komm"</f>
        <v>26komm</v>
      </c>
      <c r="L62" s="901" cm="1" t="str">
        <f t="array" ref="L62:L62">BC62</f>
        <v>по расчету регулятора в соответствии с НК РФ (исходя из остаточной стоимости недвижимого имущества)</v>
      </c>
      <c r="M62" s="399"/>
      <c r="N62" s="399"/>
      <c r="O62" s="399"/>
      <c r="P62" s="399"/>
      <c r="Q62" s="399"/>
      <c r="R62" s="399"/>
      <c r="S62" s="399"/>
      <c r="T62" s="439" cm="1" t="str">
        <f t="array" ref="T62:T62">T61</f>
        <v>true</v>
      </c>
      <c r="U62" s="399"/>
      <c r="V62" s="399"/>
      <c r="W62" s="1153"/>
      <c r="X62" s="1482"/>
      <c r="Y62" s="1153"/>
      <c r="Z62" s="1465"/>
      <c r="AA62" s="1153"/>
      <c r="AB62" s="266" t="s">
        <v>496</v>
      </c>
      <c r="AC62" s="425" t="s">
        <v>1163</v>
      </c>
      <c r="AD62" s="267" t="s">
        <v>784</v>
      </c>
      <c r="AE62" s="195">
        <v>0</v>
      </c>
      <c r="AF62" s="195">
        <v>1463.50167634</v>
      </c>
      <c r="AG62" s="195"/>
      <c r="AH62" s="195">
        <v>0</v>
      </c>
      <c r="AI62" s="195">
        <v>1334.3691757</v>
      </c>
      <c r="AJ62" s="3199"/>
      <c r="AK62" s="3199"/>
      <c r="AL62" s="195"/>
      <c r="AM62" s="195"/>
      <c r="AN62" s="195"/>
      <c r="AO62" s="195"/>
      <c r="AP62" s="195"/>
      <c r="AQ62" s="195"/>
      <c r="AR62" s="195"/>
      <c r="AS62" s="195">
        <v>0</v>
      </c>
      <c r="AT62" s="3199"/>
      <c r="AU62" s="3199"/>
      <c r="AV62" s="195"/>
      <c r="AW62" s="195"/>
      <c r="AX62" s="195"/>
      <c r="AY62" s="195"/>
      <c r="AZ62" s="195"/>
      <c r="BA62" s="195"/>
      <c r="BB62" s="195"/>
      <c r="BC62" s="167" t="s">
        <v>1179</v>
      </c>
      <c r="BD62" s="1153"/>
      <c r="BE62" s="1153"/>
      <c r="BF62" s="980" t="s">
        <v>1164</v>
      </c>
      <c r="BG62" s="980"/>
      <c r="BH62" s="980"/>
      <c r="BI62" s="597"/>
      <c r="BJ62" s="597"/>
    </row>
    <row s="3261" customFormat="1" customHeight="1" ht="14.25">
      <c r="A63" s="1153"/>
      <c r="B63" s="820"/>
      <c r="C63" s="399"/>
      <c r="D63" s="399"/>
      <c r="E63" s="598">
        <v>15</v>
      </c>
      <c r="F63" s="50" cm="1" t="str">
        <f t="array" ref="F63:F63">OFFSET(E63,-1,1)</f>
        <v>2</v>
      </c>
      <c r="G63" s="399" t="s">
        <v>495</v>
      </c>
      <c r="H63" s="399" t="s">
        <v>1165</v>
      </c>
      <c r="I63" s="399"/>
      <c r="J63" s="399"/>
      <c r="K63" s="90" t="str">
        <f>F63&amp;"7komm"</f>
        <v>27komm</v>
      </c>
      <c r="L63" s="901" cm="1" t="str">
        <f t="array" ref="L63:L63">BC63</f>
        <v>0</v>
      </c>
      <c r="M63" s="399"/>
      <c r="N63" s="399"/>
      <c r="O63" s="399"/>
      <c r="P63" s="399"/>
      <c r="Q63" s="399"/>
      <c r="R63" s="399"/>
      <c r="S63" s="399"/>
      <c r="T63" s="439" cm="1" t="str">
        <f t="array" ref="T63:T63">T62</f>
        <v>true</v>
      </c>
      <c r="U63" s="399"/>
      <c r="V63" s="399"/>
      <c r="W63" s="1153"/>
      <c r="X63" s="1482"/>
      <c r="Y63" s="1153"/>
      <c r="Z63" s="1465"/>
      <c r="AA63" s="1153"/>
      <c r="AB63" s="266" t="s">
        <v>557</v>
      </c>
      <c r="AC63" s="425" t="s">
        <v>1166</v>
      </c>
      <c r="AD63" s="267" t="s">
        <v>784</v>
      </c>
      <c r="AE63" s="195"/>
      <c r="AF63" s="195"/>
      <c r="AG63" s="195"/>
      <c r="AH63" s="195"/>
      <c r="AI63" s="195"/>
      <c r="AJ63" s="3199"/>
      <c r="AK63" s="3199"/>
      <c r="AL63" s="195"/>
      <c r="AM63" s="195"/>
      <c r="AN63" s="195"/>
      <c r="AO63" s="195"/>
      <c r="AP63" s="195"/>
      <c r="AQ63" s="195"/>
      <c r="AR63" s="195"/>
      <c r="AS63" s="195"/>
      <c r="AT63" s="3199"/>
      <c r="AU63" s="3199"/>
      <c r="AV63" s="195"/>
      <c r="AW63" s="195"/>
      <c r="AX63" s="195"/>
      <c r="AY63" s="195"/>
      <c r="AZ63" s="195"/>
      <c r="BA63" s="195"/>
      <c r="BB63" s="195"/>
      <c r="BC63" s="167"/>
      <c r="BD63" s="1153"/>
      <c r="BE63" s="1153"/>
      <c r="BF63" s="980" t="s">
        <v>1167</v>
      </c>
      <c r="BG63" s="980"/>
      <c r="BH63" s="980"/>
      <c r="BI63" s="597"/>
      <c r="BJ63" s="597"/>
    </row>
    <row s="3262" customFormat="1" customHeight="1" ht="21.75">
      <c r="A64" s="1153"/>
      <c r="B64" s="820"/>
      <c r="C64" s="399"/>
      <c r="D64" s="399"/>
      <c r="E64" s="598">
        <v>22.5</v>
      </c>
      <c r="F64" s="50" cm="1" t="str">
        <f t="array" ref="F64:F64">OFFSET(E64,-1,1)</f>
        <v>2</v>
      </c>
      <c r="G64" s="399" t="s">
        <v>541</v>
      </c>
      <c r="H64" s="399"/>
      <c r="I64" s="399"/>
      <c r="J64" s="399"/>
      <c r="K64" s="90" t="str">
        <f>F64&amp;"8komm"</f>
        <v>28komm</v>
      </c>
      <c r="L64" s="901" cm="1" t="str">
        <f t="array" ref="L64:L64">BC64</f>
        <v>0</v>
      </c>
      <c r="M64" s="399"/>
      <c r="N64" s="399"/>
      <c r="O64" s="399"/>
      <c r="P64" s="399"/>
      <c r="Q64" s="399"/>
      <c r="R64" s="399"/>
      <c r="S64" s="399"/>
      <c r="T64" s="439" cm="1" t="str">
        <f t="array" ref="T64:T64">T63</f>
        <v>true</v>
      </c>
      <c r="U64" s="399"/>
      <c r="V64" s="399"/>
      <c r="W64" s="1153"/>
      <c r="X64" s="1482"/>
      <c r="Y64" s="1153"/>
      <c r="Z64" s="1465"/>
      <c r="AA64" s="1153"/>
      <c r="AB64" s="266" t="s">
        <v>565</v>
      </c>
      <c r="AC64" s="425" t="s">
        <v>1168</v>
      </c>
      <c r="AD64" s="267" t="s">
        <v>784</v>
      </c>
      <c r="AE64" s="195"/>
      <c r="AF64" s="195"/>
      <c r="AG64" s="195"/>
      <c r="AH64" s="195"/>
      <c r="AI64" s="195"/>
      <c r="AJ64" s="3199"/>
      <c r="AK64" s="3199"/>
      <c r="AL64" s="195"/>
      <c r="AM64" s="195"/>
      <c r="AN64" s="195"/>
      <c r="AO64" s="195"/>
      <c r="AP64" s="195"/>
      <c r="AQ64" s="195"/>
      <c r="AR64" s="195"/>
      <c r="AS64" s="195"/>
      <c r="AT64" s="3199"/>
      <c r="AU64" s="3199"/>
      <c r="AV64" s="195"/>
      <c r="AW64" s="195"/>
      <c r="AX64" s="195"/>
      <c r="AY64" s="195"/>
      <c r="AZ64" s="195"/>
      <c r="BA64" s="195"/>
      <c r="BB64" s="195"/>
      <c r="BC64" s="167"/>
      <c r="BD64" s="1153"/>
      <c r="BE64" s="1153"/>
      <c r="BF64" s="980" t="s">
        <v>1169</v>
      </c>
      <c r="BG64" s="980"/>
      <c r="BH64" s="980"/>
      <c r="BI64" s="597"/>
      <c r="BJ64" s="597"/>
    </row>
    <row s="90" customFormat="1" customHeight="1" ht="21.75">
      <c r="A65" s="90"/>
      <c r="B65" s="820"/>
      <c r="C65" s="399"/>
      <c r="D65" s="399"/>
      <c r="E65" s="598">
        <v>22.5</v>
      </c>
      <c r="F65" s="50" cm="1" t="str">
        <f t="array" ref="F65:F65">OFFSET(E65,-1,1)</f>
        <v>2</v>
      </c>
      <c r="G65" s="399"/>
      <c r="H65" s="399"/>
      <c r="I65" s="399"/>
      <c r="J65" s="399"/>
      <c r="K65" s="90" t="str">
        <f>F65&amp;"9komm"</f>
        <v>29komm</v>
      </c>
      <c r="L65" s="901" cm="1" t="str">
        <f t="array" ref="L65:L65">BC65</f>
        <v>0</v>
      </c>
      <c r="M65" s="399"/>
      <c r="N65" s="399"/>
      <c r="O65" s="399"/>
      <c r="P65" s="399"/>
      <c r="Q65" s="399"/>
      <c r="R65" s="399"/>
      <c r="S65" s="399"/>
      <c r="T65" s="439" cm="1" t="str">
        <f t="array" ref="T65:T65">T64</f>
        <v>true</v>
      </c>
      <c r="U65" s="399"/>
      <c r="V65" s="399"/>
      <c r="W65" s="90"/>
      <c r="X65" s="1482"/>
      <c r="Y65" s="90"/>
      <c r="Z65" s="1465"/>
      <c r="AA65" s="90"/>
      <c r="AB65" s="266" t="s">
        <v>723</v>
      </c>
      <c r="AC65" s="425" t="s">
        <v>1170</v>
      </c>
      <c r="AD65" s="267" t="s">
        <v>784</v>
      </c>
      <c r="AE65" s="265"/>
      <c r="AF65" s="265"/>
      <c r="AG65" s="265"/>
      <c r="AH65" s="265"/>
      <c r="AI65" s="265"/>
      <c r="AJ65" s="3044"/>
      <c r="AK65" s="3044"/>
      <c r="AL65" s="265"/>
      <c r="AM65" s="265"/>
      <c r="AN65" s="265"/>
      <c r="AO65" s="265"/>
      <c r="AP65" s="265"/>
      <c r="AQ65" s="265"/>
      <c r="AR65" s="265"/>
      <c r="AS65" s="265"/>
      <c r="AT65" s="3044"/>
      <c r="AU65" s="3044"/>
      <c r="AV65" s="265"/>
      <c r="AW65" s="265"/>
      <c r="AX65" s="265"/>
      <c r="AY65" s="265"/>
      <c r="AZ65" s="265"/>
      <c r="BA65" s="265"/>
      <c r="BB65" s="265"/>
      <c r="BC65" s="755"/>
      <c r="BD65" s="90"/>
      <c r="BE65" s="90"/>
      <c r="BF65" s="988" t="s">
        <v>1171</v>
      </c>
      <c r="BG65" s="988"/>
      <c r="BH65" s="988"/>
      <c r="BI65" s="672"/>
      <c r="BJ65" s="672"/>
    </row>
    <row s="1621" customFormat="1" customHeight="1" ht="14.25">
      <c r="A66" s="1153"/>
      <c r="B66" s="873"/>
      <c r="C66" s="869"/>
      <c r="D66" s="869"/>
      <c r="E66" s="870">
        <v>15</v>
      </c>
      <c r="F66" s="50" cm="1" t="str">
        <f t="array" ref="F66:F66">OFFSET(E66,-1,1)</f>
        <v>2</v>
      </c>
      <c r="G66" s="869" t="s">
        <v>556</v>
      </c>
      <c r="H66" s="905"/>
      <c r="I66" s="869"/>
      <c r="J66" s="869"/>
      <c r="K66" s="90" t="str">
        <f>F66&amp;"10komm"</f>
        <v>210komm</v>
      </c>
      <c r="L66" s="901" cm="1" t="str">
        <f t="array" ref="L66:L66">BC66</f>
        <v>0</v>
      </c>
      <c r="M66" s="869"/>
      <c r="N66" s="869"/>
      <c r="O66" s="869"/>
      <c r="P66" s="869"/>
      <c r="Q66" s="869"/>
      <c r="R66" s="869"/>
      <c r="S66" s="869"/>
      <c r="T66" s="439" cm="1" t="str">
        <f t="array" ref="T66:T66">T65</f>
        <v>true</v>
      </c>
      <c r="U66" s="869"/>
      <c r="V66" s="869"/>
      <c r="W66" s="1153"/>
      <c r="X66" s="1482"/>
      <c r="Y66" s="1153"/>
      <c r="Z66" s="1465"/>
      <c r="AA66" s="1153"/>
      <c r="AB66" s="871">
        <v>10</v>
      </c>
      <c r="AC66" s="425" t="s">
        <v>1172</v>
      </c>
      <c r="AD66" s="267" t="s">
        <v>784</v>
      </c>
      <c r="AE66" s="202">
        <f>SUM(AE67:AE68)</f>
        <v>0</v>
      </c>
      <c r="AF66" s="202">
        <f>SUM(AF67:AF68)</f>
        <v>0</v>
      </c>
      <c r="AG66" s="202">
        <f>SUM(AG67:AG68)</f>
        <v>0</v>
      </c>
      <c r="AH66" s="202">
        <f>SUM(AH67:AH68)</f>
        <v>0</v>
      </c>
      <c r="AI66" s="202">
        <f>SUM(AI67:AI68)</f>
        <v>0</v>
      </c>
      <c r="AJ66" s="202">
        <f>SUM(AJ67:AJ68)</f>
        <v>0</v>
      </c>
      <c r="AK66" s="202">
        <f>SUM(AK67:AK68)</f>
        <v>0</v>
      </c>
      <c r="AL66" s="202">
        <f>SUM(AL67:AL68)</f>
        <v>0</v>
      </c>
      <c r="AM66" s="202">
        <f>SUM(AM67:AM68)</f>
        <v>0</v>
      </c>
      <c r="AN66" s="202">
        <f>SUM(AN67:AN68)</f>
        <v>0</v>
      </c>
      <c r="AO66" s="202">
        <f>SUM(AO67:AO68)</f>
        <v>0</v>
      </c>
      <c r="AP66" s="202">
        <f>SUM(AP67:AP68)</f>
        <v>0</v>
      </c>
      <c r="AQ66" s="202">
        <f>SUM(AQ67:AQ68)</f>
        <v>0</v>
      </c>
      <c r="AR66" s="202">
        <f>SUM(AR67:AR68)</f>
        <v>0</v>
      </c>
      <c r="AS66" s="202">
        <f>SUM(AS67:AS68)</f>
        <v>0</v>
      </c>
      <c r="AT66" s="202">
        <f>SUM(AT67:AT68)</f>
        <v>0</v>
      </c>
      <c r="AU66" s="202">
        <f>SUM(AU67:AU68)</f>
        <v>0</v>
      </c>
      <c r="AV66" s="202">
        <f>SUM(AV67:AV68)</f>
        <v>0</v>
      </c>
      <c r="AW66" s="202">
        <f>SUM(AW67:AW68)</f>
        <v>0</v>
      </c>
      <c r="AX66" s="202">
        <f>SUM(AX67:AX68)</f>
        <v>0</v>
      </c>
      <c r="AY66" s="202">
        <f>SUM(AY67:AY68)</f>
        <v>0</v>
      </c>
      <c r="AZ66" s="202">
        <f>SUM(AZ67:AZ68)</f>
        <v>0</v>
      </c>
      <c r="BA66" s="202">
        <f>SUM(BA67:BA68)</f>
        <v>0</v>
      </c>
      <c r="BB66" s="202">
        <f>SUM(BB67:BB68)</f>
        <v>0</v>
      </c>
      <c r="BC66" s="167"/>
      <c r="BD66" s="1153"/>
      <c r="BE66" s="1153"/>
      <c r="BF66" s="1022" t="s">
        <v>1173</v>
      </c>
      <c r="BG66" s="1253"/>
      <c r="BH66" s="1253"/>
      <c r="BI66" s="1161"/>
      <c r="BJ66" s="1161"/>
    </row>
    <row s="1621" customFormat="1" customHeight="1" ht="14.25" hidden="1">
      <c r="A67" s="88"/>
      <c r="B67" s="820"/>
      <c r="C67" s="399"/>
      <c r="D67" s="399"/>
      <c r="E67" s="598">
        <v>15</v>
      </c>
      <c r="F67" s="50" cm="1" t="str">
        <f t="array" ref="F67:F67">OFFSET(E67,-1,1)</f>
        <v>2</v>
      </c>
      <c r="G67" s="399" t="s">
        <v>556</v>
      </c>
      <c r="H67" s="905"/>
      <c r="I67" s="1064" cm="1" t="str">
        <f t="array" ref="I67:I67">AC67</f>
        <v>0</v>
      </c>
      <c r="J67" s="399"/>
      <c r="K67" s="399"/>
      <c r="L67" s="399"/>
      <c r="M67" s="399"/>
      <c r="N67" s="399"/>
      <c r="O67" s="399"/>
      <c r="P67" s="399"/>
      <c r="Q67" s="399"/>
      <c r="R67" s="399"/>
      <c r="S67" s="399"/>
      <c r="T67" s="439">
        <f>AND(F67&gt;0,Y67&gt;0)</f>
        <v>0</v>
      </c>
      <c r="U67" s="399"/>
      <c r="V67" s="399"/>
      <c r="W67" s="738" t="s">
        <v>173</v>
      </c>
      <c r="X67" s="1482"/>
      <c r="Y67" s="88">
        <v>0</v>
      </c>
      <c r="Z67" s="1465"/>
      <c r="AA67" s="393" t="s">
        <v>174</v>
      </c>
      <c r="AB67" s="670" t="str">
        <f>"10."&amp;Y67</f>
        <v>10.0</v>
      </c>
      <c r="AC67" s="3212"/>
      <c r="AD67" s="267" t="s">
        <v>784</v>
      </c>
      <c r="AE67" s="3199"/>
      <c r="AF67" s="3199"/>
      <c r="AG67" s="3199"/>
      <c r="AH67" s="3199"/>
      <c r="AI67" s="195"/>
      <c r="AJ67" s="3199"/>
      <c r="AK67" s="3199"/>
      <c r="AL67" s="3199"/>
      <c r="AM67" s="3199"/>
      <c r="AN67" s="3199"/>
      <c r="AO67" s="3199"/>
      <c r="AP67" s="3199"/>
      <c r="AQ67" s="3199"/>
      <c r="AR67" s="3199"/>
      <c r="AS67" s="195"/>
      <c r="AT67" s="3199"/>
      <c r="AU67" s="3199"/>
      <c r="AV67" s="3199"/>
      <c r="AW67" s="3199"/>
      <c r="AX67" s="3199"/>
      <c r="AY67" s="3199"/>
      <c r="AZ67" s="3199"/>
      <c r="BA67" s="3199"/>
      <c r="BB67" s="3199"/>
      <c r="BC67" s="1887"/>
      <c r="BD67" s="88"/>
      <c r="BE67" s="1153"/>
      <c r="BF67" s="1022" t="s">
        <v>1173</v>
      </c>
      <c r="BG67" s="1022" t="s">
        <v>1174</v>
      </c>
      <c r="BH67" s="1034" cm="1" t="str">
        <f t="array" ref="BH67:BH67">AC67</f>
        <v>0</v>
      </c>
      <c r="BI67" s="1161"/>
      <c r="BJ67" s="656" t="b">
        <v>1</v>
      </c>
    </row>
    <row s="3263" customFormat="1" customHeight="1" ht="14.25">
      <c r="A68" s="1153"/>
      <c r="B68" s="820"/>
      <c r="C68" s="399"/>
      <c r="D68" s="399"/>
      <c r="E68" s="598">
        <v>15</v>
      </c>
      <c r="F68" s="50" cm="1" t="str">
        <f t="array" ref="F68:F68">OFFSET(E68,-1,1)</f>
        <v>2</v>
      </c>
      <c r="G68" s="399"/>
      <c r="H68" s="1153"/>
      <c r="I68" s="399" t="str">
        <f>"!=='не определено'"</f>
        <v>!=='не определено'</v>
      </c>
      <c r="J68" s="399"/>
      <c r="K68" s="399"/>
      <c r="L68" s="399"/>
      <c r="M68" s="399"/>
      <c r="N68" s="399"/>
      <c r="O68" s="399"/>
      <c r="P68" s="399"/>
      <c r="Q68" s="399"/>
      <c r="R68" s="399"/>
      <c r="S68" s="399"/>
      <c r="T68" s="439">
        <f>F68&gt;0</f>
        <v>1</v>
      </c>
      <c r="U68" s="399"/>
      <c r="V68" s="399"/>
      <c r="W68" s="738" t="s">
        <v>392</v>
      </c>
      <c r="X68" s="1482"/>
      <c r="Y68" s="1153"/>
      <c r="Z68" s="1465"/>
      <c r="AA68" s="1153"/>
      <c r="AB68" s="756"/>
      <c r="AC68" s="227" t="s">
        <v>177</v>
      </c>
      <c r="AD68" s="757"/>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200"/>
      <c r="BD68" s="1153"/>
      <c r="BE68" s="1153"/>
      <c r="BF68" s="980"/>
      <c r="BG68" s="980"/>
      <c r="BH68" s="980"/>
      <c r="BI68" s="597" t="s">
        <v>1174</v>
      </c>
      <c r="BJ68" s="597"/>
    </row>
    <row s="1621" customFormat="1" customHeight="1" ht="10.96875">
      <c r="B69" s="808"/>
      <c r="C69" s="0"/>
      <c r="D69" s="0"/>
      <c r="E69" s="651">
        <v>11.25</v>
      </c>
      <c r="F69" s="51"/>
      <c r="G69" s="0"/>
      <c r="H69" s="0"/>
      <c r="I69" s="0"/>
      <c r="J69" s="0"/>
      <c r="K69" s="0"/>
      <c r="L69" s="0"/>
      <c r="M69" s="0"/>
      <c r="N69" s="0"/>
      <c r="O69" s="0"/>
      <c r="P69" s="0"/>
      <c r="Q69" s="0"/>
      <c r="R69" s="0"/>
      <c r="S69" s="0"/>
      <c r="T69" s="0"/>
      <c r="U69" s="0" t="s">
        <v>177</v>
      </c>
      <c r="V69" s="831" t="s">
        <v>1180</v>
      </c>
      <c r="AC69" s="66"/>
      <c r="AD69" s="66"/>
      <c r="AE69" s="66"/>
      <c r="AF69" s="66"/>
      <c r="AI69" s="1621"/>
      <c r="AJ69" s="1621"/>
      <c r="AK69" s="1621"/>
      <c r="AL69" s="1621"/>
      <c r="AM69" s="1621"/>
      <c r="AN69" s="1621"/>
      <c r="AO69" s="1621"/>
      <c r="AP69" s="1621"/>
      <c r="AQ69" s="67"/>
      <c r="AR69" s="1621"/>
      <c r="AS69" s="1621"/>
      <c r="AT69" s="1621"/>
      <c r="AU69" s="1621"/>
      <c r="AV69" s="1621"/>
      <c r="AW69" s="1621"/>
      <c r="AX69" s="1621"/>
      <c r="AY69" s="1621"/>
      <c r="AZ69" s="1621"/>
      <c r="BA69" s="1621"/>
      <c r="BB69" s="1621"/>
      <c r="BF69" s="987"/>
      <c r="BG69" s="987"/>
      <c r="BH69" s="987"/>
      <c r="BI69" s="603"/>
      <c r="BJ69" s="603"/>
    </row>
    <row s="1621" customFormat="1" customHeight="1" ht="14.625">
      <c r="A70" s="64"/>
      <c r="B70" s="821"/>
      <c r="C70" s="467"/>
      <c r="D70" s="467"/>
      <c r="E70" s="822">
        <v>15</v>
      </c>
      <c r="F70" s="467"/>
      <c r="G70" s="467"/>
      <c r="H70" s="467"/>
      <c r="I70" s="467"/>
      <c r="J70" s="467"/>
      <c r="K70" s="467"/>
      <c r="L70" s="467"/>
      <c r="M70" s="467"/>
      <c r="N70" s="467"/>
      <c r="O70" s="467"/>
      <c r="P70" s="467"/>
      <c r="Q70" s="467"/>
      <c r="R70" s="467"/>
      <c r="S70" s="467"/>
      <c r="T70" s="467"/>
      <c r="U70" s="467"/>
      <c r="V70" s="467"/>
      <c r="W70" s="64"/>
      <c r="X70" s="64"/>
      <c r="Y70" s="64"/>
      <c r="Z70" s="64"/>
      <c r="AA70" s="64"/>
      <c r="AB70" s="1485" t="s">
        <v>398</v>
      </c>
      <c r="AC70" s="1485"/>
      <c r="AD70" s="1485"/>
      <c r="AE70" s="1485"/>
      <c r="AF70" s="1485"/>
      <c r="AG70" s="1485"/>
      <c r="AH70" s="1485"/>
      <c r="AI70" s="1522"/>
      <c r="AJ70" s="1522"/>
      <c r="AK70" s="1522"/>
      <c r="AL70" s="1522"/>
      <c r="AM70" s="1522"/>
      <c r="AN70" s="1522"/>
      <c r="AO70" s="1522"/>
      <c r="AP70" s="1522"/>
      <c r="AQ70" s="1522"/>
      <c r="AR70" s="1522"/>
      <c r="AS70" s="1522"/>
      <c r="AT70" s="1522"/>
      <c r="AU70" s="1522"/>
      <c r="AV70" s="1522"/>
      <c r="AW70" s="1522"/>
      <c r="AX70" s="1522"/>
      <c r="AY70" s="1522"/>
      <c r="AZ70" s="1522"/>
      <c r="BA70" s="1522"/>
      <c r="BB70" s="1522"/>
      <c r="BC70" s="1522"/>
      <c r="BD70" s="64"/>
      <c r="BF70" s="987"/>
      <c r="BG70" s="987"/>
      <c r="BH70" s="987"/>
      <c r="BI70" s="603"/>
      <c r="BJ70" s="603"/>
    </row>
    <row s="1621" customFormat="1" customHeight="1" ht="67.5">
      <c r="A71" s="64"/>
      <c r="B71" s="821"/>
      <c r="C71" s="467"/>
      <c r="D71" s="467"/>
      <c r="E71" s="822">
        <v>15</v>
      </c>
      <c r="F71" s="467"/>
      <c r="G71" s="467"/>
      <c r="H71" s="467"/>
      <c r="I71" s="467"/>
      <c r="J71" s="467"/>
      <c r="K71" s="467"/>
      <c r="L71" s="467"/>
      <c r="M71" s="467"/>
      <c r="N71" s="467"/>
      <c r="O71" s="467"/>
      <c r="P71" s="467"/>
      <c r="Q71" s="467"/>
      <c r="R71" s="467"/>
      <c r="S71" s="467"/>
      <c r="T71" s="467"/>
      <c r="U71" s="467"/>
      <c r="V71" s="467"/>
      <c r="W71" s="64"/>
      <c r="X71" s="64"/>
      <c r="Y71" s="64"/>
      <c r="Z71" s="64"/>
      <c r="AA71" s="140"/>
      <c r="AB71" s="1524" t="s">
        <v>1181</v>
      </c>
      <c r="AC71" s="1524"/>
      <c r="AD71" s="1524"/>
      <c r="AE71" s="1524"/>
      <c r="AF71" s="1524"/>
      <c r="AG71" s="1524"/>
      <c r="AH71" s="1524"/>
      <c r="AI71" s="1526"/>
      <c r="AJ71" s="2620"/>
      <c r="AK71" s="2620"/>
      <c r="AL71" s="2620"/>
      <c r="AM71" s="2620"/>
      <c r="AN71" s="2620"/>
      <c r="AO71" s="2620"/>
      <c r="AP71" s="2620"/>
      <c r="AQ71" s="2620"/>
      <c r="AR71" s="2620"/>
      <c r="AS71" s="1526"/>
      <c r="AT71" s="2620"/>
      <c r="AU71" s="2620"/>
      <c r="AV71" s="2620"/>
      <c r="AW71" s="2620"/>
      <c r="AX71" s="2620"/>
      <c r="AY71" s="2620"/>
      <c r="AZ71" s="2620"/>
      <c r="BA71" s="2620"/>
      <c r="BB71" s="2620"/>
      <c r="BC71" s="1526"/>
      <c r="BD71" s="64"/>
      <c r="BF71" s="987"/>
      <c r="BG71" s="987"/>
      <c r="BH71" s="987"/>
      <c r="BI71" s="603"/>
      <c r="BJ71" s="603"/>
    </row>
    <row s="1621" customFormat="1" customHeight="1" ht="14.625" hidden="1">
      <c r="A72" s="64"/>
      <c r="B72" s="400"/>
      <c r="C72" s="64"/>
      <c r="D72" s="64"/>
      <c r="E72" s="611">
        <v>15</v>
      </c>
      <c r="F72" s="64"/>
      <c r="G72" s="64"/>
      <c r="H72" s="64"/>
      <c r="I72" s="64"/>
      <c r="J72" s="64"/>
      <c r="K72" s="64"/>
      <c r="L72" s="64"/>
      <c r="M72" s="64"/>
      <c r="N72" s="64"/>
      <c r="O72" s="64"/>
      <c r="P72" s="64"/>
      <c r="Q72" s="64"/>
      <c r="R72" s="64"/>
      <c r="S72" s="64"/>
      <c r="T72" s="439">
        <f>ROW(W72)&gt;ROW(W$72)</f>
        <v>0</v>
      </c>
      <c r="U72" s="64"/>
      <c r="V72" s="64"/>
      <c r="W72" s="738" t="s">
        <v>173</v>
      </c>
      <c r="X72" s="64"/>
      <c r="Y72" s="64"/>
      <c r="Z72" s="64"/>
      <c r="AA72" s="393" t="s">
        <v>174</v>
      </c>
      <c r="AB72" s="2621" t="s">
        <v>222</v>
      </c>
      <c r="AC72" s="2621"/>
      <c r="AD72" s="2621"/>
      <c r="AE72" s="2621"/>
      <c r="AF72" s="2621"/>
      <c r="AG72" s="2621"/>
      <c r="AH72" s="2621"/>
      <c r="AI72" s="1526"/>
      <c r="AJ72" s="2620"/>
      <c r="AK72" s="2620"/>
      <c r="AL72" s="2620"/>
      <c r="AM72" s="2620"/>
      <c r="AN72" s="2620"/>
      <c r="AO72" s="2620"/>
      <c r="AP72" s="2620"/>
      <c r="AQ72" s="2620"/>
      <c r="AR72" s="2620"/>
      <c r="AS72" s="1526"/>
      <c r="AT72" s="2620"/>
      <c r="AU72" s="2620"/>
      <c r="AV72" s="2620"/>
      <c r="AW72" s="2620"/>
      <c r="AX72" s="2620"/>
      <c r="AY72" s="2620"/>
      <c r="AZ72" s="2620"/>
      <c r="BA72" s="2620"/>
      <c r="BB72" s="2620"/>
      <c r="BC72" s="2620"/>
      <c r="BD72" s="64"/>
      <c r="BE72" s="1621"/>
      <c r="BF72" s="987"/>
      <c r="BG72" s="987"/>
      <c r="BH72" s="987"/>
      <c r="BI72" s="603"/>
      <c r="BJ72" s="603"/>
    </row>
    <row s="1621" customFormat="1" customHeight="1" ht="14.625">
      <c r="A73" s="64"/>
      <c r="B73" s="400"/>
      <c r="C73" s="64"/>
      <c r="D73" s="64"/>
      <c r="E73" s="611">
        <v>15</v>
      </c>
      <c r="F73" s="64"/>
      <c r="G73" s="64"/>
      <c r="H73" s="64"/>
      <c r="I73" s="64"/>
      <c r="J73" s="64"/>
      <c r="K73" s="64"/>
      <c r="L73" s="64"/>
      <c r="M73" s="64"/>
      <c r="N73" s="64"/>
      <c r="O73" s="64"/>
      <c r="P73" s="64"/>
      <c r="Q73" s="64"/>
      <c r="R73" s="64"/>
      <c r="S73" s="64"/>
      <c r="T73" s="64"/>
      <c r="U73" s="64"/>
      <c r="V73" s="64"/>
      <c r="W73" s="738" t="s">
        <v>399</v>
      </c>
      <c r="X73" s="64"/>
      <c r="Y73" s="64"/>
      <c r="Z73" s="64"/>
      <c r="AA73" s="64"/>
      <c r="AB73" s="627"/>
      <c r="AC73" s="488" t="s">
        <v>1131</v>
      </c>
      <c r="AD73" s="277"/>
      <c r="AE73" s="277"/>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9"/>
      <c r="BD73" s="64"/>
      <c r="BF73" s="987"/>
      <c r="BG73" s="987"/>
      <c r="BH73" s="987"/>
      <c r="BI73" s="603"/>
      <c r="BJ73" s="603"/>
    </row>
    <row s="1621" customFormat="1" customHeight="1" ht="10.96875">
      <c r="A74" s="115"/>
      <c r="B74" s="415"/>
      <c r="C74" s="115"/>
      <c r="D74" s="115"/>
      <c r="E74" s="656">
        <v>11.25</v>
      </c>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399"/>
      <c r="BF74" s="987"/>
      <c r="BG74" s="987"/>
      <c r="BH74" s="987"/>
      <c r="BI74" s="603"/>
      <c r="BJ74" s="603"/>
    </row>
  </sheetData>
  <sheetProtection formatColumns="0" formatRows="0" insertRows="0" deleteColumns="0" deleteRows="0" sort="0" autoFilter="0" insertColumns="1"/>
  <mergeCells count="13">
    <mergeCell ref="X27:X40"/>
    <mergeCell ref="Z27:Z40"/>
    <mergeCell ref="AB70:BC70"/>
    <mergeCell ref="AB71:BC71"/>
    <mergeCell ref="AB24:AB25"/>
    <mergeCell ref="AC24:AC25"/>
    <mergeCell ref="AD24:AD25"/>
    <mergeCell ref="BC24:BC25"/>
    <mergeCell ref="AB72:BC72"/>
    <mergeCell ref="X41:X54"/>
    <mergeCell ref="Z41:Z54"/>
    <mergeCell ref="X55:X68"/>
    <mergeCell ref="Z55:Z68"/>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formula1>0</formula1>
      <formula2>9.99999999999999E+23</formula2>
    </dataValidation>
    <dataValidation allowBlank="1" showInputMessage="1" showErrorMessage="1" sqref="AI70:BC65525"/>
  </dataValidations>
  <pageMargins left="0.35" right="0.35" top="0.40" bottom="0.40" header="0.31" footer="0.31"/>
  <pageSetup paperSize="9" scale="30" fitToHeight="0" pageOrder="downThenOver"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74E858-112E-37E8-E138-0CFA58FD65B8}" mc:Ignorable="x14ac xr xr2 xr3">
  <sheetPr>
    <tabColor rgb="FF002060"/>
    <outlinePr summaryRight="0" summaryBelow="0"/>
    <pageSetUpPr fitToPage="1"/>
  </sheetPr>
  <dimension ref="A1:BH121"/>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8.8515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7.7109375" hidden="1" customWidth="1"/>
    <col min="8" max="10" style="1153" width="3.57421875" hidden="1" customWidth="1"/>
    <col min="11" max="11" style="1153" width="7.140625" hidden="1" customWidth="1"/>
    <col min="12" max="18" style="1153" width="3.57421875" hidden="1" customWidth="1"/>
    <col min="19" max="19" style="1153" width="9.28125" hidden="1" customWidth="1"/>
    <col min="20" max="20" style="1153" width="12.14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4.00390625" customWidth="1"/>
    <col min="30" max="30" style="1153" width="11.140625" customWidth="1"/>
    <col min="31" max="31" style="1153" width="14.140625" customWidth="1"/>
    <col min="32" max="32" style="1153" width="12.57421875" customWidth="1"/>
    <col min="33" max="33" style="1153" width="14.29296875" customWidth="1"/>
    <col min="34" max="34" style="1153" width="14.43359375" customWidth="1"/>
    <col min="35" max="35" style="1153" width="14.29296875" customWidth="1"/>
    <col min="36" max="37" style="1153" width="12.57421875" customWidth="1"/>
    <col min="38" max="46" style="1153" width="12.57421875" hidden="1" customWidth="1"/>
    <col min="47" max="47" style="1153" width="12.57421875" customWidth="1"/>
    <col min="48" max="56" style="1153" width="12.57421875" hidden="1" customWidth="1"/>
    <col min="57" max="57" style="1153" width="20.00390625" customWidth="1"/>
    <col min="58" max="58" style="1153" width="3.00390625" customWidth="1"/>
    <col min="59" max="59" style="1153" width="8.8515625" hidden="1"/>
    <col min="60" max="60" style="1253" width="8.8515625" hidden="1"/>
  </cols>
  <sheetData>
    <row customHeight="1" ht="11.25" hidden="1">
      <c r="E1" s="88"/>
      <c r="F1" s="88" t="s">
        <v>313</v>
      </c>
      <c r="H1" s="88" t="s">
        <v>324</v>
      </c>
      <c r="T1" s="439" t="s">
        <v>92</v>
      </c>
      <c r="U1" s="439" t="s">
        <v>97</v>
      </c>
      <c r="V1" s="439" t="s">
        <v>93</v>
      </c>
      <c r="W1" s="439" t="s">
        <v>94</v>
      </c>
      <c r="X1" s="439" t="s">
        <v>95</v>
      </c>
      <c r="Y1" s="441" t="s">
        <v>315</v>
      </c>
      <c r="Z1" s="439" t="s">
        <v>99</v>
      </c>
      <c r="AA1" s="440" t="s">
        <v>96</v>
      </c>
      <c r="AB1" s="440" t="s">
        <v>98</v>
      </c>
      <c r="AC1" s="440" t="s">
        <v>98</v>
      </c>
      <c r="AK1" s="1153"/>
      <c r="AL1" s="1153"/>
      <c r="AM1" s="1153"/>
      <c r="AN1" s="1153"/>
      <c r="AO1" s="1153"/>
      <c r="AP1" s="1153"/>
      <c r="AQ1" s="1153"/>
      <c r="AR1" s="1153"/>
      <c r="AS1" s="1153"/>
      <c r="AT1" s="1153"/>
      <c r="AU1" s="1153"/>
      <c r="AV1" s="1153"/>
      <c r="AW1" s="1153"/>
      <c r="AX1" s="1153"/>
      <c r="AY1" s="1153"/>
      <c r="AZ1" s="1153"/>
      <c r="BA1" s="1153"/>
      <c r="BB1" s="1153"/>
      <c r="BC1" s="1153"/>
      <c r="BD1" s="1153"/>
      <c r="BH1" s="980" t="s">
        <v>316</v>
      </c>
    </row>
    <row s="1160" customFormat="1" customHeight="1" ht="11.25" hidden="1">
      <c r="B2" s="419" t="s">
        <v>18</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0</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0</v>
      </c>
      <c r="BH2" s="992"/>
    </row>
    <row customHeight="1" ht="11.25" hidden="1">
      <c r="E3" s="88"/>
      <c r="AK3" s="1153"/>
      <c r="AL3" s="1153"/>
      <c r="AM3" s="1153"/>
      <c r="AN3" s="1153"/>
      <c r="AO3" s="1153"/>
      <c r="AP3" s="1153"/>
      <c r="AQ3" s="1153"/>
      <c r="AR3" s="1153"/>
      <c r="AS3" s="1153"/>
      <c r="AT3" s="1153"/>
      <c r="AU3" s="1153"/>
      <c r="AV3" s="1153"/>
      <c r="AW3" s="1153"/>
      <c r="AX3" s="1153"/>
      <c r="AY3" s="1153"/>
      <c r="AZ3" s="1153"/>
      <c r="BA3" s="1153"/>
      <c r="BB3" s="1153"/>
      <c r="BC3" s="1153"/>
      <c r="BD3" s="1153"/>
    </row>
    <row customHeight="1" ht="11.25" hidden="1">
      <c r="E4" s="88"/>
      <c r="AK4" s="1153"/>
      <c r="AL4" s="1153"/>
      <c r="AM4" s="1153"/>
      <c r="AN4" s="1153"/>
      <c r="AO4" s="1153"/>
      <c r="AP4" s="1153"/>
      <c r="AQ4" s="1153"/>
      <c r="AR4" s="1153"/>
      <c r="AS4" s="1153"/>
      <c r="AT4" s="1153"/>
      <c r="AU4" s="1153"/>
      <c r="AV4" s="1153"/>
      <c r="AW4" s="1153"/>
      <c r="AX4" s="1153"/>
      <c r="AY4" s="1153"/>
      <c r="AZ4" s="1153"/>
      <c r="BA4" s="1153"/>
      <c r="BB4" s="1153"/>
      <c r="BC4" s="1153"/>
      <c r="BD4" s="1153"/>
    </row>
    <row s="1161" customFormat="1" customHeight="1" ht="11.25" hidden="1">
      <c r="A5" s="88"/>
      <c r="B5" s="401"/>
      <c r="C5" s="88"/>
      <c r="D5" s="88"/>
      <c r="E5" s="597" t="s">
        <v>19</v>
      </c>
      <c r="AA5" s="597">
        <v>3</v>
      </c>
      <c r="AB5" s="597">
        <v>11</v>
      </c>
      <c r="AC5" s="597">
        <v>54</v>
      </c>
      <c r="AD5" s="597">
        <v>11.14</v>
      </c>
      <c r="AE5" s="597">
        <v>14.14</v>
      </c>
      <c r="AF5" s="597">
        <v>12.57</v>
      </c>
      <c r="AG5" s="597">
        <v>14.29</v>
      </c>
      <c r="AH5" s="597">
        <v>14.43</v>
      </c>
      <c r="AI5" s="597">
        <v>14.29</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12.57</v>
      </c>
      <c r="AZ5" s="597">
        <v>12.57</v>
      </c>
      <c r="BA5" s="597">
        <v>12.57</v>
      </c>
      <c r="BB5" s="597">
        <v>12.57</v>
      </c>
      <c r="BC5" s="597">
        <v>12.57</v>
      </c>
      <c r="BD5" s="597">
        <v>12.57</v>
      </c>
      <c r="BE5" s="597">
        <v>20</v>
      </c>
      <c r="BF5" s="597">
        <v>3</v>
      </c>
      <c r="BH5" s="980"/>
    </row>
    <row customHeight="1" ht="11.25" hidden="1">
      <c r="A6" s="88" t="s">
        <v>354</v>
      </c>
      <c r="AE6" s="88">
        <f>god-2</f>
        <v>2024</v>
      </c>
      <c r="AF6" s="88">
        <f>god-2</f>
        <v>2024</v>
      </c>
      <c r="AG6" s="88">
        <f>god-2</f>
        <v>2024</v>
      </c>
      <c r="AH6" s="88">
        <f>god-2</f>
        <v>2024</v>
      </c>
      <c r="AI6" s="88">
        <f>god-1</f>
        <v>2025</v>
      </c>
      <c r="AJ6" s="88">
        <f>god-1</f>
        <v>2025</v>
      </c>
      <c r="AK6" s="64" cm="1" t="str">
        <f t="array" ref="AK6:AK6">god</f>
        <v>2026</v>
      </c>
      <c r="AL6" s="64">
        <f>god+1</f>
        <v>2027</v>
      </c>
      <c r="AM6" s="64">
        <f>god+2</f>
        <v>2028</v>
      </c>
      <c r="AN6" s="64">
        <f>god+3</f>
        <v>2029</v>
      </c>
      <c r="AO6" s="64">
        <f>god+4</f>
        <v>2030</v>
      </c>
      <c r="AP6" s="64">
        <f>god+5</f>
        <v>2031</v>
      </c>
      <c r="AQ6" s="64">
        <f>god+6</f>
        <v>2032</v>
      </c>
      <c r="AR6" s="64">
        <f>god+7</f>
        <v>2033</v>
      </c>
      <c r="AS6" s="64">
        <f>god+8</f>
        <v>2034</v>
      </c>
      <c r="AT6" s="64">
        <f>god+9</f>
        <v>2035</v>
      </c>
      <c r="AU6" s="64" cm="1" t="str">
        <f t="array" ref="AU6:AU6">god</f>
        <v>2026</v>
      </c>
      <c r="AV6" s="64">
        <f>god+1</f>
        <v>2027</v>
      </c>
      <c r="AW6" s="64">
        <f>god+2</f>
        <v>2028</v>
      </c>
      <c r="AX6" s="64">
        <f>god+3</f>
        <v>2029</v>
      </c>
      <c r="AY6" s="64">
        <f>god+4</f>
        <v>2030</v>
      </c>
      <c r="AZ6" s="64">
        <f>god+5</f>
        <v>2031</v>
      </c>
      <c r="BA6" s="64">
        <f>god+6</f>
        <v>2032</v>
      </c>
      <c r="BB6" s="64">
        <f>god+7</f>
        <v>2033</v>
      </c>
      <c r="BC6" s="64">
        <f>god+8</f>
        <v>2034</v>
      </c>
      <c r="BD6" s="64">
        <f>god+9</f>
        <v>2035</v>
      </c>
    </row>
    <row customHeight="1" ht="11.25" hidden="1">
      <c r="A7" s="88" t="s">
        <v>355</v>
      </c>
      <c r="AE7" s="88" cm="1" t="str">
        <f t="array" ref="AE7:AE7">AE27</f>
        <v>Плановый размер финансирования утвержденной инвестиционной программы</v>
      </c>
      <c r="AF7" s="88" cm="1" t="str">
        <f t="array" ref="AF7:AF7">AF27</f>
        <v>Принято органом регулирования</v>
      </c>
      <c r="AG7" s="88" cm="1" t="str">
        <f t="array" ref="AG7:AG7">AG27</f>
        <v>Объем фактического ввода объектов системы водоснабжения и водоотведения в эксплуатацию по данным организации</v>
      </c>
      <c r="AH7" s="88" cm="1" t="str">
        <f t="array" ref="AH7:AH7">AH27</f>
        <v>Объем фактического ввода объектов системы водоснабжения и водоотведения в эксплуатацию, принятый органом регулирования</v>
      </c>
      <c r="AI7" s="88" cm="1" t="str">
        <f t="array" ref="AI7:AI7">AI27</f>
        <v>Плановый размер финансирования утвержденной инвестиционной программы</v>
      </c>
      <c r="AJ7" s="88" cm="1" t="str">
        <f t="array" ref="AJ7:AJ7">AJ27</f>
        <v>Принято органом регулирования</v>
      </c>
      <c r="AK7" s="88" cm="1" t="str">
        <f t="array" ref="AK7:AK7">AK27</f>
        <v>Предложение организации</v>
      </c>
      <c r="AL7" s="88" cm="1" t="str">
        <f t="array" ref="AL7:AL7">AL27</f>
        <v>Предложение организации</v>
      </c>
      <c r="AM7" s="88" cm="1" t="str">
        <f t="array" ref="AM7:AM7">AM27</f>
        <v>Предложение организации</v>
      </c>
      <c r="AN7" s="88" cm="1" t="str">
        <f t="array" ref="AN7:AN7">AN27</f>
        <v>Предложение организации</v>
      </c>
      <c r="AO7" s="88" cm="1" t="str">
        <f t="array" ref="AO7:AO7">AO27</f>
        <v>Предложение организации</v>
      </c>
      <c r="AP7" s="88" cm="1" t="str">
        <f t="array" ref="AP7:AP7">AP27</f>
        <v>Предложение организации</v>
      </c>
      <c r="AQ7" s="88" cm="1" t="str">
        <f t="array" ref="AQ7:AQ7">AQ27</f>
        <v>Предложение организации</v>
      </c>
      <c r="AR7" s="88" cm="1" t="str">
        <f t="array" ref="AR7:AR7">AR27</f>
        <v>Предложение организации</v>
      </c>
      <c r="AS7" s="88" cm="1" t="str">
        <f t="array" ref="AS7:AS7">AS27</f>
        <v>Предложение организации</v>
      </c>
      <c r="AT7" s="88" cm="1" t="str">
        <f t="array" ref="AT7:AT7">AT27</f>
        <v>Предложение организации</v>
      </c>
      <c r="AU7" s="88" cm="1" t="str">
        <f t="array" ref="AU7:AU7">AU27</f>
        <v>Принято органом регулирования</v>
      </c>
      <c r="AV7" s="88" cm="1" t="str">
        <f t="array" ref="AV7:AV7">AV27</f>
        <v>Принято органом регулирования</v>
      </c>
      <c r="AW7" s="88" cm="1" t="str">
        <f t="array" ref="AW7:AW7">AW27</f>
        <v>Принято органом регулирования</v>
      </c>
      <c r="AX7" s="88" cm="1" t="str">
        <f t="array" ref="AX7:AX7">AX27</f>
        <v>Принято органом регулирования</v>
      </c>
      <c r="AY7" s="88" cm="1" t="str">
        <f t="array" ref="AY7:AY7">AY27</f>
        <v>Принято органом регулирования</v>
      </c>
      <c r="AZ7" s="88" cm="1" t="str">
        <f t="array" ref="AZ7:AZ7">AZ27</f>
        <v>Принято органом регулирования</v>
      </c>
      <c r="BA7" s="88" cm="1" t="str">
        <f t="array" ref="BA7:BA7">BA27</f>
        <v>Принято органом регулирования</v>
      </c>
      <c r="BB7" s="88" cm="1" t="str">
        <f t="array" ref="BB7:BB7">BB27</f>
        <v>Принято органом регулирования</v>
      </c>
      <c r="BC7" s="88" cm="1" t="str">
        <f t="array" ref="BC7:BC7">BC27</f>
        <v>Принято органом регулирования</v>
      </c>
      <c r="BD7" s="88" cm="1" t="str">
        <f t="array" ref="BD7:BD7">BD27</f>
        <v>Принято органом регулирования</v>
      </c>
    </row>
    <row customHeight="1" ht="11.25" hidden="1">
      <c r="AK8" s="1153"/>
      <c r="AL8" s="1153"/>
      <c r="AM8" s="1153"/>
      <c r="AN8" s="1153"/>
      <c r="AO8" s="1153"/>
      <c r="AP8" s="1153"/>
      <c r="AQ8" s="1153"/>
      <c r="AR8" s="1153"/>
      <c r="AS8" s="1153"/>
      <c r="AT8" s="1153"/>
      <c r="AU8" s="1153"/>
      <c r="AV8" s="1153"/>
      <c r="AW8" s="1153"/>
      <c r="AX8" s="1153"/>
      <c r="AY8" s="1153"/>
      <c r="AZ8" s="1153"/>
      <c r="BA8" s="1153"/>
      <c r="BB8" s="1153"/>
      <c r="BC8" s="1153"/>
      <c r="BD8" s="1153"/>
    </row>
    <row s="1253" customFormat="1" customHeight="1" ht="11.25" hidden="1">
      <c r="A9" s="1022" t="s">
        <v>359</v>
      </c>
      <c r="B9" s="1021"/>
      <c r="AE9" s="1022" cm="1" t="str">
        <f t="array" ref="AE9:AE9">AE6</f>
        <v>2024</v>
      </c>
      <c r="AF9" s="1022" cm="1" t="str">
        <f t="array" ref="AF9:AF9">AF6</f>
        <v>2024</v>
      </c>
      <c r="AG9" s="1022" cm="1" t="str">
        <f t="array" ref="AG9:AG9">AG6</f>
        <v>2024</v>
      </c>
      <c r="AH9" s="1022" cm="1" t="str">
        <f t="array" ref="AH9:AH9">AH6</f>
        <v>2024</v>
      </c>
      <c r="AI9" s="1022" cm="1" t="str">
        <f t="array" ref="AI9:AI9">AI6</f>
        <v>2025</v>
      </c>
      <c r="AJ9" s="1022" cm="1" t="str">
        <f t="array" ref="AJ9:AJ9">AJ6</f>
        <v>2025</v>
      </c>
      <c r="AK9" s="1022" cm="1" t="str">
        <f t="array" ref="AK9:AK9">AK6</f>
        <v>2026</v>
      </c>
      <c r="AL9" s="1022" cm="1" t="str">
        <f t="array" ref="AL9:AL9">AL6</f>
        <v>2027</v>
      </c>
      <c r="AM9" s="1022" cm="1" t="str">
        <f t="array" ref="AM9:AM9">AM6</f>
        <v>2028</v>
      </c>
      <c r="AN9" s="1022" cm="1" t="str">
        <f t="array" ref="AN9:AN9">AN6</f>
        <v>2029</v>
      </c>
      <c r="AO9" s="1022" cm="1" t="str">
        <f t="array" ref="AO9:AO9">AO6</f>
        <v>2030</v>
      </c>
      <c r="AP9" s="1022" cm="1" t="str">
        <f t="array" ref="AP9:AP9">AP6</f>
        <v>2031</v>
      </c>
      <c r="AQ9" s="1022" cm="1" t="str">
        <f t="array" ref="AQ9:AQ9">AQ6</f>
        <v>2032</v>
      </c>
      <c r="AR9" s="1022" cm="1" t="str">
        <f t="array" ref="AR9:AR9">AR6</f>
        <v>2033</v>
      </c>
      <c r="AS9" s="1022" cm="1" t="str">
        <f t="array" ref="AS9:AS9">AS6</f>
        <v>2034</v>
      </c>
      <c r="AT9" s="1022" cm="1" t="str">
        <f t="array" ref="AT9:AT9">AT6</f>
        <v>2035</v>
      </c>
      <c r="AU9" s="1022" cm="1" t="str">
        <f t="array" ref="AU9:AU9">AU6</f>
        <v>2026</v>
      </c>
      <c r="AV9" s="1022" cm="1" t="str">
        <f t="array" ref="AV9:AV9">AV6</f>
        <v>2027</v>
      </c>
      <c r="AW9" s="1022" cm="1" t="str">
        <f t="array" ref="AW9:AW9">AW6</f>
        <v>2028</v>
      </c>
      <c r="AX9" s="1022" cm="1" t="str">
        <f t="array" ref="AX9:AX9">AX6</f>
        <v>2029</v>
      </c>
      <c r="AY9" s="1022" cm="1" t="str">
        <f t="array" ref="AY9:AY9">AY6</f>
        <v>2030</v>
      </c>
      <c r="AZ9" s="1022" cm="1" t="str">
        <f t="array" ref="AZ9:AZ9">AZ6</f>
        <v>2031</v>
      </c>
      <c r="BA9" s="1022" cm="1" t="str">
        <f t="array" ref="BA9:BA9">BA6</f>
        <v>2032</v>
      </c>
      <c r="BB9" s="1022" cm="1" t="str">
        <f t="array" ref="BB9:BB9">BB6</f>
        <v>2033</v>
      </c>
      <c r="BC9" s="1022" cm="1" t="str">
        <f t="array" ref="BC9:BC9">BC6</f>
        <v>2034</v>
      </c>
      <c r="BD9" s="1022" cm="1" t="str">
        <f t="array" ref="BD9:BD9">BD6</f>
        <v>2035</v>
      </c>
    </row>
    <row s="1253" customFormat="1" customHeight="1" ht="11.25" hidden="1">
      <c r="A10" s="1022" t="s">
        <v>360</v>
      </c>
      <c r="B10" s="1021"/>
      <c r="AE10" s="1022" cm="1" t="str">
        <f t="array" ref="AE10:AE10">AE27</f>
        <v>Плановый размер финансирования утвержденной инвестиционной программы</v>
      </c>
      <c r="AF10" s="1022" cm="1" t="str">
        <f t="array" ref="AF10:AF10">AF27</f>
        <v>Принято органом регулирования</v>
      </c>
      <c r="AG10" s="1022" cm="1" t="str">
        <f t="array" ref="AG10:AG10">AG27</f>
        <v>Объем фактического ввода объектов системы водоснабжения и водоотведения в эксплуатацию по данным организации</v>
      </c>
      <c r="AH10" s="1022" cm="1" t="str">
        <f t="array" ref="AH10:AH10">AH27</f>
        <v>Объем фактического ввода объектов системы водоснабжения и водоотведения в эксплуатацию, принятый органом регулирования</v>
      </c>
      <c r="AI10" s="1022" cm="1" t="str">
        <f t="array" ref="AI10:AI10">AI27</f>
        <v>Плановый размер финансирования утвержденной инвестиционной программы</v>
      </c>
      <c r="AJ10" s="1022" cm="1" t="str">
        <f t="array" ref="AJ10:AJ10">AJ27</f>
        <v>Принято органом регулирования</v>
      </c>
      <c r="AK10" s="1022" cm="1" t="str">
        <f t="array" ref="AK10:AK10">AK27</f>
        <v>Предложение организации</v>
      </c>
      <c r="AL10" s="1022" cm="1" t="str">
        <f t="array" ref="AL10:AL10">AL27</f>
        <v>Предложение организации</v>
      </c>
      <c r="AM10" s="1022" cm="1" t="str">
        <f t="array" ref="AM10:AM10">AM27</f>
        <v>Предложение организации</v>
      </c>
      <c r="AN10" s="1022" cm="1" t="str">
        <f t="array" ref="AN10:AN10">AN27</f>
        <v>Предложение организации</v>
      </c>
      <c r="AO10" s="1022" cm="1" t="str">
        <f t="array" ref="AO10:AO10">AO27</f>
        <v>Предложение организации</v>
      </c>
      <c r="AP10" s="1022" cm="1" t="str">
        <f t="array" ref="AP10:AP10">AP27</f>
        <v>Предложение организации</v>
      </c>
      <c r="AQ10" s="1022" cm="1" t="str">
        <f t="array" ref="AQ10:AQ10">AQ27</f>
        <v>Предложение организации</v>
      </c>
      <c r="AR10" s="1022" cm="1" t="str">
        <f t="array" ref="AR10:AR10">AR27</f>
        <v>Предложение организации</v>
      </c>
      <c r="AS10" s="1022" cm="1" t="str">
        <f t="array" ref="AS10:AS10">AS27</f>
        <v>Предложение организации</v>
      </c>
      <c r="AT10" s="1022" cm="1" t="str">
        <f t="array" ref="AT10:AT10">AT27</f>
        <v>Предложение организации</v>
      </c>
      <c r="AU10" s="1022" cm="1" t="str">
        <f t="array" ref="AU10:AU10">AU27</f>
        <v>Принято органом регулирования</v>
      </c>
      <c r="AV10" s="1022" cm="1" t="str">
        <f t="array" ref="AV10:AV10">AV27</f>
        <v>Принято органом регулирования</v>
      </c>
      <c r="AW10" s="1022" cm="1" t="str">
        <f t="array" ref="AW10:AW10">AW27</f>
        <v>Принято органом регулирования</v>
      </c>
      <c r="AX10" s="1022" cm="1" t="str">
        <f t="array" ref="AX10:AX10">AX27</f>
        <v>Принято органом регулирования</v>
      </c>
      <c r="AY10" s="1022" cm="1" t="str">
        <f t="array" ref="AY10:AY10">AY27</f>
        <v>Принято органом регулирования</v>
      </c>
      <c r="AZ10" s="1022" cm="1" t="str">
        <f t="array" ref="AZ10:AZ10">AZ27</f>
        <v>Принято органом регулирования</v>
      </c>
      <c r="BA10" s="1022" cm="1" t="str">
        <f t="array" ref="BA10:BA10">BA27</f>
        <v>Принято органом регулирования</v>
      </c>
      <c r="BB10" s="1022" cm="1" t="str">
        <f t="array" ref="BB10:BB10">BB27</f>
        <v>Принято органом регулирования</v>
      </c>
      <c r="BC10" s="1022" cm="1" t="str">
        <f t="array" ref="BC10:BC10">BC27</f>
        <v>Принято органом регулирования</v>
      </c>
      <c r="BD10" s="1022" cm="1" t="str">
        <f t="array" ref="BD10:BD10">BD27</f>
        <v>Принято органом регулирования</v>
      </c>
    </row>
    <row s="1253" customFormat="1" customHeight="1" ht="11.25" hidden="1">
      <c r="A11" s="1022" t="s">
        <v>361</v>
      </c>
      <c r="B11" s="1021"/>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980" cm="1" t="str">
        <f t="array" ref="BE11:BE11">BE26</f>
        <v>Ссылка на правовую норму (основание для принятия показателя в расчет тарифа)</v>
      </c>
    </row>
    <row customHeight="1" ht="11.25" hidden="1">
      <c r="AK12" s="1153"/>
      <c r="AL12" s="1153"/>
      <c r="AM12" s="1153"/>
      <c r="AN12" s="1153"/>
      <c r="AO12" s="1153"/>
      <c r="AP12" s="1153"/>
      <c r="AQ12" s="1153"/>
      <c r="AR12" s="1153"/>
      <c r="AS12" s="1153"/>
      <c r="AT12" s="1153"/>
      <c r="AU12" s="1153"/>
      <c r="AV12" s="1153"/>
      <c r="AW12" s="1153"/>
      <c r="AX12" s="1153"/>
      <c r="AY12" s="1153"/>
      <c r="AZ12" s="1153"/>
      <c r="BA12" s="1153"/>
      <c r="BB12" s="1153"/>
      <c r="BC12" s="1153"/>
      <c r="BD12" s="1153"/>
    </row>
    <row customHeight="1" ht="11.25" hidden="1">
      <c r="AK13" s="64"/>
      <c r="AL13" s="64"/>
      <c r="AM13" s="64"/>
      <c r="AN13" s="64"/>
      <c r="AO13" s="64"/>
      <c r="AP13" s="64"/>
      <c r="AQ13" s="64"/>
      <c r="AR13" s="64"/>
      <c r="AS13" s="64"/>
      <c r="AT13" s="64"/>
      <c r="AU13" s="64"/>
      <c r="AV13" s="64"/>
      <c r="AW13" s="64"/>
      <c r="AX13" s="64"/>
      <c r="AY13" s="64"/>
      <c r="AZ13" s="64"/>
      <c r="BA13" s="64"/>
      <c r="BB13" s="64"/>
      <c r="BC13" s="64"/>
      <c r="BD13" s="64"/>
    </row>
    <row customHeight="1" ht="11.25" hidden="1">
      <c r="AK14" s="64"/>
      <c r="AL14" s="64"/>
      <c r="AM14" s="64"/>
      <c r="AN14" s="64"/>
      <c r="AO14" s="64"/>
      <c r="AP14" s="64"/>
      <c r="AQ14" s="64"/>
      <c r="AR14" s="64"/>
      <c r="AS14" s="64"/>
      <c r="AT14" s="64"/>
      <c r="AU14" s="64"/>
      <c r="AV14" s="64"/>
      <c r="AW14" s="64"/>
      <c r="AX14" s="64"/>
      <c r="AY14" s="64"/>
      <c r="AZ14" s="64"/>
      <c r="BA14" s="64"/>
      <c r="BB14" s="64"/>
      <c r="BC14" s="64"/>
      <c r="BD14" s="64"/>
    </row>
    <row customHeight="1" ht="11.25" hidden="1">
      <c r="AK15" s="64"/>
      <c r="AL15" s="64"/>
      <c r="AM15" s="64"/>
      <c r="AN15" s="64"/>
      <c r="AO15" s="64"/>
      <c r="AP15" s="64"/>
      <c r="AQ15" s="64"/>
      <c r="AR15" s="64"/>
      <c r="AS15" s="64"/>
      <c r="AT15" s="64"/>
      <c r="AU15" s="64"/>
      <c r="AV15" s="64"/>
      <c r="AW15" s="64"/>
      <c r="AX15" s="64"/>
      <c r="AY15" s="64"/>
      <c r="AZ15" s="64"/>
      <c r="BA15" s="64"/>
      <c r="BB15" s="64"/>
      <c r="BC15" s="64"/>
      <c r="BD15" s="64"/>
    </row>
    <row customHeight="1" ht="11.25" hidden="1">
      <c r="AK16" s="64"/>
      <c r="AL16" s="64"/>
      <c r="AM16" s="64"/>
      <c r="AN16" s="64"/>
      <c r="AO16" s="64"/>
      <c r="AP16" s="64"/>
      <c r="AQ16" s="64"/>
      <c r="AR16" s="64"/>
      <c r="AS16" s="64"/>
      <c r="AT16" s="64"/>
      <c r="AU16" s="64"/>
      <c r="AV16" s="64"/>
      <c r="AW16" s="64"/>
      <c r="AX16" s="64"/>
      <c r="AY16" s="64"/>
      <c r="AZ16" s="64"/>
      <c r="BA16" s="64"/>
      <c r="BB16" s="64"/>
      <c r="BC16" s="64"/>
      <c r="BD16" s="64"/>
    </row>
    <row customHeight="1" ht="11.25" hidden="1">
      <c r="AK17" s="1153"/>
      <c r="AL17" s="1153"/>
      <c r="AM17" s="1153"/>
      <c r="AN17" s="1153"/>
      <c r="AO17" s="1153"/>
      <c r="AP17" s="1153"/>
      <c r="AQ17" s="1153"/>
      <c r="AR17" s="1153"/>
      <c r="AS17" s="1153"/>
      <c r="AT17" s="1153"/>
      <c r="AU17" s="1153"/>
      <c r="AV17" s="1153"/>
      <c r="AW17" s="1153"/>
      <c r="AX17" s="1153"/>
      <c r="AY17" s="1153"/>
      <c r="AZ17" s="1153"/>
      <c r="BA17" s="1153"/>
      <c r="BB17" s="1153"/>
      <c r="BC17" s="1153"/>
      <c r="BD17" s="1153"/>
    </row>
    <row customHeight="1" ht="11.25" hidden="1">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row>
    <row customHeight="1" ht="11.25" hidden="1">
      <c r="AK19" s="1153"/>
      <c r="AL19" s="1153"/>
      <c r="AM19" s="1153"/>
      <c r="AN19" s="1153"/>
      <c r="AO19" s="1153"/>
      <c r="AP19" s="1153"/>
      <c r="AQ19" s="1153"/>
      <c r="AR19" s="1153"/>
      <c r="AS19" s="1153"/>
      <c r="AT19" s="1153"/>
      <c r="AU19" s="1153"/>
      <c r="AV19" s="1153"/>
      <c r="AW19" s="1153"/>
      <c r="AX19" s="1153"/>
      <c r="AY19" s="1153"/>
      <c r="AZ19" s="1153"/>
      <c r="BA19" s="1153"/>
      <c r="BB19" s="1153"/>
      <c r="BC19" s="1153"/>
      <c r="BD19" s="1153"/>
    </row>
    <row customHeight="1" ht="11.25" hidden="1">
      <c r="AK20" s="1153"/>
      <c r="AL20" s="1153"/>
      <c r="AM20" s="1153"/>
      <c r="AN20" s="1153"/>
      <c r="AO20" s="1153"/>
      <c r="AP20" s="1153"/>
      <c r="AQ20" s="1153"/>
      <c r="AR20" s="1153"/>
      <c r="AS20" s="1153"/>
      <c r="AT20" s="1153"/>
      <c r="AU20" s="1153"/>
      <c r="AV20" s="1153"/>
      <c r="AW20" s="1153"/>
      <c r="AX20" s="1153"/>
      <c r="AY20" s="1153"/>
      <c r="AZ20" s="1153"/>
      <c r="BA20" s="1153"/>
      <c r="BB20" s="1153"/>
      <c r="BC20" s="1153"/>
      <c r="BD20" s="1153"/>
    </row>
    <row customHeight="1" ht="14.625">
      <c r="E21" s="597">
        <v>15</v>
      </c>
      <c r="AA21" s="398"/>
      <c r="AC21" s="50" cm="1" t="str">
        <f t="array" ref="AC21:AC21">tpl_title</f>
        <v>Кемеровская область / 2026 / Филиал АО "УК "Кузбассразрезуголь" "Талдинский угольный разрез" (ИНН:4205049090, КПП:423802002) / ДПР: 2024-2028</v>
      </c>
      <c r="AK21" s="1153"/>
      <c r="AL21" s="1153"/>
      <c r="AM21" s="1153"/>
      <c r="AN21" s="1153"/>
      <c r="AO21" s="1153"/>
      <c r="AP21" s="1153"/>
      <c r="AQ21" s="1153"/>
      <c r="AR21" s="1153"/>
      <c r="AS21" s="1153"/>
      <c r="AT21" s="1153"/>
      <c r="AU21" s="1153"/>
      <c r="AV21" s="1153"/>
      <c r="AW21" s="1153"/>
      <c r="AX21" s="1153"/>
      <c r="AY21" s="1153"/>
      <c r="AZ21" s="1153"/>
      <c r="BA21" s="1153"/>
      <c r="BB21" s="1153"/>
      <c r="BC21" s="1153"/>
      <c r="BD21" s="1153"/>
    </row>
    <row customHeight="1" ht="19.5">
      <c r="E22" s="597">
        <v>20</v>
      </c>
      <c r="AB22" s="287" t="s">
        <v>69</v>
      </c>
      <c r="AC22" s="203"/>
      <c r="AD22" s="203"/>
      <c r="AE22" s="203"/>
      <c r="AF22" s="203"/>
      <c r="AG22" s="203"/>
      <c r="AH22" s="203"/>
      <c r="AI22" s="203"/>
      <c r="AJ22" s="203"/>
      <c r="AK22" s="203"/>
      <c r="AL22" s="203"/>
      <c r="AM22" s="203"/>
      <c r="AN22" s="203"/>
      <c r="AO22" s="203"/>
      <c r="AP22" s="203"/>
      <c r="AQ22" s="203"/>
      <c r="AR22" s="203"/>
      <c r="AS22" s="203"/>
      <c r="AT22" s="203"/>
      <c r="AU22" s="203"/>
      <c r="AV22" s="204"/>
      <c r="AW22" s="204"/>
      <c r="AX22" s="204"/>
      <c r="AY22" s="204"/>
      <c r="AZ22" s="204"/>
      <c r="BA22" s="204"/>
      <c r="BB22" s="204"/>
      <c r="BC22" s="204"/>
      <c r="BD22" s="204"/>
      <c r="BE22" s="204"/>
    </row>
    <row customHeight="1" ht="10.96875">
      <c r="E23" s="597">
        <v>11.25</v>
      </c>
      <c r="AK23" s="1153"/>
      <c r="AL23" s="1153"/>
      <c r="AM23" s="1153"/>
      <c r="AN23" s="1153"/>
      <c r="AO23" s="1153"/>
      <c r="AP23" s="1153"/>
      <c r="AQ23" s="1153"/>
      <c r="AR23" s="1153"/>
      <c r="AS23" s="1153"/>
      <c r="AT23" s="1153"/>
      <c r="AU23" s="1153"/>
      <c r="AV23" s="1153"/>
      <c r="AW23" s="1153"/>
      <c r="AX23" s="1153"/>
      <c r="AY23" s="1153"/>
      <c r="AZ23" s="1153"/>
      <c r="BA23" s="1153"/>
      <c r="BB23" s="1153"/>
      <c r="BC23" s="1153"/>
      <c r="BD23" s="1153"/>
    </row>
    <row customHeight="1" ht="21.9375">
      <c r="E24" s="597">
        <v>22.5</v>
      </c>
      <c r="AB24" s="1560" t="s">
        <v>1182</v>
      </c>
      <c r="AC24" s="1560"/>
      <c r="AD24" s="315" t="str">
        <f>"нет"</f>
        <v>нет</v>
      </c>
      <c r="AK24" s="1153"/>
      <c r="AL24" s="1153"/>
      <c r="AM24" s="1153"/>
      <c r="AN24" s="1153"/>
      <c r="AO24" s="1153"/>
      <c r="AP24" s="1153"/>
      <c r="AQ24" s="1153"/>
      <c r="AR24" s="1153"/>
      <c r="AS24" s="1153"/>
      <c r="AT24" s="1153"/>
      <c r="AU24" s="1153"/>
      <c r="AV24" s="1153"/>
      <c r="AW24" s="1153"/>
      <c r="AX24" s="1153"/>
      <c r="AY24" s="1153"/>
      <c r="AZ24" s="1153"/>
      <c r="BA24" s="1153"/>
      <c r="BB24" s="1153"/>
      <c r="BC24" s="1153"/>
      <c r="BD24" s="1153"/>
    </row>
    <row customHeight="1" ht="10.96875">
      <c r="E25" s="597">
        <v>11.25</v>
      </c>
      <c r="AK25" s="1153"/>
      <c r="AL25" s="1153"/>
      <c r="AM25" s="1153"/>
      <c r="AN25" s="1153"/>
      <c r="AO25" s="1153"/>
      <c r="AP25" s="1153"/>
      <c r="AQ25" s="1153"/>
      <c r="AR25" s="1153"/>
      <c r="AS25" s="1153"/>
      <c r="AT25" s="1153"/>
      <c r="AU25" s="1153"/>
      <c r="AV25" s="1153"/>
      <c r="AW25" s="1153"/>
      <c r="AX25" s="1153"/>
      <c r="AY25" s="1153"/>
      <c r="AZ25" s="1153"/>
      <c r="BA25" s="1153"/>
      <c r="BB25" s="1153"/>
      <c r="BC25" s="1153"/>
      <c r="BD25" s="1153"/>
    </row>
    <row customHeight="1" ht="14.625">
      <c r="E26" s="597">
        <v>15</v>
      </c>
      <c r="AB26" s="1483" t="s">
        <v>21</v>
      </c>
      <c r="AC26" s="1485" t="s">
        <v>1183</v>
      </c>
      <c r="AD26" s="1485" t="s">
        <v>363</v>
      </c>
      <c r="AE26" s="747" t="str">
        <f>god-2&amp;" год"</f>
        <v>2024 год</v>
      </c>
      <c r="AF26" s="747" t="str">
        <f>god-2&amp;" год"</f>
        <v>2024 год</v>
      </c>
      <c r="AG26" s="1108" t="str">
        <f>god-2&amp;" год"</f>
        <v>2024 год</v>
      </c>
      <c r="AH26" s="747" t="str">
        <f>god-2&amp;" год"</f>
        <v>2024 год</v>
      </c>
      <c r="AI26" s="914" t="str">
        <f>god-1&amp;" год"</f>
        <v>2025 год</v>
      </c>
      <c r="AJ26" s="914" t="str">
        <f>god-1&amp;" год"</f>
        <v>2025 год</v>
      </c>
      <c r="AK26" s="1109" t="str">
        <f>god&amp;" год"</f>
        <v>2026 год</v>
      </c>
      <c r="AL26" s="1109" t="str">
        <f>god+1&amp;" год"</f>
        <v>2027 год</v>
      </c>
      <c r="AM26" s="1109" t="str">
        <f>god+2&amp;" год"</f>
        <v>2028 год</v>
      </c>
      <c r="AN26" s="1109" t="str">
        <f>god+3&amp;" год"</f>
        <v>2029 год</v>
      </c>
      <c r="AO26" s="1109" t="str">
        <f>god+4&amp;" год"</f>
        <v>2030 год</v>
      </c>
      <c r="AP26" s="1109" t="str">
        <f>god+5&amp;" год"</f>
        <v>2031 год</v>
      </c>
      <c r="AQ26" s="1109" t="str">
        <f>god+6&amp;" год"</f>
        <v>2032 год</v>
      </c>
      <c r="AR26" s="1109" t="str">
        <f>god+7&amp;" год"</f>
        <v>2033 год</v>
      </c>
      <c r="AS26" s="1109" t="str">
        <f>god+8&amp;" год"</f>
        <v>2034 год</v>
      </c>
      <c r="AT26" s="1109" t="str">
        <f>god+9&amp;" год"</f>
        <v>2035 год</v>
      </c>
      <c r="AU26" s="846" t="str">
        <f>god&amp;" год"</f>
        <v>2026 год</v>
      </c>
      <c r="AV26" s="846" t="str">
        <f>god+1&amp;" год"</f>
        <v>2027 год</v>
      </c>
      <c r="AW26" s="846" t="str">
        <f>god+2&amp;" год"</f>
        <v>2028 год</v>
      </c>
      <c r="AX26" s="846" t="str">
        <f>god+3&amp;" год"</f>
        <v>2029 год</v>
      </c>
      <c r="AY26" s="846" t="str">
        <f>god+4&amp;" год"</f>
        <v>2030 год</v>
      </c>
      <c r="AZ26" s="846" t="str">
        <f>god+5&amp;" год"</f>
        <v>2031 год</v>
      </c>
      <c r="BA26" s="846" t="str">
        <f>god+6&amp;" год"</f>
        <v>2032 год</v>
      </c>
      <c r="BB26" s="846" t="str">
        <f>god+7&amp;" год"</f>
        <v>2033 год</v>
      </c>
      <c r="BC26" s="846" t="str">
        <f>god+8&amp;" год"</f>
        <v>2034 год</v>
      </c>
      <c r="BD26" s="846" t="str">
        <f>god+9&amp;" год"</f>
        <v>2035 год</v>
      </c>
      <c r="BE26" s="1485" t="s">
        <v>507</v>
      </c>
    </row>
    <row s="1484" customFormat="1" customHeight="1" ht="122.85000000000001">
      <c r="B27" s="402"/>
      <c r="E27" s="234">
        <v>126</v>
      </c>
      <c r="AB27" s="1483"/>
      <c r="AC27" s="1485"/>
      <c r="AD27" s="1485"/>
      <c r="AE27" s="747" t="s">
        <v>1184</v>
      </c>
      <c r="AF27" s="747" t="s">
        <v>356</v>
      </c>
      <c r="AG27" s="1108" t="s">
        <v>1185</v>
      </c>
      <c r="AH27" s="747" t="s">
        <v>1186</v>
      </c>
      <c r="AI27" s="747" t="s">
        <v>1184</v>
      </c>
      <c r="AJ27" s="915" t="s">
        <v>356</v>
      </c>
      <c r="AK27" s="1110" t="s">
        <v>357</v>
      </c>
      <c r="AL27" s="1110" t="s">
        <v>357</v>
      </c>
      <c r="AM27" s="1110" t="s">
        <v>357</v>
      </c>
      <c r="AN27" s="1110" t="s">
        <v>357</v>
      </c>
      <c r="AO27" s="1110" t="s">
        <v>357</v>
      </c>
      <c r="AP27" s="1110" t="s">
        <v>357</v>
      </c>
      <c r="AQ27" s="1110" t="s">
        <v>357</v>
      </c>
      <c r="AR27" s="1110" t="s">
        <v>357</v>
      </c>
      <c r="AS27" s="1110" t="s">
        <v>357</v>
      </c>
      <c r="AT27" s="1110" t="s">
        <v>357</v>
      </c>
      <c r="AU27" s="847" t="s">
        <v>356</v>
      </c>
      <c r="AV27" s="847" t="s">
        <v>356</v>
      </c>
      <c r="AW27" s="847" t="s">
        <v>356</v>
      </c>
      <c r="AX27" s="847" t="s">
        <v>356</v>
      </c>
      <c r="AY27" s="847" t="s">
        <v>356</v>
      </c>
      <c r="AZ27" s="847" t="s">
        <v>356</v>
      </c>
      <c r="BA27" s="847" t="s">
        <v>356</v>
      </c>
      <c r="BB27" s="847" t="s">
        <v>356</v>
      </c>
      <c r="BC27" s="847" t="s">
        <v>356</v>
      </c>
      <c r="BD27" s="847" t="s">
        <v>356</v>
      </c>
      <c r="BE27" s="1485"/>
      <c r="BH27" s="1014"/>
    </row>
    <row s="1621" customFormat="1" customHeight="1" ht="11.25" hidden="1">
      <c r="A28" s="473"/>
      <c r="B28" s="638"/>
      <c r="C28" s="473"/>
      <c r="D28" s="473"/>
      <c r="E28" s="639">
        <v>0</v>
      </c>
      <c r="F28" s="388"/>
      <c r="G28" s="473"/>
      <c r="H28" s="473"/>
      <c r="I28" s="473"/>
      <c r="J28" s="473"/>
      <c r="K28" s="473"/>
      <c r="L28" s="473"/>
      <c r="M28" s="473"/>
      <c r="N28" s="473"/>
      <c r="O28" s="473"/>
      <c r="P28" s="473"/>
      <c r="Q28" s="473"/>
      <c r="R28" s="473"/>
      <c r="S28" s="473"/>
      <c r="T28" s="473"/>
      <c r="U28" s="473"/>
      <c r="V28" s="473"/>
      <c r="W28" s="473"/>
      <c r="X28" s="473"/>
      <c r="Y28" s="473"/>
      <c r="Z28" s="473"/>
      <c r="AB28" s="0"/>
      <c r="AC28" s="456"/>
      <c r="AD28" s="456"/>
      <c r="AE28" s="456"/>
      <c r="AF28" s="456"/>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H28" s="987"/>
    </row>
    <row customHeight="1" ht="14.625" hidden="1">
      <c r="A29" s="1153"/>
      <c r="B29" s="88"/>
      <c r="C29" s="1153"/>
      <c r="D29" s="1153"/>
      <c r="E29" s="597">
        <v>15</v>
      </c>
      <c r="F29" s="64" cm="1" t="str">
        <f t="array" ref="F29:F29">X29</f>
        <v>0</v>
      </c>
      <c r="G29" s="1153"/>
      <c r="H29" s="1153"/>
      <c r="I29" s="1153"/>
      <c r="J29" s="1153"/>
      <c r="K29" s="1153"/>
      <c r="L29" s="1153"/>
      <c r="M29" s="1153"/>
      <c r="N29" s="1153"/>
      <c r="O29" s="1153"/>
      <c r="P29" s="1153"/>
      <c r="Q29" s="1153"/>
      <c r="R29" s="1153"/>
      <c r="S29" s="1153"/>
      <c r="T29" s="439">
        <f>X29&gt;0</f>
        <v>0</v>
      </c>
      <c r="U29" s="1153"/>
      <c r="V29" s="88" t="s">
        <v>261</v>
      </c>
      <c r="W29" s="1153"/>
      <c r="X29" s="1482">
        <v>0</v>
      </c>
      <c r="Y29" s="1153"/>
      <c r="Z29" s="1465"/>
      <c r="AA29" s="1153"/>
      <c r="AB29" s="209" cm="1" t="str">
        <f t="array" ref="AB29:AB29">INDEX('Общие сведения'!$AG$179:$AG$222,MATCH($X29,'Общие сведения'!$Z$179:$Z$222,0))</f>
        <v>Тариф 0 () - </v>
      </c>
      <c r="AC29" s="813"/>
      <c r="AD29" s="813"/>
      <c r="AE29" s="813"/>
      <c r="AF29" s="813"/>
      <c r="AG29" s="813"/>
      <c r="AH29" s="813"/>
      <c r="AI29" s="813"/>
      <c r="AJ29" s="813"/>
      <c r="AK29" s="813"/>
      <c r="AL29" s="813"/>
      <c r="AM29" s="813"/>
      <c r="AN29" s="813"/>
      <c r="AO29" s="813"/>
      <c r="AP29" s="813"/>
      <c r="AQ29" s="813"/>
      <c r="AR29" s="813"/>
      <c r="AS29" s="813"/>
      <c r="AT29" s="813"/>
      <c r="AU29" s="813"/>
      <c r="AV29" s="813"/>
      <c r="AW29" s="813"/>
      <c r="AX29" s="813"/>
      <c r="AY29" s="813"/>
      <c r="AZ29" s="813"/>
      <c r="BA29" s="813"/>
      <c r="BB29" s="813"/>
      <c r="BC29" s="813"/>
      <c r="BD29" s="813"/>
      <c r="BE29" s="813"/>
      <c r="BF29" s="1153"/>
      <c r="BG29" s="1153"/>
      <c r="BH29" s="1253"/>
    </row>
    <row s="678" customFormat="1" customHeight="1" ht="21.9375" hidden="1">
      <c r="A30" s="678"/>
      <c r="B30" s="88"/>
      <c r="C30" s="678"/>
      <c r="D30" s="678"/>
      <c r="E30" s="671">
        <v>22.5</v>
      </c>
      <c r="F30" s="50" cm="1" t="str">
        <f t="array" ref="F30:F30">OFFSET(E30,-1,1)</f>
        <v>0</v>
      </c>
      <c r="G30" s="88"/>
      <c r="H30" s="88" t="s">
        <v>325</v>
      </c>
      <c r="I30" s="678"/>
      <c r="J30" s="678"/>
      <c r="K30" s="678"/>
      <c r="L30" s="678"/>
      <c r="M30" s="678"/>
      <c r="N30" s="678"/>
      <c r="O30" s="678"/>
      <c r="P30" s="678"/>
      <c r="Q30" s="678"/>
      <c r="R30" s="678"/>
      <c r="S30" s="678"/>
      <c r="T30" s="439" cm="1" t="str">
        <f t="array" ref="T30:T30">T29</f>
        <v>false</v>
      </c>
      <c r="U30" s="678"/>
      <c r="V30" s="678"/>
      <c r="W30" s="678"/>
      <c r="X30" s="1482"/>
      <c r="Y30" s="678"/>
      <c r="Z30" s="1465"/>
      <c r="AA30" s="678"/>
      <c r="AB30" s="185">
        <v>1</v>
      </c>
      <c r="AC30" s="179" t="s">
        <v>1187</v>
      </c>
      <c r="AD30" s="178" t="s">
        <v>784</v>
      </c>
      <c r="AE30" s="180">
        <f>AE31+AE41+AE45+AE49</f>
        <v>0</v>
      </c>
      <c r="AF30" s="180">
        <f>AF31+AF41+AF45+AF49</f>
        <v>0</v>
      </c>
      <c r="AG30" s="180">
        <f>AG31+AG41+AG45+AG49</f>
        <v>0</v>
      </c>
      <c r="AH30" s="180">
        <f>AH31+AH41+AH45+AH49</f>
        <v>0</v>
      </c>
      <c r="AI30" s="180">
        <f>AI31+AI41+AI45+AI49</f>
        <v>0</v>
      </c>
      <c r="AJ30" s="180">
        <f>AJ31+AJ41+AJ45+AJ49</f>
        <v>0</v>
      </c>
      <c r="AK30" s="180">
        <f>AK31+AK41+AK45+AK49</f>
        <v>0</v>
      </c>
      <c r="AL30" s="180">
        <f>AL31+AL41+AL45+AL49</f>
        <v>0</v>
      </c>
      <c r="AM30" s="180">
        <f>AM31+AM41+AM45+AM49</f>
        <v>0</v>
      </c>
      <c r="AN30" s="180">
        <f>AN31+AN41+AN45+AN49</f>
        <v>0</v>
      </c>
      <c r="AO30" s="180">
        <f>AO31+AO41+AO45+AO49</f>
        <v>0</v>
      </c>
      <c r="AP30" s="180">
        <f>AP31+AP41+AP45+AP49</f>
        <v>0</v>
      </c>
      <c r="AQ30" s="180">
        <f>AQ31+AQ41+AQ45+AQ49</f>
        <v>0</v>
      </c>
      <c r="AR30" s="180">
        <f>AR31+AR41+AR45+AR49</f>
        <v>0</v>
      </c>
      <c r="AS30" s="180">
        <f>AS31+AS41+AS45+AS49</f>
        <v>0</v>
      </c>
      <c r="AT30" s="180">
        <f>AT31+AT41+AT45+AT49</f>
        <v>0</v>
      </c>
      <c r="AU30" s="180">
        <f>AU31+AU41+AU45+AU49</f>
        <v>0</v>
      </c>
      <c r="AV30" s="180">
        <f>AV31+AV41+AV45+AV49</f>
        <v>0</v>
      </c>
      <c r="AW30" s="180">
        <f>AW31+AW41+AW45+AW49</f>
        <v>0</v>
      </c>
      <c r="AX30" s="180">
        <f>AX31+AX41+AX45+AX49</f>
        <v>0</v>
      </c>
      <c r="AY30" s="180">
        <f>AY31+AY41+AY45+AY49</f>
        <v>0</v>
      </c>
      <c r="AZ30" s="180">
        <f>AZ31+AZ41+AZ45+AZ49</f>
        <v>0</v>
      </c>
      <c r="BA30" s="180">
        <f>BA31+BA41+BA45+BA49</f>
        <v>0</v>
      </c>
      <c r="BB30" s="180">
        <f>BB31+BB41+BB45+BB49</f>
        <v>0</v>
      </c>
      <c r="BC30" s="180">
        <f>BC31+BC41+BC45+BC49</f>
        <v>0</v>
      </c>
      <c r="BD30" s="180">
        <f>BD31+BD41+BD45+BD49</f>
        <v>0</v>
      </c>
      <c r="BE30" s="3209"/>
      <c r="BF30" s="678"/>
      <c r="BG30" s="678"/>
      <c r="BH30" s="1035" t="s">
        <v>1188</v>
      </c>
    </row>
    <row customHeight="1" ht="14.625" hidden="1">
      <c r="A31" s="1153"/>
      <c r="B31" s="88"/>
      <c r="C31" s="1153"/>
      <c r="D31" s="1153"/>
      <c r="E31" s="597">
        <v>15</v>
      </c>
      <c r="F31" s="50" cm="1" t="str">
        <f t="array" ref="F31:F31">OFFSET(E31,-1,1)</f>
        <v>0</v>
      </c>
      <c r="G31" s="1153"/>
      <c r="H31" s="88" t="s">
        <v>441</v>
      </c>
      <c r="I31" s="1153"/>
      <c r="J31" s="1153"/>
      <c r="K31" s="1153"/>
      <c r="L31" s="1153"/>
      <c r="M31" s="1153"/>
      <c r="N31" s="1153"/>
      <c r="O31" s="1153"/>
      <c r="P31" s="1153"/>
      <c r="Q31" s="1153"/>
      <c r="R31" s="1153"/>
      <c r="S31" s="1153"/>
      <c r="T31" s="439" cm="1" t="str">
        <f t="array" ref="T31:T31">T30</f>
        <v>false</v>
      </c>
      <c r="U31" s="1153"/>
      <c r="V31" s="1153"/>
      <c r="W31" s="1153"/>
      <c r="X31" s="1482"/>
      <c r="Y31" s="1153"/>
      <c r="Z31" s="1465"/>
      <c r="AA31" s="1153"/>
      <c r="AB31" s="266" t="s">
        <v>845</v>
      </c>
      <c r="AC31" s="743" t="s">
        <v>1189</v>
      </c>
      <c r="AD31" s="267" t="s">
        <v>784</v>
      </c>
      <c r="AE31" s="764">
        <f>AE32+AE33+AE34+AE35+AE36</f>
        <v>0</v>
      </c>
      <c r="AF31" s="764">
        <f>AF32+AF33+AF34+AF35+AF36</f>
        <v>0</v>
      </c>
      <c r="AG31" s="764">
        <f>AG32+AG33+AG34+AG35+AG36</f>
        <v>0</v>
      </c>
      <c r="AH31" s="764">
        <f>AH32+AH33+AH34+AH35+AH36</f>
        <v>0</v>
      </c>
      <c r="AI31" s="764">
        <f>AI32+AI33+AI34+AI35+AI36</f>
        <v>0</v>
      </c>
      <c r="AJ31" s="764">
        <f>AJ32+AJ33+AJ34+AJ35+AJ36</f>
        <v>0</v>
      </c>
      <c r="AK31" s="764">
        <f>AK32+AK33+AK34+AK35+AK36</f>
        <v>0</v>
      </c>
      <c r="AL31" s="764">
        <f>AL32+AL33+AL34+AL35+AL36</f>
        <v>0</v>
      </c>
      <c r="AM31" s="764">
        <f>AM32+AM33+AM34+AM35+AM36</f>
        <v>0</v>
      </c>
      <c r="AN31" s="764">
        <f>AN32+AN33+AN34+AN35+AN36</f>
        <v>0</v>
      </c>
      <c r="AO31" s="764">
        <f>AO32+AO33+AO34+AO35+AO36</f>
        <v>0</v>
      </c>
      <c r="AP31" s="764">
        <f>AP32+AP33+AP34+AP35+AP36</f>
        <v>0</v>
      </c>
      <c r="AQ31" s="764">
        <f>AQ32+AQ33+AQ34+AQ35+AQ36</f>
        <v>0</v>
      </c>
      <c r="AR31" s="764">
        <f>AR32+AR33+AR34+AR35+AR36</f>
        <v>0</v>
      </c>
      <c r="AS31" s="764">
        <f>AS32+AS33+AS34+AS35+AS36</f>
        <v>0</v>
      </c>
      <c r="AT31" s="764">
        <f>AT32+AT33+AT34+AT35+AT36</f>
        <v>0</v>
      </c>
      <c r="AU31" s="764">
        <f>AU32+AU33+AU34+AU35+AU36</f>
        <v>0</v>
      </c>
      <c r="AV31" s="764">
        <f>AV32+AV33+AV34+AV35+AV36</f>
        <v>0</v>
      </c>
      <c r="AW31" s="764">
        <f>AW32+AW33+AW34+AW35+AW36</f>
        <v>0</v>
      </c>
      <c r="AX31" s="764">
        <f>AX32+AX33+AX34+AX35+AX36</f>
        <v>0</v>
      </c>
      <c r="AY31" s="764">
        <f>AY32+AY33+AY34+AY35+AY36</f>
        <v>0</v>
      </c>
      <c r="AZ31" s="764">
        <f>AZ32+AZ33+AZ34+AZ35+AZ36</f>
        <v>0</v>
      </c>
      <c r="BA31" s="764">
        <f>BA32+BA33+BA34+BA35+BA36</f>
        <v>0</v>
      </c>
      <c r="BB31" s="764">
        <f>BB32+BB33+BB34+BB35+BB36</f>
        <v>0</v>
      </c>
      <c r="BC31" s="764">
        <f>BC32+BC33+BC34+BC35+BC36</f>
        <v>0</v>
      </c>
      <c r="BD31" s="764">
        <f>BD32+BD33+BD34+BD35+BD36</f>
        <v>0</v>
      </c>
      <c r="BE31" s="3209"/>
      <c r="BF31" s="1153"/>
      <c r="BG31" s="1153"/>
      <c r="BH31" s="980" t="s">
        <v>1190</v>
      </c>
    </row>
    <row customHeight="1" ht="14.625" hidden="1">
      <c r="A32" s="1153"/>
      <c r="B32" s="88"/>
      <c r="C32" s="1153"/>
      <c r="D32" s="1153"/>
      <c r="E32" s="597">
        <v>15</v>
      </c>
      <c r="F32" s="50" cm="1" t="str">
        <f t="array" ref="F32:F32">OFFSET(E32,-1,1)</f>
        <v>0</v>
      </c>
      <c r="G32" s="1153"/>
      <c r="H32" s="88" t="s">
        <v>954</v>
      </c>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1153"/>
      <c r="AB32" s="266" t="s">
        <v>955</v>
      </c>
      <c r="AC32" s="746" t="s">
        <v>1191</v>
      </c>
      <c r="AD32" s="267" t="s">
        <v>784</v>
      </c>
      <c r="AE32" s="2636"/>
      <c r="AF32" s="2636"/>
      <c r="AG32" s="2636"/>
      <c r="AH32" s="2636"/>
      <c r="AI32" s="2636"/>
      <c r="AJ32" s="2636"/>
      <c r="AK32" s="753"/>
      <c r="AL32" s="2636"/>
      <c r="AM32" s="2636"/>
      <c r="AN32" s="2636"/>
      <c r="AO32" s="2636"/>
      <c r="AP32" s="2636"/>
      <c r="AQ32" s="2636"/>
      <c r="AR32" s="2636"/>
      <c r="AS32" s="2636"/>
      <c r="AT32" s="2636"/>
      <c r="AU32" s="753"/>
      <c r="AV32" s="2636"/>
      <c r="AW32" s="2636"/>
      <c r="AX32" s="2636"/>
      <c r="AY32" s="2636"/>
      <c r="AZ32" s="2636"/>
      <c r="BA32" s="2636"/>
      <c r="BB32" s="2636"/>
      <c r="BC32" s="2636"/>
      <c r="BD32" s="2636"/>
      <c r="BE32" s="3209"/>
      <c r="BF32" s="1153"/>
      <c r="BG32" s="1153"/>
      <c r="BH32" s="980" t="s">
        <v>1123</v>
      </c>
    </row>
    <row customHeight="1" ht="14.625" hidden="1">
      <c r="A33" s="1153"/>
      <c r="B33" s="88"/>
      <c r="C33" s="1153"/>
      <c r="D33" s="1153"/>
      <c r="E33" s="597">
        <v>15</v>
      </c>
      <c r="F33" s="50" cm="1" t="str">
        <f t="array" ref="F33:F33">OFFSET(E33,-1,1)</f>
        <v>0</v>
      </c>
      <c r="G33" s="1153"/>
      <c r="H33" s="88" t="s">
        <v>958</v>
      </c>
      <c r="I33" s="1153"/>
      <c r="J33" s="1153"/>
      <c r="K33" s="90" t="str">
        <f>F33&amp;"1komm"</f>
        <v>01komm</v>
      </c>
      <c r="L33" s="901" cm="1" t="str">
        <f t="array" ref="L33:L33">BE33</f>
        <v>0</v>
      </c>
      <c r="M33" s="1153"/>
      <c r="N33" s="1153"/>
      <c r="O33" s="1153"/>
      <c r="P33" s="1153"/>
      <c r="Q33" s="1153"/>
      <c r="R33" s="1153"/>
      <c r="S33" s="1153"/>
      <c r="T33" s="439" cm="1" t="str">
        <f t="array" ref="T33:T33">T32</f>
        <v>false</v>
      </c>
      <c r="U33" s="1153"/>
      <c r="V33" s="1153"/>
      <c r="W33" s="1153"/>
      <c r="X33" s="1482"/>
      <c r="Y33" s="1153"/>
      <c r="Z33" s="1465"/>
      <c r="AA33" s="1153"/>
      <c r="AB33" s="266" t="s">
        <v>959</v>
      </c>
      <c r="AC33" s="746" t="s">
        <v>1192</v>
      </c>
      <c r="AD33" s="267" t="s">
        <v>784</v>
      </c>
      <c r="AE33" s="2636"/>
      <c r="AF33" s="2636"/>
      <c r="AG33" s="2636"/>
      <c r="AH33" s="2636"/>
      <c r="AI33" s="2636"/>
      <c r="AJ33" s="2636"/>
      <c r="AK33" s="753"/>
      <c r="AL33" s="2636"/>
      <c r="AM33" s="2636"/>
      <c r="AN33" s="2636"/>
      <c r="AO33" s="2636"/>
      <c r="AP33" s="2636"/>
      <c r="AQ33" s="2636"/>
      <c r="AR33" s="2636"/>
      <c r="AS33" s="2636"/>
      <c r="AT33" s="2636"/>
      <c r="AU33" s="753"/>
      <c r="AV33" s="2636"/>
      <c r="AW33" s="2636"/>
      <c r="AX33" s="2636"/>
      <c r="AY33" s="2636"/>
      <c r="AZ33" s="2636"/>
      <c r="BA33" s="2636"/>
      <c r="BB33" s="2636"/>
      <c r="BC33" s="2636"/>
      <c r="BD33" s="2636"/>
      <c r="BE33" s="3209"/>
      <c r="BF33" s="1153"/>
      <c r="BG33" s="1153"/>
      <c r="BH33" s="980" t="s">
        <v>1193</v>
      </c>
    </row>
    <row customHeight="1" ht="14.625" hidden="1">
      <c r="A34" s="1153"/>
      <c r="B34" s="88"/>
      <c r="C34" s="1153"/>
      <c r="D34" s="1153"/>
      <c r="E34" s="597">
        <v>15</v>
      </c>
      <c r="F34" s="50" cm="1" t="str">
        <f t="array" ref="F34:F34">OFFSET(E34,-1,1)</f>
        <v>0</v>
      </c>
      <c r="G34" s="1153"/>
      <c r="H34" s="88" t="s">
        <v>1194</v>
      </c>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1153"/>
      <c r="AB34" s="266" t="s">
        <v>1195</v>
      </c>
      <c r="AC34" s="746" t="s">
        <v>1196</v>
      </c>
      <c r="AD34" s="267" t="s">
        <v>784</v>
      </c>
      <c r="AE34" s="2636"/>
      <c r="AF34" s="2636"/>
      <c r="AG34" s="2636"/>
      <c r="AH34" s="2636"/>
      <c r="AI34" s="2636"/>
      <c r="AJ34" s="2636"/>
      <c r="AK34" s="753"/>
      <c r="AL34" s="2636"/>
      <c r="AM34" s="2636"/>
      <c r="AN34" s="2636"/>
      <c r="AO34" s="2636"/>
      <c r="AP34" s="2636"/>
      <c r="AQ34" s="2636"/>
      <c r="AR34" s="2636"/>
      <c r="AS34" s="2636"/>
      <c r="AT34" s="2636"/>
      <c r="AU34" s="753"/>
      <c r="AV34" s="2636"/>
      <c r="AW34" s="2636"/>
      <c r="AX34" s="2636"/>
      <c r="AY34" s="2636"/>
      <c r="AZ34" s="2636"/>
      <c r="BA34" s="2636"/>
      <c r="BB34" s="2636"/>
      <c r="BC34" s="2636"/>
      <c r="BD34" s="2636"/>
      <c r="BE34" s="3209"/>
      <c r="BF34" s="1153"/>
      <c r="BG34" s="1153"/>
      <c r="BH34" s="980" t="s">
        <v>1197</v>
      </c>
    </row>
    <row customHeight="1" ht="14.625" hidden="1">
      <c r="A35" s="1153"/>
      <c r="B35" s="88"/>
      <c r="C35" s="1153"/>
      <c r="D35" s="1153"/>
      <c r="E35" s="597">
        <v>15</v>
      </c>
      <c r="F35" s="50" cm="1" t="str">
        <f t="array" ref="F35:F35">OFFSET(E35,-1,1)</f>
        <v>0</v>
      </c>
      <c r="G35" s="1153"/>
      <c r="H35" s="88" t="s">
        <v>1198</v>
      </c>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1153"/>
      <c r="AB35" s="266" t="s">
        <v>1199</v>
      </c>
      <c r="AC35" s="746" t="s">
        <v>1200</v>
      </c>
      <c r="AD35" s="267" t="s">
        <v>784</v>
      </c>
      <c r="AE35" s="2636"/>
      <c r="AF35" s="2636"/>
      <c r="AG35" s="2636"/>
      <c r="AH35" s="2636"/>
      <c r="AI35" s="2636"/>
      <c r="AJ35" s="2636"/>
      <c r="AK35" s="753"/>
      <c r="AL35" s="2636"/>
      <c r="AM35" s="2636"/>
      <c r="AN35" s="2636"/>
      <c r="AO35" s="2636"/>
      <c r="AP35" s="2636"/>
      <c r="AQ35" s="2636"/>
      <c r="AR35" s="2636"/>
      <c r="AS35" s="2636"/>
      <c r="AT35" s="2636"/>
      <c r="AU35" s="753"/>
      <c r="AV35" s="2636"/>
      <c r="AW35" s="2636"/>
      <c r="AX35" s="2636"/>
      <c r="AY35" s="2636"/>
      <c r="AZ35" s="2636"/>
      <c r="BA35" s="2636"/>
      <c r="BB35" s="2636"/>
      <c r="BC35" s="2636"/>
      <c r="BD35" s="2636"/>
      <c r="BE35" s="3209"/>
      <c r="BF35" s="1153"/>
      <c r="BG35" s="1153"/>
      <c r="BH35" s="980" t="s">
        <v>1201</v>
      </c>
    </row>
    <row customHeight="1" ht="21.9375" hidden="1">
      <c r="A36" s="1153"/>
      <c r="B36" s="88"/>
      <c r="C36" s="1153"/>
      <c r="D36" s="1153"/>
      <c r="E36" s="597">
        <v>22.5</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1153"/>
      <c r="AB36" s="266" t="s">
        <v>1202</v>
      </c>
      <c r="AC36" s="746" t="s">
        <v>1203</v>
      </c>
      <c r="AD36" s="267" t="s">
        <v>784</v>
      </c>
      <c r="AE36" s="2636">
        <f>AE37+AE38+AE39+AE40</f>
        <v>0</v>
      </c>
      <c r="AF36" s="2636">
        <f>AF37+AF38+AF39+AF40</f>
        <v>0</v>
      </c>
      <c r="AG36" s="2636">
        <f>AG37+AG38+AG39+AG40</f>
        <v>0</v>
      </c>
      <c r="AH36" s="2636">
        <f>AH37+AH38+AH39+AH40</f>
        <v>0</v>
      </c>
      <c r="AI36" s="2636">
        <f>AI37+AI38+AI39+AI40</f>
        <v>0</v>
      </c>
      <c r="AJ36" s="2636">
        <f>AJ37+AJ38+AJ39+AJ40</f>
        <v>0</v>
      </c>
      <c r="AK36" s="753">
        <f>AK37+AK38+AK39+AK40</f>
        <v>0</v>
      </c>
      <c r="AL36" s="2636">
        <f>AL37+AL38+AL39+AL40</f>
        <v>0</v>
      </c>
      <c r="AM36" s="2636">
        <f>AM37+AM38+AM39+AM40</f>
        <v>0</v>
      </c>
      <c r="AN36" s="2636">
        <f>AN37+AN38+AN39+AN40</f>
        <v>0</v>
      </c>
      <c r="AO36" s="2636">
        <f>AO37+AO38+AO39+AO40</f>
        <v>0</v>
      </c>
      <c r="AP36" s="2636">
        <f>AP37+AP38+AP39+AP40</f>
        <v>0</v>
      </c>
      <c r="AQ36" s="2636">
        <f>AQ37+AQ38+AQ39+AQ40</f>
        <v>0</v>
      </c>
      <c r="AR36" s="2636">
        <f>AR37+AR38+AR39+AR40</f>
        <v>0</v>
      </c>
      <c r="AS36" s="2636">
        <f>AS37+AS38+AS39+AS40</f>
        <v>0</v>
      </c>
      <c r="AT36" s="2636">
        <f>AT37+AT38+AT39+AT40</f>
        <v>0</v>
      </c>
      <c r="AU36" s="753">
        <f>AU37+AU38+AU39+AU40</f>
        <v>0</v>
      </c>
      <c r="AV36" s="2636">
        <f>AV37+AV38+AV39+AV40</f>
        <v>0</v>
      </c>
      <c r="AW36" s="2636">
        <f>AW37+AW38+AW39+AW40</f>
        <v>0</v>
      </c>
      <c r="AX36" s="2636">
        <f>AX37+AX38+AX39+AX40</f>
        <v>0</v>
      </c>
      <c r="AY36" s="2636">
        <f>AY37+AY38+AY39+AY40</f>
        <v>0</v>
      </c>
      <c r="AZ36" s="2636">
        <f>AZ37+AZ38+AZ39+AZ40</f>
        <v>0</v>
      </c>
      <c r="BA36" s="2636">
        <f>BA37+BA38+BA39+BA40</f>
        <v>0</v>
      </c>
      <c r="BB36" s="2636">
        <f>BB37+BB38+BB39+BB40</f>
        <v>0</v>
      </c>
      <c r="BC36" s="2636">
        <f>BC37+BC38+BC39+BC40</f>
        <v>0</v>
      </c>
      <c r="BD36" s="2636">
        <f>BD37+BD38+BD39+BD40</f>
        <v>0</v>
      </c>
      <c r="BE36" s="3209"/>
      <c r="BF36" s="1153"/>
      <c r="BG36" s="1153"/>
      <c r="BH36" s="980" t="s">
        <v>1204</v>
      </c>
    </row>
    <row customHeight="1" ht="44.606249999999996" hidden="1">
      <c r="A37" s="1153"/>
      <c r="B37" s="88"/>
      <c r="C37" s="1153"/>
      <c r="D37" s="1153"/>
      <c r="E37" s="597">
        <v>45.75</v>
      </c>
      <c r="F37" s="50" cm="1" t="str">
        <f t="array" ref="F37:F37">OFFSET(E37,-1,1)</f>
        <v>0</v>
      </c>
      <c r="G37" s="1153"/>
      <c r="H37" s="1153"/>
      <c r="I37" s="1153"/>
      <c r="J37" s="1153"/>
      <c r="K37" s="1153"/>
      <c r="L37" s="1153"/>
      <c r="M37" s="1153"/>
      <c r="N37" s="1153"/>
      <c r="O37" s="1153"/>
      <c r="P37" s="1153"/>
      <c r="Q37" s="1153"/>
      <c r="R37" s="1153"/>
      <c r="S37" s="1153"/>
      <c r="T37" s="439" cm="1" t="str">
        <f t="array" ref="T37:T37">T36</f>
        <v>false</v>
      </c>
      <c r="U37" s="1153"/>
      <c r="V37" s="1153"/>
      <c r="W37" s="1153"/>
      <c r="X37" s="1482"/>
      <c r="Y37" s="1153"/>
      <c r="Z37" s="1465"/>
      <c r="AA37" s="1153"/>
      <c r="AB37" s="266" t="s">
        <v>1205</v>
      </c>
      <c r="AC37" s="749" t="s">
        <v>1206</v>
      </c>
      <c r="AD37" s="267" t="s">
        <v>784</v>
      </c>
      <c r="AE37" s="2636"/>
      <c r="AF37" s="2636"/>
      <c r="AG37" s="2636"/>
      <c r="AH37" s="2636"/>
      <c r="AI37" s="2636"/>
      <c r="AJ37" s="2636"/>
      <c r="AK37" s="753"/>
      <c r="AL37" s="2636"/>
      <c r="AM37" s="2636"/>
      <c r="AN37" s="2636"/>
      <c r="AO37" s="2636"/>
      <c r="AP37" s="2636"/>
      <c r="AQ37" s="2636"/>
      <c r="AR37" s="2636"/>
      <c r="AS37" s="2636"/>
      <c r="AT37" s="2636"/>
      <c r="AU37" s="753"/>
      <c r="AV37" s="2636"/>
      <c r="AW37" s="2636"/>
      <c r="AX37" s="2636"/>
      <c r="AY37" s="2636"/>
      <c r="AZ37" s="2636"/>
      <c r="BA37" s="2636"/>
      <c r="BB37" s="2636"/>
      <c r="BC37" s="2636"/>
      <c r="BD37" s="2636"/>
      <c r="BE37" s="3209"/>
      <c r="BF37" s="1153"/>
      <c r="BG37" s="1153"/>
      <c r="BH37" s="980" t="s">
        <v>1207</v>
      </c>
    </row>
    <row customHeight="1" ht="44.606249999999996" hidden="1">
      <c r="A38" s="1153"/>
      <c r="B38" s="88"/>
      <c r="C38" s="1153"/>
      <c r="D38" s="1153"/>
      <c r="E38" s="597">
        <v>45.75</v>
      </c>
      <c r="F38" s="50" cm="1" t="str">
        <f t="array" ref="F38:F38">OFFSET(E38,-1,1)</f>
        <v>0</v>
      </c>
      <c r="G38" s="1153"/>
      <c r="H38" s="1153"/>
      <c r="I38" s="1153"/>
      <c r="J38" s="1153"/>
      <c r="K38" s="1153"/>
      <c r="L38" s="1153"/>
      <c r="M38" s="1153"/>
      <c r="N38" s="1153"/>
      <c r="O38" s="1153"/>
      <c r="P38" s="1153"/>
      <c r="Q38" s="1153"/>
      <c r="R38" s="1153"/>
      <c r="S38" s="1153"/>
      <c r="T38" s="439" cm="1" t="str">
        <f t="array" ref="T38:T38">T37</f>
        <v>false</v>
      </c>
      <c r="U38" s="1153"/>
      <c r="V38" s="1153"/>
      <c r="W38" s="1153"/>
      <c r="X38" s="1482"/>
      <c r="Y38" s="1153"/>
      <c r="Z38" s="1465"/>
      <c r="AA38" s="1153"/>
      <c r="AB38" s="266" t="s">
        <v>1208</v>
      </c>
      <c r="AC38" s="749" t="s">
        <v>1209</v>
      </c>
      <c r="AD38" s="267" t="s">
        <v>784</v>
      </c>
      <c r="AE38" s="2636"/>
      <c r="AF38" s="2636"/>
      <c r="AG38" s="2636"/>
      <c r="AH38" s="2636"/>
      <c r="AI38" s="2636"/>
      <c r="AJ38" s="2636"/>
      <c r="AK38" s="753"/>
      <c r="AL38" s="2636"/>
      <c r="AM38" s="2636"/>
      <c r="AN38" s="2636"/>
      <c r="AO38" s="2636"/>
      <c r="AP38" s="2636"/>
      <c r="AQ38" s="2636"/>
      <c r="AR38" s="2636"/>
      <c r="AS38" s="2636"/>
      <c r="AT38" s="2636"/>
      <c r="AU38" s="753"/>
      <c r="AV38" s="2636"/>
      <c r="AW38" s="2636"/>
      <c r="AX38" s="2636"/>
      <c r="AY38" s="2636"/>
      <c r="AZ38" s="2636"/>
      <c r="BA38" s="2636"/>
      <c r="BB38" s="2636"/>
      <c r="BC38" s="2636"/>
      <c r="BD38" s="2636"/>
      <c r="BE38" s="3209"/>
      <c r="BF38" s="1153"/>
      <c r="BG38" s="1153"/>
      <c r="BH38" s="980" t="s">
        <v>1210</v>
      </c>
    </row>
    <row customHeight="1" ht="44.606249999999996" hidden="1">
      <c r="A39" s="1153"/>
      <c r="B39" s="88"/>
      <c r="C39" s="1153"/>
      <c r="D39" s="1153"/>
      <c r="E39" s="597">
        <v>45.75</v>
      </c>
      <c r="F39" s="50" cm="1" t="str">
        <f t="array" ref="F39:F39">OFFSET(E39,-1,1)</f>
        <v>0</v>
      </c>
      <c r="G39" s="1153"/>
      <c r="H39" s="1153"/>
      <c r="I39" s="1153"/>
      <c r="J39" s="1153"/>
      <c r="K39" s="1153"/>
      <c r="L39" s="1153"/>
      <c r="M39" s="1153"/>
      <c r="N39" s="1153"/>
      <c r="O39" s="1153"/>
      <c r="P39" s="1153"/>
      <c r="Q39" s="1153"/>
      <c r="R39" s="1153"/>
      <c r="S39" s="1153"/>
      <c r="T39" s="439" cm="1" t="str">
        <f t="array" ref="T39:T39">T38</f>
        <v>false</v>
      </c>
      <c r="U39" s="1153"/>
      <c r="V39" s="1153"/>
      <c r="W39" s="1153"/>
      <c r="X39" s="1482"/>
      <c r="Y39" s="1153"/>
      <c r="Z39" s="1465"/>
      <c r="AA39" s="1153"/>
      <c r="AB39" s="266" t="s">
        <v>1211</v>
      </c>
      <c r="AC39" s="749" t="s">
        <v>1212</v>
      </c>
      <c r="AD39" s="267" t="s">
        <v>784</v>
      </c>
      <c r="AE39" s="2636"/>
      <c r="AF39" s="2636"/>
      <c r="AG39" s="2636"/>
      <c r="AH39" s="2636"/>
      <c r="AI39" s="2636"/>
      <c r="AJ39" s="2636"/>
      <c r="AK39" s="753"/>
      <c r="AL39" s="2636"/>
      <c r="AM39" s="2636"/>
      <c r="AN39" s="2636"/>
      <c r="AO39" s="2636"/>
      <c r="AP39" s="2636"/>
      <c r="AQ39" s="2636"/>
      <c r="AR39" s="2636"/>
      <c r="AS39" s="2636"/>
      <c r="AT39" s="2636"/>
      <c r="AU39" s="753"/>
      <c r="AV39" s="2636"/>
      <c r="AW39" s="2636"/>
      <c r="AX39" s="2636"/>
      <c r="AY39" s="2636"/>
      <c r="AZ39" s="2636"/>
      <c r="BA39" s="2636"/>
      <c r="BB39" s="2636"/>
      <c r="BC39" s="2636"/>
      <c r="BD39" s="2636"/>
      <c r="BE39" s="3209"/>
      <c r="BF39" s="1153"/>
      <c r="BG39" s="1153"/>
      <c r="BH39" s="980" t="s">
        <v>1213</v>
      </c>
    </row>
    <row customHeight="1" ht="21.9375" hidden="1">
      <c r="A40" s="1153"/>
      <c r="B40" s="88"/>
      <c r="C40" s="1153"/>
      <c r="D40" s="1153"/>
      <c r="E40" s="597">
        <v>22.5</v>
      </c>
      <c r="F40" s="50" cm="1" t="str">
        <f t="array" ref="F40:F40">OFFSET(E40,-1,1)</f>
        <v>0</v>
      </c>
      <c r="G40" s="1153"/>
      <c r="H40" s="1153"/>
      <c r="I40" s="1153"/>
      <c r="J40" s="1153"/>
      <c r="K40" s="1153"/>
      <c r="L40" s="1153"/>
      <c r="M40" s="1153"/>
      <c r="N40" s="1153"/>
      <c r="O40" s="1153"/>
      <c r="P40" s="1153"/>
      <c r="Q40" s="1153"/>
      <c r="R40" s="1153"/>
      <c r="S40" s="1153"/>
      <c r="T40" s="439" cm="1" t="str">
        <f t="array" ref="T40:T40">T39</f>
        <v>false</v>
      </c>
      <c r="U40" s="1153"/>
      <c r="V40" s="1153"/>
      <c r="W40" s="1153"/>
      <c r="X40" s="1482"/>
      <c r="Y40" s="1153"/>
      <c r="Z40" s="1465"/>
      <c r="AA40" s="1153"/>
      <c r="AB40" s="266" t="s">
        <v>1214</v>
      </c>
      <c r="AC40" s="749" t="s">
        <v>1215</v>
      </c>
      <c r="AD40" s="267" t="s">
        <v>784</v>
      </c>
      <c r="AE40" s="2636"/>
      <c r="AF40" s="2636"/>
      <c r="AG40" s="2636"/>
      <c r="AH40" s="2636"/>
      <c r="AI40" s="2636"/>
      <c r="AJ40" s="2636"/>
      <c r="AK40" s="753"/>
      <c r="AL40" s="2636"/>
      <c r="AM40" s="2636"/>
      <c r="AN40" s="2636"/>
      <c r="AO40" s="2636"/>
      <c r="AP40" s="2636"/>
      <c r="AQ40" s="2636"/>
      <c r="AR40" s="2636"/>
      <c r="AS40" s="2636"/>
      <c r="AT40" s="2636"/>
      <c r="AU40" s="753"/>
      <c r="AV40" s="2636"/>
      <c r="AW40" s="2636"/>
      <c r="AX40" s="2636"/>
      <c r="AY40" s="2636"/>
      <c r="AZ40" s="2636"/>
      <c r="BA40" s="2636"/>
      <c r="BB40" s="2636"/>
      <c r="BC40" s="2636"/>
      <c r="BD40" s="2636"/>
      <c r="BE40" s="3209"/>
      <c r="BF40" s="1153"/>
      <c r="BG40" s="1153"/>
      <c r="BH40" s="980" t="s">
        <v>1216</v>
      </c>
    </row>
    <row customHeight="1" ht="14.625" hidden="1">
      <c r="A41" s="1153"/>
      <c r="B41" s="88"/>
      <c r="C41" s="1153"/>
      <c r="D41" s="1153"/>
      <c r="E41" s="597">
        <v>15</v>
      </c>
      <c r="F41" s="50" cm="1" t="str">
        <f t="array" ref="F41:F41">OFFSET(E41,-1,1)</f>
        <v>0</v>
      </c>
      <c r="G41" s="1153"/>
      <c r="H41" s="88" t="s">
        <v>445</v>
      </c>
      <c r="I41" s="1153"/>
      <c r="J41" s="1153"/>
      <c r="K41" s="1153"/>
      <c r="L41" s="1153"/>
      <c r="M41" s="1153"/>
      <c r="N41" s="1153"/>
      <c r="O41" s="1153"/>
      <c r="P41" s="1153"/>
      <c r="Q41" s="1153"/>
      <c r="R41" s="1153"/>
      <c r="S41" s="1153"/>
      <c r="T41" s="439" cm="1" t="str">
        <f t="array" ref="T41:T41">T40</f>
        <v>false</v>
      </c>
      <c r="U41" s="1153"/>
      <c r="V41" s="1153"/>
      <c r="W41" s="1153"/>
      <c r="X41" s="1482"/>
      <c r="Y41" s="1153"/>
      <c r="Z41" s="1465"/>
      <c r="AA41" s="1153"/>
      <c r="AB41" s="266" t="s">
        <v>848</v>
      </c>
      <c r="AC41" s="743" t="s">
        <v>1217</v>
      </c>
      <c r="AD41" s="267" t="s">
        <v>784</v>
      </c>
      <c r="AE41" s="764">
        <f>AE42+AE43+AE44</f>
        <v>0</v>
      </c>
      <c r="AF41" s="764">
        <f>AF42+AF43+AF44</f>
        <v>0</v>
      </c>
      <c r="AG41" s="764">
        <f>AG42+AG43+AG44</f>
        <v>0</v>
      </c>
      <c r="AH41" s="764">
        <f>AH42+AH43+AH44</f>
        <v>0</v>
      </c>
      <c r="AI41" s="764">
        <f>AI42+AI43+AI44</f>
        <v>0</v>
      </c>
      <c r="AJ41" s="764">
        <f>AJ42+AJ43+AJ44</f>
        <v>0</v>
      </c>
      <c r="AK41" s="764">
        <f>AK42+AK43+AK44</f>
        <v>0</v>
      </c>
      <c r="AL41" s="764">
        <f>AL42+AL43+AL44</f>
        <v>0</v>
      </c>
      <c r="AM41" s="764">
        <f>AM42+AM43+AM44</f>
        <v>0</v>
      </c>
      <c r="AN41" s="764">
        <f>AN42+AN43+AN44</f>
        <v>0</v>
      </c>
      <c r="AO41" s="764">
        <f>AO42+AO43+AO44</f>
        <v>0</v>
      </c>
      <c r="AP41" s="764">
        <f>AP42+AP43+AP44</f>
        <v>0</v>
      </c>
      <c r="AQ41" s="764">
        <f>AQ42+AQ43+AQ44</f>
        <v>0</v>
      </c>
      <c r="AR41" s="764">
        <f>AR42+AR43+AR44</f>
        <v>0</v>
      </c>
      <c r="AS41" s="764">
        <f>AS42+AS43+AS44</f>
        <v>0</v>
      </c>
      <c r="AT41" s="764">
        <f>AT42+AT43+AT44</f>
        <v>0</v>
      </c>
      <c r="AU41" s="764">
        <f>AU42+AU43+AU44</f>
        <v>0</v>
      </c>
      <c r="AV41" s="764">
        <f>AV42+AV43+AV44</f>
        <v>0</v>
      </c>
      <c r="AW41" s="764">
        <f>AW42+AW43+AW44</f>
        <v>0</v>
      </c>
      <c r="AX41" s="764">
        <f>AX42+AX43+AX44</f>
        <v>0</v>
      </c>
      <c r="AY41" s="764">
        <f>AY42+AY43+AY44</f>
        <v>0</v>
      </c>
      <c r="AZ41" s="764">
        <f>AZ42+AZ43+AZ44</f>
        <v>0</v>
      </c>
      <c r="BA41" s="764">
        <f>BA42+BA43+BA44</f>
        <v>0</v>
      </c>
      <c r="BB41" s="764">
        <f>BB42+BB43+BB44</f>
        <v>0</v>
      </c>
      <c r="BC41" s="764">
        <f>BC42+BC43+BC44</f>
        <v>0</v>
      </c>
      <c r="BD41" s="764">
        <f>BD42+BD43+BD44</f>
        <v>0</v>
      </c>
      <c r="BE41" s="3209"/>
      <c r="BF41" s="1153"/>
      <c r="BG41" s="1153"/>
      <c r="BH41" s="980" t="s">
        <v>1218</v>
      </c>
    </row>
    <row customHeight="1" ht="14.625" hidden="1">
      <c r="A42" s="1153"/>
      <c r="B42" s="88"/>
      <c r="C42" s="1153"/>
      <c r="D42" s="1153"/>
      <c r="E42" s="597">
        <v>15</v>
      </c>
      <c r="F42" s="50" cm="1" t="str">
        <f t="array" ref="F42:F42">OFFSET(E42,-1,1)</f>
        <v>0</v>
      </c>
      <c r="G42" s="1153"/>
      <c r="H42" s="88" t="s">
        <v>1219</v>
      </c>
      <c r="I42" s="1153"/>
      <c r="J42" s="1153"/>
      <c r="K42" s="1153"/>
      <c r="L42" s="1153"/>
      <c r="M42" s="1153"/>
      <c r="N42" s="1153"/>
      <c r="O42" s="1153"/>
      <c r="P42" s="1153"/>
      <c r="Q42" s="1153"/>
      <c r="R42" s="1153"/>
      <c r="S42" s="1153"/>
      <c r="T42" s="439" cm="1" t="str">
        <f t="array" ref="T42:T42">T41</f>
        <v>false</v>
      </c>
      <c r="U42" s="1153"/>
      <c r="V42" s="1153"/>
      <c r="W42" s="1153"/>
      <c r="X42" s="1482"/>
      <c r="Y42" s="1153"/>
      <c r="Z42" s="1465"/>
      <c r="AA42" s="1153"/>
      <c r="AB42" s="266" t="s">
        <v>1220</v>
      </c>
      <c r="AC42" s="746" t="s">
        <v>1221</v>
      </c>
      <c r="AD42" s="267" t="s">
        <v>784</v>
      </c>
      <c r="AE42" s="2636"/>
      <c r="AF42" s="2636"/>
      <c r="AG42" s="2636"/>
      <c r="AH42" s="2636"/>
      <c r="AI42" s="2636"/>
      <c r="AJ42" s="2636"/>
      <c r="AK42" s="753"/>
      <c r="AL42" s="2636"/>
      <c r="AM42" s="2636"/>
      <c r="AN42" s="2636"/>
      <c r="AO42" s="2636"/>
      <c r="AP42" s="2636"/>
      <c r="AQ42" s="2636"/>
      <c r="AR42" s="2636"/>
      <c r="AS42" s="2636"/>
      <c r="AT42" s="2636"/>
      <c r="AU42" s="753"/>
      <c r="AV42" s="2636"/>
      <c r="AW42" s="2636"/>
      <c r="AX42" s="2636"/>
      <c r="AY42" s="2636"/>
      <c r="AZ42" s="2636"/>
      <c r="BA42" s="2636"/>
      <c r="BB42" s="2636"/>
      <c r="BC42" s="2636"/>
      <c r="BD42" s="2636"/>
      <c r="BE42" s="3209"/>
      <c r="BF42" s="1153"/>
      <c r="BG42" s="1153"/>
      <c r="BH42" s="980" t="s">
        <v>1144</v>
      </c>
    </row>
    <row customHeight="1" ht="14.625" hidden="1">
      <c r="A43" s="1153"/>
      <c r="B43" s="88"/>
      <c r="C43" s="1153"/>
      <c r="D43" s="1153"/>
      <c r="E43" s="597">
        <v>15</v>
      </c>
      <c r="F43" s="50" cm="1" t="str">
        <f t="array" ref="F43:F43">OFFSET(E43,-1,1)</f>
        <v>0</v>
      </c>
      <c r="G43" s="1153"/>
      <c r="H43" s="88" t="s">
        <v>1222</v>
      </c>
      <c r="I43" s="1153"/>
      <c r="J43" s="1153"/>
      <c r="K43" s="1153"/>
      <c r="L43" s="1153"/>
      <c r="M43" s="1153"/>
      <c r="N43" s="1153"/>
      <c r="O43" s="1153"/>
      <c r="P43" s="1153"/>
      <c r="Q43" s="1153"/>
      <c r="R43" s="1153"/>
      <c r="S43" s="1153"/>
      <c r="T43" s="439" cm="1" t="str">
        <f t="array" ref="T43:T43">T42</f>
        <v>false</v>
      </c>
      <c r="U43" s="1153"/>
      <c r="V43" s="1153"/>
      <c r="W43" s="1153"/>
      <c r="X43" s="1482"/>
      <c r="Y43" s="1153"/>
      <c r="Z43" s="1465"/>
      <c r="AA43" s="1153"/>
      <c r="AB43" s="266" t="s">
        <v>1223</v>
      </c>
      <c r="AC43" s="746" t="s">
        <v>1224</v>
      </c>
      <c r="AD43" s="267" t="s">
        <v>784</v>
      </c>
      <c r="AE43" s="2636"/>
      <c r="AF43" s="2636"/>
      <c r="AG43" s="2636"/>
      <c r="AH43" s="2636"/>
      <c r="AI43" s="2636"/>
      <c r="AJ43" s="2636"/>
      <c r="AK43" s="753"/>
      <c r="AL43" s="2636"/>
      <c r="AM43" s="2636"/>
      <c r="AN43" s="2636"/>
      <c r="AO43" s="2636"/>
      <c r="AP43" s="2636"/>
      <c r="AQ43" s="2636"/>
      <c r="AR43" s="2636"/>
      <c r="AS43" s="2636"/>
      <c r="AT43" s="2636"/>
      <c r="AU43" s="753"/>
      <c r="AV43" s="2636"/>
      <c r="AW43" s="2636"/>
      <c r="AX43" s="2636"/>
      <c r="AY43" s="2636"/>
      <c r="AZ43" s="2636"/>
      <c r="BA43" s="2636"/>
      <c r="BB43" s="2636"/>
      <c r="BC43" s="2636"/>
      <c r="BD43" s="2636"/>
      <c r="BE43" s="3209"/>
      <c r="BF43" s="1153"/>
      <c r="BG43" s="1153"/>
      <c r="BH43" s="980" t="s">
        <v>1225</v>
      </c>
    </row>
    <row customHeight="1" ht="14.625" hidden="1">
      <c r="A44" s="1153"/>
      <c r="B44" s="88"/>
      <c r="C44" s="1153"/>
      <c r="D44" s="1153"/>
      <c r="E44" s="597">
        <v>15</v>
      </c>
      <c r="F44" s="50" cm="1" t="str">
        <f t="array" ref="F44:F44">OFFSET(E44,-1,1)</f>
        <v>0</v>
      </c>
      <c r="G44" s="1153"/>
      <c r="H44" s="88" t="s">
        <v>1226</v>
      </c>
      <c r="I44" s="1153"/>
      <c r="J44" s="1153"/>
      <c r="K44" s="1153"/>
      <c r="L44" s="1153"/>
      <c r="M44" s="1153"/>
      <c r="N44" s="1153"/>
      <c r="O44" s="1153"/>
      <c r="P44" s="1153"/>
      <c r="Q44" s="1153"/>
      <c r="R44" s="1153"/>
      <c r="S44" s="1153"/>
      <c r="T44" s="439" cm="1" t="str">
        <f t="array" ref="T44:T44">T43</f>
        <v>false</v>
      </c>
      <c r="U44" s="1153"/>
      <c r="V44" s="1153"/>
      <c r="W44" s="1153"/>
      <c r="X44" s="1482"/>
      <c r="Y44" s="1153"/>
      <c r="Z44" s="1465"/>
      <c r="AA44" s="1153"/>
      <c r="AB44" s="266" t="s">
        <v>1227</v>
      </c>
      <c r="AC44" s="746" t="s">
        <v>1228</v>
      </c>
      <c r="AD44" s="267" t="s">
        <v>784</v>
      </c>
      <c r="AE44" s="2636"/>
      <c r="AF44" s="2636"/>
      <c r="AG44" s="2636"/>
      <c r="AH44" s="2636"/>
      <c r="AI44" s="2636"/>
      <c r="AJ44" s="2636"/>
      <c r="AK44" s="753"/>
      <c r="AL44" s="2636"/>
      <c r="AM44" s="2636"/>
      <c r="AN44" s="2636"/>
      <c r="AO44" s="2636"/>
      <c r="AP44" s="2636"/>
      <c r="AQ44" s="2636"/>
      <c r="AR44" s="2636"/>
      <c r="AS44" s="2636"/>
      <c r="AT44" s="2636"/>
      <c r="AU44" s="753"/>
      <c r="AV44" s="2636"/>
      <c r="AW44" s="2636"/>
      <c r="AX44" s="2636"/>
      <c r="AY44" s="2636"/>
      <c r="AZ44" s="2636"/>
      <c r="BA44" s="2636"/>
      <c r="BB44" s="2636"/>
      <c r="BC44" s="2636"/>
      <c r="BD44" s="2636"/>
      <c r="BE44" s="3209"/>
      <c r="BF44" s="1153"/>
      <c r="BG44" s="1153"/>
      <c r="BH44" s="980" t="s">
        <v>1229</v>
      </c>
    </row>
    <row customHeight="1" ht="14.625" hidden="1">
      <c r="A45" s="1153"/>
      <c r="B45" s="88"/>
      <c r="C45" s="1153"/>
      <c r="D45" s="1153"/>
      <c r="E45" s="597">
        <v>15</v>
      </c>
      <c r="F45" s="50" cm="1" t="str">
        <f t="array" ref="F45:F45">OFFSET(E45,-1,1)</f>
        <v>0</v>
      </c>
      <c r="G45" s="1153"/>
      <c r="H45" s="88" t="s">
        <v>448</v>
      </c>
      <c r="I45" s="1153"/>
      <c r="J45" s="1153"/>
      <c r="K45" s="1153"/>
      <c r="L45" s="1153"/>
      <c r="M45" s="1153"/>
      <c r="N45" s="1153"/>
      <c r="O45" s="1153"/>
      <c r="P45" s="1153"/>
      <c r="Q45" s="1153"/>
      <c r="R45" s="1153"/>
      <c r="S45" s="1153"/>
      <c r="T45" s="439" cm="1" t="str">
        <f t="array" ref="T45:T45">T44</f>
        <v>false</v>
      </c>
      <c r="U45" s="1153"/>
      <c r="V45" s="1153"/>
      <c r="W45" s="1153"/>
      <c r="X45" s="1482"/>
      <c r="Y45" s="1153"/>
      <c r="Z45" s="1465"/>
      <c r="AA45" s="1153"/>
      <c r="AB45" s="266" t="s">
        <v>851</v>
      </c>
      <c r="AC45" s="743" t="s">
        <v>1230</v>
      </c>
      <c r="AD45" s="267" t="s">
        <v>784</v>
      </c>
      <c r="AE45" s="764">
        <f>AE46+AE47+AE48</f>
        <v>0</v>
      </c>
      <c r="AF45" s="764">
        <f>AF46+AF47+AF48</f>
        <v>0</v>
      </c>
      <c r="AG45" s="764">
        <f>AG46+AG47+AG48</f>
        <v>0</v>
      </c>
      <c r="AH45" s="764">
        <f>AH46+AH47+AH48</f>
        <v>0</v>
      </c>
      <c r="AI45" s="764">
        <f>AI46+AI47+AI48</f>
        <v>0</v>
      </c>
      <c r="AJ45" s="764">
        <f>AJ46+AJ47+AJ48</f>
        <v>0</v>
      </c>
      <c r="AK45" s="764">
        <f>AK46+AK47+AK48</f>
        <v>0</v>
      </c>
      <c r="AL45" s="764">
        <f>AL46+AL47+AL48</f>
        <v>0</v>
      </c>
      <c r="AM45" s="764">
        <f>AM46+AM47+AM48</f>
        <v>0</v>
      </c>
      <c r="AN45" s="764">
        <f>AN46+AN47+AN48</f>
        <v>0</v>
      </c>
      <c r="AO45" s="764">
        <f>AO46+AO47+AO48</f>
        <v>0</v>
      </c>
      <c r="AP45" s="764">
        <f>AP46+AP47+AP48</f>
        <v>0</v>
      </c>
      <c r="AQ45" s="764">
        <f>AQ46+AQ47+AQ48</f>
        <v>0</v>
      </c>
      <c r="AR45" s="764">
        <f>AR46+AR47+AR48</f>
        <v>0</v>
      </c>
      <c r="AS45" s="764">
        <f>AS46+AS47+AS48</f>
        <v>0</v>
      </c>
      <c r="AT45" s="764">
        <f>AT46+AT47+AT48</f>
        <v>0</v>
      </c>
      <c r="AU45" s="764">
        <f>AU46+AU47+AU48</f>
        <v>0</v>
      </c>
      <c r="AV45" s="764">
        <f>AV46+AV47+AV48</f>
        <v>0</v>
      </c>
      <c r="AW45" s="764">
        <f>AW46+AW47+AW48</f>
        <v>0</v>
      </c>
      <c r="AX45" s="764">
        <f>AX46+AX47+AX48</f>
        <v>0</v>
      </c>
      <c r="AY45" s="764">
        <f>AY46+AY47+AY48</f>
        <v>0</v>
      </c>
      <c r="AZ45" s="764">
        <f>AZ46+AZ47+AZ48</f>
        <v>0</v>
      </c>
      <c r="BA45" s="764">
        <f>BA46+BA47+BA48</f>
        <v>0</v>
      </c>
      <c r="BB45" s="764">
        <f>BB46+BB47+BB48</f>
        <v>0</v>
      </c>
      <c r="BC45" s="764">
        <f>BC46+BC47+BC48</f>
        <v>0</v>
      </c>
      <c r="BD45" s="764">
        <f>BD46+BD47+BD48</f>
        <v>0</v>
      </c>
      <c r="BE45" s="3209"/>
      <c r="BF45" s="1153"/>
      <c r="BG45" s="1153"/>
      <c r="BH45" s="980" t="s">
        <v>1231</v>
      </c>
    </row>
    <row customHeight="1" ht="14.625" hidden="1">
      <c r="A46" s="1153"/>
      <c r="B46" s="88"/>
      <c r="C46" s="1153"/>
      <c r="D46" s="1153"/>
      <c r="E46" s="597">
        <v>15</v>
      </c>
      <c r="F46" s="50" cm="1" t="str">
        <f t="array" ref="F46:F46">OFFSET(E46,-1,1)</f>
        <v>0</v>
      </c>
      <c r="G46" s="1153"/>
      <c r="H46" s="88" t="s">
        <v>1232</v>
      </c>
      <c r="I46" s="1153"/>
      <c r="J46" s="1153"/>
      <c r="K46" s="1153"/>
      <c r="L46" s="1153"/>
      <c r="M46" s="1153"/>
      <c r="N46" s="1153"/>
      <c r="O46" s="1153"/>
      <c r="P46" s="1153"/>
      <c r="Q46" s="1153"/>
      <c r="R46" s="1153"/>
      <c r="S46" s="1153"/>
      <c r="T46" s="439" cm="1" t="str">
        <f t="array" ref="T46:T46">T45</f>
        <v>false</v>
      </c>
      <c r="U46" s="1153"/>
      <c r="V46" s="1153"/>
      <c r="W46" s="1153"/>
      <c r="X46" s="1482"/>
      <c r="Y46" s="1153"/>
      <c r="Z46" s="1465"/>
      <c r="AA46" s="1153"/>
      <c r="AB46" s="266" t="s">
        <v>1233</v>
      </c>
      <c r="AC46" s="746" t="s">
        <v>1234</v>
      </c>
      <c r="AD46" s="267" t="s">
        <v>784</v>
      </c>
      <c r="AE46" s="2636"/>
      <c r="AF46" s="2636"/>
      <c r="AG46" s="2636"/>
      <c r="AH46" s="2636"/>
      <c r="AI46" s="2636"/>
      <c r="AJ46" s="2636"/>
      <c r="AK46" s="753"/>
      <c r="AL46" s="2636"/>
      <c r="AM46" s="2636"/>
      <c r="AN46" s="2636"/>
      <c r="AO46" s="2636"/>
      <c r="AP46" s="2636"/>
      <c r="AQ46" s="2636"/>
      <c r="AR46" s="2636"/>
      <c r="AS46" s="2636"/>
      <c r="AT46" s="2636"/>
      <c r="AU46" s="753"/>
      <c r="AV46" s="2636"/>
      <c r="AW46" s="2636"/>
      <c r="AX46" s="2636"/>
      <c r="AY46" s="2636"/>
      <c r="AZ46" s="2636"/>
      <c r="BA46" s="2636"/>
      <c r="BB46" s="2636"/>
      <c r="BC46" s="2636"/>
      <c r="BD46" s="2636"/>
      <c r="BE46" s="3209"/>
      <c r="BF46" s="1153"/>
      <c r="BG46" s="1153"/>
      <c r="BH46" s="980" t="s">
        <v>1235</v>
      </c>
    </row>
    <row customHeight="1" ht="14.625" hidden="1">
      <c r="A47" s="1153"/>
      <c r="B47" s="88"/>
      <c r="C47" s="1153"/>
      <c r="D47" s="1153"/>
      <c r="E47" s="597">
        <v>15</v>
      </c>
      <c r="F47" s="50" cm="1" t="str">
        <f t="array" ref="F47:F47">OFFSET(E47,-1,1)</f>
        <v>0</v>
      </c>
      <c r="G47" s="1153"/>
      <c r="H47" s="88" t="s">
        <v>1236</v>
      </c>
      <c r="I47" s="1153"/>
      <c r="J47" s="1153"/>
      <c r="K47" s="1153"/>
      <c r="L47" s="1153"/>
      <c r="M47" s="1153"/>
      <c r="N47" s="1153"/>
      <c r="O47" s="1153"/>
      <c r="P47" s="1153"/>
      <c r="Q47" s="1153"/>
      <c r="R47" s="1153"/>
      <c r="S47" s="1153"/>
      <c r="T47" s="439" cm="1" t="str">
        <f t="array" ref="T47:T47">T46</f>
        <v>false</v>
      </c>
      <c r="U47" s="1153"/>
      <c r="V47" s="1153"/>
      <c r="W47" s="1153"/>
      <c r="X47" s="1482"/>
      <c r="Y47" s="1153"/>
      <c r="Z47" s="1465"/>
      <c r="AA47" s="1153"/>
      <c r="AB47" s="266" t="s">
        <v>1237</v>
      </c>
      <c r="AC47" s="746" t="s">
        <v>1238</v>
      </c>
      <c r="AD47" s="267" t="s">
        <v>784</v>
      </c>
      <c r="AE47" s="2636"/>
      <c r="AF47" s="2636"/>
      <c r="AG47" s="2636"/>
      <c r="AH47" s="2636"/>
      <c r="AI47" s="2636"/>
      <c r="AJ47" s="2636"/>
      <c r="AK47" s="753"/>
      <c r="AL47" s="2636"/>
      <c r="AM47" s="2636"/>
      <c r="AN47" s="2636"/>
      <c r="AO47" s="2636"/>
      <c r="AP47" s="2636"/>
      <c r="AQ47" s="2636"/>
      <c r="AR47" s="2636"/>
      <c r="AS47" s="2636"/>
      <c r="AT47" s="2636"/>
      <c r="AU47" s="753"/>
      <c r="AV47" s="2636"/>
      <c r="AW47" s="2636"/>
      <c r="AX47" s="2636"/>
      <c r="AY47" s="2636"/>
      <c r="AZ47" s="2636"/>
      <c r="BA47" s="2636"/>
      <c r="BB47" s="2636"/>
      <c r="BC47" s="2636"/>
      <c r="BD47" s="2636"/>
      <c r="BE47" s="3209"/>
      <c r="BF47" s="1153"/>
      <c r="BG47" s="1153"/>
      <c r="BH47" s="980" t="s">
        <v>1239</v>
      </c>
    </row>
    <row customHeight="1" ht="14.625" hidden="1">
      <c r="A48" s="1153"/>
      <c r="B48" s="88"/>
      <c r="C48" s="1153"/>
      <c r="D48" s="1153"/>
      <c r="E48" s="597">
        <v>15</v>
      </c>
      <c r="F48" s="50" cm="1" t="str">
        <f t="array" ref="F48:F48">OFFSET(E48,-1,1)</f>
        <v>0</v>
      </c>
      <c r="G48" s="1153"/>
      <c r="H48" s="88" t="s">
        <v>1240</v>
      </c>
      <c r="I48" s="1153"/>
      <c r="J48" s="1153"/>
      <c r="K48" s="1153"/>
      <c r="L48" s="1153"/>
      <c r="M48" s="1153"/>
      <c r="N48" s="1153"/>
      <c r="O48" s="1153"/>
      <c r="P48" s="1153"/>
      <c r="Q48" s="1153"/>
      <c r="R48" s="1153"/>
      <c r="S48" s="1153"/>
      <c r="T48" s="439" cm="1" t="str">
        <f t="array" ref="T48:T48">T47</f>
        <v>false</v>
      </c>
      <c r="U48" s="1153"/>
      <c r="V48" s="1153"/>
      <c r="W48" s="1153"/>
      <c r="X48" s="1482"/>
      <c r="Y48" s="1153"/>
      <c r="Z48" s="1465"/>
      <c r="AA48" s="1153"/>
      <c r="AB48" s="266" t="s">
        <v>1241</v>
      </c>
      <c r="AC48" s="746" t="s">
        <v>1242</v>
      </c>
      <c r="AD48" s="267" t="s">
        <v>784</v>
      </c>
      <c r="AE48" s="2636"/>
      <c r="AF48" s="2636"/>
      <c r="AG48" s="2636"/>
      <c r="AH48" s="2636"/>
      <c r="AI48" s="2636"/>
      <c r="AJ48" s="2636"/>
      <c r="AK48" s="753"/>
      <c r="AL48" s="2636"/>
      <c r="AM48" s="2636"/>
      <c r="AN48" s="2636"/>
      <c r="AO48" s="2636"/>
      <c r="AP48" s="2636"/>
      <c r="AQ48" s="2636"/>
      <c r="AR48" s="2636"/>
      <c r="AS48" s="2636"/>
      <c r="AT48" s="2636"/>
      <c r="AU48" s="753"/>
      <c r="AV48" s="2636"/>
      <c r="AW48" s="2636"/>
      <c r="AX48" s="2636"/>
      <c r="AY48" s="2636"/>
      <c r="AZ48" s="2636"/>
      <c r="BA48" s="2636"/>
      <c r="BB48" s="2636"/>
      <c r="BC48" s="2636"/>
      <c r="BD48" s="2636"/>
      <c r="BE48" s="3209"/>
      <c r="BF48" s="1153"/>
      <c r="BG48" s="1153"/>
      <c r="BH48" s="980" t="s">
        <v>1243</v>
      </c>
    </row>
    <row customHeight="1" ht="14.625" hidden="1">
      <c r="A49" s="1153"/>
      <c r="B49" s="88"/>
      <c r="C49" s="1153"/>
      <c r="D49" s="1153"/>
      <c r="E49" s="597">
        <v>15</v>
      </c>
      <c r="F49" s="50" cm="1" t="str">
        <f t="array" ref="F49:F49">OFFSET(E49,-1,1)</f>
        <v>0</v>
      </c>
      <c r="G49" s="1153"/>
      <c r="H49" s="88" t="s">
        <v>452</v>
      </c>
      <c r="I49" s="1153"/>
      <c r="J49" s="1153"/>
      <c r="K49" s="1153"/>
      <c r="L49" s="1153"/>
      <c r="M49" s="1153"/>
      <c r="N49" s="1153"/>
      <c r="O49" s="1153"/>
      <c r="P49" s="1153"/>
      <c r="Q49" s="1153"/>
      <c r="R49" s="1153"/>
      <c r="S49" s="1153"/>
      <c r="T49" s="439" cm="1" t="str">
        <f t="array" ref="T49:T49">T48</f>
        <v>false</v>
      </c>
      <c r="U49" s="1153"/>
      <c r="V49" s="1153"/>
      <c r="W49" s="1153"/>
      <c r="X49" s="1482"/>
      <c r="Y49" s="1153"/>
      <c r="Z49" s="1465"/>
      <c r="AA49" s="1153"/>
      <c r="AB49" s="266" t="s">
        <v>854</v>
      </c>
      <c r="AC49" s="743" t="s">
        <v>1244</v>
      </c>
      <c r="AD49" s="267" t="s">
        <v>784</v>
      </c>
      <c r="AE49" s="764">
        <f>AE50+AE51+AE52+AE53</f>
        <v>0</v>
      </c>
      <c r="AF49" s="764">
        <f>AF50+AF51+AF52+AF53</f>
        <v>0</v>
      </c>
      <c r="AG49" s="764">
        <f>AG50+AG51+AG52+AG53</f>
        <v>0</v>
      </c>
      <c r="AH49" s="764">
        <f>AH50+AH51+AH52+AH53</f>
        <v>0</v>
      </c>
      <c r="AI49" s="764">
        <f>AI50+AI51+AI52+AI53</f>
        <v>0</v>
      </c>
      <c r="AJ49" s="764">
        <f>AJ50+AJ51+AJ52+AJ53</f>
        <v>0</v>
      </c>
      <c r="AK49" s="764">
        <f>AK50+AK51+AK52+AK53</f>
        <v>0</v>
      </c>
      <c r="AL49" s="764">
        <f>AL50+AL51+AL52+AL53</f>
        <v>0</v>
      </c>
      <c r="AM49" s="764">
        <f>AM50+AM51+AM52+AM53</f>
        <v>0</v>
      </c>
      <c r="AN49" s="764">
        <f>AN50+AN51+AN52+AN53</f>
        <v>0</v>
      </c>
      <c r="AO49" s="764">
        <f>AO50+AO51+AO52+AO53</f>
        <v>0</v>
      </c>
      <c r="AP49" s="764">
        <f>AP50+AP51+AP52+AP53</f>
        <v>0</v>
      </c>
      <c r="AQ49" s="764">
        <f>AQ50+AQ51+AQ52+AQ53</f>
        <v>0</v>
      </c>
      <c r="AR49" s="764">
        <f>AR50+AR51+AR52+AR53</f>
        <v>0</v>
      </c>
      <c r="AS49" s="764">
        <f>AS50+AS51+AS52+AS53</f>
        <v>0</v>
      </c>
      <c r="AT49" s="764">
        <f>AT50+AT51+AT52+AT53</f>
        <v>0</v>
      </c>
      <c r="AU49" s="764">
        <f>AU50+AU51+AU52+AU53</f>
        <v>0</v>
      </c>
      <c r="AV49" s="764">
        <f>AV50+AV51+AV52+AV53</f>
        <v>0</v>
      </c>
      <c r="AW49" s="764">
        <f>AW50+AW51+AW52+AW53</f>
        <v>0</v>
      </c>
      <c r="AX49" s="764">
        <f>AX50+AX51+AX52+AX53</f>
        <v>0</v>
      </c>
      <c r="AY49" s="764">
        <f>AY50+AY51+AY52+AY53</f>
        <v>0</v>
      </c>
      <c r="AZ49" s="764">
        <f>AZ50+AZ51+AZ52+AZ53</f>
        <v>0</v>
      </c>
      <c r="BA49" s="764">
        <f>BA50+BA51+BA52+BA53</f>
        <v>0</v>
      </c>
      <c r="BB49" s="764">
        <f>BB50+BB51+BB52+BB53</f>
        <v>0</v>
      </c>
      <c r="BC49" s="764">
        <f>BC50+BC51+BC52+BC53</f>
        <v>0</v>
      </c>
      <c r="BD49" s="764">
        <f>BD50+BD51+BD52+BD53</f>
        <v>0</v>
      </c>
      <c r="BE49" s="3209"/>
      <c r="BF49" s="1153"/>
      <c r="BG49" s="1153"/>
      <c r="BH49" s="980" t="s">
        <v>1245</v>
      </c>
    </row>
    <row customHeight="1" ht="14.625" hidden="1">
      <c r="A50" s="1153"/>
      <c r="B50" s="88"/>
      <c r="C50" s="1153"/>
      <c r="D50" s="1153"/>
      <c r="E50" s="597">
        <v>15</v>
      </c>
      <c r="F50" s="50" cm="1" t="str">
        <f t="array" ref="F50:F50">OFFSET(E50,-1,1)</f>
        <v>0</v>
      </c>
      <c r="G50" s="1153"/>
      <c r="H50" s="88" t="s">
        <v>1246</v>
      </c>
      <c r="I50" s="1153"/>
      <c r="J50" s="1153"/>
      <c r="K50" s="1153"/>
      <c r="L50" s="1153"/>
      <c r="M50" s="1153"/>
      <c r="N50" s="1153"/>
      <c r="O50" s="1153"/>
      <c r="P50" s="1153"/>
      <c r="Q50" s="1153"/>
      <c r="R50" s="1153"/>
      <c r="S50" s="1153"/>
      <c r="T50" s="439" cm="1" t="str">
        <f t="array" ref="T50:T50">T49</f>
        <v>false</v>
      </c>
      <c r="U50" s="1153"/>
      <c r="V50" s="1153"/>
      <c r="W50" s="1153"/>
      <c r="X50" s="1482"/>
      <c r="Y50" s="1153"/>
      <c r="Z50" s="1465"/>
      <c r="AA50" s="1153"/>
      <c r="AB50" s="266" t="s">
        <v>971</v>
      </c>
      <c r="AC50" s="746" t="s">
        <v>965</v>
      </c>
      <c r="AD50" s="267" t="s">
        <v>784</v>
      </c>
      <c r="AE50" s="2636"/>
      <c r="AF50" s="2636"/>
      <c r="AG50" s="2636"/>
      <c r="AH50" s="2636"/>
      <c r="AI50" s="2636"/>
      <c r="AJ50" s="2636"/>
      <c r="AK50" s="753"/>
      <c r="AL50" s="2636"/>
      <c r="AM50" s="2636"/>
      <c r="AN50" s="2636"/>
      <c r="AO50" s="2636"/>
      <c r="AP50" s="2636"/>
      <c r="AQ50" s="2636"/>
      <c r="AR50" s="2636"/>
      <c r="AS50" s="2636"/>
      <c r="AT50" s="2636"/>
      <c r="AU50" s="753"/>
      <c r="AV50" s="2636"/>
      <c r="AW50" s="2636"/>
      <c r="AX50" s="2636"/>
      <c r="AY50" s="2636"/>
      <c r="AZ50" s="2636"/>
      <c r="BA50" s="2636"/>
      <c r="BB50" s="2636"/>
      <c r="BC50" s="2636"/>
      <c r="BD50" s="2636"/>
      <c r="BE50" s="3209"/>
      <c r="BF50" s="1153"/>
      <c r="BG50" s="1153"/>
      <c r="BH50" s="980" t="s">
        <v>967</v>
      </c>
    </row>
    <row customHeight="1" ht="21.9375" hidden="1">
      <c r="A51" s="1153"/>
      <c r="B51" s="88"/>
      <c r="C51" s="1153"/>
      <c r="D51" s="1153"/>
      <c r="E51" s="597">
        <v>22.5</v>
      </c>
      <c r="F51" s="50" cm="1" t="str">
        <f t="array" ref="F51:F51">OFFSET(E51,-1,1)</f>
        <v>0</v>
      </c>
      <c r="G51" s="1153"/>
      <c r="H51" s="88" t="s">
        <v>1247</v>
      </c>
      <c r="I51" s="1153"/>
      <c r="J51" s="1153"/>
      <c r="K51" s="1153"/>
      <c r="L51" s="1153"/>
      <c r="M51" s="1153"/>
      <c r="N51" s="1153"/>
      <c r="O51" s="1153"/>
      <c r="P51" s="1153"/>
      <c r="Q51" s="1153"/>
      <c r="R51" s="1153"/>
      <c r="S51" s="1153"/>
      <c r="T51" s="439" cm="1" t="str">
        <f t="array" ref="T51:T51">T50</f>
        <v>false</v>
      </c>
      <c r="U51" s="1153"/>
      <c r="V51" s="1153"/>
      <c r="W51" s="1153"/>
      <c r="X51" s="1482"/>
      <c r="Y51" s="1153"/>
      <c r="Z51" s="1465"/>
      <c r="AA51" s="1153"/>
      <c r="AB51" s="266" t="s">
        <v>974</v>
      </c>
      <c r="AC51" s="746" t="s">
        <v>1248</v>
      </c>
      <c r="AD51" s="267" t="s">
        <v>784</v>
      </c>
      <c r="AE51" s="2636"/>
      <c r="AF51" s="2636"/>
      <c r="AG51" s="2636"/>
      <c r="AH51" s="2636"/>
      <c r="AI51" s="2636"/>
      <c r="AJ51" s="2636"/>
      <c r="AK51" s="753"/>
      <c r="AL51" s="2636"/>
      <c r="AM51" s="2636"/>
      <c r="AN51" s="2636"/>
      <c r="AO51" s="2636"/>
      <c r="AP51" s="2636"/>
      <c r="AQ51" s="2636"/>
      <c r="AR51" s="2636"/>
      <c r="AS51" s="2636"/>
      <c r="AT51" s="2636"/>
      <c r="AU51" s="753"/>
      <c r="AV51" s="2636"/>
      <c r="AW51" s="2636"/>
      <c r="AX51" s="2636"/>
      <c r="AY51" s="2636"/>
      <c r="AZ51" s="2636"/>
      <c r="BA51" s="2636"/>
      <c r="BB51" s="2636"/>
      <c r="BC51" s="2636"/>
      <c r="BD51" s="2636"/>
      <c r="BE51" s="3209"/>
      <c r="BF51" s="1153"/>
      <c r="BG51" s="1153"/>
      <c r="BH51" s="980" t="s">
        <v>1249</v>
      </c>
    </row>
    <row customHeight="1" ht="21.9375" hidden="1">
      <c r="A52" s="1153"/>
      <c r="B52" s="88"/>
      <c r="C52" s="1153"/>
      <c r="D52" s="1153"/>
      <c r="E52" s="597">
        <v>22.5</v>
      </c>
      <c r="F52" s="50" cm="1" t="str">
        <f t="array" ref="F52:F52">OFFSET(E52,-1,1)</f>
        <v>0</v>
      </c>
      <c r="G52" s="1153"/>
      <c r="H52" s="88" t="s">
        <v>1250</v>
      </c>
      <c r="I52" s="1153"/>
      <c r="J52" s="1153"/>
      <c r="K52" s="1153"/>
      <c r="L52" s="1153"/>
      <c r="M52" s="1153"/>
      <c r="N52" s="1153"/>
      <c r="O52" s="1153"/>
      <c r="P52" s="1153"/>
      <c r="Q52" s="1153"/>
      <c r="R52" s="1153"/>
      <c r="S52" s="1153"/>
      <c r="T52" s="439" cm="1" t="str">
        <f t="array" ref="T52:T52">T51</f>
        <v>false</v>
      </c>
      <c r="U52" s="1153"/>
      <c r="V52" s="1153"/>
      <c r="W52" s="1153"/>
      <c r="X52" s="1482"/>
      <c r="Y52" s="1153"/>
      <c r="Z52" s="1465"/>
      <c r="AA52" s="1153"/>
      <c r="AB52" s="266" t="s">
        <v>1251</v>
      </c>
      <c r="AC52" s="746" t="s">
        <v>1252</v>
      </c>
      <c r="AD52" s="267" t="s">
        <v>784</v>
      </c>
      <c r="AE52" s="2636"/>
      <c r="AF52" s="2636"/>
      <c r="AG52" s="2636"/>
      <c r="AH52" s="2636"/>
      <c r="AI52" s="2636"/>
      <c r="AJ52" s="2636"/>
      <c r="AK52" s="753"/>
      <c r="AL52" s="2636"/>
      <c r="AM52" s="2636"/>
      <c r="AN52" s="2636"/>
      <c r="AO52" s="2636"/>
      <c r="AP52" s="2636"/>
      <c r="AQ52" s="2636"/>
      <c r="AR52" s="2636"/>
      <c r="AS52" s="2636"/>
      <c r="AT52" s="2636"/>
      <c r="AU52" s="753"/>
      <c r="AV52" s="2636"/>
      <c r="AW52" s="2636"/>
      <c r="AX52" s="2636"/>
      <c r="AY52" s="2636"/>
      <c r="AZ52" s="2636"/>
      <c r="BA52" s="2636"/>
      <c r="BB52" s="2636"/>
      <c r="BC52" s="2636"/>
      <c r="BD52" s="2636"/>
      <c r="BE52" s="3209"/>
      <c r="BF52" s="1153"/>
      <c r="BG52" s="1153"/>
      <c r="BH52" s="980" t="s">
        <v>1253</v>
      </c>
    </row>
    <row customHeight="1" ht="14.625" hidden="1">
      <c r="A53" s="1153"/>
      <c r="B53" s="88"/>
      <c r="C53" s="1153"/>
      <c r="D53" s="1153"/>
      <c r="E53" s="597">
        <v>15</v>
      </c>
      <c r="F53" s="50" cm="1" t="str">
        <f t="array" ref="F53:F53">OFFSET(E53,-1,1)</f>
        <v>0</v>
      </c>
      <c r="G53" s="1153"/>
      <c r="H53" s="88" t="s">
        <v>1254</v>
      </c>
      <c r="I53" s="1153"/>
      <c r="J53" s="1153"/>
      <c r="K53" s="1153"/>
      <c r="L53" s="1153"/>
      <c r="M53" s="1153"/>
      <c r="N53" s="1153"/>
      <c r="O53" s="1153"/>
      <c r="P53" s="1153"/>
      <c r="Q53" s="1153"/>
      <c r="R53" s="1153"/>
      <c r="S53" s="1153"/>
      <c r="T53" s="439" cm="1" t="str">
        <f t="array" ref="T53:T53">T52</f>
        <v>false</v>
      </c>
      <c r="U53" s="1153"/>
      <c r="V53" s="1153"/>
      <c r="W53" s="1153"/>
      <c r="X53" s="1482"/>
      <c r="Y53" s="1153"/>
      <c r="Z53" s="1465"/>
      <c r="AA53" s="1153"/>
      <c r="AB53" s="266" t="s">
        <v>1255</v>
      </c>
      <c r="AC53" s="746" t="s">
        <v>1256</v>
      </c>
      <c r="AD53" s="267" t="s">
        <v>784</v>
      </c>
      <c r="AE53" s="2636"/>
      <c r="AF53" s="2636"/>
      <c r="AG53" s="2636"/>
      <c r="AH53" s="2636"/>
      <c r="AI53" s="2636"/>
      <c r="AJ53" s="2636"/>
      <c r="AK53" s="753"/>
      <c r="AL53" s="2636"/>
      <c r="AM53" s="2636"/>
      <c r="AN53" s="2636"/>
      <c r="AO53" s="2636"/>
      <c r="AP53" s="2636"/>
      <c r="AQ53" s="2636"/>
      <c r="AR53" s="2636"/>
      <c r="AS53" s="2636"/>
      <c r="AT53" s="2636"/>
      <c r="AU53" s="753"/>
      <c r="AV53" s="2636"/>
      <c r="AW53" s="2636"/>
      <c r="AX53" s="2636"/>
      <c r="AY53" s="2636"/>
      <c r="AZ53" s="2636"/>
      <c r="BA53" s="2636"/>
      <c r="BB53" s="2636"/>
      <c r="BC53" s="2636"/>
      <c r="BD53" s="2636"/>
      <c r="BE53" s="3209"/>
      <c r="BF53" s="1153"/>
      <c r="BG53" s="1153"/>
      <c r="BH53" s="980" t="s">
        <v>1257</v>
      </c>
    </row>
    <row s="678" customFormat="1" customHeight="1" ht="21.9375" hidden="1">
      <c r="A54" s="678"/>
      <c r="B54" s="88"/>
      <c r="C54" s="678"/>
      <c r="D54" s="678"/>
      <c r="E54" s="671">
        <v>22.5</v>
      </c>
      <c r="F54" s="50" cm="1" t="str">
        <f t="array" ref="F54:F54">OFFSET(E54,-1,1)</f>
        <v>0</v>
      </c>
      <c r="G54" s="88"/>
      <c r="H54" s="88" t="s">
        <v>326</v>
      </c>
      <c r="I54" s="678"/>
      <c r="J54" s="678"/>
      <c r="K54" s="678"/>
      <c r="L54" s="678"/>
      <c r="M54" s="678"/>
      <c r="N54" s="678"/>
      <c r="O54" s="678"/>
      <c r="P54" s="678"/>
      <c r="Q54" s="678"/>
      <c r="R54" s="678"/>
      <c r="S54" s="678"/>
      <c r="T54" s="439" cm="1" t="str">
        <f t="array" ref="T54:T54">T53</f>
        <v>false</v>
      </c>
      <c r="U54" s="678"/>
      <c r="V54" s="678"/>
      <c r="W54" s="678"/>
      <c r="X54" s="1482"/>
      <c r="Y54" s="678"/>
      <c r="Z54" s="1465"/>
      <c r="AA54" s="678"/>
      <c r="AB54" s="185" t="s">
        <v>283</v>
      </c>
      <c r="AC54" s="186" t="s">
        <v>1258</v>
      </c>
      <c r="AD54" s="178" t="s">
        <v>784</v>
      </c>
      <c r="AE54" s="180">
        <f>AE55+AE56+AE57</f>
        <v>0</v>
      </c>
      <c r="AF54" s="180">
        <f>AF55+AF56+AF57</f>
        <v>0</v>
      </c>
      <c r="AG54" s="180">
        <f>AG55+AG56+AG57</f>
        <v>0</v>
      </c>
      <c r="AH54" s="180">
        <f>AH55+AH56+AH57</f>
        <v>0</v>
      </c>
      <c r="AI54" s="180">
        <f>AI55+AI56+AI57</f>
        <v>0</v>
      </c>
      <c r="AJ54" s="180">
        <f>AJ55+AJ56+AJ57</f>
        <v>0</v>
      </c>
      <c r="AK54" s="180">
        <f>AK55+AK56+AK57</f>
        <v>0</v>
      </c>
      <c r="AL54" s="180">
        <f>AL55+AL56+AL57</f>
        <v>0</v>
      </c>
      <c r="AM54" s="180">
        <f>AM55+AM56+AM57</f>
        <v>0</v>
      </c>
      <c r="AN54" s="180">
        <f>AN55+AN56+AN57</f>
        <v>0</v>
      </c>
      <c r="AO54" s="180">
        <f>AO55+AO56+AO57</f>
        <v>0</v>
      </c>
      <c r="AP54" s="180">
        <f>AP55+AP56+AP57</f>
        <v>0</v>
      </c>
      <c r="AQ54" s="180">
        <f>AQ55+AQ56+AQ57</f>
        <v>0</v>
      </c>
      <c r="AR54" s="180">
        <f>AR55+AR56+AR57</f>
        <v>0</v>
      </c>
      <c r="AS54" s="180">
        <f>AS55+AS56+AS57</f>
        <v>0</v>
      </c>
      <c r="AT54" s="180">
        <f>AT55+AT56+AT57</f>
        <v>0</v>
      </c>
      <c r="AU54" s="180">
        <f>AU55+AU56+AU57</f>
        <v>0</v>
      </c>
      <c r="AV54" s="180">
        <f>AV55+AV56+AV57</f>
        <v>0</v>
      </c>
      <c r="AW54" s="180">
        <f>AW55+AW56+AW57</f>
        <v>0</v>
      </c>
      <c r="AX54" s="180">
        <f>AX55+AX56+AX57</f>
        <v>0</v>
      </c>
      <c r="AY54" s="180">
        <f>AY55+AY56+AY57</f>
        <v>0</v>
      </c>
      <c r="AZ54" s="180">
        <f>AZ55+AZ56+AZ57</f>
        <v>0</v>
      </c>
      <c r="BA54" s="180">
        <f>BA55+BA56+BA57</f>
        <v>0</v>
      </c>
      <c r="BB54" s="180">
        <f>BB55+BB56+BB57</f>
        <v>0</v>
      </c>
      <c r="BC54" s="180">
        <f>BC55+BC56+BC57</f>
        <v>0</v>
      </c>
      <c r="BD54" s="180">
        <f>BD55+BD56+BD57</f>
        <v>0</v>
      </c>
      <c r="BE54" s="3209"/>
      <c r="BF54" s="678"/>
      <c r="BG54" s="678"/>
      <c r="BH54" s="1035" t="s">
        <v>1259</v>
      </c>
    </row>
    <row customHeight="1" ht="14.625" hidden="1">
      <c r="A55" s="1153"/>
      <c r="B55" s="88"/>
      <c r="C55" s="1153"/>
      <c r="D55" s="1153"/>
      <c r="E55" s="597">
        <v>15</v>
      </c>
      <c r="F55" s="50" cm="1" t="str">
        <f t="array" ref="F55:F55">OFFSET(E55,-1,1)</f>
        <v>0</v>
      </c>
      <c r="G55" s="1153"/>
      <c r="H55" s="88" t="s">
        <v>459</v>
      </c>
      <c r="I55" s="1153"/>
      <c r="J55" s="1153"/>
      <c r="K55" s="90" t="str">
        <f>F55&amp;"2komm"</f>
        <v>02komm</v>
      </c>
      <c r="L55" s="90" cm="1" t="str">
        <f t="array" ref="L55:L55">BE55</f>
        <v>0</v>
      </c>
      <c r="M55" s="1153"/>
      <c r="N55" s="1153"/>
      <c r="O55" s="1153"/>
      <c r="P55" s="1153"/>
      <c r="Q55" s="1153"/>
      <c r="R55" s="1153"/>
      <c r="S55" s="1153"/>
      <c r="T55" s="439" cm="1" t="str">
        <f t="array" ref="T55:T55">T54</f>
        <v>false</v>
      </c>
      <c r="U55" s="1153"/>
      <c r="V55" s="1153"/>
      <c r="W55" s="1153"/>
      <c r="X55" s="1482"/>
      <c r="Y55" s="1153"/>
      <c r="Z55" s="1465"/>
      <c r="AA55" s="1153"/>
      <c r="AB55" s="266" t="s">
        <v>515</v>
      </c>
      <c r="AC55" s="743" t="s">
        <v>1260</v>
      </c>
      <c r="AD55" s="267" t="s">
        <v>784</v>
      </c>
      <c r="AE55" s="2636"/>
      <c r="AF55" s="2636"/>
      <c r="AG55" s="2636"/>
      <c r="AH55" s="2636"/>
      <c r="AI55" s="2636"/>
      <c r="AJ55" s="2636"/>
      <c r="AK55" s="753"/>
      <c r="AL55" s="2636"/>
      <c r="AM55" s="2636"/>
      <c r="AN55" s="2636"/>
      <c r="AO55" s="2636"/>
      <c r="AP55" s="2636"/>
      <c r="AQ55" s="2636"/>
      <c r="AR55" s="2636"/>
      <c r="AS55" s="2636"/>
      <c r="AT55" s="2636"/>
      <c r="AU55" s="753"/>
      <c r="AV55" s="2636"/>
      <c r="AW55" s="2636"/>
      <c r="AX55" s="2636"/>
      <c r="AY55" s="2636"/>
      <c r="AZ55" s="2636"/>
      <c r="BA55" s="2636"/>
      <c r="BB55" s="2636"/>
      <c r="BC55" s="2636"/>
      <c r="BD55" s="2636"/>
      <c r="BE55" s="3209"/>
      <c r="BF55" s="1153"/>
      <c r="BG55" s="1153"/>
      <c r="BH55" s="980" t="s">
        <v>1261</v>
      </c>
    </row>
    <row customHeight="1" ht="14.625" hidden="1">
      <c r="A56" s="1153"/>
      <c r="B56" s="88"/>
      <c r="C56" s="1153"/>
      <c r="D56" s="1153"/>
      <c r="E56" s="597">
        <v>15</v>
      </c>
      <c r="F56" s="50" cm="1" t="str">
        <f t="array" ref="F56:F56">OFFSET(E56,-1,1)</f>
        <v>0</v>
      </c>
      <c r="G56" s="1153"/>
      <c r="H56" s="88" t="s">
        <v>462</v>
      </c>
      <c r="I56" s="1153"/>
      <c r="J56" s="1153"/>
      <c r="K56" s="90" t="str">
        <f>F56&amp;"3komm"</f>
        <v>03komm</v>
      </c>
      <c r="L56" s="90" cm="1" t="str">
        <f t="array" ref="L56:L56">BE56</f>
        <v>0</v>
      </c>
      <c r="M56" s="1153"/>
      <c r="N56" s="1153"/>
      <c r="O56" s="1153"/>
      <c r="P56" s="1153"/>
      <c r="Q56" s="1153"/>
      <c r="R56" s="1153"/>
      <c r="S56" s="1153"/>
      <c r="T56" s="439" cm="1" t="str">
        <f t="array" ref="T56:T56">T55</f>
        <v>false</v>
      </c>
      <c r="U56" s="1153"/>
      <c r="V56" s="1153"/>
      <c r="W56" s="1153"/>
      <c r="X56" s="1482"/>
      <c r="Y56" s="1153"/>
      <c r="Z56" s="1465"/>
      <c r="AA56" s="1153"/>
      <c r="AB56" s="266" t="s">
        <v>519</v>
      </c>
      <c r="AC56" s="743" t="s">
        <v>1262</v>
      </c>
      <c r="AD56" s="267" t="s">
        <v>784</v>
      </c>
      <c r="AE56" s="2636"/>
      <c r="AF56" s="2636"/>
      <c r="AG56" s="2636"/>
      <c r="AH56" s="2636"/>
      <c r="AI56" s="2636"/>
      <c r="AJ56" s="2636"/>
      <c r="AK56" s="753"/>
      <c r="AL56" s="2636"/>
      <c r="AM56" s="2636"/>
      <c r="AN56" s="2636"/>
      <c r="AO56" s="2636"/>
      <c r="AP56" s="2636"/>
      <c r="AQ56" s="2636"/>
      <c r="AR56" s="2636"/>
      <c r="AS56" s="2636"/>
      <c r="AT56" s="2636"/>
      <c r="AU56" s="753"/>
      <c r="AV56" s="2636"/>
      <c r="AW56" s="2636"/>
      <c r="AX56" s="2636"/>
      <c r="AY56" s="2636"/>
      <c r="AZ56" s="2636"/>
      <c r="BA56" s="2636"/>
      <c r="BB56" s="2636"/>
      <c r="BC56" s="2636"/>
      <c r="BD56" s="2636"/>
      <c r="BE56" s="3209"/>
      <c r="BF56" s="1153"/>
      <c r="BG56" s="1153"/>
      <c r="BH56" s="980" t="s">
        <v>1263</v>
      </c>
    </row>
    <row customHeight="1" ht="14.625" hidden="1">
      <c r="A57" s="1153"/>
      <c r="B57" s="88"/>
      <c r="C57" s="1153"/>
      <c r="D57" s="1153"/>
      <c r="E57" s="597">
        <v>15</v>
      </c>
      <c r="F57" s="50" cm="1" t="str">
        <f t="array" ref="F57:F57">OFFSET(E57,-1,1)</f>
        <v>0</v>
      </c>
      <c r="G57" s="1153"/>
      <c r="H57" s="88" t="s">
        <v>865</v>
      </c>
      <c r="I57" s="1153"/>
      <c r="J57" s="1153"/>
      <c r="K57" s="1153"/>
      <c r="L57" s="1153"/>
      <c r="M57" s="1153"/>
      <c r="N57" s="1153"/>
      <c r="O57" s="1153"/>
      <c r="P57" s="1153"/>
      <c r="Q57" s="1153"/>
      <c r="R57" s="1153"/>
      <c r="S57" s="1153"/>
      <c r="T57" s="439" cm="1" t="str">
        <f t="array" ref="T57:T57">T56</f>
        <v>false</v>
      </c>
      <c r="U57" s="1153"/>
      <c r="V57" s="1153"/>
      <c r="W57" s="1153"/>
      <c r="X57" s="1482"/>
      <c r="Y57" s="1153"/>
      <c r="Z57" s="1465"/>
      <c r="AA57" s="1153"/>
      <c r="AB57" s="266" t="s">
        <v>523</v>
      </c>
      <c r="AC57" s="743" t="s">
        <v>1264</v>
      </c>
      <c r="AD57" s="267" t="s">
        <v>784</v>
      </c>
      <c r="AE57" s="2636"/>
      <c r="AF57" s="2636"/>
      <c r="AG57" s="2636"/>
      <c r="AH57" s="2636"/>
      <c r="AI57" s="2636"/>
      <c r="AJ57" s="2636"/>
      <c r="AK57" s="753"/>
      <c r="AL57" s="2636"/>
      <c r="AM57" s="2636"/>
      <c r="AN57" s="2636"/>
      <c r="AO57" s="2636"/>
      <c r="AP57" s="2636"/>
      <c r="AQ57" s="2636"/>
      <c r="AR57" s="2636"/>
      <c r="AS57" s="2636"/>
      <c r="AT57" s="2636"/>
      <c r="AU57" s="753"/>
      <c r="AV57" s="2636"/>
      <c r="AW57" s="2636"/>
      <c r="AX57" s="2636"/>
      <c r="AY57" s="2636"/>
      <c r="AZ57" s="2636"/>
      <c r="BA57" s="2636"/>
      <c r="BB57" s="2636"/>
      <c r="BC57" s="2636"/>
      <c r="BD57" s="2636"/>
      <c r="BE57" s="3209"/>
      <c r="BF57" s="1153"/>
      <c r="BG57" s="1153"/>
      <c r="BH57" s="980" t="s">
        <v>1265</v>
      </c>
    </row>
    <row s="1621" customFormat="1" customHeight="1" ht="14.25">
      <c r="A58" s="1153"/>
      <c r="B58" s="88"/>
      <c r="C58" s="1153"/>
      <c r="D58" s="1153"/>
      <c r="E58" s="597">
        <v>15</v>
      </c>
      <c r="F58" s="64" cm="1" t="str">
        <f t="array" ref="F58:F58">X58</f>
        <v>1</v>
      </c>
      <c r="G58" s="1153"/>
      <c r="H58" s="1153"/>
      <c r="I58" s="1153"/>
      <c r="J58" s="1153"/>
      <c r="K58" s="1153"/>
      <c r="L58" s="1153"/>
      <c r="M58" s="1153"/>
      <c r="N58" s="1153"/>
      <c r="O58" s="1153"/>
      <c r="P58" s="1153"/>
      <c r="Q58" s="1153"/>
      <c r="R58" s="1153"/>
      <c r="S58" s="1153"/>
      <c r="T58" s="439">
        <f>X58&gt;0</f>
        <v>1</v>
      </c>
      <c r="U58" s="1153"/>
      <c r="V58" s="88" cm="1" t="str">
        <f t="array" ref="V58:V58">Налоги!$AB$41</f>
        <v>Тариф 1 (Водоснабжение) - тариф на техническую воду (Оказание услуг на территории: Прокопьевский муниципальный округ (ОКТМО: 32522000) - п Калачево)</v>
      </c>
      <c r="W58" s="1153"/>
      <c r="X58" s="1482" t="s">
        <v>272</v>
      </c>
      <c r="Y58" s="1153"/>
      <c r="Z58" s="1465"/>
      <c r="AA58" s="1153"/>
      <c r="AB58" s="209" cm="1" t="str">
        <f t="array" ref="AB58:AB58">Налоги!$AB$41</f>
        <v>Тариф 1 (Водоснабжение) - тариф на техническую воду (Оказание услуг на территории: Прокопьевский муниципальный округ (ОКТМО: 32522000) - п Калачево)</v>
      </c>
      <c r="AC58" s="813"/>
      <c r="AD58" s="813"/>
      <c r="AE58" s="813"/>
      <c r="AF58" s="813"/>
      <c r="AG58" s="813"/>
      <c r="AH58" s="813"/>
      <c r="AI58" s="813"/>
      <c r="AJ58" s="813"/>
      <c r="AK58" s="813"/>
      <c r="AL58" s="813"/>
      <c r="AM58" s="813"/>
      <c r="AN58" s="813"/>
      <c r="AO58" s="813"/>
      <c r="AP58" s="813"/>
      <c r="AQ58" s="813"/>
      <c r="AR58" s="813"/>
      <c r="AS58" s="813"/>
      <c r="AT58" s="813"/>
      <c r="AU58" s="813"/>
      <c r="AV58" s="813"/>
      <c r="AW58" s="813"/>
      <c r="AX58" s="813"/>
      <c r="AY58" s="813"/>
      <c r="AZ58" s="813"/>
      <c r="BA58" s="813"/>
      <c r="BB58" s="813"/>
      <c r="BC58" s="813"/>
      <c r="BD58" s="813"/>
      <c r="BE58" s="813"/>
      <c r="BF58" s="1153"/>
      <c r="BG58" s="1153"/>
      <c r="BH58" s="1253"/>
    </row>
    <row s="3301" customFormat="1" customHeight="1" ht="21.75">
      <c r="A59" s="678"/>
      <c r="B59" s="88"/>
      <c r="C59" s="678"/>
      <c r="D59" s="678"/>
      <c r="E59" s="671">
        <v>22.5</v>
      </c>
      <c r="F59" s="50" cm="1" t="str">
        <f t="array" ref="F59:F59">OFFSET(E59,-1,1)</f>
        <v>1</v>
      </c>
      <c r="G59" s="88"/>
      <c r="H59" s="88" t="s">
        <v>325</v>
      </c>
      <c r="I59" s="678"/>
      <c r="J59" s="678"/>
      <c r="K59" s="678"/>
      <c r="L59" s="678"/>
      <c r="M59" s="678"/>
      <c r="N59" s="678"/>
      <c r="O59" s="678"/>
      <c r="P59" s="678"/>
      <c r="Q59" s="678"/>
      <c r="R59" s="678"/>
      <c r="S59" s="678"/>
      <c r="T59" s="439" cm="1" t="str">
        <f t="array" ref="T59:T59">T58</f>
        <v>true</v>
      </c>
      <c r="U59" s="678"/>
      <c r="V59" s="678"/>
      <c r="W59" s="678"/>
      <c r="X59" s="1482"/>
      <c r="Y59" s="678"/>
      <c r="Z59" s="1465"/>
      <c r="AA59" s="678"/>
      <c r="AB59" s="185">
        <v>1</v>
      </c>
      <c r="AC59" s="179" t="s">
        <v>1187</v>
      </c>
      <c r="AD59" s="178" t="s">
        <v>784</v>
      </c>
      <c r="AE59" s="180">
        <f>AE60+AE70+AE74+AE78</f>
        <v>0</v>
      </c>
      <c r="AF59" s="180">
        <f>AF60+AF70+AF74+AF78</f>
        <v>0</v>
      </c>
      <c r="AG59" s="180">
        <f>AG60+AG70+AG74+AG78</f>
        <v>0</v>
      </c>
      <c r="AH59" s="180">
        <f>AH60+AH70+AH74+AH78</f>
        <v>0</v>
      </c>
      <c r="AI59" s="180">
        <f>AI60+AI70+AI74+AI78</f>
        <v>0</v>
      </c>
      <c r="AJ59" s="180">
        <f>AJ60+AJ70+AJ74+AJ78</f>
        <v>0</v>
      </c>
      <c r="AK59" s="180">
        <f>AK60+AK70+AK74+AK78</f>
        <v>0</v>
      </c>
      <c r="AL59" s="180">
        <f>AL60+AL70+AL74+AL78</f>
        <v>0</v>
      </c>
      <c r="AM59" s="180">
        <f>AM60+AM70+AM74+AM78</f>
        <v>0</v>
      </c>
      <c r="AN59" s="180">
        <f>AN60+AN70+AN74+AN78</f>
        <v>0</v>
      </c>
      <c r="AO59" s="180">
        <f>AO60+AO70+AO74+AO78</f>
        <v>0</v>
      </c>
      <c r="AP59" s="180">
        <f>AP60+AP70+AP74+AP78</f>
        <v>0</v>
      </c>
      <c r="AQ59" s="180">
        <f>AQ60+AQ70+AQ74+AQ78</f>
        <v>0</v>
      </c>
      <c r="AR59" s="180">
        <f>AR60+AR70+AR74+AR78</f>
        <v>0</v>
      </c>
      <c r="AS59" s="180">
        <f>AS60+AS70+AS74+AS78</f>
        <v>0</v>
      </c>
      <c r="AT59" s="180">
        <f>AT60+AT70+AT74+AT78</f>
        <v>0</v>
      </c>
      <c r="AU59" s="180">
        <f>AU60+AU70+AU74+AU78</f>
        <v>0</v>
      </c>
      <c r="AV59" s="180">
        <f>AV60+AV70+AV74+AV78</f>
        <v>0</v>
      </c>
      <c r="AW59" s="180">
        <f>AW60+AW70+AW74+AW78</f>
        <v>0</v>
      </c>
      <c r="AX59" s="180">
        <f>AX60+AX70+AX74+AX78</f>
        <v>0</v>
      </c>
      <c r="AY59" s="180">
        <f>AY60+AY70+AY74+AY78</f>
        <v>0</v>
      </c>
      <c r="AZ59" s="180">
        <f>AZ60+AZ70+AZ74+AZ78</f>
        <v>0</v>
      </c>
      <c r="BA59" s="180">
        <f>BA60+BA70+BA74+BA78</f>
        <v>0</v>
      </c>
      <c r="BB59" s="180">
        <f>BB60+BB70+BB74+BB78</f>
        <v>0</v>
      </c>
      <c r="BC59" s="180">
        <f>BC60+BC70+BC74+BC78</f>
        <v>0</v>
      </c>
      <c r="BD59" s="180">
        <f>BD60+BD70+BD74+BD78</f>
        <v>0</v>
      </c>
      <c r="BE59" s="755"/>
      <c r="BF59" s="678"/>
      <c r="BG59" s="678"/>
      <c r="BH59" s="1035" t="s">
        <v>1188</v>
      </c>
    </row>
    <row s="1621" customFormat="1" customHeight="1" ht="14.25">
      <c r="A60" s="1153"/>
      <c r="B60" s="88"/>
      <c r="C60" s="1153"/>
      <c r="D60" s="1153"/>
      <c r="E60" s="597">
        <v>15</v>
      </c>
      <c r="F60" s="50" cm="1" t="str">
        <f t="array" ref="F60:F60">OFFSET(E60,-1,1)</f>
        <v>1</v>
      </c>
      <c r="G60" s="1153"/>
      <c r="H60" s="88" t="s">
        <v>441</v>
      </c>
      <c r="I60" s="1153"/>
      <c r="J60" s="1153"/>
      <c r="K60" s="1153"/>
      <c r="L60" s="1153"/>
      <c r="M60" s="1153"/>
      <c r="N60" s="1153"/>
      <c r="O60" s="1153"/>
      <c r="P60" s="1153"/>
      <c r="Q60" s="1153"/>
      <c r="R60" s="1153"/>
      <c r="S60" s="1153"/>
      <c r="T60" s="439" cm="1" t="str">
        <f t="array" ref="T60:T60">T59</f>
        <v>true</v>
      </c>
      <c r="U60" s="1153"/>
      <c r="V60" s="1153"/>
      <c r="W60" s="1153"/>
      <c r="X60" s="1482"/>
      <c r="Y60" s="1153"/>
      <c r="Z60" s="1465"/>
      <c r="AA60" s="1153"/>
      <c r="AB60" s="266" t="s">
        <v>845</v>
      </c>
      <c r="AC60" s="743" t="s">
        <v>1189</v>
      </c>
      <c r="AD60" s="267" t="s">
        <v>784</v>
      </c>
      <c r="AE60" s="764">
        <f>AE61+AE62+AE63+AE64+AE65</f>
        <v>0</v>
      </c>
      <c r="AF60" s="764">
        <f>AF61+AF62+AF63+AF64+AF65</f>
        <v>0</v>
      </c>
      <c r="AG60" s="764">
        <f>AG61+AG62+AG63+AG64+AG65</f>
        <v>0</v>
      </c>
      <c r="AH60" s="764">
        <f>AH61+AH62+AH63+AH64+AH65</f>
        <v>0</v>
      </c>
      <c r="AI60" s="764">
        <f>AI61+AI62+AI63+AI64+AI65</f>
        <v>0</v>
      </c>
      <c r="AJ60" s="764">
        <f>AJ61+AJ62+AJ63+AJ64+AJ65</f>
        <v>0</v>
      </c>
      <c r="AK60" s="764">
        <f>AK61+AK62+AK63+AK64+AK65</f>
        <v>0</v>
      </c>
      <c r="AL60" s="764">
        <f>AL61+AL62+AL63+AL64+AL65</f>
        <v>0</v>
      </c>
      <c r="AM60" s="764">
        <f>AM61+AM62+AM63+AM64+AM65</f>
        <v>0</v>
      </c>
      <c r="AN60" s="764">
        <f>AN61+AN62+AN63+AN64+AN65</f>
        <v>0</v>
      </c>
      <c r="AO60" s="764">
        <f>AO61+AO62+AO63+AO64+AO65</f>
        <v>0</v>
      </c>
      <c r="AP60" s="764">
        <f>AP61+AP62+AP63+AP64+AP65</f>
        <v>0</v>
      </c>
      <c r="AQ60" s="764">
        <f>AQ61+AQ62+AQ63+AQ64+AQ65</f>
        <v>0</v>
      </c>
      <c r="AR60" s="764">
        <f>AR61+AR62+AR63+AR64+AR65</f>
        <v>0</v>
      </c>
      <c r="AS60" s="764">
        <f>AS61+AS62+AS63+AS64+AS65</f>
        <v>0</v>
      </c>
      <c r="AT60" s="764">
        <f>AT61+AT62+AT63+AT64+AT65</f>
        <v>0</v>
      </c>
      <c r="AU60" s="764">
        <f>AU61+AU62+AU63+AU64+AU65</f>
        <v>0</v>
      </c>
      <c r="AV60" s="764">
        <f>AV61+AV62+AV63+AV64+AV65</f>
        <v>0</v>
      </c>
      <c r="AW60" s="764">
        <f>AW61+AW62+AW63+AW64+AW65</f>
        <v>0</v>
      </c>
      <c r="AX60" s="764">
        <f>AX61+AX62+AX63+AX64+AX65</f>
        <v>0</v>
      </c>
      <c r="AY60" s="764">
        <f>AY61+AY62+AY63+AY64+AY65</f>
        <v>0</v>
      </c>
      <c r="AZ60" s="764">
        <f>AZ61+AZ62+AZ63+AZ64+AZ65</f>
        <v>0</v>
      </c>
      <c r="BA60" s="764">
        <f>BA61+BA62+BA63+BA64+BA65</f>
        <v>0</v>
      </c>
      <c r="BB60" s="764">
        <f>BB61+BB62+BB63+BB64+BB65</f>
        <v>0</v>
      </c>
      <c r="BC60" s="764">
        <f>BC61+BC62+BC63+BC64+BC65</f>
        <v>0</v>
      </c>
      <c r="BD60" s="764">
        <f>BD61+BD62+BD63+BD64+BD65</f>
        <v>0</v>
      </c>
      <c r="BE60" s="755"/>
      <c r="BF60" s="1153"/>
      <c r="BG60" s="1153"/>
      <c r="BH60" s="980" t="s">
        <v>1190</v>
      </c>
    </row>
    <row s="1621" customFormat="1" customHeight="1" ht="14.25">
      <c r="A61" s="1153"/>
      <c r="B61" s="88"/>
      <c r="C61" s="1153"/>
      <c r="D61" s="1153"/>
      <c r="E61" s="597">
        <v>15</v>
      </c>
      <c r="F61" s="50" cm="1" t="str">
        <f t="array" ref="F61:F61">OFFSET(E61,-1,1)</f>
        <v>1</v>
      </c>
      <c r="G61" s="1153"/>
      <c r="H61" s="88" t="s">
        <v>954</v>
      </c>
      <c r="I61" s="1153"/>
      <c r="J61" s="1153"/>
      <c r="K61" s="1153"/>
      <c r="L61" s="1153"/>
      <c r="M61" s="1153"/>
      <c r="N61" s="1153"/>
      <c r="O61" s="1153"/>
      <c r="P61" s="1153"/>
      <c r="Q61" s="1153"/>
      <c r="R61" s="1153"/>
      <c r="S61" s="1153"/>
      <c r="T61" s="439" cm="1" t="str">
        <f t="array" ref="T61:T61">T60</f>
        <v>true</v>
      </c>
      <c r="U61" s="1153"/>
      <c r="V61" s="1153"/>
      <c r="W61" s="1153"/>
      <c r="X61" s="1482"/>
      <c r="Y61" s="1153"/>
      <c r="Z61" s="1465"/>
      <c r="AA61" s="1153"/>
      <c r="AB61" s="266" t="s">
        <v>955</v>
      </c>
      <c r="AC61" s="746" t="s">
        <v>1191</v>
      </c>
      <c r="AD61" s="267" t="s">
        <v>784</v>
      </c>
      <c r="AE61" s="753"/>
      <c r="AF61" s="753"/>
      <c r="AG61" s="753"/>
      <c r="AH61" s="753"/>
      <c r="AI61" s="753"/>
      <c r="AJ61" s="753"/>
      <c r="AK61" s="753"/>
      <c r="AL61" s="2636"/>
      <c r="AM61" s="2636"/>
      <c r="AN61" s="753"/>
      <c r="AO61" s="753"/>
      <c r="AP61" s="753"/>
      <c r="AQ61" s="753"/>
      <c r="AR61" s="753"/>
      <c r="AS61" s="753"/>
      <c r="AT61" s="753"/>
      <c r="AU61" s="753"/>
      <c r="AV61" s="2636"/>
      <c r="AW61" s="2636"/>
      <c r="AX61" s="753"/>
      <c r="AY61" s="753"/>
      <c r="AZ61" s="753"/>
      <c r="BA61" s="753"/>
      <c r="BB61" s="753"/>
      <c r="BC61" s="753"/>
      <c r="BD61" s="753"/>
      <c r="BE61" s="755"/>
      <c r="BF61" s="1153"/>
      <c r="BG61" s="1153"/>
      <c r="BH61" s="980" t="s">
        <v>1123</v>
      </c>
    </row>
    <row s="1621" customFormat="1" customHeight="1" ht="14.25">
      <c r="A62" s="1153"/>
      <c r="B62" s="88"/>
      <c r="C62" s="1153"/>
      <c r="D62" s="1153"/>
      <c r="E62" s="597">
        <v>15</v>
      </c>
      <c r="F62" s="50" cm="1" t="str">
        <f t="array" ref="F62:F62">OFFSET(E62,-1,1)</f>
        <v>1</v>
      </c>
      <c r="G62" s="1153"/>
      <c r="H62" s="88" t="s">
        <v>958</v>
      </c>
      <c r="I62" s="1153"/>
      <c r="J62" s="1153"/>
      <c r="K62" s="90" t="str">
        <f>F62&amp;"1komm"</f>
        <v>11komm</v>
      </c>
      <c r="L62" s="901" cm="1" t="str">
        <f t="array" ref="L62:L62">BE62</f>
        <v>0</v>
      </c>
      <c r="M62" s="1153"/>
      <c r="N62" s="1153"/>
      <c r="O62" s="1153"/>
      <c r="P62" s="1153"/>
      <c r="Q62" s="1153"/>
      <c r="R62" s="1153"/>
      <c r="S62" s="1153"/>
      <c r="T62" s="439" cm="1" t="str">
        <f t="array" ref="T62:T62">T61</f>
        <v>true</v>
      </c>
      <c r="U62" s="1153"/>
      <c r="V62" s="1153"/>
      <c r="W62" s="1153"/>
      <c r="X62" s="1482"/>
      <c r="Y62" s="1153"/>
      <c r="Z62" s="1465"/>
      <c r="AA62" s="1153"/>
      <c r="AB62" s="266" t="s">
        <v>959</v>
      </c>
      <c r="AC62" s="746" t="s">
        <v>1192</v>
      </c>
      <c r="AD62" s="267" t="s">
        <v>784</v>
      </c>
      <c r="AE62" s="753"/>
      <c r="AF62" s="753"/>
      <c r="AG62" s="753"/>
      <c r="AH62" s="753"/>
      <c r="AI62" s="753"/>
      <c r="AJ62" s="753"/>
      <c r="AK62" s="753"/>
      <c r="AL62" s="2636"/>
      <c r="AM62" s="2636"/>
      <c r="AN62" s="753"/>
      <c r="AO62" s="753"/>
      <c r="AP62" s="753"/>
      <c r="AQ62" s="753"/>
      <c r="AR62" s="753"/>
      <c r="AS62" s="753"/>
      <c r="AT62" s="753"/>
      <c r="AU62" s="753"/>
      <c r="AV62" s="2636"/>
      <c r="AW62" s="2636"/>
      <c r="AX62" s="753"/>
      <c r="AY62" s="753"/>
      <c r="AZ62" s="753"/>
      <c r="BA62" s="753"/>
      <c r="BB62" s="753"/>
      <c r="BC62" s="753"/>
      <c r="BD62" s="753"/>
      <c r="BE62" s="755"/>
      <c r="BF62" s="1153"/>
      <c r="BG62" s="1153"/>
      <c r="BH62" s="980" t="s">
        <v>1193</v>
      </c>
    </row>
    <row s="1621" customFormat="1" customHeight="1" ht="14.25">
      <c r="A63" s="1153"/>
      <c r="B63" s="88"/>
      <c r="C63" s="1153"/>
      <c r="D63" s="1153"/>
      <c r="E63" s="597">
        <v>15</v>
      </c>
      <c r="F63" s="50" cm="1" t="str">
        <f t="array" ref="F63:F63">OFFSET(E63,-1,1)</f>
        <v>1</v>
      </c>
      <c r="G63" s="1153"/>
      <c r="H63" s="88" t="s">
        <v>1194</v>
      </c>
      <c r="I63" s="1153"/>
      <c r="J63" s="1153"/>
      <c r="K63" s="1153"/>
      <c r="L63" s="1153"/>
      <c r="M63" s="1153"/>
      <c r="N63" s="1153"/>
      <c r="O63" s="1153"/>
      <c r="P63" s="1153"/>
      <c r="Q63" s="1153"/>
      <c r="R63" s="1153"/>
      <c r="S63" s="1153"/>
      <c r="T63" s="439" cm="1" t="str">
        <f t="array" ref="T63:T63">T62</f>
        <v>true</v>
      </c>
      <c r="U63" s="1153"/>
      <c r="V63" s="1153"/>
      <c r="W63" s="1153"/>
      <c r="X63" s="1482"/>
      <c r="Y63" s="1153"/>
      <c r="Z63" s="1465"/>
      <c r="AA63" s="1153"/>
      <c r="AB63" s="266" t="s">
        <v>1195</v>
      </c>
      <c r="AC63" s="746" t="s">
        <v>1196</v>
      </c>
      <c r="AD63" s="267" t="s">
        <v>784</v>
      </c>
      <c r="AE63" s="753"/>
      <c r="AF63" s="753"/>
      <c r="AG63" s="753"/>
      <c r="AH63" s="753"/>
      <c r="AI63" s="753"/>
      <c r="AJ63" s="753"/>
      <c r="AK63" s="753"/>
      <c r="AL63" s="2636"/>
      <c r="AM63" s="2636"/>
      <c r="AN63" s="753"/>
      <c r="AO63" s="753"/>
      <c r="AP63" s="753"/>
      <c r="AQ63" s="753"/>
      <c r="AR63" s="753"/>
      <c r="AS63" s="753"/>
      <c r="AT63" s="753"/>
      <c r="AU63" s="753"/>
      <c r="AV63" s="2636"/>
      <c r="AW63" s="2636"/>
      <c r="AX63" s="753"/>
      <c r="AY63" s="753"/>
      <c r="AZ63" s="753"/>
      <c r="BA63" s="753"/>
      <c r="BB63" s="753"/>
      <c r="BC63" s="753"/>
      <c r="BD63" s="753"/>
      <c r="BE63" s="755"/>
      <c r="BF63" s="1153"/>
      <c r="BG63" s="1153"/>
      <c r="BH63" s="980" t="s">
        <v>1197</v>
      </c>
    </row>
    <row s="1621" customFormat="1" customHeight="1" ht="14.25">
      <c r="A64" s="1153"/>
      <c r="B64" s="88"/>
      <c r="C64" s="1153"/>
      <c r="D64" s="1153"/>
      <c r="E64" s="597">
        <v>15</v>
      </c>
      <c r="F64" s="50" cm="1" t="str">
        <f t="array" ref="F64:F64">OFFSET(E64,-1,1)</f>
        <v>1</v>
      </c>
      <c r="G64" s="1153"/>
      <c r="H64" s="88" t="s">
        <v>1198</v>
      </c>
      <c r="I64" s="1153"/>
      <c r="J64" s="1153"/>
      <c r="K64" s="1153"/>
      <c r="L64" s="1153"/>
      <c r="M64" s="1153"/>
      <c r="N64" s="1153"/>
      <c r="O64" s="1153"/>
      <c r="P64" s="1153"/>
      <c r="Q64" s="1153"/>
      <c r="R64" s="1153"/>
      <c r="S64" s="1153"/>
      <c r="T64" s="439" cm="1" t="str">
        <f t="array" ref="T64:T64">T63</f>
        <v>true</v>
      </c>
      <c r="U64" s="1153"/>
      <c r="V64" s="1153"/>
      <c r="W64" s="1153"/>
      <c r="X64" s="1482"/>
      <c r="Y64" s="1153"/>
      <c r="Z64" s="1465"/>
      <c r="AA64" s="1153"/>
      <c r="AB64" s="266" t="s">
        <v>1199</v>
      </c>
      <c r="AC64" s="746" t="s">
        <v>1200</v>
      </c>
      <c r="AD64" s="267" t="s">
        <v>784</v>
      </c>
      <c r="AE64" s="753"/>
      <c r="AF64" s="753"/>
      <c r="AG64" s="753"/>
      <c r="AH64" s="753"/>
      <c r="AI64" s="753"/>
      <c r="AJ64" s="753"/>
      <c r="AK64" s="753"/>
      <c r="AL64" s="2636"/>
      <c r="AM64" s="2636"/>
      <c r="AN64" s="753"/>
      <c r="AO64" s="753"/>
      <c r="AP64" s="753"/>
      <c r="AQ64" s="753"/>
      <c r="AR64" s="753"/>
      <c r="AS64" s="753"/>
      <c r="AT64" s="753"/>
      <c r="AU64" s="753"/>
      <c r="AV64" s="2636"/>
      <c r="AW64" s="2636"/>
      <c r="AX64" s="753"/>
      <c r="AY64" s="753"/>
      <c r="AZ64" s="753"/>
      <c r="BA64" s="753"/>
      <c r="BB64" s="753"/>
      <c r="BC64" s="753"/>
      <c r="BD64" s="753"/>
      <c r="BE64" s="755"/>
      <c r="BF64" s="1153"/>
      <c r="BG64" s="1153"/>
      <c r="BH64" s="980" t="s">
        <v>1201</v>
      </c>
    </row>
    <row s="1621" customFormat="1" customHeight="1" ht="21.75">
      <c r="A65" s="1153"/>
      <c r="B65" s="88"/>
      <c r="C65" s="1153"/>
      <c r="D65" s="1153"/>
      <c r="E65" s="597">
        <v>22.5</v>
      </c>
      <c r="F65" s="50" cm="1" t="str">
        <f t="array" ref="F65:F65">OFFSET(E65,-1,1)</f>
        <v>1</v>
      </c>
      <c r="G65" s="1153"/>
      <c r="H65" s="1153"/>
      <c r="I65" s="1153"/>
      <c r="J65" s="1153"/>
      <c r="K65" s="1153"/>
      <c r="L65" s="1153"/>
      <c r="M65" s="1153"/>
      <c r="N65" s="1153"/>
      <c r="O65" s="1153"/>
      <c r="P65" s="1153"/>
      <c r="Q65" s="1153"/>
      <c r="R65" s="1153"/>
      <c r="S65" s="1153"/>
      <c r="T65" s="439" cm="1" t="str">
        <f t="array" ref="T65:T65">T64</f>
        <v>true</v>
      </c>
      <c r="U65" s="1153"/>
      <c r="V65" s="1153"/>
      <c r="W65" s="1153"/>
      <c r="X65" s="1482"/>
      <c r="Y65" s="1153"/>
      <c r="Z65" s="1465"/>
      <c r="AA65" s="1153"/>
      <c r="AB65" s="266" t="s">
        <v>1202</v>
      </c>
      <c r="AC65" s="746" t="s">
        <v>1203</v>
      </c>
      <c r="AD65" s="267" t="s">
        <v>784</v>
      </c>
      <c r="AE65" s="753">
        <f>AE66+AE67+AE68+AE69</f>
        <v>0</v>
      </c>
      <c r="AF65" s="753">
        <f>AF66+AF67+AF68+AF69</f>
        <v>0</v>
      </c>
      <c r="AG65" s="753">
        <f>AG66+AG67+AG68+AG69</f>
        <v>0</v>
      </c>
      <c r="AH65" s="753">
        <f>AH66+AH67+AH68+AH69</f>
        <v>0</v>
      </c>
      <c r="AI65" s="753">
        <f>AI66+AI67+AI68+AI69</f>
        <v>0</v>
      </c>
      <c r="AJ65" s="753">
        <f>AJ66+AJ67+AJ68+AJ69</f>
        <v>0</v>
      </c>
      <c r="AK65" s="753">
        <f>AK66+AK67+AK68+AK69</f>
        <v>0</v>
      </c>
      <c r="AL65" s="2636">
        <f>AL66+AL67+AL68+AL69</f>
        <v>0</v>
      </c>
      <c r="AM65" s="2636">
        <f>AM66+AM67+AM68+AM69</f>
        <v>0</v>
      </c>
      <c r="AN65" s="753">
        <f>AN66+AN67+AN68+AN69</f>
        <v>0</v>
      </c>
      <c r="AO65" s="753">
        <f>AO66+AO67+AO68+AO69</f>
        <v>0</v>
      </c>
      <c r="AP65" s="753">
        <f>AP66+AP67+AP68+AP69</f>
        <v>0</v>
      </c>
      <c r="AQ65" s="753">
        <f>AQ66+AQ67+AQ68+AQ69</f>
        <v>0</v>
      </c>
      <c r="AR65" s="753">
        <f>AR66+AR67+AR68+AR69</f>
        <v>0</v>
      </c>
      <c r="AS65" s="753">
        <f>AS66+AS67+AS68+AS69</f>
        <v>0</v>
      </c>
      <c r="AT65" s="753">
        <f>AT66+AT67+AT68+AT69</f>
        <v>0</v>
      </c>
      <c r="AU65" s="753">
        <f>AU66+AU67+AU68+AU69</f>
        <v>0</v>
      </c>
      <c r="AV65" s="2636">
        <f>AV66+AV67+AV68+AV69</f>
        <v>0</v>
      </c>
      <c r="AW65" s="2636">
        <f>AW66+AW67+AW68+AW69</f>
        <v>0</v>
      </c>
      <c r="AX65" s="753">
        <f>AX66+AX67+AX68+AX69</f>
        <v>0</v>
      </c>
      <c r="AY65" s="753">
        <f>AY66+AY67+AY68+AY69</f>
        <v>0</v>
      </c>
      <c r="AZ65" s="753">
        <f>AZ66+AZ67+AZ68+AZ69</f>
        <v>0</v>
      </c>
      <c r="BA65" s="753">
        <f>BA66+BA67+BA68+BA69</f>
        <v>0</v>
      </c>
      <c r="BB65" s="753">
        <f>BB66+BB67+BB68+BB69</f>
        <v>0</v>
      </c>
      <c r="BC65" s="753">
        <f>BC66+BC67+BC68+BC69</f>
        <v>0</v>
      </c>
      <c r="BD65" s="753">
        <f>BD66+BD67+BD68+BD69</f>
        <v>0</v>
      </c>
      <c r="BE65" s="755"/>
      <c r="BF65" s="1153"/>
      <c r="BG65" s="1153"/>
      <c r="BH65" s="980" t="s">
        <v>1204</v>
      </c>
    </row>
    <row s="1621" customFormat="1" customHeight="1" ht="44.25">
      <c r="A66" s="1153"/>
      <c r="B66" s="88"/>
      <c r="C66" s="1153"/>
      <c r="D66" s="1153"/>
      <c r="E66" s="597">
        <v>45.75</v>
      </c>
      <c r="F66" s="50" cm="1" t="str">
        <f t="array" ref="F66:F66">OFFSET(E66,-1,1)</f>
        <v>1</v>
      </c>
      <c r="G66" s="1153"/>
      <c r="H66" s="1153"/>
      <c r="I66" s="1153"/>
      <c r="J66" s="1153"/>
      <c r="K66" s="1153"/>
      <c r="L66" s="1153"/>
      <c r="M66" s="1153"/>
      <c r="N66" s="1153"/>
      <c r="O66" s="1153"/>
      <c r="P66" s="1153"/>
      <c r="Q66" s="1153"/>
      <c r="R66" s="1153"/>
      <c r="S66" s="1153"/>
      <c r="T66" s="439" cm="1" t="str">
        <f t="array" ref="T66:T66">T65</f>
        <v>true</v>
      </c>
      <c r="U66" s="1153"/>
      <c r="V66" s="1153"/>
      <c r="W66" s="1153"/>
      <c r="X66" s="1482"/>
      <c r="Y66" s="1153"/>
      <c r="Z66" s="1465"/>
      <c r="AA66" s="1153"/>
      <c r="AB66" s="266" t="s">
        <v>1205</v>
      </c>
      <c r="AC66" s="749" t="s">
        <v>1206</v>
      </c>
      <c r="AD66" s="267" t="s">
        <v>784</v>
      </c>
      <c r="AE66" s="753"/>
      <c r="AF66" s="753"/>
      <c r="AG66" s="753"/>
      <c r="AH66" s="753"/>
      <c r="AI66" s="753"/>
      <c r="AJ66" s="753"/>
      <c r="AK66" s="753"/>
      <c r="AL66" s="2636"/>
      <c r="AM66" s="2636"/>
      <c r="AN66" s="753"/>
      <c r="AO66" s="753"/>
      <c r="AP66" s="753"/>
      <c r="AQ66" s="753"/>
      <c r="AR66" s="753"/>
      <c r="AS66" s="753"/>
      <c r="AT66" s="753"/>
      <c r="AU66" s="753"/>
      <c r="AV66" s="2636"/>
      <c r="AW66" s="2636"/>
      <c r="AX66" s="753"/>
      <c r="AY66" s="753"/>
      <c r="AZ66" s="753"/>
      <c r="BA66" s="753"/>
      <c r="BB66" s="753"/>
      <c r="BC66" s="753"/>
      <c r="BD66" s="753"/>
      <c r="BE66" s="755"/>
      <c r="BF66" s="1153"/>
      <c r="BG66" s="1153"/>
      <c r="BH66" s="980" t="s">
        <v>1207</v>
      </c>
    </row>
    <row s="1621" customFormat="1" customHeight="1" ht="44.25">
      <c r="A67" s="1153"/>
      <c r="B67" s="88"/>
      <c r="C67" s="1153"/>
      <c r="D67" s="1153"/>
      <c r="E67" s="597">
        <v>45.75</v>
      </c>
      <c r="F67" s="50" cm="1" t="str">
        <f t="array" ref="F67:F67">OFFSET(E67,-1,1)</f>
        <v>1</v>
      </c>
      <c r="G67" s="1153"/>
      <c r="H67" s="1153"/>
      <c r="I67" s="1153"/>
      <c r="J67" s="1153"/>
      <c r="K67" s="1153"/>
      <c r="L67" s="1153"/>
      <c r="M67" s="1153"/>
      <c r="N67" s="1153"/>
      <c r="O67" s="1153"/>
      <c r="P67" s="1153"/>
      <c r="Q67" s="1153"/>
      <c r="R67" s="1153"/>
      <c r="S67" s="1153"/>
      <c r="T67" s="439" cm="1" t="str">
        <f t="array" ref="T67:T67">T66</f>
        <v>true</v>
      </c>
      <c r="U67" s="1153"/>
      <c r="V67" s="1153"/>
      <c r="W67" s="1153"/>
      <c r="X67" s="1482"/>
      <c r="Y67" s="1153"/>
      <c r="Z67" s="1465"/>
      <c r="AA67" s="1153"/>
      <c r="AB67" s="266" t="s">
        <v>1208</v>
      </c>
      <c r="AC67" s="749" t="s">
        <v>1209</v>
      </c>
      <c r="AD67" s="267" t="s">
        <v>784</v>
      </c>
      <c r="AE67" s="753"/>
      <c r="AF67" s="753"/>
      <c r="AG67" s="753"/>
      <c r="AH67" s="753"/>
      <c r="AI67" s="753"/>
      <c r="AJ67" s="753"/>
      <c r="AK67" s="753"/>
      <c r="AL67" s="2636"/>
      <c r="AM67" s="2636"/>
      <c r="AN67" s="753"/>
      <c r="AO67" s="753"/>
      <c r="AP67" s="753"/>
      <c r="AQ67" s="753"/>
      <c r="AR67" s="753"/>
      <c r="AS67" s="753"/>
      <c r="AT67" s="753"/>
      <c r="AU67" s="753"/>
      <c r="AV67" s="2636"/>
      <c r="AW67" s="2636"/>
      <c r="AX67" s="753"/>
      <c r="AY67" s="753"/>
      <c r="AZ67" s="753"/>
      <c r="BA67" s="753"/>
      <c r="BB67" s="753"/>
      <c r="BC67" s="753"/>
      <c r="BD67" s="753"/>
      <c r="BE67" s="755"/>
      <c r="BF67" s="1153"/>
      <c r="BG67" s="1153"/>
      <c r="BH67" s="980" t="s">
        <v>1210</v>
      </c>
    </row>
    <row s="1621" customFormat="1" customHeight="1" ht="44.25">
      <c r="A68" s="1153"/>
      <c r="B68" s="88"/>
      <c r="C68" s="1153"/>
      <c r="D68" s="1153"/>
      <c r="E68" s="597">
        <v>45.75</v>
      </c>
      <c r="F68" s="50" cm="1" t="str">
        <f t="array" ref="F68:F68">OFFSET(E68,-1,1)</f>
        <v>1</v>
      </c>
      <c r="G68" s="1153"/>
      <c r="H68" s="1153"/>
      <c r="I68" s="1153"/>
      <c r="J68" s="1153"/>
      <c r="K68" s="1153"/>
      <c r="L68" s="1153"/>
      <c r="M68" s="1153"/>
      <c r="N68" s="1153"/>
      <c r="O68" s="1153"/>
      <c r="P68" s="1153"/>
      <c r="Q68" s="1153"/>
      <c r="R68" s="1153"/>
      <c r="S68" s="1153"/>
      <c r="T68" s="439" cm="1" t="str">
        <f t="array" ref="T68:T68">T67</f>
        <v>true</v>
      </c>
      <c r="U68" s="1153"/>
      <c r="V68" s="1153"/>
      <c r="W68" s="1153"/>
      <c r="X68" s="1482"/>
      <c r="Y68" s="1153"/>
      <c r="Z68" s="1465"/>
      <c r="AA68" s="1153"/>
      <c r="AB68" s="266" t="s">
        <v>1211</v>
      </c>
      <c r="AC68" s="749" t="s">
        <v>1212</v>
      </c>
      <c r="AD68" s="267" t="s">
        <v>784</v>
      </c>
      <c r="AE68" s="753"/>
      <c r="AF68" s="753"/>
      <c r="AG68" s="753"/>
      <c r="AH68" s="753"/>
      <c r="AI68" s="753"/>
      <c r="AJ68" s="753"/>
      <c r="AK68" s="753"/>
      <c r="AL68" s="2636"/>
      <c r="AM68" s="2636"/>
      <c r="AN68" s="753"/>
      <c r="AO68" s="753"/>
      <c r="AP68" s="753"/>
      <c r="AQ68" s="753"/>
      <c r="AR68" s="753"/>
      <c r="AS68" s="753"/>
      <c r="AT68" s="753"/>
      <c r="AU68" s="753"/>
      <c r="AV68" s="2636"/>
      <c r="AW68" s="2636"/>
      <c r="AX68" s="753"/>
      <c r="AY68" s="753"/>
      <c r="AZ68" s="753"/>
      <c r="BA68" s="753"/>
      <c r="BB68" s="753"/>
      <c r="BC68" s="753"/>
      <c r="BD68" s="753"/>
      <c r="BE68" s="755"/>
      <c r="BF68" s="1153"/>
      <c r="BG68" s="1153"/>
      <c r="BH68" s="980" t="s">
        <v>1213</v>
      </c>
    </row>
    <row s="1621" customFormat="1" customHeight="1" ht="21.75">
      <c r="A69" s="1153"/>
      <c r="B69" s="88"/>
      <c r="C69" s="1153"/>
      <c r="D69" s="1153"/>
      <c r="E69" s="597">
        <v>22.5</v>
      </c>
      <c r="F69" s="50" cm="1" t="str">
        <f t="array" ref="F69:F69">OFFSET(E69,-1,1)</f>
        <v>1</v>
      </c>
      <c r="G69" s="1153"/>
      <c r="H69" s="1153"/>
      <c r="I69" s="1153"/>
      <c r="J69" s="1153"/>
      <c r="K69" s="1153"/>
      <c r="L69" s="1153"/>
      <c r="M69" s="1153"/>
      <c r="N69" s="1153"/>
      <c r="O69" s="1153"/>
      <c r="P69" s="1153"/>
      <c r="Q69" s="1153"/>
      <c r="R69" s="1153"/>
      <c r="S69" s="1153"/>
      <c r="T69" s="439" cm="1" t="str">
        <f t="array" ref="T69:T69">T68</f>
        <v>true</v>
      </c>
      <c r="U69" s="1153"/>
      <c r="V69" s="1153"/>
      <c r="W69" s="1153"/>
      <c r="X69" s="1482"/>
      <c r="Y69" s="1153"/>
      <c r="Z69" s="1465"/>
      <c r="AA69" s="1153"/>
      <c r="AB69" s="266" t="s">
        <v>1214</v>
      </c>
      <c r="AC69" s="749" t="s">
        <v>1215</v>
      </c>
      <c r="AD69" s="267" t="s">
        <v>784</v>
      </c>
      <c r="AE69" s="753"/>
      <c r="AF69" s="753"/>
      <c r="AG69" s="753"/>
      <c r="AH69" s="753"/>
      <c r="AI69" s="753"/>
      <c r="AJ69" s="753"/>
      <c r="AK69" s="753"/>
      <c r="AL69" s="2636"/>
      <c r="AM69" s="2636"/>
      <c r="AN69" s="753"/>
      <c r="AO69" s="753"/>
      <c r="AP69" s="753"/>
      <c r="AQ69" s="753"/>
      <c r="AR69" s="753"/>
      <c r="AS69" s="753"/>
      <c r="AT69" s="753"/>
      <c r="AU69" s="753"/>
      <c r="AV69" s="2636"/>
      <c r="AW69" s="2636"/>
      <c r="AX69" s="753"/>
      <c r="AY69" s="753"/>
      <c r="AZ69" s="753"/>
      <c r="BA69" s="753"/>
      <c r="BB69" s="753"/>
      <c r="BC69" s="753"/>
      <c r="BD69" s="753"/>
      <c r="BE69" s="755"/>
      <c r="BF69" s="1153"/>
      <c r="BG69" s="1153"/>
      <c r="BH69" s="980" t="s">
        <v>1216</v>
      </c>
    </row>
    <row s="1621" customFormat="1" customHeight="1" ht="14.25">
      <c r="A70" s="1153"/>
      <c r="B70" s="88"/>
      <c r="C70" s="1153"/>
      <c r="D70" s="1153"/>
      <c r="E70" s="597">
        <v>15</v>
      </c>
      <c r="F70" s="50" cm="1" t="str">
        <f t="array" ref="F70:F70">OFFSET(E70,-1,1)</f>
        <v>1</v>
      </c>
      <c r="G70" s="1153"/>
      <c r="H70" s="88" t="s">
        <v>445</v>
      </c>
      <c r="I70" s="1153"/>
      <c r="J70" s="1153"/>
      <c r="K70" s="1153"/>
      <c r="L70" s="1153"/>
      <c r="M70" s="1153"/>
      <c r="N70" s="1153"/>
      <c r="O70" s="1153"/>
      <c r="P70" s="1153"/>
      <c r="Q70" s="1153"/>
      <c r="R70" s="1153"/>
      <c r="S70" s="1153"/>
      <c r="T70" s="439" cm="1" t="str">
        <f t="array" ref="T70:T70">T69</f>
        <v>true</v>
      </c>
      <c r="U70" s="1153"/>
      <c r="V70" s="1153"/>
      <c r="W70" s="1153"/>
      <c r="X70" s="1482"/>
      <c r="Y70" s="1153"/>
      <c r="Z70" s="1465"/>
      <c r="AA70" s="1153"/>
      <c r="AB70" s="266" t="s">
        <v>848</v>
      </c>
      <c r="AC70" s="743" t="s">
        <v>1217</v>
      </c>
      <c r="AD70" s="267" t="s">
        <v>784</v>
      </c>
      <c r="AE70" s="764">
        <f>AE71+AE72+AE73</f>
        <v>0</v>
      </c>
      <c r="AF70" s="764">
        <f>AF71+AF72+AF73</f>
        <v>0</v>
      </c>
      <c r="AG70" s="764">
        <f>AG71+AG72+AG73</f>
        <v>0</v>
      </c>
      <c r="AH70" s="764">
        <f>AH71+AH72+AH73</f>
        <v>0</v>
      </c>
      <c r="AI70" s="764">
        <f>AI71+AI72+AI73</f>
        <v>0</v>
      </c>
      <c r="AJ70" s="764">
        <f>AJ71+AJ72+AJ73</f>
        <v>0</v>
      </c>
      <c r="AK70" s="764">
        <f>AK71+AK72+AK73</f>
        <v>0</v>
      </c>
      <c r="AL70" s="764">
        <f>AL71+AL72+AL73</f>
        <v>0</v>
      </c>
      <c r="AM70" s="764">
        <f>AM71+AM72+AM73</f>
        <v>0</v>
      </c>
      <c r="AN70" s="764">
        <f>AN71+AN72+AN73</f>
        <v>0</v>
      </c>
      <c r="AO70" s="764">
        <f>AO71+AO72+AO73</f>
        <v>0</v>
      </c>
      <c r="AP70" s="764">
        <f>AP71+AP72+AP73</f>
        <v>0</v>
      </c>
      <c r="AQ70" s="764">
        <f>AQ71+AQ72+AQ73</f>
        <v>0</v>
      </c>
      <c r="AR70" s="764">
        <f>AR71+AR72+AR73</f>
        <v>0</v>
      </c>
      <c r="AS70" s="764">
        <f>AS71+AS72+AS73</f>
        <v>0</v>
      </c>
      <c r="AT70" s="764">
        <f>AT71+AT72+AT73</f>
        <v>0</v>
      </c>
      <c r="AU70" s="764">
        <f>AU71+AU72+AU73</f>
        <v>0</v>
      </c>
      <c r="AV70" s="764">
        <f>AV71+AV72+AV73</f>
        <v>0</v>
      </c>
      <c r="AW70" s="764">
        <f>AW71+AW72+AW73</f>
        <v>0</v>
      </c>
      <c r="AX70" s="764">
        <f>AX71+AX72+AX73</f>
        <v>0</v>
      </c>
      <c r="AY70" s="764">
        <f>AY71+AY72+AY73</f>
        <v>0</v>
      </c>
      <c r="AZ70" s="764">
        <f>AZ71+AZ72+AZ73</f>
        <v>0</v>
      </c>
      <c r="BA70" s="764">
        <f>BA71+BA72+BA73</f>
        <v>0</v>
      </c>
      <c r="BB70" s="764">
        <f>BB71+BB72+BB73</f>
        <v>0</v>
      </c>
      <c r="BC70" s="764">
        <f>BC71+BC72+BC73</f>
        <v>0</v>
      </c>
      <c r="BD70" s="764">
        <f>BD71+BD72+BD73</f>
        <v>0</v>
      </c>
      <c r="BE70" s="755"/>
      <c r="BF70" s="1153"/>
      <c r="BG70" s="1153"/>
      <c r="BH70" s="980" t="s">
        <v>1218</v>
      </c>
    </row>
    <row s="1621" customFormat="1" customHeight="1" ht="14.25">
      <c r="A71" s="1153"/>
      <c r="B71" s="88"/>
      <c r="C71" s="1153"/>
      <c r="D71" s="1153"/>
      <c r="E71" s="597">
        <v>15</v>
      </c>
      <c r="F71" s="50" cm="1" t="str">
        <f t="array" ref="F71:F71">OFFSET(E71,-1,1)</f>
        <v>1</v>
      </c>
      <c r="G71" s="1153"/>
      <c r="H71" s="88" t="s">
        <v>1219</v>
      </c>
      <c r="I71" s="1153"/>
      <c r="J71" s="1153"/>
      <c r="K71" s="1153"/>
      <c r="L71" s="1153"/>
      <c r="M71" s="1153"/>
      <c r="N71" s="1153"/>
      <c r="O71" s="1153"/>
      <c r="P71" s="1153"/>
      <c r="Q71" s="1153"/>
      <c r="R71" s="1153"/>
      <c r="S71" s="1153"/>
      <c r="T71" s="439" cm="1" t="str">
        <f t="array" ref="T71:T71">T70</f>
        <v>true</v>
      </c>
      <c r="U71" s="1153"/>
      <c r="V71" s="1153"/>
      <c r="W71" s="1153"/>
      <c r="X71" s="1482"/>
      <c r="Y71" s="1153"/>
      <c r="Z71" s="1465"/>
      <c r="AA71" s="1153"/>
      <c r="AB71" s="266" t="s">
        <v>1220</v>
      </c>
      <c r="AC71" s="746" t="s">
        <v>1221</v>
      </c>
      <c r="AD71" s="267" t="s">
        <v>784</v>
      </c>
      <c r="AE71" s="753"/>
      <c r="AF71" s="753"/>
      <c r="AG71" s="753"/>
      <c r="AH71" s="753"/>
      <c r="AI71" s="753"/>
      <c r="AJ71" s="753"/>
      <c r="AK71" s="753"/>
      <c r="AL71" s="2636"/>
      <c r="AM71" s="2636"/>
      <c r="AN71" s="753"/>
      <c r="AO71" s="753"/>
      <c r="AP71" s="753"/>
      <c r="AQ71" s="753"/>
      <c r="AR71" s="753"/>
      <c r="AS71" s="753"/>
      <c r="AT71" s="753"/>
      <c r="AU71" s="753"/>
      <c r="AV71" s="2636"/>
      <c r="AW71" s="2636"/>
      <c r="AX71" s="753"/>
      <c r="AY71" s="753"/>
      <c r="AZ71" s="753"/>
      <c r="BA71" s="753"/>
      <c r="BB71" s="753"/>
      <c r="BC71" s="753"/>
      <c r="BD71" s="753"/>
      <c r="BE71" s="755"/>
      <c r="BF71" s="1153"/>
      <c r="BG71" s="1153"/>
      <c r="BH71" s="980" t="s">
        <v>1144</v>
      </c>
    </row>
    <row s="1621" customFormat="1" customHeight="1" ht="14.25">
      <c r="A72" s="1153"/>
      <c r="B72" s="88"/>
      <c r="C72" s="1153"/>
      <c r="D72" s="1153"/>
      <c r="E72" s="597">
        <v>15</v>
      </c>
      <c r="F72" s="50" cm="1" t="str">
        <f t="array" ref="F72:F72">OFFSET(E72,-1,1)</f>
        <v>1</v>
      </c>
      <c r="G72" s="1153"/>
      <c r="H72" s="88" t="s">
        <v>1222</v>
      </c>
      <c r="I72" s="1153"/>
      <c r="J72" s="1153"/>
      <c r="K72" s="1153"/>
      <c r="L72" s="1153"/>
      <c r="M72" s="1153"/>
      <c r="N72" s="1153"/>
      <c r="O72" s="1153"/>
      <c r="P72" s="1153"/>
      <c r="Q72" s="1153"/>
      <c r="R72" s="1153"/>
      <c r="S72" s="1153"/>
      <c r="T72" s="439" cm="1" t="str">
        <f t="array" ref="T72:T72">T71</f>
        <v>true</v>
      </c>
      <c r="U72" s="1153"/>
      <c r="V72" s="1153"/>
      <c r="W72" s="1153"/>
      <c r="X72" s="1482"/>
      <c r="Y72" s="1153"/>
      <c r="Z72" s="1465"/>
      <c r="AA72" s="1153"/>
      <c r="AB72" s="266" t="s">
        <v>1223</v>
      </c>
      <c r="AC72" s="746" t="s">
        <v>1224</v>
      </c>
      <c r="AD72" s="267" t="s">
        <v>784</v>
      </c>
      <c r="AE72" s="753"/>
      <c r="AF72" s="753"/>
      <c r="AG72" s="753"/>
      <c r="AH72" s="753"/>
      <c r="AI72" s="753"/>
      <c r="AJ72" s="753"/>
      <c r="AK72" s="753"/>
      <c r="AL72" s="2636"/>
      <c r="AM72" s="2636"/>
      <c r="AN72" s="753"/>
      <c r="AO72" s="753"/>
      <c r="AP72" s="753"/>
      <c r="AQ72" s="753"/>
      <c r="AR72" s="753"/>
      <c r="AS72" s="753"/>
      <c r="AT72" s="753"/>
      <c r="AU72" s="753"/>
      <c r="AV72" s="2636"/>
      <c r="AW72" s="2636"/>
      <c r="AX72" s="753"/>
      <c r="AY72" s="753"/>
      <c r="AZ72" s="753"/>
      <c r="BA72" s="753"/>
      <c r="BB72" s="753"/>
      <c r="BC72" s="753"/>
      <c r="BD72" s="753"/>
      <c r="BE72" s="755"/>
      <c r="BF72" s="1153"/>
      <c r="BG72" s="1153"/>
      <c r="BH72" s="980" t="s">
        <v>1225</v>
      </c>
    </row>
    <row s="1621" customFormat="1" customHeight="1" ht="14.25">
      <c r="A73" s="1153"/>
      <c r="B73" s="88"/>
      <c r="C73" s="1153"/>
      <c r="D73" s="1153"/>
      <c r="E73" s="597">
        <v>15</v>
      </c>
      <c r="F73" s="50" cm="1" t="str">
        <f t="array" ref="F73:F73">OFFSET(E73,-1,1)</f>
        <v>1</v>
      </c>
      <c r="G73" s="1153"/>
      <c r="H73" s="88" t="s">
        <v>1226</v>
      </c>
      <c r="I73" s="1153"/>
      <c r="J73" s="1153"/>
      <c r="K73" s="1153"/>
      <c r="L73" s="1153"/>
      <c r="M73" s="1153"/>
      <c r="N73" s="1153"/>
      <c r="O73" s="1153"/>
      <c r="P73" s="1153"/>
      <c r="Q73" s="1153"/>
      <c r="R73" s="1153"/>
      <c r="S73" s="1153"/>
      <c r="T73" s="439" cm="1" t="str">
        <f t="array" ref="T73:T73">T72</f>
        <v>true</v>
      </c>
      <c r="U73" s="1153"/>
      <c r="V73" s="1153"/>
      <c r="W73" s="1153"/>
      <c r="X73" s="1482"/>
      <c r="Y73" s="1153"/>
      <c r="Z73" s="1465"/>
      <c r="AA73" s="1153"/>
      <c r="AB73" s="266" t="s">
        <v>1227</v>
      </c>
      <c r="AC73" s="746" t="s">
        <v>1228</v>
      </c>
      <c r="AD73" s="267" t="s">
        <v>784</v>
      </c>
      <c r="AE73" s="753"/>
      <c r="AF73" s="753"/>
      <c r="AG73" s="753"/>
      <c r="AH73" s="753"/>
      <c r="AI73" s="753"/>
      <c r="AJ73" s="753"/>
      <c r="AK73" s="753"/>
      <c r="AL73" s="2636"/>
      <c r="AM73" s="2636"/>
      <c r="AN73" s="753"/>
      <c r="AO73" s="753"/>
      <c r="AP73" s="753"/>
      <c r="AQ73" s="753"/>
      <c r="AR73" s="753"/>
      <c r="AS73" s="753"/>
      <c r="AT73" s="753"/>
      <c r="AU73" s="753"/>
      <c r="AV73" s="2636"/>
      <c r="AW73" s="2636"/>
      <c r="AX73" s="753"/>
      <c r="AY73" s="753"/>
      <c r="AZ73" s="753"/>
      <c r="BA73" s="753"/>
      <c r="BB73" s="753"/>
      <c r="BC73" s="753"/>
      <c r="BD73" s="753"/>
      <c r="BE73" s="755"/>
      <c r="BF73" s="1153"/>
      <c r="BG73" s="1153"/>
      <c r="BH73" s="980" t="s">
        <v>1229</v>
      </c>
    </row>
    <row s="1621" customFormat="1" customHeight="1" ht="14.25">
      <c r="A74" s="1153"/>
      <c r="B74" s="88"/>
      <c r="C74" s="1153"/>
      <c r="D74" s="1153"/>
      <c r="E74" s="597">
        <v>15</v>
      </c>
      <c r="F74" s="50" cm="1" t="str">
        <f t="array" ref="F74:F74">OFFSET(E74,-1,1)</f>
        <v>1</v>
      </c>
      <c r="G74" s="1153"/>
      <c r="H74" s="88" t="s">
        <v>448</v>
      </c>
      <c r="I74" s="1153"/>
      <c r="J74" s="1153"/>
      <c r="K74" s="1153"/>
      <c r="L74" s="1153"/>
      <c r="M74" s="1153"/>
      <c r="N74" s="1153"/>
      <c r="O74" s="1153"/>
      <c r="P74" s="1153"/>
      <c r="Q74" s="1153"/>
      <c r="R74" s="1153"/>
      <c r="S74" s="1153"/>
      <c r="T74" s="439" cm="1" t="str">
        <f t="array" ref="T74:T74">T73</f>
        <v>true</v>
      </c>
      <c r="U74" s="1153"/>
      <c r="V74" s="1153"/>
      <c r="W74" s="1153"/>
      <c r="X74" s="1482"/>
      <c r="Y74" s="1153"/>
      <c r="Z74" s="1465"/>
      <c r="AA74" s="1153"/>
      <c r="AB74" s="266" t="s">
        <v>851</v>
      </c>
      <c r="AC74" s="743" t="s">
        <v>1230</v>
      </c>
      <c r="AD74" s="267" t="s">
        <v>784</v>
      </c>
      <c r="AE74" s="764">
        <f>AE75+AE76+AE77</f>
        <v>0</v>
      </c>
      <c r="AF74" s="764">
        <f>AF75+AF76+AF77</f>
        <v>0</v>
      </c>
      <c r="AG74" s="764">
        <f>AG75+AG76+AG77</f>
        <v>0</v>
      </c>
      <c r="AH74" s="764">
        <f>AH75+AH76+AH77</f>
        <v>0</v>
      </c>
      <c r="AI74" s="764">
        <f>AI75+AI76+AI77</f>
        <v>0</v>
      </c>
      <c r="AJ74" s="764">
        <f>AJ75+AJ76+AJ77</f>
        <v>0</v>
      </c>
      <c r="AK74" s="764">
        <f>AK75+AK76+AK77</f>
        <v>0</v>
      </c>
      <c r="AL74" s="764">
        <f>AL75+AL76+AL77</f>
        <v>0</v>
      </c>
      <c r="AM74" s="764">
        <f>AM75+AM76+AM77</f>
        <v>0</v>
      </c>
      <c r="AN74" s="764">
        <f>AN75+AN76+AN77</f>
        <v>0</v>
      </c>
      <c r="AO74" s="764">
        <f>AO75+AO76+AO77</f>
        <v>0</v>
      </c>
      <c r="AP74" s="764">
        <f>AP75+AP76+AP77</f>
        <v>0</v>
      </c>
      <c r="AQ74" s="764">
        <f>AQ75+AQ76+AQ77</f>
        <v>0</v>
      </c>
      <c r="AR74" s="764">
        <f>AR75+AR76+AR77</f>
        <v>0</v>
      </c>
      <c r="AS74" s="764">
        <f>AS75+AS76+AS77</f>
        <v>0</v>
      </c>
      <c r="AT74" s="764">
        <f>AT75+AT76+AT77</f>
        <v>0</v>
      </c>
      <c r="AU74" s="764">
        <f>AU75+AU76+AU77</f>
        <v>0</v>
      </c>
      <c r="AV74" s="764">
        <f>AV75+AV76+AV77</f>
        <v>0</v>
      </c>
      <c r="AW74" s="764">
        <f>AW75+AW76+AW77</f>
        <v>0</v>
      </c>
      <c r="AX74" s="764">
        <f>AX75+AX76+AX77</f>
        <v>0</v>
      </c>
      <c r="AY74" s="764">
        <f>AY75+AY76+AY77</f>
        <v>0</v>
      </c>
      <c r="AZ74" s="764">
        <f>AZ75+AZ76+AZ77</f>
        <v>0</v>
      </c>
      <c r="BA74" s="764">
        <f>BA75+BA76+BA77</f>
        <v>0</v>
      </c>
      <c r="BB74" s="764">
        <f>BB75+BB76+BB77</f>
        <v>0</v>
      </c>
      <c r="BC74" s="764">
        <f>BC75+BC76+BC77</f>
        <v>0</v>
      </c>
      <c r="BD74" s="764">
        <f>BD75+BD76+BD77</f>
        <v>0</v>
      </c>
      <c r="BE74" s="755"/>
      <c r="BF74" s="1153"/>
      <c r="BG74" s="1153"/>
      <c r="BH74" s="980" t="s">
        <v>1231</v>
      </c>
    </row>
    <row s="1621" customFormat="1" customHeight="1" ht="14.25">
      <c r="A75" s="1153"/>
      <c r="B75" s="88"/>
      <c r="C75" s="1153"/>
      <c r="D75" s="1153"/>
      <c r="E75" s="597">
        <v>15</v>
      </c>
      <c r="F75" s="50" cm="1" t="str">
        <f t="array" ref="F75:F75">OFFSET(E75,-1,1)</f>
        <v>1</v>
      </c>
      <c r="G75" s="1153"/>
      <c r="H75" s="88" t="s">
        <v>1232</v>
      </c>
      <c r="I75" s="1153"/>
      <c r="J75" s="1153"/>
      <c r="K75" s="1153"/>
      <c r="L75" s="1153"/>
      <c r="M75" s="1153"/>
      <c r="N75" s="1153"/>
      <c r="O75" s="1153"/>
      <c r="P75" s="1153"/>
      <c r="Q75" s="1153"/>
      <c r="R75" s="1153"/>
      <c r="S75" s="1153"/>
      <c r="T75" s="439" cm="1" t="str">
        <f t="array" ref="T75:T75">T74</f>
        <v>true</v>
      </c>
      <c r="U75" s="1153"/>
      <c r="V75" s="1153"/>
      <c r="W75" s="1153"/>
      <c r="X75" s="1482"/>
      <c r="Y75" s="1153"/>
      <c r="Z75" s="1465"/>
      <c r="AA75" s="1153"/>
      <c r="AB75" s="266" t="s">
        <v>1233</v>
      </c>
      <c r="AC75" s="746" t="s">
        <v>1234</v>
      </c>
      <c r="AD75" s="267" t="s">
        <v>784</v>
      </c>
      <c r="AE75" s="753"/>
      <c r="AF75" s="753"/>
      <c r="AG75" s="753"/>
      <c r="AH75" s="753"/>
      <c r="AI75" s="753"/>
      <c r="AJ75" s="753"/>
      <c r="AK75" s="753"/>
      <c r="AL75" s="2636"/>
      <c r="AM75" s="2636"/>
      <c r="AN75" s="753"/>
      <c r="AO75" s="753"/>
      <c r="AP75" s="753"/>
      <c r="AQ75" s="753"/>
      <c r="AR75" s="753"/>
      <c r="AS75" s="753"/>
      <c r="AT75" s="753"/>
      <c r="AU75" s="753"/>
      <c r="AV75" s="2636"/>
      <c r="AW75" s="2636"/>
      <c r="AX75" s="753"/>
      <c r="AY75" s="753"/>
      <c r="AZ75" s="753"/>
      <c r="BA75" s="753"/>
      <c r="BB75" s="753"/>
      <c r="BC75" s="753"/>
      <c r="BD75" s="753"/>
      <c r="BE75" s="755"/>
      <c r="BF75" s="1153"/>
      <c r="BG75" s="1153"/>
      <c r="BH75" s="980" t="s">
        <v>1235</v>
      </c>
    </row>
    <row s="1621" customFormat="1" customHeight="1" ht="14.25">
      <c r="A76" s="1153"/>
      <c r="B76" s="88"/>
      <c r="C76" s="1153"/>
      <c r="D76" s="1153"/>
      <c r="E76" s="597">
        <v>15</v>
      </c>
      <c r="F76" s="50" cm="1" t="str">
        <f t="array" ref="F76:F76">OFFSET(E76,-1,1)</f>
        <v>1</v>
      </c>
      <c r="G76" s="1153"/>
      <c r="H76" s="88" t="s">
        <v>1236</v>
      </c>
      <c r="I76" s="1153"/>
      <c r="J76" s="1153"/>
      <c r="K76" s="1153"/>
      <c r="L76" s="1153"/>
      <c r="M76" s="1153"/>
      <c r="N76" s="1153"/>
      <c r="O76" s="1153"/>
      <c r="P76" s="1153"/>
      <c r="Q76" s="1153"/>
      <c r="R76" s="1153"/>
      <c r="S76" s="1153"/>
      <c r="T76" s="439" cm="1" t="str">
        <f t="array" ref="T76:T76">T75</f>
        <v>true</v>
      </c>
      <c r="U76" s="1153"/>
      <c r="V76" s="1153"/>
      <c r="W76" s="1153"/>
      <c r="X76" s="1482"/>
      <c r="Y76" s="1153"/>
      <c r="Z76" s="1465"/>
      <c r="AA76" s="1153"/>
      <c r="AB76" s="266" t="s">
        <v>1237</v>
      </c>
      <c r="AC76" s="746" t="s">
        <v>1238</v>
      </c>
      <c r="AD76" s="267" t="s">
        <v>784</v>
      </c>
      <c r="AE76" s="753"/>
      <c r="AF76" s="753"/>
      <c r="AG76" s="753"/>
      <c r="AH76" s="753"/>
      <c r="AI76" s="753"/>
      <c r="AJ76" s="753"/>
      <c r="AK76" s="753"/>
      <c r="AL76" s="2636"/>
      <c r="AM76" s="2636"/>
      <c r="AN76" s="753"/>
      <c r="AO76" s="753"/>
      <c r="AP76" s="753"/>
      <c r="AQ76" s="753"/>
      <c r="AR76" s="753"/>
      <c r="AS76" s="753"/>
      <c r="AT76" s="753"/>
      <c r="AU76" s="753"/>
      <c r="AV76" s="2636"/>
      <c r="AW76" s="2636"/>
      <c r="AX76" s="753"/>
      <c r="AY76" s="753"/>
      <c r="AZ76" s="753"/>
      <c r="BA76" s="753"/>
      <c r="BB76" s="753"/>
      <c r="BC76" s="753"/>
      <c r="BD76" s="753"/>
      <c r="BE76" s="755"/>
      <c r="BF76" s="1153"/>
      <c r="BG76" s="1153"/>
      <c r="BH76" s="980" t="s">
        <v>1239</v>
      </c>
    </row>
    <row s="1621" customFormat="1" customHeight="1" ht="14.25">
      <c r="A77" s="1153"/>
      <c r="B77" s="88"/>
      <c r="C77" s="1153"/>
      <c r="D77" s="1153"/>
      <c r="E77" s="597">
        <v>15</v>
      </c>
      <c r="F77" s="50" cm="1" t="str">
        <f t="array" ref="F77:F77">OFFSET(E77,-1,1)</f>
        <v>1</v>
      </c>
      <c r="G77" s="1153"/>
      <c r="H77" s="88" t="s">
        <v>1240</v>
      </c>
      <c r="I77" s="1153"/>
      <c r="J77" s="1153"/>
      <c r="K77" s="1153"/>
      <c r="L77" s="1153"/>
      <c r="M77" s="1153"/>
      <c r="N77" s="1153"/>
      <c r="O77" s="1153"/>
      <c r="P77" s="1153"/>
      <c r="Q77" s="1153"/>
      <c r="R77" s="1153"/>
      <c r="S77" s="1153"/>
      <c r="T77" s="439" cm="1" t="str">
        <f t="array" ref="T77:T77">T76</f>
        <v>true</v>
      </c>
      <c r="U77" s="1153"/>
      <c r="V77" s="1153"/>
      <c r="W77" s="1153"/>
      <c r="X77" s="1482"/>
      <c r="Y77" s="1153"/>
      <c r="Z77" s="1465"/>
      <c r="AA77" s="1153"/>
      <c r="AB77" s="266" t="s">
        <v>1241</v>
      </c>
      <c r="AC77" s="746" t="s">
        <v>1242</v>
      </c>
      <c r="AD77" s="267" t="s">
        <v>784</v>
      </c>
      <c r="AE77" s="753"/>
      <c r="AF77" s="753"/>
      <c r="AG77" s="753"/>
      <c r="AH77" s="753"/>
      <c r="AI77" s="753"/>
      <c r="AJ77" s="753"/>
      <c r="AK77" s="753"/>
      <c r="AL77" s="2636"/>
      <c r="AM77" s="2636"/>
      <c r="AN77" s="753"/>
      <c r="AO77" s="753"/>
      <c r="AP77" s="753"/>
      <c r="AQ77" s="753"/>
      <c r="AR77" s="753"/>
      <c r="AS77" s="753"/>
      <c r="AT77" s="753"/>
      <c r="AU77" s="753"/>
      <c r="AV77" s="2636"/>
      <c r="AW77" s="2636"/>
      <c r="AX77" s="753"/>
      <c r="AY77" s="753"/>
      <c r="AZ77" s="753"/>
      <c r="BA77" s="753"/>
      <c r="BB77" s="753"/>
      <c r="BC77" s="753"/>
      <c r="BD77" s="753"/>
      <c r="BE77" s="755"/>
      <c r="BF77" s="1153"/>
      <c r="BG77" s="1153"/>
      <c r="BH77" s="980" t="s">
        <v>1243</v>
      </c>
    </row>
    <row s="1621" customFormat="1" customHeight="1" ht="14.25">
      <c r="A78" s="1153"/>
      <c r="B78" s="88"/>
      <c r="C78" s="1153"/>
      <c r="D78" s="1153"/>
      <c r="E78" s="597">
        <v>15</v>
      </c>
      <c r="F78" s="50" cm="1" t="str">
        <f t="array" ref="F78:F78">OFFSET(E78,-1,1)</f>
        <v>1</v>
      </c>
      <c r="G78" s="1153"/>
      <c r="H78" s="88" t="s">
        <v>452</v>
      </c>
      <c r="I78" s="1153"/>
      <c r="J78" s="1153"/>
      <c r="K78" s="1153"/>
      <c r="L78" s="1153"/>
      <c r="M78" s="1153"/>
      <c r="N78" s="1153"/>
      <c r="O78" s="1153"/>
      <c r="P78" s="1153"/>
      <c r="Q78" s="1153"/>
      <c r="R78" s="1153"/>
      <c r="S78" s="1153"/>
      <c r="T78" s="439" cm="1" t="str">
        <f t="array" ref="T78:T78">T77</f>
        <v>true</v>
      </c>
      <c r="U78" s="1153"/>
      <c r="V78" s="1153"/>
      <c r="W78" s="1153"/>
      <c r="X78" s="1482"/>
      <c r="Y78" s="1153"/>
      <c r="Z78" s="1465"/>
      <c r="AA78" s="1153"/>
      <c r="AB78" s="266" t="s">
        <v>854</v>
      </c>
      <c r="AC78" s="743" t="s">
        <v>1244</v>
      </c>
      <c r="AD78" s="267" t="s">
        <v>784</v>
      </c>
      <c r="AE78" s="764">
        <f>AE79+AE80+AE81+AE82</f>
        <v>0</v>
      </c>
      <c r="AF78" s="764">
        <f>AF79+AF80+AF81+AF82</f>
        <v>0</v>
      </c>
      <c r="AG78" s="764">
        <f>AG79+AG80+AG81+AG82</f>
        <v>0</v>
      </c>
      <c r="AH78" s="764">
        <f>AH79+AH80+AH81+AH82</f>
        <v>0</v>
      </c>
      <c r="AI78" s="764">
        <f>AI79+AI80+AI81+AI82</f>
        <v>0</v>
      </c>
      <c r="AJ78" s="764">
        <f>AJ79+AJ80+AJ81+AJ82</f>
        <v>0</v>
      </c>
      <c r="AK78" s="764">
        <f>AK79+AK80+AK81+AK82</f>
        <v>0</v>
      </c>
      <c r="AL78" s="764">
        <f>AL79+AL80+AL81+AL82</f>
        <v>0</v>
      </c>
      <c r="AM78" s="764">
        <f>AM79+AM80+AM81+AM82</f>
        <v>0</v>
      </c>
      <c r="AN78" s="764">
        <f>AN79+AN80+AN81+AN82</f>
        <v>0</v>
      </c>
      <c r="AO78" s="764">
        <f>AO79+AO80+AO81+AO82</f>
        <v>0</v>
      </c>
      <c r="AP78" s="764">
        <f>AP79+AP80+AP81+AP82</f>
        <v>0</v>
      </c>
      <c r="AQ78" s="764">
        <f>AQ79+AQ80+AQ81+AQ82</f>
        <v>0</v>
      </c>
      <c r="AR78" s="764">
        <f>AR79+AR80+AR81+AR82</f>
        <v>0</v>
      </c>
      <c r="AS78" s="764">
        <f>AS79+AS80+AS81+AS82</f>
        <v>0</v>
      </c>
      <c r="AT78" s="764">
        <f>AT79+AT80+AT81+AT82</f>
        <v>0</v>
      </c>
      <c r="AU78" s="764">
        <f>AU79+AU80+AU81+AU82</f>
        <v>0</v>
      </c>
      <c r="AV78" s="764">
        <f>AV79+AV80+AV81+AV82</f>
        <v>0</v>
      </c>
      <c r="AW78" s="764">
        <f>AW79+AW80+AW81+AW82</f>
        <v>0</v>
      </c>
      <c r="AX78" s="764">
        <f>AX79+AX80+AX81+AX82</f>
        <v>0</v>
      </c>
      <c r="AY78" s="764">
        <f>AY79+AY80+AY81+AY82</f>
        <v>0</v>
      </c>
      <c r="AZ78" s="764">
        <f>AZ79+AZ80+AZ81+AZ82</f>
        <v>0</v>
      </c>
      <c r="BA78" s="764">
        <f>BA79+BA80+BA81+BA82</f>
        <v>0</v>
      </c>
      <c r="BB78" s="764">
        <f>BB79+BB80+BB81+BB82</f>
        <v>0</v>
      </c>
      <c r="BC78" s="764">
        <f>BC79+BC80+BC81+BC82</f>
        <v>0</v>
      </c>
      <c r="BD78" s="764">
        <f>BD79+BD80+BD81+BD82</f>
        <v>0</v>
      </c>
      <c r="BE78" s="755"/>
      <c r="BF78" s="1153"/>
      <c r="BG78" s="1153"/>
      <c r="BH78" s="980" t="s">
        <v>1245</v>
      </c>
    </row>
    <row s="1621" customFormat="1" customHeight="1" ht="14.25">
      <c r="A79" s="1153"/>
      <c r="B79" s="88"/>
      <c r="C79" s="1153"/>
      <c r="D79" s="1153"/>
      <c r="E79" s="597">
        <v>15</v>
      </c>
      <c r="F79" s="50" cm="1" t="str">
        <f t="array" ref="F79:F79">OFFSET(E79,-1,1)</f>
        <v>1</v>
      </c>
      <c r="G79" s="1153"/>
      <c r="H79" s="88" t="s">
        <v>1246</v>
      </c>
      <c r="I79" s="1153"/>
      <c r="J79" s="1153"/>
      <c r="K79" s="1153"/>
      <c r="L79" s="1153"/>
      <c r="M79" s="1153"/>
      <c r="N79" s="1153"/>
      <c r="O79" s="1153"/>
      <c r="P79" s="1153"/>
      <c r="Q79" s="1153"/>
      <c r="R79" s="1153"/>
      <c r="S79" s="1153"/>
      <c r="T79" s="439" cm="1" t="str">
        <f t="array" ref="T79:T79">T78</f>
        <v>true</v>
      </c>
      <c r="U79" s="1153"/>
      <c r="V79" s="1153"/>
      <c r="W79" s="1153"/>
      <c r="X79" s="1482"/>
      <c r="Y79" s="1153"/>
      <c r="Z79" s="1465"/>
      <c r="AA79" s="1153"/>
      <c r="AB79" s="266" t="s">
        <v>971</v>
      </c>
      <c r="AC79" s="746" t="s">
        <v>965</v>
      </c>
      <c r="AD79" s="267" t="s">
        <v>784</v>
      </c>
      <c r="AE79" s="753"/>
      <c r="AF79" s="753"/>
      <c r="AG79" s="753"/>
      <c r="AH79" s="753"/>
      <c r="AI79" s="753"/>
      <c r="AJ79" s="753"/>
      <c r="AK79" s="753"/>
      <c r="AL79" s="2636"/>
      <c r="AM79" s="2636"/>
      <c r="AN79" s="753"/>
      <c r="AO79" s="753"/>
      <c r="AP79" s="753"/>
      <c r="AQ79" s="753"/>
      <c r="AR79" s="753"/>
      <c r="AS79" s="753"/>
      <c r="AT79" s="753"/>
      <c r="AU79" s="753"/>
      <c r="AV79" s="2636"/>
      <c r="AW79" s="2636"/>
      <c r="AX79" s="753"/>
      <c r="AY79" s="753"/>
      <c r="AZ79" s="753"/>
      <c r="BA79" s="753"/>
      <c r="BB79" s="753"/>
      <c r="BC79" s="753"/>
      <c r="BD79" s="753"/>
      <c r="BE79" s="755"/>
      <c r="BF79" s="1153"/>
      <c r="BG79" s="1153"/>
      <c r="BH79" s="980" t="s">
        <v>967</v>
      </c>
    </row>
    <row s="1621" customFormat="1" customHeight="1" ht="21.75">
      <c r="A80" s="1153"/>
      <c r="B80" s="88"/>
      <c r="C80" s="1153"/>
      <c r="D80" s="1153"/>
      <c r="E80" s="597">
        <v>22.5</v>
      </c>
      <c r="F80" s="50" cm="1" t="str">
        <f t="array" ref="F80:F80">OFFSET(E80,-1,1)</f>
        <v>1</v>
      </c>
      <c r="G80" s="1153"/>
      <c r="H80" s="88" t="s">
        <v>1247</v>
      </c>
      <c r="I80" s="1153"/>
      <c r="J80" s="1153"/>
      <c r="K80" s="1153"/>
      <c r="L80" s="1153"/>
      <c r="M80" s="1153"/>
      <c r="N80" s="1153"/>
      <c r="O80" s="1153"/>
      <c r="P80" s="1153"/>
      <c r="Q80" s="1153"/>
      <c r="R80" s="1153"/>
      <c r="S80" s="1153"/>
      <c r="T80" s="439" cm="1" t="str">
        <f t="array" ref="T80:T80">T79</f>
        <v>true</v>
      </c>
      <c r="U80" s="1153"/>
      <c r="V80" s="1153"/>
      <c r="W80" s="1153"/>
      <c r="X80" s="1482"/>
      <c r="Y80" s="1153"/>
      <c r="Z80" s="1465"/>
      <c r="AA80" s="1153"/>
      <c r="AB80" s="266" t="s">
        <v>974</v>
      </c>
      <c r="AC80" s="746" t="s">
        <v>1248</v>
      </c>
      <c r="AD80" s="267" t="s">
        <v>784</v>
      </c>
      <c r="AE80" s="753"/>
      <c r="AF80" s="753"/>
      <c r="AG80" s="753"/>
      <c r="AH80" s="753"/>
      <c r="AI80" s="753"/>
      <c r="AJ80" s="753"/>
      <c r="AK80" s="753"/>
      <c r="AL80" s="2636"/>
      <c r="AM80" s="2636"/>
      <c r="AN80" s="753"/>
      <c r="AO80" s="753"/>
      <c r="AP80" s="753"/>
      <c r="AQ80" s="753"/>
      <c r="AR80" s="753"/>
      <c r="AS80" s="753"/>
      <c r="AT80" s="753"/>
      <c r="AU80" s="753"/>
      <c r="AV80" s="2636"/>
      <c r="AW80" s="2636"/>
      <c r="AX80" s="753"/>
      <c r="AY80" s="753"/>
      <c r="AZ80" s="753"/>
      <c r="BA80" s="753"/>
      <c r="BB80" s="753"/>
      <c r="BC80" s="753"/>
      <c r="BD80" s="753"/>
      <c r="BE80" s="755"/>
      <c r="BF80" s="1153"/>
      <c r="BG80" s="1153"/>
      <c r="BH80" s="980" t="s">
        <v>1249</v>
      </c>
    </row>
    <row s="1621" customFormat="1" customHeight="1" ht="21.75">
      <c r="A81" s="1153"/>
      <c r="B81" s="88"/>
      <c r="C81" s="1153"/>
      <c r="D81" s="1153"/>
      <c r="E81" s="597">
        <v>22.5</v>
      </c>
      <c r="F81" s="50" cm="1" t="str">
        <f t="array" ref="F81:F81">OFFSET(E81,-1,1)</f>
        <v>1</v>
      </c>
      <c r="G81" s="1153"/>
      <c r="H81" s="88" t="s">
        <v>1250</v>
      </c>
      <c r="I81" s="1153"/>
      <c r="J81" s="1153"/>
      <c r="K81" s="1153"/>
      <c r="L81" s="1153"/>
      <c r="M81" s="1153"/>
      <c r="N81" s="1153"/>
      <c r="O81" s="1153"/>
      <c r="P81" s="1153"/>
      <c r="Q81" s="1153"/>
      <c r="R81" s="1153"/>
      <c r="S81" s="1153"/>
      <c r="T81" s="439" cm="1" t="str">
        <f t="array" ref="T81:T81">T80</f>
        <v>true</v>
      </c>
      <c r="U81" s="1153"/>
      <c r="V81" s="1153"/>
      <c r="W81" s="1153"/>
      <c r="X81" s="1482"/>
      <c r="Y81" s="1153"/>
      <c r="Z81" s="1465"/>
      <c r="AA81" s="1153"/>
      <c r="AB81" s="266" t="s">
        <v>1251</v>
      </c>
      <c r="AC81" s="746" t="s">
        <v>1252</v>
      </c>
      <c r="AD81" s="267" t="s">
        <v>784</v>
      </c>
      <c r="AE81" s="753"/>
      <c r="AF81" s="753"/>
      <c r="AG81" s="753"/>
      <c r="AH81" s="753"/>
      <c r="AI81" s="753"/>
      <c r="AJ81" s="753"/>
      <c r="AK81" s="753"/>
      <c r="AL81" s="2636"/>
      <c r="AM81" s="2636"/>
      <c r="AN81" s="753"/>
      <c r="AO81" s="753"/>
      <c r="AP81" s="753"/>
      <c r="AQ81" s="753"/>
      <c r="AR81" s="753"/>
      <c r="AS81" s="753"/>
      <c r="AT81" s="753"/>
      <c r="AU81" s="753"/>
      <c r="AV81" s="2636"/>
      <c r="AW81" s="2636"/>
      <c r="AX81" s="753"/>
      <c r="AY81" s="753"/>
      <c r="AZ81" s="753"/>
      <c r="BA81" s="753"/>
      <c r="BB81" s="753"/>
      <c r="BC81" s="753"/>
      <c r="BD81" s="753"/>
      <c r="BE81" s="755"/>
      <c r="BF81" s="1153"/>
      <c r="BG81" s="1153"/>
      <c r="BH81" s="980" t="s">
        <v>1253</v>
      </c>
    </row>
    <row s="1621" customFormat="1" customHeight="1" ht="14.25">
      <c r="A82" s="1153"/>
      <c r="B82" s="88"/>
      <c r="C82" s="1153"/>
      <c r="D82" s="1153"/>
      <c r="E82" s="597">
        <v>15</v>
      </c>
      <c r="F82" s="50" cm="1" t="str">
        <f t="array" ref="F82:F82">OFFSET(E82,-1,1)</f>
        <v>1</v>
      </c>
      <c r="G82" s="1153"/>
      <c r="H82" s="88" t="s">
        <v>1254</v>
      </c>
      <c r="I82" s="1153"/>
      <c r="J82" s="1153"/>
      <c r="K82" s="1153"/>
      <c r="L82" s="1153"/>
      <c r="M82" s="1153"/>
      <c r="N82" s="1153"/>
      <c r="O82" s="1153"/>
      <c r="P82" s="1153"/>
      <c r="Q82" s="1153"/>
      <c r="R82" s="1153"/>
      <c r="S82" s="1153"/>
      <c r="T82" s="439" cm="1" t="str">
        <f t="array" ref="T82:T82">T81</f>
        <v>true</v>
      </c>
      <c r="U82" s="1153"/>
      <c r="V82" s="1153"/>
      <c r="W82" s="1153"/>
      <c r="X82" s="1482"/>
      <c r="Y82" s="1153"/>
      <c r="Z82" s="1465"/>
      <c r="AA82" s="1153"/>
      <c r="AB82" s="266" t="s">
        <v>1255</v>
      </c>
      <c r="AC82" s="746" t="s">
        <v>1256</v>
      </c>
      <c r="AD82" s="267" t="s">
        <v>784</v>
      </c>
      <c r="AE82" s="753"/>
      <c r="AF82" s="753"/>
      <c r="AG82" s="753"/>
      <c r="AH82" s="753"/>
      <c r="AI82" s="753"/>
      <c r="AJ82" s="753"/>
      <c r="AK82" s="753"/>
      <c r="AL82" s="2636"/>
      <c r="AM82" s="2636"/>
      <c r="AN82" s="753"/>
      <c r="AO82" s="753"/>
      <c r="AP82" s="753"/>
      <c r="AQ82" s="753"/>
      <c r="AR82" s="753"/>
      <c r="AS82" s="753"/>
      <c r="AT82" s="753"/>
      <c r="AU82" s="753"/>
      <c r="AV82" s="2636"/>
      <c r="AW82" s="2636"/>
      <c r="AX82" s="753"/>
      <c r="AY82" s="753"/>
      <c r="AZ82" s="753"/>
      <c r="BA82" s="753"/>
      <c r="BB82" s="753"/>
      <c r="BC82" s="753"/>
      <c r="BD82" s="753"/>
      <c r="BE82" s="755"/>
      <c r="BF82" s="1153"/>
      <c r="BG82" s="1153"/>
      <c r="BH82" s="980" t="s">
        <v>1257</v>
      </c>
    </row>
    <row s="3302" customFormat="1" customHeight="1" ht="21.75">
      <c r="A83" s="678"/>
      <c r="B83" s="88"/>
      <c r="C83" s="678"/>
      <c r="D83" s="678"/>
      <c r="E83" s="671">
        <v>22.5</v>
      </c>
      <c r="F83" s="50" cm="1" t="str">
        <f t="array" ref="F83:F83">OFFSET(E83,-1,1)</f>
        <v>1</v>
      </c>
      <c r="G83" s="88"/>
      <c r="H83" s="88" t="s">
        <v>326</v>
      </c>
      <c r="I83" s="678"/>
      <c r="J83" s="678"/>
      <c r="K83" s="678"/>
      <c r="L83" s="678"/>
      <c r="M83" s="678"/>
      <c r="N83" s="678"/>
      <c r="O83" s="678"/>
      <c r="P83" s="678"/>
      <c r="Q83" s="678"/>
      <c r="R83" s="678"/>
      <c r="S83" s="678"/>
      <c r="T83" s="439" cm="1" t="str">
        <f t="array" ref="T83:T83">T82</f>
        <v>true</v>
      </c>
      <c r="U83" s="678"/>
      <c r="V83" s="678"/>
      <c r="W83" s="678"/>
      <c r="X83" s="1482"/>
      <c r="Y83" s="678"/>
      <c r="Z83" s="1465"/>
      <c r="AA83" s="678"/>
      <c r="AB83" s="185" t="s">
        <v>283</v>
      </c>
      <c r="AC83" s="186" t="s">
        <v>1258</v>
      </c>
      <c r="AD83" s="178" t="s">
        <v>784</v>
      </c>
      <c r="AE83" s="180">
        <f>AE84+AE85+AE86</f>
        <v>0</v>
      </c>
      <c r="AF83" s="180">
        <f>AF84+AF85+AF86</f>
        <v>0</v>
      </c>
      <c r="AG83" s="180">
        <f>AG84+AG85+AG86</f>
        <v>0</v>
      </c>
      <c r="AH83" s="180">
        <f>AH84+AH85+AH86</f>
        <v>0</v>
      </c>
      <c r="AI83" s="180">
        <f>AI84+AI85+AI86</f>
        <v>0</v>
      </c>
      <c r="AJ83" s="180">
        <f>AJ84+AJ85+AJ86</f>
        <v>0</v>
      </c>
      <c r="AK83" s="180">
        <f>AK84+AK85+AK86</f>
        <v>0</v>
      </c>
      <c r="AL83" s="180">
        <f>AL84+AL85+AL86</f>
        <v>0</v>
      </c>
      <c r="AM83" s="180">
        <f>AM84+AM85+AM86</f>
        <v>0</v>
      </c>
      <c r="AN83" s="180">
        <f>AN84+AN85+AN86</f>
        <v>0</v>
      </c>
      <c r="AO83" s="180">
        <f>AO84+AO85+AO86</f>
        <v>0</v>
      </c>
      <c r="AP83" s="180">
        <f>AP84+AP85+AP86</f>
        <v>0</v>
      </c>
      <c r="AQ83" s="180">
        <f>AQ84+AQ85+AQ86</f>
        <v>0</v>
      </c>
      <c r="AR83" s="180">
        <f>AR84+AR85+AR86</f>
        <v>0</v>
      </c>
      <c r="AS83" s="180">
        <f>AS84+AS85+AS86</f>
        <v>0</v>
      </c>
      <c r="AT83" s="180">
        <f>AT84+AT85+AT86</f>
        <v>0</v>
      </c>
      <c r="AU83" s="180">
        <f>AU84+AU85+AU86</f>
        <v>0</v>
      </c>
      <c r="AV83" s="180">
        <f>AV84+AV85+AV86</f>
        <v>0</v>
      </c>
      <c r="AW83" s="180">
        <f>AW84+AW85+AW86</f>
        <v>0</v>
      </c>
      <c r="AX83" s="180">
        <f>AX84+AX85+AX86</f>
        <v>0</v>
      </c>
      <c r="AY83" s="180">
        <f>AY84+AY85+AY86</f>
        <v>0</v>
      </c>
      <c r="AZ83" s="180">
        <f>AZ84+AZ85+AZ86</f>
        <v>0</v>
      </c>
      <c r="BA83" s="180">
        <f>BA84+BA85+BA86</f>
        <v>0</v>
      </c>
      <c r="BB83" s="180">
        <f>BB84+BB85+BB86</f>
        <v>0</v>
      </c>
      <c r="BC83" s="180">
        <f>BC84+BC85+BC86</f>
        <v>0</v>
      </c>
      <c r="BD83" s="180">
        <f>BD84+BD85+BD86</f>
        <v>0</v>
      </c>
      <c r="BE83" s="755"/>
      <c r="BF83" s="678"/>
      <c r="BG83" s="678"/>
      <c r="BH83" s="1035" t="s">
        <v>1259</v>
      </c>
    </row>
    <row s="1621" customFormat="1" customHeight="1" ht="14.25">
      <c r="A84" s="1153"/>
      <c r="B84" s="88"/>
      <c r="C84" s="1153"/>
      <c r="D84" s="1153"/>
      <c r="E84" s="597">
        <v>15</v>
      </c>
      <c r="F84" s="50" cm="1" t="str">
        <f t="array" ref="F84:F84">OFFSET(E84,-1,1)</f>
        <v>1</v>
      </c>
      <c r="G84" s="1153"/>
      <c r="H84" s="88" t="s">
        <v>459</v>
      </c>
      <c r="I84" s="1153"/>
      <c r="J84" s="1153"/>
      <c r="K84" s="90" t="str">
        <f>F84&amp;"2komm"</f>
        <v>12komm</v>
      </c>
      <c r="L84" s="90" cm="1" t="str">
        <f t="array" ref="L84:L84">BE84</f>
        <v>0</v>
      </c>
      <c r="M84" s="1153"/>
      <c r="N84" s="1153"/>
      <c r="O84" s="1153"/>
      <c r="P84" s="1153"/>
      <c r="Q84" s="1153"/>
      <c r="R84" s="1153"/>
      <c r="S84" s="1153"/>
      <c r="T84" s="439" cm="1" t="str">
        <f t="array" ref="T84:T84">T83</f>
        <v>true</v>
      </c>
      <c r="U84" s="1153"/>
      <c r="V84" s="1153"/>
      <c r="W84" s="1153"/>
      <c r="X84" s="1482"/>
      <c r="Y84" s="1153"/>
      <c r="Z84" s="1465"/>
      <c r="AA84" s="1153"/>
      <c r="AB84" s="266" t="s">
        <v>515</v>
      </c>
      <c r="AC84" s="743" t="s">
        <v>1260</v>
      </c>
      <c r="AD84" s="267" t="s">
        <v>784</v>
      </c>
      <c r="AE84" s="753"/>
      <c r="AF84" s="753"/>
      <c r="AG84" s="753"/>
      <c r="AH84" s="753"/>
      <c r="AI84" s="753"/>
      <c r="AJ84" s="753"/>
      <c r="AK84" s="753"/>
      <c r="AL84" s="2636"/>
      <c r="AM84" s="2636"/>
      <c r="AN84" s="753"/>
      <c r="AO84" s="753"/>
      <c r="AP84" s="753"/>
      <c r="AQ84" s="753"/>
      <c r="AR84" s="753"/>
      <c r="AS84" s="753"/>
      <c r="AT84" s="753"/>
      <c r="AU84" s="753"/>
      <c r="AV84" s="2636"/>
      <c r="AW84" s="2636"/>
      <c r="AX84" s="753"/>
      <c r="AY84" s="753"/>
      <c r="AZ84" s="753"/>
      <c r="BA84" s="753"/>
      <c r="BB84" s="753"/>
      <c r="BC84" s="753"/>
      <c r="BD84" s="753"/>
      <c r="BE84" s="755"/>
      <c r="BF84" s="1153"/>
      <c r="BG84" s="1153"/>
      <c r="BH84" s="980" t="s">
        <v>1261</v>
      </c>
    </row>
    <row s="1621" customFormat="1" customHeight="1" ht="14.25">
      <c r="A85" s="1153"/>
      <c r="B85" s="88"/>
      <c r="C85" s="1153"/>
      <c r="D85" s="1153"/>
      <c r="E85" s="597">
        <v>15</v>
      </c>
      <c r="F85" s="50" cm="1" t="str">
        <f t="array" ref="F85:F85">OFFSET(E85,-1,1)</f>
        <v>1</v>
      </c>
      <c r="G85" s="1153"/>
      <c r="H85" s="88" t="s">
        <v>462</v>
      </c>
      <c r="I85" s="1153"/>
      <c r="J85" s="1153"/>
      <c r="K85" s="90" t="str">
        <f>F85&amp;"3komm"</f>
        <v>13komm</v>
      </c>
      <c r="L85" s="90" cm="1" t="str">
        <f t="array" ref="L85:L85">BE85</f>
        <v>0</v>
      </c>
      <c r="M85" s="1153"/>
      <c r="N85" s="1153"/>
      <c r="O85" s="1153"/>
      <c r="P85" s="1153"/>
      <c r="Q85" s="1153"/>
      <c r="R85" s="1153"/>
      <c r="S85" s="1153"/>
      <c r="T85" s="439" cm="1" t="str">
        <f t="array" ref="T85:T85">T84</f>
        <v>true</v>
      </c>
      <c r="U85" s="1153"/>
      <c r="V85" s="1153"/>
      <c r="W85" s="1153"/>
      <c r="X85" s="1482"/>
      <c r="Y85" s="1153"/>
      <c r="Z85" s="1465"/>
      <c r="AA85" s="1153"/>
      <c r="AB85" s="266" t="s">
        <v>519</v>
      </c>
      <c r="AC85" s="743" t="s">
        <v>1262</v>
      </c>
      <c r="AD85" s="267" t="s">
        <v>784</v>
      </c>
      <c r="AE85" s="753"/>
      <c r="AF85" s="753"/>
      <c r="AG85" s="753"/>
      <c r="AH85" s="753"/>
      <c r="AI85" s="753"/>
      <c r="AJ85" s="753"/>
      <c r="AK85" s="753"/>
      <c r="AL85" s="2636"/>
      <c r="AM85" s="2636"/>
      <c r="AN85" s="753"/>
      <c r="AO85" s="753"/>
      <c r="AP85" s="753"/>
      <c r="AQ85" s="753"/>
      <c r="AR85" s="753"/>
      <c r="AS85" s="753"/>
      <c r="AT85" s="753"/>
      <c r="AU85" s="753"/>
      <c r="AV85" s="2636"/>
      <c r="AW85" s="2636"/>
      <c r="AX85" s="753"/>
      <c r="AY85" s="753"/>
      <c r="AZ85" s="753"/>
      <c r="BA85" s="753"/>
      <c r="BB85" s="753"/>
      <c r="BC85" s="753"/>
      <c r="BD85" s="753"/>
      <c r="BE85" s="755"/>
      <c r="BF85" s="1153"/>
      <c r="BG85" s="1153"/>
      <c r="BH85" s="980" t="s">
        <v>1263</v>
      </c>
    </row>
    <row s="1621" customFormat="1" customHeight="1" ht="14.25">
      <c r="A86" s="1153"/>
      <c r="B86" s="88"/>
      <c r="C86" s="1153"/>
      <c r="D86" s="1153"/>
      <c r="E86" s="597">
        <v>15</v>
      </c>
      <c r="F86" s="50" cm="1" t="str">
        <f t="array" ref="F86:F86">OFFSET(E86,-1,1)</f>
        <v>1</v>
      </c>
      <c r="G86" s="1153"/>
      <c r="H86" s="88" t="s">
        <v>865</v>
      </c>
      <c r="I86" s="1153"/>
      <c r="J86" s="1153"/>
      <c r="K86" s="1153"/>
      <c r="L86" s="1153"/>
      <c r="M86" s="1153"/>
      <c r="N86" s="1153"/>
      <c r="O86" s="1153"/>
      <c r="P86" s="1153"/>
      <c r="Q86" s="1153"/>
      <c r="R86" s="1153"/>
      <c r="S86" s="1153"/>
      <c r="T86" s="439" cm="1" t="str">
        <f t="array" ref="T86:T86">T85</f>
        <v>true</v>
      </c>
      <c r="U86" s="1153"/>
      <c r="V86" s="1153"/>
      <c r="W86" s="1153"/>
      <c r="X86" s="1482"/>
      <c r="Y86" s="1153"/>
      <c r="Z86" s="1465"/>
      <c r="AA86" s="1153"/>
      <c r="AB86" s="266" t="s">
        <v>523</v>
      </c>
      <c r="AC86" s="743" t="s">
        <v>1264</v>
      </c>
      <c r="AD86" s="267" t="s">
        <v>784</v>
      </c>
      <c r="AE86" s="753"/>
      <c r="AF86" s="753"/>
      <c r="AG86" s="753"/>
      <c r="AH86" s="753"/>
      <c r="AI86" s="753"/>
      <c r="AJ86" s="753"/>
      <c r="AK86" s="753"/>
      <c r="AL86" s="2636"/>
      <c r="AM86" s="2636"/>
      <c r="AN86" s="753"/>
      <c r="AO86" s="753"/>
      <c r="AP86" s="753"/>
      <c r="AQ86" s="753"/>
      <c r="AR86" s="753"/>
      <c r="AS86" s="753"/>
      <c r="AT86" s="753"/>
      <c r="AU86" s="753"/>
      <c r="AV86" s="2636"/>
      <c r="AW86" s="2636"/>
      <c r="AX86" s="753"/>
      <c r="AY86" s="753"/>
      <c r="AZ86" s="753"/>
      <c r="BA86" s="753"/>
      <c r="BB86" s="753"/>
      <c r="BC86" s="753"/>
      <c r="BD86" s="753"/>
      <c r="BE86" s="755"/>
      <c r="BF86" s="1153"/>
      <c r="BG86" s="1153"/>
      <c r="BH86" s="980" t="s">
        <v>1265</v>
      </c>
    </row>
    <row s="1621" customFormat="1" customHeight="1" ht="14.25">
      <c r="A87" s="1153"/>
      <c r="B87" s="88"/>
      <c r="C87" s="1153"/>
      <c r="D87" s="1153"/>
      <c r="E87" s="597">
        <v>15</v>
      </c>
      <c r="F87" s="64" cm="1" t="str">
        <f t="array" ref="F87:F87">X87</f>
        <v>2</v>
      </c>
      <c r="G87" s="1153"/>
      <c r="H87" s="1153"/>
      <c r="I87" s="1153"/>
      <c r="J87" s="1153"/>
      <c r="K87" s="1153"/>
      <c r="L87" s="1153"/>
      <c r="M87" s="1153"/>
      <c r="N87" s="1153"/>
      <c r="O87" s="1153"/>
      <c r="P87" s="1153"/>
      <c r="Q87" s="1153"/>
      <c r="R87" s="1153"/>
      <c r="S87" s="1153"/>
      <c r="T87" s="439">
        <f>X87&gt;0</f>
        <v>1</v>
      </c>
      <c r="U87" s="1153"/>
      <c r="V87" s="88" cm="1" t="str">
        <f t="array" ref="V87:V87">Налоги!$AB$55</f>
        <v>Тариф 2 (Водоотведение) - тариф на водоотведение (Оказание услуг на территории: Прокопьевский муниципальный округ (ОКТМО: 32522000) - п Калачево)</v>
      </c>
      <c r="W87" s="1153"/>
      <c r="X87" s="1482" t="s">
        <v>283</v>
      </c>
      <c r="Y87" s="1153"/>
      <c r="Z87" s="1465"/>
      <c r="AA87" s="1153"/>
      <c r="AB87" s="209" cm="1" t="str">
        <f t="array" ref="AB87:AB87">Налоги!$AB$55</f>
        <v>Тариф 2 (Водоотведение) - тариф на водоотведение (Оказание услуг на территории: Прокопьевский муниципальный округ (ОКТМО: 32522000) - п Калачево)</v>
      </c>
      <c r="AC87" s="813"/>
      <c r="AD87" s="813"/>
      <c r="AE87" s="813"/>
      <c r="AF87" s="813"/>
      <c r="AG87" s="813"/>
      <c r="AH87" s="813"/>
      <c r="AI87" s="813"/>
      <c r="AJ87" s="813"/>
      <c r="AK87" s="813"/>
      <c r="AL87" s="813"/>
      <c r="AM87" s="813"/>
      <c r="AN87" s="813"/>
      <c r="AO87" s="813"/>
      <c r="AP87" s="813"/>
      <c r="AQ87" s="813"/>
      <c r="AR87" s="813"/>
      <c r="AS87" s="813"/>
      <c r="AT87" s="813"/>
      <c r="AU87" s="813"/>
      <c r="AV87" s="813"/>
      <c r="AW87" s="813"/>
      <c r="AX87" s="813"/>
      <c r="AY87" s="813"/>
      <c r="AZ87" s="813"/>
      <c r="BA87" s="813"/>
      <c r="BB87" s="813"/>
      <c r="BC87" s="813"/>
      <c r="BD87" s="813"/>
      <c r="BE87" s="813"/>
      <c r="BF87" s="1153"/>
      <c r="BG87" s="1153"/>
      <c r="BH87" s="1253"/>
    </row>
    <row s="3303" customFormat="1" customHeight="1" ht="21.75">
      <c r="A88" s="678"/>
      <c r="B88" s="88"/>
      <c r="C88" s="678"/>
      <c r="D88" s="678"/>
      <c r="E88" s="671">
        <v>22.5</v>
      </c>
      <c r="F88" s="50" cm="1" t="str">
        <f t="array" ref="F88:F88">OFFSET(E88,-1,1)</f>
        <v>2</v>
      </c>
      <c r="G88" s="88"/>
      <c r="H88" s="88" t="s">
        <v>325</v>
      </c>
      <c r="I88" s="678"/>
      <c r="J88" s="678"/>
      <c r="K88" s="678"/>
      <c r="L88" s="678"/>
      <c r="M88" s="678"/>
      <c r="N88" s="678"/>
      <c r="O88" s="678"/>
      <c r="P88" s="678"/>
      <c r="Q88" s="678"/>
      <c r="R88" s="678"/>
      <c r="S88" s="678"/>
      <c r="T88" s="439" cm="1" t="str">
        <f t="array" ref="T88:T88">T87</f>
        <v>true</v>
      </c>
      <c r="U88" s="678"/>
      <c r="V88" s="678"/>
      <c r="W88" s="678"/>
      <c r="X88" s="1482"/>
      <c r="Y88" s="678"/>
      <c r="Z88" s="1465"/>
      <c r="AA88" s="678"/>
      <c r="AB88" s="185">
        <v>1</v>
      </c>
      <c r="AC88" s="179" t="s">
        <v>1187</v>
      </c>
      <c r="AD88" s="178" t="s">
        <v>784</v>
      </c>
      <c r="AE88" s="180">
        <f>AE89+AE99+AE103+AE107</f>
        <v>0</v>
      </c>
      <c r="AF88" s="180">
        <f>AF89+AF99+AF103+AF107</f>
        <v>0</v>
      </c>
      <c r="AG88" s="180">
        <f>AG89+AG99+AG103+AG107</f>
        <v>0</v>
      </c>
      <c r="AH88" s="180">
        <f>AH89+AH99+AH103+AH107</f>
        <v>0</v>
      </c>
      <c r="AI88" s="180">
        <f>AI89+AI99+AI103+AI107</f>
        <v>0</v>
      </c>
      <c r="AJ88" s="180">
        <f>AJ89+AJ99+AJ103+AJ107</f>
        <v>0</v>
      </c>
      <c r="AK88" s="180">
        <f>AK89+AK99+AK103+AK107</f>
        <v>0</v>
      </c>
      <c r="AL88" s="180">
        <f>AL89+AL99+AL103+AL107</f>
        <v>0</v>
      </c>
      <c r="AM88" s="180">
        <f>AM89+AM99+AM103+AM107</f>
        <v>0</v>
      </c>
      <c r="AN88" s="180">
        <f>AN89+AN99+AN103+AN107</f>
        <v>0</v>
      </c>
      <c r="AO88" s="180">
        <f>AO89+AO99+AO103+AO107</f>
        <v>0</v>
      </c>
      <c r="AP88" s="180">
        <f>AP89+AP99+AP103+AP107</f>
        <v>0</v>
      </c>
      <c r="AQ88" s="180">
        <f>AQ89+AQ99+AQ103+AQ107</f>
        <v>0</v>
      </c>
      <c r="AR88" s="180">
        <f>AR89+AR99+AR103+AR107</f>
        <v>0</v>
      </c>
      <c r="AS88" s="180">
        <f>AS89+AS99+AS103+AS107</f>
        <v>0</v>
      </c>
      <c r="AT88" s="180">
        <f>AT89+AT99+AT103+AT107</f>
        <v>0</v>
      </c>
      <c r="AU88" s="180">
        <f>AU89+AU99+AU103+AU107</f>
        <v>0</v>
      </c>
      <c r="AV88" s="180">
        <f>AV89+AV99+AV103+AV107</f>
        <v>0</v>
      </c>
      <c r="AW88" s="180">
        <f>AW89+AW99+AW103+AW107</f>
        <v>0</v>
      </c>
      <c r="AX88" s="180">
        <f>AX89+AX99+AX103+AX107</f>
        <v>0</v>
      </c>
      <c r="AY88" s="180">
        <f>AY89+AY99+AY103+AY107</f>
        <v>0</v>
      </c>
      <c r="AZ88" s="180">
        <f>AZ89+AZ99+AZ103+AZ107</f>
        <v>0</v>
      </c>
      <c r="BA88" s="180">
        <f>BA89+BA99+BA103+BA107</f>
        <v>0</v>
      </c>
      <c r="BB88" s="180">
        <f>BB89+BB99+BB103+BB107</f>
        <v>0</v>
      </c>
      <c r="BC88" s="180">
        <f>BC89+BC99+BC103+BC107</f>
        <v>0</v>
      </c>
      <c r="BD88" s="180">
        <f>BD89+BD99+BD103+BD107</f>
        <v>0</v>
      </c>
      <c r="BE88" s="755"/>
      <c r="BF88" s="678"/>
      <c r="BG88" s="678"/>
      <c r="BH88" s="1035" t="s">
        <v>1188</v>
      </c>
    </row>
    <row s="1621" customFormat="1" customHeight="1" ht="14.25">
      <c r="A89" s="1153"/>
      <c r="B89" s="88"/>
      <c r="C89" s="1153"/>
      <c r="D89" s="1153"/>
      <c r="E89" s="597">
        <v>15</v>
      </c>
      <c r="F89" s="50" cm="1" t="str">
        <f t="array" ref="F89:F89">OFFSET(E89,-1,1)</f>
        <v>2</v>
      </c>
      <c r="G89" s="1153"/>
      <c r="H89" s="88" t="s">
        <v>441</v>
      </c>
      <c r="I89" s="1153"/>
      <c r="J89" s="1153"/>
      <c r="K89" s="1153"/>
      <c r="L89" s="1153"/>
      <c r="M89" s="1153"/>
      <c r="N89" s="1153"/>
      <c r="O89" s="1153"/>
      <c r="P89" s="1153"/>
      <c r="Q89" s="1153"/>
      <c r="R89" s="1153"/>
      <c r="S89" s="1153"/>
      <c r="T89" s="439" cm="1" t="str">
        <f t="array" ref="T89:T89">T88</f>
        <v>true</v>
      </c>
      <c r="U89" s="1153"/>
      <c r="V89" s="1153"/>
      <c r="W89" s="1153"/>
      <c r="X89" s="1482"/>
      <c r="Y89" s="1153"/>
      <c r="Z89" s="1465"/>
      <c r="AA89" s="1153"/>
      <c r="AB89" s="266" t="s">
        <v>845</v>
      </c>
      <c r="AC89" s="743" t="s">
        <v>1189</v>
      </c>
      <c r="AD89" s="267" t="s">
        <v>784</v>
      </c>
      <c r="AE89" s="764">
        <f>AE90+AE91+AE92+AE93+AE94</f>
        <v>0</v>
      </c>
      <c r="AF89" s="764">
        <f>AF90+AF91+AF92+AF93+AF94</f>
        <v>0</v>
      </c>
      <c r="AG89" s="764">
        <f>AG90+AG91+AG92+AG93+AG94</f>
        <v>0</v>
      </c>
      <c r="AH89" s="764">
        <f>AH90+AH91+AH92+AH93+AH94</f>
        <v>0</v>
      </c>
      <c r="AI89" s="764">
        <f>AI90+AI91+AI92+AI93+AI94</f>
        <v>0</v>
      </c>
      <c r="AJ89" s="764">
        <f>AJ90+AJ91+AJ92+AJ93+AJ94</f>
        <v>0</v>
      </c>
      <c r="AK89" s="764">
        <f>AK90+AK91+AK92+AK93+AK94</f>
        <v>0</v>
      </c>
      <c r="AL89" s="764">
        <f>AL90+AL91+AL92+AL93+AL94</f>
        <v>0</v>
      </c>
      <c r="AM89" s="764">
        <f>AM90+AM91+AM92+AM93+AM94</f>
        <v>0</v>
      </c>
      <c r="AN89" s="764">
        <f>AN90+AN91+AN92+AN93+AN94</f>
        <v>0</v>
      </c>
      <c r="AO89" s="764">
        <f>AO90+AO91+AO92+AO93+AO94</f>
        <v>0</v>
      </c>
      <c r="AP89" s="764">
        <f>AP90+AP91+AP92+AP93+AP94</f>
        <v>0</v>
      </c>
      <c r="AQ89" s="764">
        <f>AQ90+AQ91+AQ92+AQ93+AQ94</f>
        <v>0</v>
      </c>
      <c r="AR89" s="764">
        <f>AR90+AR91+AR92+AR93+AR94</f>
        <v>0</v>
      </c>
      <c r="AS89" s="764">
        <f>AS90+AS91+AS92+AS93+AS94</f>
        <v>0</v>
      </c>
      <c r="AT89" s="764">
        <f>AT90+AT91+AT92+AT93+AT94</f>
        <v>0</v>
      </c>
      <c r="AU89" s="764">
        <f>AU90+AU91+AU92+AU93+AU94</f>
        <v>0</v>
      </c>
      <c r="AV89" s="764">
        <f>AV90+AV91+AV92+AV93+AV94</f>
        <v>0</v>
      </c>
      <c r="AW89" s="764">
        <f>AW90+AW91+AW92+AW93+AW94</f>
        <v>0</v>
      </c>
      <c r="AX89" s="764">
        <f>AX90+AX91+AX92+AX93+AX94</f>
        <v>0</v>
      </c>
      <c r="AY89" s="764">
        <f>AY90+AY91+AY92+AY93+AY94</f>
        <v>0</v>
      </c>
      <c r="AZ89" s="764">
        <f>AZ90+AZ91+AZ92+AZ93+AZ94</f>
        <v>0</v>
      </c>
      <c r="BA89" s="764">
        <f>BA90+BA91+BA92+BA93+BA94</f>
        <v>0</v>
      </c>
      <c r="BB89" s="764">
        <f>BB90+BB91+BB92+BB93+BB94</f>
        <v>0</v>
      </c>
      <c r="BC89" s="764">
        <f>BC90+BC91+BC92+BC93+BC94</f>
        <v>0</v>
      </c>
      <c r="BD89" s="764">
        <f>BD90+BD91+BD92+BD93+BD94</f>
        <v>0</v>
      </c>
      <c r="BE89" s="755"/>
      <c r="BF89" s="1153"/>
      <c r="BG89" s="1153"/>
      <c r="BH89" s="980" t="s">
        <v>1190</v>
      </c>
    </row>
    <row s="1621" customFormat="1" customHeight="1" ht="14.25">
      <c r="A90" s="1153"/>
      <c r="B90" s="88"/>
      <c r="C90" s="1153"/>
      <c r="D90" s="1153"/>
      <c r="E90" s="597">
        <v>15</v>
      </c>
      <c r="F90" s="50" cm="1" t="str">
        <f t="array" ref="F90:F90">OFFSET(E90,-1,1)</f>
        <v>2</v>
      </c>
      <c r="G90" s="1153"/>
      <c r="H90" s="88" t="s">
        <v>954</v>
      </c>
      <c r="I90" s="1153"/>
      <c r="J90" s="1153"/>
      <c r="K90" s="1153"/>
      <c r="L90" s="1153"/>
      <c r="M90" s="1153"/>
      <c r="N90" s="1153"/>
      <c r="O90" s="1153"/>
      <c r="P90" s="1153"/>
      <c r="Q90" s="1153"/>
      <c r="R90" s="1153"/>
      <c r="S90" s="1153"/>
      <c r="T90" s="439" cm="1" t="str">
        <f t="array" ref="T90:T90">T89</f>
        <v>true</v>
      </c>
      <c r="U90" s="1153"/>
      <c r="V90" s="1153"/>
      <c r="W90" s="1153"/>
      <c r="X90" s="1482"/>
      <c r="Y90" s="1153"/>
      <c r="Z90" s="1465"/>
      <c r="AA90" s="1153"/>
      <c r="AB90" s="266" t="s">
        <v>955</v>
      </c>
      <c r="AC90" s="746" t="s">
        <v>1191</v>
      </c>
      <c r="AD90" s="267" t="s">
        <v>784</v>
      </c>
      <c r="AE90" s="753"/>
      <c r="AF90" s="753"/>
      <c r="AG90" s="753"/>
      <c r="AH90" s="753"/>
      <c r="AI90" s="753"/>
      <c r="AJ90" s="753"/>
      <c r="AK90" s="753"/>
      <c r="AL90" s="2636"/>
      <c r="AM90" s="2636"/>
      <c r="AN90" s="753"/>
      <c r="AO90" s="753"/>
      <c r="AP90" s="753"/>
      <c r="AQ90" s="753"/>
      <c r="AR90" s="753"/>
      <c r="AS90" s="753"/>
      <c r="AT90" s="753"/>
      <c r="AU90" s="753"/>
      <c r="AV90" s="2636"/>
      <c r="AW90" s="2636"/>
      <c r="AX90" s="753"/>
      <c r="AY90" s="753"/>
      <c r="AZ90" s="753"/>
      <c r="BA90" s="753"/>
      <c r="BB90" s="753"/>
      <c r="BC90" s="753"/>
      <c r="BD90" s="753"/>
      <c r="BE90" s="755"/>
      <c r="BF90" s="1153"/>
      <c r="BG90" s="1153"/>
      <c r="BH90" s="980" t="s">
        <v>1123</v>
      </c>
    </row>
    <row s="1621" customFormat="1" customHeight="1" ht="14.25">
      <c r="A91" s="1153"/>
      <c r="B91" s="88"/>
      <c r="C91" s="1153"/>
      <c r="D91" s="1153"/>
      <c r="E91" s="597">
        <v>15</v>
      </c>
      <c r="F91" s="50" cm="1" t="str">
        <f t="array" ref="F91:F91">OFFSET(E91,-1,1)</f>
        <v>2</v>
      </c>
      <c r="G91" s="1153"/>
      <c r="H91" s="88" t="s">
        <v>958</v>
      </c>
      <c r="I91" s="1153"/>
      <c r="J91" s="1153"/>
      <c r="K91" s="90" t="str">
        <f>F91&amp;"1komm"</f>
        <v>21komm</v>
      </c>
      <c r="L91" s="901" cm="1" t="str">
        <f t="array" ref="L91:L91">BE91</f>
        <v>0</v>
      </c>
      <c r="M91" s="1153"/>
      <c r="N91" s="1153"/>
      <c r="O91" s="1153"/>
      <c r="P91" s="1153"/>
      <c r="Q91" s="1153"/>
      <c r="R91" s="1153"/>
      <c r="S91" s="1153"/>
      <c r="T91" s="439" cm="1" t="str">
        <f t="array" ref="T91:T91">T90</f>
        <v>true</v>
      </c>
      <c r="U91" s="1153"/>
      <c r="V91" s="1153"/>
      <c r="W91" s="1153"/>
      <c r="X91" s="1482"/>
      <c r="Y91" s="1153"/>
      <c r="Z91" s="1465"/>
      <c r="AA91" s="1153"/>
      <c r="AB91" s="266" t="s">
        <v>959</v>
      </c>
      <c r="AC91" s="746" t="s">
        <v>1192</v>
      </c>
      <c r="AD91" s="267" t="s">
        <v>784</v>
      </c>
      <c r="AE91" s="753"/>
      <c r="AF91" s="753"/>
      <c r="AG91" s="753"/>
      <c r="AH91" s="753"/>
      <c r="AI91" s="753"/>
      <c r="AJ91" s="753"/>
      <c r="AK91" s="753"/>
      <c r="AL91" s="2636"/>
      <c r="AM91" s="2636"/>
      <c r="AN91" s="753"/>
      <c r="AO91" s="753"/>
      <c r="AP91" s="753"/>
      <c r="AQ91" s="753"/>
      <c r="AR91" s="753"/>
      <c r="AS91" s="753"/>
      <c r="AT91" s="753"/>
      <c r="AU91" s="753"/>
      <c r="AV91" s="2636"/>
      <c r="AW91" s="2636"/>
      <c r="AX91" s="753"/>
      <c r="AY91" s="753"/>
      <c r="AZ91" s="753"/>
      <c r="BA91" s="753"/>
      <c r="BB91" s="753"/>
      <c r="BC91" s="753"/>
      <c r="BD91" s="753"/>
      <c r="BE91" s="755"/>
      <c r="BF91" s="1153"/>
      <c r="BG91" s="1153"/>
      <c r="BH91" s="980" t="s">
        <v>1193</v>
      </c>
    </row>
    <row s="1621" customFormat="1" customHeight="1" ht="14.25">
      <c r="A92" s="1153"/>
      <c r="B92" s="88"/>
      <c r="C92" s="1153"/>
      <c r="D92" s="1153"/>
      <c r="E92" s="597">
        <v>15</v>
      </c>
      <c r="F92" s="50" cm="1" t="str">
        <f t="array" ref="F92:F92">OFFSET(E92,-1,1)</f>
        <v>2</v>
      </c>
      <c r="G92" s="1153"/>
      <c r="H92" s="88" t="s">
        <v>1194</v>
      </c>
      <c r="I92" s="1153"/>
      <c r="J92" s="1153"/>
      <c r="K92" s="1153"/>
      <c r="L92" s="1153"/>
      <c r="M92" s="1153"/>
      <c r="N92" s="1153"/>
      <c r="O92" s="1153"/>
      <c r="P92" s="1153"/>
      <c r="Q92" s="1153"/>
      <c r="R92" s="1153"/>
      <c r="S92" s="1153"/>
      <c r="T92" s="439" cm="1" t="str">
        <f t="array" ref="T92:T92">T91</f>
        <v>true</v>
      </c>
      <c r="U92" s="1153"/>
      <c r="V92" s="1153"/>
      <c r="W92" s="1153"/>
      <c r="X92" s="1482"/>
      <c r="Y92" s="1153"/>
      <c r="Z92" s="1465"/>
      <c r="AA92" s="1153"/>
      <c r="AB92" s="266" t="s">
        <v>1195</v>
      </c>
      <c r="AC92" s="746" t="s">
        <v>1196</v>
      </c>
      <c r="AD92" s="267" t="s">
        <v>784</v>
      </c>
      <c r="AE92" s="753"/>
      <c r="AF92" s="753"/>
      <c r="AG92" s="753"/>
      <c r="AH92" s="753"/>
      <c r="AI92" s="753"/>
      <c r="AJ92" s="753"/>
      <c r="AK92" s="753"/>
      <c r="AL92" s="2636"/>
      <c r="AM92" s="2636"/>
      <c r="AN92" s="753"/>
      <c r="AO92" s="753"/>
      <c r="AP92" s="753"/>
      <c r="AQ92" s="753"/>
      <c r="AR92" s="753"/>
      <c r="AS92" s="753"/>
      <c r="AT92" s="753"/>
      <c r="AU92" s="753"/>
      <c r="AV92" s="2636"/>
      <c r="AW92" s="2636"/>
      <c r="AX92" s="753"/>
      <c r="AY92" s="753"/>
      <c r="AZ92" s="753"/>
      <c r="BA92" s="753"/>
      <c r="BB92" s="753"/>
      <c r="BC92" s="753"/>
      <c r="BD92" s="753"/>
      <c r="BE92" s="755"/>
      <c r="BF92" s="1153"/>
      <c r="BG92" s="1153"/>
      <c r="BH92" s="980" t="s">
        <v>1197</v>
      </c>
    </row>
    <row s="1621" customFormat="1" customHeight="1" ht="14.25">
      <c r="A93" s="1153"/>
      <c r="B93" s="88"/>
      <c r="C93" s="1153"/>
      <c r="D93" s="1153"/>
      <c r="E93" s="597">
        <v>15</v>
      </c>
      <c r="F93" s="50" cm="1" t="str">
        <f t="array" ref="F93:F93">OFFSET(E93,-1,1)</f>
        <v>2</v>
      </c>
      <c r="G93" s="1153"/>
      <c r="H93" s="88" t="s">
        <v>1198</v>
      </c>
      <c r="I93" s="1153"/>
      <c r="J93" s="1153"/>
      <c r="K93" s="1153"/>
      <c r="L93" s="1153"/>
      <c r="M93" s="1153"/>
      <c r="N93" s="1153"/>
      <c r="O93" s="1153"/>
      <c r="P93" s="1153"/>
      <c r="Q93" s="1153"/>
      <c r="R93" s="1153"/>
      <c r="S93" s="1153"/>
      <c r="T93" s="439" cm="1" t="str">
        <f t="array" ref="T93:T93">T92</f>
        <v>true</v>
      </c>
      <c r="U93" s="1153"/>
      <c r="V93" s="1153"/>
      <c r="W93" s="1153"/>
      <c r="X93" s="1482"/>
      <c r="Y93" s="1153"/>
      <c r="Z93" s="1465"/>
      <c r="AA93" s="1153"/>
      <c r="AB93" s="266" t="s">
        <v>1199</v>
      </c>
      <c r="AC93" s="746" t="s">
        <v>1200</v>
      </c>
      <c r="AD93" s="267" t="s">
        <v>784</v>
      </c>
      <c r="AE93" s="753"/>
      <c r="AF93" s="753"/>
      <c r="AG93" s="753"/>
      <c r="AH93" s="753"/>
      <c r="AI93" s="753"/>
      <c r="AJ93" s="753"/>
      <c r="AK93" s="753"/>
      <c r="AL93" s="2636"/>
      <c r="AM93" s="2636"/>
      <c r="AN93" s="753"/>
      <c r="AO93" s="753"/>
      <c r="AP93" s="753"/>
      <c r="AQ93" s="753"/>
      <c r="AR93" s="753"/>
      <c r="AS93" s="753"/>
      <c r="AT93" s="753"/>
      <c r="AU93" s="753"/>
      <c r="AV93" s="2636"/>
      <c r="AW93" s="2636"/>
      <c r="AX93" s="753"/>
      <c r="AY93" s="753"/>
      <c r="AZ93" s="753"/>
      <c r="BA93" s="753"/>
      <c r="BB93" s="753"/>
      <c r="BC93" s="753"/>
      <c r="BD93" s="753"/>
      <c r="BE93" s="755"/>
      <c r="BF93" s="1153"/>
      <c r="BG93" s="1153"/>
      <c r="BH93" s="980" t="s">
        <v>1201</v>
      </c>
    </row>
    <row s="1621" customFormat="1" customHeight="1" ht="21.75">
      <c r="A94" s="1153"/>
      <c r="B94" s="88"/>
      <c r="C94" s="1153"/>
      <c r="D94" s="1153"/>
      <c r="E94" s="597">
        <v>22.5</v>
      </c>
      <c r="F94" s="50" cm="1" t="str">
        <f t="array" ref="F94:F94">OFFSET(E94,-1,1)</f>
        <v>2</v>
      </c>
      <c r="G94" s="1153"/>
      <c r="H94" s="1153"/>
      <c r="I94" s="1153"/>
      <c r="J94" s="1153"/>
      <c r="K94" s="1153"/>
      <c r="L94" s="1153"/>
      <c r="M94" s="1153"/>
      <c r="N94" s="1153"/>
      <c r="O94" s="1153"/>
      <c r="P94" s="1153"/>
      <c r="Q94" s="1153"/>
      <c r="R94" s="1153"/>
      <c r="S94" s="1153"/>
      <c r="T94" s="439" cm="1" t="str">
        <f t="array" ref="T94:T94">T93</f>
        <v>true</v>
      </c>
      <c r="U94" s="1153"/>
      <c r="V94" s="1153"/>
      <c r="W94" s="1153"/>
      <c r="X94" s="1482"/>
      <c r="Y94" s="1153"/>
      <c r="Z94" s="1465"/>
      <c r="AA94" s="1153"/>
      <c r="AB94" s="266" t="s">
        <v>1202</v>
      </c>
      <c r="AC94" s="746" t="s">
        <v>1203</v>
      </c>
      <c r="AD94" s="267" t="s">
        <v>784</v>
      </c>
      <c r="AE94" s="753">
        <f>AE95+AE96+AE97+AE98</f>
        <v>0</v>
      </c>
      <c r="AF94" s="753">
        <f>AF95+AF96+AF97+AF98</f>
        <v>0</v>
      </c>
      <c r="AG94" s="753">
        <f>AG95+AG96+AG97+AG98</f>
        <v>0</v>
      </c>
      <c r="AH94" s="753">
        <f>AH95+AH96+AH97+AH98</f>
        <v>0</v>
      </c>
      <c r="AI94" s="753">
        <f>AI95+AI96+AI97+AI98</f>
        <v>0</v>
      </c>
      <c r="AJ94" s="753">
        <f>AJ95+AJ96+AJ97+AJ98</f>
        <v>0</v>
      </c>
      <c r="AK94" s="753">
        <f>AK95+AK96+AK97+AK98</f>
        <v>0</v>
      </c>
      <c r="AL94" s="2636">
        <f>AL95+AL96+AL97+AL98</f>
        <v>0</v>
      </c>
      <c r="AM94" s="2636">
        <f>AM95+AM96+AM97+AM98</f>
        <v>0</v>
      </c>
      <c r="AN94" s="753">
        <f>AN95+AN96+AN97+AN98</f>
        <v>0</v>
      </c>
      <c r="AO94" s="753">
        <f>AO95+AO96+AO97+AO98</f>
        <v>0</v>
      </c>
      <c r="AP94" s="753">
        <f>AP95+AP96+AP97+AP98</f>
        <v>0</v>
      </c>
      <c r="AQ94" s="753">
        <f>AQ95+AQ96+AQ97+AQ98</f>
        <v>0</v>
      </c>
      <c r="AR94" s="753">
        <f>AR95+AR96+AR97+AR98</f>
        <v>0</v>
      </c>
      <c r="AS94" s="753">
        <f>AS95+AS96+AS97+AS98</f>
        <v>0</v>
      </c>
      <c r="AT94" s="753">
        <f>AT95+AT96+AT97+AT98</f>
        <v>0</v>
      </c>
      <c r="AU94" s="753">
        <f>AU95+AU96+AU97+AU98</f>
        <v>0</v>
      </c>
      <c r="AV94" s="2636">
        <f>AV95+AV96+AV97+AV98</f>
        <v>0</v>
      </c>
      <c r="AW94" s="2636">
        <f>AW95+AW96+AW97+AW98</f>
        <v>0</v>
      </c>
      <c r="AX94" s="753">
        <f>AX95+AX96+AX97+AX98</f>
        <v>0</v>
      </c>
      <c r="AY94" s="753">
        <f>AY95+AY96+AY97+AY98</f>
        <v>0</v>
      </c>
      <c r="AZ94" s="753">
        <f>AZ95+AZ96+AZ97+AZ98</f>
        <v>0</v>
      </c>
      <c r="BA94" s="753">
        <f>BA95+BA96+BA97+BA98</f>
        <v>0</v>
      </c>
      <c r="BB94" s="753">
        <f>BB95+BB96+BB97+BB98</f>
        <v>0</v>
      </c>
      <c r="BC94" s="753">
        <f>BC95+BC96+BC97+BC98</f>
        <v>0</v>
      </c>
      <c r="BD94" s="753">
        <f>BD95+BD96+BD97+BD98</f>
        <v>0</v>
      </c>
      <c r="BE94" s="755"/>
      <c r="BF94" s="1153"/>
      <c r="BG94" s="1153"/>
      <c r="BH94" s="980" t="s">
        <v>1204</v>
      </c>
    </row>
    <row s="1621" customFormat="1" customHeight="1" ht="44.25">
      <c r="A95" s="1153"/>
      <c r="B95" s="88"/>
      <c r="C95" s="1153"/>
      <c r="D95" s="1153"/>
      <c r="E95" s="597">
        <v>45.75</v>
      </c>
      <c r="F95" s="50" cm="1" t="str">
        <f t="array" ref="F95:F95">OFFSET(E95,-1,1)</f>
        <v>2</v>
      </c>
      <c r="G95" s="1153"/>
      <c r="H95" s="1153"/>
      <c r="I95" s="1153"/>
      <c r="J95" s="1153"/>
      <c r="K95" s="1153"/>
      <c r="L95" s="1153"/>
      <c r="M95" s="1153"/>
      <c r="N95" s="1153"/>
      <c r="O95" s="1153"/>
      <c r="P95" s="1153"/>
      <c r="Q95" s="1153"/>
      <c r="R95" s="1153"/>
      <c r="S95" s="1153"/>
      <c r="T95" s="439" cm="1" t="str">
        <f t="array" ref="T95:T95">T94</f>
        <v>true</v>
      </c>
      <c r="U95" s="1153"/>
      <c r="V95" s="1153"/>
      <c r="W95" s="1153"/>
      <c r="X95" s="1482"/>
      <c r="Y95" s="1153"/>
      <c r="Z95" s="1465"/>
      <c r="AA95" s="1153"/>
      <c r="AB95" s="266" t="s">
        <v>1205</v>
      </c>
      <c r="AC95" s="749" t="s">
        <v>1206</v>
      </c>
      <c r="AD95" s="267" t="s">
        <v>784</v>
      </c>
      <c r="AE95" s="753"/>
      <c r="AF95" s="753"/>
      <c r="AG95" s="753"/>
      <c r="AH95" s="753"/>
      <c r="AI95" s="753"/>
      <c r="AJ95" s="753"/>
      <c r="AK95" s="753"/>
      <c r="AL95" s="2636"/>
      <c r="AM95" s="2636"/>
      <c r="AN95" s="753"/>
      <c r="AO95" s="753"/>
      <c r="AP95" s="753"/>
      <c r="AQ95" s="753"/>
      <c r="AR95" s="753"/>
      <c r="AS95" s="753"/>
      <c r="AT95" s="753"/>
      <c r="AU95" s="753"/>
      <c r="AV95" s="2636"/>
      <c r="AW95" s="2636"/>
      <c r="AX95" s="753"/>
      <c r="AY95" s="753"/>
      <c r="AZ95" s="753"/>
      <c r="BA95" s="753"/>
      <c r="BB95" s="753"/>
      <c r="BC95" s="753"/>
      <c r="BD95" s="753"/>
      <c r="BE95" s="755"/>
      <c r="BF95" s="1153"/>
      <c r="BG95" s="1153"/>
      <c r="BH95" s="980" t="s">
        <v>1207</v>
      </c>
    </row>
    <row s="1621" customFormat="1" customHeight="1" ht="44.25">
      <c r="A96" s="1153"/>
      <c r="B96" s="88"/>
      <c r="C96" s="1153"/>
      <c r="D96" s="1153"/>
      <c r="E96" s="597">
        <v>45.75</v>
      </c>
      <c r="F96" s="50" cm="1" t="str">
        <f t="array" ref="F96:F96">OFFSET(E96,-1,1)</f>
        <v>2</v>
      </c>
      <c r="G96" s="1153"/>
      <c r="H96" s="1153"/>
      <c r="I96" s="1153"/>
      <c r="J96" s="1153"/>
      <c r="K96" s="1153"/>
      <c r="L96" s="1153"/>
      <c r="M96" s="1153"/>
      <c r="N96" s="1153"/>
      <c r="O96" s="1153"/>
      <c r="P96" s="1153"/>
      <c r="Q96" s="1153"/>
      <c r="R96" s="1153"/>
      <c r="S96" s="1153"/>
      <c r="T96" s="439" cm="1" t="str">
        <f t="array" ref="T96:T96">T95</f>
        <v>true</v>
      </c>
      <c r="U96" s="1153"/>
      <c r="V96" s="1153"/>
      <c r="W96" s="1153"/>
      <c r="X96" s="1482"/>
      <c r="Y96" s="1153"/>
      <c r="Z96" s="1465"/>
      <c r="AA96" s="1153"/>
      <c r="AB96" s="266" t="s">
        <v>1208</v>
      </c>
      <c r="AC96" s="749" t="s">
        <v>1209</v>
      </c>
      <c r="AD96" s="267" t="s">
        <v>784</v>
      </c>
      <c r="AE96" s="753"/>
      <c r="AF96" s="753"/>
      <c r="AG96" s="753"/>
      <c r="AH96" s="753"/>
      <c r="AI96" s="753"/>
      <c r="AJ96" s="753"/>
      <c r="AK96" s="753"/>
      <c r="AL96" s="2636"/>
      <c r="AM96" s="2636"/>
      <c r="AN96" s="753"/>
      <c r="AO96" s="753"/>
      <c r="AP96" s="753"/>
      <c r="AQ96" s="753"/>
      <c r="AR96" s="753"/>
      <c r="AS96" s="753"/>
      <c r="AT96" s="753"/>
      <c r="AU96" s="753"/>
      <c r="AV96" s="2636"/>
      <c r="AW96" s="2636"/>
      <c r="AX96" s="753"/>
      <c r="AY96" s="753"/>
      <c r="AZ96" s="753"/>
      <c r="BA96" s="753"/>
      <c r="BB96" s="753"/>
      <c r="BC96" s="753"/>
      <c r="BD96" s="753"/>
      <c r="BE96" s="755"/>
      <c r="BF96" s="1153"/>
      <c r="BG96" s="1153"/>
      <c r="BH96" s="980" t="s">
        <v>1210</v>
      </c>
    </row>
    <row s="1621" customFormat="1" customHeight="1" ht="44.25">
      <c r="A97" s="1153"/>
      <c r="B97" s="88"/>
      <c r="C97" s="1153"/>
      <c r="D97" s="1153"/>
      <c r="E97" s="597">
        <v>45.75</v>
      </c>
      <c r="F97" s="50" cm="1" t="str">
        <f t="array" ref="F97:F97">OFFSET(E97,-1,1)</f>
        <v>2</v>
      </c>
      <c r="G97" s="1153"/>
      <c r="H97" s="1153"/>
      <c r="I97" s="1153"/>
      <c r="J97" s="1153"/>
      <c r="K97" s="1153"/>
      <c r="L97" s="1153"/>
      <c r="M97" s="1153"/>
      <c r="N97" s="1153"/>
      <c r="O97" s="1153"/>
      <c r="P97" s="1153"/>
      <c r="Q97" s="1153"/>
      <c r="R97" s="1153"/>
      <c r="S97" s="1153"/>
      <c r="T97" s="439" cm="1" t="str">
        <f t="array" ref="T97:T97">T96</f>
        <v>true</v>
      </c>
      <c r="U97" s="1153"/>
      <c r="V97" s="1153"/>
      <c r="W97" s="1153"/>
      <c r="X97" s="1482"/>
      <c r="Y97" s="1153"/>
      <c r="Z97" s="1465"/>
      <c r="AA97" s="1153"/>
      <c r="AB97" s="266" t="s">
        <v>1211</v>
      </c>
      <c r="AC97" s="749" t="s">
        <v>1212</v>
      </c>
      <c r="AD97" s="267" t="s">
        <v>784</v>
      </c>
      <c r="AE97" s="753"/>
      <c r="AF97" s="753"/>
      <c r="AG97" s="753"/>
      <c r="AH97" s="753"/>
      <c r="AI97" s="753"/>
      <c r="AJ97" s="753"/>
      <c r="AK97" s="753"/>
      <c r="AL97" s="2636"/>
      <c r="AM97" s="2636"/>
      <c r="AN97" s="753"/>
      <c r="AO97" s="753"/>
      <c r="AP97" s="753"/>
      <c r="AQ97" s="753"/>
      <c r="AR97" s="753"/>
      <c r="AS97" s="753"/>
      <c r="AT97" s="753"/>
      <c r="AU97" s="753"/>
      <c r="AV97" s="2636"/>
      <c r="AW97" s="2636"/>
      <c r="AX97" s="753"/>
      <c r="AY97" s="753"/>
      <c r="AZ97" s="753"/>
      <c r="BA97" s="753"/>
      <c r="BB97" s="753"/>
      <c r="BC97" s="753"/>
      <c r="BD97" s="753"/>
      <c r="BE97" s="755"/>
      <c r="BF97" s="1153"/>
      <c r="BG97" s="1153"/>
      <c r="BH97" s="980" t="s">
        <v>1213</v>
      </c>
    </row>
    <row s="1621" customFormat="1" customHeight="1" ht="21.75">
      <c r="A98" s="1153"/>
      <c r="B98" s="88"/>
      <c r="C98" s="1153"/>
      <c r="D98" s="1153"/>
      <c r="E98" s="597">
        <v>22.5</v>
      </c>
      <c r="F98" s="50" cm="1" t="str">
        <f t="array" ref="F98:F98">OFFSET(E98,-1,1)</f>
        <v>2</v>
      </c>
      <c r="G98" s="1153"/>
      <c r="H98" s="1153"/>
      <c r="I98" s="1153"/>
      <c r="J98" s="1153"/>
      <c r="K98" s="1153"/>
      <c r="L98" s="1153"/>
      <c r="M98" s="1153"/>
      <c r="N98" s="1153"/>
      <c r="O98" s="1153"/>
      <c r="P98" s="1153"/>
      <c r="Q98" s="1153"/>
      <c r="R98" s="1153"/>
      <c r="S98" s="1153"/>
      <c r="T98" s="439" cm="1" t="str">
        <f t="array" ref="T98:T98">T97</f>
        <v>true</v>
      </c>
      <c r="U98" s="1153"/>
      <c r="V98" s="1153"/>
      <c r="W98" s="1153"/>
      <c r="X98" s="1482"/>
      <c r="Y98" s="1153"/>
      <c r="Z98" s="1465"/>
      <c r="AA98" s="1153"/>
      <c r="AB98" s="266" t="s">
        <v>1214</v>
      </c>
      <c r="AC98" s="749" t="s">
        <v>1215</v>
      </c>
      <c r="AD98" s="267" t="s">
        <v>784</v>
      </c>
      <c r="AE98" s="753"/>
      <c r="AF98" s="753"/>
      <c r="AG98" s="753"/>
      <c r="AH98" s="753"/>
      <c r="AI98" s="753"/>
      <c r="AJ98" s="753"/>
      <c r="AK98" s="753"/>
      <c r="AL98" s="2636"/>
      <c r="AM98" s="2636"/>
      <c r="AN98" s="753"/>
      <c r="AO98" s="753"/>
      <c r="AP98" s="753"/>
      <c r="AQ98" s="753"/>
      <c r="AR98" s="753"/>
      <c r="AS98" s="753"/>
      <c r="AT98" s="753"/>
      <c r="AU98" s="753"/>
      <c r="AV98" s="2636"/>
      <c r="AW98" s="2636"/>
      <c r="AX98" s="753"/>
      <c r="AY98" s="753"/>
      <c r="AZ98" s="753"/>
      <c r="BA98" s="753"/>
      <c r="BB98" s="753"/>
      <c r="BC98" s="753"/>
      <c r="BD98" s="753"/>
      <c r="BE98" s="755"/>
      <c r="BF98" s="1153"/>
      <c r="BG98" s="1153"/>
      <c r="BH98" s="980" t="s">
        <v>1216</v>
      </c>
    </row>
    <row s="1621" customFormat="1" customHeight="1" ht="14.25">
      <c r="A99" s="1153"/>
      <c r="B99" s="88"/>
      <c r="C99" s="1153"/>
      <c r="D99" s="1153"/>
      <c r="E99" s="597">
        <v>15</v>
      </c>
      <c r="F99" s="50" cm="1" t="str">
        <f t="array" ref="F99:F99">OFFSET(E99,-1,1)</f>
        <v>2</v>
      </c>
      <c r="G99" s="1153"/>
      <c r="H99" s="88" t="s">
        <v>445</v>
      </c>
      <c r="I99" s="1153"/>
      <c r="J99" s="1153"/>
      <c r="K99" s="1153"/>
      <c r="L99" s="1153"/>
      <c r="M99" s="1153"/>
      <c r="N99" s="1153"/>
      <c r="O99" s="1153"/>
      <c r="P99" s="1153"/>
      <c r="Q99" s="1153"/>
      <c r="R99" s="1153"/>
      <c r="S99" s="1153"/>
      <c r="T99" s="439" cm="1" t="str">
        <f t="array" ref="T99:T99">T98</f>
        <v>true</v>
      </c>
      <c r="U99" s="1153"/>
      <c r="V99" s="1153"/>
      <c r="W99" s="1153"/>
      <c r="X99" s="1482"/>
      <c r="Y99" s="1153"/>
      <c r="Z99" s="1465"/>
      <c r="AA99" s="1153"/>
      <c r="AB99" s="266" t="s">
        <v>848</v>
      </c>
      <c r="AC99" s="743" t="s">
        <v>1217</v>
      </c>
      <c r="AD99" s="267" t="s">
        <v>784</v>
      </c>
      <c r="AE99" s="764">
        <f>AE100+AE101+AE102</f>
        <v>0</v>
      </c>
      <c r="AF99" s="764">
        <f>AF100+AF101+AF102</f>
        <v>0</v>
      </c>
      <c r="AG99" s="764">
        <f>AG100+AG101+AG102</f>
        <v>0</v>
      </c>
      <c r="AH99" s="764">
        <f>AH100+AH101+AH102</f>
        <v>0</v>
      </c>
      <c r="AI99" s="764">
        <f>AI100+AI101+AI102</f>
        <v>0</v>
      </c>
      <c r="AJ99" s="764">
        <f>AJ100+AJ101+AJ102</f>
        <v>0</v>
      </c>
      <c r="AK99" s="764">
        <f>AK100+AK101+AK102</f>
        <v>0</v>
      </c>
      <c r="AL99" s="764">
        <f>AL100+AL101+AL102</f>
        <v>0</v>
      </c>
      <c r="AM99" s="764">
        <f>AM100+AM101+AM102</f>
        <v>0</v>
      </c>
      <c r="AN99" s="764">
        <f>AN100+AN101+AN102</f>
        <v>0</v>
      </c>
      <c r="AO99" s="764">
        <f>AO100+AO101+AO102</f>
        <v>0</v>
      </c>
      <c r="AP99" s="764">
        <f>AP100+AP101+AP102</f>
        <v>0</v>
      </c>
      <c r="AQ99" s="764">
        <f>AQ100+AQ101+AQ102</f>
        <v>0</v>
      </c>
      <c r="AR99" s="764">
        <f>AR100+AR101+AR102</f>
        <v>0</v>
      </c>
      <c r="AS99" s="764">
        <f>AS100+AS101+AS102</f>
        <v>0</v>
      </c>
      <c r="AT99" s="764">
        <f>AT100+AT101+AT102</f>
        <v>0</v>
      </c>
      <c r="AU99" s="764">
        <f>AU100+AU101+AU102</f>
        <v>0</v>
      </c>
      <c r="AV99" s="764">
        <f>AV100+AV101+AV102</f>
        <v>0</v>
      </c>
      <c r="AW99" s="764">
        <f>AW100+AW101+AW102</f>
        <v>0</v>
      </c>
      <c r="AX99" s="764">
        <f>AX100+AX101+AX102</f>
        <v>0</v>
      </c>
      <c r="AY99" s="764">
        <f>AY100+AY101+AY102</f>
        <v>0</v>
      </c>
      <c r="AZ99" s="764">
        <f>AZ100+AZ101+AZ102</f>
        <v>0</v>
      </c>
      <c r="BA99" s="764">
        <f>BA100+BA101+BA102</f>
        <v>0</v>
      </c>
      <c r="BB99" s="764">
        <f>BB100+BB101+BB102</f>
        <v>0</v>
      </c>
      <c r="BC99" s="764">
        <f>BC100+BC101+BC102</f>
        <v>0</v>
      </c>
      <c r="BD99" s="764">
        <f>BD100+BD101+BD102</f>
        <v>0</v>
      </c>
      <c r="BE99" s="755"/>
      <c r="BF99" s="1153"/>
      <c r="BG99" s="1153"/>
      <c r="BH99" s="980" t="s">
        <v>1218</v>
      </c>
    </row>
    <row s="1621" customFormat="1" customHeight="1" ht="14.25">
      <c r="A100" s="1153"/>
      <c r="B100" s="88"/>
      <c r="C100" s="1153"/>
      <c r="D100" s="1153"/>
      <c r="E100" s="597">
        <v>15</v>
      </c>
      <c r="F100" s="50" cm="1" t="str">
        <f t="array" ref="F100:F100">OFFSET(E100,-1,1)</f>
        <v>2</v>
      </c>
      <c r="G100" s="1153"/>
      <c r="H100" s="88" t="s">
        <v>1219</v>
      </c>
      <c r="I100" s="1153"/>
      <c r="J100" s="1153"/>
      <c r="K100" s="1153"/>
      <c r="L100" s="1153"/>
      <c r="M100" s="1153"/>
      <c r="N100" s="1153"/>
      <c r="O100" s="1153"/>
      <c r="P100" s="1153"/>
      <c r="Q100" s="1153"/>
      <c r="R100" s="1153"/>
      <c r="S100" s="1153"/>
      <c r="T100" s="439" cm="1" t="str">
        <f t="array" ref="T100:T100">T99</f>
        <v>true</v>
      </c>
      <c r="U100" s="1153"/>
      <c r="V100" s="1153"/>
      <c r="W100" s="1153"/>
      <c r="X100" s="1482"/>
      <c r="Y100" s="1153"/>
      <c r="Z100" s="1465"/>
      <c r="AA100" s="1153"/>
      <c r="AB100" s="266" t="s">
        <v>1220</v>
      </c>
      <c r="AC100" s="746" t="s">
        <v>1221</v>
      </c>
      <c r="AD100" s="267" t="s">
        <v>784</v>
      </c>
      <c r="AE100" s="753"/>
      <c r="AF100" s="753"/>
      <c r="AG100" s="753"/>
      <c r="AH100" s="753"/>
      <c r="AI100" s="753"/>
      <c r="AJ100" s="753"/>
      <c r="AK100" s="753"/>
      <c r="AL100" s="2636"/>
      <c r="AM100" s="2636"/>
      <c r="AN100" s="753"/>
      <c r="AO100" s="753"/>
      <c r="AP100" s="753"/>
      <c r="AQ100" s="753"/>
      <c r="AR100" s="753"/>
      <c r="AS100" s="753"/>
      <c r="AT100" s="753"/>
      <c r="AU100" s="753"/>
      <c r="AV100" s="2636"/>
      <c r="AW100" s="2636"/>
      <c r="AX100" s="753"/>
      <c r="AY100" s="753"/>
      <c r="AZ100" s="753"/>
      <c r="BA100" s="753"/>
      <c r="BB100" s="753"/>
      <c r="BC100" s="753"/>
      <c r="BD100" s="753"/>
      <c r="BE100" s="755"/>
      <c r="BF100" s="1153"/>
      <c r="BG100" s="1153"/>
      <c r="BH100" s="980" t="s">
        <v>1144</v>
      </c>
    </row>
    <row s="1621" customFormat="1" customHeight="1" ht="14.25">
      <c r="A101" s="1153"/>
      <c r="B101" s="88"/>
      <c r="C101" s="1153"/>
      <c r="D101" s="1153"/>
      <c r="E101" s="597">
        <v>15</v>
      </c>
      <c r="F101" s="50" cm="1" t="str">
        <f t="array" ref="F101:F101">OFFSET(E101,-1,1)</f>
        <v>2</v>
      </c>
      <c r="G101" s="1153"/>
      <c r="H101" s="88" t="s">
        <v>1222</v>
      </c>
      <c r="I101" s="1153"/>
      <c r="J101" s="1153"/>
      <c r="K101" s="1153"/>
      <c r="L101" s="1153"/>
      <c r="M101" s="1153"/>
      <c r="N101" s="1153"/>
      <c r="O101" s="1153"/>
      <c r="P101" s="1153"/>
      <c r="Q101" s="1153"/>
      <c r="R101" s="1153"/>
      <c r="S101" s="1153"/>
      <c r="T101" s="439" cm="1" t="str">
        <f t="array" ref="T101:T101">T100</f>
        <v>true</v>
      </c>
      <c r="U101" s="1153"/>
      <c r="V101" s="1153"/>
      <c r="W101" s="1153"/>
      <c r="X101" s="1482"/>
      <c r="Y101" s="1153"/>
      <c r="Z101" s="1465"/>
      <c r="AA101" s="1153"/>
      <c r="AB101" s="266" t="s">
        <v>1223</v>
      </c>
      <c r="AC101" s="746" t="s">
        <v>1224</v>
      </c>
      <c r="AD101" s="267" t="s">
        <v>784</v>
      </c>
      <c r="AE101" s="753"/>
      <c r="AF101" s="753"/>
      <c r="AG101" s="753"/>
      <c r="AH101" s="753"/>
      <c r="AI101" s="753"/>
      <c r="AJ101" s="753"/>
      <c r="AK101" s="753"/>
      <c r="AL101" s="2636"/>
      <c r="AM101" s="2636"/>
      <c r="AN101" s="753"/>
      <c r="AO101" s="753"/>
      <c r="AP101" s="753"/>
      <c r="AQ101" s="753"/>
      <c r="AR101" s="753"/>
      <c r="AS101" s="753"/>
      <c r="AT101" s="753"/>
      <c r="AU101" s="753"/>
      <c r="AV101" s="2636"/>
      <c r="AW101" s="2636"/>
      <c r="AX101" s="753"/>
      <c r="AY101" s="753"/>
      <c r="AZ101" s="753"/>
      <c r="BA101" s="753"/>
      <c r="BB101" s="753"/>
      <c r="BC101" s="753"/>
      <c r="BD101" s="753"/>
      <c r="BE101" s="755"/>
      <c r="BF101" s="1153"/>
      <c r="BG101" s="1153"/>
      <c r="BH101" s="980" t="s">
        <v>1225</v>
      </c>
    </row>
    <row s="1621" customFormat="1" customHeight="1" ht="14.25">
      <c r="A102" s="1153"/>
      <c r="B102" s="88"/>
      <c r="C102" s="1153"/>
      <c r="D102" s="1153"/>
      <c r="E102" s="597">
        <v>15</v>
      </c>
      <c r="F102" s="50" cm="1" t="str">
        <f t="array" ref="F102:F102">OFFSET(E102,-1,1)</f>
        <v>2</v>
      </c>
      <c r="G102" s="1153"/>
      <c r="H102" s="88" t="s">
        <v>1226</v>
      </c>
      <c r="I102" s="1153"/>
      <c r="J102" s="1153"/>
      <c r="K102" s="1153"/>
      <c r="L102" s="1153"/>
      <c r="M102" s="1153"/>
      <c r="N102" s="1153"/>
      <c r="O102" s="1153"/>
      <c r="P102" s="1153"/>
      <c r="Q102" s="1153"/>
      <c r="R102" s="1153"/>
      <c r="S102" s="1153"/>
      <c r="T102" s="439" cm="1" t="str">
        <f t="array" ref="T102:T102">T101</f>
        <v>true</v>
      </c>
      <c r="U102" s="1153"/>
      <c r="V102" s="1153"/>
      <c r="W102" s="1153"/>
      <c r="X102" s="1482"/>
      <c r="Y102" s="1153"/>
      <c r="Z102" s="1465"/>
      <c r="AA102" s="1153"/>
      <c r="AB102" s="266" t="s">
        <v>1227</v>
      </c>
      <c r="AC102" s="746" t="s">
        <v>1228</v>
      </c>
      <c r="AD102" s="267" t="s">
        <v>784</v>
      </c>
      <c r="AE102" s="753"/>
      <c r="AF102" s="753"/>
      <c r="AG102" s="753"/>
      <c r="AH102" s="753"/>
      <c r="AI102" s="753"/>
      <c r="AJ102" s="753"/>
      <c r="AK102" s="753"/>
      <c r="AL102" s="2636"/>
      <c r="AM102" s="2636"/>
      <c r="AN102" s="753"/>
      <c r="AO102" s="753"/>
      <c r="AP102" s="753"/>
      <c r="AQ102" s="753"/>
      <c r="AR102" s="753"/>
      <c r="AS102" s="753"/>
      <c r="AT102" s="753"/>
      <c r="AU102" s="753"/>
      <c r="AV102" s="2636"/>
      <c r="AW102" s="2636"/>
      <c r="AX102" s="753"/>
      <c r="AY102" s="753"/>
      <c r="AZ102" s="753"/>
      <c r="BA102" s="753"/>
      <c r="BB102" s="753"/>
      <c r="BC102" s="753"/>
      <c r="BD102" s="753"/>
      <c r="BE102" s="755"/>
      <c r="BF102" s="1153"/>
      <c r="BG102" s="1153"/>
      <c r="BH102" s="980" t="s">
        <v>1229</v>
      </c>
    </row>
    <row s="1621" customFormat="1" customHeight="1" ht="14.25">
      <c r="A103" s="1153"/>
      <c r="B103" s="88"/>
      <c r="C103" s="1153"/>
      <c r="D103" s="1153"/>
      <c r="E103" s="597">
        <v>15</v>
      </c>
      <c r="F103" s="50" cm="1" t="str">
        <f t="array" ref="F103:F103">OFFSET(E103,-1,1)</f>
        <v>2</v>
      </c>
      <c r="G103" s="1153"/>
      <c r="H103" s="88" t="s">
        <v>448</v>
      </c>
      <c r="I103" s="1153"/>
      <c r="J103" s="1153"/>
      <c r="K103" s="1153"/>
      <c r="L103" s="1153"/>
      <c r="M103" s="1153"/>
      <c r="N103" s="1153"/>
      <c r="O103" s="1153"/>
      <c r="P103" s="1153"/>
      <c r="Q103" s="1153"/>
      <c r="R103" s="1153"/>
      <c r="S103" s="1153"/>
      <c r="T103" s="439" cm="1" t="str">
        <f t="array" ref="T103:T103">T102</f>
        <v>true</v>
      </c>
      <c r="U103" s="1153"/>
      <c r="V103" s="1153"/>
      <c r="W103" s="1153"/>
      <c r="X103" s="1482"/>
      <c r="Y103" s="1153"/>
      <c r="Z103" s="1465"/>
      <c r="AA103" s="1153"/>
      <c r="AB103" s="266" t="s">
        <v>851</v>
      </c>
      <c r="AC103" s="743" t="s">
        <v>1230</v>
      </c>
      <c r="AD103" s="267" t="s">
        <v>784</v>
      </c>
      <c r="AE103" s="764">
        <f>AE104+AE105+AE106</f>
        <v>0</v>
      </c>
      <c r="AF103" s="764">
        <f>AF104+AF105+AF106</f>
        <v>0</v>
      </c>
      <c r="AG103" s="764">
        <f>AG104+AG105+AG106</f>
        <v>0</v>
      </c>
      <c r="AH103" s="764">
        <f>AH104+AH105+AH106</f>
        <v>0</v>
      </c>
      <c r="AI103" s="764">
        <f>AI104+AI105+AI106</f>
        <v>0</v>
      </c>
      <c r="AJ103" s="764">
        <f>AJ104+AJ105+AJ106</f>
        <v>0</v>
      </c>
      <c r="AK103" s="764">
        <f>AK104+AK105+AK106</f>
        <v>0</v>
      </c>
      <c r="AL103" s="764">
        <f>AL104+AL105+AL106</f>
        <v>0</v>
      </c>
      <c r="AM103" s="764">
        <f>AM104+AM105+AM106</f>
        <v>0</v>
      </c>
      <c r="AN103" s="764">
        <f>AN104+AN105+AN106</f>
        <v>0</v>
      </c>
      <c r="AO103" s="764">
        <f>AO104+AO105+AO106</f>
        <v>0</v>
      </c>
      <c r="AP103" s="764">
        <f>AP104+AP105+AP106</f>
        <v>0</v>
      </c>
      <c r="AQ103" s="764">
        <f>AQ104+AQ105+AQ106</f>
        <v>0</v>
      </c>
      <c r="AR103" s="764">
        <f>AR104+AR105+AR106</f>
        <v>0</v>
      </c>
      <c r="AS103" s="764">
        <f>AS104+AS105+AS106</f>
        <v>0</v>
      </c>
      <c r="AT103" s="764">
        <f>AT104+AT105+AT106</f>
        <v>0</v>
      </c>
      <c r="AU103" s="764">
        <f>AU104+AU105+AU106</f>
        <v>0</v>
      </c>
      <c r="AV103" s="764">
        <f>AV104+AV105+AV106</f>
        <v>0</v>
      </c>
      <c r="AW103" s="764">
        <f>AW104+AW105+AW106</f>
        <v>0</v>
      </c>
      <c r="AX103" s="764">
        <f>AX104+AX105+AX106</f>
        <v>0</v>
      </c>
      <c r="AY103" s="764">
        <f>AY104+AY105+AY106</f>
        <v>0</v>
      </c>
      <c r="AZ103" s="764">
        <f>AZ104+AZ105+AZ106</f>
        <v>0</v>
      </c>
      <c r="BA103" s="764">
        <f>BA104+BA105+BA106</f>
        <v>0</v>
      </c>
      <c r="BB103" s="764">
        <f>BB104+BB105+BB106</f>
        <v>0</v>
      </c>
      <c r="BC103" s="764">
        <f>BC104+BC105+BC106</f>
        <v>0</v>
      </c>
      <c r="BD103" s="764">
        <f>BD104+BD105+BD106</f>
        <v>0</v>
      </c>
      <c r="BE103" s="755"/>
      <c r="BF103" s="1153"/>
      <c r="BG103" s="1153"/>
      <c r="BH103" s="980" t="s">
        <v>1231</v>
      </c>
    </row>
    <row s="1621" customFormat="1" customHeight="1" ht="14.25">
      <c r="A104" s="1153"/>
      <c r="B104" s="88"/>
      <c r="C104" s="1153"/>
      <c r="D104" s="1153"/>
      <c r="E104" s="597">
        <v>15</v>
      </c>
      <c r="F104" s="50" cm="1" t="str">
        <f t="array" ref="F104:F104">OFFSET(E104,-1,1)</f>
        <v>2</v>
      </c>
      <c r="G104" s="1153"/>
      <c r="H104" s="88" t="s">
        <v>1232</v>
      </c>
      <c r="I104" s="1153"/>
      <c r="J104" s="1153"/>
      <c r="K104" s="1153"/>
      <c r="L104" s="1153"/>
      <c r="M104" s="1153"/>
      <c r="N104" s="1153"/>
      <c r="O104" s="1153"/>
      <c r="P104" s="1153"/>
      <c r="Q104" s="1153"/>
      <c r="R104" s="1153"/>
      <c r="S104" s="1153"/>
      <c r="T104" s="439" cm="1" t="str">
        <f t="array" ref="T104:T104">T103</f>
        <v>true</v>
      </c>
      <c r="U104" s="1153"/>
      <c r="V104" s="1153"/>
      <c r="W104" s="1153"/>
      <c r="X104" s="1482"/>
      <c r="Y104" s="1153"/>
      <c r="Z104" s="1465"/>
      <c r="AA104" s="1153"/>
      <c r="AB104" s="266" t="s">
        <v>1233</v>
      </c>
      <c r="AC104" s="746" t="s">
        <v>1234</v>
      </c>
      <c r="AD104" s="267" t="s">
        <v>784</v>
      </c>
      <c r="AE104" s="753"/>
      <c r="AF104" s="753"/>
      <c r="AG104" s="753"/>
      <c r="AH104" s="753"/>
      <c r="AI104" s="753"/>
      <c r="AJ104" s="753"/>
      <c r="AK104" s="753"/>
      <c r="AL104" s="2636"/>
      <c r="AM104" s="2636"/>
      <c r="AN104" s="753"/>
      <c r="AO104" s="753"/>
      <c r="AP104" s="753"/>
      <c r="AQ104" s="753"/>
      <c r="AR104" s="753"/>
      <c r="AS104" s="753"/>
      <c r="AT104" s="753"/>
      <c r="AU104" s="753"/>
      <c r="AV104" s="2636"/>
      <c r="AW104" s="2636"/>
      <c r="AX104" s="753"/>
      <c r="AY104" s="753"/>
      <c r="AZ104" s="753"/>
      <c r="BA104" s="753"/>
      <c r="BB104" s="753"/>
      <c r="BC104" s="753"/>
      <c r="BD104" s="753"/>
      <c r="BE104" s="755"/>
      <c r="BF104" s="1153"/>
      <c r="BG104" s="1153"/>
      <c r="BH104" s="980" t="s">
        <v>1235</v>
      </c>
    </row>
    <row s="1621" customFormat="1" customHeight="1" ht="14.25">
      <c r="A105" s="1153"/>
      <c r="B105" s="88"/>
      <c r="C105" s="1153"/>
      <c r="D105" s="1153"/>
      <c r="E105" s="597">
        <v>15</v>
      </c>
      <c r="F105" s="50" cm="1" t="str">
        <f t="array" ref="F105:F105">OFFSET(E105,-1,1)</f>
        <v>2</v>
      </c>
      <c r="G105" s="1153"/>
      <c r="H105" s="88" t="s">
        <v>1236</v>
      </c>
      <c r="I105" s="1153"/>
      <c r="J105" s="1153"/>
      <c r="K105" s="1153"/>
      <c r="L105" s="1153"/>
      <c r="M105" s="1153"/>
      <c r="N105" s="1153"/>
      <c r="O105" s="1153"/>
      <c r="P105" s="1153"/>
      <c r="Q105" s="1153"/>
      <c r="R105" s="1153"/>
      <c r="S105" s="1153"/>
      <c r="T105" s="439" cm="1" t="str">
        <f t="array" ref="T105:T105">T104</f>
        <v>true</v>
      </c>
      <c r="U105" s="1153"/>
      <c r="V105" s="1153"/>
      <c r="W105" s="1153"/>
      <c r="X105" s="1482"/>
      <c r="Y105" s="1153"/>
      <c r="Z105" s="1465"/>
      <c r="AA105" s="1153"/>
      <c r="AB105" s="266" t="s">
        <v>1237</v>
      </c>
      <c r="AC105" s="746" t="s">
        <v>1238</v>
      </c>
      <c r="AD105" s="267" t="s">
        <v>784</v>
      </c>
      <c r="AE105" s="753"/>
      <c r="AF105" s="753"/>
      <c r="AG105" s="753"/>
      <c r="AH105" s="753"/>
      <c r="AI105" s="753"/>
      <c r="AJ105" s="753"/>
      <c r="AK105" s="753"/>
      <c r="AL105" s="2636"/>
      <c r="AM105" s="2636"/>
      <c r="AN105" s="753"/>
      <c r="AO105" s="753"/>
      <c r="AP105" s="753"/>
      <c r="AQ105" s="753"/>
      <c r="AR105" s="753"/>
      <c r="AS105" s="753"/>
      <c r="AT105" s="753"/>
      <c r="AU105" s="753"/>
      <c r="AV105" s="2636"/>
      <c r="AW105" s="2636"/>
      <c r="AX105" s="753"/>
      <c r="AY105" s="753"/>
      <c r="AZ105" s="753"/>
      <c r="BA105" s="753"/>
      <c r="BB105" s="753"/>
      <c r="BC105" s="753"/>
      <c r="BD105" s="753"/>
      <c r="BE105" s="755"/>
      <c r="BF105" s="1153"/>
      <c r="BG105" s="1153"/>
      <c r="BH105" s="980" t="s">
        <v>1239</v>
      </c>
    </row>
    <row s="1621" customFormat="1" customHeight="1" ht="14.25">
      <c r="A106" s="1153"/>
      <c r="B106" s="88"/>
      <c r="C106" s="1153"/>
      <c r="D106" s="1153"/>
      <c r="E106" s="597">
        <v>15</v>
      </c>
      <c r="F106" s="50" cm="1" t="str">
        <f t="array" ref="F106:F106">OFFSET(E106,-1,1)</f>
        <v>2</v>
      </c>
      <c r="G106" s="1153"/>
      <c r="H106" s="88" t="s">
        <v>1240</v>
      </c>
      <c r="I106" s="1153"/>
      <c r="J106" s="1153"/>
      <c r="K106" s="1153"/>
      <c r="L106" s="1153"/>
      <c r="M106" s="1153"/>
      <c r="N106" s="1153"/>
      <c r="O106" s="1153"/>
      <c r="P106" s="1153"/>
      <c r="Q106" s="1153"/>
      <c r="R106" s="1153"/>
      <c r="S106" s="1153"/>
      <c r="T106" s="439" cm="1" t="str">
        <f t="array" ref="T106:T106">T105</f>
        <v>true</v>
      </c>
      <c r="U106" s="1153"/>
      <c r="V106" s="1153"/>
      <c r="W106" s="1153"/>
      <c r="X106" s="1482"/>
      <c r="Y106" s="1153"/>
      <c r="Z106" s="1465"/>
      <c r="AA106" s="1153"/>
      <c r="AB106" s="266" t="s">
        <v>1241</v>
      </c>
      <c r="AC106" s="746" t="s">
        <v>1242</v>
      </c>
      <c r="AD106" s="267" t="s">
        <v>784</v>
      </c>
      <c r="AE106" s="753"/>
      <c r="AF106" s="753"/>
      <c r="AG106" s="753"/>
      <c r="AH106" s="753"/>
      <c r="AI106" s="753"/>
      <c r="AJ106" s="753"/>
      <c r="AK106" s="753"/>
      <c r="AL106" s="2636"/>
      <c r="AM106" s="2636"/>
      <c r="AN106" s="753"/>
      <c r="AO106" s="753"/>
      <c r="AP106" s="753"/>
      <c r="AQ106" s="753"/>
      <c r="AR106" s="753"/>
      <c r="AS106" s="753"/>
      <c r="AT106" s="753"/>
      <c r="AU106" s="753"/>
      <c r="AV106" s="2636"/>
      <c r="AW106" s="2636"/>
      <c r="AX106" s="753"/>
      <c r="AY106" s="753"/>
      <c r="AZ106" s="753"/>
      <c r="BA106" s="753"/>
      <c r="BB106" s="753"/>
      <c r="BC106" s="753"/>
      <c r="BD106" s="753"/>
      <c r="BE106" s="755"/>
      <c r="BF106" s="1153"/>
      <c r="BG106" s="1153"/>
      <c r="BH106" s="980" t="s">
        <v>1243</v>
      </c>
    </row>
    <row s="1621" customFormat="1" customHeight="1" ht="14.25">
      <c r="A107" s="1153"/>
      <c r="B107" s="88"/>
      <c r="C107" s="1153"/>
      <c r="D107" s="1153"/>
      <c r="E107" s="597">
        <v>15</v>
      </c>
      <c r="F107" s="50" cm="1" t="str">
        <f t="array" ref="F107:F107">OFFSET(E107,-1,1)</f>
        <v>2</v>
      </c>
      <c r="G107" s="1153"/>
      <c r="H107" s="88" t="s">
        <v>452</v>
      </c>
      <c r="I107" s="1153"/>
      <c r="J107" s="1153"/>
      <c r="K107" s="1153"/>
      <c r="L107" s="1153"/>
      <c r="M107" s="1153"/>
      <c r="N107" s="1153"/>
      <c r="O107" s="1153"/>
      <c r="P107" s="1153"/>
      <c r="Q107" s="1153"/>
      <c r="R107" s="1153"/>
      <c r="S107" s="1153"/>
      <c r="T107" s="439" cm="1" t="str">
        <f t="array" ref="T107:T107">T106</f>
        <v>true</v>
      </c>
      <c r="U107" s="1153"/>
      <c r="V107" s="1153"/>
      <c r="W107" s="1153"/>
      <c r="X107" s="1482"/>
      <c r="Y107" s="1153"/>
      <c r="Z107" s="1465"/>
      <c r="AA107" s="1153"/>
      <c r="AB107" s="266" t="s">
        <v>854</v>
      </c>
      <c r="AC107" s="743" t="s">
        <v>1244</v>
      </c>
      <c r="AD107" s="267" t="s">
        <v>784</v>
      </c>
      <c r="AE107" s="764">
        <f>AE108+AE109+AE110+AE111</f>
        <v>0</v>
      </c>
      <c r="AF107" s="764">
        <f>AF108+AF109+AF110+AF111</f>
        <v>0</v>
      </c>
      <c r="AG107" s="764">
        <f>AG108+AG109+AG110+AG111</f>
        <v>0</v>
      </c>
      <c r="AH107" s="764">
        <f>AH108+AH109+AH110+AH111</f>
        <v>0</v>
      </c>
      <c r="AI107" s="764">
        <f>AI108+AI109+AI110+AI111</f>
        <v>0</v>
      </c>
      <c r="AJ107" s="764">
        <f>AJ108+AJ109+AJ110+AJ111</f>
        <v>0</v>
      </c>
      <c r="AK107" s="764">
        <f>AK108+AK109+AK110+AK111</f>
        <v>0</v>
      </c>
      <c r="AL107" s="764">
        <f>AL108+AL109+AL110+AL111</f>
        <v>0</v>
      </c>
      <c r="AM107" s="764">
        <f>AM108+AM109+AM110+AM111</f>
        <v>0</v>
      </c>
      <c r="AN107" s="764">
        <f>AN108+AN109+AN110+AN111</f>
        <v>0</v>
      </c>
      <c r="AO107" s="764">
        <f>AO108+AO109+AO110+AO111</f>
        <v>0</v>
      </c>
      <c r="AP107" s="764">
        <f>AP108+AP109+AP110+AP111</f>
        <v>0</v>
      </c>
      <c r="AQ107" s="764">
        <f>AQ108+AQ109+AQ110+AQ111</f>
        <v>0</v>
      </c>
      <c r="AR107" s="764">
        <f>AR108+AR109+AR110+AR111</f>
        <v>0</v>
      </c>
      <c r="AS107" s="764">
        <f>AS108+AS109+AS110+AS111</f>
        <v>0</v>
      </c>
      <c r="AT107" s="764">
        <f>AT108+AT109+AT110+AT111</f>
        <v>0</v>
      </c>
      <c r="AU107" s="764">
        <f>AU108+AU109+AU110+AU111</f>
        <v>0</v>
      </c>
      <c r="AV107" s="764">
        <f>AV108+AV109+AV110+AV111</f>
        <v>0</v>
      </c>
      <c r="AW107" s="764">
        <f>AW108+AW109+AW110+AW111</f>
        <v>0</v>
      </c>
      <c r="AX107" s="764">
        <f>AX108+AX109+AX110+AX111</f>
        <v>0</v>
      </c>
      <c r="AY107" s="764">
        <f>AY108+AY109+AY110+AY111</f>
        <v>0</v>
      </c>
      <c r="AZ107" s="764">
        <f>AZ108+AZ109+AZ110+AZ111</f>
        <v>0</v>
      </c>
      <c r="BA107" s="764">
        <f>BA108+BA109+BA110+BA111</f>
        <v>0</v>
      </c>
      <c r="BB107" s="764">
        <f>BB108+BB109+BB110+BB111</f>
        <v>0</v>
      </c>
      <c r="BC107" s="764">
        <f>BC108+BC109+BC110+BC111</f>
        <v>0</v>
      </c>
      <c r="BD107" s="764">
        <f>BD108+BD109+BD110+BD111</f>
        <v>0</v>
      </c>
      <c r="BE107" s="755"/>
      <c r="BF107" s="1153"/>
      <c r="BG107" s="1153"/>
      <c r="BH107" s="980" t="s">
        <v>1245</v>
      </c>
    </row>
    <row s="1621" customFormat="1" customHeight="1" ht="14.25">
      <c r="A108" s="1153"/>
      <c r="B108" s="88"/>
      <c r="C108" s="1153"/>
      <c r="D108" s="1153"/>
      <c r="E108" s="597">
        <v>15</v>
      </c>
      <c r="F108" s="50" cm="1" t="str">
        <f t="array" ref="F108:F108">OFFSET(E108,-1,1)</f>
        <v>2</v>
      </c>
      <c r="G108" s="1153"/>
      <c r="H108" s="88" t="s">
        <v>1246</v>
      </c>
      <c r="I108" s="1153"/>
      <c r="J108" s="1153"/>
      <c r="K108" s="1153"/>
      <c r="L108" s="1153"/>
      <c r="M108" s="1153"/>
      <c r="N108" s="1153"/>
      <c r="O108" s="1153"/>
      <c r="P108" s="1153"/>
      <c r="Q108" s="1153"/>
      <c r="R108" s="1153"/>
      <c r="S108" s="1153"/>
      <c r="T108" s="439" cm="1" t="str">
        <f t="array" ref="T108:T108">T107</f>
        <v>true</v>
      </c>
      <c r="U108" s="1153"/>
      <c r="V108" s="1153"/>
      <c r="W108" s="1153"/>
      <c r="X108" s="1482"/>
      <c r="Y108" s="1153"/>
      <c r="Z108" s="1465"/>
      <c r="AA108" s="1153"/>
      <c r="AB108" s="266" t="s">
        <v>971</v>
      </c>
      <c r="AC108" s="746" t="s">
        <v>965</v>
      </c>
      <c r="AD108" s="267" t="s">
        <v>784</v>
      </c>
      <c r="AE108" s="753"/>
      <c r="AF108" s="753"/>
      <c r="AG108" s="753"/>
      <c r="AH108" s="753"/>
      <c r="AI108" s="753"/>
      <c r="AJ108" s="753"/>
      <c r="AK108" s="753"/>
      <c r="AL108" s="2636"/>
      <c r="AM108" s="2636"/>
      <c r="AN108" s="753"/>
      <c r="AO108" s="753"/>
      <c r="AP108" s="753"/>
      <c r="AQ108" s="753"/>
      <c r="AR108" s="753"/>
      <c r="AS108" s="753"/>
      <c r="AT108" s="753"/>
      <c r="AU108" s="753"/>
      <c r="AV108" s="2636"/>
      <c r="AW108" s="2636"/>
      <c r="AX108" s="753"/>
      <c r="AY108" s="753"/>
      <c r="AZ108" s="753"/>
      <c r="BA108" s="753"/>
      <c r="BB108" s="753"/>
      <c r="BC108" s="753"/>
      <c r="BD108" s="753"/>
      <c r="BE108" s="755"/>
      <c r="BF108" s="1153"/>
      <c r="BG108" s="1153"/>
      <c r="BH108" s="980" t="s">
        <v>967</v>
      </c>
    </row>
    <row s="1621" customFormat="1" customHeight="1" ht="21.75">
      <c r="A109" s="1153"/>
      <c r="B109" s="88"/>
      <c r="C109" s="1153"/>
      <c r="D109" s="1153"/>
      <c r="E109" s="597">
        <v>22.5</v>
      </c>
      <c r="F109" s="50" cm="1" t="str">
        <f t="array" ref="F109:F109">OFFSET(E109,-1,1)</f>
        <v>2</v>
      </c>
      <c r="G109" s="1153"/>
      <c r="H109" s="88" t="s">
        <v>1247</v>
      </c>
      <c r="I109" s="1153"/>
      <c r="J109" s="1153"/>
      <c r="K109" s="1153"/>
      <c r="L109" s="1153"/>
      <c r="M109" s="1153"/>
      <c r="N109" s="1153"/>
      <c r="O109" s="1153"/>
      <c r="P109" s="1153"/>
      <c r="Q109" s="1153"/>
      <c r="R109" s="1153"/>
      <c r="S109" s="1153"/>
      <c r="T109" s="439" cm="1" t="str">
        <f t="array" ref="T109:T109">T108</f>
        <v>true</v>
      </c>
      <c r="U109" s="1153"/>
      <c r="V109" s="1153"/>
      <c r="W109" s="1153"/>
      <c r="X109" s="1482"/>
      <c r="Y109" s="1153"/>
      <c r="Z109" s="1465"/>
      <c r="AA109" s="1153"/>
      <c r="AB109" s="266" t="s">
        <v>974</v>
      </c>
      <c r="AC109" s="746" t="s">
        <v>1248</v>
      </c>
      <c r="AD109" s="267" t="s">
        <v>784</v>
      </c>
      <c r="AE109" s="753"/>
      <c r="AF109" s="753"/>
      <c r="AG109" s="753"/>
      <c r="AH109" s="753"/>
      <c r="AI109" s="753"/>
      <c r="AJ109" s="753"/>
      <c r="AK109" s="753"/>
      <c r="AL109" s="2636"/>
      <c r="AM109" s="2636"/>
      <c r="AN109" s="753"/>
      <c r="AO109" s="753"/>
      <c r="AP109" s="753"/>
      <c r="AQ109" s="753"/>
      <c r="AR109" s="753"/>
      <c r="AS109" s="753"/>
      <c r="AT109" s="753"/>
      <c r="AU109" s="753"/>
      <c r="AV109" s="2636"/>
      <c r="AW109" s="2636"/>
      <c r="AX109" s="753"/>
      <c r="AY109" s="753"/>
      <c r="AZ109" s="753"/>
      <c r="BA109" s="753"/>
      <c r="BB109" s="753"/>
      <c r="BC109" s="753"/>
      <c r="BD109" s="753"/>
      <c r="BE109" s="755"/>
      <c r="BF109" s="1153"/>
      <c r="BG109" s="1153"/>
      <c r="BH109" s="980" t="s">
        <v>1249</v>
      </c>
    </row>
    <row s="1621" customFormat="1" customHeight="1" ht="21.75">
      <c r="A110" s="1153"/>
      <c r="B110" s="88"/>
      <c r="C110" s="1153"/>
      <c r="D110" s="1153"/>
      <c r="E110" s="597">
        <v>22.5</v>
      </c>
      <c r="F110" s="50" cm="1" t="str">
        <f t="array" ref="F110:F110">OFFSET(E110,-1,1)</f>
        <v>2</v>
      </c>
      <c r="G110" s="1153"/>
      <c r="H110" s="88" t="s">
        <v>1250</v>
      </c>
      <c r="I110" s="1153"/>
      <c r="J110" s="1153"/>
      <c r="K110" s="1153"/>
      <c r="L110" s="1153"/>
      <c r="M110" s="1153"/>
      <c r="N110" s="1153"/>
      <c r="O110" s="1153"/>
      <c r="P110" s="1153"/>
      <c r="Q110" s="1153"/>
      <c r="R110" s="1153"/>
      <c r="S110" s="1153"/>
      <c r="T110" s="439" cm="1" t="str">
        <f t="array" ref="T110:T110">T109</f>
        <v>true</v>
      </c>
      <c r="U110" s="1153"/>
      <c r="V110" s="1153"/>
      <c r="W110" s="1153"/>
      <c r="X110" s="1482"/>
      <c r="Y110" s="1153"/>
      <c r="Z110" s="1465"/>
      <c r="AA110" s="1153"/>
      <c r="AB110" s="266" t="s">
        <v>1251</v>
      </c>
      <c r="AC110" s="746" t="s">
        <v>1252</v>
      </c>
      <c r="AD110" s="267" t="s">
        <v>784</v>
      </c>
      <c r="AE110" s="753"/>
      <c r="AF110" s="753"/>
      <c r="AG110" s="753"/>
      <c r="AH110" s="753"/>
      <c r="AI110" s="753"/>
      <c r="AJ110" s="753"/>
      <c r="AK110" s="753"/>
      <c r="AL110" s="2636"/>
      <c r="AM110" s="2636"/>
      <c r="AN110" s="753"/>
      <c r="AO110" s="753"/>
      <c r="AP110" s="753"/>
      <c r="AQ110" s="753"/>
      <c r="AR110" s="753"/>
      <c r="AS110" s="753"/>
      <c r="AT110" s="753"/>
      <c r="AU110" s="753"/>
      <c r="AV110" s="2636"/>
      <c r="AW110" s="2636"/>
      <c r="AX110" s="753"/>
      <c r="AY110" s="753"/>
      <c r="AZ110" s="753"/>
      <c r="BA110" s="753"/>
      <c r="BB110" s="753"/>
      <c r="BC110" s="753"/>
      <c r="BD110" s="753"/>
      <c r="BE110" s="755"/>
      <c r="BF110" s="1153"/>
      <c r="BG110" s="1153"/>
      <c r="BH110" s="980" t="s">
        <v>1253</v>
      </c>
    </row>
    <row s="1621" customFormat="1" customHeight="1" ht="14.25">
      <c r="A111" s="1153"/>
      <c r="B111" s="88"/>
      <c r="C111" s="1153"/>
      <c r="D111" s="1153"/>
      <c r="E111" s="597">
        <v>15</v>
      </c>
      <c r="F111" s="50" cm="1" t="str">
        <f t="array" ref="F111:F111">OFFSET(E111,-1,1)</f>
        <v>2</v>
      </c>
      <c r="G111" s="1153"/>
      <c r="H111" s="88" t="s">
        <v>1254</v>
      </c>
      <c r="I111" s="1153"/>
      <c r="J111" s="1153"/>
      <c r="K111" s="1153"/>
      <c r="L111" s="1153"/>
      <c r="M111" s="1153"/>
      <c r="N111" s="1153"/>
      <c r="O111" s="1153"/>
      <c r="P111" s="1153"/>
      <c r="Q111" s="1153"/>
      <c r="R111" s="1153"/>
      <c r="S111" s="1153"/>
      <c r="T111" s="439" cm="1" t="str">
        <f t="array" ref="T111:T111">T110</f>
        <v>true</v>
      </c>
      <c r="U111" s="1153"/>
      <c r="V111" s="1153"/>
      <c r="W111" s="1153"/>
      <c r="X111" s="1482"/>
      <c r="Y111" s="1153"/>
      <c r="Z111" s="1465"/>
      <c r="AA111" s="1153"/>
      <c r="AB111" s="266" t="s">
        <v>1255</v>
      </c>
      <c r="AC111" s="746" t="s">
        <v>1256</v>
      </c>
      <c r="AD111" s="267" t="s">
        <v>784</v>
      </c>
      <c r="AE111" s="753"/>
      <c r="AF111" s="753"/>
      <c r="AG111" s="753"/>
      <c r="AH111" s="753"/>
      <c r="AI111" s="753"/>
      <c r="AJ111" s="753"/>
      <c r="AK111" s="753"/>
      <c r="AL111" s="2636"/>
      <c r="AM111" s="2636"/>
      <c r="AN111" s="753"/>
      <c r="AO111" s="753"/>
      <c r="AP111" s="753"/>
      <c r="AQ111" s="753"/>
      <c r="AR111" s="753"/>
      <c r="AS111" s="753"/>
      <c r="AT111" s="753"/>
      <c r="AU111" s="753"/>
      <c r="AV111" s="2636"/>
      <c r="AW111" s="2636"/>
      <c r="AX111" s="753"/>
      <c r="AY111" s="753"/>
      <c r="AZ111" s="753"/>
      <c r="BA111" s="753"/>
      <c r="BB111" s="753"/>
      <c r="BC111" s="753"/>
      <c r="BD111" s="753"/>
      <c r="BE111" s="755"/>
      <c r="BF111" s="1153"/>
      <c r="BG111" s="1153"/>
      <c r="BH111" s="980" t="s">
        <v>1257</v>
      </c>
    </row>
    <row s="3304" customFormat="1" customHeight="1" ht="21.75">
      <c r="A112" s="678"/>
      <c r="B112" s="88"/>
      <c r="C112" s="678"/>
      <c r="D112" s="678"/>
      <c r="E112" s="671">
        <v>22.5</v>
      </c>
      <c r="F112" s="50" cm="1" t="str">
        <f t="array" ref="F112:F112">OFFSET(E112,-1,1)</f>
        <v>2</v>
      </c>
      <c r="G112" s="88"/>
      <c r="H112" s="88" t="s">
        <v>326</v>
      </c>
      <c r="I112" s="678"/>
      <c r="J112" s="678"/>
      <c r="K112" s="678"/>
      <c r="L112" s="678"/>
      <c r="M112" s="678"/>
      <c r="N112" s="678"/>
      <c r="O112" s="678"/>
      <c r="P112" s="678"/>
      <c r="Q112" s="678"/>
      <c r="R112" s="678"/>
      <c r="S112" s="678"/>
      <c r="T112" s="439" cm="1" t="str">
        <f t="array" ref="T112:T112">T111</f>
        <v>true</v>
      </c>
      <c r="U112" s="678"/>
      <c r="V112" s="678"/>
      <c r="W112" s="678"/>
      <c r="X112" s="1482"/>
      <c r="Y112" s="678"/>
      <c r="Z112" s="1465"/>
      <c r="AA112" s="678"/>
      <c r="AB112" s="185" t="s">
        <v>283</v>
      </c>
      <c r="AC112" s="186" t="s">
        <v>1258</v>
      </c>
      <c r="AD112" s="178" t="s">
        <v>784</v>
      </c>
      <c r="AE112" s="180">
        <f>AE113+AE114+AE115</f>
        <v>0</v>
      </c>
      <c r="AF112" s="180">
        <f>AF113+AF114+AF115</f>
        <v>0</v>
      </c>
      <c r="AG112" s="180">
        <f>AG113+AG114+AG115</f>
        <v>0</v>
      </c>
      <c r="AH112" s="180">
        <f>AH113+AH114+AH115</f>
        <v>0</v>
      </c>
      <c r="AI112" s="180">
        <f>AI113+AI114+AI115</f>
        <v>0</v>
      </c>
      <c r="AJ112" s="180">
        <f>AJ113+AJ114+AJ115</f>
        <v>0</v>
      </c>
      <c r="AK112" s="180">
        <f>AK113+AK114+AK115</f>
        <v>0</v>
      </c>
      <c r="AL112" s="180">
        <f>AL113+AL114+AL115</f>
        <v>0</v>
      </c>
      <c r="AM112" s="180">
        <f>AM113+AM114+AM115</f>
        <v>0</v>
      </c>
      <c r="AN112" s="180">
        <f>AN113+AN114+AN115</f>
        <v>0</v>
      </c>
      <c r="AO112" s="180">
        <f>AO113+AO114+AO115</f>
        <v>0</v>
      </c>
      <c r="AP112" s="180">
        <f>AP113+AP114+AP115</f>
        <v>0</v>
      </c>
      <c r="AQ112" s="180">
        <f>AQ113+AQ114+AQ115</f>
        <v>0</v>
      </c>
      <c r="AR112" s="180">
        <f>AR113+AR114+AR115</f>
        <v>0</v>
      </c>
      <c r="AS112" s="180">
        <f>AS113+AS114+AS115</f>
        <v>0</v>
      </c>
      <c r="AT112" s="180">
        <f>AT113+AT114+AT115</f>
        <v>0</v>
      </c>
      <c r="AU112" s="180">
        <f>AU113+AU114+AU115</f>
        <v>0</v>
      </c>
      <c r="AV112" s="180">
        <f>AV113+AV114+AV115</f>
        <v>0</v>
      </c>
      <c r="AW112" s="180">
        <f>AW113+AW114+AW115</f>
        <v>0</v>
      </c>
      <c r="AX112" s="180">
        <f>AX113+AX114+AX115</f>
        <v>0</v>
      </c>
      <c r="AY112" s="180">
        <f>AY113+AY114+AY115</f>
        <v>0</v>
      </c>
      <c r="AZ112" s="180">
        <f>AZ113+AZ114+AZ115</f>
        <v>0</v>
      </c>
      <c r="BA112" s="180">
        <f>BA113+BA114+BA115</f>
        <v>0</v>
      </c>
      <c r="BB112" s="180">
        <f>BB113+BB114+BB115</f>
        <v>0</v>
      </c>
      <c r="BC112" s="180">
        <f>BC113+BC114+BC115</f>
        <v>0</v>
      </c>
      <c r="BD112" s="180">
        <f>BD113+BD114+BD115</f>
        <v>0</v>
      </c>
      <c r="BE112" s="755"/>
      <c r="BF112" s="678"/>
      <c r="BG112" s="678"/>
      <c r="BH112" s="1035" t="s">
        <v>1259</v>
      </c>
    </row>
    <row s="1621" customFormat="1" customHeight="1" ht="14.25">
      <c r="A113" s="1153"/>
      <c r="B113" s="88"/>
      <c r="C113" s="1153"/>
      <c r="D113" s="1153"/>
      <c r="E113" s="597">
        <v>15</v>
      </c>
      <c r="F113" s="50" cm="1" t="str">
        <f t="array" ref="F113:F113">OFFSET(E113,-1,1)</f>
        <v>2</v>
      </c>
      <c r="G113" s="1153"/>
      <c r="H113" s="88" t="s">
        <v>459</v>
      </c>
      <c r="I113" s="1153"/>
      <c r="J113" s="1153"/>
      <c r="K113" s="90" t="str">
        <f>F113&amp;"2komm"</f>
        <v>22komm</v>
      </c>
      <c r="L113" s="90" cm="1" t="str">
        <f t="array" ref="L113:L113">BE113</f>
        <v>0</v>
      </c>
      <c r="M113" s="1153"/>
      <c r="N113" s="1153"/>
      <c r="O113" s="1153"/>
      <c r="P113" s="1153"/>
      <c r="Q113" s="1153"/>
      <c r="R113" s="1153"/>
      <c r="S113" s="1153"/>
      <c r="T113" s="439" cm="1" t="str">
        <f t="array" ref="T113:T113">T112</f>
        <v>true</v>
      </c>
      <c r="U113" s="1153"/>
      <c r="V113" s="1153"/>
      <c r="W113" s="1153"/>
      <c r="X113" s="1482"/>
      <c r="Y113" s="1153"/>
      <c r="Z113" s="1465"/>
      <c r="AA113" s="1153"/>
      <c r="AB113" s="266" t="s">
        <v>515</v>
      </c>
      <c r="AC113" s="743" t="s">
        <v>1260</v>
      </c>
      <c r="AD113" s="267" t="s">
        <v>784</v>
      </c>
      <c r="AE113" s="753"/>
      <c r="AF113" s="753"/>
      <c r="AG113" s="753"/>
      <c r="AH113" s="753"/>
      <c r="AI113" s="753"/>
      <c r="AJ113" s="753"/>
      <c r="AK113" s="753"/>
      <c r="AL113" s="2636"/>
      <c r="AM113" s="2636"/>
      <c r="AN113" s="753"/>
      <c r="AO113" s="753"/>
      <c r="AP113" s="753"/>
      <c r="AQ113" s="753"/>
      <c r="AR113" s="753"/>
      <c r="AS113" s="753"/>
      <c r="AT113" s="753"/>
      <c r="AU113" s="753"/>
      <c r="AV113" s="2636"/>
      <c r="AW113" s="2636"/>
      <c r="AX113" s="753"/>
      <c r="AY113" s="753"/>
      <c r="AZ113" s="753"/>
      <c r="BA113" s="753"/>
      <c r="BB113" s="753"/>
      <c r="BC113" s="753"/>
      <c r="BD113" s="753"/>
      <c r="BE113" s="755"/>
      <c r="BF113" s="1153"/>
      <c r="BG113" s="1153"/>
      <c r="BH113" s="980" t="s">
        <v>1261</v>
      </c>
    </row>
    <row s="1621" customFormat="1" customHeight="1" ht="14.25">
      <c r="A114" s="1153"/>
      <c r="B114" s="88"/>
      <c r="C114" s="1153"/>
      <c r="D114" s="1153"/>
      <c r="E114" s="597">
        <v>15</v>
      </c>
      <c r="F114" s="50" cm="1" t="str">
        <f t="array" ref="F114:F114">OFFSET(E114,-1,1)</f>
        <v>2</v>
      </c>
      <c r="G114" s="1153"/>
      <c r="H114" s="88" t="s">
        <v>462</v>
      </c>
      <c r="I114" s="1153"/>
      <c r="J114" s="1153"/>
      <c r="K114" s="90" t="str">
        <f>F114&amp;"3komm"</f>
        <v>23komm</v>
      </c>
      <c r="L114" s="90" cm="1" t="str">
        <f t="array" ref="L114:L114">BE114</f>
        <v>0</v>
      </c>
      <c r="M114" s="1153"/>
      <c r="N114" s="1153"/>
      <c r="O114" s="1153"/>
      <c r="P114" s="1153"/>
      <c r="Q114" s="1153"/>
      <c r="R114" s="1153"/>
      <c r="S114" s="1153"/>
      <c r="T114" s="439" cm="1" t="str">
        <f t="array" ref="T114:T114">T113</f>
        <v>true</v>
      </c>
      <c r="U114" s="1153"/>
      <c r="V114" s="1153"/>
      <c r="W114" s="1153"/>
      <c r="X114" s="1482"/>
      <c r="Y114" s="1153"/>
      <c r="Z114" s="1465"/>
      <c r="AA114" s="1153"/>
      <c r="AB114" s="266" t="s">
        <v>519</v>
      </c>
      <c r="AC114" s="743" t="s">
        <v>1262</v>
      </c>
      <c r="AD114" s="267" t="s">
        <v>784</v>
      </c>
      <c r="AE114" s="753"/>
      <c r="AF114" s="753"/>
      <c r="AG114" s="753"/>
      <c r="AH114" s="753"/>
      <c r="AI114" s="753"/>
      <c r="AJ114" s="753"/>
      <c r="AK114" s="753"/>
      <c r="AL114" s="2636"/>
      <c r="AM114" s="2636"/>
      <c r="AN114" s="753"/>
      <c r="AO114" s="753"/>
      <c r="AP114" s="753"/>
      <c r="AQ114" s="753"/>
      <c r="AR114" s="753"/>
      <c r="AS114" s="753"/>
      <c r="AT114" s="753"/>
      <c r="AU114" s="753"/>
      <c r="AV114" s="2636"/>
      <c r="AW114" s="2636"/>
      <c r="AX114" s="753"/>
      <c r="AY114" s="753"/>
      <c r="AZ114" s="753"/>
      <c r="BA114" s="753"/>
      <c r="BB114" s="753"/>
      <c r="BC114" s="753"/>
      <c r="BD114" s="753"/>
      <c r="BE114" s="755"/>
      <c r="BF114" s="1153"/>
      <c r="BG114" s="1153"/>
      <c r="BH114" s="980" t="s">
        <v>1263</v>
      </c>
    </row>
    <row s="1621" customFormat="1" customHeight="1" ht="14.25">
      <c r="A115" s="1153"/>
      <c r="B115" s="88"/>
      <c r="C115" s="1153"/>
      <c r="D115" s="1153"/>
      <c r="E115" s="597">
        <v>15</v>
      </c>
      <c r="F115" s="50" cm="1" t="str">
        <f t="array" ref="F115:F115">OFFSET(E115,-1,1)</f>
        <v>2</v>
      </c>
      <c r="G115" s="1153"/>
      <c r="H115" s="88" t="s">
        <v>865</v>
      </c>
      <c r="I115" s="1153"/>
      <c r="J115" s="1153"/>
      <c r="K115" s="1153"/>
      <c r="L115" s="1153"/>
      <c r="M115" s="1153"/>
      <c r="N115" s="1153"/>
      <c r="O115" s="1153"/>
      <c r="P115" s="1153"/>
      <c r="Q115" s="1153"/>
      <c r="R115" s="1153"/>
      <c r="S115" s="1153"/>
      <c r="T115" s="439" cm="1" t="str">
        <f t="array" ref="T115:T115">T114</f>
        <v>true</v>
      </c>
      <c r="U115" s="1153"/>
      <c r="V115" s="1153"/>
      <c r="W115" s="1153"/>
      <c r="X115" s="1482"/>
      <c r="Y115" s="1153"/>
      <c r="Z115" s="1465"/>
      <c r="AA115" s="1153"/>
      <c r="AB115" s="266" t="s">
        <v>523</v>
      </c>
      <c r="AC115" s="743" t="s">
        <v>1264</v>
      </c>
      <c r="AD115" s="267" t="s">
        <v>784</v>
      </c>
      <c r="AE115" s="753"/>
      <c r="AF115" s="753"/>
      <c r="AG115" s="753"/>
      <c r="AH115" s="753"/>
      <c r="AI115" s="753"/>
      <c r="AJ115" s="753"/>
      <c r="AK115" s="753"/>
      <c r="AL115" s="2636"/>
      <c r="AM115" s="2636"/>
      <c r="AN115" s="753"/>
      <c r="AO115" s="753"/>
      <c r="AP115" s="753"/>
      <c r="AQ115" s="753"/>
      <c r="AR115" s="753"/>
      <c r="AS115" s="753"/>
      <c r="AT115" s="753"/>
      <c r="AU115" s="753"/>
      <c r="AV115" s="2636"/>
      <c r="AW115" s="2636"/>
      <c r="AX115" s="753"/>
      <c r="AY115" s="753"/>
      <c r="AZ115" s="753"/>
      <c r="BA115" s="753"/>
      <c r="BB115" s="753"/>
      <c r="BC115" s="753"/>
      <c r="BD115" s="753"/>
      <c r="BE115" s="755"/>
      <c r="BF115" s="1153"/>
      <c r="BG115" s="1153"/>
      <c r="BH115" s="980" t="s">
        <v>1265</v>
      </c>
    </row>
    <row s="1621" customFormat="1" customHeight="1" ht="25.350000000000005">
      <c r="A116" s="473"/>
      <c r="B116" s="638"/>
      <c r="C116" s="473"/>
      <c r="D116" s="473"/>
      <c r="E116" s="639">
        <v>26</v>
      </c>
      <c r="F116" s="473"/>
      <c r="G116" s="473"/>
      <c r="H116" s="473"/>
      <c r="I116" s="473"/>
      <c r="J116" s="473"/>
      <c r="K116" s="473"/>
      <c r="L116" s="473"/>
      <c r="M116" s="473"/>
      <c r="N116" s="473"/>
      <c r="O116" s="473"/>
      <c r="P116" s="473"/>
      <c r="Q116" s="316"/>
      <c r="R116" s="473"/>
      <c r="S116" s="473"/>
      <c r="T116" s="473"/>
      <c r="U116" s="456" t="s">
        <v>177</v>
      </c>
      <c r="V116" s="106" t="s">
        <v>1266</v>
      </c>
      <c r="W116" s="473"/>
      <c r="X116" s="473"/>
      <c r="Y116" s="473"/>
      <c r="Z116" s="473"/>
      <c r="AA116" s="88"/>
      <c r="AB116" s="88"/>
      <c r="AC116" s="64" t="s">
        <v>1267</v>
      </c>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H116" s="987"/>
    </row>
    <row customHeight="1" ht="14.625">
      <c r="E117" s="597">
        <v>15</v>
      </c>
      <c r="AB117" s="1485" t="s">
        <v>398</v>
      </c>
      <c r="AC117" s="1561"/>
      <c r="AD117" s="1561"/>
      <c r="AE117" s="1561"/>
      <c r="AF117" s="1561"/>
      <c r="AG117" s="1561"/>
      <c r="AH117" s="1561"/>
      <c r="AI117" s="1561"/>
      <c r="AJ117" s="1561"/>
      <c r="AK117" s="1561"/>
      <c r="AL117" s="1561"/>
      <c r="AM117" s="1561"/>
      <c r="AN117" s="1561"/>
      <c r="AO117" s="1561"/>
      <c r="AP117" s="1561"/>
      <c r="AQ117" s="1561"/>
      <c r="AR117" s="1561"/>
      <c r="AS117" s="1561"/>
      <c r="AT117" s="1561"/>
      <c r="AU117" s="1561"/>
      <c r="AV117" s="1561"/>
      <c r="AW117" s="1561"/>
      <c r="AX117" s="1561"/>
      <c r="AY117" s="1561"/>
      <c r="AZ117" s="1561"/>
      <c r="BA117" s="1561"/>
      <c r="BB117" s="1561"/>
      <c r="BC117" s="1561"/>
      <c r="BD117" s="1561"/>
      <c r="BE117" s="1561"/>
    </row>
    <row customHeight="1" ht="14.625">
      <c r="E118" s="597">
        <v>15</v>
      </c>
      <c r="AA118" s="140"/>
      <c r="AB118" s="1562"/>
      <c r="AC118" s="1562"/>
      <c r="AD118" s="1562"/>
      <c r="AE118" s="1562"/>
      <c r="AF118" s="1562"/>
      <c r="AG118" s="1562"/>
      <c r="AH118" s="1562"/>
      <c r="AI118" s="1562"/>
      <c r="AJ118" s="1562"/>
      <c r="AK118" s="1562"/>
      <c r="AL118" s="3307"/>
      <c r="AM118" s="3307"/>
      <c r="AN118" s="3307"/>
      <c r="AO118" s="3307"/>
      <c r="AP118" s="3307"/>
      <c r="AQ118" s="3307"/>
      <c r="AR118" s="3307"/>
      <c r="AS118" s="3307"/>
      <c r="AT118" s="3307"/>
      <c r="AU118" s="1562"/>
      <c r="AV118" s="3307"/>
      <c r="AW118" s="3307"/>
      <c r="AX118" s="3307"/>
      <c r="AY118" s="3307"/>
      <c r="AZ118" s="3307"/>
      <c r="BA118" s="3307"/>
      <c r="BB118" s="3307"/>
      <c r="BC118" s="3307"/>
      <c r="BD118" s="3307"/>
      <c r="BE118" s="1562"/>
    </row>
    <row customHeight="1" ht="14.625" hidden="1">
      <c r="A119" s="1153"/>
      <c r="B119" s="1160"/>
      <c r="C119" s="1153"/>
      <c r="D119" s="1153"/>
      <c r="E119" s="597">
        <v>15</v>
      </c>
      <c r="F119" s="1153"/>
      <c r="G119" s="1153"/>
      <c r="H119" s="1153"/>
      <c r="I119" s="1153"/>
      <c r="J119" s="1153"/>
      <c r="K119" s="1153"/>
      <c r="L119" s="1153"/>
      <c r="M119" s="1153"/>
      <c r="N119" s="1153"/>
      <c r="O119" s="1153"/>
      <c r="P119" s="1153"/>
      <c r="Q119" s="1153"/>
      <c r="R119" s="1153"/>
      <c r="S119" s="1153"/>
      <c r="T119" s="439">
        <f>ROW(W119)&gt;ROW(W$119)</f>
        <v>0</v>
      </c>
      <c r="U119" s="1153"/>
      <c r="V119" s="1153"/>
      <c r="W119" s="738" t="s">
        <v>173</v>
      </c>
      <c r="X119" s="1153"/>
      <c r="Y119" s="1153"/>
      <c r="Z119" s="1153"/>
      <c r="AA119" s="393" t="s">
        <v>174</v>
      </c>
      <c r="AB119" s="3307" t="s">
        <v>222</v>
      </c>
      <c r="AC119" s="3307"/>
      <c r="AD119" s="3307"/>
      <c r="AE119" s="3307"/>
      <c r="AF119" s="3307"/>
      <c r="AG119" s="3307"/>
      <c r="AH119" s="3307"/>
      <c r="AI119" s="3307"/>
      <c r="AJ119" s="3307"/>
      <c r="AK119" s="1562"/>
      <c r="AL119" s="3307"/>
      <c r="AM119" s="3307"/>
      <c r="AN119" s="3307"/>
      <c r="AO119" s="3307"/>
      <c r="AP119" s="3307"/>
      <c r="AQ119" s="3307"/>
      <c r="AR119" s="3307"/>
      <c r="AS119" s="3307"/>
      <c r="AT119" s="3307"/>
      <c r="AU119" s="1562"/>
      <c r="AV119" s="3307"/>
      <c r="AW119" s="3307"/>
      <c r="AX119" s="3307"/>
      <c r="AY119" s="3307"/>
      <c r="AZ119" s="3307"/>
      <c r="BA119" s="3307"/>
      <c r="BB119" s="3307"/>
      <c r="BC119" s="3307"/>
      <c r="BD119" s="3307"/>
      <c r="BE119" s="3307"/>
      <c r="BF119" s="1153"/>
      <c r="BG119" s="1153"/>
      <c r="BH119" s="1253"/>
    </row>
    <row customHeight="1" ht="14.625">
      <c r="E120" s="597">
        <v>15</v>
      </c>
      <c r="W120" s="738" t="s">
        <v>399</v>
      </c>
      <c r="AB120" s="627"/>
      <c r="AC120" s="488" t="s">
        <v>400</v>
      </c>
      <c r="AD120" s="277"/>
      <c r="AE120" s="277"/>
      <c r="AF120" s="277"/>
      <c r="AG120" s="277"/>
      <c r="AH120" s="277"/>
      <c r="AI120" s="277"/>
      <c r="AJ120" s="277"/>
      <c r="AK120" s="277"/>
      <c r="AL120" s="277"/>
      <c r="AM120" s="277"/>
      <c r="AN120" s="277"/>
      <c r="AO120" s="277"/>
      <c r="AP120" s="277"/>
      <c r="AQ120" s="277"/>
      <c r="AR120" s="277"/>
      <c r="AS120" s="277"/>
      <c r="AT120" s="277"/>
      <c r="AU120" s="277"/>
      <c r="AV120" s="277"/>
      <c r="AW120" s="277"/>
      <c r="AX120" s="277"/>
      <c r="AY120" s="277"/>
      <c r="AZ120" s="277"/>
      <c r="BA120" s="277"/>
      <c r="BB120" s="277"/>
      <c r="BC120" s="277"/>
      <c r="BD120" s="277"/>
      <c r="BE120" s="242"/>
    </row>
    <row customHeight="1" ht="10.725000000000001">
      <c r="E121" s="597">
        <v>11</v>
      </c>
      <c r="AK121" s="1153"/>
      <c r="AL121" s="1153"/>
      <c r="AM121" s="1153"/>
      <c r="AN121" s="1153"/>
      <c r="AO121" s="1153"/>
      <c r="AP121" s="1153"/>
      <c r="AQ121" s="1153"/>
      <c r="AR121" s="1153"/>
      <c r="AS121" s="1153"/>
      <c r="AT121" s="1153"/>
      <c r="AU121" s="1153"/>
      <c r="AV121" s="1153"/>
      <c r="AW121" s="1153"/>
      <c r="AX121" s="1153"/>
      <c r="AY121" s="1153"/>
      <c r="AZ121" s="1153"/>
      <c r="BA121" s="1153"/>
      <c r="BB121" s="1153"/>
      <c r="BC121" s="1153"/>
      <c r="BD121" s="1153"/>
      <c r="BF121" s="399"/>
    </row>
  </sheetData>
  <sheetProtection formatColumns="0" formatRows="0" insertRows="0" deleteColumns="0" deleteRows="0" sort="0" autoFilter="0" insertColumns="1"/>
  <mergeCells count="14">
    <mergeCell ref="AB118:BE118"/>
    <mergeCell ref="AB26:AB27"/>
    <mergeCell ref="AC26:AC27"/>
    <mergeCell ref="AD26:AD27"/>
    <mergeCell ref="AB119:BE119"/>
    <mergeCell ref="X29:X57"/>
    <mergeCell ref="Z29:Z57"/>
    <mergeCell ref="AB24:AC24"/>
    <mergeCell ref="BE26:BE27"/>
    <mergeCell ref="AB117:BE117"/>
    <mergeCell ref="X58:X86"/>
    <mergeCell ref="Z58:Z86"/>
    <mergeCell ref="X87:X115"/>
    <mergeCell ref="Z87:Z115"/>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35" right="0.35" top="0.40" bottom="0.40" header="0.31" footer="0.31"/>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CD0DF8-E778-6AF5-4FF8-5D153DD00653}" mc:Ignorable="x14ac xr xr2 xr3">
  <sheetPr>
    <tabColor rgb="FF002060"/>
    <outlinePr summaryRight="0" summaryBelow="0"/>
  </sheetPr>
  <dimension ref="A1:BB56"/>
  <sheetViews>
    <sheetView showGridLines="0" workbookViewId="0">
      <pane xSplit="30" ySplit="25" topLeftCell="AE35"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1" style="1153" width="12.57421875" customWidth="1"/>
    <col min="32" max="40" style="1153" width="12.57421875" hidden="1" customWidth="1"/>
    <col min="41" max="41" style="1153" width="12.57421875" customWidth="1"/>
    <col min="42" max="50" style="1153" width="12.57421875" hidden="1" customWidth="1"/>
    <col min="51" max="51" style="1153" width="20.00390625" customWidth="1"/>
    <col min="52" max="52" style="1153" width="3.00390625" customWidth="1"/>
    <col min="53" max="53" style="1153" width="9.140625" hidden="1"/>
    <col min="54" max="54" style="1253" width="9.140625" hidden="1"/>
  </cols>
  <sheetData>
    <row customHeight="1" ht="11.25" hidden="1">
      <c r="E1" s="88"/>
      <c r="F1" s="88" t="s">
        <v>313</v>
      </c>
      <c r="G1" s="88" t="s">
        <v>324</v>
      </c>
      <c r="T1" s="439" t="s">
        <v>92</v>
      </c>
      <c r="U1" s="439" t="s">
        <v>97</v>
      </c>
      <c r="V1" s="439" t="s">
        <v>93</v>
      </c>
      <c r="W1" s="439" t="s">
        <v>94</v>
      </c>
      <c r="X1" s="439" t="s">
        <v>95</v>
      </c>
      <c r="Y1" s="441" t="s">
        <v>315</v>
      </c>
      <c r="Z1" s="439" t="s">
        <v>99</v>
      </c>
      <c r="AA1" s="440" t="s">
        <v>96</v>
      </c>
      <c r="AB1" s="51"/>
      <c r="AC1" s="440" t="s">
        <v>98</v>
      </c>
      <c r="AE1" s="1153"/>
      <c r="AF1" s="1153"/>
      <c r="AG1" s="1153"/>
      <c r="AH1" s="1153"/>
      <c r="AI1" s="1153"/>
      <c r="AJ1" s="1153"/>
      <c r="AK1" s="1153"/>
      <c r="AL1" s="1153"/>
      <c r="AM1" s="1153"/>
      <c r="AN1" s="1153"/>
      <c r="AO1" s="1153"/>
      <c r="AP1" s="1153"/>
      <c r="AQ1" s="1153"/>
      <c r="AR1" s="1153"/>
      <c r="AS1" s="1153"/>
      <c r="AT1" s="1153"/>
      <c r="AU1" s="1153"/>
      <c r="AV1" s="1153"/>
      <c r="AW1" s="1153"/>
      <c r="AX1" s="1153"/>
      <c r="BB1" s="980" t="s">
        <v>316</v>
      </c>
    </row>
    <row s="1160" customFormat="1" customHeight="1" ht="11.25" hidden="1">
      <c r="B2" s="419" t="s">
        <v>18</v>
      </c>
      <c r="AE2" s="419">
        <f>AE6&lt;=last_year_vis</f>
        <v>1</v>
      </c>
      <c r="AF2" s="419">
        <f>AF6&lt;=last_year_vis</f>
        <v>0</v>
      </c>
      <c r="AG2" s="419">
        <f>AG6&lt;=last_year_vis</f>
        <v>0</v>
      </c>
      <c r="AH2" s="419">
        <f>AH6&lt;=last_year_vis</f>
        <v>0</v>
      </c>
      <c r="AI2" s="419">
        <f>AI6&lt;=last_year_vis</f>
        <v>0</v>
      </c>
      <c r="AJ2" s="419">
        <f>AJ6&lt;=last_year_vis</f>
        <v>0</v>
      </c>
      <c r="AK2" s="419">
        <f>AK6&lt;=last_year_vis</f>
        <v>0</v>
      </c>
      <c r="AL2" s="419">
        <f>AL6&lt;=last_year_vis</f>
        <v>0</v>
      </c>
      <c r="AM2" s="419">
        <f>AM6&lt;=last_year_vis</f>
        <v>0</v>
      </c>
      <c r="AN2" s="419">
        <f>AN6&lt;=last_year_vis</f>
        <v>0</v>
      </c>
      <c r="AO2" s="419">
        <f>AO6&lt;=last_year_vis</f>
        <v>1</v>
      </c>
      <c r="AP2" s="419">
        <f>AP6&lt;=last_year_vis</f>
        <v>0</v>
      </c>
      <c r="AQ2" s="419">
        <f>AQ6&lt;=last_year_vis</f>
        <v>0</v>
      </c>
      <c r="AR2" s="419">
        <f>AR6&lt;=last_year_vis</f>
        <v>0</v>
      </c>
      <c r="AS2" s="419">
        <f>AS6&lt;=last_year_vis</f>
        <v>0</v>
      </c>
      <c r="AT2" s="419">
        <f>AT6&lt;=last_year_vis</f>
        <v>0</v>
      </c>
      <c r="AU2" s="419">
        <f>AU6&lt;=last_year_vis</f>
        <v>0</v>
      </c>
      <c r="AV2" s="419">
        <f>AV6&lt;=last_year_vis</f>
        <v>0</v>
      </c>
      <c r="AW2" s="419">
        <f>AW6&lt;=last_year_vis</f>
        <v>0</v>
      </c>
      <c r="AX2" s="419">
        <f>AX6&lt;=last_year_vis</f>
        <v>0</v>
      </c>
      <c r="BB2" s="992"/>
    </row>
    <row customHeight="1" ht="11.25" hidden="1">
      <c r="E3" s="88"/>
      <c r="AE3" s="1153"/>
      <c r="AF3" s="1153"/>
      <c r="AG3" s="1153"/>
      <c r="AH3" s="1153"/>
      <c r="AI3" s="1153"/>
      <c r="AJ3" s="1153"/>
      <c r="AK3" s="1153"/>
      <c r="AL3" s="1153"/>
      <c r="AM3" s="1153"/>
      <c r="AN3" s="1153"/>
      <c r="AO3" s="1153"/>
      <c r="AP3" s="1153"/>
      <c r="AQ3" s="1153"/>
      <c r="AR3" s="1153"/>
      <c r="AS3" s="1153"/>
      <c r="AT3" s="1153"/>
      <c r="AU3" s="1153"/>
      <c r="AV3" s="1153"/>
      <c r="AW3" s="1153"/>
      <c r="AX3" s="1153"/>
    </row>
    <row customHeight="1" ht="11.25" hidden="1">
      <c r="E4" s="88"/>
      <c r="AE4" s="1153"/>
      <c r="AF4" s="1153"/>
      <c r="AG4" s="1153"/>
      <c r="AH4" s="1153"/>
      <c r="AI4" s="1153"/>
      <c r="AJ4" s="1153"/>
      <c r="AK4" s="1153"/>
      <c r="AL4" s="1153"/>
      <c r="AM4" s="1153"/>
      <c r="AN4" s="1153"/>
      <c r="AO4" s="1153"/>
      <c r="AP4" s="1153"/>
      <c r="AQ4" s="1153"/>
      <c r="AR4" s="1153"/>
      <c r="AS4" s="1153"/>
      <c r="AT4" s="1153"/>
      <c r="AU4" s="1153"/>
      <c r="AV4" s="1153"/>
      <c r="AW4" s="1153"/>
      <c r="AX4" s="1153"/>
    </row>
    <row s="1161" customFormat="1" customHeight="1" ht="11.25" hidden="1">
      <c r="A5" s="88"/>
      <c r="B5" s="401"/>
      <c r="C5" s="88"/>
      <c r="D5" s="88"/>
      <c r="E5" s="597" t="s">
        <v>19</v>
      </c>
      <c r="AA5" s="597">
        <v>3</v>
      </c>
      <c r="AB5" s="597">
        <v>11</v>
      </c>
      <c r="AC5" s="597">
        <v>50</v>
      </c>
      <c r="AD5" s="597">
        <v>10</v>
      </c>
      <c r="AE5" s="597">
        <v>12.57</v>
      </c>
      <c r="AF5" s="597">
        <v>12.57</v>
      </c>
      <c r="AG5" s="597">
        <v>12.57</v>
      </c>
      <c r="AH5" s="597">
        <v>12.57</v>
      </c>
      <c r="AI5" s="597">
        <v>12.57</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20</v>
      </c>
      <c r="AZ5" s="597">
        <v>3</v>
      </c>
      <c r="BB5" s="980"/>
    </row>
    <row customHeight="1" ht="11.25" hidden="1">
      <c r="A6" s="88" t="s">
        <v>354</v>
      </c>
      <c r="AE6" s="64" cm="1" t="str">
        <f t="array" ref="AE6:AE6">god</f>
        <v>2026</v>
      </c>
      <c r="AF6" s="64">
        <f>god+1</f>
        <v>2027</v>
      </c>
      <c r="AG6" s="64">
        <f>god+2</f>
        <v>2028</v>
      </c>
      <c r="AH6" s="64">
        <f>god+3</f>
        <v>2029</v>
      </c>
      <c r="AI6" s="64">
        <f>god+4</f>
        <v>2030</v>
      </c>
      <c r="AJ6" s="64">
        <f>god+5</f>
        <v>2031</v>
      </c>
      <c r="AK6" s="64">
        <f>god+6</f>
        <v>2032</v>
      </c>
      <c r="AL6" s="64">
        <f>god+7</f>
        <v>2033</v>
      </c>
      <c r="AM6" s="64">
        <f>god+8</f>
        <v>2034</v>
      </c>
      <c r="AN6" s="64">
        <f>god+9</f>
        <v>2035</v>
      </c>
      <c r="AO6" s="64" cm="1" t="str">
        <f t="array" ref="AO6:AO6">god</f>
        <v>2026</v>
      </c>
      <c r="AP6" s="64">
        <f>god+1</f>
        <v>2027</v>
      </c>
      <c r="AQ6" s="64">
        <f>god+2</f>
        <v>2028</v>
      </c>
      <c r="AR6" s="64">
        <f>god+3</f>
        <v>2029</v>
      </c>
      <c r="AS6" s="64">
        <f>god+4</f>
        <v>2030</v>
      </c>
      <c r="AT6" s="64">
        <f>god+5</f>
        <v>2031</v>
      </c>
      <c r="AU6" s="64">
        <f>god+6</f>
        <v>2032</v>
      </c>
      <c r="AV6" s="64">
        <f>god+7</f>
        <v>2033</v>
      </c>
      <c r="AW6" s="64">
        <f>god+8</f>
        <v>2034</v>
      </c>
      <c r="AX6" s="64">
        <f>god+9</f>
        <v>2035</v>
      </c>
    </row>
    <row customHeight="1" ht="11.25" hidden="1">
      <c r="A7" s="88" t="s">
        <v>355</v>
      </c>
      <c r="AE7" s="64" cm="1" t="str">
        <f t="array" ref="AE7:AE7">AE25</f>
        <v>Предложения организации</v>
      </c>
      <c r="AF7" s="64" cm="1" t="str">
        <f t="array" ref="AF7:AF7">AF25</f>
        <v>Предложения организации</v>
      </c>
      <c r="AG7" s="64" cm="1" t="str">
        <f t="array" ref="AG7:AG7">AG25</f>
        <v>Предложения организации</v>
      </c>
      <c r="AH7" s="64" cm="1" t="str">
        <f t="array" ref="AH7:AH7">AH25</f>
        <v>Предложения организации</v>
      </c>
      <c r="AI7" s="64" cm="1" t="str">
        <f t="array" ref="AI7:AI7">AI25</f>
        <v>Предложения организации</v>
      </c>
      <c r="AJ7" s="64" cm="1" t="str">
        <f t="array" ref="AJ7:AJ7">AJ25</f>
        <v>Предложения организации</v>
      </c>
      <c r="AK7" s="64" cm="1" t="str">
        <f t="array" ref="AK7:AK7">AK25</f>
        <v>Предложения организации</v>
      </c>
      <c r="AL7" s="64" cm="1" t="str">
        <f t="array" ref="AL7:AL7">AL25</f>
        <v>Предложения организации</v>
      </c>
      <c r="AM7" s="64" cm="1" t="str">
        <f t="array" ref="AM7:AM7">AM25</f>
        <v>Предложения организации</v>
      </c>
      <c r="AN7" s="64" cm="1" t="str">
        <f t="array" ref="AN7:AN7">AN25</f>
        <v>Предложения организации</v>
      </c>
      <c r="AO7" s="64" cm="1" t="str">
        <f t="array" ref="AO7:AO7">AO25</f>
        <v>Принято органом регулирования</v>
      </c>
      <c r="AP7" s="64" cm="1" t="str">
        <f t="array" ref="AP7:AP7">AP25</f>
        <v>Принято органом регулирования</v>
      </c>
      <c r="AQ7" s="64" cm="1" t="str">
        <f t="array" ref="AQ7:AQ7">AQ25</f>
        <v>Принято органом регулирования</v>
      </c>
      <c r="AR7" s="64" cm="1" t="str">
        <f t="array" ref="AR7:AR7">AR25</f>
        <v>Принято органом регулирования</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row>
    <row customHeight="1" ht="11.25" hidden="1">
      <c r="AE8" s="1153"/>
      <c r="AF8" s="1153"/>
      <c r="AG8" s="1153"/>
      <c r="AH8" s="1153"/>
      <c r="AI8" s="1153"/>
      <c r="AJ8" s="1153"/>
      <c r="AK8" s="1153"/>
      <c r="AL8" s="1153"/>
      <c r="AM8" s="1153"/>
      <c r="AN8" s="1153"/>
      <c r="AO8" s="1153"/>
      <c r="AP8" s="1153"/>
      <c r="AQ8" s="1153"/>
      <c r="AR8" s="1153"/>
      <c r="AS8" s="1153"/>
      <c r="AT8" s="1153"/>
      <c r="AU8" s="1153"/>
      <c r="AV8" s="1153"/>
      <c r="AW8" s="1153"/>
      <c r="AX8" s="1153"/>
    </row>
    <row s="1253" customFormat="1" customHeight="1" ht="11.25" hidden="1">
      <c r="A9" s="980" t="s">
        <v>359</v>
      </c>
      <c r="B9" s="992"/>
      <c r="AE9" s="980" cm="1" t="str">
        <f t="array" ref="AE9:AE9">AE6</f>
        <v>2026</v>
      </c>
      <c r="AF9" s="980" cm="1" t="str">
        <f t="array" ref="AF9:AF9">AF6</f>
        <v>2027</v>
      </c>
      <c r="AG9" s="980" cm="1" t="str">
        <f t="array" ref="AG9:AG9">AG6</f>
        <v>2028</v>
      </c>
      <c r="AH9" s="980" cm="1" t="str">
        <f t="array" ref="AH9:AH9">AH6</f>
        <v>2029</v>
      </c>
      <c r="AI9" s="980" cm="1" t="str">
        <f t="array" ref="AI9:AI9">AI6</f>
        <v>2030</v>
      </c>
      <c r="AJ9" s="980" cm="1" t="str">
        <f t="array" ref="AJ9:AJ9">AJ6</f>
        <v>2031</v>
      </c>
      <c r="AK9" s="980" cm="1" t="str">
        <f t="array" ref="AK9:AK9">AK6</f>
        <v>2032</v>
      </c>
      <c r="AL9" s="980" cm="1" t="str">
        <f t="array" ref="AL9:AL9">AL6</f>
        <v>2033</v>
      </c>
      <c r="AM9" s="980" cm="1" t="str">
        <f t="array" ref="AM9:AM9">AM6</f>
        <v>2034</v>
      </c>
      <c r="AN9" s="980" cm="1" t="str">
        <f t="array" ref="AN9:AN9">AN6</f>
        <v>2035</v>
      </c>
      <c r="AO9" s="980" cm="1" t="str">
        <f t="array" ref="AO9:AO9">AO6</f>
        <v>2026</v>
      </c>
      <c r="AP9" s="980" cm="1" t="str">
        <f t="array" ref="AP9:AP9">AP6</f>
        <v>2027</v>
      </c>
      <c r="AQ9" s="980" cm="1" t="str">
        <f t="array" ref="AQ9:AQ9">AQ6</f>
        <v>2028</v>
      </c>
      <c r="AR9" s="980" cm="1" t="str">
        <f t="array" ref="AR9:AR9">AR6</f>
        <v>2029</v>
      </c>
      <c r="AS9" s="980" cm="1" t="str">
        <f t="array" ref="AS9:AS9">AS6</f>
        <v>2030</v>
      </c>
      <c r="AT9" s="980" cm="1" t="str">
        <f t="array" ref="AT9:AT9">AT6</f>
        <v>2031</v>
      </c>
      <c r="AU9" s="980" cm="1" t="str">
        <f t="array" ref="AU9:AU9">AU6</f>
        <v>2032</v>
      </c>
      <c r="AV9" s="980" cm="1" t="str">
        <f t="array" ref="AV9:AV9">AV6</f>
        <v>2033</v>
      </c>
      <c r="AW9" s="980" cm="1" t="str">
        <f t="array" ref="AW9:AW9">AW6</f>
        <v>2034</v>
      </c>
      <c r="AX9" s="980" cm="1" t="str">
        <f t="array" ref="AX9:AX9">AX6</f>
        <v>2035</v>
      </c>
    </row>
    <row s="1253" customFormat="1" customHeight="1" ht="11.25" hidden="1">
      <c r="A10" s="980" t="s">
        <v>360</v>
      </c>
      <c r="B10" s="992"/>
      <c r="AE10" s="980" cm="1" t="str">
        <f t="array" ref="AE10:AE10">AE25</f>
        <v>Предложения организации</v>
      </c>
      <c r="AF10" s="980" cm="1" t="str">
        <f t="array" ref="AF10:AF10">AF25</f>
        <v>Предложения организации</v>
      </c>
      <c r="AG10" s="980" cm="1" t="str">
        <f t="array" ref="AG10:AG10">AG25</f>
        <v>Предложения организации</v>
      </c>
      <c r="AH10" s="980" cm="1" t="str">
        <f t="array" ref="AH10:AH10">AH25</f>
        <v>Предложения организации</v>
      </c>
      <c r="AI10" s="980" cm="1" t="str">
        <f t="array" ref="AI10:AI10">AI25</f>
        <v>Предложения организации</v>
      </c>
      <c r="AJ10" s="980" cm="1" t="str">
        <f t="array" ref="AJ10:AJ10">AJ25</f>
        <v>Предложения организации</v>
      </c>
      <c r="AK10" s="980" cm="1" t="str">
        <f t="array" ref="AK10:AK10">AK25</f>
        <v>Предложения организации</v>
      </c>
      <c r="AL10" s="980" cm="1" t="str">
        <f t="array" ref="AL10:AL10">AL25</f>
        <v>Предложения организации</v>
      </c>
      <c r="AM10" s="980" cm="1" t="str">
        <f t="array" ref="AM10:AM10">AM25</f>
        <v>Предложения организации</v>
      </c>
      <c r="AN10" s="980" cm="1" t="str">
        <f t="array" ref="AN10:AN10">AN25</f>
        <v>Предложения организации</v>
      </c>
      <c r="AO10" s="980" cm="1" t="str">
        <f t="array" ref="AO10:AO10">AO25</f>
        <v>Принято органом регулирования</v>
      </c>
      <c r="AP10" s="980" cm="1" t="str">
        <f t="array" ref="AP10:AP10">AP25</f>
        <v>Принято органом регулирования</v>
      </c>
      <c r="AQ10" s="980" cm="1" t="str">
        <f t="array" ref="AQ10:AQ10">AQ25</f>
        <v>Принято органом регулирования</v>
      </c>
      <c r="AR10" s="980" cm="1" t="str">
        <f t="array" ref="AR10:AR10">AR25</f>
        <v>Принято органом регулирования</v>
      </c>
      <c r="AS10" s="980" cm="1" t="str">
        <f t="array" ref="AS10:AS10">AS25</f>
        <v>Принято органом регулирования</v>
      </c>
      <c r="AT10" s="980" cm="1" t="str">
        <f t="array" ref="AT10:AT10">AT25</f>
        <v>Принято органом регулирования</v>
      </c>
      <c r="AU10" s="980" cm="1" t="str">
        <f t="array" ref="AU10:AU10">AU25</f>
        <v>Принято органом регулирования</v>
      </c>
      <c r="AV10" s="980" cm="1" t="str">
        <f t="array" ref="AV10:AV10">AV25</f>
        <v>Принято органом регулирования</v>
      </c>
      <c r="AW10" s="980" cm="1" t="str">
        <f t="array" ref="AW10:AW10">AW25</f>
        <v>Принято органом регулирования</v>
      </c>
      <c r="AX10" s="980" cm="1" t="str">
        <f t="array" ref="AX10:AX10">AX25</f>
        <v>Принято органом регулирования</v>
      </c>
    </row>
    <row s="1253" customFormat="1" customHeight="1" ht="11.25" hidden="1">
      <c r="A11" s="980" t="s">
        <v>361</v>
      </c>
      <c r="B11" s="992"/>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980" cm="1" t="str">
        <f t="array" ref="AY11:AY11">AY24</f>
        <v>Ссылка на правовую норму (основание для принятия показателя в расчет тарифа)</v>
      </c>
    </row>
    <row customHeight="1" ht="11.25" hidden="1">
      <c r="AE12" s="1153"/>
      <c r="AF12" s="1153"/>
      <c r="AG12" s="1153"/>
      <c r="AH12" s="1153"/>
      <c r="AI12" s="1153"/>
      <c r="AJ12" s="1153"/>
      <c r="AK12" s="1153"/>
      <c r="AL12" s="1153"/>
      <c r="AM12" s="1153"/>
      <c r="AN12" s="1153"/>
      <c r="AO12" s="1153"/>
      <c r="AP12" s="1153"/>
      <c r="AQ12" s="1153"/>
      <c r="AR12" s="1153"/>
      <c r="AS12" s="1153"/>
      <c r="AT12" s="1153"/>
      <c r="AU12" s="1153"/>
      <c r="AV12" s="1153"/>
      <c r="AW12" s="1153"/>
      <c r="AX12" s="1153"/>
    </row>
    <row customHeight="1" ht="11.25" hidden="1">
      <c r="AE13" s="64"/>
      <c r="AF13" s="64"/>
      <c r="AG13" s="64"/>
      <c r="AH13" s="64"/>
      <c r="AI13" s="64"/>
      <c r="AJ13" s="64"/>
      <c r="AK13" s="64"/>
      <c r="AL13" s="64"/>
      <c r="AM13" s="64"/>
      <c r="AN13" s="64"/>
      <c r="AO13" s="64"/>
      <c r="AP13" s="64"/>
      <c r="AQ13" s="64"/>
      <c r="AR13" s="64"/>
      <c r="AS13" s="64"/>
      <c r="AT13" s="64"/>
      <c r="AU13" s="64"/>
      <c r="AV13" s="64"/>
      <c r="AW13" s="64"/>
      <c r="AX13" s="64"/>
    </row>
    <row customHeight="1" ht="11.25" hidden="1">
      <c r="AE14" s="64"/>
      <c r="AF14" s="64"/>
      <c r="AG14" s="64"/>
      <c r="AH14" s="64"/>
      <c r="AI14" s="64"/>
      <c r="AJ14" s="64"/>
      <c r="AK14" s="64"/>
      <c r="AL14" s="64"/>
      <c r="AM14" s="64"/>
      <c r="AN14" s="64"/>
      <c r="AO14" s="64"/>
      <c r="AP14" s="64"/>
      <c r="AQ14" s="64"/>
      <c r="AR14" s="64"/>
      <c r="AS14" s="64"/>
      <c r="AT14" s="64"/>
      <c r="AU14" s="64"/>
      <c r="AV14" s="64"/>
      <c r="AW14" s="64"/>
      <c r="AX14" s="64"/>
    </row>
    <row customHeight="1" ht="11.25" hidden="1">
      <c r="AE15" s="64"/>
      <c r="AF15" s="64"/>
      <c r="AG15" s="64"/>
      <c r="AH15" s="64"/>
      <c r="AI15" s="64"/>
      <c r="AJ15" s="64"/>
      <c r="AK15" s="64"/>
      <c r="AL15" s="64"/>
      <c r="AM15" s="64"/>
      <c r="AN15" s="64"/>
      <c r="AO15" s="64"/>
      <c r="AP15" s="64"/>
      <c r="AQ15" s="64"/>
      <c r="AR15" s="64"/>
      <c r="AS15" s="64"/>
      <c r="AT15" s="64"/>
      <c r="AU15" s="64"/>
      <c r="AV15" s="64"/>
      <c r="AW15" s="64"/>
      <c r="AX15" s="64"/>
    </row>
    <row customHeight="1" ht="11.25" hidden="1">
      <c r="AE16" s="64"/>
      <c r="AF16" s="64"/>
      <c r="AG16" s="64"/>
      <c r="AH16" s="64"/>
      <c r="AI16" s="64"/>
      <c r="AJ16" s="64"/>
      <c r="AK16" s="64"/>
      <c r="AL16" s="64"/>
      <c r="AM16" s="64"/>
      <c r="AN16" s="64"/>
      <c r="AO16" s="64"/>
      <c r="AP16" s="64"/>
      <c r="AQ16" s="64"/>
      <c r="AR16" s="64"/>
      <c r="AS16" s="64"/>
      <c r="AT16" s="64"/>
      <c r="AU16" s="64"/>
      <c r="AV16" s="64"/>
      <c r="AW16" s="64"/>
      <c r="AX16" s="64"/>
    </row>
    <row customHeight="1" ht="11.25" hidden="1">
      <c r="AE17" s="1153"/>
      <c r="AF17" s="1153"/>
      <c r="AG17" s="1153"/>
      <c r="AH17" s="1153"/>
      <c r="AI17" s="1153"/>
      <c r="AJ17" s="1153"/>
      <c r="AK17" s="1153"/>
      <c r="AL17" s="1153"/>
      <c r="AM17" s="1153"/>
      <c r="AN17" s="1153"/>
      <c r="AO17" s="1153"/>
      <c r="AP17" s="1153"/>
      <c r="AQ17" s="1153"/>
      <c r="AR17" s="1153"/>
      <c r="AS17" s="1153"/>
      <c r="AT17" s="1153"/>
      <c r="AU17" s="1153"/>
      <c r="AV17" s="1153"/>
      <c r="AW17" s="1153"/>
      <c r="AX17" s="1153"/>
    </row>
    <row customHeight="1" ht="11.25" hidden="1">
      <c r="AE18" s="1153"/>
      <c r="AF18" s="1153"/>
      <c r="AG18" s="1153"/>
      <c r="AH18" s="1153"/>
      <c r="AI18" s="1153"/>
      <c r="AJ18" s="1153"/>
      <c r="AK18" s="1153"/>
      <c r="AL18" s="1153"/>
      <c r="AM18" s="1153"/>
      <c r="AN18" s="1153"/>
      <c r="AO18" s="1153"/>
      <c r="AP18" s="1153"/>
      <c r="AQ18" s="1153"/>
      <c r="AR18" s="1153"/>
      <c r="AS18" s="1153"/>
      <c r="AT18" s="1153"/>
      <c r="AU18" s="1153"/>
      <c r="AV18" s="1153"/>
      <c r="AW18" s="1153"/>
      <c r="AX18" s="1153"/>
    </row>
    <row customHeight="1" ht="11.25" hidden="1">
      <c r="AE19" s="1153"/>
      <c r="AF19" s="1153"/>
      <c r="AG19" s="1153"/>
      <c r="AH19" s="1153"/>
      <c r="AI19" s="1153"/>
      <c r="AJ19" s="1153"/>
      <c r="AK19" s="1153"/>
      <c r="AL19" s="1153"/>
      <c r="AM19" s="1153"/>
      <c r="AN19" s="1153"/>
      <c r="AO19" s="1153"/>
      <c r="AP19" s="1153"/>
      <c r="AQ19" s="1153"/>
      <c r="AR19" s="1153"/>
      <c r="AS19" s="1153"/>
      <c r="AT19" s="1153"/>
      <c r="AU19" s="1153"/>
      <c r="AV19" s="1153"/>
      <c r="AW19" s="1153"/>
      <c r="AX19" s="1153"/>
    </row>
    <row customHeight="1" ht="11.25" hidden="1">
      <c r="AE20" s="1153"/>
      <c r="AF20" s="1153"/>
      <c r="AG20" s="1153"/>
      <c r="AH20" s="1153"/>
      <c r="AI20" s="1153"/>
      <c r="AJ20" s="1153"/>
      <c r="AK20" s="1153"/>
      <c r="AL20" s="1153"/>
      <c r="AM20" s="1153"/>
      <c r="AN20" s="1153"/>
      <c r="AO20" s="1153"/>
      <c r="AP20" s="1153"/>
      <c r="AQ20" s="1153"/>
      <c r="AR20" s="1153"/>
      <c r="AS20" s="1153"/>
      <c r="AT20" s="1153"/>
      <c r="AU20" s="1153"/>
      <c r="AV20" s="1153"/>
      <c r="AW20" s="1153"/>
      <c r="AX20" s="1153"/>
    </row>
    <row customHeight="1" ht="14.625">
      <c r="E21" s="597">
        <v>15</v>
      </c>
      <c r="AA21" s="398"/>
      <c r="AB21" s="122"/>
      <c r="AC21" s="50" cm="1" t="str">
        <f t="array" ref="AC21:AC21">tpl_title</f>
        <v>Кемеровская область / 2026 / Филиал АО "УК "Кузбассразрезуголь" "Талдинский угольный разрез" (ИНН:4205049090, КПП:423802002) / ДПР: 2024-2028</v>
      </c>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customHeight="1" ht="19.5">
      <c r="E22" s="597">
        <v>20</v>
      </c>
      <c r="AB22" s="287" t="s">
        <v>71</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row>
    <row customHeight="1" ht="10.96875">
      <c r="E23" s="597">
        <v>11.25</v>
      </c>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customHeight="1" ht="20.9625">
      <c r="E24" s="597">
        <v>21.5</v>
      </c>
      <c r="AB24" s="1483" t="s">
        <v>21</v>
      </c>
      <c r="AC24" s="1563" t="s">
        <v>1268</v>
      </c>
      <c r="AD24" s="1563" t="s">
        <v>363</v>
      </c>
      <c r="AE24" s="1103" t="str">
        <f>god&amp;" год"</f>
        <v>2026 год</v>
      </c>
      <c r="AF24" s="1103" t="str">
        <f>god+1&amp;" год"</f>
        <v>2027 год</v>
      </c>
      <c r="AG24" s="1103" t="str">
        <f>god+2&amp;" год"</f>
        <v>2028 год</v>
      </c>
      <c r="AH24" s="1103" t="str">
        <f>god+3&amp;" год"</f>
        <v>2029 год</v>
      </c>
      <c r="AI24" s="1103" t="str">
        <f>god+4&amp;" год"</f>
        <v>2030 год</v>
      </c>
      <c r="AJ24" s="1103" t="str">
        <f>god+5&amp;" год"</f>
        <v>2031 год</v>
      </c>
      <c r="AK24" s="1103" t="str">
        <f>god+6&amp;" год"</f>
        <v>2032 год</v>
      </c>
      <c r="AL24" s="1103" t="str">
        <f>god+7&amp;" год"</f>
        <v>2033 год</v>
      </c>
      <c r="AM24" s="1103" t="str">
        <f>god+8&amp;" год"</f>
        <v>2034 год</v>
      </c>
      <c r="AN24" s="1103" t="str">
        <f>god+9&amp;" год"</f>
        <v>2035 год</v>
      </c>
      <c r="AO24" s="58" t="str">
        <f>god&amp;" год"</f>
        <v>2026 год</v>
      </c>
      <c r="AP24" s="58" t="str">
        <f>god+1&amp;" год"</f>
        <v>2027 год</v>
      </c>
      <c r="AQ24" s="58" t="str">
        <f>god+2&amp;" год"</f>
        <v>2028 год</v>
      </c>
      <c r="AR24" s="58" t="str">
        <f>god+3&amp;" год"</f>
        <v>2029 год</v>
      </c>
      <c r="AS24" s="58" t="str">
        <f>god+4&amp;" год"</f>
        <v>2030 год</v>
      </c>
      <c r="AT24" s="58" t="str">
        <f>god+5&amp;" год"</f>
        <v>2031 год</v>
      </c>
      <c r="AU24" s="58" t="str">
        <f>god+6&amp;" год"</f>
        <v>2032 год</v>
      </c>
      <c r="AV24" s="58" t="str">
        <f>god+7&amp;" год"</f>
        <v>2033 год</v>
      </c>
      <c r="AW24" s="58" t="str">
        <f>god+8&amp;" год"</f>
        <v>2034 год</v>
      </c>
      <c r="AX24" s="58" t="str">
        <f>god+9&amp;" год"</f>
        <v>2035 год</v>
      </c>
      <c r="AY24" s="1557" t="s">
        <v>507</v>
      </c>
    </row>
    <row customHeight="1" ht="56.306250000000006">
      <c r="E25" s="597">
        <v>57.75</v>
      </c>
      <c r="F25" s="399"/>
      <c r="G25" s="399"/>
      <c r="H25" s="399"/>
      <c r="I25" s="399"/>
      <c r="J25" s="399"/>
      <c r="AB25" s="1483"/>
      <c r="AC25" s="1563"/>
      <c r="AD25" s="1563"/>
      <c r="AE25" s="1105" t="s">
        <v>1269</v>
      </c>
      <c r="AF25" s="1105" t="s">
        <v>1269</v>
      </c>
      <c r="AG25" s="1105" t="s">
        <v>1269</v>
      </c>
      <c r="AH25" s="1105" t="s">
        <v>1269</v>
      </c>
      <c r="AI25" s="1105" t="s">
        <v>1269</v>
      </c>
      <c r="AJ25" s="1105" t="s">
        <v>1269</v>
      </c>
      <c r="AK25" s="1105" t="s">
        <v>1269</v>
      </c>
      <c r="AL25" s="1105" t="s">
        <v>1269</v>
      </c>
      <c r="AM25" s="1105" t="s">
        <v>1269</v>
      </c>
      <c r="AN25" s="1105" t="s">
        <v>1269</v>
      </c>
      <c r="AO25" s="57" t="s">
        <v>356</v>
      </c>
      <c r="AP25" s="57" t="s">
        <v>356</v>
      </c>
      <c r="AQ25" s="57" t="s">
        <v>356</v>
      </c>
      <c r="AR25" s="57" t="s">
        <v>356</v>
      </c>
      <c r="AS25" s="57" t="s">
        <v>356</v>
      </c>
      <c r="AT25" s="57" t="s">
        <v>356</v>
      </c>
      <c r="AU25" s="57" t="s">
        <v>356</v>
      </c>
      <c r="AV25" s="57" t="s">
        <v>356</v>
      </c>
      <c r="AW25" s="57" t="s">
        <v>356</v>
      </c>
      <c r="AX25" s="57" t="s">
        <v>356</v>
      </c>
      <c r="AY25" s="1557"/>
    </row>
    <row customHeight="1" ht="11.25" hidden="1">
      <c r="A26" s="0"/>
      <c r="B26" s="403"/>
      <c r="C26" s="0"/>
      <c r="D26" s="0"/>
      <c r="E26" s="597">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c r="AM26" s="0"/>
      <c r="AN26" s="0"/>
      <c r="AO26" s="0"/>
      <c r="AP26" s="0"/>
      <c r="AQ26" s="67"/>
      <c r="AR26" s="0"/>
      <c r="AS26" s="0"/>
      <c r="AT26" s="0"/>
      <c r="AU26" s="0"/>
      <c r="AV26" s="0"/>
      <c r="AW26" s="0"/>
      <c r="AX26" s="0"/>
      <c r="AY26" s="0"/>
      <c r="AZ26" s="0"/>
    </row>
    <row customHeight="1" ht="14.625" hidden="1">
      <c r="A27" s="1153"/>
      <c r="B27" s="1160"/>
      <c r="C27" s="1153"/>
      <c r="D27" s="1153"/>
      <c r="E27" s="597">
        <v>15</v>
      </c>
      <c r="F27" s="467" cm="1" t="str">
        <f t="array" ref="F27:F27">X27</f>
        <v>0</v>
      </c>
      <c r="G27" s="399"/>
      <c r="H27" s="399"/>
      <c r="I27" s="399"/>
      <c r="J27" s="399"/>
      <c r="K27" s="1153"/>
      <c r="L27" s="1153"/>
      <c r="M27" s="1153"/>
      <c r="N27" s="1153"/>
      <c r="O27" s="1153"/>
      <c r="P27" s="1153"/>
      <c r="Q27" s="1153"/>
      <c r="R27" s="1153"/>
      <c r="S27" s="1153"/>
      <c r="T27" s="439">
        <f>X27&gt;0</f>
        <v>0</v>
      </c>
      <c r="U27" s="1153"/>
      <c r="V27" s="88" t="s">
        <v>261</v>
      </c>
      <c r="W27" s="1153"/>
      <c r="X27" s="1482">
        <v>0</v>
      </c>
      <c r="Y27" s="399"/>
      <c r="Z27" s="1535"/>
      <c r="AA27" s="399"/>
      <c r="AB27" s="209" cm="1" t="str">
        <f t="array" ref="AB27:AB27">INDEX('Общие сведения'!$AG$179:$AG$222,MATCH($X27,'Общие сведения'!$Z$179:$Z$222,0))</f>
        <v>Тариф 0 () - </v>
      </c>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399"/>
      <c r="BA27" s="1153"/>
      <c r="BB27" s="1253"/>
    </row>
    <row customHeight="1" ht="14.625" hidden="1">
      <c r="A28" s="208"/>
      <c r="B28" s="404"/>
      <c r="C28" s="208"/>
      <c r="D28" s="208"/>
      <c r="E28" s="671">
        <v>15</v>
      </c>
      <c r="F28" s="50" cm="1" t="str">
        <f t="array" ref="F28:F28">OFFSET(E28,-1,1)</f>
        <v>0</v>
      </c>
      <c r="G28" s="399" t="s">
        <v>325</v>
      </c>
      <c r="H28" s="113"/>
      <c r="I28" s="113"/>
      <c r="J28" s="113"/>
      <c r="K28" s="208"/>
      <c r="L28" s="208"/>
      <c r="M28" s="208"/>
      <c r="N28" s="208"/>
      <c r="O28" s="208"/>
      <c r="P28" s="208"/>
      <c r="Q28" s="208"/>
      <c r="R28" s="208"/>
      <c r="S28" s="208"/>
      <c r="T28" s="439" cm="1" t="str">
        <f t="array" ref="T28:T28">T27</f>
        <v>false</v>
      </c>
      <c r="U28" s="208"/>
      <c r="V28" s="208"/>
      <c r="W28" s="208"/>
      <c r="X28" s="1482"/>
      <c r="Y28" s="113"/>
      <c r="Z28" s="1535"/>
      <c r="AA28" s="113"/>
      <c r="AB28" s="214" t="s">
        <v>272</v>
      </c>
      <c r="AC28" s="213" t="s">
        <v>1270</v>
      </c>
      <c r="AD28" s="214" t="s">
        <v>784</v>
      </c>
      <c r="AE28" s="826">
        <f>AE29+AE30+AE31</f>
        <v>0</v>
      </c>
      <c r="AF28" s="826">
        <f>AF29+AF30+AF31</f>
        <v>0</v>
      </c>
      <c r="AG28" s="826">
        <f>AG29+AG30+AG31</f>
        <v>0</v>
      </c>
      <c r="AH28" s="826">
        <f>AH29+AH30+AH31</f>
        <v>0</v>
      </c>
      <c r="AI28" s="826">
        <f>AI29+AI30+AI31</f>
        <v>0</v>
      </c>
      <c r="AJ28" s="826">
        <f>AJ29+AJ30+AJ31</f>
        <v>0</v>
      </c>
      <c r="AK28" s="826">
        <f>AK29+AK30+AK31</f>
        <v>0</v>
      </c>
      <c r="AL28" s="826">
        <f>AL29+AL30+AL31</f>
        <v>0</v>
      </c>
      <c r="AM28" s="826">
        <f>AM29+AM30+AM31</f>
        <v>0</v>
      </c>
      <c r="AN28" s="826">
        <f>AN29+AN30+AN31</f>
        <v>0</v>
      </c>
      <c r="AO28" s="826">
        <f>AO29+AO30+AO31</f>
        <v>0</v>
      </c>
      <c r="AP28" s="826">
        <f>AP29+AP30+AP31</f>
        <v>0</v>
      </c>
      <c r="AQ28" s="826">
        <f>AQ29+AQ30+AQ31</f>
        <v>0</v>
      </c>
      <c r="AR28" s="826">
        <f>AR29+AR30+AR31</f>
        <v>0</v>
      </c>
      <c r="AS28" s="826">
        <f>AS29+AS30+AS31</f>
        <v>0</v>
      </c>
      <c r="AT28" s="826">
        <f>AT29+AT30+AT31</f>
        <v>0</v>
      </c>
      <c r="AU28" s="826">
        <f>AU29+AU30+AU31</f>
        <v>0</v>
      </c>
      <c r="AV28" s="826">
        <f>AV29+AV30+AV31</f>
        <v>0</v>
      </c>
      <c r="AW28" s="826">
        <f>AW29+AW30+AW31</f>
        <v>0</v>
      </c>
      <c r="AX28" s="826">
        <f>AX29+AX30+AX31</f>
        <v>0</v>
      </c>
      <c r="AY28" s="3209"/>
      <c r="AZ28" s="113"/>
      <c r="BA28" s="1153"/>
      <c r="BB28" s="980" t="s">
        <v>1204</v>
      </c>
    </row>
    <row customHeight="1" ht="14.625" hidden="1">
      <c r="A29" s="1153"/>
      <c r="B29" s="1160"/>
      <c r="C29" s="1153"/>
      <c r="D29" s="1153"/>
      <c r="E29" s="597">
        <v>15</v>
      </c>
      <c r="F29" s="50" cm="1" t="str">
        <f t="array" ref="F29:F29">OFFSET(E29,-1,1)</f>
        <v>0</v>
      </c>
      <c r="G29" s="399" t="s">
        <v>441</v>
      </c>
      <c r="H29" s="399"/>
      <c r="I29" s="399"/>
      <c r="J29" s="399"/>
      <c r="K29" s="1153"/>
      <c r="L29" s="1153"/>
      <c r="M29" s="1153"/>
      <c r="N29" s="1153"/>
      <c r="O29" s="1153"/>
      <c r="P29" s="1153"/>
      <c r="Q29" s="1153"/>
      <c r="R29" s="1153"/>
      <c r="S29" s="1153"/>
      <c r="T29" s="439" cm="1" t="str">
        <f t="array" ref="T29:T29">T28</f>
        <v>false</v>
      </c>
      <c r="U29" s="1153"/>
      <c r="V29" s="1153"/>
      <c r="W29" s="1153"/>
      <c r="X29" s="1482"/>
      <c r="Y29" s="399"/>
      <c r="Z29" s="1535"/>
      <c r="AA29" s="399"/>
      <c r="AB29" s="832" t="s">
        <v>845</v>
      </c>
      <c r="AC29" s="833" t="s">
        <v>1271</v>
      </c>
      <c r="AD29" s="832" t="s">
        <v>784</v>
      </c>
      <c r="AE29" s="265"/>
      <c r="AF29" s="3044"/>
      <c r="AG29" s="3044"/>
      <c r="AH29" s="3044"/>
      <c r="AI29" s="3044"/>
      <c r="AJ29" s="3044"/>
      <c r="AK29" s="3044"/>
      <c r="AL29" s="3044"/>
      <c r="AM29" s="3044"/>
      <c r="AN29" s="3044"/>
      <c r="AO29" s="265"/>
      <c r="AP29" s="3044"/>
      <c r="AQ29" s="3044"/>
      <c r="AR29" s="3044"/>
      <c r="AS29" s="3044"/>
      <c r="AT29" s="3044"/>
      <c r="AU29" s="3044"/>
      <c r="AV29" s="3044"/>
      <c r="AW29" s="3044"/>
      <c r="AX29" s="3044"/>
      <c r="AY29" s="3209"/>
      <c r="AZ29" s="399"/>
      <c r="BA29" s="1153"/>
      <c r="BB29" s="980" t="s">
        <v>1272</v>
      </c>
    </row>
    <row customHeight="1" ht="23.400000000000002" hidden="1">
      <c r="A30" s="1153"/>
      <c r="B30" s="1160"/>
      <c r="C30" s="1153"/>
      <c r="D30" s="1153"/>
      <c r="E30" s="597">
        <v>24</v>
      </c>
      <c r="F30" s="50" cm="1" t="str">
        <f t="array" ref="F30:F30">OFFSET(E30,-1,1)</f>
        <v>0</v>
      </c>
      <c r="G30" s="399" t="s">
        <v>445</v>
      </c>
      <c r="H30" s="399"/>
      <c r="I30" s="399"/>
      <c r="J30" s="399"/>
      <c r="K30" s="1153"/>
      <c r="L30" s="1153"/>
      <c r="M30" s="1153"/>
      <c r="N30" s="1153"/>
      <c r="O30" s="1153"/>
      <c r="P30" s="1153"/>
      <c r="Q30" s="1153"/>
      <c r="R30" s="1153"/>
      <c r="S30" s="1153"/>
      <c r="T30" s="439" cm="1" t="str">
        <f t="array" ref="T30:T30">T29</f>
        <v>false</v>
      </c>
      <c r="U30" s="1153"/>
      <c r="V30" s="1153"/>
      <c r="W30" s="1153"/>
      <c r="X30" s="1482"/>
      <c r="Y30" s="399"/>
      <c r="Z30" s="1535"/>
      <c r="AA30" s="399"/>
      <c r="AB30" s="832" t="s">
        <v>848</v>
      </c>
      <c r="AC30" s="833" t="s">
        <v>1273</v>
      </c>
      <c r="AD30" s="832" t="s">
        <v>784</v>
      </c>
      <c r="AE30" s="265"/>
      <c r="AF30" s="3044"/>
      <c r="AG30" s="3044"/>
      <c r="AH30" s="3044"/>
      <c r="AI30" s="3044"/>
      <c r="AJ30" s="3044"/>
      <c r="AK30" s="3044"/>
      <c r="AL30" s="3044"/>
      <c r="AM30" s="3044"/>
      <c r="AN30" s="3044"/>
      <c r="AO30" s="265"/>
      <c r="AP30" s="3044"/>
      <c r="AQ30" s="3044"/>
      <c r="AR30" s="3044"/>
      <c r="AS30" s="3044"/>
      <c r="AT30" s="3044"/>
      <c r="AU30" s="3044"/>
      <c r="AV30" s="3044"/>
      <c r="AW30" s="3044"/>
      <c r="AX30" s="3044"/>
      <c r="AY30" s="3209"/>
      <c r="AZ30" s="399"/>
      <c r="BA30" s="1153"/>
      <c r="BB30" s="980" t="s">
        <v>1274</v>
      </c>
    </row>
    <row s="1621" customFormat="1" customHeight="1" ht="33.345000000000006" hidden="1">
      <c r="A31" s="88"/>
      <c r="B31" s="401"/>
      <c r="C31" s="88"/>
      <c r="D31" s="88"/>
      <c r="E31" s="597">
        <v>34.2</v>
      </c>
      <c r="F31" s="1202" cm="1" t="str">
        <f t="array" ref="F31:F31">OFFSET(E31,-1,1)</f>
        <v>0</v>
      </c>
      <c r="G31" s="399" t="s">
        <v>448</v>
      </c>
      <c r="H31" s="399"/>
      <c r="I31" s="399"/>
      <c r="J31" s="399"/>
      <c r="K31" s="88"/>
      <c r="L31" s="88"/>
      <c r="M31" s="88"/>
      <c r="N31" s="88"/>
      <c r="O31" s="88"/>
      <c r="P31" s="88"/>
      <c r="Q31" s="88"/>
      <c r="R31" s="88"/>
      <c r="S31" s="88"/>
      <c r="T31" s="439" cm="1" t="str">
        <f t="array" ref="T31:T31">T30</f>
        <v>false</v>
      </c>
      <c r="U31" s="88"/>
      <c r="V31" s="88"/>
      <c r="W31" s="88"/>
      <c r="X31" s="1482"/>
      <c r="Y31" s="399"/>
      <c r="Z31" s="1535"/>
      <c r="AA31" s="399"/>
      <c r="AB31" s="832" t="s">
        <v>851</v>
      </c>
      <c r="AC31" s="833" t="s">
        <v>1275</v>
      </c>
      <c r="AD31" s="832" t="s">
        <v>784</v>
      </c>
      <c r="AE31" s="265"/>
      <c r="AF31" s="3044"/>
      <c r="AG31" s="3044"/>
      <c r="AH31" s="3044"/>
      <c r="AI31" s="3044"/>
      <c r="AJ31" s="3044"/>
      <c r="AK31" s="3044"/>
      <c r="AL31" s="3044"/>
      <c r="AM31" s="3044"/>
      <c r="AN31" s="3044"/>
      <c r="AO31" s="265"/>
      <c r="AP31" s="3044"/>
      <c r="AQ31" s="3044"/>
      <c r="AR31" s="3044"/>
      <c r="AS31" s="3044"/>
      <c r="AT31" s="3044"/>
      <c r="AU31" s="3044"/>
      <c r="AV31" s="3044"/>
      <c r="AW31" s="3044"/>
      <c r="AX31" s="3044"/>
      <c r="AY31" s="3209"/>
      <c r="AZ31" s="399"/>
      <c r="BA31" s="1621"/>
      <c r="BB31" s="1032" t="s">
        <v>1276</v>
      </c>
    </row>
    <row customHeight="1" ht="14.625" hidden="1">
      <c r="A32" s="1153"/>
      <c r="B32" s="1160"/>
      <c r="C32" s="1153"/>
      <c r="D32" s="1153"/>
      <c r="E32" s="597">
        <v>15</v>
      </c>
      <c r="F32" s="50" cm="1" t="str">
        <f t="array" ref="F32:F32">OFFSET(E32,-1,1)</f>
        <v>0</v>
      </c>
      <c r="G32" s="399" t="s">
        <v>326</v>
      </c>
      <c r="H32" s="399"/>
      <c r="I32" s="399"/>
      <c r="J32" s="399"/>
      <c r="K32" s="1153"/>
      <c r="L32" s="1153"/>
      <c r="M32" s="1153"/>
      <c r="N32" s="1153"/>
      <c r="O32" s="1153"/>
      <c r="P32" s="1153"/>
      <c r="Q32" s="1153"/>
      <c r="R32" s="1153"/>
      <c r="S32" s="1153"/>
      <c r="T32" s="439" cm="1" t="str">
        <f t="array" ref="T32:T32">T31</f>
        <v>false</v>
      </c>
      <c r="U32" s="1153"/>
      <c r="V32" s="1153"/>
      <c r="W32" s="1153"/>
      <c r="X32" s="1482"/>
      <c r="Y32" s="399"/>
      <c r="Z32" s="1535"/>
      <c r="AA32" s="399"/>
      <c r="AB32" s="832" t="s">
        <v>283</v>
      </c>
      <c r="AC32" s="834" t="s">
        <v>1277</v>
      </c>
      <c r="AD32" s="832" t="s">
        <v>437</v>
      </c>
      <c r="AE32" s="835">
        <f>_xlfn.SUMIFS(Сценарии!AJ$25:AJ$109,Сценарии!$F$25:$F$109,$F32,Сценарии!$AC$25:$AC$109,"Индекс потребительских цен")</f>
        <v>0</v>
      </c>
      <c r="AF32" s="835">
        <f>_xlfn.SUMIFS(Сценарии!AO$25:AO$109,Сценарии!$F$25:$F$109,$F32,Сценарии!$AC$25:$AC$109,"Индекс потребительских цен")</f>
        <v>0</v>
      </c>
      <c r="AG32" s="835">
        <f>_xlfn.SUMIFS(Сценарии!AP$25:AP$109,Сценарии!$F$25:$F$109,$F32,Сценарии!$AC$25:$AC$109,"Индекс потребительских цен")</f>
        <v>0</v>
      </c>
      <c r="AH32" s="835">
        <f>_xlfn.SUMIFS(Сценарии!AQ$25:AQ$109,Сценарии!$F$25:$F$109,$F32,Сценарии!$AC$25:$AC$109,"Индекс потребительских цен")</f>
        <v>0</v>
      </c>
      <c r="AI32" s="835">
        <f>_xlfn.SUMIFS(Сценарии!AR$25:AR$109,Сценарии!$F$25:$F$109,$F32,Сценарии!$AC$25:$AC$109,"Индекс потребительских цен")</f>
        <v>0</v>
      </c>
      <c r="AJ32" s="835">
        <f>_xlfn.SUMIFS(Сценарии!AS$25:AS$109,Сценарии!$F$25:$F$109,$F32,Сценарии!$AC$25:$AC$109,"Индекс потребительских цен")</f>
        <v>0</v>
      </c>
      <c r="AK32" s="835">
        <f>_xlfn.SUMIFS(Сценарии!AT$25:AT$109,Сценарии!$F$25:$F$109,$F32,Сценарии!$AC$25:$AC$109,"Индекс потребительских цен")</f>
        <v>0</v>
      </c>
      <c r="AL32" s="835">
        <f>_xlfn.SUMIFS(Сценарии!AU$25:AU$109,Сценарии!$F$25:$F$109,$F32,Сценарии!$AC$25:$AC$109,"Индекс потребительских цен")</f>
        <v>0</v>
      </c>
      <c r="AM32" s="835">
        <f>_xlfn.SUMIFS(Сценарии!AV$25:AV$109,Сценарии!$F$25:$F$109,$F32,Сценарии!$AC$25:$AC$109,"Индекс потребительских цен")</f>
        <v>0</v>
      </c>
      <c r="AN32" s="835">
        <f>_xlfn.SUMIFS(Сценарии!AW$25:AW$109,Сценарии!$F$25:$F$109,$F32,Сценарии!$AC$25:$AC$109,"Индекс потребительских цен")</f>
        <v>0</v>
      </c>
      <c r="AO32" s="835">
        <f>_xlfn.SUMIFS(Сценарии!AK$25:AK$109,Сценарии!$F$25:$F$109,$F32,Сценарии!$AC$25:$AC$109,"Индекс потребительских цен")</f>
        <v>0</v>
      </c>
      <c r="AP32" s="835">
        <f>_xlfn.SUMIFS(Сценарии!AX$25:AX$109,Сценарии!$F$25:$F$109,$F32,Сценарии!$AC$25:$AC$109,"Индекс потребительских цен")</f>
        <v>0</v>
      </c>
      <c r="AQ32" s="835">
        <f>_xlfn.SUMIFS(Сценарии!AY$25:AY$109,Сценарии!$F$25:$F$109,$F32,Сценарии!$AC$25:$AC$109,"Индекс потребительских цен")</f>
        <v>0</v>
      </c>
      <c r="AR32" s="835">
        <f>_xlfn.SUMIFS(Сценарии!AZ$25:AZ$109,Сценарии!$F$25:$F$109,$F32,Сценарии!$AC$25:$AC$109,"Индекс потребительских цен")</f>
        <v>0</v>
      </c>
      <c r="AS32" s="835">
        <f>_xlfn.SUMIFS(Сценарии!BA$25:BA$109,Сценарии!$F$25:$F$109,$F32,Сценарии!$AC$25:$AC$109,"Индекс потребительских цен")</f>
        <v>0</v>
      </c>
      <c r="AT32" s="835">
        <f>_xlfn.SUMIFS(Сценарии!BB$25:BB$109,Сценарии!$F$25:$F$109,$F32,Сценарии!$AC$25:$AC$109,"Индекс потребительских цен")</f>
        <v>0</v>
      </c>
      <c r="AU32" s="835">
        <f>_xlfn.SUMIFS(Сценарии!BC$25:BC$109,Сценарии!$F$25:$F$109,$F32,Сценарии!$AC$25:$AC$109,"Индекс потребительских цен")</f>
        <v>0</v>
      </c>
      <c r="AV32" s="835">
        <f>_xlfn.SUMIFS(Сценарии!BD$25:BD$109,Сценарии!$F$25:$F$109,$F32,Сценарии!$AC$25:$AC$109,"Индекс потребительских цен")</f>
        <v>0</v>
      </c>
      <c r="AW32" s="835">
        <f>_xlfn.SUMIFS(Сценарии!BE$25:BE$109,Сценарии!$F$25:$F$109,$F32,Сценарии!$AC$25:$AC$109,"Индекс потребительских цен")</f>
        <v>0</v>
      </c>
      <c r="AX32" s="835">
        <f>_xlfn.SUMIFS(Сценарии!BF$25:BF$109,Сценарии!$F$25:$F$109,$F32,Сценарии!$AC$25:$AC$109,"Индекс потребительских цен")</f>
        <v>0</v>
      </c>
      <c r="AY32" s="3209"/>
      <c r="AZ32" s="399"/>
      <c r="BA32" s="1153"/>
      <c r="BB32" s="980" t="s">
        <v>1278</v>
      </c>
    </row>
    <row s="678" customFormat="1" customHeight="1" ht="14.625" hidden="1">
      <c r="A33" s="88"/>
      <c r="B33" s="401"/>
      <c r="C33" s="88"/>
      <c r="D33" s="88"/>
      <c r="E33" s="597">
        <v>15</v>
      </c>
      <c r="F33" s="50" cm="1" t="str">
        <f t="array" ref="F33:F33">OFFSET(E33,-1,1)</f>
        <v>0</v>
      </c>
      <c r="G33" s="399" t="s">
        <v>327</v>
      </c>
      <c r="H33" s="399"/>
      <c r="I33" s="399"/>
      <c r="J33" s="399"/>
      <c r="K33" s="88"/>
      <c r="L33" s="88"/>
      <c r="M33" s="88"/>
      <c r="N33" s="88"/>
      <c r="O33" s="88"/>
      <c r="P33" s="88"/>
      <c r="Q33" s="88"/>
      <c r="R33" s="88"/>
      <c r="S33" s="88"/>
      <c r="T33" s="439" cm="1" t="str">
        <f t="array" ref="T33:T33">T32</f>
        <v>false</v>
      </c>
      <c r="U33" s="88"/>
      <c r="V33" s="88"/>
      <c r="W33" s="88"/>
      <c r="X33" s="1482"/>
      <c r="Y33" s="399"/>
      <c r="Z33" s="1535"/>
      <c r="AA33" s="399"/>
      <c r="AB33" s="747">
        <v>3</v>
      </c>
      <c r="AC33" s="834" t="s">
        <v>1279</v>
      </c>
      <c r="AD33" s="832" t="s">
        <v>437</v>
      </c>
      <c r="AE33" s="836" cm="1" t="str">
        <f t="array" ref="AE33:AE33">AE32</f>
        <v>0</v>
      </c>
      <c r="AF33" s="3321">
        <f>AE33*AF32/100</f>
        <v>0</v>
      </c>
      <c r="AG33" s="3321">
        <f>AF33*AG32/100</f>
        <v>0</v>
      </c>
      <c r="AH33" s="3321">
        <f>AG33*AH32/100</f>
        <v>0</v>
      </c>
      <c r="AI33" s="3321">
        <f>AH33*AI32/100</f>
        <v>0</v>
      </c>
      <c r="AJ33" s="3321">
        <f>AI33*AJ32/100</f>
        <v>0</v>
      </c>
      <c r="AK33" s="3321">
        <f>AJ33*AK32/100</f>
        <v>0</v>
      </c>
      <c r="AL33" s="3321">
        <f>AK33*AL32/100</f>
        <v>0</v>
      </c>
      <c r="AM33" s="3321">
        <f>AL33*AM32/100</f>
        <v>0</v>
      </c>
      <c r="AN33" s="3321">
        <f>AM33*AN32/100</f>
        <v>0</v>
      </c>
      <c r="AO33" s="836">
        <f>AN33*AO32/100</f>
        <v>0</v>
      </c>
      <c r="AP33" s="3321">
        <f>AO33*AP32/100</f>
        <v>0</v>
      </c>
      <c r="AQ33" s="3321">
        <f>AP33*AQ32/100</f>
        <v>0</v>
      </c>
      <c r="AR33" s="3321">
        <f>AQ33*AR32/100</f>
        <v>0</v>
      </c>
      <c r="AS33" s="3321">
        <f>AR33*AS32/100</f>
        <v>0</v>
      </c>
      <c r="AT33" s="3321">
        <f>AS33*AT32/100</f>
        <v>0</v>
      </c>
      <c r="AU33" s="3321">
        <f>AT33*AU32/100</f>
        <v>0</v>
      </c>
      <c r="AV33" s="3321">
        <f>AU33*AV32/100</f>
        <v>0</v>
      </c>
      <c r="AW33" s="3321">
        <f>AV33*AW32/100</f>
        <v>0</v>
      </c>
      <c r="AX33" s="3321">
        <f>AW33*AX32/100</f>
        <v>0</v>
      </c>
      <c r="AY33" s="3209"/>
      <c r="AZ33" s="399"/>
      <c r="BA33" s="678"/>
      <c r="BB33" s="1035" t="s">
        <v>1280</v>
      </c>
    </row>
    <row customHeight="1" ht="14.625" hidden="1">
      <c r="A34" s="208"/>
      <c r="B34" s="404"/>
      <c r="C34" s="208"/>
      <c r="D34" s="208"/>
      <c r="E34" s="671">
        <v>15</v>
      </c>
      <c r="F34" s="50" cm="1" t="str">
        <f t="array" ref="F34:F34">OFFSET(E34,-1,1)</f>
        <v>0</v>
      </c>
      <c r="G34" s="399" t="s">
        <v>329</v>
      </c>
      <c r="H34" s="399" t="s">
        <v>1281</v>
      </c>
      <c r="I34" s="113"/>
      <c r="J34" s="113"/>
      <c r="K34" s="208"/>
      <c r="L34" s="208"/>
      <c r="M34" s="208"/>
      <c r="N34" s="208"/>
      <c r="O34" s="208"/>
      <c r="P34" s="208"/>
      <c r="Q34" s="208"/>
      <c r="R34" s="208"/>
      <c r="S34" s="208"/>
      <c r="T34" s="439" cm="1" t="str">
        <f t="array" ref="T34:T34">T33</f>
        <v>false</v>
      </c>
      <c r="U34" s="208"/>
      <c r="V34" s="208"/>
      <c r="W34" s="208"/>
      <c r="X34" s="1482"/>
      <c r="Y34" s="113"/>
      <c r="Z34" s="1535"/>
      <c r="AA34" s="113"/>
      <c r="AB34" s="214" t="s">
        <v>536</v>
      </c>
      <c r="AC34" s="213" t="s">
        <v>1282</v>
      </c>
      <c r="AD34" s="214" t="s">
        <v>784</v>
      </c>
      <c r="AE34" s="826">
        <f>AE28*AE33/100</f>
        <v>0</v>
      </c>
      <c r="AF34" s="826">
        <f>AF28*AF33/100</f>
        <v>0</v>
      </c>
      <c r="AG34" s="826">
        <f>AG28*AG33/100</f>
        <v>0</v>
      </c>
      <c r="AH34" s="826">
        <f>AH28*AH33/100</f>
        <v>0</v>
      </c>
      <c r="AI34" s="826">
        <f>AI28*AI33/100</f>
        <v>0</v>
      </c>
      <c r="AJ34" s="826">
        <f>AJ28*AJ33/100</f>
        <v>0</v>
      </c>
      <c r="AK34" s="826">
        <f>AK28*AK33/100</f>
        <v>0</v>
      </c>
      <c r="AL34" s="826">
        <f>AL28*AL33/100</f>
        <v>0</v>
      </c>
      <c r="AM34" s="826">
        <f>AM28*AM33/100</f>
        <v>0</v>
      </c>
      <c r="AN34" s="826">
        <f>AN28*AN33/100</f>
        <v>0</v>
      </c>
      <c r="AO34" s="826">
        <f>AO28*AO33/100</f>
        <v>0</v>
      </c>
      <c r="AP34" s="826">
        <f>AP28*AP33/100</f>
        <v>0</v>
      </c>
      <c r="AQ34" s="826">
        <f>AQ28*AQ33/100</f>
        <v>0</v>
      </c>
      <c r="AR34" s="826">
        <f>AR28*AR33/100</f>
        <v>0</v>
      </c>
      <c r="AS34" s="826">
        <f>AS28*AS33/100</f>
        <v>0</v>
      </c>
      <c r="AT34" s="826">
        <f>AT28*AT33/100</f>
        <v>0</v>
      </c>
      <c r="AU34" s="826">
        <f>AU28*AU33/100</f>
        <v>0</v>
      </c>
      <c r="AV34" s="826">
        <f>AV28*AV33/100</f>
        <v>0</v>
      </c>
      <c r="AW34" s="826">
        <f>AW28*AW33/100</f>
        <v>0</v>
      </c>
      <c r="AX34" s="826">
        <f>AX28*AX33/100</f>
        <v>0</v>
      </c>
      <c r="AY34" s="3209"/>
      <c r="AZ34" s="113"/>
      <c r="BA34" s="1153"/>
      <c r="BB34" s="980" t="s">
        <v>1283</v>
      </c>
    </row>
    <row s="1621" customFormat="1" customHeight="1" ht="14.25">
      <c r="A35" s="1153"/>
      <c r="B35" s="1160"/>
      <c r="C35" s="1153"/>
      <c r="D35" s="1153"/>
      <c r="E35" s="597">
        <v>15</v>
      </c>
      <c r="F35" s="467" cm="1" t="str">
        <f t="array" ref="F35:F35">X35</f>
        <v>1</v>
      </c>
      <c r="G35" s="399"/>
      <c r="H35" s="399"/>
      <c r="I35" s="399"/>
      <c r="J35" s="399"/>
      <c r="K35" s="1153"/>
      <c r="L35" s="1153"/>
      <c r="M35" s="1153"/>
      <c r="N35" s="1153"/>
      <c r="O35" s="1153"/>
      <c r="P35" s="1153"/>
      <c r="Q35" s="1153"/>
      <c r="R35" s="1153"/>
      <c r="S35" s="1153"/>
      <c r="T35" s="439">
        <f>X35&gt;0</f>
        <v>1</v>
      </c>
      <c r="U35" s="1153"/>
      <c r="V35" s="88" cm="1" t="str">
        <f t="array" ref="V35:V35">'ИП + источники'!$AB$58</f>
        <v>Тариф 1 (Водоснабжение) - тариф на техническую воду (Оказание услуг на территории: Прокопьевский муниципальный округ (ОКТМО: 32522000) - п Калачево)</v>
      </c>
      <c r="W35" s="1153"/>
      <c r="X35" s="1482" t="s">
        <v>272</v>
      </c>
      <c r="Y35" s="399"/>
      <c r="Z35" s="1535"/>
      <c r="AA35" s="399"/>
      <c r="AB35" s="209" cm="1" t="str">
        <f t="array" ref="AB35:AB35">'ИП + источники'!$AB$58</f>
        <v>Тариф 1 (Водоснабжение) - тариф на техническую воду (Оказание услуг на территории: Прокопьевский муниципальный округ (ОКТМО: 32522000) - п Калачево)</v>
      </c>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399"/>
      <c r="BA35" s="1153"/>
      <c r="BB35" s="1253"/>
    </row>
    <row s="1621" customFormat="1" customHeight="1" ht="14.25">
      <c r="A36" s="208"/>
      <c r="B36" s="404"/>
      <c r="C36" s="208"/>
      <c r="D36" s="208"/>
      <c r="E36" s="671">
        <v>15</v>
      </c>
      <c r="F36" s="50" cm="1" t="str">
        <f t="array" ref="F36:F36">OFFSET(E36,-1,1)</f>
        <v>1</v>
      </c>
      <c r="G36" s="399" t="s">
        <v>325</v>
      </c>
      <c r="H36" s="113"/>
      <c r="I36" s="113"/>
      <c r="J36" s="113"/>
      <c r="K36" s="208"/>
      <c r="L36" s="208"/>
      <c r="M36" s="208"/>
      <c r="N36" s="208"/>
      <c r="O36" s="208"/>
      <c r="P36" s="208"/>
      <c r="Q36" s="208"/>
      <c r="R36" s="208"/>
      <c r="S36" s="208"/>
      <c r="T36" s="439" cm="1" t="str">
        <f t="array" ref="T36:T36">T35</f>
        <v>true</v>
      </c>
      <c r="U36" s="208"/>
      <c r="V36" s="208"/>
      <c r="W36" s="208"/>
      <c r="X36" s="1482"/>
      <c r="Y36" s="113"/>
      <c r="Z36" s="1535"/>
      <c r="AA36" s="113"/>
      <c r="AB36" s="214" t="s">
        <v>272</v>
      </c>
      <c r="AC36" s="213" t="s">
        <v>1270</v>
      </c>
      <c r="AD36" s="214" t="s">
        <v>784</v>
      </c>
      <c r="AE36" s="826">
        <f>AE37+AE38+AE39</f>
        <v>0</v>
      </c>
      <c r="AF36" s="826">
        <f>AF37+AF38+AF39</f>
        <v>0</v>
      </c>
      <c r="AG36" s="826">
        <f>AG37+AG38+AG39</f>
        <v>0</v>
      </c>
      <c r="AH36" s="826">
        <f>AH37+AH38+AH39</f>
        <v>0</v>
      </c>
      <c r="AI36" s="826">
        <f>AI37+AI38+AI39</f>
        <v>0</v>
      </c>
      <c r="AJ36" s="826">
        <f>AJ37+AJ38+AJ39</f>
        <v>0</v>
      </c>
      <c r="AK36" s="826">
        <f>AK37+AK38+AK39</f>
        <v>0</v>
      </c>
      <c r="AL36" s="826">
        <f>AL37+AL38+AL39</f>
        <v>0</v>
      </c>
      <c r="AM36" s="826">
        <f>AM37+AM38+AM39</f>
        <v>0</v>
      </c>
      <c r="AN36" s="826">
        <f>AN37+AN38+AN39</f>
        <v>0</v>
      </c>
      <c r="AO36" s="826">
        <f>AO37+AO38+AO39</f>
        <v>0</v>
      </c>
      <c r="AP36" s="826">
        <f>AP37+AP38+AP39</f>
        <v>0</v>
      </c>
      <c r="AQ36" s="826">
        <f>AQ37+AQ38+AQ39</f>
        <v>0</v>
      </c>
      <c r="AR36" s="826">
        <f>AR37+AR38+AR39</f>
        <v>0</v>
      </c>
      <c r="AS36" s="826">
        <f>AS37+AS38+AS39</f>
        <v>0</v>
      </c>
      <c r="AT36" s="826">
        <f>AT37+AT38+AT39</f>
        <v>0</v>
      </c>
      <c r="AU36" s="826">
        <f>AU37+AU38+AU39</f>
        <v>0</v>
      </c>
      <c r="AV36" s="826">
        <f>AV37+AV38+AV39</f>
        <v>0</v>
      </c>
      <c r="AW36" s="826">
        <f>AW37+AW38+AW39</f>
        <v>0</v>
      </c>
      <c r="AX36" s="826">
        <f>AX37+AX38+AX39</f>
        <v>0</v>
      </c>
      <c r="AY36" s="755"/>
      <c r="AZ36" s="113"/>
      <c r="BA36" s="1153"/>
      <c r="BB36" s="980" t="s">
        <v>1204</v>
      </c>
    </row>
    <row s="1621" customFormat="1" customHeight="1" ht="14.25">
      <c r="A37" s="1153"/>
      <c r="B37" s="1160"/>
      <c r="C37" s="1153"/>
      <c r="D37" s="1153"/>
      <c r="E37" s="597">
        <v>15</v>
      </c>
      <c r="F37" s="50" cm="1" t="str">
        <f t="array" ref="F37:F37">OFFSET(E37,-1,1)</f>
        <v>1</v>
      </c>
      <c r="G37" s="399" t="s">
        <v>441</v>
      </c>
      <c r="H37" s="399"/>
      <c r="I37" s="399"/>
      <c r="J37" s="399"/>
      <c r="K37" s="1153"/>
      <c r="L37" s="1153"/>
      <c r="M37" s="1153"/>
      <c r="N37" s="1153"/>
      <c r="O37" s="1153"/>
      <c r="P37" s="1153"/>
      <c r="Q37" s="1153"/>
      <c r="R37" s="1153"/>
      <c r="S37" s="1153"/>
      <c r="T37" s="439" cm="1" t="str">
        <f t="array" ref="T37:T37">T36</f>
        <v>true</v>
      </c>
      <c r="U37" s="1153"/>
      <c r="V37" s="1153"/>
      <c r="W37" s="1153"/>
      <c r="X37" s="1482"/>
      <c r="Y37" s="399"/>
      <c r="Z37" s="1535"/>
      <c r="AA37" s="399"/>
      <c r="AB37" s="832" t="s">
        <v>845</v>
      </c>
      <c r="AC37" s="833" t="s">
        <v>1271</v>
      </c>
      <c r="AD37" s="832" t="s">
        <v>784</v>
      </c>
      <c r="AE37" s="265"/>
      <c r="AF37" s="3044"/>
      <c r="AG37" s="3044"/>
      <c r="AH37" s="265"/>
      <c r="AI37" s="265"/>
      <c r="AJ37" s="265"/>
      <c r="AK37" s="265"/>
      <c r="AL37" s="265"/>
      <c r="AM37" s="265"/>
      <c r="AN37" s="265"/>
      <c r="AO37" s="265"/>
      <c r="AP37" s="3044"/>
      <c r="AQ37" s="3044"/>
      <c r="AR37" s="265"/>
      <c r="AS37" s="265"/>
      <c r="AT37" s="265"/>
      <c r="AU37" s="265"/>
      <c r="AV37" s="265"/>
      <c r="AW37" s="265"/>
      <c r="AX37" s="265"/>
      <c r="AY37" s="755"/>
      <c r="AZ37" s="399"/>
      <c r="BA37" s="1153"/>
      <c r="BB37" s="980" t="s">
        <v>1272</v>
      </c>
    </row>
    <row s="1621" customFormat="1" customHeight="1" ht="23.25">
      <c r="A38" s="1153"/>
      <c r="B38" s="1160"/>
      <c r="C38" s="1153"/>
      <c r="D38" s="1153"/>
      <c r="E38" s="597">
        <v>24</v>
      </c>
      <c r="F38" s="50" cm="1" t="str">
        <f t="array" ref="F38:F38">OFFSET(E38,-1,1)</f>
        <v>1</v>
      </c>
      <c r="G38" s="399" t="s">
        <v>445</v>
      </c>
      <c r="H38" s="399"/>
      <c r="I38" s="399"/>
      <c r="J38" s="399"/>
      <c r="K38" s="1153"/>
      <c r="L38" s="1153"/>
      <c r="M38" s="1153"/>
      <c r="N38" s="1153"/>
      <c r="O38" s="1153"/>
      <c r="P38" s="1153"/>
      <c r="Q38" s="1153"/>
      <c r="R38" s="1153"/>
      <c r="S38" s="1153"/>
      <c r="T38" s="439" cm="1" t="str">
        <f t="array" ref="T38:T38">T37</f>
        <v>true</v>
      </c>
      <c r="U38" s="1153"/>
      <c r="V38" s="1153"/>
      <c r="W38" s="1153"/>
      <c r="X38" s="1482"/>
      <c r="Y38" s="399"/>
      <c r="Z38" s="1535"/>
      <c r="AA38" s="399"/>
      <c r="AB38" s="832" t="s">
        <v>848</v>
      </c>
      <c r="AC38" s="833" t="s">
        <v>1273</v>
      </c>
      <c r="AD38" s="832" t="s">
        <v>784</v>
      </c>
      <c r="AE38" s="265"/>
      <c r="AF38" s="3044"/>
      <c r="AG38" s="3044"/>
      <c r="AH38" s="265"/>
      <c r="AI38" s="265"/>
      <c r="AJ38" s="265"/>
      <c r="AK38" s="265"/>
      <c r="AL38" s="265"/>
      <c r="AM38" s="265"/>
      <c r="AN38" s="265"/>
      <c r="AO38" s="265"/>
      <c r="AP38" s="3044"/>
      <c r="AQ38" s="3044"/>
      <c r="AR38" s="265"/>
      <c r="AS38" s="265"/>
      <c r="AT38" s="265"/>
      <c r="AU38" s="265"/>
      <c r="AV38" s="265"/>
      <c r="AW38" s="265"/>
      <c r="AX38" s="265"/>
      <c r="AY38" s="755"/>
      <c r="AZ38" s="399"/>
      <c r="BA38" s="1153"/>
      <c r="BB38" s="980" t="s">
        <v>1274</v>
      </c>
    </row>
    <row s="1621" customFormat="1" customHeight="1" ht="33">
      <c r="A39" s="88"/>
      <c r="B39" s="401"/>
      <c r="C39" s="88"/>
      <c r="D39" s="88"/>
      <c r="E39" s="597">
        <v>34.2</v>
      </c>
      <c r="F39" s="1202" cm="1" t="str">
        <f t="array" ref="F39:F39">OFFSET(E39,-1,1)</f>
        <v>1</v>
      </c>
      <c r="G39" s="399" t="s">
        <v>448</v>
      </c>
      <c r="H39" s="399"/>
      <c r="I39" s="399"/>
      <c r="J39" s="399"/>
      <c r="K39" s="88"/>
      <c r="L39" s="88"/>
      <c r="M39" s="88"/>
      <c r="N39" s="88"/>
      <c r="O39" s="88"/>
      <c r="P39" s="88"/>
      <c r="Q39" s="88"/>
      <c r="R39" s="88"/>
      <c r="S39" s="88"/>
      <c r="T39" s="439" cm="1" t="str">
        <f t="array" ref="T39:T39">T38</f>
        <v>true</v>
      </c>
      <c r="U39" s="88"/>
      <c r="V39" s="88"/>
      <c r="W39" s="88"/>
      <c r="X39" s="1482"/>
      <c r="Y39" s="399"/>
      <c r="Z39" s="1535"/>
      <c r="AA39" s="399"/>
      <c r="AB39" s="832" t="s">
        <v>851</v>
      </c>
      <c r="AC39" s="833" t="s">
        <v>1275</v>
      </c>
      <c r="AD39" s="832" t="s">
        <v>784</v>
      </c>
      <c r="AE39" s="265"/>
      <c r="AF39" s="3044"/>
      <c r="AG39" s="3044"/>
      <c r="AH39" s="265"/>
      <c r="AI39" s="265"/>
      <c r="AJ39" s="265"/>
      <c r="AK39" s="265"/>
      <c r="AL39" s="265"/>
      <c r="AM39" s="265"/>
      <c r="AN39" s="265"/>
      <c r="AO39" s="265"/>
      <c r="AP39" s="3044"/>
      <c r="AQ39" s="3044"/>
      <c r="AR39" s="265"/>
      <c r="AS39" s="265"/>
      <c r="AT39" s="265"/>
      <c r="AU39" s="265"/>
      <c r="AV39" s="265"/>
      <c r="AW39" s="265"/>
      <c r="AX39" s="265"/>
      <c r="AY39" s="755"/>
      <c r="AZ39" s="399"/>
      <c r="BA39" s="1621"/>
      <c r="BB39" s="1032" t="s">
        <v>1276</v>
      </c>
    </row>
    <row s="1621" customFormat="1" customHeight="1" ht="14.25">
      <c r="A40" s="1153"/>
      <c r="B40" s="1160"/>
      <c r="C40" s="1153"/>
      <c r="D40" s="1153"/>
      <c r="E40" s="597">
        <v>15</v>
      </c>
      <c r="F40" s="50" cm="1" t="str">
        <f t="array" ref="F40:F40">OFFSET(E40,-1,1)</f>
        <v>1</v>
      </c>
      <c r="G40" s="399" t="s">
        <v>326</v>
      </c>
      <c r="H40" s="399"/>
      <c r="I40" s="399"/>
      <c r="J40" s="399"/>
      <c r="K40" s="1153"/>
      <c r="L40" s="1153"/>
      <c r="M40" s="1153"/>
      <c r="N40" s="1153"/>
      <c r="O40" s="1153"/>
      <c r="P40" s="1153"/>
      <c r="Q40" s="1153"/>
      <c r="R40" s="1153"/>
      <c r="S40" s="1153"/>
      <c r="T40" s="439" cm="1" t="str">
        <f t="array" ref="T40:T40">T39</f>
        <v>true</v>
      </c>
      <c r="U40" s="1153"/>
      <c r="V40" s="1153"/>
      <c r="W40" s="1153"/>
      <c r="X40" s="1482"/>
      <c r="Y40" s="399"/>
      <c r="Z40" s="1535"/>
      <c r="AA40" s="399"/>
      <c r="AB40" s="832" t="s">
        <v>283</v>
      </c>
      <c r="AC40" s="834" t="s">
        <v>1277</v>
      </c>
      <c r="AD40" s="832" t="s">
        <v>437</v>
      </c>
      <c r="AE40" s="835">
        <f>_xlfn.SUMIFS(Сценарии!AJ$25:AJ$109,Сценарии!$F$25:$F$109,$F40,Сценарии!$AC$25:$AC$109,"Индекс потребительских цен")</f>
        <v>4.5</v>
      </c>
      <c r="AF40" s="835">
        <f>_xlfn.SUMIFS(Сценарии!AO$25:AO$109,Сценарии!$F$25:$F$109,$F40,Сценарии!$AC$25:$AC$109,"Индекс потребительских цен")</f>
        <v>0</v>
      </c>
      <c r="AG40" s="835">
        <f>_xlfn.SUMIFS(Сценарии!AP$25:AP$109,Сценарии!$F$25:$F$109,$F40,Сценарии!$AC$25:$AC$109,"Индекс потребительских цен")</f>
        <v>0</v>
      </c>
      <c r="AH40" s="835">
        <f>_xlfn.SUMIFS(Сценарии!AQ$25:AQ$109,Сценарии!$F$25:$F$109,$F40,Сценарии!$AC$25:$AC$109,"Индекс потребительских цен")</f>
        <v>0</v>
      </c>
      <c r="AI40" s="835">
        <f>_xlfn.SUMIFS(Сценарии!AR$25:AR$109,Сценарии!$F$25:$F$109,$F40,Сценарии!$AC$25:$AC$109,"Индекс потребительских цен")</f>
        <v>0</v>
      </c>
      <c r="AJ40" s="835">
        <f>_xlfn.SUMIFS(Сценарии!AS$25:AS$109,Сценарии!$F$25:$F$109,$F40,Сценарии!$AC$25:$AC$109,"Индекс потребительских цен")</f>
        <v>0</v>
      </c>
      <c r="AK40" s="835">
        <f>_xlfn.SUMIFS(Сценарии!AT$25:AT$109,Сценарии!$F$25:$F$109,$F40,Сценарии!$AC$25:$AC$109,"Индекс потребительских цен")</f>
        <v>0</v>
      </c>
      <c r="AL40" s="835">
        <f>_xlfn.SUMIFS(Сценарии!AU$25:AU$109,Сценарии!$F$25:$F$109,$F40,Сценарии!$AC$25:$AC$109,"Индекс потребительских цен")</f>
        <v>0</v>
      </c>
      <c r="AM40" s="835">
        <f>_xlfn.SUMIFS(Сценарии!AV$25:AV$109,Сценарии!$F$25:$F$109,$F40,Сценарии!$AC$25:$AC$109,"Индекс потребительских цен")</f>
        <v>0</v>
      </c>
      <c r="AN40" s="835">
        <f>_xlfn.SUMIFS(Сценарии!AW$25:AW$109,Сценарии!$F$25:$F$109,$F40,Сценарии!$AC$25:$AC$109,"Индекс потребительских цен")</f>
        <v>0</v>
      </c>
      <c r="AO40" s="835">
        <f>_xlfn.SUMIFS(Сценарии!AK$25:AK$109,Сценарии!$F$25:$F$109,$F40,Сценарии!$AC$25:$AC$109,"Индекс потребительских цен")</f>
        <v>4.3</v>
      </c>
      <c r="AP40" s="835">
        <f>_xlfn.SUMIFS(Сценарии!AX$25:AX$109,Сценарии!$F$25:$F$109,$F40,Сценарии!$AC$25:$AC$109,"Индекс потребительских цен")</f>
        <v>0</v>
      </c>
      <c r="AQ40" s="835">
        <f>_xlfn.SUMIFS(Сценарии!AY$25:AY$109,Сценарии!$F$25:$F$109,$F40,Сценарии!$AC$25:$AC$109,"Индекс потребительских цен")</f>
        <v>0</v>
      </c>
      <c r="AR40" s="835">
        <f>_xlfn.SUMIFS(Сценарии!AZ$25:AZ$109,Сценарии!$F$25:$F$109,$F40,Сценарии!$AC$25:$AC$109,"Индекс потребительских цен")</f>
        <v>0</v>
      </c>
      <c r="AS40" s="835">
        <f>_xlfn.SUMIFS(Сценарии!BA$25:BA$109,Сценарии!$F$25:$F$109,$F40,Сценарии!$AC$25:$AC$109,"Индекс потребительских цен")</f>
        <v>0</v>
      </c>
      <c r="AT40" s="835">
        <f>_xlfn.SUMIFS(Сценарии!BB$25:BB$109,Сценарии!$F$25:$F$109,$F40,Сценарии!$AC$25:$AC$109,"Индекс потребительских цен")</f>
        <v>0</v>
      </c>
      <c r="AU40" s="835">
        <f>_xlfn.SUMIFS(Сценарии!BC$25:BC$109,Сценарии!$F$25:$F$109,$F40,Сценарии!$AC$25:$AC$109,"Индекс потребительских цен")</f>
        <v>0</v>
      </c>
      <c r="AV40" s="835">
        <f>_xlfn.SUMIFS(Сценарии!BD$25:BD$109,Сценарии!$F$25:$F$109,$F40,Сценарии!$AC$25:$AC$109,"Индекс потребительских цен")</f>
        <v>0</v>
      </c>
      <c r="AW40" s="835">
        <f>_xlfn.SUMIFS(Сценарии!BE$25:BE$109,Сценарии!$F$25:$F$109,$F40,Сценарии!$AC$25:$AC$109,"Индекс потребительских цен")</f>
        <v>0</v>
      </c>
      <c r="AX40" s="835">
        <f>_xlfn.SUMIFS(Сценарии!BF$25:BF$109,Сценарии!$F$25:$F$109,$F40,Сценарии!$AC$25:$AC$109,"Индекс потребительских цен")</f>
        <v>0</v>
      </c>
      <c r="AY40" s="755"/>
      <c r="AZ40" s="399"/>
      <c r="BA40" s="1153"/>
      <c r="BB40" s="980" t="s">
        <v>1278</v>
      </c>
    </row>
    <row s="3322" customFormat="1" customHeight="1" ht="14.625">
      <c r="A41" s="88"/>
      <c r="B41" s="401"/>
      <c r="C41" s="88"/>
      <c r="D41" s="88"/>
      <c r="E41" s="597">
        <v>15</v>
      </c>
      <c r="F41" s="50" cm="1" t="str">
        <f t="array" ref="F41:F41">OFFSET(E41,-1,1)</f>
        <v>1</v>
      </c>
      <c r="G41" s="399" t="s">
        <v>327</v>
      </c>
      <c r="H41" s="399"/>
      <c r="I41" s="399"/>
      <c r="J41" s="399"/>
      <c r="K41" s="88"/>
      <c r="L41" s="88"/>
      <c r="M41" s="88"/>
      <c r="N41" s="88"/>
      <c r="O41" s="88"/>
      <c r="P41" s="88"/>
      <c r="Q41" s="88"/>
      <c r="R41" s="88"/>
      <c r="S41" s="88"/>
      <c r="T41" s="439" cm="1" t="str">
        <f t="array" ref="T41:T41">T40</f>
        <v>true</v>
      </c>
      <c r="U41" s="88"/>
      <c r="V41" s="88"/>
      <c r="W41" s="88"/>
      <c r="X41" s="1482"/>
      <c r="Y41" s="399"/>
      <c r="Z41" s="1535"/>
      <c r="AA41" s="399"/>
      <c r="AB41" s="747">
        <v>3</v>
      </c>
      <c r="AC41" s="834" t="s">
        <v>1279</v>
      </c>
      <c r="AD41" s="832" t="s">
        <v>437</v>
      </c>
      <c r="AE41" s="836">
        <v>4.5</v>
      </c>
      <c r="AF41" s="3321">
        <f>AE41*AF40/100</f>
        <v>0</v>
      </c>
      <c r="AG41" s="3321">
        <f>AF41*AG40/100</f>
        <v>0</v>
      </c>
      <c r="AH41" s="836">
        <f>AG41*AH40/100</f>
        <v>0</v>
      </c>
      <c r="AI41" s="836">
        <f>AH41*AI40/100</f>
        <v>0</v>
      </c>
      <c r="AJ41" s="836">
        <f>AI41*AJ40/100</f>
        <v>0</v>
      </c>
      <c r="AK41" s="836">
        <f>AJ41*AK40/100</f>
        <v>0</v>
      </c>
      <c r="AL41" s="836">
        <f>AK41*AL40/100</f>
        <v>0</v>
      </c>
      <c r="AM41" s="836">
        <f>AL41*AM40/100</f>
        <v>0</v>
      </c>
      <c r="AN41" s="836">
        <f>AM41*AN40/100</f>
        <v>0</v>
      </c>
      <c r="AO41" s="836">
        <f>AN41*AO40/100</f>
        <v>0</v>
      </c>
      <c r="AP41" s="3321">
        <f>AO41*AP40/100</f>
        <v>0</v>
      </c>
      <c r="AQ41" s="3321">
        <f>AP41*AQ40/100</f>
        <v>0</v>
      </c>
      <c r="AR41" s="836">
        <f>AQ41*AR40/100</f>
        <v>0</v>
      </c>
      <c r="AS41" s="836">
        <f>AR41*AS40/100</f>
        <v>0</v>
      </c>
      <c r="AT41" s="836">
        <f>AS41*AT40/100</f>
        <v>0</v>
      </c>
      <c r="AU41" s="836">
        <f>AT41*AU40/100</f>
        <v>0</v>
      </c>
      <c r="AV41" s="836">
        <f>AU41*AV40/100</f>
        <v>0</v>
      </c>
      <c r="AW41" s="836">
        <f>AV41*AW40/100</f>
        <v>0</v>
      </c>
      <c r="AX41" s="836">
        <f>AW41*AX40/100</f>
        <v>0</v>
      </c>
      <c r="AY41" s="755"/>
      <c r="AZ41" s="399"/>
      <c r="BA41" s="678"/>
      <c r="BB41" s="1035" t="s">
        <v>1280</v>
      </c>
    </row>
    <row s="1621" customFormat="1" customHeight="1" ht="14.25">
      <c r="A42" s="208"/>
      <c r="B42" s="404"/>
      <c r="C42" s="208"/>
      <c r="D42" s="208"/>
      <c r="E42" s="671">
        <v>15</v>
      </c>
      <c r="F42" s="50" cm="1" t="str">
        <f t="array" ref="F42:F42">OFFSET(E42,-1,1)</f>
        <v>1</v>
      </c>
      <c r="G42" s="399" t="s">
        <v>329</v>
      </c>
      <c r="H42" s="399" t="s">
        <v>1281</v>
      </c>
      <c r="I42" s="113"/>
      <c r="J42" s="113"/>
      <c r="K42" s="208"/>
      <c r="L42" s="208"/>
      <c r="M42" s="208"/>
      <c r="N42" s="208"/>
      <c r="O42" s="208"/>
      <c r="P42" s="208"/>
      <c r="Q42" s="208"/>
      <c r="R42" s="208"/>
      <c r="S42" s="208"/>
      <c r="T42" s="439" cm="1" t="str">
        <f t="array" ref="T42:T42">T41</f>
        <v>true</v>
      </c>
      <c r="U42" s="208"/>
      <c r="V42" s="208"/>
      <c r="W42" s="208"/>
      <c r="X42" s="1482"/>
      <c r="Y42" s="113"/>
      <c r="Z42" s="1535"/>
      <c r="AA42" s="113"/>
      <c r="AB42" s="214" t="s">
        <v>536</v>
      </c>
      <c r="AC42" s="213" t="s">
        <v>1282</v>
      </c>
      <c r="AD42" s="214" t="s">
        <v>784</v>
      </c>
      <c r="AE42" s="826">
        <f>AE36*AE41/100</f>
        <v>0</v>
      </c>
      <c r="AF42" s="826">
        <f>AF36*AF41/100</f>
        <v>0</v>
      </c>
      <c r="AG42" s="826">
        <f>AG36*AG41/100</f>
        <v>0</v>
      </c>
      <c r="AH42" s="826">
        <f>AH36*AH41/100</f>
        <v>0</v>
      </c>
      <c r="AI42" s="826">
        <f>AI36*AI41/100</f>
        <v>0</v>
      </c>
      <c r="AJ42" s="826">
        <f>AJ36*AJ41/100</f>
        <v>0</v>
      </c>
      <c r="AK42" s="826">
        <f>AK36*AK41/100</f>
        <v>0</v>
      </c>
      <c r="AL42" s="826">
        <f>AL36*AL41/100</f>
        <v>0</v>
      </c>
      <c r="AM42" s="826">
        <f>AM36*AM41/100</f>
        <v>0</v>
      </c>
      <c r="AN42" s="826">
        <f>AN36*AN41/100</f>
        <v>0</v>
      </c>
      <c r="AO42" s="826">
        <f>AO36*AO41/100</f>
        <v>0</v>
      </c>
      <c r="AP42" s="826">
        <f>AP36*AP41/100</f>
        <v>0</v>
      </c>
      <c r="AQ42" s="826">
        <f>AQ36*AQ41/100</f>
        <v>0</v>
      </c>
      <c r="AR42" s="826">
        <f>AR36*AR41/100</f>
        <v>0</v>
      </c>
      <c r="AS42" s="826">
        <f>AS36*AS41/100</f>
        <v>0</v>
      </c>
      <c r="AT42" s="826">
        <f>AT36*AT41/100</f>
        <v>0</v>
      </c>
      <c r="AU42" s="826">
        <f>AU36*AU41/100</f>
        <v>0</v>
      </c>
      <c r="AV42" s="826">
        <f>AV36*AV41/100</f>
        <v>0</v>
      </c>
      <c r="AW42" s="826">
        <f>AW36*AW41/100</f>
        <v>0</v>
      </c>
      <c r="AX42" s="826">
        <f>AX36*AX41/100</f>
        <v>0</v>
      </c>
      <c r="AY42" s="755"/>
      <c r="AZ42" s="113"/>
      <c r="BA42" s="1153"/>
      <c r="BB42" s="980" t="s">
        <v>1283</v>
      </c>
    </row>
    <row s="1621" customFormat="1" customHeight="1" ht="14.25">
      <c r="A43" s="1153"/>
      <c r="B43" s="1160"/>
      <c r="C43" s="1153"/>
      <c r="D43" s="1153"/>
      <c r="E43" s="597">
        <v>15</v>
      </c>
      <c r="F43" s="467" cm="1" t="str">
        <f t="array" ref="F43:F43">X43</f>
        <v>2</v>
      </c>
      <c r="G43" s="399"/>
      <c r="H43" s="399"/>
      <c r="I43" s="399"/>
      <c r="J43" s="399"/>
      <c r="K43" s="1153"/>
      <c r="L43" s="1153"/>
      <c r="M43" s="1153"/>
      <c r="N43" s="1153"/>
      <c r="O43" s="1153"/>
      <c r="P43" s="1153"/>
      <c r="Q43" s="1153"/>
      <c r="R43" s="1153"/>
      <c r="S43" s="1153"/>
      <c r="T43" s="439">
        <f>X43&gt;0</f>
        <v>1</v>
      </c>
      <c r="U43" s="1153"/>
      <c r="V43" s="88" cm="1" t="str">
        <f t="array" ref="V43:V43">'ИП + источники'!$AB$87</f>
        <v>Тариф 2 (Водоотведение) - тариф на водоотведение (Оказание услуг на территории: Прокопьевский муниципальный округ (ОКТМО: 32522000) - п Калачево)</v>
      </c>
      <c r="W43" s="1153"/>
      <c r="X43" s="1482" t="s">
        <v>283</v>
      </c>
      <c r="Y43" s="399"/>
      <c r="Z43" s="1535"/>
      <c r="AA43" s="399"/>
      <c r="AB43" s="209" cm="1" t="str">
        <f t="array" ref="AB43:AB43">'ИП + источники'!$AB$87</f>
        <v>Тариф 2 (Водоотведение) - тариф на водоотведение (Оказание услуг на территории: Прокопьевский муниципальный округ (ОКТМО: 32522000) - п Калачево)</v>
      </c>
      <c r="AC43" s="813"/>
      <c r="AD43" s="813"/>
      <c r="AE43" s="813"/>
      <c r="AF43" s="813"/>
      <c r="AG43" s="813"/>
      <c r="AH43" s="813"/>
      <c r="AI43" s="813"/>
      <c r="AJ43" s="813"/>
      <c r="AK43" s="813"/>
      <c r="AL43" s="813"/>
      <c r="AM43" s="813"/>
      <c r="AN43" s="813"/>
      <c r="AO43" s="813"/>
      <c r="AP43" s="813"/>
      <c r="AQ43" s="813"/>
      <c r="AR43" s="813"/>
      <c r="AS43" s="813"/>
      <c r="AT43" s="813"/>
      <c r="AU43" s="813"/>
      <c r="AV43" s="813"/>
      <c r="AW43" s="813"/>
      <c r="AX43" s="813"/>
      <c r="AY43" s="813"/>
      <c r="AZ43" s="399"/>
      <c r="BA43" s="1153"/>
      <c r="BB43" s="1253"/>
    </row>
    <row s="1621" customFormat="1" customHeight="1" ht="14.25">
      <c r="A44" s="208"/>
      <c r="B44" s="404"/>
      <c r="C44" s="208"/>
      <c r="D44" s="208"/>
      <c r="E44" s="671">
        <v>15</v>
      </c>
      <c r="F44" s="50" cm="1" t="str">
        <f t="array" ref="F44:F44">OFFSET(E44,-1,1)</f>
        <v>2</v>
      </c>
      <c r="G44" s="399" t="s">
        <v>325</v>
      </c>
      <c r="H44" s="113"/>
      <c r="I44" s="113"/>
      <c r="J44" s="113"/>
      <c r="K44" s="208"/>
      <c r="L44" s="208"/>
      <c r="M44" s="208"/>
      <c r="N44" s="208"/>
      <c r="O44" s="208"/>
      <c r="P44" s="208"/>
      <c r="Q44" s="208"/>
      <c r="R44" s="208"/>
      <c r="S44" s="208"/>
      <c r="T44" s="439" cm="1" t="str">
        <f t="array" ref="T44:T44">T43</f>
        <v>true</v>
      </c>
      <c r="U44" s="208"/>
      <c r="V44" s="208"/>
      <c r="W44" s="208"/>
      <c r="X44" s="1482"/>
      <c r="Y44" s="113"/>
      <c r="Z44" s="1535"/>
      <c r="AA44" s="113"/>
      <c r="AB44" s="214" t="s">
        <v>272</v>
      </c>
      <c r="AC44" s="213" t="s">
        <v>1270</v>
      </c>
      <c r="AD44" s="214" t="s">
        <v>784</v>
      </c>
      <c r="AE44" s="826">
        <f>AE45+AE46+AE47</f>
        <v>0</v>
      </c>
      <c r="AF44" s="826">
        <f>AF45+AF46+AF47</f>
        <v>0</v>
      </c>
      <c r="AG44" s="826">
        <f>AG45+AG46+AG47</f>
        <v>0</v>
      </c>
      <c r="AH44" s="826">
        <f>AH45+AH46+AH47</f>
        <v>0</v>
      </c>
      <c r="AI44" s="826">
        <f>AI45+AI46+AI47</f>
        <v>0</v>
      </c>
      <c r="AJ44" s="826">
        <f>AJ45+AJ46+AJ47</f>
        <v>0</v>
      </c>
      <c r="AK44" s="826">
        <f>AK45+AK46+AK47</f>
        <v>0</v>
      </c>
      <c r="AL44" s="826">
        <f>AL45+AL46+AL47</f>
        <v>0</v>
      </c>
      <c r="AM44" s="826">
        <f>AM45+AM46+AM47</f>
        <v>0</v>
      </c>
      <c r="AN44" s="826">
        <f>AN45+AN46+AN47</f>
        <v>0</v>
      </c>
      <c r="AO44" s="826">
        <f>AO45+AO46+AO47</f>
        <v>0</v>
      </c>
      <c r="AP44" s="826">
        <f>AP45+AP46+AP47</f>
        <v>0</v>
      </c>
      <c r="AQ44" s="826">
        <f>AQ45+AQ46+AQ47</f>
        <v>0</v>
      </c>
      <c r="AR44" s="826">
        <f>AR45+AR46+AR47</f>
        <v>0</v>
      </c>
      <c r="AS44" s="826">
        <f>AS45+AS46+AS47</f>
        <v>0</v>
      </c>
      <c r="AT44" s="826">
        <f>AT45+AT46+AT47</f>
        <v>0</v>
      </c>
      <c r="AU44" s="826">
        <f>AU45+AU46+AU47</f>
        <v>0</v>
      </c>
      <c r="AV44" s="826">
        <f>AV45+AV46+AV47</f>
        <v>0</v>
      </c>
      <c r="AW44" s="826">
        <f>AW45+AW46+AW47</f>
        <v>0</v>
      </c>
      <c r="AX44" s="826">
        <f>AX45+AX46+AX47</f>
        <v>0</v>
      </c>
      <c r="AY44" s="755"/>
      <c r="AZ44" s="113"/>
      <c r="BA44" s="1153"/>
      <c r="BB44" s="980" t="s">
        <v>1204</v>
      </c>
    </row>
    <row s="1621" customFormat="1" customHeight="1" ht="14.25">
      <c r="A45" s="1153"/>
      <c r="B45" s="1160"/>
      <c r="C45" s="1153"/>
      <c r="D45" s="1153"/>
      <c r="E45" s="597">
        <v>15</v>
      </c>
      <c r="F45" s="50" cm="1" t="str">
        <f t="array" ref="F45:F45">OFFSET(E45,-1,1)</f>
        <v>2</v>
      </c>
      <c r="G45" s="399" t="s">
        <v>441</v>
      </c>
      <c r="H45" s="399"/>
      <c r="I45" s="399"/>
      <c r="J45" s="399"/>
      <c r="K45" s="1153"/>
      <c r="L45" s="1153"/>
      <c r="M45" s="1153"/>
      <c r="N45" s="1153"/>
      <c r="O45" s="1153"/>
      <c r="P45" s="1153"/>
      <c r="Q45" s="1153"/>
      <c r="R45" s="1153"/>
      <c r="S45" s="1153"/>
      <c r="T45" s="439" cm="1" t="str">
        <f t="array" ref="T45:T45">T44</f>
        <v>true</v>
      </c>
      <c r="U45" s="1153"/>
      <c r="V45" s="1153"/>
      <c r="W45" s="1153"/>
      <c r="X45" s="1482"/>
      <c r="Y45" s="399"/>
      <c r="Z45" s="1535"/>
      <c r="AA45" s="399"/>
      <c r="AB45" s="832" t="s">
        <v>845</v>
      </c>
      <c r="AC45" s="833" t="s">
        <v>1271</v>
      </c>
      <c r="AD45" s="832" t="s">
        <v>784</v>
      </c>
      <c r="AE45" s="265"/>
      <c r="AF45" s="3044"/>
      <c r="AG45" s="3044"/>
      <c r="AH45" s="265"/>
      <c r="AI45" s="265"/>
      <c r="AJ45" s="265"/>
      <c r="AK45" s="265"/>
      <c r="AL45" s="265"/>
      <c r="AM45" s="265"/>
      <c r="AN45" s="265"/>
      <c r="AO45" s="265"/>
      <c r="AP45" s="3044"/>
      <c r="AQ45" s="3044"/>
      <c r="AR45" s="265"/>
      <c r="AS45" s="265"/>
      <c r="AT45" s="265"/>
      <c r="AU45" s="265"/>
      <c r="AV45" s="265"/>
      <c r="AW45" s="265"/>
      <c r="AX45" s="265"/>
      <c r="AY45" s="755"/>
      <c r="AZ45" s="399"/>
      <c r="BA45" s="1153"/>
      <c r="BB45" s="980" t="s">
        <v>1272</v>
      </c>
    </row>
    <row s="1621" customFormat="1" customHeight="1" ht="23.25">
      <c r="A46" s="1153"/>
      <c r="B46" s="1160"/>
      <c r="C46" s="1153"/>
      <c r="D46" s="1153"/>
      <c r="E46" s="597">
        <v>24</v>
      </c>
      <c r="F46" s="50" cm="1" t="str">
        <f t="array" ref="F46:F46">OFFSET(E46,-1,1)</f>
        <v>2</v>
      </c>
      <c r="G46" s="399" t="s">
        <v>445</v>
      </c>
      <c r="H46" s="399"/>
      <c r="I46" s="399"/>
      <c r="J46" s="399"/>
      <c r="K46" s="1153"/>
      <c r="L46" s="1153"/>
      <c r="M46" s="1153"/>
      <c r="N46" s="1153"/>
      <c r="O46" s="1153"/>
      <c r="P46" s="1153"/>
      <c r="Q46" s="1153"/>
      <c r="R46" s="1153"/>
      <c r="S46" s="1153"/>
      <c r="T46" s="439" cm="1" t="str">
        <f t="array" ref="T46:T46">T45</f>
        <v>true</v>
      </c>
      <c r="U46" s="1153"/>
      <c r="V46" s="1153"/>
      <c r="W46" s="1153"/>
      <c r="X46" s="1482"/>
      <c r="Y46" s="399"/>
      <c r="Z46" s="1535"/>
      <c r="AA46" s="399"/>
      <c r="AB46" s="832" t="s">
        <v>848</v>
      </c>
      <c r="AC46" s="833" t="s">
        <v>1273</v>
      </c>
      <c r="AD46" s="832" t="s">
        <v>784</v>
      </c>
      <c r="AE46" s="265"/>
      <c r="AF46" s="3044"/>
      <c r="AG46" s="3044"/>
      <c r="AH46" s="265"/>
      <c r="AI46" s="265"/>
      <c r="AJ46" s="265"/>
      <c r="AK46" s="265"/>
      <c r="AL46" s="265"/>
      <c r="AM46" s="265"/>
      <c r="AN46" s="265"/>
      <c r="AO46" s="265"/>
      <c r="AP46" s="3044"/>
      <c r="AQ46" s="3044"/>
      <c r="AR46" s="265"/>
      <c r="AS46" s="265"/>
      <c r="AT46" s="265"/>
      <c r="AU46" s="265"/>
      <c r="AV46" s="265"/>
      <c r="AW46" s="265"/>
      <c r="AX46" s="265"/>
      <c r="AY46" s="755"/>
      <c r="AZ46" s="399"/>
      <c r="BA46" s="1153"/>
      <c r="BB46" s="980" t="s">
        <v>1274</v>
      </c>
    </row>
    <row s="1621" customFormat="1" customHeight="1" ht="33">
      <c r="A47" s="88"/>
      <c r="B47" s="401"/>
      <c r="C47" s="88"/>
      <c r="D47" s="88"/>
      <c r="E47" s="597">
        <v>34.2</v>
      </c>
      <c r="F47" s="1202" cm="1" t="str">
        <f t="array" ref="F47:F47">OFFSET(E47,-1,1)</f>
        <v>2</v>
      </c>
      <c r="G47" s="399" t="s">
        <v>448</v>
      </c>
      <c r="H47" s="399"/>
      <c r="I47" s="399"/>
      <c r="J47" s="399"/>
      <c r="K47" s="88"/>
      <c r="L47" s="88"/>
      <c r="M47" s="88"/>
      <c r="N47" s="88"/>
      <c r="O47" s="88"/>
      <c r="P47" s="88"/>
      <c r="Q47" s="88"/>
      <c r="R47" s="88"/>
      <c r="S47" s="88"/>
      <c r="T47" s="439" cm="1" t="str">
        <f t="array" ref="T47:T47">T46</f>
        <v>true</v>
      </c>
      <c r="U47" s="88"/>
      <c r="V47" s="88"/>
      <c r="W47" s="88"/>
      <c r="X47" s="1482"/>
      <c r="Y47" s="399"/>
      <c r="Z47" s="1535"/>
      <c r="AA47" s="399"/>
      <c r="AB47" s="832" t="s">
        <v>851</v>
      </c>
      <c r="AC47" s="833" t="s">
        <v>1275</v>
      </c>
      <c r="AD47" s="832" t="s">
        <v>784</v>
      </c>
      <c r="AE47" s="265"/>
      <c r="AF47" s="3044"/>
      <c r="AG47" s="3044"/>
      <c r="AH47" s="265"/>
      <c r="AI47" s="265"/>
      <c r="AJ47" s="265"/>
      <c r="AK47" s="265"/>
      <c r="AL47" s="265"/>
      <c r="AM47" s="265"/>
      <c r="AN47" s="265"/>
      <c r="AO47" s="265"/>
      <c r="AP47" s="3044"/>
      <c r="AQ47" s="3044"/>
      <c r="AR47" s="265"/>
      <c r="AS47" s="265"/>
      <c r="AT47" s="265"/>
      <c r="AU47" s="265"/>
      <c r="AV47" s="265"/>
      <c r="AW47" s="265"/>
      <c r="AX47" s="265"/>
      <c r="AY47" s="755"/>
      <c r="AZ47" s="399"/>
      <c r="BA47" s="1621"/>
      <c r="BB47" s="1032" t="s">
        <v>1276</v>
      </c>
    </row>
    <row s="1621" customFormat="1" customHeight="1" ht="14.25">
      <c r="A48" s="1153"/>
      <c r="B48" s="1160"/>
      <c r="C48" s="1153"/>
      <c r="D48" s="1153"/>
      <c r="E48" s="597">
        <v>15</v>
      </c>
      <c r="F48" s="50" cm="1" t="str">
        <f t="array" ref="F48:F48">OFFSET(E48,-1,1)</f>
        <v>2</v>
      </c>
      <c r="G48" s="399" t="s">
        <v>326</v>
      </c>
      <c r="H48" s="399"/>
      <c r="I48" s="399"/>
      <c r="J48" s="399"/>
      <c r="K48" s="1153"/>
      <c r="L48" s="1153"/>
      <c r="M48" s="1153"/>
      <c r="N48" s="1153"/>
      <c r="O48" s="1153"/>
      <c r="P48" s="1153"/>
      <c r="Q48" s="1153"/>
      <c r="R48" s="1153"/>
      <c r="S48" s="1153"/>
      <c r="T48" s="439" cm="1" t="str">
        <f t="array" ref="T48:T48">T47</f>
        <v>true</v>
      </c>
      <c r="U48" s="1153"/>
      <c r="V48" s="1153"/>
      <c r="W48" s="1153"/>
      <c r="X48" s="1482"/>
      <c r="Y48" s="399"/>
      <c r="Z48" s="1535"/>
      <c r="AA48" s="399"/>
      <c r="AB48" s="832" t="s">
        <v>283</v>
      </c>
      <c r="AC48" s="834" t="s">
        <v>1277</v>
      </c>
      <c r="AD48" s="832" t="s">
        <v>437</v>
      </c>
      <c r="AE48" s="835">
        <f>_xlfn.SUMIFS(Сценарии!AJ$25:AJ$109,Сценарии!$F$25:$F$109,$F48,Сценарии!$AC$25:$AC$109,"Индекс потребительских цен")</f>
        <v>4.5</v>
      </c>
      <c r="AF48" s="835">
        <f>_xlfn.SUMIFS(Сценарии!AO$25:AO$109,Сценарии!$F$25:$F$109,$F48,Сценарии!$AC$25:$AC$109,"Индекс потребительских цен")</f>
        <v>0</v>
      </c>
      <c r="AG48" s="835">
        <f>_xlfn.SUMIFS(Сценарии!AP$25:AP$109,Сценарии!$F$25:$F$109,$F48,Сценарии!$AC$25:$AC$109,"Индекс потребительских цен")</f>
        <v>0</v>
      </c>
      <c r="AH48" s="835">
        <f>_xlfn.SUMIFS(Сценарии!AQ$25:AQ$109,Сценарии!$F$25:$F$109,$F48,Сценарии!$AC$25:$AC$109,"Индекс потребительских цен")</f>
        <v>0</v>
      </c>
      <c r="AI48" s="835">
        <f>_xlfn.SUMIFS(Сценарии!AR$25:AR$109,Сценарии!$F$25:$F$109,$F48,Сценарии!$AC$25:$AC$109,"Индекс потребительских цен")</f>
        <v>0</v>
      </c>
      <c r="AJ48" s="835">
        <f>_xlfn.SUMIFS(Сценарии!AS$25:AS$109,Сценарии!$F$25:$F$109,$F48,Сценарии!$AC$25:$AC$109,"Индекс потребительских цен")</f>
        <v>0</v>
      </c>
      <c r="AK48" s="835">
        <f>_xlfn.SUMIFS(Сценарии!AT$25:AT$109,Сценарии!$F$25:$F$109,$F48,Сценарии!$AC$25:$AC$109,"Индекс потребительских цен")</f>
        <v>0</v>
      </c>
      <c r="AL48" s="835">
        <f>_xlfn.SUMIFS(Сценарии!AU$25:AU$109,Сценарии!$F$25:$F$109,$F48,Сценарии!$AC$25:$AC$109,"Индекс потребительских цен")</f>
        <v>0</v>
      </c>
      <c r="AM48" s="835">
        <f>_xlfn.SUMIFS(Сценарии!AV$25:AV$109,Сценарии!$F$25:$F$109,$F48,Сценарии!$AC$25:$AC$109,"Индекс потребительских цен")</f>
        <v>0</v>
      </c>
      <c r="AN48" s="835">
        <f>_xlfn.SUMIFS(Сценарии!AW$25:AW$109,Сценарии!$F$25:$F$109,$F48,Сценарии!$AC$25:$AC$109,"Индекс потребительских цен")</f>
        <v>0</v>
      </c>
      <c r="AO48" s="835">
        <f>_xlfn.SUMIFS(Сценарии!AK$25:AK$109,Сценарии!$F$25:$F$109,$F48,Сценарии!$AC$25:$AC$109,"Индекс потребительских цен")</f>
        <v>4.3</v>
      </c>
      <c r="AP48" s="835">
        <f>_xlfn.SUMIFS(Сценарии!AX$25:AX$109,Сценарии!$F$25:$F$109,$F48,Сценарии!$AC$25:$AC$109,"Индекс потребительских цен")</f>
        <v>0</v>
      </c>
      <c r="AQ48" s="835">
        <f>_xlfn.SUMIFS(Сценарии!AY$25:AY$109,Сценарии!$F$25:$F$109,$F48,Сценарии!$AC$25:$AC$109,"Индекс потребительских цен")</f>
        <v>0</v>
      </c>
      <c r="AR48" s="835">
        <f>_xlfn.SUMIFS(Сценарии!AZ$25:AZ$109,Сценарии!$F$25:$F$109,$F48,Сценарии!$AC$25:$AC$109,"Индекс потребительских цен")</f>
        <v>0</v>
      </c>
      <c r="AS48" s="835">
        <f>_xlfn.SUMIFS(Сценарии!BA$25:BA$109,Сценарии!$F$25:$F$109,$F48,Сценарии!$AC$25:$AC$109,"Индекс потребительских цен")</f>
        <v>0</v>
      </c>
      <c r="AT48" s="835">
        <f>_xlfn.SUMIFS(Сценарии!BB$25:BB$109,Сценарии!$F$25:$F$109,$F48,Сценарии!$AC$25:$AC$109,"Индекс потребительских цен")</f>
        <v>0</v>
      </c>
      <c r="AU48" s="835">
        <f>_xlfn.SUMIFS(Сценарии!BC$25:BC$109,Сценарии!$F$25:$F$109,$F48,Сценарии!$AC$25:$AC$109,"Индекс потребительских цен")</f>
        <v>0</v>
      </c>
      <c r="AV48" s="835">
        <f>_xlfn.SUMIFS(Сценарии!BD$25:BD$109,Сценарии!$F$25:$F$109,$F48,Сценарии!$AC$25:$AC$109,"Индекс потребительских цен")</f>
        <v>0</v>
      </c>
      <c r="AW48" s="835">
        <f>_xlfn.SUMIFS(Сценарии!BE$25:BE$109,Сценарии!$F$25:$F$109,$F48,Сценарии!$AC$25:$AC$109,"Индекс потребительских цен")</f>
        <v>0</v>
      </c>
      <c r="AX48" s="835">
        <f>_xlfn.SUMIFS(Сценарии!BF$25:BF$109,Сценарии!$F$25:$F$109,$F48,Сценарии!$AC$25:$AC$109,"Индекс потребительских цен")</f>
        <v>0</v>
      </c>
      <c r="AY48" s="755"/>
      <c r="AZ48" s="399"/>
      <c r="BA48" s="1153"/>
      <c r="BB48" s="980" t="s">
        <v>1278</v>
      </c>
    </row>
    <row s="3323" customFormat="1" customHeight="1" ht="14.625">
      <c r="A49" s="88"/>
      <c r="B49" s="401"/>
      <c r="C49" s="88"/>
      <c r="D49" s="88"/>
      <c r="E49" s="597">
        <v>15</v>
      </c>
      <c r="F49" s="50" cm="1" t="str">
        <f t="array" ref="F49:F49">OFFSET(E49,-1,1)</f>
        <v>2</v>
      </c>
      <c r="G49" s="399" t="s">
        <v>327</v>
      </c>
      <c r="H49" s="399"/>
      <c r="I49" s="399"/>
      <c r="J49" s="399"/>
      <c r="K49" s="88"/>
      <c r="L49" s="88"/>
      <c r="M49" s="88"/>
      <c r="N49" s="88"/>
      <c r="O49" s="88"/>
      <c r="P49" s="88"/>
      <c r="Q49" s="88"/>
      <c r="R49" s="88"/>
      <c r="S49" s="88"/>
      <c r="T49" s="439" cm="1" t="str">
        <f t="array" ref="T49:T49">T48</f>
        <v>true</v>
      </c>
      <c r="U49" s="88"/>
      <c r="V49" s="88"/>
      <c r="W49" s="88"/>
      <c r="X49" s="1482"/>
      <c r="Y49" s="399"/>
      <c r="Z49" s="1535"/>
      <c r="AA49" s="399"/>
      <c r="AB49" s="747">
        <v>3</v>
      </c>
      <c r="AC49" s="834" t="s">
        <v>1279</v>
      </c>
      <c r="AD49" s="832" t="s">
        <v>437</v>
      </c>
      <c r="AE49" s="836">
        <v>4.5</v>
      </c>
      <c r="AF49" s="3321">
        <f>AE49*AF48/100</f>
        <v>0</v>
      </c>
      <c r="AG49" s="3321">
        <f>AF49*AG48/100</f>
        <v>0</v>
      </c>
      <c r="AH49" s="836">
        <f>AG49*AH48/100</f>
        <v>0</v>
      </c>
      <c r="AI49" s="836">
        <f>AH49*AI48/100</f>
        <v>0</v>
      </c>
      <c r="AJ49" s="836">
        <f>AI49*AJ48/100</f>
        <v>0</v>
      </c>
      <c r="AK49" s="836">
        <f>AJ49*AK48/100</f>
        <v>0</v>
      </c>
      <c r="AL49" s="836">
        <f>AK49*AL48/100</f>
        <v>0</v>
      </c>
      <c r="AM49" s="836">
        <f>AL49*AM48/100</f>
        <v>0</v>
      </c>
      <c r="AN49" s="836">
        <f>AM49*AN48/100</f>
        <v>0</v>
      </c>
      <c r="AO49" s="836">
        <f>AN49*AO48/100</f>
        <v>0</v>
      </c>
      <c r="AP49" s="3321">
        <f>AO49*AP48/100</f>
        <v>0</v>
      </c>
      <c r="AQ49" s="3321">
        <f>AP49*AQ48/100</f>
        <v>0</v>
      </c>
      <c r="AR49" s="836">
        <f>AQ49*AR48/100</f>
        <v>0</v>
      </c>
      <c r="AS49" s="836">
        <f>AR49*AS48/100</f>
        <v>0</v>
      </c>
      <c r="AT49" s="836">
        <f>AS49*AT48/100</f>
        <v>0</v>
      </c>
      <c r="AU49" s="836">
        <f>AT49*AU48/100</f>
        <v>0</v>
      </c>
      <c r="AV49" s="836">
        <f>AU49*AV48/100</f>
        <v>0</v>
      </c>
      <c r="AW49" s="836">
        <f>AV49*AW48/100</f>
        <v>0</v>
      </c>
      <c r="AX49" s="836">
        <f>AW49*AX48/100</f>
        <v>0</v>
      </c>
      <c r="AY49" s="755"/>
      <c r="AZ49" s="399"/>
      <c r="BA49" s="678"/>
      <c r="BB49" s="1035" t="s">
        <v>1280</v>
      </c>
    </row>
    <row s="1621" customFormat="1" customHeight="1" ht="14.25">
      <c r="A50" s="208"/>
      <c r="B50" s="404"/>
      <c r="C50" s="208"/>
      <c r="D50" s="208"/>
      <c r="E50" s="671">
        <v>15</v>
      </c>
      <c r="F50" s="50" cm="1" t="str">
        <f t="array" ref="F50:F50">OFFSET(E50,-1,1)</f>
        <v>2</v>
      </c>
      <c r="G50" s="399" t="s">
        <v>329</v>
      </c>
      <c r="H50" s="399" t="s">
        <v>1281</v>
      </c>
      <c r="I50" s="113"/>
      <c r="J50" s="113"/>
      <c r="K50" s="208"/>
      <c r="L50" s="208"/>
      <c r="M50" s="208"/>
      <c r="N50" s="208"/>
      <c r="O50" s="208"/>
      <c r="P50" s="208"/>
      <c r="Q50" s="208"/>
      <c r="R50" s="208"/>
      <c r="S50" s="208"/>
      <c r="T50" s="439" cm="1" t="str">
        <f t="array" ref="T50:T50">T49</f>
        <v>true</v>
      </c>
      <c r="U50" s="208"/>
      <c r="V50" s="208"/>
      <c r="W50" s="208"/>
      <c r="X50" s="1482"/>
      <c r="Y50" s="113"/>
      <c r="Z50" s="1535"/>
      <c r="AA50" s="113"/>
      <c r="AB50" s="214" t="s">
        <v>536</v>
      </c>
      <c r="AC50" s="213" t="s">
        <v>1282</v>
      </c>
      <c r="AD50" s="214" t="s">
        <v>784</v>
      </c>
      <c r="AE50" s="826">
        <f>AE44*AE49/100</f>
        <v>0</v>
      </c>
      <c r="AF50" s="826">
        <f>AF44*AF49/100</f>
        <v>0</v>
      </c>
      <c r="AG50" s="826">
        <f>AG44*AG49/100</f>
        <v>0</v>
      </c>
      <c r="AH50" s="826">
        <f>AH44*AH49/100</f>
        <v>0</v>
      </c>
      <c r="AI50" s="826">
        <f>AI44*AI49/100</f>
        <v>0</v>
      </c>
      <c r="AJ50" s="826">
        <f>AJ44*AJ49/100</f>
        <v>0</v>
      </c>
      <c r="AK50" s="826">
        <f>AK44*AK49/100</f>
        <v>0</v>
      </c>
      <c r="AL50" s="826">
        <f>AL44*AL49/100</f>
        <v>0</v>
      </c>
      <c r="AM50" s="826">
        <f>AM44*AM49/100</f>
        <v>0</v>
      </c>
      <c r="AN50" s="826">
        <f>AN44*AN49/100</f>
        <v>0</v>
      </c>
      <c r="AO50" s="826">
        <f>AO44*AO49/100</f>
        <v>0</v>
      </c>
      <c r="AP50" s="826">
        <f>AP44*AP49/100</f>
        <v>0</v>
      </c>
      <c r="AQ50" s="826">
        <f>AQ44*AQ49/100</f>
        <v>0</v>
      </c>
      <c r="AR50" s="826">
        <f>AR44*AR49/100</f>
        <v>0</v>
      </c>
      <c r="AS50" s="826">
        <f>AS44*AS49/100</f>
        <v>0</v>
      </c>
      <c r="AT50" s="826">
        <f>AT44*AT49/100</f>
        <v>0</v>
      </c>
      <c r="AU50" s="826">
        <f>AU44*AU49/100</f>
        <v>0</v>
      </c>
      <c r="AV50" s="826">
        <f>AV44*AV49/100</f>
        <v>0</v>
      </c>
      <c r="AW50" s="826">
        <f>AW44*AW49/100</f>
        <v>0</v>
      </c>
      <c r="AX50" s="826">
        <f>AX44*AX49/100</f>
        <v>0</v>
      </c>
      <c r="AY50" s="755"/>
      <c r="AZ50" s="113"/>
      <c r="BA50" s="1153"/>
      <c r="BB50" s="980" t="s">
        <v>1283</v>
      </c>
    </row>
    <row customHeight="1" ht="10.96875">
      <c r="A51" s="0"/>
      <c r="B51" s="403"/>
      <c r="C51" s="0"/>
      <c r="D51" s="0"/>
      <c r="E51" s="603">
        <v>11.25</v>
      </c>
      <c r="F51" s="0"/>
      <c r="G51" s="0"/>
      <c r="H51" s="0"/>
      <c r="I51" s="0"/>
      <c r="J51" s="0"/>
      <c r="K51" s="0"/>
      <c r="L51" s="0"/>
      <c r="M51" s="0"/>
      <c r="N51" s="0"/>
      <c r="O51" s="0"/>
      <c r="P51" s="0"/>
      <c r="Q51" s="0"/>
      <c r="R51" s="0"/>
      <c r="S51" s="0"/>
      <c r="T51" s="0"/>
      <c r="U51" s="456" t="s">
        <v>177</v>
      </c>
      <c r="V51" s="106" t="s">
        <v>1284</v>
      </c>
      <c r="W51" s="0"/>
      <c r="X51" s="0"/>
      <c r="Y51" s="0"/>
      <c r="Z51" s="0"/>
      <c r="AA51" s="0"/>
      <c r="AB51" s="0"/>
      <c r="AC51" s="66"/>
      <c r="AD51" s="66"/>
      <c r="AE51" s="66"/>
      <c r="AF51" s="66"/>
      <c r="AG51" s="0"/>
      <c r="AH51" s="0"/>
      <c r="AI51" s="0"/>
      <c r="AJ51" s="0"/>
      <c r="AK51" s="0"/>
      <c r="AL51" s="0"/>
      <c r="AM51" s="0"/>
      <c r="AN51" s="0"/>
      <c r="AO51" s="0"/>
      <c r="AP51" s="0"/>
      <c r="AQ51" s="67"/>
      <c r="AR51" s="0"/>
      <c r="AS51" s="0"/>
      <c r="AT51" s="0"/>
      <c r="AU51" s="0"/>
      <c r="AV51" s="0"/>
      <c r="AW51" s="0"/>
      <c r="AX51" s="0"/>
      <c r="AY51" s="0"/>
      <c r="AZ51" s="0"/>
    </row>
    <row customHeight="1" ht="14.625">
      <c r="E52" s="597">
        <v>15</v>
      </c>
      <c r="F52" s="399"/>
      <c r="G52" s="399"/>
      <c r="H52" s="399"/>
      <c r="I52" s="399"/>
      <c r="J52" s="399"/>
      <c r="AB52" s="1485" t="s">
        <v>398</v>
      </c>
      <c r="AC52" s="1485"/>
      <c r="AD52" s="1485"/>
      <c r="AE52" s="1485"/>
      <c r="AF52" s="1485"/>
      <c r="AG52" s="1485"/>
      <c r="AH52" s="1485"/>
      <c r="AI52" s="1485"/>
      <c r="AJ52" s="1485"/>
      <c r="AK52" s="1485"/>
      <c r="AL52" s="1485"/>
      <c r="AM52" s="1485"/>
      <c r="AN52" s="1485"/>
      <c r="AO52" s="1485"/>
      <c r="AP52" s="1485"/>
      <c r="AQ52" s="1485"/>
      <c r="AR52" s="1485"/>
      <c r="AS52" s="1485"/>
      <c r="AT52" s="1485"/>
      <c r="AU52" s="1485"/>
      <c r="AV52" s="1485"/>
      <c r="AW52" s="1485"/>
      <c r="AX52" s="1522"/>
      <c r="AY52" s="1522"/>
    </row>
    <row customHeight="1" ht="14.625">
      <c r="E53" s="597">
        <v>15</v>
      </c>
      <c r="F53" s="399"/>
      <c r="G53" s="399"/>
      <c r="H53" s="399"/>
      <c r="I53" s="399"/>
      <c r="J53" s="399"/>
      <c r="AA53" s="140"/>
      <c r="AB53" s="1562"/>
      <c r="AC53" s="1564"/>
      <c r="AD53" s="1564"/>
      <c r="AE53" s="1564"/>
      <c r="AF53" s="1564"/>
      <c r="AG53" s="1564"/>
      <c r="AH53" s="1564"/>
      <c r="AI53" s="1564"/>
      <c r="AJ53" s="1564"/>
      <c r="AK53" s="1564"/>
      <c r="AL53" s="1564"/>
      <c r="AM53" s="1564"/>
      <c r="AN53" s="1564"/>
      <c r="AO53" s="1564"/>
      <c r="AP53" s="1564"/>
      <c r="AQ53" s="1564"/>
      <c r="AR53" s="1564"/>
      <c r="AS53" s="1564"/>
      <c r="AT53" s="1564"/>
      <c r="AU53" s="1564"/>
      <c r="AV53" s="1564"/>
      <c r="AW53" s="1564"/>
      <c r="AX53" s="1565"/>
      <c r="AY53" s="1565"/>
    </row>
    <row customHeight="1" ht="14.625" hidden="1">
      <c r="A54" s="1153"/>
      <c r="B54" s="1160"/>
      <c r="C54" s="1153"/>
      <c r="D54" s="1153"/>
      <c r="E54" s="597">
        <v>15</v>
      </c>
      <c r="F54" s="1153"/>
      <c r="G54" s="1153"/>
      <c r="H54" s="1153"/>
      <c r="I54" s="1153"/>
      <c r="J54" s="1153"/>
      <c r="K54" s="1153"/>
      <c r="L54" s="1153"/>
      <c r="M54" s="1153"/>
      <c r="N54" s="1153"/>
      <c r="O54" s="1153"/>
      <c r="P54" s="1153"/>
      <c r="Q54" s="1153"/>
      <c r="R54" s="1153"/>
      <c r="S54" s="1153"/>
      <c r="T54" s="439">
        <f>ROW(W54)&gt;ROW(W$54)</f>
        <v>0</v>
      </c>
      <c r="U54" s="1153"/>
      <c r="V54" s="1153"/>
      <c r="W54" s="738" t="s">
        <v>173</v>
      </c>
      <c r="X54" s="1153"/>
      <c r="Y54" s="1153"/>
      <c r="Z54" s="1153"/>
      <c r="AA54" s="393" t="s">
        <v>174</v>
      </c>
      <c r="AB54" s="3307" t="s">
        <v>222</v>
      </c>
      <c r="AC54" s="1564"/>
      <c r="AD54" s="1564"/>
      <c r="AE54" s="1564"/>
      <c r="AF54" s="1564"/>
      <c r="AG54" s="1564"/>
      <c r="AH54" s="1564"/>
      <c r="AI54" s="1564"/>
      <c r="AJ54" s="1564"/>
      <c r="AK54" s="1564"/>
      <c r="AL54" s="1564"/>
      <c r="AM54" s="1564"/>
      <c r="AN54" s="1564"/>
      <c r="AO54" s="1564"/>
      <c r="AP54" s="1564"/>
      <c r="AQ54" s="1564"/>
      <c r="AR54" s="1564"/>
      <c r="AS54" s="1564"/>
      <c r="AT54" s="1564"/>
      <c r="AU54" s="1564"/>
      <c r="AV54" s="1564"/>
      <c r="AW54" s="1564"/>
      <c r="AX54" s="1565"/>
      <c r="AY54" s="1565"/>
      <c r="AZ54" s="1153"/>
      <c r="BA54" s="1153"/>
      <c r="BB54" s="1253"/>
    </row>
    <row s="678" customFormat="1" customHeight="1" ht="14.625">
      <c r="A55" s="88"/>
      <c r="B55" s="401"/>
      <c r="C55" s="88"/>
      <c r="D55" s="88"/>
      <c r="E55" s="597">
        <v>15</v>
      </c>
      <c r="F55" s="88"/>
      <c r="G55" s="88"/>
      <c r="H55" s="88"/>
      <c r="I55" s="88"/>
      <c r="J55" s="88"/>
      <c r="K55" s="88"/>
      <c r="L55" s="88"/>
      <c r="M55" s="88"/>
      <c r="N55" s="88"/>
      <c r="O55" s="88"/>
      <c r="P55" s="88"/>
      <c r="Q55" s="88"/>
      <c r="R55" s="88"/>
      <c r="S55" s="88"/>
      <c r="T55" s="88"/>
      <c r="U55" s="88"/>
      <c r="V55" s="88"/>
      <c r="W55" s="738" t="s">
        <v>399</v>
      </c>
      <c r="X55" s="88"/>
      <c r="Y55" s="88"/>
      <c r="Z55" s="88"/>
      <c r="AA55" s="88"/>
      <c r="AB55" s="627"/>
      <c r="AC55" s="488" t="s">
        <v>400</v>
      </c>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42"/>
      <c r="AZ55" s="88"/>
      <c r="BB55" s="1035"/>
    </row>
    <row s="1621" customFormat="1" customHeight="1" ht="10.725000000000001">
      <c r="A56" s="88"/>
      <c r="B56" s="401"/>
      <c r="C56" s="88"/>
      <c r="D56" s="88"/>
      <c r="E56" s="597">
        <v>11</v>
      </c>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399"/>
      <c r="BB56" s="987"/>
    </row>
  </sheetData>
  <sheetProtection formatColumns="0" formatRows="0" insertRows="0" deleteColumns="0" deleteRows="0" sort="0" autoFilter="0" insertColumns="1"/>
  <mergeCells count="13">
    <mergeCell ref="X27:X34"/>
    <mergeCell ref="Z27:Z34"/>
    <mergeCell ref="AB52:AY52"/>
    <mergeCell ref="AB53:AY53"/>
    <mergeCell ref="AB24:AB25"/>
    <mergeCell ref="AC24:AC25"/>
    <mergeCell ref="AD24:AD25"/>
    <mergeCell ref="AY24:AY25"/>
    <mergeCell ref="AB54:AY54"/>
    <mergeCell ref="X35:X42"/>
    <mergeCell ref="Z35:Z42"/>
    <mergeCell ref="X43:X50"/>
    <mergeCell ref="Z43:Z50"/>
  </mergeCells>
  <dataValidations count="1">
    <dataValidation allowBlank="1" showInputMessage="1" showErrorMessage="1" sqref="AY52:AY54"/>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FC2C98-0BC8-2BF9-65B3-FE01CBBF1FA9}" mc:Ignorable="x14ac xr xr2 xr3">
  <sheetPr>
    <tabColor rgb="FF002060"/>
  </sheetPr>
  <dimension ref="A1:AQ40"/>
  <sheetViews>
    <sheetView showGridLines="0" workbookViewId="0">
      <pane xSplit="30" ySplit="24" topLeftCell="AE25" activePane="bottomRight" state="frozen"/>
      <selection pane="bottomLeft" activeCell="A25" sqref="A25"/>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4" width="3.57421875" hidden="1" customWidth="1"/>
    <col min="7"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1" style="1153" width="15.00390625" customWidth="1"/>
    <col min="32" max="32" style="1153" width="16.57421875" customWidth="1"/>
    <col min="33" max="33" style="1153" width="18.7109375" customWidth="1"/>
    <col min="34" max="34" style="1153" width="25.86328125" customWidth="1"/>
    <col min="35" max="35" style="1153" width="18.43359375" customWidth="1"/>
    <col min="36" max="36" style="1153" width="29.140625" customWidth="1"/>
    <col min="37" max="37" style="1153" width="18.43359375" customWidth="1"/>
    <col min="38" max="38" style="1153" width="15.00390625" customWidth="1"/>
    <col min="39" max="39" style="1153" width="3.00390625" customWidth="1"/>
    <col min="40" max="40" style="1153" width="9.140625" hidden="1"/>
    <col min="41" max="41" style="1253" width="9.140625" hidden="1"/>
    <col min="42" max="43" style="1153" width="9.140625" hidden="1"/>
  </cols>
  <sheetData>
    <row customHeight="1" ht="11.25" hidden="1">
      <c r="E1" s="88"/>
      <c r="F1" s="730" t="s">
        <v>313</v>
      </c>
      <c r="G1" s="88" t="s">
        <v>324</v>
      </c>
      <c r="T1" s="439" t="s">
        <v>92</v>
      </c>
      <c r="U1" s="439" t="s">
        <v>97</v>
      </c>
      <c r="V1" s="439" t="s">
        <v>93</v>
      </c>
      <c r="W1" s="439" t="s">
        <v>94</v>
      </c>
      <c r="X1" s="439" t="s">
        <v>95</v>
      </c>
      <c r="Y1" s="441" t="s">
        <v>315</v>
      </c>
      <c r="Z1" s="439" t="s">
        <v>99</v>
      </c>
      <c r="AA1" s="440" t="s">
        <v>96</v>
      </c>
      <c r="AB1" s="51"/>
      <c r="AC1" s="440" t="s">
        <v>98</v>
      </c>
      <c r="AO1" s="980" t="s">
        <v>316</v>
      </c>
    </row>
    <row s="1160" customFormat="1" customHeight="1" ht="11.25" hidden="1">
      <c r="B2" s="419" t="s">
        <v>18</v>
      </c>
      <c r="F2" s="731"/>
      <c r="AO2" s="992"/>
    </row>
    <row customHeight="1" ht="11.25" hidden="1">
      <c r="E3" s="88"/>
    </row>
    <row customHeight="1" ht="11.25" hidden="1">
      <c r="E4" s="88"/>
    </row>
    <row s="1161" customFormat="1" customHeight="1" ht="11.25" hidden="1">
      <c r="A5" s="88"/>
      <c r="B5" s="401"/>
      <c r="C5" s="88"/>
      <c r="D5" s="88"/>
      <c r="E5" s="597" t="s">
        <v>19</v>
      </c>
      <c r="F5" s="732"/>
      <c r="AA5" s="597">
        <v>3</v>
      </c>
      <c r="AB5" s="597">
        <v>11</v>
      </c>
      <c r="AC5" s="597">
        <v>50</v>
      </c>
      <c r="AD5" s="597">
        <v>10</v>
      </c>
      <c r="AE5" s="597">
        <v>15</v>
      </c>
      <c r="AF5" s="597">
        <v>16.57</v>
      </c>
      <c r="AG5" s="597">
        <v>18.71</v>
      </c>
      <c r="AH5" s="597">
        <v>25.86</v>
      </c>
      <c r="AI5" s="597">
        <v>18.43</v>
      </c>
      <c r="AJ5" s="597">
        <v>29.14</v>
      </c>
      <c r="AK5" s="597">
        <v>18.43</v>
      </c>
      <c r="AL5" s="597">
        <v>15</v>
      </c>
      <c r="AM5" s="597">
        <v>3</v>
      </c>
      <c r="AO5" s="980"/>
    </row>
    <row customHeight="1" ht="11.25" hidden="1">
      <c r="A6" s="88" t="s">
        <v>351</v>
      </c>
      <c r="AE6" s="88" cm="1" t="str">
        <f t="array" ref="AE6:AE6">AE24</f>
        <v>Начислено в соответствии с пунктом 26(1) Основ ценообразования в сфере водоснабжения и водоотведения</v>
      </c>
      <c r="AF6" s="88" cm="1" t="str">
        <f t="array" ref="AF6:AF6">AF24</f>
        <v>Направлено на внесение платы за негативное воздействие на окружающую среду</v>
      </c>
      <c r="AG6" s="88" cm="1" t="str">
        <f t="array" ref="AG6:AG6">AG24</f>
        <v>Направлено на компенсацию вреда, причиненного водному объекту</v>
      </c>
      <c r="AH6" s="88" cm="1" t="str">
        <f t="array" ref="AH6: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88" cm="1" t="str">
        <f t="array" ref="AI6:AI6">AI24</f>
        <v>Предусмотрено на финансирование мероприятий производственной программы регулируемой организации</v>
      </c>
      <c r="AJ6" s="88" cm="1" t="str">
        <f t="array" ref="AJ6: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88" cm="1" t="str">
        <f t="array" ref="AK6:AK6">AK24</f>
        <v>Налог на прибыль</v>
      </c>
      <c r="AL6" s="88" cm="1" t="str">
        <f t="array" ref="AL6:AL6">AL24</f>
        <v>Подлежит к исключению</v>
      </c>
    </row>
    <row customHeight="1" ht="11.25" hidden="1"/>
    <row customHeight="1" ht="11.25" hidden="1"/>
    <row s="1253" customFormat="1" customHeight="1" ht="11.25" hidden="1">
      <c r="A9" s="980" t="s">
        <v>361</v>
      </c>
      <c r="B9" s="992"/>
      <c r="F9" s="993"/>
      <c r="AE9" s="980" cm="1" t="str">
        <f t="array" ref="AE9:AE9">AE24</f>
        <v>Начислено в соответствии с пунктом 26(1) Основ ценообразования в сфере водоснабжения и водоотведения</v>
      </c>
      <c r="AF9" s="980" cm="1" t="str">
        <f t="array" ref="AF9:AF9">AF24</f>
        <v>Направлено на внесение платы за негативное воздействие на окружающую среду</v>
      </c>
      <c r="AG9" s="980" cm="1" t="str">
        <f t="array" ref="AG9:AG9">AG24</f>
        <v>Направлено на компенсацию вреда, причиненного водному объекту</v>
      </c>
      <c r="AH9" s="980" cm="1" t="str">
        <f t="array" ref="AH9: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980" cm="1" t="str">
        <f t="array" ref="AI9:AI9">AI24</f>
        <v>Предусмотрено на финансирование мероприятий производственной программы регулируемой организации</v>
      </c>
      <c r="AJ9" s="980" cm="1" t="str">
        <f t="array" ref="AJ9: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980" cm="1" t="str">
        <f t="array" ref="AK9:AK9">AK24</f>
        <v>Налог на прибыль</v>
      </c>
      <c r="AL9" s="980" cm="1" t="str">
        <f t="array" ref="AL9:AL9">AL24</f>
        <v>Подлежит к исключению</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0.96875">
      <c r="E21" s="597">
        <v>11.25</v>
      </c>
      <c r="AA21" s="398"/>
      <c r="AB21" s="122"/>
      <c r="AC21" s="122"/>
      <c r="AD21" s="122"/>
      <c r="AE21" s="122"/>
      <c r="AF21" s="122"/>
      <c r="AG21" s="122"/>
      <c r="AH21" s="122"/>
      <c r="AI21" s="122"/>
      <c r="AJ21" s="122"/>
      <c r="AK21" s="122"/>
      <c r="AL21" s="122"/>
    </row>
    <row customHeight="1" ht="19.5">
      <c r="E22" s="597">
        <v>20</v>
      </c>
      <c r="AB22" s="287" t="s">
        <v>1285</v>
      </c>
      <c r="AC22" s="203"/>
      <c r="AD22" s="203"/>
      <c r="AE22" s="203"/>
      <c r="AF22" s="203"/>
      <c r="AG22" s="216"/>
      <c r="AH22" s="216"/>
      <c r="AI22" s="216"/>
      <c r="AJ22" s="216"/>
      <c r="AK22" s="216"/>
      <c r="AL22" s="216"/>
    </row>
    <row customHeight="1" ht="10.96875">
      <c r="E23" s="597">
        <v>11.25</v>
      </c>
      <c r="AB23" s="122"/>
      <c r="AC23" s="122"/>
      <c r="AD23" s="122"/>
      <c r="AE23" s="122"/>
      <c r="AF23" s="122"/>
      <c r="AG23" s="122"/>
      <c r="AH23" s="122"/>
      <c r="AI23" s="122"/>
      <c r="AJ23" s="122"/>
      <c r="AK23" s="122"/>
      <c r="AL23" s="122"/>
    </row>
    <row customHeight="1" ht="108.95625000000001">
      <c r="E24" s="597">
        <v>111.75</v>
      </c>
      <c r="AB24" s="212" t="s">
        <v>1286</v>
      </c>
      <c r="AC24" s="52" t="s">
        <v>1268</v>
      </c>
      <c r="AD24" s="52" t="s">
        <v>363</v>
      </c>
      <c r="AE24" s="57" t="s">
        <v>1287</v>
      </c>
      <c r="AF24" s="57" t="s">
        <v>1288</v>
      </c>
      <c r="AG24" s="57" t="s">
        <v>1289</v>
      </c>
      <c r="AH24" s="57" t="s">
        <v>1290</v>
      </c>
      <c r="AI24" s="57" t="s">
        <v>1291</v>
      </c>
      <c r="AJ24" s="57" t="s">
        <v>1292</v>
      </c>
      <c r="AK24" s="57" t="s">
        <v>1166</v>
      </c>
      <c r="AL24" s="57" t="s">
        <v>1293</v>
      </c>
    </row>
    <row s="1621" customFormat="1" customHeight="1" ht="11.25">
      <c r="B25" s="403"/>
      <c r="E25" s="651" t="s">
        <v>366</v>
      </c>
      <c r="F25" s="1067"/>
      <c r="AC25" s="66"/>
      <c r="AD25" s="66"/>
      <c r="AE25" s="66"/>
      <c r="AF25" s="66"/>
      <c r="AO25" s="987"/>
      <c r="AQ25" s="67"/>
    </row>
    <row customHeight="1" ht="14.625" hidden="1">
      <c r="A26" s="1153"/>
      <c r="B26" s="1160"/>
      <c r="C26" s="1153"/>
      <c r="D26" s="1153"/>
      <c r="E26" s="597">
        <v>15</v>
      </c>
      <c r="F26" s="316" cm="1" t="str">
        <f t="array" ref="F26:F26">X26</f>
        <v>0</v>
      </c>
      <c r="G26" s="1153"/>
      <c r="H26" s="1153"/>
      <c r="I26" s="1153"/>
      <c r="J26" s="1153"/>
      <c r="K26" s="1153"/>
      <c r="L26" s="1153"/>
      <c r="M26" s="1153"/>
      <c r="N26" s="1153"/>
      <c r="O26" s="1153"/>
      <c r="P26" s="1153"/>
      <c r="Q26" s="1153"/>
      <c r="R26" s="1153"/>
      <c r="S26" s="1153"/>
      <c r="T26" s="439">
        <f>X26&gt;0</f>
        <v>0</v>
      </c>
      <c r="U26" s="1153"/>
      <c r="V26" s="88" t="s">
        <v>261</v>
      </c>
      <c r="W26" s="1153"/>
      <c r="X26" s="1482">
        <v>0</v>
      </c>
      <c r="Y26" s="1153"/>
      <c r="Z26" s="1465"/>
      <c r="AA26" s="1153"/>
      <c r="AB26" s="209" cm="1" t="str">
        <f t="array" ref="AB26:AB26">INDEX('Общие сведения'!$AG$179:$AG$222,MATCH($X26,'Общие сведения'!$Z$179:$Z$222,0))</f>
        <v>Тариф 0 () - </v>
      </c>
      <c r="AC26" s="210"/>
      <c r="AD26" s="210"/>
      <c r="AE26" s="240">
        <f>AE27+AE28</f>
        <v>0</v>
      </c>
      <c r="AF26" s="240">
        <f>AF27+AF28</f>
        <v>0</v>
      </c>
      <c r="AG26" s="240">
        <f>AG27+AG28</f>
        <v>0</v>
      </c>
      <c r="AH26" s="240">
        <f>AH27+AH28</f>
        <v>0</v>
      </c>
      <c r="AI26" s="240">
        <f>AI27+AI28</f>
        <v>0</v>
      </c>
      <c r="AJ26" s="240">
        <f>AJ27+AJ28</f>
        <v>0</v>
      </c>
      <c r="AK26" s="240">
        <f>AK27+AK28</f>
        <v>0</v>
      </c>
      <c r="AL26" s="240">
        <f>AL27+AL28</f>
        <v>0</v>
      </c>
      <c r="AM26" s="1153"/>
      <c r="AN26" s="1153"/>
      <c r="AO26" s="1253"/>
      <c r="AP26" s="1153"/>
      <c r="AQ26" s="1153"/>
    </row>
    <row customHeight="1" ht="33.39375" hidden="1">
      <c r="A27" s="1153"/>
      <c r="B27" s="419">
        <f>_xlfn.IFERROR(IF(SEARCH("Водоотведение",AB26),TRUE,FALSE),FALSE)</f>
        <v>0</v>
      </c>
      <c r="C27" s="1153"/>
      <c r="D27" s="1153"/>
      <c r="E27" s="597">
        <v>34.25</v>
      </c>
      <c r="F27" s="50" cm="1" t="str">
        <f t="array" ref="F27:F27">OFFSET(E27,-1,1)</f>
        <v>0</v>
      </c>
      <c r="G27" s="90">
        <v>1</v>
      </c>
      <c r="H27" s="1153"/>
      <c r="I27" s="1153"/>
      <c r="J27" s="1153"/>
      <c r="K27" s="1153"/>
      <c r="L27" s="1153"/>
      <c r="M27" s="1153"/>
      <c r="N27" s="1153"/>
      <c r="O27" s="1153"/>
      <c r="P27" s="1153"/>
      <c r="Q27" s="1153"/>
      <c r="R27" s="1153"/>
      <c r="S27" s="1153"/>
      <c r="T27" s="439" cm="1" t="str">
        <f t="array" ref="T27:T27">T26</f>
        <v>false</v>
      </c>
      <c r="U27" s="1153"/>
      <c r="V27" s="1153"/>
      <c r="W27" s="1153"/>
      <c r="X27" s="1482"/>
      <c r="Y27" s="1153"/>
      <c r="Z27" s="1465"/>
      <c r="AA27" s="1153"/>
      <c r="AB27" s="52" t="s">
        <v>272</v>
      </c>
      <c r="AC27" s="211" t="s">
        <v>1294</v>
      </c>
      <c r="AD27" s="52" t="s">
        <v>784</v>
      </c>
      <c r="AE27" s="3159"/>
      <c r="AF27" s="3331"/>
      <c r="AG27" s="3331"/>
      <c r="AH27" s="3331"/>
      <c r="AI27" s="3331"/>
      <c r="AJ27" s="3331"/>
      <c r="AK27" s="3331"/>
      <c r="AL27" s="3331">
        <f>IF(AE27-AF27-AG27-AH27-AI27-AJ27-AK27&lt;0,0,AE27-AF27-AG27-AH27-AI27-AJ27-AK27)</f>
        <v>0</v>
      </c>
      <c r="AM27" s="1153"/>
      <c r="AN27" s="1153"/>
      <c r="AO27" s="980" t="s">
        <v>1249</v>
      </c>
      <c r="AP27" s="1153"/>
      <c r="AQ27" s="1153"/>
    </row>
    <row customHeight="1" ht="33.39375" hidden="1">
      <c r="A28" s="1153"/>
      <c r="B28" s="419" cm="1" t="str">
        <f t="array" ref="B28:B28">B27</f>
        <v>false</v>
      </c>
      <c r="C28" s="1153"/>
      <c r="D28" s="1153"/>
      <c r="E28" s="597">
        <v>34.25</v>
      </c>
      <c r="F28" s="50" cm="1" t="str">
        <f t="array" ref="F28:F28">OFFSET(E28,-1,1)</f>
        <v>0</v>
      </c>
      <c r="G28" s="90">
        <v>2</v>
      </c>
      <c r="H28" s="1153"/>
      <c r="I28" s="1153"/>
      <c r="J28" s="1153"/>
      <c r="K28" s="1153"/>
      <c r="L28" s="1153"/>
      <c r="M28" s="1153"/>
      <c r="N28" s="1153"/>
      <c r="O28" s="1153"/>
      <c r="P28" s="1153"/>
      <c r="Q28" s="1153"/>
      <c r="R28" s="1153"/>
      <c r="S28" s="1153"/>
      <c r="T28" s="439" cm="1" t="str">
        <f t="array" ref="T28:T28">T27</f>
        <v>false</v>
      </c>
      <c r="U28" s="1153"/>
      <c r="V28" s="1153"/>
      <c r="W28" s="1153"/>
      <c r="X28" s="1482"/>
      <c r="Y28" s="1153"/>
      <c r="Z28" s="1465"/>
      <c r="AA28" s="1153"/>
      <c r="AB28" s="52" t="s">
        <v>283</v>
      </c>
      <c r="AC28" s="211" t="s">
        <v>1295</v>
      </c>
      <c r="AD28" s="52" t="s">
        <v>784</v>
      </c>
      <c r="AE28" s="3159"/>
      <c r="AF28" s="3331"/>
      <c r="AG28" s="3331"/>
      <c r="AH28" s="3331"/>
      <c r="AI28" s="3331"/>
      <c r="AJ28" s="3331"/>
      <c r="AK28" s="3331"/>
      <c r="AL28" s="3331">
        <f>IF(AE28-AF28-AG28-AH28-AI28-AJ28-AK28&lt;0,0,AE28-AF28-AG28-AH28-AI28-AJ28-AK28)</f>
        <v>0</v>
      </c>
      <c r="AM28" s="1153"/>
      <c r="AN28" s="1153"/>
      <c r="AO28" s="980" t="s">
        <v>1253</v>
      </c>
      <c r="AP28" s="1153"/>
      <c r="AQ28" s="1153"/>
    </row>
    <row s="1621" customFormat="1" customHeight="1" ht="14.25">
      <c r="A29" s="1153"/>
      <c r="B29" s="1160"/>
      <c r="C29" s="1153"/>
      <c r="D29" s="1153"/>
      <c r="E29" s="597">
        <v>15</v>
      </c>
      <c r="F29" s="316" cm="1" t="str">
        <f t="array" ref="F29:F29">X29</f>
        <v>1</v>
      </c>
      <c r="G29" s="1153"/>
      <c r="H29" s="1153"/>
      <c r="I29" s="1153"/>
      <c r="J29" s="1153"/>
      <c r="K29" s="1153"/>
      <c r="L29" s="1153"/>
      <c r="M29" s="1153"/>
      <c r="N29" s="1153"/>
      <c r="O29" s="1153"/>
      <c r="P29" s="1153"/>
      <c r="Q29" s="1153"/>
      <c r="R29" s="1153"/>
      <c r="S29" s="1153"/>
      <c r="T29" s="439">
        <f>X29&gt;0</f>
        <v>1</v>
      </c>
      <c r="U29" s="1153"/>
      <c r="V29" s="88" cm="1" t="str">
        <f t="array" ref="V29:V29">Экономия_корр!$AB$35</f>
        <v>Тариф 1 (Водоснабжение) - тариф на техническую воду (Оказание услуг на территории: Прокопьевский муниципальный округ (ОКТМО: 32522000) - п Калачево)</v>
      </c>
      <c r="W29" s="1153"/>
      <c r="X29" s="1482" t="s">
        <v>272</v>
      </c>
      <c r="Y29" s="1153"/>
      <c r="Z29" s="1465"/>
      <c r="AA29" s="1153"/>
      <c r="AB29" s="209" cm="1" t="str">
        <f t="array" ref="AB29:AB29">Экономия_корр!$AB$35</f>
        <v>Тариф 1 (Водоснабжение) - тариф на техническую воду (Оказание услуг на территории: Прокопьевский муниципальный округ (ОКТМО: 32522000) - п Калачево)</v>
      </c>
      <c r="AC29" s="210"/>
      <c r="AD29" s="210"/>
      <c r="AE29" s="240">
        <f>AE30+AE31</f>
        <v>0</v>
      </c>
      <c r="AF29" s="240">
        <f>AF30+AF31</f>
        <v>0</v>
      </c>
      <c r="AG29" s="240">
        <f>AG30+AG31</f>
        <v>0</v>
      </c>
      <c r="AH29" s="240">
        <f>AH30+AH31</f>
        <v>0</v>
      </c>
      <c r="AI29" s="240">
        <f>AI30+AI31</f>
        <v>0</v>
      </c>
      <c r="AJ29" s="240">
        <f>AJ30+AJ31</f>
        <v>0</v>
      </c>
      <c r="AK29" s="240">
        <f>AK30+AK31</f>
        <v>0</v>
      </c>
      <c r="AL29" s="240">
        <f>AL30+AL31</f>
        <v>0</v>
      </c>
      <c r="AM29" s="1153"/>
      <c r="AN29" s="1153"/>
      <c r="AO29" s="1253"/>
      <c r="AP29" s="1153"/>
      <c r="AQ29" s="1153"/>
    </row>
    <row s="1621" customFormat="1" customHeight="1" ht="33" hidden="1">
      <c r="A30" s="1153"/>
      <c r="B30" s="419">
        <f>_xlfn.IFERROR(IF(SEARCH("Водоотведение",AB29),TRUE,FALSE),FALSE)</f>
        <v>0</v>
      </c>
      <c r="C30" s="1153"/>
      <c r="D30" s="1153"/>
      <c r="E30" s="597">
        <v>34.25</v>
      </c>
      <c r="F30" s="50" cm="1" t="str">
        <f t="array" ref="F30:F30">OFFSET(E30,-1,1)</f>
        <v>1</v>
      </c>
      <c r="G30" s="90">
        <v>1</v>
      </c>
      <c r="H30" s="1153"/>
      <c r="I30" s="1153"/>
      <c r="J30" s="1153"/>
      <c r="K30" s="1153"/>
      <c r="L30" s="1153"/>
      <c r="M30" s="1153"/>
      <c r="N30" s="1153"/>
      <c r="O30" s="1153"/>
      <c r="P30" s="1153"/>
      <c r="Q30" s="1153"/>
      <c r="R30" s="1153"/>
      <c r="S30" s="1153"/>
      <c r="T30" s="439" cm="1" t="str">
        <f t="array" ref="T30:T30">T29</f>
        <v>true</v>
      </c>
      <c r="U30" s="1153"/>
      <c r="V30" s="1153"/>
      <c r="W30" s="1153"/>
      <c r="X30" s="1482"/>
      <c r="Y30" s="1153"/>
      <c r="Z30" s="1465"/>
      <c r="AA30" s="1153"/>
      <c r="AB30" s="52" t="s">
        <v>272</v>
      </c>
      <c r="AC30" s="211" t="s">
        <v>1294</v>
      </c>
      <c r="AD30" s="52" t="s">
        <v>784</v>
      </c>
      <c r="AE30" s="3159"/>
      <c r="AF30" s="3331"/>
      <c r="AG30" s="3331"/>
      <c r="AH30" s="3331"/>
      <c r="AI30" s="3331"/>
      <c r="AJ30" s="3331"/>
      <c r="AK30" s="3331"/>
      <c r="AL30" s="3331">
        <f>IF(AE30-AF30-AG30-AH30-AI30-AJ30-AK30&lt;0,0,AE30-AF30-AG30-AH30-AI30-AJ30-AK30)</f>
        <v>0</v>
      </c>
      <c r="AM30" s="1153"/>
      <c r="AN30" s="1153"/>
      <c r="AO30" s="980" t="s">
        <v>1249</v>
      </c>
      <c r="AP30" s="1153"/>
      <c r="AQ30" s="1153"/>
    </row>
    <row s="1621" customFormat="1" customHeight="1" ht="33" hidden="1">
      <c r="A31" s="1153"/>
      <c r="B31" s="419" cm="1" t="str">
        <f t="array" ref="B31:B31">B30</f>
        <v>false</v>
      </c>
      <c r="C31" s="1153"/>
      <c r="D31" s="1153"/>
      <c r="E31" s="597">
        <v>34.25</v>
      </c>
      <c r="F31" s="50" cm="1" t="str">
        <f t="array" ref="F31:F31">OFFSET(E31,-1,1)</f>
        <v>1</v>
      </c>
      <c r="G31" s="90">
        <v>2</v>
      </c>
      <c r="H31" s="1153"/>
      <c r="I31" s="1153"/>
      <c r="J31" s="1153"/>
      <c r="K31" s="1153"/>
      <c r="L31" s="1153"/>
      <c r="M31" s="1153"/>
      <c r="N31" s="1153"/>
      <c r="O31" s="1153"/>
      <c r="P31" s="1153"/>
      <c r="Q31" s="1153"/>
      <c r="R31" s="1153"/>
      <c r="S31" s="1153"/>
      <c r="T31" s="439" cm="1" t="str">
        <f t="array" ref="T31:T31">T30</f>
        <v>true</v>
      </c>
      <c r="U31" s="1153"/>
      <c r="V31" s="1153"/>
      <c r="W31" s="1153"/>
      <c r="X31" s="1482"/>
      <c r="Y31" s="1153"/>
      <c r="Z31" s="1465"/>
      <c r="AA31" s="1153"/>
      <c r="AB31" s="52" t="s">
        <v>283</v>
      </c>
      <c r="AC31" s="211" t="s">
        <v>1295</v>
      </c>
      <c r="AD31" s="52" t="s">
        <v>784</v>
      </c>
      <c r="AE31" s="3159"/>
      <c r="AF31" s="3331"/>
      <c r="AG31" s="3331"/>
      <c r="AH31" s="3331"/>
      <c r="AI31" s="3331"/>
      <c r="AJ31" s="3331"/>
      <c r="AK31" s="3331"/>
      <c r="AL31" s="3331">
        <f>IF(AE31-AF31-AG31-AH31-AI31-AJ31-AK31&lt;0,0,AE31-AF31-AG31-AH31-AI31-AJ31-AK31)</f>
        <v>0</v>
      </c>
      <c r="AM31" s="1153"/>
      <c r="AN31" s="1153"/>
      <c r="AO31" s="980" t="s">
        <v>1253</v>
      </c>
      <c r="AP31" s="1153"/>
      <c r="AQ31" s="1153"/>
    </row>
    <row s="1621" customFormat="1" customHeight="1" ht="14.25">
      <c r="A32" s="1153"/>
      <c r="B32" s="1160"/>
      <c r="C32" s="1153"/>
      <c r="D32" s="1153"/>
      <c r="E32" s="597">
        <v>15</v>
      </c>
      <c r="F32" s="316" cm="1" t="str">
        <f t="array" ref="F32:F32">X32</f>
        <v>2</v>
      </c>
      <c r="G32" s="1153"/>
      <c r="H32" s="1153"/>
      <c r="I32" s="1153"/>
      <c r="J32" s="1153"/>
      <c r="K32" s="1153"/>
      <c r="L32" s="1153"/>
      <c r="M32" s="1153"/>
      <c r="N32" s="1153"/>
      <c r="O32" s="1153"/>
      <c r="P32" s="1153"/>
      <c r="Q32" s="1153"/>
      <c r="R32" s="1153"/>
      <c r="S32" s="1153"/>
      <c r="T32" s="439">
        <f>X32&gt;0</f>
        <v>1</v>
      </c>
      <c r="U32" s="1153"/>
      <c r="V32" s="88" cm="1" t="str">
        <f t="array" ref="V32:V32">Экономия_корр!$AB$43</f>
        <v>Тариф 2 (Водоотведение) - тариф на водоотведение (Оказание услуг на территории: Прокопьевский муниципальный округ (ОКТМО: 32522000) - п Калачево)</v>
      </c>
      <c r="W32" s="1153"/>
      <c r="X32" s="1482" t="s">
        <v>283</v>
      </c>
      <c r="Y32" s="1153"/>
      <c r="Z32" s="1465"/>
      <c r="AA32" s="1153"/>
      <c r="AB32" s="209" cm="1" t="str">
        <f t="array" ref="AB32:AB32">Экономия_корр!$AB$43</f>
        <v>Тариф 2 (Водоотведение) - тариф на водоотведение (Оказание услуг на территории: Прокопьевский муниципальный округ (ОКТМО: 32522000) - п Калачево)</v>
      </c>
      <c r="AC32" s="210"/>
      <c r="AD32" s="210"/>
      <c r="AE32" s="240">
        <f>AE33+AE34</f>
        <v>0</v>
      </c>
      <c r="AF32" s="240">
        <f>AF33+AF34</f>
        <v>0</v>
      </c>
      <c r="AG32" s="240">
        <f>AG33+AG34</f>
        <v>0</v>
      </c>
      <c r="AH32" s="240">
        <f>AH33+AH34</f>
        <v>0</v>
      </c>
      <c r="AI32" s="240">
        <f>AI33+AI34</f>
        <v>0</v>
      </c>
      <c r="AJ32" s="240">
        <f>AJ33+AJ34</f>
        <v>0</v>
      </c>
      <c r="AK32" s="240">
        <f>AK33+AK34</f>
        <v>0</v>
      </c>
      <c r="AL32" s="240">
        <f>AL33+AL34</f>
        <v>0</v>
      </c>
      <c r="AM32" s="1153"/>
      <c r="AN32" s="1153"/>
      <c r="AO32" s="1253"/>
      <c r="AP32" s="1153"/>
      <c r="AQ32" s="1153"/>
    </row>
    <row s="1621" customFormat="1" customHeight="1" ht="33">
      <c r="A33" s="1153"/>
      <c r="B33" s="419">
        <f>_xlfn.IFERROR(IF(SEARCH("Водоотведение",AB32),TRUE,FALSE),FALSE)</f>
        <v>1</v>
      </c>
      <c r="C33" s="1153"/>
      <c r="D33" s="1153"/>
      <c r="E33" s="597">
        <v>34.25</v>
      </c>
      <c r="F33" s="50" cm="1" t="str">
        <f t="array" ref="F33:F33">OFFSET(E33,-1,1)</f>
        <v>2</v>
      </c>
      <c r="G33" s="90">
        <v>1</v>
      </c>
      <c r="H33" s="1153"/>
      <c r="I33" s="1153"/>
      <c r="J33" s="1153"/>
      <c r="K33" s="1153"/>
      <c r="L33" s="1153"/>
      <c r="M33" s="1153"/>
      <c r="N33" s="1153"/>
      <c r="O33" s="1153"/>
      <c r="P33" s="1153"/>
      <c r="Q33" s="1153"/>
      <c r="R33" s="1153"/>
      <c r="S33" s="1153"/>
      <c r="T33" s="439" cm="1" t="str">
        <f t="array" ref="T33:T33">T32</f>
        <v>true</v>
      </c>
      <c r="U33" s="1153"/>
      <c r="V33" s="1153"/>
      <c r="W33" s="1153"/>
      <c r="X33" s="1482"/>
      <c r="Y33" s="1153"/>
      <c r="Z33" s="1465"/>
      <c r="AA33" s="1153"/>
      <c r="AB33" s="52" t="s">
        <v>272</v>
      </c>
      <c r="AC33" s="211" t="s">
        <v>1294</v>
      </c>
      <c r="AD33" s="52" t="s">
        <v>784</v>
      </c>
      <c r="AE33" s="196"/>
      <c r="AF33" s="215"/>
      <c r="AG33" s="215"/>
      <c r="AH33" s="215"/>
      <c r="AI33" s="215"/>
      <c r="AJ33" s="215"/>
      <c r="AK33" s="215"/>
      <c r="AL33" s="215">
        <f>IF(AE33-AF33-AG33-AH33-AI33-AJ33-AK33&lt;0,0,AE33-AF33-AG33-AH33-AI33-AJ33-AK33)</f>
        <v>0</v>
      </c>
      <c r="AM33" s="1153"/>
      <c r="AN33" s="1153"/>
      <c r="AO33" s="980" t="s">
        <v>1249</v>
      </c>
      <c r="AP33" s="1153"/>
      <c r="AQ33" s="1153"/>
    </row>
    <row s="1621" customFormat="1" customHeight="1" ht="33">
      <c r="A34" s="1153"/>
      <c r="B34" s="419" cm="1" t="str">
        <f t="array" ref="B34:B34">B33</f>
        <v>true</v>
      </c>
      <c r="C34" s="1153"/>
      <c r="D34" s="1153"/>
      <c r="E34" s="597">
        <v>34.25</v>
      </c>
      <c r="F34" s="50" cm="1" t="str">
        <f t="array" ref="F34:F34">OFFSET(E34,-1,1)</f>
        <v>2</v>
      </c>
      <c r="G34" s="90">
        <v>2</v>
      </c>
      <c r="H34" s="1153"/>
      <c r="I34" s="1153"/>
      <c r="J34" s="1153"/>
      <c r="K34" s="1153"/>
      <c r="L34" s="1153"/>
      <c r="M34" s="1153"/>
      <c r="N34" s="1153"/>
      <c r="O34" s="1153"/>
      <c r="P34" s="1153"/>
      <c r="Q34" s="1153"/>
      <c r="R34" s="1153"/>
      <c r="S34" s="1153"/>
      <c r="T34" s="439" cm="1" t="str">
        <f t="array" ref="T34:T34">T33</f>
        <v>true</v>
      </c>
      <c r="U34" s="1153"/>
      <c r="V34" s="1153"/>
      <c r="W34" s="1153"/>
      <c r="X34" s="1482"/>
      <c r="Y34" s="1153"/>
      <c r="Z34" s="1465"/>
      <c r="AA34" s="1153"/>
      <c r="AB34" s="52" t="s">
        <v>283</v>
      </c>
      <c r="AC34" s="211" t="s">
        <v>1295</v>
      </c>
      <c r="AD34" s="52" t="s">
        <v>784</v>
      </c>
      <c r="AE34" s="196"/>
      <c r="AF34" s="215"/>
      <c r="AG34" s="215"/>
      <c r="AH34" s="215"/>
      <c r="AI34" s="215"/>
      <c r="AJ34" s="215"/>
      <c r="AK34" s="215"/>
      <c r="AL34" s="215">
        <f>IF(AE34-AF34-AG34-AH34-AI34-AJ34-AK34&lt;0,0,AE34-AF34-AG34-AH34-AI34-AJ34-AK34)</f>
        <v>0</v>
      </c>
      <c r="AM34" s="1153"/>
      <c r="AN34" s="1153"/>
      <c r="AO34" s="980" t="s">
        <v>1253</v>
      </c>
      <c r="AP34" s="1153"/>
      <c r="AQ34" s="1153"/>
    </row>
    <row s="1621" customFormat="1" customHeight="1" ht="10.96875">
      <c r="B35" s="403"/>
      <c r="E35" s="603">
        <v>11.25</v>
      </c>
      <c r="F35" s="1068"/>
      <c r="U35" s="456" t="s">
        <v>177</v>
      </c>
      <c r="V35" s="106" t="s">
        <v>1296</v>
      </c>
      <c r="AC35" s="66"/>
      <c r="AD35" s="66"/>
      <c r="AE35" s="66"/>
      <c r="AF35" s="66"/>
      <c r="AO35" s="987"/>
      <c r="AQ35" s="67"/>
    </row>
    <row customHeight="1" ht="14.625">
      <c r="E36" s="597">
        <v>15</v>
      </c>
      <c r="AB36" s="1485" t="s">
        <v>398</v>
      </c>
      <c r="AC36" s="1485"/>
      <c r="AD36" s="1485"/>
      <c r="AE36" s="1485"/>
      <c r="AF36" s="1485"/>
      <c r="AG36" s="1485"/>
      <c r="AH36" s="1485"/>
      <c r="AI36" s="1485"/>
      <c r="AJ36" s="1485"/>
      <c r="AK36" s="1485"/>
      <c r="AL36" s="1522"/>
    </row>
    <row customHeight="1" ht="14.625">
      <c r="E37" s="597">
        <v>15</v>
      </c>
      <c r="AA37" s="140"/>
      <c r="AB37" s="1562"/>
      <c r="AC37" s="1562"/>
      <c r="AD37" s="1562"/>
      <c r="AE37" s="1562"/>
      <c r="AF37" s="1562"/>
      <c r="AG37" s="1562"/>
      <c r="AH37" s="1562"/>
      <c r="AI37" s="1562"/>
      <c r="AJ37" s="1562"/>
      <c r="AK37" s="1562"/>
      <c r="AL37" s="1566"/>
    </row>
    <row customHeight="1" ht="14.625" hidden="1">
      <c r="A38" s="1153"/>
      <c r="B38" s="1160"/>
      <c r="C38" s="1153"/>
      <c r="D38" s="1153"/>
      <c r="E38" s="597">
        <v>15</v>
      </c>
      <c r="F38" s="1154"/>
      <c r="G38" s="1153"/>
      <c r="H38" s="1153"/>
      <c r="I38" s="1153"/>
      <c r="J38" s="1153"/>
      <c r="K38" s="1153"/>
      <c r="L38" s="1153"/>
      <c r="M38" s="1153"/>
      <c r="N38" s="1153"/>
      <c r="O38" s="1153"/>
      <c r="P38" s="1153"/>
      <c r="Q38" s="1153"/>
      <c r="R38" s="1153"/>
      <c r="S38" s="1153"/>
      <c r="T38" s="439">
        <f>ROW(W38)&gt;ROW(W$38)</f>
        <v>0</v>
      </c>
      <c r="U38" s="1153"/>
      <c r="V38" s="1153"/>
      <c r="W38" s="738" t="s">
        <v>173</v>
      </c>
      <c r="X38" s="1153"/>
      <c r="Y38" s="1153"/>
      <c r="Z38" s="1153"/>
      <c r="AA38" s="393" t="s">
        <v>174</v>
      </c>
      <c r="AB38" s="3307" t="s">
        <v>222</v>
      </c>
      <c r="AC38" s="3307"/>
      <c r="AD38" s="3307"/>
      <c r="AE38" s="3307"/>
      <c r="AF38" s="3307"/>
      <c r="AG38" s="3307"/>
      <c r="AH38" s="3307"/>
      <c r="AI38" s="3307"/>
      <c r="AJ38" s="3307"/>
      <c r="AK38" s="3307"/>
      <c r="AL38" s="3333"/>
      <c r="AM38" s="1153"/>
      <c r="AN38" s="1153"/>
      <c r="AO38" s="1253"/>
      <c r="AP38" s="1153"/>
      <c r="AQ38" s="1153"/>
    </row>
    <row customHeight="1" ht="14.625">
      <c r="E39" s="597">
        <v>15</v>
      </c>
      <c r="W39" s="738" t="s">
        <v>399</v>
      </c>
      <c r="AB39" s="627"/>
      <c r="AC39" s="488" t="s">
        <v>400</v>
      </c>
      <c r="AD39" s="277"/>
      <c r="AE39" s="277"/>
      <c r="AF39" s="277"/>
      <c r="AG39" s="277"/>
      <c r="AH39" s="277"/>
      <c r="AI39" s="277"/>
      <c r="AJ39" s="277"/>
      <c r="AK39" s="277"/>
      <c r="AL39" s="242"/>
    </row>
    <row customHeight="1" ht="10.96875">
      <c r="E40" s="597">
        <v>11.25</v>
      </c>
      <c r="AM40" s="399"/>
    </row>
  </sheetData>
  <sheetProtection formatColumns="0" formatRows="0" insertRows="0" deleteColumns="0" deleteRows="0" sort="0" autoFilter="0" insertColumns="1"/>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formula1>0</formula1>
      <formula2>9.99999999999999E+23</formula2>
    </dataValidation>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600998-FE18-9CC8-FFD8-86259F162B37}" mc:Ignorable="x14ac xr xr2 xr3">
  <sheetPr>
    <tabColor rgb="FF002060"/>
    <outlinePr summaryRight="0" summaryBelow="0"/>
    <pageSetUpPr fitToPage="1"/>
  </sheetPr>
  <dimension ref="A1:AQ186"/>
  <sheetViews>
    <sheetView showGridLines="0" workbookViewId="0">
      <pane xSplit="31" ySplit="25" topLeftCell="AF179" activePane="bottomRight" state="frozen"/>
      <selection pane="bottomLeft" activeCell="A26" sqref="A26"/>
      <selection pane="topRight" activeCell="AF1" sqref="AF1"/>
      <selection pane="bottomRight" activeCell="AF137" sqref="AF137"/>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90" width="12.421875" hidden="1" customWidth="1"/>
    <col min="8" max="8" style="1153" width="15.140625" hidden="1" customWidth="1"/>
    <col min="9" max="18" style="1153" width="3.57421875" hidden="1" customWidth="1"/>
    <col min="19" max="19" style="1310" width="6.421875" hidden="1" customWidth="1"/>
    <col min="20" max="20" style="1153" width="8.421875" hidden="1" customWidth="1"/>
    <col min="21" max="26" style="1153" width="4.421875" hidden="1" customWidth="1"/>
    <col min="27" max="27" style="1153" width="3.00390625" customWidth="1"/>
    <col min="28" max="28" style="676" width="11.00390625" customWidth="1"/>
    <col min="29" max="29" style="1153" width="72.29296875" customWidth="1"/>
    <col min="30" max="31" style="1153" width="12.00390625" customWidth="1"/>
    <col min="32" max="33" style="1153" width="15.00390625" customWidth="1"/>
    <col min="34" max="34" style="1153" width="20.00390625" customWidth="1"/>
    <col min="35" max="35" style="1153" width="3.00390625" customWidth="1"/>
    <col min="36" max="37" style="1153" width="9.140625" hidden="1"/>
    <col min="38" max="38" style="1253" width="9.140625" hidden="1"/>
    <col min="39" max="43" style="1153" width="9.140625" hidden="1"/>
  </cols>
  <sheetData>
    <row customHeight="1" ht="11.25" hidden="1">
      <c r="E1" s="88"/>
      <c r="F1" s="88" t="s">
        <v>313</v>
      </c>
      <c r="I1" s="88" t="s">
        <v>324</v>
      </c>
      <c r="T1" s="439" t="s">
        <v>92</v>
      </c>
      <c r="U1" s="439" t="s">
        <v>97</v>
      </c>
      <c r="V1" s="439" t="s">
        <v>93</v>
      </c>
      <c r="W1" s="439" t="s">
        <v>94</v>
      </c>
      <c r="X1" s="439" t="s">
        <v>95</v>
      </c>
      <c r="Y1" s="441" t="s">
        <v>315</v>
      </c>
      <c r="Z1" s="439" t="s">
        <v>99</v>
      </c>
      <c r="AA1" s="440" t="s">
        <v>96</v>
      </c>
      <c r="AC1" s="440" t="s">
        <v>98</v>
      </c>
      <c r="AL1" s="980" t="s">
        <v>316</v>
      </c>
    </row>
    <row s="1160" customFormat="1" customHeight="1" ht="11.25" hidden="1">
      <c r="B2" s="419" t="s">
        <v>18</v>
      </c>
      <c r="G2" s="470"/>
      <c r="S2" s="1250"/>
      <c r="AB2" s="400"/>
      <c r="AL2" s="992"/>
    </row>
    <row customHeight="1" ht="11.25" hidden="1">
      <c r="E3" s="88"/>
    </row>
    <row customHeight="1" ht="11.25" hidden="1">
      <c r="E4" s="88"/>
    </row>
    <row s="1161" customFormat="1" customHeight="1" ht="11.25" hidden="1">
      <c r="A5" s="88"/>
      <c r="B5" s="401"/>
      <c r="C5" s="88"/>
      <c r="D5" s="88"/>
      <c r="E5" s="597" t="s">
        <v>19</v>
      </c>
      <c r="G5" s="672"/>
      <c r="S5" s="1251"/>
      <c r="AA5" s="597">
        <v>3</v>
      </c>
      <c r="AB5" s="611">
        <v>11</v>
      </c>
      <c r="AC5" s="597">
        <v>72.29</v>
      </c>
      <c r="AD5" s="597">
        <v>12</v>
      </c>
      <c r="AE5" s="597">
        <v>12</v>
      </c>
      <c r="AF5" s="597">
        <v>15</v>
      </c>
      <c r="AG5" s="597">
        <v>15</v>
      </c>
      <c r="AH5" s="597">
        <v>20</v>
      </c>
      <c r="AI5" s="597">
        <v>3</v>
      </c>
      <c r="AL5" s="980"/>
    </row>
    <row customHeight="1" ht="11.25" hidden="1">
      <c r="AF6" s="88">
        <f>god-2</f>
        <v>2024</v>
      </c>
      <c r="AG6" s="88">
        <f>god-2</f>
        <v>2024</v>
      </c>
    </row>
    <row customHeight="1" ht="11.25" hidden="1">
      <c r="A7" s="88" t="s">
        <v>355</v>
      </c>
      <c r="AF7" s="88" cm="1" t="str">
        <f t="array" ref="AF7:AF7">AF25</f>
        <v>Факт по данным организации</v>
      </c>
      <c r="AG7" s="88" cm="1" t="str">
        <f t="array" ref="AG7:AG7">AG25</f>
        <v>Принято органом регулирования</v>
      </c>
    </row>
    <row customHeight="1" ht="11.25" hidden="1"/>
    <row s="1253" customFormat="1" customHeight="1" ht="11.25" hidden="1">
      <c r="A9" s="980" t="s">
        <v>359</v>
      </c>
      <c r="B9" s="992"/>
      <c r="AF9" s="980" cm="1" t="str">
        <f t="array" ref="AF9:AF9">AF6</f>
        <v>2024</v>
      </c>
      <c r="AG9" s="980" cm="1" t="str">
        <f t="array" ref="AG9:AG9">AG6</f>
        <v>2024</v>
      </c>
    </row>
    <row s="1253" customFormat="1" customHeight="1" ht="11.25" hidden="1">
      <c r="A10" s="980" t="s">
        <v>360</v>
      </c>
      <c r="B10" s="992"/>
      <c r="AF10" s="980" cm="1" t="str">
        <f t="array" ref="AF10:AF10">AF25</f>
        <v>Факт по данным организации</v>
      </c>
      <c r="AG10" s="980" cm="1" t="str">
        <f t="array" ref="AG10:AG10">AG25</f>
        <v>Принято органом регулирования</v>
      </c>
    </row>
    <row s="1253" customFormat="1" customHeight="1" ht="11.25" hidden="1">
      <c r="A11" s="980" t="s">
        <v>361</v>
      </c>
      <c r="B11" s="992"/>
      <c r="AH11" s="980" cm="1" t="str">
        <f t="array" ref="AH11:AH11">AH24</f>
        <v>Комментарии</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597">
        <v>15</v>
      </c>
      <c r="AA21" s="398"/>
      <c r="AB21" s="217"/>
      <c r="AC21" s="50" cm="1" t="str">
        <f t="array" ref="AC21:AC21">tpl_title</f>
        <v>Кемеровская область / 2026 / Филиал АО "УК "Кузбассразрезуголь" "Талдинский угольный разрез" (ИНН:4205049090, КПП:423802002) / ДПР: 2024-2028</v>
      </c>
      <c r="AD21" s="122"/>
      <c r="AE21" s="122"/>
      <c r="AF21" s="122"/>
      <c r="AG21" s="122"/>
    </row>
    <row customHeight="1" ht="21.9375">
      <c r="E22" s="597">
        <v>22.5</v>
      </c>
      <c r="AB22" s="287" t="s">
        <v>75</v>
      </c>
      <c r="AC22" s="193"/>
      <c r="AD22" s="193"/>
      <c r="AE22" s="193"/>
      <c r="AF22" s="193"/>
      <c r="AG22" s="204"/>
      <c r="AH22" s="204"/>
    </row>
    <row customHeight="1" ht="10.96875">
      <c r="E23" s="597">
        <v>11.25</v>
      </c>
      <c r="AB23" s="217"/>
      <c r="AC23" s="122"/>
      <c r="AD23" s="122"/>
      <c r="AE23" s="122"/>
      <c r="AF23" s="122"/>
      <c r="AG23" s="122"/>
    </row>
    <row customHeight="1" ht="19.25625">
      <c r="E24" s="597">
        <v>19.75</v>
      </c>
      <c r="AB24" s="1485" t="s">
        <v>21</v>
      </c>
      <c r="AC24" s="1510" t="s">
        <v>362</v>
      </c>
      <c r="AD24" s="1485" t="s">
        <v>1297</v>
      </c>
      <c r="AE24" s="1510" t="s">
        <v>947</v>
      </c>
      <c r="AF24" s="1111" t="str">
        <f>god-2&amp;" год"</f>
        <v>2024 год</v>
      </c>
      <c r="AG24" s="56" t="str">
        <f>god-2&amp;" год"</f>
        <v>2024 год</v>
      </c>
      <c r="AH24" s="1510" t="s">
        <v>364</v>
      </c>
    </row>
    <row customHeight="1" ht="31.443750000000005">
      <c r="E25" s="597">
        <v>32.25</v>
      </c>
      <c r="AB25" s="1485"/>
      <c r="AC25" s="1510"/>
      <c r="AD25" s="1485"/>
      <c r="AE25" s="1510"/>
      <c r="AF25" s="1111" t="s">
        <v>431</v>
      </c>
      <c r="AG25" s="56" t="s">
        <v>356</v>
      </c>
      <c r="AH25" s="1510"/>
      <c r="AK25" s="88" t="s">
        <v>1286</v>
      </c>
    </row>
    <row s="1621" customFormat="1" customHeight="1" ht="11.25">
      <c r="B26" s="403"/>
      <c r="E26" s="651" t="s">
        <v>366</v>
      </c>
      <c r="F26" s="139" t="s">
        <v>1298</v>
      </c>
      <c r="G26" s="461"/>
      <c r="S26" s="0" t="s">
        <v>1299</v>
      </c>
      <c r="T26" s="0"/>
      <c r="AC26" s="66"/>
      <c r="AD26" s="66"/>
      <c r="AE26" s="66"/>
      <c r="AF26" s="66"/>
      <c r="AL26" s="987"/>
      <c r="AQ26" s="67"/>
    </row>
    <row customHeight="1" ht="14.625" hidden="1">
      <c r="A27" s="1153"/>
      <c r="B27" s="1160"/>
      <c r="C27" s="1153"/>
      <c r="D27" s="1153"/>
      <c r="E27" s="597">
        <v>15</v>
      </c>
      <c r="F27" s="64" cm="1" t="str">
        <f t="array" ref="F27:F27">X27</f>
        <v>0</v>
      </c>
      <c r="G27" s="467"/>
      <c r="H27" s="51"/>
      <c r="I27" s="1153"/>
      <c r="J27" s="1153"/>
      <c r="K27" s="1153"/>
      <c r="L27" s="1153"/>
      <c r="M27" s="1153"/>
      <c r="N27" s="1153"/>
      <c r="O27" s="1153"/>
      <c r="P27" s="1153"/>
      <c r="Q27" s="1153"/>
      <c r="R27" s="1153"/>
      <c r="S27" s="1183" cm="1" t="str">
        <f t="array" ref="S27:S27">INDEX('Общие сведения'!$AE$179:$AE$222,MATCH($X27,'Общие сведения'!$Z$179:$Z$222,0))</f>
        <v>0</v>
      </c>
      <c r="T27" s="439">
        <f>X27&gt;0</f>
        <v>0</v>
      </c>
      <c r="U27" s="1153"/>
      <c r="V27" s="88" t="s">
        <v>261</v>
      </c>
      <c r="W27" s="1153"/>
      <c r="X27" s="1482">
        <v>0</v>
      </c>
      <c r="Y27" s="1153"/>
      <c r="Z27" s="1465"/>
      <c r="AA27" s="1153"/>
      <c r="AB27" s="348" cm="1" t="str">
        <f t="array" ref="AB27:AB27">INDEX('Общие сведения'!$AG$179:$AG$222,MATCH($X27,'Общие сведения'!$Z$179:$Z$222,0))</f>
        <v>Тариф 0 () - </v>
      </c>
      <c r="AC27" s="348"/>
      <c r="AD27" s="348"/>
      <c r="AE27" s="348"/>
      <c r="AF27" s="348"/>
      <c r="AG27" s="348"/>
      <c r="AH27" s="348"/>
      <c r="AI27" s="1153"/>
      <c r="AJ27" s="1153"/>
      <c r="AK27" s="1153"/>
      <c r="AL27" s="1253"/>
      <c r="AM27" s="1153"/>
      <c r="AN27" s="1153"/>
      <c r="AO27" s="1153"/>
      <c r="AP27" s="1153"/>
      <c r="AQ27" s="1153"/>
    </row>
    <row s="678" customFormat="1" customHeight="1" ht="43.875" hidden="1">
      <c r="A28" s="678"/>
      <c r="B28" s="404"/>
      <c r="C28" s="678"/>
      <c r="D28" s="678"/>
      <c r="E28" s="671">
        <v>45</v>
      </c>
      <c r="F28" s="50" cm="1" t="str">
        <f t="array" ref="F28:F28">OFFSET(E28,-1,1)</f>
        <v>0</v>
      </c>
      <c r="G28" s="471"/>
      <c r="H28" s="678"/>
      <c r="I28" s="88" t="s">
        <v>325</v>
      </c>
      <c r="J28" s="678"/>
      <c r="K28" s="90"/>
      <c r="L28" s="906"/>
      <c r="M28" s="471"/>
      <c r="N28" s="678"/>
      <c r="O28" s="678"/>
      <c r="P28" s="678"/>
      <c r="Q28" s="678"/>
      <c r="R28" s="678"/>
      <c r="S28" s="678"/>
      <c r="T28" s="439" cm="1" t="str">
        <f t="array" ref="T28:T28">T27</f>
        <v>false</v>
      </c>
      <c r="U28" s="678"/>
      <c r="V28" s="678"/>
      <c r="W28" s="678"/>
      <c r="X28" s="1482"/>
      <c r="Y28" s="678"/>
      <c r="Z28" s="1465"/>
      <c r="AA28" s="678"/>
      <c r="AB28" s="823" t="s">
        <v>1300</v>
      </c>
      <c r="AC28" s="824" t="s">
        <v>1301</v>
      </c>
      <c r="AD28" s="823" t="s">
        <v>1302</v>
      </c>
      <c r="AE28" s="825" t="s">
        <v>784</v>
      </c>
      <c r="AF28" s="826">
        <f>AF30-AF29</f>
        <v>0</v>
      </c>
      <c r="AG28" s="826">
        <f>AG30-AG29</f>
        <v>0</v>
      </c>
      <c r="AH28" s="3341"/>
      <c r="AI28" s="678"/>
      <c r="AJ28" s="678"/>
      <c r="AK28" s="678"/>
      <c r="AL28" s="1035" t="s">
        <v>1303</v>
      </c>
      <c r="AM28" s="678"/>
      <c r="AN28" s="678"/>
      <c r="AO28" s="678"/>
      <c r="AP28" s="678"/>
      <c r="AQ28" s="678"/>
    </row>
    <row s="678" customFormat="1" customHeight="1" ht="14.625" hidden="1">
      <c r="A29" s="678"/>
      <c r="B29" s="404"/>
      <c r="C29" s="678"/>
      <c r="D29" s="678"/>
      <c r="E29" s="671">
        <v>15</v>
      </c>
      <c r="F29" s="50" cm="1" t="str">
        <f t="array" ref="F29:F29">OFFSET(E29,-1,1)</f>
        <v>0</v>
      </c>
      <c r="G29" s="471"/>
      <c r="H29" s="678"/>
      <c r="I29" s="88" t="s">
        <v>441</v>
      </c>
      <c r="J29" s="678"/>
      <c r="K29" s="471"/>
      <c r="L29" s="471"/>
      <c r="M29" s="471"/>
      <c r="N29" s="678"/>
      <c r="O29" s="678"/>
      <c r="P29" s="678"/>
      <c r="Q29" s="678"/>
      <c r="R29" s="678"/>
      <c r="S29" s="678"/>
      <c r="T29" s="439" cm="1" t="str">
        <f t="array" ref="T29:T29">T28</f>
        <v>false</v>
      </c>
      <c r="U29" s="678"/>
      <c r="V29" s="678"/>
      <c r="W29" s="678"/>
      <c r="X29" s="1482"/>
      <c r="Y29" s="678"/>
      <c r="Z29" s="1465"/>
      <c r="AA29" s="678"/>
      <c r="AB29" s="185" t="s">
        <v>272</v>
      </c>
      <c r="AC29" s="186" t="s">
        <v>1304</v>
      </c>
      <c r="AD29" s="178" t="s">
        <v>1305</v>
      </c>
      <c r="AE29" s="201" t="s">
        <v>784</v>
      </c>
      <c r="AF29" s="3342"/>
      <c r="AG29" s="3342"/>
      <c r="AH29" s="3341"/>
      <c r="AI29" s="678"/>
      <c r="AJ29" s="678"/>
      <c r="AK29" s="678"/>
      <c r="AL29" s="1035" t="s">
        <v>1306</v>
      </c>
      <c r="AM29" s="678"/>
      <c r="AN29" s="678"/>
      <c r="AO29" s="678"/>
      <c r="AP29" s="678"/>
      <c r="AQ29" s="678"/>
    </row>
    <row s="678" customFormat="1" customHeight="1" ht="14.625" hidden="1">
      <c r="A30" s="678"/>
      <c r="B30" s="404"/>
      <c r="C30" s="678"/>
      <c r="D30" s="678"/>
      <c r="E30" s="671">
        <v>15</v>
      </c>
      <c r="F30" s="50" cm="1" t="str">
        <f t="array" ref="F30:F30">OFFSET(E30,-1,1)</f>
        <v>0</v>
      </c>
      <c r="G30" s="113"/>
      <c r="H30" s="113"/>
      <c r="I30" s="399" t="s">
        <v>445</v>
      </c>
      <c r="J30" s="678"/>
      <c r="K30" s="471"/>
      <c r="L30" s="471"/>
      <c r="M30" s="471"/>
      <c r="N30" s="678"/>
      <c r="O30" s="678"/>
      <c r="P30" s="678"/>
      <c r="Q30" s="678"/>
      <c r="R30" s="678"/>
      <c r="S30" s="678"/>
      <c r="T30" s="439" cm="1" t="str">
        <f t="array" ref="T30:T30">T29</f>
        <v>false</v>
      </c>
      <c r="U30" s="678"/>
      <c r="V30" s="678"/>
      <c r="W30" s="678"/>
      <c r="X30" s="1482"/>
      <c r="Y30" s="678"/>
      <c r="Z30" s="1465"/>
      <c r="AA30" s="678"/>
      <c r="AB30" s="185" t="s">
        <v>283</v>
      </c>
      <c r="AC30" s="179" t="s">
        <v>1307</v>
      </c>
      <c r="AD30" s="178" t="s">
        <v>1308</v>
      </c>
      <c r="AE30" s="201" t="s">
        <v>784</v>
      </c>
      <c r="AF30" s="826">
        <f>AF31+AF32+AF44+AF48+AF49+AF50+AF51+AF55+AF56+AF57+AF58+AF61+AF62</f>
        <v>0</v>
      </c>
      <c r="AG30" s="826">
        <f>AG31+AG32+AG44+AG48+AG49+AG50+AG51+AG55+AG56+AG57+AG58+AG61+AG62</f>
        <v>0</v>
      </c>
      <c r="AH30" s="3341"/>
      <c r="AI30" s="678"/>
      <c r="AJ30" s="678"/>
      <c r="AK30" s="678"/>
      <c r="AL30" s="1035" t="s">
        <v>1309</v>
      </c>
      <c r="AM30" s="678"/>
      <c r="AN30" s="678"/>
      <c r="AO30" s="678"/>
      <c r="AP30" s="678"/>
      <c r="AQ30" s="678"/>
    </row>
    <row customHeight="1" ht="21.9375" hidden="1">
      <c r="A31" s="1153"/>
      <c r="B31" s="1160"/>
      <c r="C31" s="1153"/>
      <c r="D31" s="1153"/>
      <c r="E31" s="597">
        <v>22.5</v>
      </c>
      <c r="F31" s="50" cm="1" t="str">
        <f t="array" ref="F31:F31">OFFSET(E31,-1,1)</f>
        <v>0</v>
      </c>
      <c r="G31" s="399" t="s">
        <v>1310</v>
      </c>
      <c r="H31" s="51"/>
      <c r="I31" s="399" t="s">
        <v>1219</v>
      </c>
      <c r="J31" s="1153"/>
      <c r="K31" s="90"/>
      <c r="L31" s="90"/>
      <c r="M31" s="90"/>
      <c r="N31" s="1153"/>
      <c r="O31" s="1153"/>
      <c r="P31" s="1153"/>
      <c r="Q31" s="1153"/>
      <c r="R31" s="1153"/>
      <c r="S31" s="1310"/>
      <c r="T31" s="439" cm="1" t="str">
        <f t="array" ref="T31:T31">T30</f>
        <v>false</v>
      </c>
      <c r="U31" s="1153"/>
      <c r="V31" s="1153"/>
      <c r="W31" s="1153"/>
      <c r="X31" s="1482"/>
      <c r="Y31" s="1153"/>
      <c r="Z31" s="1465"/>
      <c r="AA31" s="1153"/>
      <c r="AB31" s="266" t="s">
        <v>515</v>
      </c>
      <c r="AC31" s="743" t="s">
        <v>1311</v>
      </c>
      <c r="AD31" s="267" t="s">
        <v>1312</v>
      </c>
      <c r="AE31" s="747" t="s">
        <v>784</v>
      </c>
      <c r="AF31" s="3044"/>
      <c r="AG31" s="3044"/>
      <c r="AH31" s="1771"/>
      <c r="AI31" s="1153"/>
      <c r="AJ31" s="1153"/>
      <c r="AK31" s="1153"/>
      <c r="AL31" s="980" t="s">
        <v>1313</v>
      </c>
      <c r="AM31" s="1153"/>
      <c r="AN31" s="1153"/>
      <c r="AO31" s="1153"/>
      <c r="AP31" s="1153"/>
      <c r="AQ31" s="1153"/>
    </row>
    <row customHeight="1" ht="21.9375" hidden="1">
      <c r="A32" s="1153"/>
      <c r="B32" s="1160"/>
      <c r="C32" s="1153"/>
      <c r="D32" s="1153"/>
      <c r="E32" s="597">
        <v>22.5</v>
      </c>
      <c r="F32" s="50" cm="1" t="str">
        <f t="array" ref="F32:F32">OFFSET(E32,-1,1)</f>
        <v>0</v>
      </c>
      <c r="G32" s="399"/>
      <c r="H32" s="51"/>
      <c r="I32" s="399" t="s">
        <v>1222</v>
      </c>
      <c r="J32" s="1153"/>
      <c r="K32" s="90"/>
      <c r="L32" s="90"/>
      <c r="M32" s="90"/>
      <c r="N32" s="1153"/>
      <c r="O32" s="1153"/>
      <c r="P32" s="1153"/>
      <c r="Q32" s="1153"/>
      <c r="R32" s="1153"/>
      <c r="S32" s="1310"/>
      <c r="T32" s="439" cm="1" t="str">
        <f t="array" ref="T32:T32">T31</f>
        <v>false</v>
      </c>
      <c r="U32" s="1153"/>
      <c r="V32" s="1153"/>
      <c r="W32" s="1153"/>
      <c r="X32" s="1482"/>
      <c r="Y32" s="1153"/>
      <c r="Z32" s="1465"/>
      <c r="AA32" s="1153"/>
      <c r="AB32" s="266" t="s">
        <v>519</v>
      </c>
      <c r="AC32" s="743" t="s">
        <v>1314</v>
      </c>
      <c r="AD32" s="267" t="s">
        <v>1315</v>
      </c>
      <c r="AE32" s="747" t="s">
        <v>784</v>
      </c>
      <c r="AF32" s="916">
        <f>SUM(AF33:AF43)</f>
        <v>0</v>
      </c>
      <c r="AG32" s="916">
        <f>SUM(AG33:AG43)</f>
        <v>0</v>
      </c>
      <c r="AH32" s="1771"/>
      <c r="AI32" s="1153"/>
      <c r="AJ32" s="1153"/>
      <c r="AK32" s="1153"/>
      <c r="AL32" s="980" t="s">
        <v>1316</v>
      </c>
      <c r="AM32" s="1153"/>
      <c r="AN32" s="1153"/>
      <c r="AO32" s="1153"/>
      <c r="AP32" s="1153"/>
      <c r="AQ32" s="1153"/>
    </row>
    <row customHeight="1" ht="21.9375" hidden="1">
      <c r="A33" s="1153"/>
      <c r="B33" s="1160"/>
      <c r="C33" s="1153"/>
      <c r="D33" s="1153"/>
      <c r="E33" s="597">
        <v>22.5</v>
      </c>
      <c r="F33" s="50" cm="1" t="str">
        <f t="array" ref="F33:F33">OFFSET(E33,-1,1)</f>
        <v>0</v>
      </c>
      <c r="G33" s="399"/>
      <c r="H33" s="51"/>
      <c r="I33" s="399" t="s">
        <v>1317</v>
      </c>
      <c r="J33" s="1153"/>
      <c r="K33" s="90"/>
      <c r="L33" s="90"/>
      <c r="M33" s="90"/>
      <c r="N33" s="1153"/>
      <c r="O33" s="1153"/>
      <c r="P33" s="1153"/>
      <c r="Q33" s="1153"/>
      <c r="R33" s="1153"/>
      <c r="S33" s="1310"/>
      <c r="T33" s="439" cm="1" t="str">
        <f t="array" ref="T33:T33">T32</f>
        <v>false</v>
      </c>
      <c r="U33" s="1153"/>
      <c r="V33" s="1153"/>
      <c r="W33" s="1153"/>
      <c r="X33" s="1482"/>
      <c r="Y33" s="1153"/>
      <c r="Z33" s="1465"/>
      <c r="AA33" s="1153"/>
      <c r="AB33" s="765" t="s">
        <v>473</v>
      </c>
      <c r="AC33" s="762" t="s">
        <v>1318</v>
      </c>
      <c r="AD33" s="747"/>
      <c r="AE33" s="747" t="s">
        <v>784</v>
      </c>
      <c r="AF33" s="3044">
        <f>_xlfn.SUMIFS(Покупка!$AF$25:$AF$117,Покупка!$F$25:$F$117,$F33,Покупка!$G$25:$G$117,"Итого")</f>
        <v>0</v>
      </c>
      <c r="AG33" s="3044">
        <f>_xlfn.SUMIFS(Покупка!$AG$25:$AG$117,Покупка!$F$25:$F$117,$F33,Покупка!$G$25:$G$117,"Итого")</f>
        <v>0</v>
      </c>
      <c r="AH33" s="1771"/>
      <c r="AI33" s="1153"/>
      <c r="AJ33" s="1153"/>
      <c r="AK33" s="1153"/>
      <c r="AL33" s="980" t="s">
        <v>1319</v>
      </c>
      <c r="AM33" s="1153"/>
      <c r="AN33" s="1153"/>
      <c r="AO33" s="1153"/>
      <c r="AP33" s="1153"/>
      <c r="AQ33" s="1153"/>
    </row>
    <row customHeight="1" ht="14.625" hidden="1">
      <c r="A34" s="1153"/>
      <c r="B34" s="1160"/>
      <c r="C34" s="1153"/>
      <c r="D34" s="1153"/>
      <c r="E34" s="597">
        <v>15</v>
      </c>
      <c r="F34" s="50" cm="1" t="str">
        <f t="array" ref="F34:F34">OFFSET(E34,-1,1)</f>
        <v>0</v>
      </c>
      <c r="G34" s="399"/>
      <c r="H34" s="51"/>
      <c r="I34" s="399" t="s">
        <v>1320</v>
      </c>
      <c r="J34" s="1153"/>
      <c r="K34" s="90"/>
      <c r="L34" s="90"/>
      <c r="M34" s="90"/>
      <c r="N34" s="1153"/>
      <c r="O34" s="1153"/>
      <c r="P34" s="1153"/>
      <c r="Q34" s="1153"/>
      <c r="R34" s="1153"/>
      <c r="S34" s="1310"/>
      <c r="T34" s="439" cm="1" t="str">
        <f t="array" ref="T34:T34">T33</f>
        <v>false</v>
      </c>
      <c r="U34" s="1153"/>
      <c r="V34" s="1153"/>
      <c r="W34" s="1153"/>
      <c r="X34" s="1482"/>
      <c r="Y34" s="1153"/>
      <c r="Z34" s="1465"/>
      <c r="AA34" s="1153"/>
      <c r="AB34" s="765" t="s">
        <v>1321</v>
      </c>
      <c r="AC34" s="762" t="s">
        <v>1322</v>
      </c>
      <c r="AD34" s="747"/>
      <c r="AE34" s="747" t="s">
        <v>784</v>
      </c>
      <c r="AF34" s="3044"/>
      <c r="AG34" s="3044">
        <f>_xlfn.SUMIFS('Сырье и материалы'!AG$25:AG$40,'Сырье и материалы'!$F$25:$F$40,$F34,'Сырье и материалы'!$AC$25:$AC$40,"Всего по тарифу")</f>
        <v>0</v>
      </c>
      <c r="AH34" s="1771"/>
      <c r="AI34" s="1153"/>
      <c r="AJ34" s="1153"/>
      <c r="AK34" s="1153"/>
      <c r="AL34" s="980" t="s">
        <v>1323</v>
      </c>
      <c r="AM34" s="1153"/>
      <c r="AN34" s="1153"/>
      <c r="AO34" s="1153"/>
      <c r="AP34" s="1153"/>
      <c r="AQ34" s="1153"/>
    </row>
    <row customHeight="1" ht="14.625" hidden="1">
      <c r="A35" s="1153"/>
      <c r="B35" s="1160"/>
      <c r="C35" s="1153"/>
      <c r="D35" s="1153"/>
      <c r="E35" s="597">
        <v>15</v>
      </c>
      <c r="F35" s="50" cm="1" t="str">
        <f t="array" ref="F35:F35">OFFSET(E35,-1,1)</f>
        <v>0</v>
      </c>
      <c r="G35" s="399"/>
      <c r="H35" s="51"/>
      <c r="I35" s="399" t="s">
        <v>1324</v>
      </c>
      <c r="J35" s="1153"/>
      <c r="K35" s="90"/>
      <c r="L35" s="90"/>
      <c r="M35" s="90"/>
      <c r="N35" s="1153"/>
      <c r="O35" s="1153"/>
      <c r="P35" s="1153"/>
      <c r="Q35" s="1153"/>
      <c r="R35" s="1153"/>
      <c r="S35" s="1310"/>
      <c r="T35" s="439" cm="1" t="str">
        <f t="array" ref="T35:T35">T34</f>
        <v>false</v>
      </c>
      <c r="U35" s="1153"/>
      <c r="V35" s="1153"/>
      <c r="W35" s="1153"/>
      <c r="X35" s="1482"/>
      <c r="Y35" s="1153"/>
      <c r="Z35" s="1465"/>
      <c r="AA35" s="1153"/>
      <c r="AB35" s="765" t="s">
        <v>1325</v>
      </c>
      <c r="AC35" s="762" t="s">
        <v>1326</v>
      </c>
      <c r="AD35" s="747"/>
      <c r="AE35" s="747" t="s">
        <v>784</v>
      </c>
      <c r="AF35" s="3044">
        <f>_xlfn.SUMIFS(Налоги!AF$25:AF$69,Налоги!$F$25:$F$69,$F35,Налоги!$AB$25:$AB$69,"0")</f>
        <v>0</v>
      </c>
      <c r="AG35" s="3044">
        <f>_xlfn.SUMIFS(Налоги!AG$25:AG$69,Налоги!$F$25:$F$69,$F35,Налоги!$AB$25:$AB$69,"0")</f>
        <v>0</v>
      </c>
      <c r="AH35" s="1771"/>
      <c r="AI35" s="1153"/>
      <c r="AJ35" s="1153"/>
      <c r="AK35" s="1153"/>
      <c r="AL35" s="980" t="s">
        <v>1327</v>
      </c>
      <c r="AM35" s="1153"/>
      <c r="AN35" s="1153"/>
      <c r="AO35" s="1153"/>
      <c r="AP35" s="1153"/>
      <c r="AQ35" s="1153"/>
    </row>
    <row customHeight="1" ht="65.8125" hidden="1">
      <c r="A36" s="1153"/>
      <c r="B36" s="1160"/>
      <c r="C36" s="1153"/>
      <c r="D36" s="1153"/>
      <c r="E36" s="597">
        <v>67.5</v>
      </c>
      <c r="F36" s="50" cm="1" t="str">
        <f t="array" ref="F36:F36">OFFSET(E36,-1,1)</f>
        <v>0</v>
      </c>
      <c r="G36" s="73" t="s">
        <v>1328</v>
      </c>
      <c r="H36" s="51"/>
      <c r="I36" s="467" t="s">
        <v>1329</v>
      </c>
      <c r="J36" s="1153"/>
      <c r="K36" s="90"/>
      <c r="L36" s="90"/>
      <c r="M36" s="90"/>
      <c r="N36" s="1153"/>
      <c r="O36" s="1153"/>
      <c r="P36" s="1153"/>
      <c r="Q36" s="1153"/>
      <c r="R36" s="1153"/>
      <c r="S36" s="1310"/>
      <c r="T36" s="439" cm="1" t="str">
        <f t="array" ref="T36:T36">T35</f>
        <v>false</v>
      </c>
      <c r="U36" s="1153"/>
      <c r="V36" s="1153"/>
      <c r="W36" s="1153"/>
      <c r="X36" s="1482"/>
      <c r="Y36" s="1153"/>
      <c r="Z36" s="1465"/>
      <c r="AA36" s="1153"/>
      <c r="AB36" s="765" t="s">
        <v>1330</v>
      </c>
      <c r="AC36" s="762" t="s">
        <v>1331</v>
      </c>
      <c r="AD36" s="747"/>
      <c r="AE36" s="747" t="s">
        <v>784</v>
      </c>
      <c r="AF36" s="3044"/>
      <c r="AG36" s="3044">
        <f>IF(AND(method_reg="Метод индексации",first_year=god),_xlfn.SUMIFS('Калькуляция (МИ)'!$AG$25:$AG$459,'Калькуляция (МИ)'!$F$25:$F$459,$F36,'Калькуляция (МИ)'!$G$25:$G$459,$G36),_xlfn.SUMIFS('Калькуляция (МИ корр)'!$AG$25:$AG$459,'Калькуляция (МИ корр)'!$F$25:$F$459,$F36,'Калькуляция (МИ корр)'!$G$25:$G$459,$G36))</f>
        <v>0</v>
      </c>
      <c r="AH36" s="1771"/>
      <c r="AI36" s="1153"/>
      <c r="AJ36" s="1153"/>
      <c r="AK36" s="1153"/>
      <c r="AL36" s="980" t="s">
        <v>1332</v>
      </c>
      <c r="AM36" s="1153"/>
      <c r="AN36" s="1153"/>
      <c r="AO36" s="1153"/>
      <c r="AP36" s="1153"/>
      <c r="AQ36" s="1153"/>
    </row>
    <row customHeight="1" ht="14.625" hidden="1">
      <c r="A37" s="1153"/>
      <c r="B37" s="1160"/>
      <c r="C37" s="1153"/>
      <c r="D37" s="1153"/>
      <c r="E37" s="597">
        <v>15</v>
      </c>
      <c r="F37" s="50" cm="1" t="str">
        <f t="array" ref="F37:F37">OFFSET(E37,-1,1)</f>
        <v>0</v>
      </c>
      <c r="G37" s="73" t="s">
        <v>949</v>
      </c>
      <c r="H37" s="51"/>
      <c r="I37" s="467" t="s">
        <v>1333</v>
      </c>
      <c r="J37" s="1153"/>
      <c r="K37" s="90"/>
      <c r="L37" s="90"/>
      <c r="M37" s="90"/>
      <c r="N37" s="1153"/>
      <c r="O37" s="1153"/>
      <c r="P37" s="1153"/>
      <c r="Q37" s="1153"/>
      <c r="R37" s="1153"/>
      <c r="S37" s="1310"/>
      <c r="T37" s="439" cm="1" t="str">
        <f t="array" ref="T37:T37">T36</f>
        <v>false</v>
      </c>
      <c r="U37" s="1153"/>
      <c r="V37" s="1153"/>
      <c r="W37" s="1153"/>
      <c r="X37" s="1482"/>
      <c r="Y37" s="1153"/>
      <c r="Z37" s="1465"/>
      <c r="AA37" s="1153"/>
      <c r="AB37" s="765" t="s">
        <v>1334</v>
      </c>
      <c r="AC37" s="762" t="s">
        <v>1335</v>
      </c>
      <c r="AD37" s="747"/>
      <c r="AE37" s="747" t="s">
        <v>784</v>
      </c>
      <c r="AF37" s="3044"/>
      <c r="AG37" s="3044">
        <f>IF(AND(method_reg="Метод индексации",first_year=god),_xlfn.SUMIFS('Калькуляция (МИ)'!$AG$25:$AG$459,'Калькуляция (МИ)'!$F$25:$F$459,$F37,'Калькуляция (МИ)'!$G$25:$G$459,$G37),_xlfn.SUMIFS('Калькуляция (МИ корр)'!$AG$25:$AG$459,'Калькуляция (МИ корр)'!$F$25:$F$459,$F37,'Калькуляция (МИ корр)'!$G$25:$G$459,$G37))</f>
        <v>0</v>
      </c>
      <c r="AH37" s="1771"/>
      <c r="AI37" s="1153"/>
      <c r="AJ37" s="1153"/>
      <c r="AK37" s="1153"/>
      <c r="AL37" s="980" t="s">
        <v>1336</v>
      </c>
      <c r="AM37" s="1153"/>
      <c r="AN37" s="1153"/>
      <c r="AO37" s="1153"/>
      <c r="AP37" s="1153"/>
      <c r="AQ37" s="1153"/>
    </row>
    <row customHeight="1" ht="14.625" hidden="1">
      <c r="A38" s="1153"/>
      <c r="B38" s="1160"/>
      <c r="C38" s="1153"/>
      <c r="D38" s="1153"/>
      <c r="E38" s="597">
        <v>15</v>
      </c>
      <c r="F38" s="50" cm="1" t="str">
        <f t="array" ref="F38:F38">OFFSET(E38,-1,1)</f>
        <v>0</v>
      </c>
      <c r="G38" s="73" t="s">
        <v>1337</v>
      </c>
      <c r="H38" s="51"/>
      <c r="I38" s="467" t="s">
        <v>1338</v>
      </c>
      <c r="J38" s="1153"/>
      <c r="K38" s="90"/>
      <c r="L38" s="90"/>
      <c r="M38" s="90"/>
      <c r="N38" s="1153"/>
      <c r="O38" s="1153"/>
      <c r="P38" s="1153"/>
      <c r="Q38" s="1153"/>
      <c r="R38" s="1153"/>
      <c r="S38" s="1310"/>
      <c r="T38" s="439" cm="1" t="str">
        <f t="array" ref="T38:T38">T37</f>
        <v>false</v>
      </c>
      <c r="U38" s="1153"/>
      <c r="V38" s="1153"/>
      <c r="W38" s="1153"/>
      <c r="X38" s="1482"/>
      <c r="Y38" s="1153"/>
      <c r="Z38" s="1465"/>
      <c r="AA38" s="1153"/>
      <c r="AB38" s="765" t="s">
        <v>1339</v>
      </c>
      <c r="AC38" s="762" t="s">
        <v>1340</v>
      </c>
      <c r="AD38" s="747"/>
      <c r="AE38" s="747" t="s">
        <v>784</v>
      </c>
      <c r="AF38" s="3044"/>
      <c r="AG38" s="3044">
        <f>IF(AND(method_reg="Метод индексации",first_year=god),_xlfn.SUMIFS('Калькуляция (МИ)'!$AG$25:$AG$459,'Калькуляция (МИ)'!$F$25:$F$459,$F38,'Калькуляция (МИ)'!$G$25:$G$459,$G38),_xlfn.SUMIFS('Калькуляция (МИ корр)'!$AG$25:$AG$459,'Калькуляция (МИ корр)'!$F$25:$F$459,$F38,'Калькуляция (МИ корр)'!$G$25:$G$459,$G38))</f>
        <v>0</v>
      </c>
      <c r="AH38" s="1771"/>
      <c r="AI38" s="1153"/>
      <c r="AJ38" s="1153"/>
      <c r="AK38" s="1153"/>
      <c r="AL38" s="980" t="s">
        <v>1341</v>
      </c>
      <c r="AM38" s="1153"/>
      <c r="AN38" s="1153"/>
      <c r="AO38" s="1153"/>
      <c r="AP38" s="1153"/>
      <c r="AQ38" s="1153"/>
    </row>
    <row customHeight="1" ht="21.9375" hidden="1">
      <c r="A39" s="1153"/>
      <c r="B39" s="1160"/>
      <c r="C39" s="1153"/>
      <c r="D39" s="1153"/>
      <c r="E39" s="597">
        <v>22.5</v>
      </c>
      <c r="F39" s="50" cm="1" t="str">
        <f t="array" ref="F39:F39">OFFSET(E39,-1,1)</f>
        <v>0</v>
      </c>
      <c r="G39" s="73" t="s">
        <v>1342</v>
      </c>
      <c r="H39" s="51"/>
      <c r="I39" s="467" t="s">
        <v>1343</v>
      </c>
      <c r="J39" s="1153"/>
      <c r="K39" s="90"/>
      <c r="L39" s="90"/>
      <c r="M39" s="90"/>
      <c r="N39" s="1153"/>
      <c r="O39" s="1153"/>
      <c r="P39" s="1153"/>
      <c r="Q39" s="1153"/>
      <c r="R39" s="1153"/>
      <c r="S39" s="1310"/>
      <c r="T39" s="439" cm="1" t="str">
        <f t="array" ref="T39:T39">T38</f>
        <v>false</v>
      </c>
      <c r="U39" s="1153"/>
      <c r="V39" s="1153"/>
      <c r="W39" s="1153"/>
      <c r="X39" s="1482"/>
      <c r="Y39" s="1153"/>
      <c r="Z39" s="1465"/>
      <c r="AA39" s="1153"/>
      <c r="AB39" s="765" t="s">
        <v>1344</v>
      </c>
      <c r="AC39" s="762" t="s">
        <v>1345</v>
      </c>
      <c r="AD39" s="747"/>
      <c r="AE39" s="747" t="s">
        <v>784</v>
      </c>
      <c r="AF39" s="3044"/>
      <c r="AG39" s="3044">
        <f>IF(AND(method_reg="Метод индексации",first_year=god),_xlfn.SUMIFS('Калькуляция (МИ)'!$AG$25:$AG$459,'Калькуляция (МИ)'!$F$25:$F$459,$F39,'Калькуляция (МИ)'!$G$25:$G$459,$G39),_xlfn.SUMIFS('Калькуляция (МИ корр)'!$AG$25:$AG$459,'Калькуляция (МИ корр)'!$F$25:$F$459,$F39,'Калькуляция (МИ корр)'!$G$25:$G$459,$G39))</f>
        <v>0</v>
      </c>
      <c r="AH39" s="1771"/>
      <c r="AI39" s="1153"/>
      <c r="AJ39" s="1153"/>
      <c r="AK39" s="1153"/>
      <c r="AL39" s="980" t="s">
        <v>1346</v>
      </c>
      <c r="AM39" s="1153"/>
      <c r="AN39" s="1153"/>
      <c r="AO39" s="1153"/>
      <c r="AP39" s="1153"/>
      <c r="AQ39" s="1153"/>
    </row>
    <row customHeight="1" ht="21.9375" hidden="1">
      <c r="A40" s="1153"/>
      <c r="B40" s="1160"/>
      <c r="C40" s="1153"/>
      <c r="D40" s="1153"/>
      <c r="E40" s="597">
        <v>22.5</v>
      </c>
      <c r="F40" s="50" cm="1" t="str">
        <f t="array" ref="F40:F40">OFFSET(E40,-1,1)</f>
        <v>0</v>
      </c>
      <c r="G40" s="73" t="s">
        <v>1347</v>
      </c>
      <c r="H40" s="51"/>
      <c r="I40" s="467" t="s">
        <v>1348</v>
      </c>
      <c r="J40" s="1153"/>
      <c r="K40" s="90"/>
      <c r="L40" s="90"/>
      <c r="M40" s="90"/>
      <c r="N40" s="1153"/>
      <c r="O40" s="1153"/>
      <c r="P40" s="1153"/>
      <c r="Q40" s="1153"/>
      <c r="R40" s="1153"/>
      <c r="S40" s="1310"/>
      <c r="T40" s="439" cm="1" t="str">
        <f t="array" ref="T40:T40">T39</f>
        <v>false</v>
      </c>
      <c r="U40" s="1153"/>
      <c r="V40" s="1153"/>
      <c r="W40" s="1153"/>
      <c r="X40" s="1482"/>
      <c r="Y40" s="1153"/>
      <c r="Z40" s="1465"/>
      <c r="AA40" s="1153"/>
      <c r="AB40" s="765" t="s">
        <v>1349</v>
      </c>
      <c r="AC40" s="762" t="s">
        <v>1350</v>
      </c>
      <c r="AD40" s="917"/>
      <c r="AE40" s="747" t="s">
        <v>784</v>
      </c>
      <c r="AF40" s="3044"/>
      <c r="AG40" s="3044">
        <f>IF(AND(method_reg="Метод индексации",first_year=god),_xlfn.SUMIFS('Калькуляция (МИ)'!$AG$25:$AG$459,'Калькуляция (МИ)'!$F$25:$F$459,$F40,'Калькуляция (МИ)'!$G$25:$G$459,$G40),_xlfn.SUMIFS('Калькуляция (МИ корр)'!$AG$25:$AG$459,'Калькуляция (МИ корр)'!$F$25:$F$459,$F40,'Калькуляция (МИ корр)'!$G$25:$G$459,$G40))</f>
        <v>0</v>
      </c>
      <c r="AH40" s="1771"/>
      <c r="AI40" s="1153"/>
      <c r="AJ40" s="1153"/>
      <c r="AK40" s="1153"/>
      <c r="AL40" s="980" t="s">
        <v>1351</v>
      </c>
      <c r="AM40" s="1153"/>
      <c r="AN40" s="1153"/>
      <c r="AO40" s="1153"/>
      <c r="AP40" s="1153"/>
      <c r="AQ40" s="1153"/>
    </row>
    <row customHeight="1" ht="21.9375" hidden="1">
      <c r="A41" s="1153"/>
      <c r="B41" s="1160"/>
      <c r="C41" s="1153"/>
      <c r="D41" s="1153"/>
      <c r="E41" s="597">
        <v>22.5</v>
      </c>
      <c r="F41" s="50" cm="1" t="str">
        <f t="array" ref="F41:F41">OFFSET(E41,-1,1)</f>
        <v>0</v>
      </c>
      <c r="G41" s="73" t="s">
        <v>1352</v>
      </c>
      <c r="H41" s="51"/>
      <c r="I41" s="467" t="s">
        <v>1353</v>
      </c>
      <c r="J41" s="1153"/>
      <c r="K41" s="90"/>
      <c r="L41" s="90"/>
      <c r="M41" s="90"/>
      <c r="N41" s="1153"/>
      <c r="O41" s="1153"/>
      <c r="P41" s="1153"/>
      <c r="Q41" s="1153"/>
      <c r="R41" s="1153"/>
      <c r="S41" s="1310"/>
      <c r="T41" s="439" cm="1" t="str">
        <f t="array" ref="T41:T41">T40</f>
        <v>false</v>
      </c>
      <c r="U41" s="1153"/>
      <c r="V41" s="1153"/>
      <c r="W41" s="1153"/>
      <c r="X41" s="1482"/>
      <c r="Y41" s="1153"/>
      <c r="Z41" s="1465"/>
      <c r="AA41" s="1153"/>
      <c r="AB41" s="765" t="s">
        <v>1354</v>
      </c>
      <c r="AC41" s="762" t="s">
        <v>1355</v>
      </c>
      <c r="AD41" s="917"/>
      <c r="AE41" s="747" t="s">
        <v>784</v>
      </c>
      <c r="AF41" s="3044"/>
      <c r="AG41" s="3044">
        <f>IF(AND(method_reg="Метод индексации",first_year=god),_xlfn.SUMIFS('Калькуляция (МИ)'!$AG$25:$AG$459,'Калькуляция (МИ)'!$F$25:$F$459,$F41,'Калькуляция (МИ)'!$G$25:$G$459,$G41),_xlfn.SUMIFS('Калькуляция (МИ корр)'!$AG$25:$AG$459,'Калькуляция (МИ корр)'!$F$25:$F$459,$F41,'Калькуляция (МИ корр)'!$G$25:$G$459,$G41))</f>
        <v>0</v>
      </c>
      <c r="AH41" s="1771"/>
      <c r="AI41" s="1153"/>
      <c r="AJ41" s="1153"/>
      <c r="AK41" s="1153"/>
      <c r="AL41" s="980" t="s">
        <v>1356</v>
      </c>
      <c r="AM41" s="1153"/>
      <c r="AN41" s="1153"/>
      <c r="AO41" s="1153"/>
      <c r="AP41" s="1153"/>
      <c r="AQ41" s="1153"/>
    </row>
    <row customHeight="1" ht="14.625" hidden="1">
      <c r="A42" s="1153"/>
      <c r="B42" s="1160"/>
      <c r="C42" s="1153"/>
      <c r="D42" s="1153"/>
      <c r="E42" s="597">
        <v>15</v>
      </c>
      <c r="F42" s="50" cm="1" t="str">
        <f t="array" ref="F42:F42">OFFSET(E42,-1,1)</f>
        <v>0</v>
      </c>
      <c r="G42" s="73" t="s">
        <v>1357</v>
      </c>
      <c r="H42" s="51"/>
      <c r="I42" s="467" t="s">
        <v>1358</v>
      </c>
      <c r="J42" s="1153"/>
      <c r="K42" s="90"/>
      <c r="L42" s="90"/>
      <c r="M42" s="90"/>
      <c r="N42" s="1153"/>
      <c r="O42" s="1153"/>
      <c r="P42" s="1153"/>
      <c r="Q42" s="1153"/>
      <c r="R42" s="1153"/>
      <c r="S42" s="1310"/>
      <c r="T42" s="439" cm="1" t="str">
        <f t="array" ref="T42:T42">T41</f>
        <v>false</v>
      </c>
      <c r="U42" s="1153"/>
      <c r="V42" s="1153"/>
      <c r="W42" s="1153"/>
      <c r="X42" s="1482"/>
      <c r="Y42" s="1153"/>
      <c r="Z42" s="1465"/>
      <c r="AA42" s="1153"/>
      <c r="AB42" s="765" t="s">
        <v>1359</v>
      </c>
      <c r="AC42" s="762" t="s">
        <v>1360</v>
      </c>
      <c r="AD42" s="917"/>
      <c r="AE42" s="747" t="s">
        <v>784</v>
      </c>
      <c r="AF42" s="3044"/>
      <c r="AG42" s="3044">
        <f>IF(AND(method_reg="Метод индексации",first_year=god),_xlfn.SUMIFS('Калькуляция (МИ)'!$AG$25:$AG$459,'Калькуляция (МИ)'!$F$25:$F$459,$F42,'Калькуляция (МИ)'!$G$25:$G$459,$G42),_xlfn.SUMIFS('Калькуляция (МИ корр)'!$AG$25:$AG$459,'Калькуляция (МИ корр)'!$F$25:$F$459,$F42,'Калькуляция (МИ корр)'!$G$25:$G$459,$G42))</f>
        <v>0</v>
      </c>
      <c r="AH42" s="1771"/>
      <c r="AI42" s="1153"/>
      <c r="AJ42" s="1153"/>
      <c r="AK42" s="1153"/>
      <c r="AL42" s="980" t="s">
        <v>1361</v>
      </c>
      <c r="AM42" s="1153"/>
      <c r="AN42" s="1153"/>
      <c r="AO42" s="1153"/>
      <c r="AP42" s="1153"/>
      <c r="AQ42" s="1153"/>
    </row>
    <row customHeight="1" ht="21.9375" hidden="1">
      <c r="A43" s="1153"/>
      <c r="B43" s="1160"/>
      <c r="C43" s="1153"/>
      <c r="D43" s="1153"/>
      <c r="E43" s="597">
        <v>22.5</v>
      </c>
      <c r="F43" s="50" cm="1" t="str">
        <f t="array" ref="F43:F43">OFFSET(E43,-1,1)</f>
        <v>0</v>
      </c>
      <c r="G43" s="73" t="s">
        <v>1362</v>
      </c>
      <c r="H43" s="51"/>
      <c r="I43" s="467" t="s">
        <v>1363</v>
      </c>
      <c r="J43" s="1153"/>
      <c r="K43" s="90"/>
      <c r="L43" s="90"/>
      <c r="M43" s="90"/>
      <c r="N43" s="1153"/>
      <c r="O43" s="1153"/>
      <c r="P43" s="1153"/>
      <c r="Q43" s="1153"/>
      <c r="R43" s="1153"/>
      <c r="S43" s="1310"/>
      <c r="T43" s="439" cm="1" t="str">
        <f t="array" ref="T43:T43">T42</f>
        <v>false</v>
      </c>
      <c r="U43" s="1153"/>
      <c r="V43" s="1153"/>
      <c r="W43" s="1153"/>
      <c r="X43" s="1482"/>
      <c r="Y43" s="1153"/>
      <c r="Z43" s="1465"/>
      <c r="AA43" s="1153"/>
      <c r="AB43" s="765" t="s">
        <v>1364</v>
      </c>
      <c r="AC43" s="762" t="s">
        <v>1365</v>
      </c>
      <c r="AD43" s="917"/>
      <c r="AE43" s="747" t="s">
        <v>784</v>
      </c>
      <c r="AF43" s="3044"/>
      <c r="AG43" s="3044">
        <f>IF(AND(method_reg="Метод индексации",first_year=god),_xlfn.SUMIFS('Калькуляция (МИ)'!$AG$25:$AG$459,'Калькуляция (МИ)'!$F$25:$F$459,$F43,'Калькуляция (МИ)'!$G$25:$G$459,$G43),_xlfn.SUMIFS('Калькуляция (МИ корр)'!$AG$25:$AG$459,'Калькуляция (МИ корр)'!$F$25:$F$459,$F43,'Калькуляция (МИ корр)'!$G$25:$G$459,$G43))</f>
        <v>0</v>
      </c>
      <c r="AH43" s="1771"/>
      <c r="AI43" s="1153"/>
      <c r="AJ43" s="1153"/>
      <c r="AK43" s="1153"/>
      <c r="AL43" s="980" t="s">
        <v>1366</v>
      </c>
      <c r="AM43" s="1153"/>
      <c r="AN43" s="1153"/>
      <c r="AO43" s="1153"/>
      <c r="AP43" s="1153"/>
      <c r="AQ43" s="1153"/>
    </row>
    <row customHeight="1" ht="14.625" hidden="1">
      <c r="A44" s="1153"/>
      <c r="B44" s="1160"/>
      <c r="C44" s="1153"/>
      <c r="D44" s="1153"/>
      <c r="E44" s="597">
        <v>15</v>
      </c>
      <c r="F44" s="50" cm="1" t="str">
        <f t="array" ref="F44:F44">OFFSET(E44,-1,1)</f>
        <v>0</v>
      </c>
      <c r="G44" s="399"/>
      <c r="H44" s="51"/>
      <c r="I44" s="399" t="s">
        <v>1226</v>
      </c>
      <c r="J44" s="1153"/>
      <c r="K44" s="90"/>
      <c r="L44" s="90"/>
      <c r="M44" s="90"/>
      <c r="N44" s="1153"/>
      <c r="O44" s="1153"/>
      <c r="P44" s="1153"/>
      <c r="Q44" s="1153"/>
      <c r="R44" s="1153"/>
      <c r="S44" s="1310"/>
      <c r="T44" s="439" cm="1" t="str">
        <f t="array" ref="T44:T44">T43</f>
        <v>false</v>
      </c>
      <c r="U44" s="1153"/>
      <c r="V44" s="1153"/>
      <c r="W44" s="1153"/>
      <c r="X44" s="1482"/>
      <c r="Y44" s="1153"/>
      <c r="Z44" s="1465"/>
      <c r="AA44" s="1153"/>
      <c r="AB44" s="266" t="s">
        <v>523</v>
      </c>
      <c r="AC44" s="743" t="s">
        <v>1367</v>
      </c>
      <c r="AD44" s="267" t="s">
        <v>1368</v>
      </c>
      <c r="AE44" s="747" t="s">
        <v>784</v>
      </c>
      <c r="AF44" s="3044">
        <f>AF45*AF46*AF47</f>
        <v>0</v>
      </c>
      <c r="AG44" s="3044">
        <f>AG45*AG46*AG47</f>
        <v>0</v>
      </c>
      <c r="AH44" s="1771"/>
      <c r="AI44" s="1153"/>
      <c r="AJ44" s="1153"/>
      <c r="AK44" s="1153"/>
      <c r="AL44" s="980" t="s">
        <v>1369</v>
      </c>
      <c r="AM44" s="1153"/>
      <c r="AN44" s="1153"/>
      <c r="AO44" s="1153"/>
      <c r="AP44" s="1153"/>
      <c r="AQ44" s="1153"/>
    </row>
    <row customHeight="1" ht="21.9375" hidden="1">
      <c r="A45" s="1153"/>
      <c r="B45" s="1160"/>
      <c r="C45" s="1153"/>
      <c r="D45" s="1153"/>
      <c r="E45" s="597">
        <v>22.5</v>
      </c>
      <c r="F45" s="50" cm="1" t="str">
        <f t="array" ref="F45:F45">OFFSET(E45,-1,1)</f>
        <v>0</v>
      </c>
      <c r="G45" s="399"/>
      <c r="H45" s="51"/>
      <c r="I45" s="399" t="s">
        <v>1370</v>
      </c>
      <c r="J45" s="1153"/>
      <c r="K45" s="90"/>
      <c r="L45" s="90"/>
      <c r="M45" s="90"/>
      <c r="N45" s="1153"/>
      <c r="O45" s="1153"/>
      <c r="P45" s="1153"/>
      <c r="Q45" s="1153"/>
      <c r="R45" s="1153"/>
      <c r="S45" s="1310"/>
      <c r="T45" s="439" cm="1" t="str">
        <f t="array" ref="T45:T45">T44</f>
        <v>false</v>
      </c>
      <c r="U45" s="1153"/>
      <c r="V45" s="1153"/>
      <c r="W45" s="1153"/>
      <c r="X45" s="1482"/>
      <c r="Y45" s="1153"/>
      <c r="Z45" s="1465"/>
      <c r="AA45" s="1153"/>
      <c r="AB45" s="266" t="s">
        <v>478</v>
      </c>
      <c r="AC45" s="746" t="s">
        <v>1371</v>
      </c>
      <c r="AD45" s="267" t="s">
        <v>1372</v>
      </c>
      <c r="AE45" s="747" t="s">
        <v>801</v>
      </c>
      <c r="AF45" s="3044"/>
      <c r="AG45" s="3044">
        <f>_xlfn.SUMIFS(ЭЭ!AG$25:AG$93,ЭЭ!$F$25:$F$93,$F45,ЭЭ!$AC$25:$AC$93,"Удельный расход электроэнергии")</f>
        <v>0</v>
      </c>
      <c r="AH45" s="1771"/>
      <c r="AI45" s="1153"/>
      <c r="AJ45" s="1153"/>
      <c r="AK45" s="1153"/>
      <c r="AL45" s="980" t="s">
        <v>1373</v>
      </c>
      <c r="AM45" s="1153"/>
      <c r="AN45" s="1153"/>
      <c r="AO45" s="1153"/>
      <c r="AP45" s="1153"/>
      <c r="AQ45" s="1153"/>
    </row>
    <row customHeight="1" ht="14.625" hidden="1">
      <c r="A46" s="1153"/>
      <c r="B46" s="1160"/>
      <c r="C46" s="1153"/>
      <c r="D46" s="1153"/>
      <c r="E46" s="597">
        <v>15</v>
      </c>
      <c r="F46" s="50" cm="1" t="str">
        <f t="array" ref="F46:F46">OFFSET(E46,-1,1)</f>
        <v>0</v>
      </c>
      <c r="G46" s="399"/>
      <c r="H46" s="51"/>
      <c r="I46" s="399" t="s">
        <v>1374</v>
      </c>
      <c r="J46" s="1153"/>
      <c r="K46" s="90"/>
      <c r="L46" s="90"/>
      <c r="M46" s="90"/>
      <c r="N46" s="1153"/>
      <c r="O46" s="1153"/>
      <c r="P46" s="1153"/>
      <c r="Q46" s="1153"/>
      <c r="R46" s="1153"/>
      <c r="S46" s="1310"/>
      <c r="T46" s="439" cm="1" t="str">
        <f t="array" ref="T46:T46">T45</f>
        <v>false</v>
      </c>
      <c r="U46" s="1153"/>
      <c r="V46" s="1153"/>
      <c r="W46" s="1153"/>
      <c r="X46" s="1482"/>
      <c r="Y46" s="1153"/>
      <c r="Z46" s="1465"/>
      <c r="AA46" s="1153"/>
      <c r="AB46" s="266" t="s">
        <v>1375</v>
      </c>
      <c r="AC46" s="746" t="s">
        <v>1376</v>
      </c>
      <c r="AD46" s="267" t="s">
        <v>1377</v>
      </c>
      <c r="AE46" s="747" t="s">
        <v>795</v>
      </c>
      <c r="AF46" s="3044"/>
      <c r="AG46" s="3044">
        <f>_xlfn.SUMIFS(ЭЭ!AG$25:AG$93,ЭЭ!$F$25:$F$93,$F45,ЭЭ!$AC$25:$AC$93,"Объём воды/сточных вод")</f>
        <v>0</v>
      </c>
      <c r="AH46" s="1771"/>
      <c r="AI46" s="1153"/>
      <c r="AJ46" s="1153"/>
      <c r="AK46" s="1153"/>
      <c r="AL46" s="980" t="s">
        <v>1378</v>
      </c>
      <c r="AM46" s="1153"/>
      <c r="AN46" s="1153"/>
      <c r="AO46" s="1153"/>
      <c r="AP46" s="1153"/>
      <c r="AQ46" s="1153"/>
    </row>
    <row customHeight="1" ht="21.9375" hidden="1">
      <c r="A47" s="1153"/>
      <c r="B47" s="1160"/>
      <c r="C47" s="1153"/>
      <c r="D47" s="1153"/>
      <c r="E47" s="597">
        <v>22.5</v>
      </c>
      <c r="F47" s="50" cm="1" t="str">
        <f t="array" ref="F47:F47">OFFSET(E47,-1,1)</f>
        <v>0</v>
      </c>
      <c r="G47" s="399"/>
      <c r="H47" s="51"/>
      <c r="I47" s="399" t="s">
        <v>1379</v>
      </c>
      <c r="J47" s="1153"/>
      <c r="K47" s="90"/>
      <c r="L47" s="90"/>
      <c r="M47" s="90"/>
      <c r="N47" s="1153"/>
      <c r="O47" s="1153"/>
      <c r="P47" s="1153"/>
      <c r="Q47" s="1153"/>
      <c r="R47" s="1153"/>
      <c r="S47" s="1310"/>
      <c r="T47" s="439" cm="1" t="str">
        <f t="array" ref="T47:T47">T46</f>
        <v>false</v>
      </c>
      <c r="U47" s="1153"/>
      <c r="V47" s="1153"/>
      <c r="W47" s="1153"/>
      <c r="X47" s="1482"/>
      <c r="Y47" s="1153"/>
      <c r="Z47" s="1465"/>
      <c r="AA47" s="1153"/>
      <c r="AB47" s="266" t="s">
        <v>1380</v>
      </c>
      <c r="AC47" s="746" t="s">
        <v>1381</v>
      </c>
      <c r="AD47" s="267" t="s">
        <v>1382</v>
      </c>
      <c r="AE47" s="747" t="s">
        <v>798</v>
      </c>
      <c r="AF47" s="3044"/>
      <c r="AG47" s="3044">
        <f>_xlfn.SUMIFS(ЭЭ!AG$25:AG$93,ЭЭ!$F$25:$F$93,$F45,ЭЭ!$AC$25:$AC$93,"Средний (расчетный) тариф")</f>
        <v>0</v>
      </c>
      <c r="AH47" s="1771"/>
      <c r="AI47" s="1153"/>
      <c r="AJ47" s="1153"/>
      <c r="AK47" s="1153"/>
      <c r="AL47" s="980" t="s">
        <v>1383</v>
      </c>
      <c r="AM47" s="1153"/>
      <c r="AN47" s="1153"/>
      <c r="AO47" s="1153"/>
      <c r="AP47" s="1153"/>
      <c r="AQ47" s="1153"/>
    </row>
    <row customHeight="1" ht="21.9375" hidden="1">
      <c r="A48" s="1153"/>
      <c r="B48" s="1160"/>
      <c r="C48" s="1153"/>
      <c r="D48" s="1153"/>
      <c r="E48" s="597">
        <v>22.5</v>
      </c>
      <c r="F48" s="50" cm="1" t="str">
        <f t="array" ref="F48:F48">OFFSET(E48,-1,1)</f>
        <v>0</v>
      </c>
      <c r="G48" s="399" t="s">
        <v>1384</v>
      </c>
      <c r="H48" s="51"/>
      <c r="I48" s="399" t="s">
        <v>1385</v>
      </c>
      <c r="J48" s="1153"/>
      <c r="K48" s="90"/>
      <c r="L48" s="90"/>
      <c r="M48" s="90"/>
      <c r="N48" s="1153"/>
      <c r="O48" s="1153"/>
      <c r="P48" s="1153"/>
      <c r="Q48" s="1153"/>
      <c r="R48" s="1153"/>
      <c r="S48" s="1310"/>
      <c r="T48" s="439" cm="1" t="str">
        <f t="array" ref="T48:T48">T47</f>
        <v>false</v>
      </c>
      <c r="U48" s="1153"/>
      <c r="V48" s="1153"/>
      <c r="W48" s="1153"/>
      <c r="X48" s="1482"/>
      <c r="Y48" s="1153"/>
      <c r="Z48" s="1465"/>
      <c r="AA48" s="1153"/>
      <c r="AB48" s="266" t="s">
        <v>868</v>
      </c>
      <c r="AC48" s="743" t="s">
        <v>1386</v>
      </c>
      <c r="AD48" s="267" t="s">
        <v>1387</v>
      </c>
      <c r="AE48" s="747" t="s">
        <v>784</v>
      </c>
      <c r="AF48" s="3044"/>
      <c r="AG48" s="3044">
        <f>IF(AND(method_reg="Метод индексации",first_year=god),_xlfn.SUMIFS('Калькуляция (МИ)'!$AG$25:$AG$459,'Калькуляция (МИ)'!$F$25:$F$459,$F48,'Калькуляция (МИ)'!$G$25:$G$459,$G48),_xlfn.SUMIFS('Калькуляция (МИ корр)'!$AG$25:$AG$459,'Калькуляция (МИ корр)'!$F$25:$F$459,$F48,'Калькуляция (МИ корр)'!$G$25:$G$459,$G48))</f>
        <v>0</v>
      </c>
      <c r="AH48" s="1771"/>
      <c r="AI48" s="1153"/>
      <c r="AJ48" s="1153"/>
      <c r="AK48" s="1153"/>
      <c r="AL48" s="980" t="s">
        <v>1123</v>
      </c>
      <c r="AM48" s="1153"/>
      <c r="AN48" s="1153"/>
      <c r="AO48" s="1153"/>
      <c r="AP48" s="1153"/>
      <c r="AQ48" s="1153"/>
    </row>
    <row customHeight="1" ht="14.625" hidden="1">
      <c r="A49" s="1153"/>
      <c r="B49" s="1160"/>
      <c r="C49" s="1153"/>
      <c r="D49" s="1153"/>
      <c r="E49" s="597">
        <v>15</v>
      </c>
      <c r="F49" s="50" cm="1" t="str">
        <f t="array" ref="F49:F49">OFFSET(E49,-1,1)</f>
        <v>0</v>
      </c>
      <c r="G49" s="399" t="s">
        <v>1388</v>
      </c>
      <c r="H49" s="51"/>
      <c r="I49" s="399" t="s">
        <v>1389</v>
      </c>
      <c r="J49" s="1153"/>
      <c r="K49" s="90"/>
      <c r="L49" s="90"/>
      <c r="M49" s="90"/>
      <c r="N49" s="1153"/>
      <c r="O49" s="1153"/>
      <c r="P49" s="1153"/>
      <c r="Q49" s="1153"/>
      <c r="R49" s="1153"/>
      <c r="S49" s="1310"/>
      <c r="T49" s="439" cm="1" t="str">
        <f t="array" ref="T49:T49">T48</f>
        <v>false</v>
      </c>
      <c r="U49" s="1153"/>
      <c r="V49" s="1153"/>
      <c r="W49" s="1153"/>
      <c r="X49" s="1482"/>
      <c r="Y49" s="1153"/>
      <c r="Z49" s="1465"/>
      <c r="AA49" s="1153"/>
      <c r="AB49" s="266" t="s">
        <v>871</v>
      </c>
      <c r="AC49" s="918" t="s">
        <v>1390</v>
      </c>
      <c r="AD49" s="267" t="s">
        <v>1391</v>
      </c>
      <c r="AE49" s="747" t="s">
        <v>784</v>
      </c>
      <c r="AF49" s="3044"/>
      <c r="AG49" s="3044">
        <f>IF(AND(method_reg="Метод индексации",first_year=god),_xlfn.SUMIFS('Калькуляция (МИ)'!$AE$25:$AE$459,'Калькуляция (МИ)'!$F$25:$F$459,$F49,'Калькуляция (МИ)'!$G$25:$G$459,"Нормативная прибыль")-_xlfn.SUMIFS('Калькуляция (МИ)'!$AE$25:$AE$459,'Калькуляция (МИ)'!$F$25:$F$459,$F49,'Калькуляция (МИ)'!$G$25:$G$459,"иные экономически обоснованные расходы на социальные нужды")+_xlfn.SUMIFS('Калькуляция (МИ)'!$AG$25:$AG$459,'Калькуляция (МИ)'!$F$25:$F$459,$F49,'Калькуляция (МИ)'!$G$25:$G$459,"иные экономически обоснованные расходы на социальные нужды"),_xlfn.SUMIFS('Калькуляция (МИ корр)'!$AE$25:$AE$459,'Калькуляция (МИ корр)'!$F$25:$F$459,$F49,'Калькуляция (МИ корр)'!$G$25:$G$459,"Нормативная прибыль")-_xlfn.SUMIFS('Калькуляция (МИ корр)'!$AE$25:$AE$459,'Калькуляция (МИ корр)'!$F$25:$F$459,$F49,'Калькуляция (МИ корр)'!$G$25:$G$459,"иные экономически обоснованные расходы на социальные нужды")+_xlfn.SUMIFS('Калькуляция (МИ корр)'!$AG$25:$AG$459,'Калькуляция (МИ корр)'!$F$25:$F$459,$F49,'Калькуляция (МИ корр)'!$G$25:$G$459,"иные экономически обоснованные расходы на социальные нужды"))</f>
        <v>0</v>
      </c>
      <c r="AH49" s="1771"/>
      <c r="AI49" s="1153"/>
      <c r="AJ49" s="1153"/>
      <c r="AK49" s="1153"/>
      <c r="AL49" s="980" t="s">
        <v>1392</v>
      </c>
      <c r="AM49" s="1153"/>
      <c r="AN49" s="1153"/>
      <c r="AO49" s="1153"/>
      <c r="AP49" s="1153"/>
      <c r="AQ49" s="1153"/>
    </row>
    <row customHeight="1" ht="14.625" hidden="1">
      <c r="A50" s="1153"/>
      <c r="B50" s="1160"/>
      <c r="C50" s="1153"/>
      <c r="D50" s="1153"/>
      <c r="E50" s="597">
        <v>15</v>
      </c>
      <c r="F50" s="50" cm="1" t="str">
        <f t="array" ref="F50:F50">OFFSET(E50,-1,1)</f>
        <v>0</v>
      </c>
      <c r="G50" s="73" t="s">
        <v>1393</v>
      </c>
      <c r="H50" s="51"/>
      <c r="I50" s="467" t="s">
        <v>1394</v>
      </c>
      <c r="J50" s="1153"/>
      <c r="K50" s="90"/>
      <c r="L50" s="90"/>
      <c r="M50" s="90"/>
      <c r="N50" s="1153"/>
      <c r="O50" s="1153"/>
      <c r="P50" s="1153"/>
      <c r="Q50" s="1153"/>
      <c r="R50" s="1153"/>
      <c r="S50" s="1310"/>
      <c r="T50" s="439" cm="1" t="str">
        <f t="array" ref="T50:T50">T49</f>
        <v>false</v>
      </c>
      <c r="U50" s="1153"/>
      <c r="V50" s="1153"/>
      <c r="W50" s="1153"/>
      <c r="X50" s="1482"/>
      <c r="Y50" s="1153"/>
      <c r="Z50" s="1465"/>
      <c r="AA50" s="1153"/>
      <c r="AB50" s="266" t="s">
        <v>1395</v>
      </c>
      <c r="AC50" s="743" t="s">
        <v>1396</v>
      </c>
      <c r="AD50" s="267" t="s">
        <v>1397</v>
      </c>
      <c r="AE50" s="747" t="s">
        <v>784</v>
      </c>
      <c r="AF50" s="3044"/>
      <c r="AG50" s="3044">
        <f>IF(AND(method_reg="Метод индексации",first_year=god),_xlfn.SUMIFS('Калькуляция (МИ)'!$AG$25:$AG$459,'Калькуляция (МИ)'!$F$25:$F$459,$F50,'Калькуляция (МИ)'!$G$25:$G$459,$G50),_xlfn.SUMIFS('Калькуляция (МИ корр)'!$AG$25:$AG$459,'Калькуляция (МИ корр)'!$F$25:$F$459,$F50,'Калькуляция (МИ корр)'!$G$25:$G$459,$G50))</f>
        <v>0</v>
      </c>
      <c r="AH50" s="1771"/>
      <c r="AI50" s="1153"/>
      <c r="AJ50" s="1153"/>
      <c r="AK50" s="1153"/>
      <c r="AL50" s="980" t="s">
        <v>1398</v>
      </c>
      <c r="AM50" s="1153"/>
      <c r="AN50" s="1153"/>
      <c r="AO50" s="1153"/>
      <c r="AP50" s="1153"/>
      <c r="AQ50" s="1153"/>
    </row>
    <row customHeight="1" ht="21.9375" hidden="1">
      <c r="A51" s="1153"/>
      <c r="B51" s="1160"/>
      <c r="C51" s="1153"/>
      <c r="D51" s="1153"/>
      <c r="E51" s="597">
        <v>22.5</v>
      </c>
      <c r="F51" s="50" cm="1" t="str">
        <f t="array" ref="F51:F51">OFFSET(E51,-1,1)</f>
        <v>0</v>
      </c>
      <c r="G51" s="73"/>
      <c r="H51" s="51"/>
      <c r="I51" s="399" t="s">
        <v>1399</v>
      </c>
      <c r="J51" s="1153"/>
      <c r="K51" s="90"/>
      <c r="L51" s="90"/>
      <c r="M51" s="90"/>
      <c r="N51" s="1153"/>
      <c r="O51" s="1153"/>
      <c r="P51" s="1153"/>
      <c r="Q51" s="1153"/>
      <c r="R51" s="1153"/>
      <c r="S51" s="1310"/>
      <c r="T51" s="439" cm="1" t="str">
        <f t="array" ref="T51:T51">T50</f>
        <v>false</v>
      </c>
      <c r="U51" s="1153"/>
      <c r="V51" s="1153"/>
      <c r="W51" s="1153"/>
      <c r="X51" s="1482"/>
      <c r="Y51" s="1153"/>
      <c r="Z51" s="1465"/>
      <c r="AA51" s="1153"/>
      <c r="AB51" s="266" t="s">
        <v>1400</v>
      </c>
      <c r="AC51" s="743" t="s">
        <v>1401</v>
      </c>
      <c r="AD51" s="267"/>
      <c r="AE51" s="747" t="s">
        <v>784</v>
      </c>
      <c r="AF51" s="3044">
        <f>AF52+AF53+AF54</f>
        <v>0</v>
      </c>
      <c r="AG51" s="3044">
        <f>AG52+AG53+AG54</f>
        <v>0</v>
      </c>
      <c r="AH51" s="1771"/>
      <c r="AI51" s="1153"/>
      <c r="AJ51" s="1153"/>
      <c r="AK51" s="1153"/>
      <c r="AL51" s="980" t="s">
        <v>1402</v>
      </c>
      <c r="AM51" s="1153"/>
      <c r="AN51" s="1153"/>
      <c r="AO51" s="1153"/>
      <c r="AP51" s="1153"/>
      <c r="AQ51" s="1153"/>
    </row>
    <row customHeight="1" ht="21.9375" hidden="1">
      <c r="A52" s="1153"/>
      <c r="B52" s="1160"/>
      <c r="C52" s="1153"/>
      <c r="D52" s="1153"/>
      <c r="E52" s="597">
        <v>22.5</v>
      </c>
      <c r="F52" s="50" cm="1" t="str">
        <f t="array" ref="F52:F52">OFFSET(E52,-1,1)</f>
        <v>0</v>
      </c>
      <c r="G52" s="399"/>
      <c r="H52" s="51"/>
      <c r="I52" s="399" t="s">
        <v>1403</v>
      </c>
      <c r="J52" s="1153"/>
      <c r="K52" s="90"/>
      <c r="L52" s="90"/>
      <c r="M52" s="90"/>
      <c r="N52" s="1153"/>
      <c r="O52" s="1153"/>
      <c r="P52" s="1153"/>
      <c r="Q52" s="1153"/>
      <c r="R52" s="1153"/>
      <c r="S52" s="1310"/>
      <c r="T52" s="439" cm="1" t="str">
        <f t="array" ref="T52:T52">T51</f>
        <v>false</v>
      </c>
      <c r="U52" s="1153"/>
      <c r="V52" s="1153"/>
      <c r="W52" s="1153"/>
      <c r="X52" s="1482"/>
      <c r="Y52" s="1153"/>
      <c r="Z52" s="1465"/>
      <c r="AA52" s="1153"/>
      <c r="AB52" s="266" t="s">
        <v>1404</v>
      </c>
      <c r="AC52" s="746" t="s">
        <v>1405</v>
      </c>
      <c r="AD52" s="267" t="s">
        <v>1406</v>
      </c>
      <c r="AE52" s="747" t="s">
        <v>784</v>
      </c>
      <c r="AF52" s="3044"/>
      <c r="AG52" s="3044"/>
      <c r="AH52" s="1771"/>
      <c r="AI52" s="1153"/>
      <c r="AJ52" s="1153"/>
      <c r="AK52" s="1153"/>
      <c r="AL52" s="980" t="s">
        <v>1407</v>
      </c>
      <c r="AM52" s="1153"/>
      <c r="AN52" s="1153"/>
      <c r="AO52" s="1153"/>
      <c r="AP52" s="1153"/>
      <c r="AQ52" s="1153"/>
    </row>
    <row customHeight="1" ht="14.625" hidden="1">
      <c r="A53" s="1153"/>
      <c r="B53" s="1160"/>
      <c r="C53" s="1153"/>
      <c r="D53" s="1153"/>
      <c r="E53" s="597">
        <v>15</v>
      </c>
      <c r="F53" s="50" cm="1" t="str">
        <f t="array" ref="F53:F53">OFFSET(E53,-1,1)</f>
        <v>0</v>
      </c>
      <c r="G53" s="399"/>
      <c r="H53" s="51"/>
      <c r="I53" s="399" t="s">
        <v>1408</v>
      </c>
      <c r="J53" s="1153"/>
      <c r="K53" s="90"/>
      <c r="L53" s="90"/>
      <c r="M53" s="90"/>
      <c r="N53" s="1153"/>
      <c r="O53" s="1153"/>
      <c r="P53" s="1153"/>
      <c r="Q53" s="1153"/>
      <c r="R53" s="1153"/>
      <c r="S53" s="1310"/>
      <c r="T53" s="439" cm="1" t="str">
        <f t="array" ref="T53:T53">T52</f>
        <v>false</v>
      </c>
      <c r="U53" s="1153"/>
      <c r="V53" s="1153"/>
      <c r="W53" s="1153"/>
      <c r="X53" s="1482"/>
      <c r="Y53" s="1153"/>
      <c r="Z53" s="1465"/>
      <c r="AA53" s="1153"/>
      <c r="AB53" s="266" t="s">
        <v>1409</v>
      </c>
      <c r="AC53" s="746" t="s">
        <v>1410</v>
      </c>
      <c r="AD53" s="267" t="s">
        <v>1411</v>
      </c>
      <c r="AE53" s="747" t="s">
        <v>784</v>
      </c>
      <c r="AF53" s="3044"/>
      <c r="AG53" s="3044"/>
      <c r="AH53" s="1771"/>
      <c r="AI53" s="1153"/>
      <c r="AJ53" s="1153"/>
      <c r="AK53" s="1153"/>
      <c r="AL53" s="980" t="s">
        <v>1412</v>
      </c>
      <c r="AM53" s="1153"/>
      <c r="AN53" s="1153"/>
      <c r="AO53" s="1153"/>
      <c r="AP53" s="1153"/>
      <c r="AQ53" s="1153"/>
    </row>
    <row customHeight="1" ht="43.875" hidden="1">
      <c r="A54" s="1153"/>
      <c r="B54" s="1160"/>
      <c r="C54" s="1153"/>
      <c r="D54" s="1153"/>
      <c r="E54" s="597">
        <v>45</v>
      </c>
      <c r="F54" s="50" cm="1" t="str">
        <f t="array" ref="F54:F54">OFFSET(E54,-1,1)</f>
        <v>0</v>
      </c>
      <c r="G54" s="399"/>
      <c r="H54" s="51"/>
      <c r="I54" s="399" t="s">
        <v>1413</v>
      </c>
      <c r="J54" s="1153"/>
      <c r="K54" s="90"/>
      <c r="L54" s="90"/>
      <c r="M54" s="90"/>
      <c r="N54" s="1153"/>
      <c r="O54" s="1153"/>
      <c r="P54" s="1153"/>
      <c r="Q54" s="1153"/>
      <c r="R54" s="1153"/>
      <c r="S54" s="1310"/>
      <c r="T54" s="439" cm="1" t="str">
        <f t="array" ref="T54:T54">T53</f>
        <v>false</v>
      </c>
      <c r="U54" s="1153"/>
      <c r="V54" s="1153"/>
      <c r="W54" s="1153"/>
      <c r="X54" s="1482"/>
      <c r="Y54" s="1153"/>
      <c r="Z54" s="1465"/>
      <c r="AA54" s="1153"/>
      <c r="AB54" s="266" t="s">
        <v>1414</v>
      </c>
      <c r="AC54" s="746" t="s">
        <v>1415</v>
      </c>
      <c r="AD54" s="747" t="s">
        <v>1416</v>
      </c>
      <c r="AE54" s="747" t="s">
        <v>784</v>
      </c>
      <c r="AF54" s="3044"/>
      <c r="AG54" s="3044"/>
      <c r="AH54" s="1771"/>
      <c r="AI54" s="1153"/>
      <c r="AJ54" s="1153"/>
      <c r="AK54" s="1153"/>
      <c r="AL54" s="980" t="s">
        <v>1417</v>
      </c>
      <c r="AM54" s="1153"/>
      <c r="AN54" s="1153"/>
      <c r="AO54" s="1153"/>
      <c r="AP54" s="1153"/>
      <c r="AQ54" s="1153"/>
    </row>
    <row customHeight="1" ht="21.9375" hidden="1">
      <c r="A55" s="1153"/>
      <c r="B55" s="1160"/>
      <c r="C55" s="1153"/>
      <c r="D55" s="1153"/>
      <c r="E55" s="597">
        <v>22.5</v>
      </c>
      <c r="F55" s="50" cm="1" t="str">
        <f t="array" ref="F55:F55">OFFSET(E55,-1,1)</f>
        <v>0</v>
      </c>
      <c r="G55" s="399"/>
      <c r="H55" s="51"/>
      <c r="I55" s="399" t="s">
        <v>1418</v>
      </c>
      <c r="J55" s="1153"/>
      <c r="K55" s="90"/>
      <c r="L55" s="90"/>
      <c r="M55" s="90"/>
      <c r="N55" s="1153"/>
      <c r="O55" s="1153"/>
      <c r="P55" s="1153"/>
      <c r="Q55" s="1153"/>
      <c r="R55" s="1153"/>
      <c r="S55" s="1310"/>
      <c r="T55" s="439" cm="1" t="str">
        <f t="array" ref="T55:T55">T54</f>
        <v>false</v>
      </c>
      <c r="U55" s="1153"/>
      <c r="V55" s="1153"/>
      <c r="W55" s="1153"/>
      <c r="X55" s="1482"/>
      <c r="Y55" s="1153"/>
      <c r="Z55" s="1465"/>
      <c r="AA55" s="1153"/>
      <c r="AB55" s="266" t="s">
        <v>1419</v>
      </c>
      <c r="AC55" s="743" t="s">
        <v>1420</v>
      </c>
      <c r="AD55" s="747" t="s">
        <v>1421</v>
      </c>
      <c r="AE55" s="747" t="s">
        <v>784</v>
      </c>
      <c r="AF55" s="3044"/>
      <c r="AG55" s="3044"/>
      <c r="AH55" s="1771"/>
      <c r="AI55" s="1153"/>
      <c r="AJ55" s="1153"/>
      <c r="AK55" s="1153"/>
      <c r="AL55" s="980" t="s">
        <v>1422</v>
      </c>
      <c r="AM55" s="1153"/>
      <c r="AN55" s="1153"/>
      <c r="AO55" s="1153"/>
      <c r="AP55" s="1153"/>
      <c r="AQ55" s="1153"/>
    </row>
    <row customHeight="1" ht="76.78125" hidden="1">
      <c r="A56" s="1153"/>
      <c r="B56" s="401">
        <f>S27="Водоотведение"</f>
        <v>0</v>
      </c>
      <c r="C56" s="1153"/>
      <c r="D56" s="1153"/>
      <c r="E56" s="597">
        <v>78.75</v>
      </c>
      <c r="F56" s="50" cm="1" t="str">
        <f t="array" ref="F56:F56">OFFSET(E56,-1,1)</f>
        <v>0</v>
      </c>
      <c r="G56" s="399"/>
      <c r="H56" s="51"/>
      <c r="I56" s="399"/>
      <c r="J56" s="1153"/>
      <c r="K56" s="90"/>
      <c r="L56" s="90"/>
      <c r="M56" s="90"/>
      <c r="N56" s="1153"/>
      <c r="O56" s="1153"/>
      <c r="P56" s="1153"/>
      <c r="Q56" s="1153"/>
      <c r="R56" s="1153"/>
      <c r="S56" s="1310"/>
      <c r="T56" s="439" cm="1" t="str">
        <f t="array" ref="T56:T56">T55</f>
        <v>false</v>
      </c>
      <c r="U56" s="1153"/>
      <c r="V56" s="1153"/>
      <c r="W56" s="1153"/>
      <c r="X56" s="1482"/>
      <c r="Y56" s="1153"/>
      <c r="Z56" s="1465"/>
      <c r="AA56" s="1153"/>
      <c r="AB56" s="266" t="s">
        <v>1423</v>
      </c>
      <c r="AC56" s="743" t="s">
        <v>1424</v>
      </c>
      <c r="AD56" s="747"/>
      <c r="AE56" s="747" t="s">
        <v>784</v>
      </c>
      <c r="AF56" s="3044"/>
      <c r="AG56" s="3044"/>
      <c r="AH56" s="1771"/>
      <c r="AI56" s="1153"/>
      <c r="AJ56" s="1153"/>
      <c r="AK56" s="1153"/>
      <c r="AL56" s="980" t="s">
        <v>1425</v>
      </c>
      <c r="AM56" s="1153"/>
      <c r="AN56" s="1153"/>
      <c r="AO56" s="1153"/>
      <c r="AP56" s="1153"/>
      <c r="AQ56" s="1153"/>
    </row>
    <row customHeight="1" ht="54.84375" hidden="1">
      <c r="A57" s="1153"/>
      <c r="B57" s="401" cm="1" t="str">
        <f t="array" ref="B57:B57">B56</f>
        <v>false</v>
      </c>
      <c r="C57" s="1153"/>
      <c r="D57" s="1153"/>
      <c r="E57" s="597">
        <v>56.25</v>
      </c>
      <c r="F57" s="50" cm="1" t="str">
        <f t="array" ref="F57:F57">OFFSET(E57,-1,1)</f>
        <v>0</v>
      </c>
      <c r="G57" s="399"/>
      <c r="H57" s="51"/>
      <c r="I57" s="399"/>
      <c r="J57" s="1153"/>
      <c r="K57" s="90"/>
      <c r="L57" s="90"/>
      <c r="M57" s="90"/>
      <c r="N57" s="1153"/>
      <c r="O57" s="1153"/>
      <c r="P57" s="1153"/>
      <c r="Q57" s="1153"/>
      <c r="R57" s="1153"/>
      <c r="S57" s="1310"/>
      <c r="T57" s="439" cm="1" t="str">
        <f t="array" ref="T57:T57">T56</f>
        <v>false</v>
      </c>
      <c r="U57" s="1153"/>
      <c r="V57" s="1153"/>
      <c r="W57" s="1153"/>
      <c r="X57" s="1482"/>
      <c r="Y57" s="1153"/>
      <c r="Z57" s="1465"/>
      <c r="AA57" s="1153"/>
      <c r="AB57" s="266" t="s">
        <v>1426</v>
      </c>
      <c r="AC57" s="743" t="s">
        <v>1427</v>
      </c>
      <c r="AD57" s="747"/>
      <c r="AE57" s="747" t="s">
        <v>784</v>
      </c>
      <c r="AF57" s="3044"/>
      <c r="AG57" s="3044"/>
      <c r="AH57" s="1771"/>
      <c r="AI57" s="1153"/>
      <c r="AJ57" s="1153"/>
      <c r="AK57" s="1153"/>
      <c r="AL57" s="980" t="s">
        <v>1253</v>
      </c>
      <c r="AM57" s="1153"/>
      <c r="AN57" s="1153"/>
      <c r="AO57" s="1153"/>
      <c r="AP57" s="1153"/>
      <c r="AQ57" s="1153"/>
    </row>
    <row customHeight="1" ht="14.625" hidden="1">
      <c r="A58" s="1153"/>
      <c r="B58" s="1160"/>
      <c r="C58" s="1153"/>
      <c r="D58" s="1153"/>
      <c r="E58" s="597">
        <v>15</v>
      </c>
      <c r="F58" s="50" cm="1" t="str">
        <f t="array" ref="F58:F58">OFFSET(E58,-1,1)</f>
        <v>0</v>
      </c>
      <c r="G58" s="399"/>
      <c r="H58" s="51"/>
      <c r="I58" s="399"/>
      <c r="J58" s="1153"/>
      <c r="K58" s="90"/>
      <c r="L58" s="90"/>
      <c r="M58" s="90"/>
      <c r="N58" s="1153"/>
      <c r="O58" s="1153"/>
      <c r="P58" s="1153"/>
      <c r="Q58" s="1153"/>
      <c r="R58" s="1153"/>
      <c r="S58" s="1310"/>
      <c r="T58" s="439" cm="1" t="str">
        <f t="array" ref="T58:T58">T57</f>
        <v>false</v>
      </c>
      <c r="U58" s="1153"/>
      <c r="V58" s="1153"/>
      <c r="W58" s="1153"/>
      <c r="X58" s="1482"/>
      <c r="Y58" s="1153"/>
      <c r="Z58" s="1465"/>
      <c r="AA58" s="1153"/>
      <c r="AB58" s="267" t="str">
        <f>IF(B57,"2.12","2.10")</f>
        <v>2.10</v>
      </c>
      <c r="AC58" s="743" t="s">
        <v>1428</v>
      </c>
      <c r="AD58" s="747" t="s">
        <v>1429</v>
      </c>
      <c r="AE58" s="747" t="s">
        <v>784</v>
      </c>
      <c r="AF58" s="3044">
        <f>AF59+AF60</f>
        <v>0</v>
      </c>
      <c r="AG58" s="3044">
        <f>AG59+AG60</f>
        <v>0</v>
      </c>
      <c r="AH58" s="1771"/>
      <c r="AI58" s="1153"/>
      <c r="AJ58" s="1153"/>
      <c r="AK58" s="1153"/>
      <c r="AL58" s="980" t="s">
        <v>1430</v>
      </c>
      <c r="AM58" s="1153"/>
      <c r="AN58" s="1153"/>
      <c r="AO58" s="1153"/>
      <c r="AP58" s="1153"/>
      <c r="AQ58" s="1153"/>
    </row>
    <row customHeight="1" ht="21.9375" hidden="1">
      <c r="A59" s="1153"/>
      <c r="B59" s="1160"/>
      <c r="C59" s="1153"/>
      <c r="D59" s="1153"/>
      <c r="E59" s="597">
        <v>22.5</v>
      </c>
      <c r="F59" s="50" cm="1" t="str">
        <f t="array" ref="F59:F59">OFFSET(E59,-1,1)</f>
        <v>0</v>
      </c>
      <c r="G59" s="399"/>
      <c r="H59" s="51"/>
      <c r="I59" s="399"/>
      <c r="J59" s="1153"/>
      <c r="K59" s="90"/>
      <c r="L59" s="90"/>
      <c r="M59" s="90"/>
      <c r="N59" s="1153"/>
      <c r="O59" s="1153"/>
      <c r="P59" s="1153"/>
      <c r="Q59" s="1153"/>
      <c r="R59" s="1153"/>
      <c r="S59" s="1310"/>
      <c r="T59" s="439" cm="1" t="str">
        <f t="array" ref="T59:T59">T58</f>
        <v>false</v>
      </c>
      <c r="U59" s="1153"/>
      <c r="V59" s="1153"/>
      <c r="W59" s="1153"/>
      <c r="X59" s="1482"/>
      <c r="Y59" s="1153"/>
      <c r="Z59" s="1465"/>
      <c r="AA59" s="1153"/>
      <c r="AB59" s="267" t="str">
        <f>AB58&amp;".1"</f>
        <v>2.10.1</v>
      </c>
      <c r="AC59" s="743" t="s">
        <v>1431</v>
      </c>
      <c r="AD59" s="747" t="s">
        <v>1429</v>
      </c>
      <c r="AE59" s="747" t="s">
        <v>784</v>
      </c>
      <c r="AF59" s="3044"/>
      <c r="AG59" s="3044"/>
      <c r="AH59" s="1771"/>
      <c r="AI59" s="1153"/>
      <c r="AJ59" s="1153"/>
      <c r="AK59" s="1153"/>
      <c r="AL59" s="980" t="s">
        <v>1432</v>
      </c>
      <c r="AM59" s="1153"/>
      <c r="AN59" s="1153"/>
      <c r="AO59" s="1153"/>
      <c r="AP59" s="1153"/>
      <c r="AQ59" s="1153"/>
    </row>
    <row customHeight="1" ht="21.9375" hidden="1">
      <c r="A60" s="1153"/>
      <c r="B60" s="1160"/>
      <c r="C60" s="1153"/>
      <c r="D60" s="1153"/>
      <c r="E60" s="597">
        <v>22.5</v>
      </c>
      <c r="F60" s="50" cm="1" t="str">
        <f t="array" ref="F60:F60">OFFSET(E60,-1,1)</f>
        <v>0</v>
      </c>
      <c r="G60" s="399"/>
      <c r="H60" s="51"/>
      <c r="I60" s="399"/>
      <c r="J60" s="1153"/>
      <c r="K60" s="90"/>
      <c r="L60" s="90"/>
      <c r="M60" s="90"/>
      <c r="N60" s="1153"/>
      <c r="O60" s="1153"/>
      <c r="P60" s="1153"/>
      <c r="Q60" s="1153"/>
      <c r="R60" s="1153"/>
      <c r="S60" s="1310"/>
      <c r="T60" s="439" cm="1" t="str">
        <f t="array" ref="T60:T60">T59</f>
        <v>false</v>
      </c>
      <c r="U60" s="1153"/>
      <c r="V60" s="1153"/>
      <c r="W60" s="1153"/>
      <c r="X60" s="1482"/>
      <c r="Y60" s="1153"/>
      <c r="Z60" s="1465"/>
      <c r="AA60" s="1153"/>
      <c r="AB60" s="267" t="str">
        <f>AB58&amp;".2"</f>
        <v>2.10.2</v>
      </c>
      <c r="AC60" s="743" t="s">
        <v>1433</v>
      </c>
      <c r="AD60" s="747" t="s">
        <v>1429</v>
      </c>
      <c r="AE60" s="747" t="s">
        <v>784</v>
      </c>
      <c r="AF60" s="3044"/>
      <c r="AG60" s="3044"/>
      <c r="AH60" s="1771"/>
      <c r="AI60" s="1153"/>
      <c r="AJ60" s="1153"/>
      <c r="AK60" s="1153"/>
      <c r="AL60" s="980" t="s">
        <v>1434</v>
      </c>
      <c r="AM60" s="1153"/>
      <c r="AN60" s="1153"/>
      <c r="AO60" s="1153"/>
      <c r="AP60" s="1153"/>
      <c r="AQ60" s="1153"/>
    </row>
    <row customHeight="1" ht="14.625" hidden="1">
      <c r="A61" s="1153"/>
      <c r="B61" s="1160"/>
      <c r="C61" s="1153"/>
      <c r="D61" s="1153"/>
      <c r="E61" s="597">
        <v>15</v>
      </c>
      <c r="F61" s="50" cm="1" t="str">
        <f t="array" ref="F61:F61">OFFSET(E61,-1,1)</f>
        <v>0</v>
      </c>
      <c r="G61" s="399"/>
      <c r="H61" s="51"/>
      <c r="I61" s="399"/>
      <c r="J61" s="1153"/>
      <c r="K61" s="90"/>
      <c r="L61" s="90"/>
      <c r="M61" s="90"/>
      <c r="N61" s="1153"/>
      <c r="O61" s="1153"/>
      <c r="P61" s="1153"/>
      <c r="Q61" s="1153"/>
      <c r="R61" s="1153"/>
      <c r="S61" s="1310"/>
      <c r="T61" s="439" cm="1" t="str">
        <f t="array" ref="T61:T61">T60</f>
        <v>false</v>
      </c>
      <c r="U61" s="1153"/>
      <c r="V61" s="1153"/>
      <c r="W61" s="1153"/>
      <c r="X61" s="1482"/>
      <c r="Y61" s="1153"/>
      <c r="Z61" s="1465"/>
      <c r="AA61" s="1153"/>
      <c r="AB61" s="267" t="str">
        <f>IF(B57,"2.13","2.11")</f>
        <v>2.11</v>
      </c>
      <c r="AC61" s="743" t="s">
        <v>1435</v>
      </c>
      <c r="AD61" s="747" t="s">
        <v>1429</v>
      </c>
      <c r="AE61" s="747" t="s">
        <v>784</v>
      </c>
      <c r="AF61" s="3044"/>
      <c r="AG61" s="3044"/>
      <c r="AH61" s="1771"/>
      <c r="AI61" s="1153"/>
      <c r="AJ61" s="1153"/>
      <c r="AK61" s="1153"/>
      <c r="AL61" s="980" t="s">
        <v>1436</v>
      </c>
      <c r="AM61" s="1153"/>
      <c r="AN61" s="1153"/>
      <c r="AO61" s="1153"/>
      <c r="AP61" s="1153"/>
      <c r="AQ61" s="1153"/>
    </row>
    <row customHeight="1" ht="14.625" hidden="1">
      <c r="A62" s="1153"/>
      <c r="B62" s="1160"/>
      <c r="C62" s="1153"/>
      <c r="D62" s="1153"/>
      <c r="E62" s="597">
        <v>15</v>
      </c>
      <c r="F62" s="50" cm="1" t="str">
        <f t="array" ref="F62:F62">OFFSET(E62,-1,1)</f>
        <v>0</v>
      </c>
      <c r="G62" s="399"/>
      <c r="H62" s="51"/>
      <c r="I62" s="399"/>
      <c r="J62" s="1153"/>
      <c r="K62" s="90"/>
      <c r="L62" s="90"/>
      <c r="M62" s="90"/>
      <c r="N62" s="1153"/>
      <c r="O62" s="1153"/>
      <c r="P62" s="1153"/>
      <c r="Q62" s="1153"/>
      <c r="R62" s="1153"/>
      <c r="S62" s="1310"/>
      <c r="T62" s="439" cm="1" t="str">
        <f t="array" ref="T62:T62">T61</f>
        <v>false</v>
      </c>
      <c r="U62" s="1153"/>
      <c r="V62" s="1153"/>
      <c r="W62" s="1153"/>
      <c r="X62" s="1482"/>
      <c r="Y62" s="1153"/>
      <c r="Z62" s="1465"/>
      <c r="AA62" s="1153"/>
      <c r="AB62" s="267" t="str">
        <f>IF(B57,"2.14","2.12")</f>
        <v>2.12</v>
      </c>
      <c r="AC62" s="743" t="s">
        <v>1437</v>
      </c>
      <c r="AD62" s="747" t="s">
        <v>1429</v>
      </c>
      <c r="AE62" s="747" t="s">
        <v>784</v>
      </c>
      <c r="AF62" s="3044"/>
      <c r="AG62" s="3044"/>
      <c r="AH62" s="1771"/>
      <c r="AI62" s="1153"/>
      <c r="AJ62" s="1153"/>
      <c r="AK62" s="1153"/>
      <c r="AL62" s="980" t="s">
        <v>1438</v>
      </c>
      <c r="AM62" s="1153"/>
      <c r="AN62" s="1153"/>
      <c r="AO62" s="1153"/>
      <c r="AP62" s="1153"/>
      <c r="AQ62" s="1153"/>
    </row>
    <row s="678" customFormat="1" customHeight="1" ht="21.9375" hidden="1">
      <c r="A63" s="678"/>
      <c r="B63" s="404"/>
      <c r="C63" s="678"/>
      <c r="D63" s="678"/>
      <c r="E63" s="671">
        <v>22.5</v>
      </c>
      <c r="F63" s="50" cm="1" t="str">
        <f t="array" ref="F63:F63">OFFSET(E63,-1,1)</f>
        <v>0</v>
      </c>
      <c r="G63" s="113"/>
      <c r="H63" s="113"/>
      <c r="I63" s="399" t="s">
        <v>326</v>
      </c>
      <c r="J63" s="678"/>
      <c r="K63" s="471"/>
      <c r="L63" s="471"/>
      <c r="M63" s="471"/>
      <c r="N63" s="678"/>
      <c r="O63" s="678"/>
      <c r="P63" s="678"/>
      <c r="Q63" s="678"/>
      <c r="R63" s="678"/>
      <c r="S63" s="678"/>
      <c r="T63" s="439" cm="1" t="str">
        <f t="array" ref="T63:T63">T62</f>
        <v>false</v>
      </c>
      <c r="U63" s="678"/>
      <c r="V63" s="678"/>
      <c r="W63" s="678"/>
      <c r="X63" s="1482"/>
      <c r="Y63" s="678"/>
      <c r="Z63" s="1465"/>
      <c r="AA63" s="678"/>
      <c r="AB63" s="178" t="s">
        <v>1439</v>
      </c>
      <c r="AC63" s="179" t="s">
        <v>1440</v>
      </c>
      <c r="AD63" s="178" t="s">
        <v>1302</v>
      </c>
      <c r="AE63" s="201" t="s">
        <v>784</v>
      </c>
      <c r="AF63" s="826" cm="1" t="str">
        <f t="array" ref="AF63:AF63">AF64</f>
        <v>0</v>
      </c>
      <c r="AG63" s="826" cm="1" t="str">
        <f t="array" ref="AG63:AG63">AG64</f>
        <v>0</v>
      </c>
      <c r="AH63" s="3341"/>
      <c r="AI63" s="678"/>
      <c r="AJ63" s="678"/>
      <c r="AK63" s="678"/>
      <c r="AL63" s="1035" t="s">
        <v>1441</v>
      </c>
      <c r="AM63" s="678"/>
      <c r="AN63" s="678"/>
      <c r="AO63" s="678"/>
      <c r="AP63" s="678"/>
      <c r="AQ63" s="678"/>
    </row>
    <row customHeight="1" ht="32.90625" hidden="1">
      <c r="A64" s="1153"/>
      <c r="B64" s="1160"/>
      <c r="C64" s="1153"/>
      <c r="D64" s="1153"/>
      <c r="E64" s="597">
        <v>33.75</v>
      </c>
      <c r="F64" s="50" cm="1" t="str">
        <f t="array" ref="F64:F64">OFFSET(E64,-1,1)</f>
        <v>0</v>
      </c>
      <c r="G64" s="399"/>
      <c r="H64" s="51"/>
      <c r="I64" s="399" t="s">
        <v>459</v>
      </c>
      <c r="J64" s="1153"/>
      <c r="K64" s="90"/>
      <c r="L64" s="90"/>
      <c r="M64" s="90"/>
      <c r="N64" s="1153"/>
      <c r="O64" s="1153"/>
      <c r="P64" s="1153"/>
      <c r="Q64" s="1153"/>
      <c r="R64" s="1153"/>
      <c r="S64" s="1310"/>
      <c r="T64" s="439" cm="1" t="str">
        <f t="array" ref="T64:T64">T63</f>
        <v>false</v>
      </c>
      <c r="U64" s="1153"/>
      <c r="V64" s="1153"/>
      <c r="W64" s="1153"/>
      <c r="X64" s="1482"/>
      <c r="Y64" s="1153"/>
      <c r="Z64" s="1465"/>
      <c r="AA64" s="1153"/>
      <c r="AB64" s="266" t="s">
        <v>272</v>
      </c>
      <c r="AC64" s="425" t="s">
        <v>1442</v>
      </c>
      <c r="AD64" s="267" t="s">
        <v>1443</v>
      </c>
      <c r="AE64" s="747" t="s">
        <v>784</v>
      </c>
      <c r="AF64" s="916">
        <f>AF65+AF66</f>
        <v>0</v>
      </c>
      <c r="AG64" s="916">
        <f>AG65+AG66</f>
        <v>0</v>
      </c>
      <c r="AH64" s="1771"/>
      <c r="AI64" s="1153"/>
      <c r="AJ64" s="1153"/>
      <c r="AK64" s="1153"/>
      <c r="AL64" s="980" t="s">
        <v>1444</v>
      </c>
      <c r="AM64" s="1153"/>
      <c r="AN64" s="1153"/>
      <c r="AO64" s="1153"/>
      <c r="AP64" s="1153"/>
      <c r="AQ64" s="1153"/>
    </row>
    <row customHeight="1" ht="43.875" hidden="1">
      <c r="A65" s="1153"/>
      <c r="B65" s="1160"/>
      <c r="C65" s="1153"/>
      <c r="D65" s="1153"/>
      <c r="E65" s="597">
        <v>45</v>
      </c>
      <c r="F65" s="50" cm="1" t="str">
        <f t="array" ref="F65:F65">OFFSET(E65,-1,1)</f>
        <v>0</v>
      </c>
      <c r="G65" s="399"/>
      <c r="H65" s="51"/>
      <c r="I65" s="399" t="s">
        <v>1445</v>
      </c>
      <c r="J65" s="1153"/>
      <c r="K65" s="90"/>
      <c r="L65" s="90"/>
      <c r="M65" s="90"/>
      <c r="N65" s="1153"/>
      <c r="O65" s="1153"/>
      <c r="P65" s="1153"/>
      <c r="Q65" s="1153"/>
      <c r="R65" s="1153"/>
      <c r="S65" s="1310"/>
      <c r="T65" s="439" cm="1" t="str">
        <f t="array" ref="T65:T65">T64</f>
        <v>false</v>
      </c>
      <c r="U65" s="1153"/>
      <c r="V65" s="1153"/>
      <c r="W65" s="1153"/>
      <c r="X65" s="1482"/>
      <c r="Y65" s="1153"/>
      <c r="Z65" s="1465"/>
      <c r="AA65" s="1153"/>
      <c r="AB65" s="266" t="s">
        <v>845</v>
      </c>
      <c r="AC65" s="743" t="s">
        <v>1446</v>
      </c>
      <c r="AD65" s="267" t="s">
        <v>1447</v>
      </c>
      <c r="AE65" s="747" t="s">
        <v>784</v>
      </c>
      <c r="AF65" s="3044"/>
      <c r="AG65" s="3044"/>
      <c r="AH65" s="1771"/>
      <c r="AI65" s="1153"/>
      <c r="AJ65" s="1153"/>
      <c r="AK65" s="1153"/>
      <c r="AL65" s="980" t="s">
        <v>1448</v>
      </c>
      <c r="AM65" s="1153"/>
      <c r="AN65" s="1153"/>
      <c r="AO65" s="1153"/>
      <c r="AP65" s="1153"/>
      <c r="AQ65" s="1153"/>
    </row>
    <row customHeight="1" ht="32.90625" hidden="1">
      <c r="A66" s="1153"/>
      <c r="B66" s="1160"/>
      <c r="C66" s="1153"/>
      <c r="D66" s="1153"/>
      <c r="E66" s="597">
        <v>33.75</v>
      </c>
      <c r="F66" s="50" cm="1" t="str">
        <f t="array" ref="F66:F66">OFFSET(E66,-1,1)</f>
        <v>0</v>
      </c>
      <c r="G66" s="399"/>
      <c r="H66" s="51"/>
      <c r="I66" s="399" t="s">
        <v>1449</v>
      </c>
      <c r="J66" s="1153"/>
      <c r="K66" s="90"/>
      <c r="L66" s="90"/>
      <c r="M66" s="90"/>
      <c r="N66" s="1153"/>
      <c r="O66" s="1153"/>
      <c r="P66" s="1153"/>
      <c r="Q66" s="1153"/>
      <c r="R66" s="1153"/>
      <c r="S66" s="1310"/>
      <c r="T66" s="439" cm="1" t="str">
        <f t="array" ref="T66:T66">T65</f>
        <v>false</v>
      </c>
      <c r="U66" s="1153"/>
      <c r="V66" s="1153"/>
      <c r="W66" s="1153"/>
      <c r="X66" s="1482"/>
      <c r="Y66" s="1153"/>
      <c r="Z66" s="1465"/>
      <c r="AA66" s="1153"/>
      <c r="AB66" s="266" t="s">
        <v>848</v>
      </c>
      <c r="AC66" s="743" t="s">
        <v>1450</v>
      </c>
      <c r="AD66" s="267" t="s">
        <v>1451</v>
      </c>
      <c r="AE66" s="747" t="s">
        <v>784</v>
      </c>
      <c r="AF66" s="3044"/>
      <c r="AG66" s="3044"/>
      <c r="AH66" s="1771"/>
      <c r="AI66" s="1153"/>
      <c r="AJ66" s="1153"/>
      <c r="AK66" s="1153"/>
      <c r="AL66" s="980" t="s">
        <v>1452</v>
      </c>
      <c r="AM66" s="1153"/>
      <c r="AN66" s="1153"/>
      <c r="AO66" s="1153"/>
      <c r="AP66" s="1153"/>
      <c r="AQ66" s="1153"/>
    </row>
    <row customHeight="1" ht="21.9375" hidden="1">
      <c r="A67" s="1153"/>
      <c r="B67" s="1160"/>
      <c r="C67" s="1153"/>
      <c r="D67" s="1153"/>
      <c r="E67" s="597">
        <v>22.5</v>
      </c>
      <c r="F67" s="50" cm="1" t="str">
        <f t="array" ref="F67:F67">OFFSET(E67,-1,1)</f>
        <v>0</v>
      </c>
      <c r="G67" s="399"/>
      <c r="H67" s="51"/>
      <c r="I67" s="399" t="s">
        <v>327</v>
      </c>
      <c r="J67" s="1153"/>
      <c r="K67" s="90" t="str">
        <f>F67&amp;"1komm"</f>
        <v>01komm</v>
      </c>
      <c r="L67" s="901" cm="1" t="str">
        <f t="array" ref="L67:L67">AH67</f>
        <v>0</v>
      </c>
      <c r="M67" s="90"/>
      <c r="N67" s="1153"/>
      <c r="O67" s="1153"/>
      <c r="P67" s="1153"/>
      <c r="Q67" s="1153"/>
      <c r="R67" s="1153"/>
      <c r="S67" s="1310"/>
      <c r="T67" s="439" cm="1" t="str">
        <f t="array" ref="T67:T67">T66</f>
        <v>false</v>
      </c>
      <c r="U67" s="1153"/>
      <c r="V67" s="1153"/>
      <c r="W67" s="1153"/>
      <c r="X67" s="1482"/>
      <c r="Y67" s="1153"/>
      <c r="Z67" s="1465"/>
      <c r="AA67" s="1153"/>
      <c r="AB67" s="201" t="s">
        <v>1453</v>
      </c>
      <c r="AC67" s="179" t="s">
        <v>1454</v>
      </c>
      <c r="AD67" s="178" t="s">
        <v>1455</v>
      </c>
      <c r="AE67" s="201" t="s">
        <v>784</v>
      </c>
      <c r="AF67" s="3342"/>
      <c r="AG67" s="3342"/>
      <c r="AH67" s="1771"/>
      <c r="AI67" s="1153"/>
      <c r="AJ67" s="1153"/>
      <c r="AK67" s="1153"/>
      <c r="AL67" s="980" t="s">
        <v>1456</v>
      </c>
      <c r="AM67" s="1153"/>
      <c r="AN67" s="1153"/>
      <c r="AO67" s="1153"/>
      <c r="AP67" s="1153"/>
      <c r="AQ67" s="1153"/>
    </row>
    <row customHeight="1" ht="98.71875" hidden="1">
      <c r="A68" s="1153"/>
      <c r="B68" s="1160"/>
      <c r="C68" s="1153"/>
      <c r="D68" s="1153"/>
      <c r="E68" s="597">
        <v>101.25</v>
      </c>
      <c r="F68" s="50" cm="1" t="str">
        <f t="array" ref="F68:F68">OFFSET(E68,-1,1)</f>
        <v>0</v>
      </c>
      <c r="G68" s="399"/>
      <c r="H68" s="51"/>
      <c r="I68" s="399" t="s">
        <v>329</v>
      </c>
      <c r="J68" s="1153"/>
      <c r="K68" s="90" t="str">
        <f>F68&amp;"2komm"</f>
        <v>02komm</v>
      </c>
      <c r="L68" s="901" cm="1" t="str">
        <f t="array" ref="L68:L68">AH68</f>
        <v>0</v>
      </c>
      <c r="M68" s="90"/>
      <c r="N68" s="1153"/>
      <c r="O68" s="1153"/>
      <c r="P68" s="1153"/>
      <c r="Q68" s="1153"/>
      <c r="R68" s="1153"/>
      <c r="S68" s="1310"/>
      <c r="T68" s="439" cm="1" t="str">
        <f t="array" ref="T68:T68">T67</f>
        <v>false</v>
      </c>
      <c r="U68" s="1153"/>
      <c r="V68" s="1153"/>
      <c r="W68" s="1153"/>
      <c r="X68" s="1482"/>
      <c r="Y68" s="1153"/>
      <c r="Z68" s="1465"/>
      <c r="AA68" s="1153"/>
      <c r="AB68" s="201" t="s">
        <v>1457</v>
      </c>
      <c r="AC68" s="179" t="s">
        <v>1458</v>
      </c>
      <c r="AD68" s="178" t="s">
        <v>1459</v>
      </c>
      <c r="AE68" s="201" t="s">
        <v>784</v>
      </c>
      <c r="AF68" s="3342"/>
      <c r="AG68" s="3342"/>
      <c r="AH68" s="1771"/>
      <c r="AI68" s="1153"/>
      <c r="AJ68" s="1153"/>
      <c r="AK68" s="1153"/>
      <c r="AL68" s="980" t="s">
        <v>964</v>
      </c>
      <c r="AM68" s="1153"/>
      <c r="AN68" s="1153"/>
      <c r="AO68" s="1153"/>
      <c r="AP68" s="1153"/>
      <c r="AQ68" s="1153"/>
    </row>
    <row customHeight="1" ht="76.78125" hidden="1">
      <c r="A69" s="1153"/>
      <c r="B69" s="401">
        <f>S27="Водоотведение"</f>
        <v>0</v>
      </c>
      <c r="C69" s="1153"/>
      <c r="D69" s="1153"/>
      <c r="E69" s="597">
        <v>78.75</v>
      </c>
      <c r="F69" s="50" cm="1" t="str">
        <f t="array" ref="F69:F69">OFFSET(E69,-1,1)</f>
        <v>0</v>
      </c>
      <c r="G69" s="90"/>
      <c r="H69" s="49"/>
      <c r="I69" s="88" t="s">
        <v>328</v>
      </c>
      <c r="J69" s="1153"/>
      <c r="K69" s="90" t="str">
        <f>F69&amp;"3komm"</f>
        <v>03komm</v>
      </c>
      <c r="L69" s="901" cm="1" t="str">
        <f t="array" ref="L69:L69">AH69</f>
        <v>0</v>
      </c>
      <c r="M69" s="90"/>
      <c r="N69" s="1153"/>
      <c r="O69" s="1153"/>
      <c r="P69" s="1153"/>
      <c r="Q69" s="1153"/>
      <c r="R69" s="1153"/>
      <c r="S69" s="1310"/>
      <c r="T69" s="439" cm="1" t="str">
        <f t="array" ref="T69:T69">T68</f>
        <v>false</v>
      </c>
      <c r="U69" s="1153"/>
      <c r="V69" s="1153"/>
      <c r="W69" s="1153"/>
      <c r="X69" s="1482"/>
      <c r="Y69" s="1153"/>
      <c r="Z69" s="1465"/>
      <c r="AA69" s="1153"/>
      <c r="AB69" s="201" t="s">
        <v>1460</v>
      </c>
      <c r="AC69" s="179" t="s">
        <v>1461</v>
      </c>
      <c r="AD69" s="178"/>
      <c r="AE69" s="201" t="s">
        <v>784</v>
      </c>
      <c r="AF69" s="3342"/>
      <c r="AG69" s="2730">
        <f>_xlfn.IFERROR(_xlfn.SUMIFS('Плата за негативное возд'!$AL$24:$AL$35,'Плата за негативное возд'!$F$24:$F$35,F69,'Плата за негативное возд'!$AB$24:$AB$35,"1"),0)</f>
        <v>0</v>
      </c>
      <c r="AH69" s="1771"/>
      <c r="AI69" s="1153"/>
      <c r="AJ69" s="1153"/>
      <c r="AK69" s="1153"/>
      <c r="AL69" s="980" t="s">
        <v>1462</v>
      </c>
      <c r="AM69" s="1153"/>
      <c r="AN69" s="1153"/>
      <c r="AO69" s="1153"/>
      <c r="AP69" s="1153"/>
      <c r="AQ69" s="1153"/>
    </row>
    <row customHeight="1" ht="54.84375" hidden="1">
      <c r="A70" s="1153"/>
      <c r="B70" s="401" cm="1" t="str">
        <f t="array" ref="B70:B70">B69</f>
        <v>false</v>
      </c>
      <c r="C70" s="1153"/>
      <c r="D70" s="1153"/>
      <c r="E70" s="597">
        <v>56.25</v>
      </c>
      <c r="F70" s="50" cm="1" t="str">
        <f t="array" ref="F70:F70">OFFSET(E70,-1,1)</f>
        <v>0</v>
      </c>
      <c r="G70" s="90"/>
      <c r="H70" s="49"/>
      <c r="I70" s="88" t="s">
        <v>491</v>
      </c>
      <c r="J70" s="1153"/>
      <c r="K70" s="90" t="str">
        <f>F70&amp;"4komm"</f>
        <v>04komm</v>
      </c>
      <c r="L70" s="901" cm="1" t="str">
        <f t="array" ref="L70:L70">AH70</f>
        <v>0</v>
      </c>
      <c r="M70" s="90"/>
      <c r="N70" s="1153"/>
      <c r="O70" s="1153"/>
      <c r="P70" s="1153"/>
      <c r="Q70" s="1153"/>
      <c r="R70" s="1153"/>
      <c r="S70" s="1310"/>
      <c r="T70" s="439" cm="1" t="str">
        <f t="array" ref="T70:T70">T69</f>
        <v>false</v>
      </c>
      <c r="U70" s="1153"/>
      <c r="V70" s="1153"/>
      <c r="W70" s="1153"/>
      <c r="X70" s="1482"/>
      <c r="Y70" s="1153"/>
      <c r="Z70" s="1465"/>
      <c r="AA70" s="1153"/>
      <c r="AB70" s="201" t="s">
        <v>1463</v>
      </c>
      <c r="AC70" s="179" t="s">
        <v>1464</v>
      </c>
      <c r="AD70" s="178"/>
      <c r="AE70" s="201" t="s">
        <v>784</v>
      </c>
      <c r="AF70" s="3342"/>
      <c r="AG70" s="2730">
        <f>_xlfn.IFERROR(_xlfn.SUMIFS('Плата за негативное возд'!$AL$24:$AL$35,'Плата за негативное возд'!$F$24:$F$35,F70,'Плата за негативное возд'!$AB$24:$AB$35,"2"),0)</f>
        <v>0</v>
      </c>
      <c r="AH70" s="1771"/>
      <c r="AI70" s="1153"/>
      <c r="AJ70" s="1153"/>
      <c r="AK70" s="1153"/>
      <c r="AL70" s="980" t="s">
        <v>1465</v>
      </c>
      <c r="AM70" s="1153"/>
      <c r="AN70" s="1153"/>
      <c r="AO70" s="1153"/>
      <c r="AP70" s="1153"/>
      <c r="AQ70" s="1153"/>
    </row>
    <row customHeight="1" ht="14.625" hidden="1">
      <c r="A71" s="1153"/>
      <c r="B71" s="1160"/>
      <c r="C71" s="1153"/>
      <c r="D71" s="1153"/>
      <c r="E71" s="597">
        <v>15</v>
      </c>
      <c r="F71" s="50" cm="1" t="str">
        <f t="array" ref="F71:F71">OFFSET(E71,-1,1)</f>
        <v>0</v>
      </c>
      <c r="G71" s="90"/>
      <c r="H71" s="51"/>
      <c r="I71" s="88" t="s">
        <v>495</v>
      </c>
      <c r="J71" s="1153"/>
      <c r="K71" s="90" t="str">
        <f>F71&amp;"5komm"</f>
        <v>05komm</v>
      </c>
      <c r="L71" s="901" cm="1" t="str">
        <f t="array" ref="L71:L71">AH71</f>
        <v>0</v>
      </c>
      <c r="M71" s="90"/>
      <c r="N71" s="1153"/>
      <c r="O71" s="1153"/>
      <c r="P71" s="1153"/>
      <c r="Q71" s="1153"/>
      <c r="R71" s="1153"/>
      <c r="S71" s="1310"/>
      <c r="T71" s="439" cm="1" t="str">
        <f t="array" ref="T71:T71">T70</f>
        <v>false</v>
      </c>
      <c r="U71" s="1153"/>
      <c r="V71" s="1153"/>
      <c r="W71" s="1153"/>
      <c r="X71" s="1482"/>
      <c r="Y71" s="1153"/>
      <c r="Z71" s="1465"/>
      <c r="AA71" s="1153"/>
      <c r="AB71" s="201" t="str">
        <f>IF(B70,"VII","V")</f>
        <v>V</v>
      </c>
      <c r="AC71" s="179" t="s">
        <v>1466</v>
      </c>
      <c r="AD71" s="178"/>
      <c r="AE71" s="201" t="s">
        <v>784</v>
      </c>
      <c r="AF71" s="3342"/>
      <c r="AG71" s="3342"/>
      <c r="AH71" s="1771"/>
      <c r="AI71" s="1153"/>
      <c r="AJ71" s="1153"/>
      <c r="AK71" s="1153"/>
      <c r="AL71" s="980" t="s">
        <v>1467</v>
      </c>
      <c r="AM71" s="1153"/>
      <c r="AN71" s="1153"/>
      <c r="AO71" s="1153"/>
      <c r="AP71" s="1153"/>
      <c r="AQ71" s="1153"/>
    </row>
    <row s="678" customFormat="1" customHeight="1" ht="14.625" hidden="1">
      <c r="A72" s="678"/>
      <c r="B72" s="404"/>
      <c r="C72" s="678"/>
      <c r="D72" s="678"/>
      <c r="E72" s="671">
        <v>15</v>
      </c>
      <c r="F72" s="50" cm="1" t="str">
        <f t="array" ref="F72:F72">OFFSET(E72,-1,1)</f>
        <v>0</v>
      </c>
      <c r="G72" s="471"/>
      <c r="H72" s="678"/>
      <c r="I72" s="208" t="s">
        <v>541</v>
      </c>
      <c r="J72" s="678"/>
      <c r="K72" s="90" t="str">
        <f>F72&amp;"6komm"</f>
        <v>06komm</v>
      </c>
      <c r="L72" s="901" cm="1" t="str">
        <f t="array" ref="L72:L72">AH72</f>
        <v>0</v>
      </c>
      <c r="M72" s="471"/>
      <c r="N72" s="678"/>
      <c r="O72" s="678"/>
      <c r="P72" s="678"/>
      <c r="Q72" s="678"/>
      <c r="R72" s="678"/>
      <c r="S72" s="678"/>
      <c r="T72" s="439" cm="1" t="str">
        <f t="array" ref="T72:T72">T71</f>
        <v>false</v>
      </c>
      <c r="U72" s="678"/>
      <c r="V72" s="678"/>
      <c r="W72" s="678"/>
      <c r="X72" s="1482"/>
      <c r="Y72" s="678"/>
      <c r="Z72" s="1465"/>
      <c r="AA72" s="678"/>
      <c r="AB72" s="201" t="str">
        <f>IF(B70,"VIII","VI")</f>
        <v>VI</v>
      </c>
      <c r="AC72" s="179" t="s">
        <v>1428</v>
      </c>
      <c r="AD72" s="178"/>
      <c r="AE72" s="201" t="s">
        <v>784</v>
      </c>
      <c r="AF72" s="3342">
        <f>AF73+AF74</f>
        <v>0</v>
      </c>
      <c r="AG72" s="3342">
        <f>AG73+AG74</f>
        <v>0</v>
      </c>
      <c r="AH72" s="1771"/>
      <c r="AI72" s="678"/>
      <c r="AJ72" s="678"/>
      <c r="AK72" s="678"/>
      <c r="AL72" s="1035" t="s">
        <v>1468</v>
      </c>
      <c r="AM72" s="678"/>
      <c r="AN72" s="678"/>
      <c r="AO72" s="678"/>
      <c r="AP72" s="678"/>
      <c r="AQ72" s="678"/>
    </row>
    <row customHeight="1" ht="21.9375" hidden="1">
      <c r="A73" s="1153"/>
      <c r="B73" s="1160"/>
      <c r="C73" s="1153"/>
      <c r="D73" s="1153"/>
      <c r="E73" s="597">
        <v>22.5</v>
      </c>
      <c r="F73" s="50" cm="1" t="str">
        <f t="array" ref="F73:F73">OFFSET(E73,-1,1)</f>
        <v>0</v>
      </c>
      <c r="G73" s="90"/>
      <c r="H73" s="51"/>
      <c r="I73" s="88" t="s">
        <v>544</v>
      </c>
      <c r="J73" s="1153"/>
      <c r="K73" s="90" t="str">
        <f>F73&amp;"7komm"</f>
        <v>07komm</v>
      </c>
      <c r="L73" s="901" cm="1" t="str">
        <f t="array" ref="L73:L73">AH73</f>
        <v>0</v>
      </c>
      <c r="M73" s="90"/>
      <c r="N73" s="1153"/>
      <c r="O73" s="1153"/>
      <c r="P73" s="1153"/>
      <c r="Q73" s="1153"/>
      <c r="R73" s="1153"/>
      <c r="S73" s="1310"/>
      <c r="T73" s="439" cm="1" t="str">
        <f t="array" ref="T73:T73">T72</f>
        <v>false</v>
      </c>
      <c r="U73" s="1153"/>
      <c r="V73" s="1153"/>
      <c r="W73" s="1153"/>
      <c r="X73" s="1482"/>
      <c r="Y73" s="1153"/>
      <c r="Z73" s="1465"/>
      <c r="AA73" s="1153"/>
      <c r="AB73" s="747">
        <v>1</v>
      </c>
      <c r="AC73" s="743" t="s">
        <v>1431</v>
      </c>
      <c r="AD73" s="267"/>
      <c r="AE73" s="747" t="s">
        <v>784</v>
      </c>
      <c r="AF73" s="3044"/>
      <c r="AG73" s="3044"/>
      <c r="AH73" s="1771"/>
      <c r="AI73" s="1153"/>
      <c r="AJ73" s="1153"/>
      <c r="AK73" s="1153"/>
      <c r="AL73" s="980" t="s">
        <v>1469</v>
      </c>
      <c r="AM73" s="1153"/>
      <c r="AN73" s="1153"/>
      <c r="AO73" s="1153"/>
      <c r="AP73" s="1153"/>
      <c r="AQ73" s="1153"/>
    </row>
    <row customHeight="1" ht="21.9375" hidden="1">
      <c r="A74" s="1153"/>
      <c r="B74" s="1160"/>
      <c r="C74" s="1153"/>
      <c r="D74" s="1153"/>
      <c r="E74" s="597">
        <v>22.5</v>
      </c>
      <c r="F74" s="50" cm="1" t="str">
        <f t="array" ref="F74:F74">OFFSET(E74,-1,1)</f>
        <v>0</v>
      </c>
      <c r="G74" s="90"/>
      <c r="H74" s="51"/>
      <c r="I74" s="88" t="s">
        <v>548</v>
      </c>
      <c r="J74" s="1153"/>
      <c r="K74" s="90" t="str">
        <f>F74&amp;"8komm"</f>
        <v>08komm</v>
      </c>
      <c r="L74" s="901" cm="1" t="str">
        <f t="array" ref="L74:L74">AH74</f>
        <v>0</v>
      </c>
      <c r="M74" s="90"/>
      <c r="N74" s="1153"/>
      <c r="O74" s="1153"/>
      <c r="P74" s="1153"/>
      <c r="Q74" s="1153"/>
      <c r="R74" s="1153"/>
      <c r="S74" s="1310"/>
      <c r="T74" s="439" cm="1" t="str">
        <f t="array" ref="T74:T74">T73</f>
        <v>false</v>
      </c>
      <c r="U74" s="1153"/>
      <c r="V74" s="1153"/>
      <c r="W74" s="1153"/>
      <c r="X74" s="1482"/>
      <c r="Y74" s="1153"/>
      <c r="Z74" s="1465"/>
      <c r="AA74" s="1153"/>
      <c r="AB74" s="747">
        <v>2</v>
      </c>
      <c r="AC74" s="743" t="s">
        <v>1433</v>
      </c>
      <c r="AD74" s="267"/>
      <c r="AE74" s="747" t="s">
        <v>784</v>
      </c>
      <c r="AF74" s="3044"/>
      <c r="AG74" s="3044"/>
      <c r="AH74" s="1771"/>
      <c r="AI74" s="1153"/>
      <c r="AJ74" s="1153"/>
      <c r="AK74" s="1153"/>
      <c r="AL74" s="980" t="s">
        <v>1470</v>
      </c>
      <c r="AM74" s="1153"/>
      <c r="AN74" s="1153"/>
      <c r="AO74" s="1153"/>
      <c r="AP74" s="1153"/>
      <c r="AQ74" s="1153"/>
    </row>
    <row customHeight="1" ht="14.625" hidden="1">
      <c r="A75" s="1153"/>
      <c r="B75" s="1160"/>
      <c r="C75" s="1153"/>
      <c r="D75" s="1153"/>
      <c r="E75" s="597">
        <v>15</v>
      </c>
      <c r="F75" s="50" cm="1" t="str">
        <f t="array" ref="F75:F75">OFFSET(E75,-1,1)</f>
        <v>0</v>
      </c>
      <c r="G75" s="90"/>
      <c r="H75" s="51"/>
      <c r="I75" s="88" t="s">
        <v>556</v>
      </c>
      <c r="J75" s="1153"/>
      <c r="K75" s="90" t="str">
        <f>F75&amp;"9komm"</f>
        <v>09komm</v>
      </c>
      <c r="L75" s="901" cm="1" t="str">
        <f t="array" ref="L75:L75">AH75</f>
        <v>0</v>
      </c>
      <c r="M75" s="90"/>
      <c r="N75" s="1153"/>
      <c r="O75" s="1153"/>
      <c r="P75" s="1153"/>
      <c r="Q75" s="1153"/>
      <c r="R75" s="1153"/>
      <c r="S75" s="1310"/>
      <c r="T75" s="439" cm="1" t="str">
        <f t="array" ref="T75:T75">T74</f>
        <v>false</v>
      </c>
      <c r="U75" s="1153"/>
      <c r="V75" s="1153"/>
      <c r="W75" s="1153"/>
      <c r="X75" s="1482"/>
      <c r="Y75" s="1153"/>
      <c r="Z75" s="1465"/>
      <c r="AA75" s="1153"/>
      <c r="AB75" s="201" t="str">
        <f>IF(B70,"IX","VIII")</f>
        <v>VIII</v>
      </c>
      <c r="AC75" s="179" t="s">
        <v>1435</v>
      </c>
      <c r="AD75" s="178"/>
      <c r="AE75" s="201" t="s">
        <v>784</v>
      </c>
      <c r="AF75" s="3342"/>
      <c r="AG75" s="3342"/>
      <c r="AH75" s="1771"/>
      <c r="AI75" s="1153"/>
      <c r="AJ75" s="1153"/>
      <c r="AK75" s="1153"/>
      <c r="AL75" s="980" t="s">
        <v>1471</v>
      </c>
      <c r="AM75" s="1153"/>
      <c r="AN75" s="1153"/>
      <c r="AO75" s="1153"/>
      <c r="AP75" s="1153"/>
      <c r="AQ75" s="1153"/>
    </row>
    <row customHeight="1" ht="14.625" hidden="1">
      <c r="A76" s="1153"/>
      <c r="B76" s="1160"/>
      <c r="C76" s="1153"/>
      <c r="D76" s="1153"/>
      <c r="E76" s="597">
        <v>15</v>
      </c>
      <c r="F76" s="50" cm="1" t="str">
        <f t="array" ref="F76:F76">OFFSET(E76,-1,1)</f>
        <v>0</v>
      </c>
      <c r="G76" s="90"/>
      <c r="H76" s="51"/>
      <c r="I76" s="88" t="s">
        <v>564</v>
      </c>
      <c r="J76" s="1153"/>
      <c r="K76" s="90" t="str">
        <f>F76&amp;"10komm"</f>
        <v>010komm</v>
      </c>
      <c r="L76" s="901" cm="1" t="str">
        <f t="array" ref="L76:L76">AH76</f>
        <v>0</v>
      </c>
      <c r="M76" s="90"/>
      <c r="N76" s="1153"/>
      <c r="O76" s="1153"/>
      <c r="P76" s="1153"/>
      <c r="Q76" s="1153"/>
      <c r="R76" s="1153"/>
      <c r="S76" s="1310"/>
      <c r="T76" s="439" cm="1" t="str">
        <f t="array" ref="T76:T76">T75</f>
        <v>false</v>
      </c>
      <c r="U76" s="1153"/>
      <c r="V76" s="1153"/>
      <c r="W76" s="1153"/>
      <c r="X76" s="1482"/>
      <c r="Y76" s="1153"/>
      <c r="Z76" s="1465"/>
      <c r="AA76" s="1153"/>
      <c r="AB76" s="201" t="str">
        <f>IF(B70,"X","IX")</f>
        <v>IX</v>
      </c>
      <c r="AC76" s="179" t="s">
        <v>1437</v>
      </c>
      <c r="AD76" s="178"/>
      <c r="AE76" s="201" t="s">
        <v>784</v>
      </c>
      <c r="AF76" s="3342"/>
      <c r="AG76" s="3342"/>
      <c r="AH76" s="1771"/>
      <c r="AI76" s="1153"/>
      <c r="AJ76" s="1153"/>
      <c r="AK76" s="1153"/>
      <c r="AL76" s="980" t="s">
        <v>1472</v>
      </c>
      <c r="AM76" s="1153"/>
      <c r="AN76" s="1153"/>
      <c r="AO76" s="1153"/>
      <c r="AP76" s="1153"/>
      <c r="AQ76" s="1153"/>
    </row>
    <row s="678" customFormat="1" customHeight="1" ht="14.625" hidden="1">
      <c r="A77" s="678"/>
      <c r="B77" s="404"/>
      <c r="C77" s="678"/>
      <c r="D77" s="678"/>
      <c r="E77" s="671">
        <v>15</v>
      </c>
      <c r="F77" s="50" cm="1" t="str">
        <f t="array" ref="F77:F77">OFFSET(E77,-1,1)</f>
        <v>0</v>
      </c>
      <c r="G77" s="471"/>
      <c r="H77" s="678"/>
      <c r="I77" s="208" t="s">
        <v>722</v>
      </c>
      <c r="J77" s="678"/>
      <c r="K77" s="90" t="str">
        <f>F77&amp;"11komm"</f>
        <v>011komm</v>
      </c>
      <c r="L77" s="901" cm="1" t="str">
        <f t="array" ref="L77:L77">AH77</f>
        <v>0</v>
      </c>
      <c r="M77" s="471"/>
      <c r="N77" s="678"/>
      <c r="O77" s="678"/>
      <c r="P77" s="678"/>
      <c r="Q77" s="678"/>
      <c r="R77" s="678"/>
      <c r="S77" s="678"/>
      <c r="T77" s="439" cm="1" t="str">
        <f t="array" ref="T77:T77">T76</f>
        <v>false</v>
      </c>
      <c r="U77" s="678"/>
      <c r="V77" s="678"/>
      <c r="W77" s="678"/>
      <c r="X77" s="1482"/>
      <c r="Y77" s="678"/>
      <c r="Z77" s="1465"/>
      <c r="AA77" s="678"/>
      <c r="AB77" s="201" t="str">
        <f>IF(B70,"XI","X")</f>
        <v>X</v>
      </c>
      <c r="AC77" s="186" t="s">
        <v>1473</v>
      </c>
      <c r="AD77" s="178"/>
      <c r="AE77" s="201" t="s">
        <v>784</v>
      </c>
      <c r="AF77" s="919">
        <f>AF28+AF63+AF67+AF68+AF69+AF70+AF71+AF72+AF75+AF76</f>
        <v>0</v>
      </c>
      <c r="AG77" s="919">
        <f>AG28+AG63+AG67+AG68+AG69+AG70+AG71+AG72+AG75+AG76</f>
        <v>0</v>
      </c>
      <c r="AH77" s="1771"/>
      <c r="AI77" s="678"/>
      <c r="AJ77" s="678"/>
      <c r="AK77" s="678"/>
      <c r="AL77" s="1035" t="s">
        <v>1474</v>
      </c>
      <c r="AM77" s="678"/>
      <c r="AN77" s="678"/>
      <c r="AO77" s="678"/>
      <c r="AP77" s="678"/>
      <c r="AQ77" s="678"/>
    </row>
    <row s="1621" customFormat="1" customHeight="1" ht="14.25">
      <c r="A78" s="1153"/>
      <c r="B78" s="1160"/>
      <c r="C78" s="1153"/>
      <c r="D78" s="1153"/>
      <c r="E78" s="597">
        <v>15</v>
      </c>
      <c r="F78" s="64" cm="1" t="str">
        <f t="array" ref="F78:F78">X78</f>
        <v>1</v>
      </c>
      <c r="G78" s="467"/>
      <c r="H78" s="51"/>
      <c r="I78" s="1153"/>
      <c r="J78" s="1153"/>
      <c r="K78" s="1153"/>
      <c r="L78" s="1153"/>
      <c r="M78" s="1153"/>
      <c r="N78" s="1153"/>
      <c r="O78" s="1153"/>
      <c r="P78" s="1153"/>
      <c r="Q78" s="1153"/>
      <c r="R78" s="1153"/>
      <c r="S78" s="1183" cm="1" t="str">
        <f t="array" ref="S78:S78">INDEX('Общие сведения'!$AE$179:$AE$222,MATCH($X78,'Общие сведения'!$Z$179:$Z$222,0))</f>
        <v>Водоснабжение</v>
      </c>
      <c r="T78" s="439">
        <f>X78&gt;0</f>
        <v>1</v>
      </c>
      <c r="U78" s="1153"/>
      <c r="V78" s="88" cm="1" t="str">
        <f t="array" ref="V78:V78">'Плата за негативное возд'!$AB$29</f>
        <v>Тариф 1 (Водоснабжение) - тариф на техническую воду (Оказание услуг на территории: Прокопьевский муниципальный округ (ОКТМО: 32522000) - п Калачево)</v>
      </c>
      <c r="W78" s="1153"/>
      <c r="X78" s="1482" t="s">
        <v>272</v>
      </c>
      <c r="Y78" s="1153"/>
      <c r="Z78" s="1465"/>
      <c r="AA78" s="1153"/>
      <c r="AB78" s="348" cm="1" t="str">
        <f t="array" ref="AB78:AB78">'Плата за негативное возд'!$AB$29</f>
        <v>Тариф 1 (Водоснабжение) - тариф на техническую воду (Оказание услуг на территории: Прокопьевский муниципальный округ (ОКТМО: 32522000) - п Калачево)</v>
      </c>
      <c r="AC78" s="348"/>
      <c r="AD78" s="348"/>
      <c r="AE78" s="348"/>
      <c r="AF78" s="348"/>
      <c r="AG78" s="348"/>
      <c r="AH78" s="348"/>
      <c r="AI78" s="1153"/>
      <c r="AJ78" s="1153"/>
      <c r="AK78" s="1153"/>
      <c r="AL78" s="1253"/>
      <c r="AM78" s="1153"/>
      <c r="AN78" s="1153"/>
      <c r="AO78" s="1153"/>
      <c r="AP78" s="1153"/>
      <c r="AQ78" s="1153"/>
    </row>
    <row s="3350" customFormat="1" customHeight="1" ht="43.5">
      <c r="A79" s="678"/>
      <c r="B79" s="404"/>
      <c r="C79" s="678"/>
      <c r="D79" s="678"/>
      <c r="E79" s="671">
        <v>45</v>
      </c>
      <c r="F79" s="50" cm="1" t="str">
        <f t="array" ref="F79:F79">OFFSET(E79,-1,1)</f>
        <v>1</v>
      </c>
      <c r="G79" s="471"/>
      <c r="H79" s="678"/>
      <c r="I79" s="88" t="s">
        <v>325</v>
      </c>
      <c r="J79" s="678"/>
      <c r="K79" s="90"/>
      <c r="L79" s="906"/>
      <c r="M79" s="471"/>
      <c r="N79" s="678"/>
      <c r="O79" s="678"/>
      <c r="P79" s="678"/>
      <c r="Q79" s="678"/>
      <c r="R79" s="678"/>
      <c r="S79" s="678"/>
      <c r="T79" s="439" cm="1" t="str">
        <f t="array" ref="T79:T79">T78</f>
        <v>true</v>
      </c>
      <c r="U79" s="678"/>
      <c r="V79" s="678"/>
      <c r="W79" s="678"/>
      <c r="X79" s="1482"/>
      <c r="Y79" s="678"/>
      <c r="Z79" s="1465"/>
      <c r="AA79" s="678"/>
      <c r="AB79" s="823" t="s">
        <v>1300</v>
      </c>
      <c r="AC79" s="824" t="s">
        <v>1301</v>
      </c>
      <c r="AD79" s="823" t="s">
        <v>1302</v>
      </c>
      <c r="AE79" s="825" t="s">
        <v>784</v>
      </c>
      <c r="AF79" s="826">
        <f>AF81-AF80</f>
        <v>487.1680486313</v>
      </c>
      <c r="AG79" s="826">
        <f>AG81-AG80</f>
        <v>25.112302652</v>
      </c>
      <c r="AH79" s="827"/>
      <c r="AI79" s="678"/>
      <c r="AJ79" s="678"/>
      <c r="AK79" s="678"/>
      <c r="AL79" s="1035" t="s">
        <v>1303</v>
      </c>
      <c r="AM79" s="678"/>
      <c r="AN79" s="678"/>
      <c r="AO79" s="678"/>
      <c r="AP79" s="678"/>
      <c r="AQ79" s="678"/>
    </row>
    <row s="3352" customFormat="1" customHeight="1" ht="15.75">
      <c r="A80" s="678"/>
      <c r="B80" s="404"/>
      <c r="C80" s="678"/>
      <c r="D80" s="678"/>
      <c r="E80" s="671">
        <v>15</v>
      </c>
      <c r="F80" s="50" cm="1" t="str">
        <f t="array" ref="F80:F80">OFFSET(E80,-1,1)</f>
        <v>1</v>
      </c>
      <c r="G80" s="471"/>
      <c r="H80" s="678"/>
      <c r="I80" s="88" t="s">
        <v>441</v>
      </c>
      <c r="J80" s="678"/>
      <c r="K80" s="471"/>
      <c r="L80" s="471"/>
      <c r="M80" s="471"/>
      <c r="N80" s="678"/>
      <c r="O80" s="678"/>
      <c r="P80" s="678"/>
      <c r="Q80" s="678"/>
      <c r="R80" s="678"/>
      <c r="S80" s="678"/>
      <c r="T80" s="439" cm="1" t="str">
        <f t="array" ref="T80:T80">T79</f>
        <v>true</v>
      </c>
      <c r="U80" s="678"/>
      <c r="V80" s="678"/>
      <c r="W80" s="678"/>
      <c r="X80" s="1482"/>
      <c r="Y80" s="678"/>
      <c r="Z80" s="1465"/>
      <c r="AA80" s="678"/>
      <c r="AB80" s="185" t="s">
        <v>272</v>
      </c>
      <c r="AC80" s="186" t="s">
        <v>1304</v>
      </c>
      <c r="AD80" s="178" t="s">
        <v>1305</v>
      </c>
      <c r="AE80" s="201" t="s">
        <v>784</v>
      </c>
      <c r="AF80" s="349"/>
      <c r="AG80" s="349">
        <v>182.05545</v>
      </c>
      <c r="AH80" s="827"/>
      <c r="AI80" s="678"/>
      <c r="AJ80" s="678"/>
      <c r="AK80" s="678"/>
      <c r="AL80" s="1035" t="s">
        <v>1306</v>
      </c>
      <c r="AM80" s="678"/>
      <c r="AN80" s="678"/>
      <c r="AO80" s="678"/>
      <c r="AP80" s="678"/>
      <c r="AQ80" s="678"/>
    </row>
    <row s="3354" customFormat="1" customHeight="1" ht="14.25">
      <c r="A81" s="678"/>
      <c r="B81" s="404"/>
      <c r="C81" s="678"/>
      <c r="D81" s="678"/>
      <c r="E81" s="671">
        <v>15</v>
      </c>
      <c r="F81" s="50" cm="1" t="str">
        <f t="array" ref="F81:F81">OFFSET(E81,-1,1)</f>
        <v>1</v>
      </c>
      <c r="G81" s="113"/>
      <c r="H81" s="113"/>
      <c r="I81" s="399" t="s">
        <v>445</v>
      </c>
      <c r="J81" s="678"/>
      <c r="K81" s="471"/>
      <c r="L81" s="471"/>
      <c r="M81" s="471"/>
      <c r="N81" s="678"/>
      <c r="O81" s="678"/>
      <c r="P81" s="678"/>
      <c r="Q81" s="678"/>
      <c r="R81" s="678"/>
      <c r="S81" s="678"/>
      <c r="T81" s="439" cm="1" t="str">
        <f t="array" ref="T81:T81">T80</f>
        <v>true</v>
      </c>
      <c r="U81" s="678"/>
      <c r="V81" s="678"/>
      <c r="W81" s="678"/>
      <c r="X81" s="1482"/>
      <c r="Y81" s="678"/>
      <c r="Z81" s="1465"/>
      <c r="AA81" s="678"/>
      <c r="AB81" s="185" t="s">
        <v>283</v>
      </c>
      <c r="AC81" s="179" t="s">
        <v>1307</v>
      </c>
      <c r="AD81" s="178" t="s">
        <v>1308</v>
      </c>
      <c r="AE81" s="201" t="s">
        <v>784</v>
      </c>
      <c r="AF81" s="826">
        <f>AF82+AF83+AF95+AF99+AF100+AF101+AF102+AF106+AF107+AF108+AF109+AF112+AF113</f>
        <v>487.1680486313</v>
      </c>
      <c r="AG81" s="826">
        <f>AG82+AG83+AG95+AG99+AG100+AG101+AG102+AG106+AG107+AG108+AG109+AG112+AG113</f>
        <v>207.167752652</v>
      </c>
      <c r="AH81" s="827"/>
      <c r="AI81" s="678"/>
      <c r="AJ81" s="678"/>
      <c r="AK81" s="678"/>
      <c r="AL81" s="1035" t="s">
        <v>1309</v>
      </c>
      <c r="AM81" s="678"/>
      <c r="AN81" s="678"/>
      <c r="AO81" s="678"/>
      <c r="AP81" s="678"/>
      <c r="AQ81" s="678"/>
    </row>
    <row s="1621" customFormat="1" customHeight="1" ht="44.25">
      <c r="A82" s="1153"/>
      <c r="B82" s="1160"/>
      <c r="C82" s="1153"/>
      <c r="D82" s="1153"/>
      <c r="E82" s="597">
        <v>22.5</v>
      </c>
      <c r="F82" s="50" cm="1" t="str">
        <f t="array" ref="F82:F82">OFFSET(E82,-1,1)</f>
        <v>1</v>
      </c>
      <c r="G82" s="399" t="s">
        <v>1310</v>
      </c>
      <c r="H82" s="51"/>
      <c r="I82" s="399" t="s">
        <v>1219</v>
      </c>
      <c r="J82" s="1153"/>
      <c r="K82" s="90"/>
      <c r="L82" s="90"/>
      <c r="M82" s="90"/>
      <c r="N82" s="1153"/>
      <c r="O82" s="1153"/>
      <c r="P82" s="1153"/>
      <c r="Q82" s="1153"/>
      <c r="R82" s="1153"/>
      <c r="S82" s="1310"/>
      <c r="T82" s="439" cm="1" t="str">
        <f t="array" ref="T82:T82">T81</f>
        <v>true</v>
      </c>
      <c r="U82" s="1153"/>
      <c r="V82" s="1153"/>
      <c r="W82" s="1153"/>
      <c r="X82" s="1482"/>
      <c r="Y82" s="1153"/>
      <c r="Z82" s="1465"/>
      <c r="AA82" s="1153"/>
      <c r="AB82" s="266" t="s">
        <v>515</v>
      </c>
      <c r="AC82" s="743" t="s">
        <v>1311</v>
      </c>
      <c r="AD82" s="267" t="s">
        <v>1312</v>
      </c>
      <c r="AE82" s="747" t="s">
        <v>784</v>
      </c>
      <c r="AF82" s="265"/>
      <c r="AG82" s="265">
        <v>166.70282699</v>
      </c>
      <c r="AH82" s="828" t="s">
        <v>1475</v>
      </c>
      <c r="AI82" s="1153"/>
      <c r="AJ82" s="1153"/>
      <c r="AK82" s="1153"/>
      <c r="AL82" s="980" t="s">
        <v>1313</v>
      </c>
      <c r="AM82" s="1153"/>
      <c r="AN82" s="1153"/>
      <c r="AO82" s="1153"/>
      <c r="AP82" s="1153"/>
      <c r="AQ82" s="1153"/>
    </row>
    <row s="1621" customFormat="1" customHeight="1" ht="21.75">
      <c r="A83" s="1153"/>
      <c r="B83" s="1160"/>
      <c r="C83" s="1153"/>
      <c r="D83" s="1153"/>
      <c r="E83" s="597">
        <v>22.5</v>
      </c>
      <c r="F83" s="50" cm="1" t="str">
        <f t="array" ref="F83:F83">OFFSET(E83,-1,1)</f>
        <v>1</v>
      </c>
      <c r="G83" s="399"/>
      <c r="H83" s="51"/>
      <c r="I83" s="399" t="s">
        <v>1222</v>
      </c>
      <c r="J83" s="1153"/>
      <c r="K83" s="90"/>
      <c r="L83" s="90"/>
      <c r="M83" s="90"/>
      <c r="N83" s="1153"/>
      <c r="O83" s="1153"/>
      <c r="P83" s="1153"/>
      <c r="Q83" s="1153"/>
      <c r="R83" s="1153"/>
      <c r="S83" s="1310"/>
      <c r="T83" s="439" cm="1" t="str">
        <f t="array" ref="T83:T83">T82</f>
        <v>true</v>
      </c>
      <c r="U83" s="1153"/>
      <c r="V83" s="1153"/>
      <c r="W83" s="1153"/>
      <c r="X83" s="1482"/>
      <c r="Y83" s="1153"/>
      <c r="Z83" s="1465"/>
      <c r="AA83" s="1153"/>
      <c r="AB83" s="266" t="s">
        <v>519</v>
      </c>
      <c r="AC83" s="743" t="s">
        <v>1314</v>
      </c>
      <c r="AD83" s="267" t="s">
        <v>1315</v>
      </c>
      <c r="AE83" s="747" t="s">
        <v>784</v>
      </c>
      <c r="AF83" s="916">
        <f>SUM(AF84:AF94)</f>
        <v>487.1680486313</v>
      </c>
      <c r="AG83" s="916">
        <f>SUM(AG84:AG94)</f>
        <v>6.148532208</v>
      </c>
      <c r="AH83" s="828"/>
      <c r="AI83" s="1153"/>
      <c r="AJ83" s="1153"/>
      <c r="AK83" s="1153"/>
      <c r="AL83" s="980" t="s">
        <v>1316</v>
      </c>
      <c r="AM83" s="1153"/>
      <c r="AN83" s="1153"/>
      <c r="AO83" s="1153"/>
      <c r="AP83" s="1153"/>
      <c r="AQ83" s="1153"/>
    </row>
    <row s="1621" customFormat="1" customHeight="1" ht="21.75">
      <c r="A84" s="1153"/>
      <c r="B84" s="1160"/>
      <c r="C84" s="1153"/>
      <c r="D84" s="1153"/>
      <c r="E84" s="597">
        <v>22.5</v>
      </c>
      <c r="F84" s="50" cm="1" t="str">
        <f t="array" ref="F84:F84">OFFSET(E84,-1,1)</f>
        <v>1</v>
      </c>
      <c r="G84" s="399"/>
      <c r="H84" s="51"/>
      <c r="I84" s="399" t="s">
        <v>1317</v>
      </c>
      <c r="J84" s="1153"/>
      <c r="K84" s="90"/>
      <c r="L84" s="90"/>
      <c r="M84" s="90"/>
      <c r="N84" s="1153"/>
      <c r="O84" s="1153"/>
      <c r="P84" s="1153"/>
      <c r="Q84" s="1153"/>
      <c r="R84" s="1153"/>
      <c r="S84" s="1310"/>
      <c r="T84" s="439" cm="1" t="str">
        <f t="array" ref="T84:T84">T83</f>
        <v>true</v>
      </c>
      <c r="U84" s="1153"/>
      <c r="V84" s="1153"/>
      <c r="W84" s="1153"/>
      <c r="X84" s="1482"/>
      <c r="Y84" s="1153"/>
      <c r="Z84" s="1465"/>
      <c r="AA84" s="1153"/>
      <c r="AB84" s="765" t="s">
        <v>473</v>
      </c>
      <c r="AC84" s="762" t="s">
        <v>1318</v>
      </c>
      <c r="AD84" s="747"/>
      <c r="AE84" s="747" t="s">
        <v>784</v>
      </c>
      <c r="AF84" s="265">
        <f>_xlfn.SUMIFS(Покупка!$AF$25:$AF$117,Покупка!$F$25:$F$117,$F84,Покупка!$G$25:$G$117,"Итого")</f>
        <v>0</v>
      </c>
      <c r="AG84" s="265">
        <f>_xlfn.SUMIFS(Покупка!$AG$25:$AG$117,Покупка!$F$25:$F$117,$F84,Покупка!$G$25:$G$117,"Итого")</f>
        <v>0</v>
      </c>
      <c r="AH84" s="828"/>
      <c r="AI84" s="1153"/>
      <c r="AJ84" s="1153"/>
      <c r="AK84" s="1153"/>
      <c r="AL84" s="980" t="s">
        <v>1319</v>
      </c>
      <c r="AM84" s="1153"/>
      <c r="AN84" s="1153"/>
      <c r="AO84" s="1153"/>
      <c r="AP84" s="1153"/>
      <c r="AQ84" s="1153"/>
    </row>
    <row s="1621" customFormat="1" customHeight="1" ht="14.25">
      <c r="A85" s="1153"/>
      <c r="B85" s="1160"/>
      <c r="C85" s="1153"/>
      <c r="D85" s="1153"/>
      <c r="E85" s="597">
        <v>15</v>
      </c>
      <c r="F85" s="50" cm="1" t="str">
        <f t="array" ref="F85:F85">OFFSET(E85,-1,1)</f>
        <v>1</v>
      </c>
      <c r="G85" s="399"/>
      <c r="H85" s="51"/>
      <c r="I85" s="399" t="s">
        <v>1320</v>
      </c>
      <c r="J85" s="1153"/>
      <c r="K85" s="90"/>
      <c r="L85" s="90"/>
      <c r="M85" s="90"/>
      <c r="N85" s="1153"/>
      <c r="O85" s="1153"/>
      <c r="P85" s="1153"/>
      <c r="Q85" s="1153"/>
      <c r="R85" s="1153"/>
      <c r="S85" s="1310"/>
      <c r="T85" s="439" cm="1" t="str">
        <f t="array" ref="T85:T85">T84</f>
        <v>true</v>
      </c>
      <c r="U85" s="1153"/>
      <c r="V85" s="1153"/>
      <c r="W85" s="1153"/>
      <c r="X85" s="1482"/>
      <c r="Y85" s="1153"/>
      <c r="Z85" s="1465"/>
      <c r="AA85" s="1153"/>
      <c r="AB85" s="765" t="s">
        <v>1321</v>
      </c>
      <c r="AC85" s="762" t="s">
        <v>1322</v>
      </c>
      <c r="AD85" s="747"/>
      <c r="AE85" s="747" t="s">
        <v>784</v>
      </c>
      <c r="AF85" s="265"/>
      <c r="AG85" s="265">
        <f>_xlfn.SUMIFS('Сырье и материалы'!AG$25:AG$40,'Сырье и материалы'!$F$25:$F$40,$F85,'Сырье и материалы'!$AC$25:$AC$40,"Всего по тарифу")</f>
        <v>0</v>
      </c>
      <c r="AH85" s="828"/>
      <c r="AI85" s="1153"/>
      <c r="AJ85" s="1153"/>
      <c r="AK85" s="1153"/>
      <c r="AL85" s="980" t="s">
        <v>1323</v>
      </c>
      <c r="AM85" s="1153"/>
      <c r="AN85" s="1153"/>
      <c r="AO85" s="1153"/>
      <c r="AP85" s="1153"/>
      <c r="AQ85" s="1153"/>
    </row>
    <row s="1621" customFormat="1" customHeight="1" ht="65.25">
      <c r="A86" s="1153"/>
      <c r="B86" s="1160"/>
      <c r="C86" s="1153"/>
      <c r="D86" s="1153"/>
      <c r="E86" s="597">
        <v>15</v>
      </c>
      <c r="F86" s="50" cm="1" t="str">
        <f t="array" ref="F86:F86">OFFSET(E86,-1,1)</f>
        <v>1</v>
      </c>
      <c r="G86" s="399"/>
      <c r="H86" s="51"/>
      <c r="I86" s="399" t="s">
        <v>1324</v>
      </c>
      <c r="J86" s="1153"/>
      <c r="K86" s="90"/>
      <c r="L86" s="90"/>
      <c r="M86" s="90"/>
      <c r="N86" s="1153"/>
      <c r="O86" s="1153"/>
      <c r="P86" s="1153"/>
      <c r="Q86" s="1153"/>
      <c r="R86" s="1153"/>
      <c r="S86" s="1310"/>
      <c r="T86" s="439" cm="1" t="str">
        <f t="array" ref="T86:T86">T85</f>
        <v>true</v>
      </c>
      <c r="U86" s="1153"/>
      <c r="V86" s="1153"/>
      <c r="W86" s="1153"/>
      <c r="X86" s="1482"/>
      <c r="Y86" s="1153"/>
      <c r="Z86" s="1465"/>
      <c r="AA86" s="1153"/>
      <c r="AB86" s="765" t="s">
        <v>1325</v>
      </c>
      <c r="AC86" s="762" t="s">
        <v>1326</v>
      </c>
      <c r="AD86" s="747"/>
      <c r="AE86" s="747" t="s">
        <v>784</v>
      </c>
      <c r="AF86" s="265">
        <v>487.1680486313</v>
      </c>
      <c r="AG86" s="265">
        <v>16.552721241</v>
      </c>
      <c r="AH86" s="828" t="s">
        <v>1476</v>
      </c>
      <c r="AI86" s="1153"/>
      <c r="AJ86" s="1153"/>
      <c r="AK86" s="1153"/>
      <c r="AL86" s="980" t="s">
        <v>1327</v>
      </c>
      <c r="AM86" s="1153"/>
      <c r="AN86" s="1153"/>
      <c r="AO86" s="1153"/>
      <c r="AP86" s="1153"/>
      <c r="AQ86" s="1153"/>
    </row>
    <row s="1621" customFormat="1" customHeight="1" ht="65.25">
      <c r="A87" s="1153"/>
      <c r="B87" s="1160"/>
      <c r="C87" s="1153"/>
      <c r="D87" s="1153"/>
      <c r="E87" s="597">
        <v>67.5</v>
      </c>
      <c r="F87" s="50" cm="1" t="str">
        <f t="array" ref="F87:F87">OFFSET(E87,-1,1)</f>
        <v>1</v>
      </c>
      <c r="G87" s="73" t="s">
        <v>1328</v>
      </c>
      <c r="H87" s="51"/>
      <c r="I87" s="467" t="s">
        <v>1329</v>
      </c>
      <c r="J87" s="1153"/>
      <c r="K87" s="90"/>
      <c r="L87" s="90"/>
      <c r="M87" s="90"/>
      <c r="N87" s="1153"/>
      <c r="O87" s="1153"/>
      <c r="P87" s="1153"/>
      <c r="Q87" s="1153"/>
      <c r="R87" s="1153"/>
      <c r="S87" s="1310"/>
      <c r="T87" s="439" cm="1" t="str">
        <f t="array" ref="T87:T87">T86</f>
        <v>true</v>
      </c>
      <c r="U87" s="1153"/>
      <c r="V87" s="1153"/>
      <c r="W87" s="1153"/>
      <c r="X87" s="1482"/>
      <c r="Y87" s="1153"/>
      <c r="Z87" s="1465"/>
      <c r="AA87" s="1153"/>
      <c r="AB87" s="765" t="s">
        <v>1330</v>
      </c>
      <c r="AC87" s="762" t="s">
        <v>1331</v>
      </c>
      <c r="AD87" s="747"/>
      <c r="AE87" s="747" t="s">
        <v>784</v>
      </c>
      <c r="AF87" s="265"/>
      <c r="AG87" s="265">
        <f>IF(AND(method_reg="Метод индексации",first_year=god),_xlfn.SUMIFS('Калькуляция (МИ)'!$AG$25:$AG$459,'Калькуляция (МИ)'!$F$25:$F$459,$F87,'Калькуляция (МИ)'!$G$25:$G$459,$G87),_xlfn.SUMIFS('Калькуляция (МИ корр)'!$AG$25:$AG$459,'Калькуляция (МИ корр)'!$F$25:$F$459,$F87,'Калькуляция (МИ корр)'!$G$25:$G$459,$G87))</f>
        <v>0</v>
      </c>
      <c r="AH87" s="828"/>
      <c r="AI87" s="1153"/>
      <c r="AJ87" s="1153"/>
      <c r="AK87" s="1153"/>
      <c r="AL87" s="980" t="s">
        <v>1332</v>
      </c>
      <c r="AM87" s="1153"/>
      <c r="AN87" s="1153"/>
      <c r="AO87" s="1153"/>
      <c r="AP87" s="1153"/>
      <c r="AQ87" s="1153"/>
    </row>
    <row s="1621" customFormat="1" customHeight="1" ht="14.25">
      <c r="A88" s="1153"/>
      <c r="B88" s="1160"/>
      <c r="C88" s="1153"/>
      <c r="D88" s="1153"/>
      <c r="E88" s="597">
        <v>15</v>
      </c>
      <c r="F88" s="50" cm="1" t="str">
        <f t="array" ref="F88:F88">OFFSET(E88,-1,1)</f>
        <v>1</v>
      </c>
      <c r="G88" s="73" t="s">
        <v>949</v>
      </c>
      <c r="H88" s="51"/>
      <c r="I88" s="467" t="s">
        <v>1333</v>
      </c>
      <c r="J88" s="1153"/>
      <c r="K88" s="90"/>
      <c r="L88" s="90"/>
      <c r="M88" s="90"/>
      <c r="N88" s="1153"/>
      <c r="O88" s="1153"/>
      <c r="P88" s="1153"/>
      <c r="Q88" s="1153"/>
      <c r="R88" s="1153"/>
      <c r="S88" s="1310"/>
      <c r="T88" s="439" cm="1" t="str">
        <f t="array" ref="T88:T88">T87</f>
        <v>true</v>
      </c>
      <c r="U88" s="1153"/>
      <c r="V88" s="1153"/>
      <c r="W88" s="1153"/>
      <c r="X88" s="1482"/>
      <c r="Y88" s="1153"/>
      <c r="Z88" s="1465"/>
      <c r="AA88" s="1153"/>
      <c r="AB88" s="765" t="s">
        <v>1334</v>
      </c>
      <c r="AC88" s="762" t="s">
        <v>1335</v>
      </c>
      <c r="AD88" s="747"/>
      <c r="AE88" s="747" t="s">
        <v>784</v>
      </c>
      <c r="AF88" s="265"/>
      <c r="AG88" s="265">
        <f>IF(AND(method_reg="Метод индексации",first_year=god),_xlfn.SUMIFS('Калькуляция (МИ)'!$AG$25:$AG$459,'Калькуляция (МИ)'!$F$25:$F$459,$F88,'Калькуляция (МИ)'!$G$25:$G$459,$G88),_xlfn.SUMIFS('Калькуляция (МИ корр)'!$AG$25:$AG$459,'Калькуляция (МИ корр)'!$F$25:$F$459,$F88,'Калькуляция (МИ корр)'!$G$25:$G$459,$G88))</f>
        <v>0</v>
      </c>
      <c r="AH88" s="828"/>
      <c r="AI88" s="1153"/>
      <c r="AJ88" s="1153"/>
      <c r="AK88" s="1153"/>
      <c r="AL88" s="980" t="s">
        <v>1336</v>
      </c>
      <c r="AM88" s="1153"/>
      <c r="AN88" s="1153"/>
      <c r="AO88" s="1153"/>
      <c r="AP88" s="1153"/>
      <c r="AQ88" s="1153"/>
    </row>
    <row s="1621" customFormat="1" customHeight="1" ht="14.25">
      <c r="A89" s="1153"/>
      <c r="B89" s="1160"/>
      <c r="C89" s="1153"/>
      <c r="D89" s="1153"/>
      <c r="E89" s="597">
        <v>15</v>
      </c>
      <c r="F89" s="50" cm="1" t="str">
        <f t="array" ref="F89:F89">OFFSET(E89,-1,1)</f>
        <v>1</v>
      </c>
      <c r="G89" s="73" t="s">
        <v>1337</v>
      </c>
      <c r="H89" s="51"/>
      <c r="I89" s="467" t="s">
        <v>1338</v>
      </c>
      <c r="J89" s="1153"/>
      <c r="K89" s="90"/>
      <c r="L89" s="90"/>
      <c r="M89" s="90"/>
      <c r="N89" s="1153"/>
      <c r="O89" s="1153"/>
      <c r="P89" s="1153"/>
      <c r="Q89" s="1153"/>
      <c r="R89" s="1153"/>
      <c r="S89" s="1310"/>
      <c r="T89" s="439" cm="1" t="str">
        <f t="array" ref="T89:T89">T88</f>
        <v>true</v>
      </c>
      <c r="U89" s="1153"/>
      <c r="V89" s="1153"/>
      <c r="W89" s="1153"/>
      <c r="X89" s="1482"/>
      <c r="Y89" s="1153"/>
      <c r="Z89" s="1465"/>
      <c r="AA89" s="1153"/>
      <c r="AB89" s="765" t="s">
        <v>1339</v>
      </c>
      <c r="AC89" s="762" t="s">
        <v>1340</v>
      </c>
      <c r="AD89" s="747"/>
      <c r="AE89" s="747" t="s">
        <v>784</v>
      </c>
      <c r="AF89" s="265"/>
      <c r="AG89" s="265">
        <f>IF(AND(method_reg="Метод индексации",first_year=god),_xlfn.SUMIFS('Калькуляция (МИ)'!$AG$25:$AG$459,'Калькуляция (МИ)'!$F$25:$F$459,$F89,'Калькуляция (МИ)'!$G$25:$G$459,$G89),_xlfn.SUMIFS('Калькуляция (МИ корр)'!$AG$25:$AG$459,'Калькуляция (МИ корр)'!$F$25:$F$459,$F89,'Калькуляция (МИ корр)'!$G$25:$G$459,$G89))</f>
        <v>0</v>
      </c>
      <c r="AH89" s="828"/>
      <c r="AI89" s="1153"/>
      <c r="AJ89" s="1153"/>
      <c r="AK89" s="1153"/>
      <c r="AL89" s="980" t="s">
        <v>1341</v>
      </c>
      <c r="AM89" s="1153"/>
      <c r="AN89" s="1153"/>
      <c r="AO89" s="1153"/>
      <c r="AP89" s="1153"/>
      <c r="AQ89" s="1153"/>
    </row>
    <row s="1621" customFormat="1" customHeight="1" ht="44.25">
      <c r="A90" s="1153"/>
      <c r="B90" s="1160"/>
      <c r="C90" s="1153"/>
      <c r="D90" s="1153"/>
      <c r="E90" s="597">
        <v>22.5</v>
      </c>
      <c r="F90" s="50" cm="1" t="str">
        <f t="array" ref="F90:F90">OFFSET(E90,-1,1)</f>
        <v>1</v>
      </c>
      <c r="G90" s="73" t="s">
        <v>1342</v>
      </c>
      <c r="H90" s="51"/>
      <c r="I90" s="467" t="s">
        <v>1343</v>
      </c>
      <c r="J90" s="1153"/>
      <c r="K90" s="90"/>
      <c r="L90" s="90"/>
      <c r="M90" s="90"/>
      <c r="N90" s="1153"/>
      <c r="O90" s="1153"/>
      <c r="P90" s="1153"/>
      <c r="Q90" s="1153"/>
      <c r="R90" s="1153"/>
      <c r="S90" s="1310"/>
      <c r="T90" s="439" cm="1" t="str">
        <f t="array" ref="T90:T90">T89</f>
        <v>true</v>
      </c>
      <c r="U90" s="1153"/>
      <c r="V90" s="1153"/>
      <c r="W90" s="1153"/>
      <c r="X90" s="1482"/>
      <c r="Y90" s="1153"/>
      <c r="Z90" s="1465"/>
      <c r="AA90" s="1153"/>
      <c r="AB90" s="765" t="s">
        <v>1344</v>
      </c>
      <c r="AC90" s="762" t="s">
        <v>1345</v>
      </c>
      <c r="AD90" s="747"/>
      <c r="AE90" s="747" t="s">
        <v>784</v>
      </c>
      <c r="AF90" s="265"/>
      <c r="AG90" s="265">
        <v>-10.404189033</v>
      </c>
      <c r="AH90" s="828" t="s">
        <v>1475</v>
      </c>
      <c r="AI90" s="1153"/>
      <c r="AJ90" s="1153"/>
      <c r="AK90" s="1153"/>
      <c r="AL90" s="980" t="s">
        <v>1346</v>
      </c>
      <c r="AM90" s="1153"/>
      <c r="AN90" s="1153"/>
      <c r="AO90" s="1153"/>
      <c r="AP90" s="1153"/>
      <c r="AQ90" s="1153"/>
    </row>
    <row s="1621" customFormat="1" customHeight="1" ht="21.75">
      <c r="A91" s="1153"/>
      <c r="B91" s="1160"/>
      <c r="C91" s="1153"/>
      <c r="D91" s="1153"/>
      <c r="E91" s="597">
        <v>22.5</v>
      </c>
      <c r="F91" s="50" cm="1" t="str">
        <f t="array" ref="F91:F91">OFFSET(E91,-1,1)</f>
        <v>1</v>
      </c>
      <c r="G91" s="73" t="s">
        <v>1347</v>
      </c>
      <c r="H91" s="51"/>
      <c r="I91" s="467" t="s">
        <v>1348</v>
      </c>
      <c r="J91" s="1153"/>
      <c r="K91" s="90"/>
      <c r="L91" s="90"/>
      <c r="M91" s="90"/>
      <c r="N91" s="1153"/>
      <c r="O91" s="1153"/>
      <c r="P91" s="1153"/>
      <c r="Q91" s="1153"/>
      <c r="R91" s="1153"/>
      <c r="S91" s="1310"/>
      <c r="T91" s="439" cm="1" t="str">
        <f t="array" ref="T91:T91">T90</f>
        <v>true</v>
      </c>
      <c r="U91" s="1153"/>
      <c r="V91" s="1153"/>
      <c r="W91" s="1153"/>
      <c r="X91" s="1482"/>
      <c r="Y91" s="1153"/>
      <c r="Z91" s="1465"/>
      <c r="AA91" s="1153"/>
      <c r="AB91" s="765" t="s">
        <v>1349</v>
      </c>
      <c r="AC91" s="762" t="s">
        <v>1350</v>
      </c>
      <c r="AD91" s="917"/>
      <c r="AE91" s="747" t="s">
        <v>784</v>
      </c>
      <c r="AF91" s="265"/>
      <c r="AG91" s="265">
        <f>IF(AND(method_reg="Метод индексации",first_year=god),_xlfn.SUMIFS('Калькуляция (МИ)'!$AG$25:$AG$459,'Калькуляция (МИ)'!$F$25:$F$459,$F91,'Калькуляция (МИ)'!$G$25:$G$459,$G91),_xlfn.SUMIFS('Калькуляция (МИ корр)'!$AG$25:$AG$459,'Калькуляция (МИ корр)'!$F$25:$F$459,$F91,'Калькуляция (МИ корр)'!$G$25:$G$459,$G91))</f>
        <v>0</v>
      </c>
      <c r="AH91" s="828"/>
      <c r="AI91" s="1153"/>
      <c r="AJ91" s="1153"/>
      <c r="AK91" s="1153"/>
      <c r="AL91" s="980" t="s">
        <v>1351</v>
      </c>
      <c r="AM91" s="1153"/>
      <c r="AN91" s="1153"/>
      <c r="AO91" s="1153"/>
      <c r="AP91" s="1153"/>
      <c r="AQ91" s="1153"/>
    </row>
    <row s="1621" customFormat="1" customHeight="1" ht="21.75">
      <c r="A92" s="1153"/>
      <c r="B92" s="1160"/>
      <c r="C92" s="1153"/>
      <c r="D92" s="1153"/>
      <c r="E92" s="597">
        <v>22.5</v>
      </c>
      <c r="F92" s="50" cm="1" t="str">
        <f t="array" ref="F92:F92">OFFSET(E92,-1,1)</f>
        <v>1</v>
      </c>
      <c r="G92" s="73" t="s">
        <v>1352</v>
      </c>
      <c r="H92" s="51"/>
      <c r="I92" s="467" t="s">
        <v>1353</v>
      </c>
      <c r="J92" s="1153"/>
      <c r="K92" s="90"/>
      <c r="L92" s="90"/>
      <c r="M92" s="90"/>
      <c r="N92" s="1153"/>
      <c r="O92" s="1153"/>
      <c r="P92" s="1153"/>
      <c r="Q92" s="1153"/>
      <c r="R92" s="1153"/>
      <c r="S92" s="1310"/>
      <c r="T92" s="439" cm="1" t="str">
        <f t="array" ref="T92:T92">T91</f>
        <v>true</v>
      </c>
      <c r="U92" s="1153"/>
      <c r="V92" s="1153"/>
      <c r="W92" s="1153"/>
      <c r="X92" s="1482"/>
      <c r="Y92" s="1153"/>
      <c r="Z92" s="1465"/>
      <c r="AA92" s="1153"/>
      <c r="AB92" s="765" t="s">
        <v>1354</v>
      </c>
      <c r="AC92" s="762" t="s">
        <v>1355</v>
      </c>
      <c r="AD92" s="917"/>
      <c r="AE92" s="747" t="s">
        <v>784</v>
      </c>
      <c r="AF92" s="265"/>
      <c r="AG92" s="265">
        <f>IF(AND(method_reg="Метод индексации",first_year=god),_xlfn.SUMIFS('Калькуляция (МИ)'!$AG$25:$AG$459,'Калькуляция (МИ)'!$F$25:$F$459,$F92,'Калькуляция (МИ)'!$G$25:$G$459,$G92),_xlfn.SUMIFS('Калькуляция (МИ корр)'!$AG$25:$AG$459,'Калькуляция (МИ корр)'!$F$25:$F$459,$F92,'Калькуляция (МИ корр)'!$G$25:$G$459,$G92))</f>
        <v>0</v>
      </c>
      <c r="AH92" s="828"/>
      <c r="AI92" s="1153"/>
      <c r="AJ92" s="1153"/>
      <c r="AK92" s="1153"/>
      <c r="AL92" s="980" t="s">
        <v>1356</v>
      </c>
      <c r="AM92" s="1153"/>
      <c r="AN92" s="1153"/>
      <c r="AO92" s="1153"/>
      <c r="AP92" s="1153"/>
      <c r="AQ92" s="1153"/>
    </row>
    <row s="1621" customFormat="1" customHeight="1" ht="14.25">
      <c r="A93" s="1153"/>
      <c r="B93" s="1160"/>
      <c r="C93" s="1153"/>
      <c r="D93" s="1153"/>
      <c r="E93" s="597">
        <v>15</v>
      </c>
      <c r="F93" s="50" cm="1" t="str">
        <f t="array" ref="F93:F93">OFFSET(E93,-1,1)</f>
        <v>1</v>
      </c>
      <c r="G93" s="73" t="s">
        <v>1357</v>
      </c>
      <c r="H93" s="51"/>
      <c r="I93" s="467" t="s">
        <v>1358</v>
      </c>
      <c r="J93" s="1153"/>
      <c r="K93" s="90"/>
      <c r="L93" s="90"/>
      <c r="M93" s="90"/>
      <c r="N93" s="1153"/>
      <c r="O93" s="1153"/>
      <c r="P93" s="1153"/>
      <c r="Q93" s="1153"/>
      <c r="R93" s="1153"/>
      <c r="S93" s="1310"/>
      <c r="T93" s="439" cm="1" t="str">
        <f t="array" ref="T93:T93">T92</f>
        <v>true</v>
      </c>
      <c r="U93" s="1153"/>
      <c r="V93" s="1153"/>
      <c r="W93" s="1153"/>
      <c r="X93" s="1482"/>
      <c r="Y93" s="1153"/>
      <c r="Z93" s="1465"/>
      <c r="AA93" s="1153"/>
      <c r="AB93" s="765" t="s">
        <v>1359</v>
      </c>
      <c r="AC93" s="762" t="s">
        <v>1360</v>
      </c>
      <c r="AD93" s="917"/>
      <c r="AE93" s="747" t="s">
        <v>784</v>
      </c>
      <c r="AF93" s="265"/>
      <c r="AG93" s="265">
        <f>IF(AND(method_reg="Метод индексации",first_year=god),_xlfn.SUMIFS('Калькуляция (МИ)'!$AG$25:$AG$459,'Калькуляция (МИ)'!$F$25:$F$459,$F93,'Калькуляция (МИ)'!$G$25:$G$459,$G93),_xlfn.SUMIFS('Калькуляция (МИ корр)'!$AG$25:$AG$459,'Калькуляция (МИ корр)'!$F$25:$F$459,$F93,'Калькуляция (МИ корр)'!$G$25:$G$459,$G93))</f>
        <v>0</v>
      </c>
      <c r="AH93" s="828"/>
      <c r="AI93" s="1153"/>
      <c r="AJ93" s="1153"/>
      <c r="AK93" s="1153"/>
      <c r="AL93" s="980" t="s">
        <v>1361</v>
      </c>
      <c r="AM93" s="1153"/>
      <c r="AN93" s="1153"/>
      <c r="AO93" s="1153"/>
      <c r="AP93" s="1153"/>
      <c r="AQ93" s="1153"/>
    </row>
    <row s="1621" customFormat="1" customHeight="1" ht="21.75">
      <c r="A94" s="1153"/>
      <c r="B94" s="1160"/>
      <c r="C94" s="1153"/>
      <c r="D94" s="1153"/>
      <c r="E94" s="597">
        <v>22.5</v>
      </c>
      <c r="F94" s="50" cm="1" t="str">
        <f t="array" ref="F94:F94">OFFSET(E94,-1,1)</f>
        <v>1</v>
      </c>
      <c r="G94" s="73" t="s">
        <v>1362</v>
      </c>
      <c r="H94" s="51"/>
      <c r="I94" s="467" t="s">
        <v>1363</v>
      </c>
      <c r="J94" s="1153"/>
      <c r="K94" s="90"/>
      <c r="L94" s="90"/>
      <c r="M94" s="90"/>
      <c r="N94" s="1153"/>
      <c r="O94" s="1153"/>
      <c r="P94" s="1153"/>
      <c r="Q94" s="1153"/>
      <c r="R94" s="1153"/>
      <c r="S94" s="1310"/>
      <c r="T94" s="439" cm="1" t="str">
        <f t="array" ref="T94:T94">T93</f>
        <v>true</v>
      </c>
      <c r="U94" s="1153"/>
      <c r="V94" s="1153"/>
      <c r="W94" s="1153"/>
      <c r="X94" s="1482"/>
      <c r="Y94" s="1153"/>
      <c r="Z94" s="1465"/>
      <c r="AA94" s="1153"/>
      <c r="AB94" s="765" t="s">
        <v>1364</v>
      </c>
      <c r="AC94" s="762" t="s">
        <v>1365</v>
      </c>
      <c r="AD94" s="917"/>
      <c r="AE94" s="747" t="s">
        <v>784</v>
      </c>
      <c r="AF94" s="265"/>
      <c r="AG94" s="265">
        <f>IF(AND(method_reg="Метод индексации",first_year=god),_xlfn.SUMIFS('Калькуляция (МИ)'!$AG$25:$AG$459,'Калькуляция (МИ)'!$F$25:$F$459,$F94,'Калькуляция (МИ)'!$G$25:$G$459,$G94),_xlfn.SUMIFS('Калькуляция (МИ корр)'!$AG$25:$AG$459,'Калькуляция (МИ корр)'!$F$25:$F$459,$F94,'Калькуляция (МИ корр)'!$G$25:$G$459,$G94))</f>
        <v>0</v>
      </c>
      <c r="AH94" s="828"/>
      <c r="AI94" s="1153"/>
      <c r="AJ94" s="1153"/>
      <c r="AK94" s="1153"/>
      <c r="AL94" s="980" t="s">
        <v>1366</v>
      </c>
      <c r="AM94" s="1153"/>
      <c r="AN94" s="1153"/>
      <c r="AO94" s="1153"/>
      <c r="AP94" s="1153"/>
      <c r="AQ94" s="1153"/>
    </row>
    <row s="1621" customFormat="1" customHeight="1" ht="54.75">
      <c r="A95" s="1153"/>
      <c r="B95" s="1160"/>
      <c r="C95" s="1153"/>
      <c r="D95" s="1153"/>
      <c r="E95" s="597">
        <v>15</v>
      </c>
      <c r="F95" s="50" cm="1" t="str">
        <f t="array" ref="F95:F95">OFFSET(E95,-1,1)</f>
        <v>1</v>
      </c>
      <c r="G95" s="399"/>
      <c r="H95" s="51"/>
      <c r="I95" s="399" t="s">
        <v>1226</v>
      </c>
      <c r="J95" s="1153"/>
      <c r="K95" s="90"/>
      <c r="L95" s="90"/>
      <c r="M95" s="90"/>
      <c r="N95" s="1153"/>
      <c r="O95" s="1153"/>
      <c r="P95" s="1153"/>
      <c r="Q95" s="1153"/>
      <c r="R95" s="1153"/>
      <c r="S95" s="1310"/>
      <c r="T95" s="439" cm="1" t="str">
        <f t="array" ref="T95:T95">T94</f>
        <v>true</v>
      </c>
      <c r="U95" s="1153"/>
      <c r="V95" s="1153"/>
      <c r="W95" s="1153"/>
      <c r="X95" s="1482"/>
      <c r="Y95" s="1153"/>
      <c r="Z95" s="1465"/>
      <c r="AA95" s="1153"/>
      <c r="AB95" s="266" t="s">
        <v>523</v>
      </c>
      <c r="AC95" s="743" t="s">
        <v>1367</v>
      </c>
      <c r="AD95" s="267" t="s">
        <v>1368</v>
      </c>
      <c r="AE95" s="747" t="s">
        <v>784</v>
      </c>
      <c r="AF95" s="265">
        <f>AF96*AF97*AF98</f>
        <v>0</v>
      </c>
      <c r="AG95" s="265">
        <v>20.029958123</v>
      </c>
      <c r="AH95" s="828" t="s">
        <v>1477</v>
      </c>
      <c r="AI95" s="1153"/>
      <c r="AJ95" s="1153"/>
      <c r="AK95" s="1153"/>
      <c r="AL95" s="980" t="s">
        <v>1369</v>
      </c>
      <c r="AM95" s="1153"/>
      <c r="AN95" s="1153"/>
      <c r="AO95" s="1153"/>
      <c r="AP95" s="1153"/>
      <c r="AQ95" s="1153"/>
    </row>
    <row s="1621" customFormat="1" customHeight="1" ht="21.75">
      <c r="A96" s="1153"/>
      <c r="B96" s="1160"/>
      <c r="C96" s="1153"/>
      <c r="D96" s="1153"/>
      <c r="E96" s="597">
        <v>22.5</v>
      </c>
      <c r="F96" s="50" cm="1" t="str">
        <f t="array" ref="F96:F96">OFFSET(E96,-1,1)</f>
        <v>1</v>
      </c>
      <c r="G96" s="399"/>
      <c r="H96" s="51"/>
      <c r="I96" s="399" t="s">
        <v>1370</v>
      </c>
      <c r="J96" s="1153"/>
      <c r="K96" s="90"/>
      <c r="L96" s="90"/>
      <c r="M96" s="90"/>
      <c r="N96" s="1153"/>
      <c r="O96" s="1153"/>
      <c r="P96" s="1153"/>
      <c r="Q96" s="1153"/>
      <c r="R96" s="1153"/>
      <c r="S96" s="1310"/>
      <c r="T96" s="439" cm="1" t="str">
        <f t="array" ref="T96:T96">T95</f>
        <v>true</v>
      </c>
      <c r="U96" s="1153"/>
      <c r="V96" s="1153"/>
      <c r="W96" s="1153"/>
      <c r="X96" s="1482"/>
      <c r="Y96" s="1153"/>
      <c r="Z96" s="1465"/>
      <c r="AA96" s="1153"/>
      <c r="AB96" s="266" t="s">
        <v>478</v>
      </c>
      <c r="AC96" s="746" t="s">
        <v>1371</v>
      </c>
      <c r="AD96" s="267" t="s">
        <v>1372</v>
      </c>
      <c r="AE96" s="747" t="s">
        <v>801</v>
      </c>
      <c r="AF96" s="265"/>
      <c r="AG96" s="265">
        <f>_xlfn.SUMIFS(ЭЭ!AG$25:AG$93,ЭЭ!$F$25:$F$93,$F96,ЭЭ!$AC$25:$AC$93,"Удельный расход электроэнергии")</f>
        <v>1.2091050917143</v>
      </c>
      <c r="AH96" s="828"/>
      <c r="AI96" s="1153"/>
      <c r="AJ96" s="1153"/>
      <c r="AK96" s="1153"/>
      <c r="AL96" s="980" t="s">
        <v>1373</v>
      </c>
      <c r="AM96" s="1153"/>
      <c r="AN96" s="1153"/>
      <c r="AO96" s="1153"/>
      <c r="AP96" s="1153"/>
      <c r="AQ96" s="1153"/>
    </row>
    <row s="1621" customFormat="1" customHeight="1" ht="14.25">
      <c r="A97" s="1153"/>
      <c r="B97" s="1160"/>
      <c r="C97" s="1153"/>
      <c r="D97" s="1153"/>
      <c r="E97" s="597">
        <v>15</v>
      </c>
      <c r="F97" s="50" cm="1" t="str">
        <f t="array" ref="F97:F97">OFFSET(E97,-1,1)</f>
        <v>1</v>
      </c>
      <c r="G97" s="399"/>
      <c r="H97" s="51"/>
      <c r="I97" s="399" t="s">
        <v>1374</v>
      </c>
      <c r="J97" s="1153"/>
      <c r="K97" s="90"/>
      <c r="L97" s="90"/>
      <c r="M97" s="90"/>
      <c r="N97" s="1153"/>
      <c r="O97" s="1153"/>
      <c r="P97" s="1153"/>
      <c r="Q97" s="1153"/>
      <c r="R97" s="1153"/>
      <c r="S97" s="1310"/>
      <c r="T97" s="439" cm="1" t="str">
        <f t="array" ref="T97:T97">T96</f>
        <v>true</v>
      </c>
      <c r="U97" s="1153"/>
      <c r="V97" s="1153"/>
      <c r="W97" s="1153"/>
      <c r="X97" s="1482"/>
      <c r="Y97" s="1153"/>
      <c r="Z97" s="1465"/>
      <c r="AA97" s="1153"/>
      <c r="AB97" s="266" t="s">
        <v>1375</v>
      </c>
      <c r="AC97" s="746" t="s">
        <v>1376</v>
      </c>
      <c r="AD97" s="267" t="s">
        <v>1377</v>
      </c>
      <c r="AE97" s="747" t="s">
        <v>795</v>
      </c>
      <c r="AF97" s="265"/>
      <c r="AG97" s="265">
        <f>_xlfn.SUMIFS(ЭЭ!AG$25:AG$93,ЭЭ!$F$25:$F$93,$F96,ЭЭ!$AC$25:$AC$93,"Объём воды/сточных вод")</f>
        <v>163.933</v>
      </c>
      <c r="AH97" s="828"/>
      <c r="AI97" s="1153"/>
      <c r="AJ97" s="1153"/>
      <c r="AK97" s="1153"/>
      <c r="AL97" s="980" t="s">
        <v>1378</v>
      </c>
      <c r="AM97" s="1153"/>
      <c r="AN97" s="1153"/>
      <c r="AO97" s="1153"/>
      <c r="AP97" s="1153"/>
      <c r="AQ97" s="1153"/>
    </row>
    <row s="1621" customFormat="1" customHeight="1" ht="21.75">
      <c r="A98" s="1153"/>
      <c r="B98" s="1160"/>
      <c r="C98" s="1153"/>
      <c r="D98" s="1153"/>
      <c r="E98" s="597">
        <v>22.5</v>
      </c>
      <c r="F98" s="50" cm="1" t="str">
        <f t="array" ref="F98:F98">OFFSET(E98,-1,1)</f>
        <v>1</v>
      </c>
      <c r="G98" s="399"/>
      <c r="H98" s="51"/>
      <c r="I98" s="399" t="s">
        <v>1379</v>
      </c>
      <c r="J98" s="1153"/>
      <c r="K98" s="90"/>
      <c r="L98" s="90"/>
      <c r="M98" s="90"/>
      <c r="N98" s="1153"/>
      <c r="O98" s="1153"/>
      <c r="P98" s="1153"/>
      <c r="Q98" s="1153"/>
      <c r="R98" s="1153"/>
      <c r="S98" s="1310"/>
      <c r="T98" s="439" cm="1" t="str">
        <f t="array" ref="T98:T98">T97</f>
        <v>true</v>
      </c>
      <c r="U98" s="1153"/>
      <c r="V98" s="1153"/>
      <c r="W98" s="1153"/>
      <c r="X98" s="1482"/>
      <c r="Y98" s="1153"/>
      <c r="Z98" s="1465"/>
      <c r="AA98" s="1153"/>
      <c r="AB98" s="266" t="s">
        <v>1380</v>
      </c>
      <c r="AC98" s="746" t="s">
        <v>1381</v>
      </c>
      <c r="AD98" s="267" t="s">
        <v>1382</v>
      </c>
      <c r="AE98" s="747" t="s">
        <v>798</v>
      </c>
      <c r="AF98" s="265"/>
      <c r="AG98" s="265">
        <f>_xlfn.SUMIFS(ЭЭ!AG$25:AG$93,ЭЭ!$F$25:$F$93,$F96,ЭЭ!$AC$25:$AC$93,"Средний (расчетный) тариф")</f>
        <v>2.97412245874088</v>
      </c>
      <c r="AH98" s="828"/>
      <c r="AI98" s="1153"/>
      <c r="AJ98" s="1153"/>
      <c r="AK98" s="1153"/>
      <c r="AL98" s="980" t="s">
        <v>1383</v>
      </c>
      <c r="AM98" s="1153"/>
      <c r="AN98" s="1153"/>
      <c r="AO98" s="1153"/>
      <c r="AP98" s="1153"/>
      <c r="AQ98" s="1153"/>
    </row>
    <row s="1621" customFormat="1" customHeight="1" ht="44.25">
      <c r="A99" s="1153"/>
      <c r="B99" s="1160"/>
      <c r="C99" s="1153"/>
      <c r="D99" s="1153"/>
      <c r="E99" s="597">
        <v>22.5</v>
      </c>
      <c r="F99" s="50" cm="1" t="str">
        <f t="array" ref="F99:F99">OFFSET(E99,-1,1)</f>
        <v>1</v>
      </c>
      <c r="G99" s="399" t="s">
        <v>1384</v>
      </c>
      <c r="H99" s="51"/>
      <c r="I99" s="399" t="s">
        <v>1385</v>
      </c>
      <c r="J99" s="1153"/>
      <c r="K99" s="90"/>
      <c r="L99" s="90"/>
      <c r="M99" s="90"/>
      <c r="N99" s="1153"/>
      <c r="O99" s="1153"/>
      <c r="P99" s="1153"/>
      <c r="Q99" s="1153"/>
      <c r="R99" s="1153"/>
      <c r="S99" s="1310"/>
      <c r="T99" s="439" cm="1" t="str">
        <f t="array" ref="T99:T99">T98</f>
        <v>true</v>
      </c>
      <c r="U99" s="1153"/>
      <c r="V99" s="1153"/>
      <c r="W99" s="1153"/>
      <c r="X99" s="1482"/>
      <c r="Y99" s="1153"/>
      <c r="Z99" s="1465"/>
      <c r="AA99" s="1153"/>
      <c r="AB99" s="266" t="s">
        <v>868</v>
      </c>
      <c r="AC99" s="743" t="s">
        <v>1386</v>
      </c>
      <c r="AD99" s="267" t="s">
        <v>1387</v>
      </c>
      <c r="AE99" s="747" t="s">
        <v>784</v>
      </c>
      <c r="AF99" s="265"/>
      <c r="AG99" s="265">
        <v>14.951710865</v>
      </c>
      <c r="AH99" s="828" t="s">
        <v>1475</v>
      </c>
      <c r="AI99" s="1153"/>
      <c r="AJ99" s="1153"/>
      <c r="AK99" s="1153"/>
      <c r="AL99" s="980" t="s">
        <v>1123</v>
      </c>
      <c r="AM99" s="1153"/>
      <c r="AN99" s="1153"/>
      <c r="AO99" s="1153"/>
      <c r="AP99" s="1153"/>
      <c r="AQ99" s="1153"/>
    </row>
    <row s="1621" customFormat="1" customHeight="1" ht="14.25">
      <c r="A100" s="1153"/>
      <c r="B100" s="1160"/>
      <c r="C100" s="1153"/>
      <c r="D100" s="1153"/>
      <c r="E100" s="597">
        <v>15</v>
      </c>
      <c r="F100" s="50" cm="1" t="str">
        <f t="array" ref="F100:F100">OFFSET(E100,-1,1)</f>
        <v>1</v>
      </c>
      <c r="G100" s="399" t="s">
        <v>1388</v>
      </c>
      <c r="H100" s="51"/>
      <c r="I100" s="399" t="s">
        <v>1389</v>
      </c>
      <c r="J100" s="1153"/>
      <c r="K100" s="90"/>
      <c r="L100" s="90"/>
      <c r="M100" s="90"/>
      <c r="N100" s="1153"/>
      <c r="O100" s="1153"/>
      <c r="P100" s="1153"/>
      <c r="Q100" s="1153"/>
      <c r="R100" s="1153"/>
      <c r="S100" s="1310"/>
      <c r="T100" s="439" cm="1" t="str">
        <f t="array" ref="T100:T100">T99</f>
        <v>true</v>
      </c>
      <c r="U100" s="1153"/>
      <c r="V100" s="1153"/>
      <c r="W100" s="1153"/>
      <c r="X100" s="1482"/>
      <c r="Y100" s="1153"/>
      <c r="Z100" s="1465"/>
      <c r="AA100" s="1153"/>
      <c r="AB100" s="266" t="s">
        <v>871</v>
      </c>
      <c r="AC100" s="918" t="s">
        <v>1390</v>
      </c>
      <c r="AD100" s="267" t="s">
        <v>1391</v>
      </c>
      <c r="AE100" s="747" t="s">
        <v>784</v>
      </c>
      <c r="AF100" s="265"/>
      <c r="AG100" s="265">
        <f>IF(AND(method_reg="Метод индексации",first_year=god),_xlfn.SUMIFS('Калькуляция (МИ)'!$AE$25:$AE$459,'Калькуляция (МИ)'!$F$25:$F$459,$F100,'Калькуляция (МИ)'!$G$25:$G$459,"Нормативная прибыль")-_xlfn.SUMIFS('Калькуляция (МИ)'!$AE$25:$AE$459,'Калькуляция (МИ)'!$F$25:$F$459,$F100,'Калькуляция (МИ)'!$G$25:$G$459,"иные экономически обоснованные расходы на социальные нужды")+_xlfn.SUMIFS('Калькуляция (МИ)'!$AG$25:$AG$459,'Калькуляция (МИ)'!$F$25:$F$459,$F100,'Калькуляция (МИ)'!$G$25:$G$459,"иные экономически обоснованные расходы на социальные нужды"),_xlfn.SUMIFS('Калькуляция (МИ корр)'!$AE$25:$AE$459,'Калькуляция (МИ корр)'!$F$25:$F$459,$F100,'Калькуляция (МИ корр)'!$G$25:$G$459,"Нормативная прибыль")-_xlfn.SUMIFS('Калькуляция (МИ корр)'!$AE$25:$AE$459,'Калькуляция (МИ корр)'!$F$25:$F$459,$F100,'Калькуляция (МИ корр)'!$G$25:$G$459,"иные экономически обоснованные расходы на социальные нужды")+_xlfn.SUMIFS('Калькуляция (МИ корр)'!$AG$25:$AG$459,'Калькуляция (МИ корр)'!$F$25:$F$459,$F100,'Калькуляция (МИ корр)'!$G$25:$G$459,"иные экономически обоснованные расходы на социальные нужды"))</f>
        <v>0</v>
      </c>
      <c r="AH100" s="828"/>
      <c r="AI100" s="1153"/>
      <c r="AJ100" s="1153"/>
      <c r="AK100" s="1153"/>
      <c r="AL100" s="980" t="s">
        <v>1392</v>
      </c>
      <c r="AM100" s="1153"/>
      <c r="AN100" s="1153"/>
      <c r="AO100" s="1153"/>
      <c r="AP100" s="1153"/>
      <c r="AQ100" s="1153"/>
    </row>
    <row s="1621" customFormat="1" customHeight="1" ht="14.25">
      <c r="A101" s="1153"/>
      <c r="B101" s="1160"/>
      <c r="C101" s="1153"/>
      <c r="D101" s="1153"/>
      <c r="E101" s="597">
        <v>15</v>
      </c>
      <c r="F101" s="50" cm="1" t="str">
        <f t="array" ref="F101:F101">OFFSET(E101,-1,1)</f>
        <v>1</v>
      </c>
      <c r="G101" s="73" t="s">
        <v>1393</v>
      </c>
      <c r="H101" s="51"/>
      <c r="I101" s="467" t="s">
        <v>1394</v>
      </c>
      <c r="J101" s="1153"/>
      <c r="K101" s="90"/>
      <c r="L101" s="90"/>
      <c r="M101" s="90"/>
      <c r="N101" s="1153"/>
      <c r="O101" s="1153"/>
      <c r="P101" s="1153"/>
      <c r="Q101" s="1153"/>
      <c r="R101" s="1153"/>
      <c r="S101" s="1310"/>
      <c r="T101" s="439" cm="1" t="str">
        <f t="array" ref="T101:T101">T100</f>
        <v>true</v>
      </c>
      <c r="U101" s="1153"/>
      <c r="V101" s="1153"/>
      <c r="W101" s="1153"/>
      <c r="X101" s="1482"/>
      <c r="Y101" s="1153"/>
      <c r="Z101" s="1465"/>
      <c r="AA101" s="1153"/>
      <c r="AB101" s="266" t="s">
        <v>1395</v>
      </c>
      <c r="AC101" s="743" t="s">
        <v>1396</v>
      </c>
      <c r="AD101" s="267" t="s">
        <v>1397</v>
      </c>
      <c r="AE101" s="747" t="s">
        <v>784</v>
      </c>
      <c r="AF101" s="265"/>
      <c r="AG101" s="265">
        <f>IF(AND(method_reg="Метод индексации",first_year=god),_xlfn.SUMIFS('Калькуляция (МИ)'!$AG$25:$AG$459,'Калькуляция (МИ)'!$F$25:$F$459,$F101,'Калькуляция (МИ)'!$G$25:$G$459,$G101),_xlfn.SUMIFS('Калькуляция (МИ корр)'!$AG$25:$AG$459,'Калькуляция (МИ корр)'!$F$25:$F$459,$F101,'Калькуляция (МИ корр)'!$G$25:$G$459,$G101))</f>
        <v>0</v>
      </c>
      <c r="AH101" s="828"/>
      <c r="AI101" s="1153"/>
      <c r="AJ101" s="1153"/>
      <c r="AK101" s="1153"/>
      <c r="AL101" s="980" t="s">
        <v>1398</v>
      </c>
      <c r="AM101" s="1153"/>
      <c r="AN101" s="1153"/>
      <c r="AO101" s="1153"/>
      <c r="AP101" s="1153"/>
      <c r="AQ101" s="1153"/>
    </row>
    <row s="1621" customFormat="1" customHeight="1" ht="21.75">
      <c r="A102" s="1153"/>
      <c r="B102" s="1160"/>
      <c r="C102" s="1153"/>
      <c r="D102" s="1153"/>
      <c r="E102" s="597">
        <v>22.5</v>
      </c>
      <c r="F102" s="50" cm="1" t="str">
        <f t="array" ref="F102:F102">OFFSET(E102,-1,1)</f>
        <v>1</v>
      </c>
      <c r="G102" s="73"/>
      <c r="H102" s="51"/>
      <c r="I102" s="399" t="s">
        <v>1399</v>
      </c>
      <c r="J102" s="1153"/>
      <c r="K102" s="90"/>
      <c r="L102" s="90"/>
      <c r="M102" s="90"/>
      <c r="N102" s="1153"/>
      <c r="O102" s="1153"/>
      <c r="P102" s="1153"/>
      <c r="Q102" s="1153"/>
      <c r="R102" s="1153"/>
      <c r="S102" s="1310"/>
      <c r="T102" s="439" cm="1" t="str">
        <f t="array" ref="T102:T102">T101</f>
        <v>true</v>
      </c>
      <c r="U102" s="1153"/>
      <c r="V102" s="1153"/>
      <c r="W102" s="1153"/>
      <c r="X102" s="1482"/>
      <c r="Y102" s="1153"/>
      <c r="Z102" s="1465"/>
      <c r="AA102" s="1153"/>
      <c r="AB102" s="266" t="s">
        <v>1400</v>
      </c>
      <c r="AC102" s="743" t="s">
        <v>1401</v>
      </c>
      <c r="AD102" s="267"/>
      <c r="AE102" s="747" t="s">
        <v>784</v>
      </c>
      <c r="AF102" s="265">
        <f>AF103+AF104+AF105</f>
        <v>0</v>
      </c>
      <c r="AG102" s="265">
        <f>AG103+AG104+AG105</f>
        <v>0</v>
      </c>
      <c r="AH102" s="828"/>
      <c r="AI102" s="1153"/>
      <c r="AJ102" s="1153"/>
      <c r="AK102" s="1153"/>
      <c r="AL102" s="980" t="s">
        <v>1402</v>
      </c>
      <c r="AM102" s="1153"/>
      <c r="AN102" s="1153"/>
      <c r="AO102" s="1153"/>
      <c r="AP102" s="1153"/>
      <c r="AQ102" s="1153"/>
    </row>
    <row s="1621" customFormat="1" customHeight="1" ht="21.75">
      <c r="A103" s="1153"/>
      <c r="B103" s="1160"/>
      <c r="C103" s="1153"/>
      <c r="D103" s="1153"/>
      <c r="E103" s="597">
        <v>22.5</v>
      </c>
      <c r="F103" s="50" cm="1" t="str">
        <f t="array" ref="F103:F103">OFFSET(E103,-1,1)</f>
        <v>1</v>
      </c>
      <c r="G103" s="399"/>
      <c r="H103" s="51"/>
      <c r="I103" s="399" t="s">
        <v>1403</v>
      </c>
      <c r="J103" s="1153"/>
      <c r="K103" s="90"/>
      <c r="L103" s="90"/>
      <c r="M103" s="90"/>
      <c r="N103" s="1153"/>
      <c r="O103" s="1153"/>
      <c r="P103" s="1153"/>
      <c r="Q103" s="1153"/>
      <c r="R103" s="1153"/>
      <c r="S103" s="1310"/>
      <c r="T103" s="439" cm="1" t="str">
        <f t="array" ref="T103:T103">T102</f>
        <v>true</v>
      </c>
      <c r="U103" s="1153"/>
      <c r="V103" s="1153"/>
      <c r="W103" s="1153"/>
      <c r="X103" s="1482"/>
      <c r="Y103" s="1153"/>
      <c r="Z103" s="1465"/>
      <c r="AA103" s="1153"/>
      <c r="AB103" s="266" t="s">
        <v>1404</v>
      </c>
      <c r="AC103" s="746" t="s">
        <v>1405</v>
      </c>
      <c r="AD103" s="267" t="s">
        <v>1406</v>
      </c>
      <c r="AE103" s="747" t="s">
        <v>784</v>
      </c>
      <c r="AF103" s="265"/>
      <c r="AG103" s="265"/>
      <c r="AH103" s="828"/>
      <c r="AI103" s="1153"/>
      <c r="AJ103" s="1153"/>
      <c r="AK103" s="1153"/>
      <c r="AL103" s="980" t="s">
        <v>1407</v>
      </c>
      <c r="AM103" s="1153"/>
      <c r="AN103" s="1153"/>
      <c r="AO103" s="1153"/>
      <c r="AP103" s="1153"/>
      <c r="AQ103" s="1153"/>
    </row>
    <row s="1621" customFormat="1" customHeight="1" ht="14.25">
      <c r="A104" s="1153"/>
      <c r="B104" s="1160"/>
      <c r="C104" s="1153"/>
      <c r="D104" s="1153"/>
      <c r="E104" s="597">
        <v>15</v>
      </c>
      <c r="F104" s="50" cm="1" t="str">
        <f t="array" ref="F104:F104">OFFSET(E104,-1,1)</f>
        <v>1</v>
      </c>
      <c r="G104" s="399"/>
      <c r="H104" s="51"/>
      <c r="I104" s="399" t="s">
        <v>1408</v>
      </c>
      <c r="J104" s="1153"/>
      <c r="K104" s="90"/>
      <c r="L104" s="90"/>
      <c r="M104" s="90"/>
      <c r="N104" s="1153"/>
      <c r="O104" s="1153"/>
      <c r="P104" s="1153"/>
      <c r="Q104" s="1153"/>
      <c r="R104" s="1153"/>
      <c r="S104" s="1310"/>
      <c r="T104" s="439" cm="1" t="str">
        <f t="array" ref="T104:T104">T103</f>
        <v>true</v>
      </c>
      <c r="U104" s="1153"/>
      <c r="V104" s="1153"/>
      <c r="W104" s="1153"/>
      <c r="X104" s="1482"/>
      <c r="Y104" s="1153"/>
      <c r="Z104" s="1465"/>
      <c r="AA104" s="1153"/>
      <c r="AB104" s="266" t="s">
        <v>1409</v>
      </c>
      <c r="AC104" s="746" t="s">
        <v>1410</v>
      </c>
      <c r="AD104" s="267" t="s">
        <v>1411</v>
      </c>
      <c r="AE104" s="747" t="s">
        <v>784</v>
      </c>
      <c r="AF104" s="265"/>
      <c r="AG104" s="265"/>
      <c r="AH104" s="828"/>
      <c r="AI104" s="1153"/>
      <c r="AJ104" s="1153"/>
      <c r="AK104" s="1153"/>
      <c r="AL104" s="980" t="s">
        <v>1412</v>
      </c>
      <c r="AM104" s="1153"/>
      <c r="AN104" s="1153"/>
      <c r="AO104" s="1153"/>
      <c r="AP104" s="1153"/>
      <c r="AQ104" s="1153"/>
    </row>
    <row s="1621" customFormat="1" customHeight="1" ht="43.5">
      <c r="A105" s="1153"/>
      <c r="B105" s="1160"/>
      <c r="C105" s="1153"/>
      <c r="D105" s="1153"/>
      <c r="E105" s="597">
        <v>45</v>
      </c>
      <c r="F105" s="50" cm="1" t="str">
        <f t="array" ref="F105:F105">OFFSET(E105,-1,1)</f>
        <v>1</v>
      </c>
      <c r="G105" s="399"/>
      <c r="H105" s="51"/>
      <c r="I105" s="399" t="s">
        <v>1413</v>
      </c>
      <c r="J105" s="1153"/>
      <c r="K105" s="90"/>
      <c r="L105" s="90"/>
      <c r="M105" s="90"/>
      <c r="N105" s="1153"/>
      <c r="O105" s="1153"/>
      <c r="P105" s="1153"/>
      <c r="Q105" s="1153"/>
      <c r="R105" s="1153"/>
      <c r="S105" s="1310"/>
      <c r="T105" s="439" cm="1" t="str">
        <f t="array" ref="T105:T105">T104</f>
        <v>true</v>
      </c>
      <c r="U105" s="1153"/>
      <c r="V105" s="1153"/>
      <c r="W105" s="1153"/>
      <c r="X105" s="1482"/>
      <c r="Y105" s="1153"/>
      <c r="Z105" s="1465"/>
      <c r="AA105" s="1153"/>
      <c r="AB105" s="266" t="s">
        <v>1414</v>
      </c>
      <c r="AC105" s="746" t="s">
        <v>1415</v>
      </c>
      <c r="AD105" s="747" t="s">
        <v>1416</v>
      </c>
      <c r="AE105" s="747" t="s">
        <v>784</v>
      </c>
      <c r="AF105" s="265"/>
      <c r="AG105" s="265"/>
      <c r="AH105" s="828"/>
      <c r="AI105" s="1153"/>
      <c r="AJ105" s="1153"/>
      <c r="AK105" s="1153"/>
      <c r="AL105" s="980" t="s">
        <v>1417</v>
      </c>
      <c r="AM105" s="1153"/>
      <c r="AN105" s="1153"/>
      <c r="AO105" s="1153"/>
      <c r="AP105" s="1153"/>
      <c r="AQ105" s="1153"/>
    </row>
    <row s="1621" customFormat="1" customHeight="1" ht="44.25">
      <c r="A106" s="1153"/>
      <c r="B106" s="1160"/>
      <c r="C106" s="1153"/>
      <c r="D106" s="1153"/>
      <c r="E106" s="597">
        <v>22.5</v>
      </c>
      <c r="F106" s="50" cm="1" t="str">
        <f t="array" ref="F106:F106">OFFSET(E106,-1,1)</f>
        <v>1</v>
      </c>
      <c r="G106" s="399"/>
      <c r="H106" s="51"/>
      <c r="I106" s="399" t="s">
        <v>1418</v>
      </c>
      <c r="J106" s="1153"/>
      <c r="K106" s="90"/>
      <c r="L106" s="90"/>
      <c r="M106" s="90"/>
      <c r="N106" s="1153"/>
      <c r="O106" s="1153"/>
      <c r="P106" s="1153"/>
      <c r="Q106" s="1153"/>
      <c r="R106" s="1153"/>
      <c r="S106" s="1310"/>
      <c r="T106" s="439" cm="1" t="str">
        <f t="array" ref="T106:T106">T105</f>
        <v>true</v>
      </c>
      <c r="U106" s="1153"/>
      <c r="V106" s="1153"/>
      <c r="W106" s="1153"/>
      <c r="X106" s="1482"/>
      <c r="Y106" s="1153"/>
      <c r="Z106" s="1465"/>
      <c r="AA106" s="1153"/>
      <c r="AB106" s="266" t="s">
        <v>1419</v>
      </c>
      <c r="AC106" s="743" t="s">
        <v>1420</v>
      </c>
      <c r="AD106" s="747" t="s">
        <v>1421</v>
      </c>
      <c r="AE106" s="747" t="s">
        <v>784</v>
      </c>
      <c r="AF106" s="265"/>
      <c r="AG106" s="265">
        <v>-0.665275534</v>
      </c>
      <c r="AH106" s="828" t="s">
        <v>1475</v>
      </c>
      <c r="AI106" s="1153"/>
      <c r="AJ106" s="1153"/>
      <c r="AK106" s="1153"/>
      <c r="AL106" s="980" t="s">
        <v>1422</v>
      </c>
      <c r="AM106" s="1153"/>
      <c r="AN106" s="1153"/>
      <c r="AO106" s="1153"/>
      <c r="AP106" s="1153"/>
      <c r="AQ106" s="1153"/>
    </row>
    <row s="1621" customFormat="1" customHeight="1" ht="76.5" hidden="1">
      <c r="A107" s="1153"/>
      <c r="B107" s="401">
        <f>S78="Водоотведение"</f>
        <v>0</v>
      </c>
      <c r="C107" s="1153"/>
      <c r="D107" s="1153"/>
      <c r="E107" s="597">
        <v>78.75</v>
      </c>
      <c r="F107" s="50" cm="1" t="str">
        <f t="array" ref="F107:F107">OFFSET(E107,-1,1)</f>
        <v>1</v>
      </c>
      <c r="G107" s="399"/>
      <c r="H107" s="51"/>
      <c r="I107" s="399"/>
      <c r="J107" s="1153"/>
      <c r="K107" s="90"/>
      <c r="L107" s="90"/>
      <c r="M107" s="90"/>
      <c r="N107" s="1153"/>
      <c r="O107" s="1153"/>
      <c r="P107" s="1153"/>
      <c r="Q107" s="1153"/>
      <c r="R107" s="1153"/>
      <c r="S107" s="1310"/>
      <c r="T107" s="439" cm="1" t="str">
        <f t="array" ref="T107:T107">T106</f>
        <v>true</v>
      </c>
      <c r="U107" s="1153"/>
      <c r="V107" s="1153"/>
      <c r="W107" s="1153"/>
      <c r="X107" s="1482"/>
      <c r="Y107" s="1153"/>
      <c r="Z107" s="1465"/>
      <c r="AA107" s="1153"/>
      <c r="AB107" s="266" t="s">
        <v>1423</v>
      </c>
      <c r="AC107" s="743" t="s">
        <v>1424</v>
      </c>
      <c r="AD107" s="747"/>
      <c r="AE107" s="747" t="s">
        <v>784</v>
      </c>
      <c r="AF107" s="3044"/>
      <c r="AG107" s="3044"/>
      <c r="AH107" s="1771"/>
      <c r="AI107" s="1153"/>
      <c r="AJ107" s="1153"/>
      <c r="AK107" s="1153"/>
      <c r="AL107" s="980" t="s">
        <v>1425</v>
      </c>
      <c r="AM107" s="1153"/>
      <c r="AN107" s="1153"/>
      <c r="AO107" s="1153"/>
      <c r="AP107" s="1153"/>
      <c r="AQ107" s="1153"/>
    </row>
    <row s="1621" customFormat="1" customHeight="1" ht="54.75" hidden="1">
      <c r="A108" s="1153"/>
      <c r="B108" s="401" cm="1" t="str">
        <f t="array" ref="B108:B108">B107</f>
        <v>false</v>
      </c>
      <c r="C108" s="1153"/>
      <c r="D108" s="1153"/>
      <c r="E108" s="597">
        <v>56.25</v>
      </c>
      <c r="F108" s="50" cm="1" t="str">
        <f t="array" ref="F108:F108">OFFSET(E108,-1,1)</f>
        <v>1</v>
      </c>
      <c r="G108" s="399"/>
      <c r="H108" s="51"/>
      <c r="I108" s="399"/>
      <c r="J108" s="1153"/>
      <c r="K108" s="90"/>
      <c r="L108" s="90"/>
      <c r="M108" s="90"/>
      <c r="N108" s="1153"/>
      <c r="O108" s="1153"/>
      <c r="P108" s="1153"/>
      <c r="Q108" s="1153"/>
      <c r="R108" s="1153"/>
      <c r="S108" s="1310"/>
      <c r="T108" s="439" cm="1" t="str">
        <f t="array" ref="T108:T108">T107</f>
        <v>true</v>
      </c>
      <c r="U108" s="1153"/>
      <c r="V108" s="1153"/>
      <c r="W108" s="1153"/>
      <c r="X108" s="1482"/>
      <c r="Y108" s="1153"/>
      <c r="Z108" s="1465"/>
      <c r="AA108" s="1153"/>
      <c r="AB108" s="266" t="s">
        <v>1426</v>
      </c>
      <c r="AC108" s="743" t="s">
        <v>1427</v>
      </c>
      <c r="AD108" s="747"/>
      <c r="AE108" s="747" t="s">
        <v>784</v>
      </c>
      <c r="AF108" s="3044"/>
      <c r="AG108" s="3044"/>
      <c r="AH108" s="1771"/>
      <c r="AI108" s="1153"/>
      <c r="AJ108" s="1153"/>
      <c r="AK108" s="1153"/>
      <c r="AL108" s="980" t="s">
        <v>1253</v>
      </c>
      <c r="AM108" s="1153"/>
      <c r="AN108" s="1153"/>
      <c r="AO108" s="1153"/>
      <c r="AP108" s="1153"/>
      <c r="AQ108" s="1153"/>
    </row>
    <row s="1621" customFormat="1" customHeight="1" ht="14.25">
      <c r="A109" s="1153"/>
      <c r="B109" s="1160"/>
      <c r="C109" s="1153"/>
      <c r="D109" s="1153"/>
      <c r="E109" s="597">
        <v>15</v>
      </c>
      <c r="F109" s="50" cm="1" t="str">
        <f t="array" ref="F109:F109">OFFSET(E109,-1,1)</f>
        <v>1</v>
      </c>
      <c r="G109" s="399"/>
      <c r="H109" s="51"/>
      <c r="I109" s="399"/>
      <c r="J109" s="1153"/>
      <c r="K109" s="90"/>
      <c r="L109" s="90"/>
      <c r="M109" s="90"/>
      <c r="N109" s="1153"/>
      <c r="O109" s="1153"/>
      <c r="P109" s="1153"/>
      <c r="Q109" s="1153"/>
      <c r="R109" s="1153"/>
      <c r="S109" s="1310"/>
      <c r="T109" s="439" cm="1" t="str">
        <f t="array" ref="T109:T109">T108</f>
        <v>true</v>
      </c>
      <c r="U109" s="1153"/>
      <c r="V109" s="1153"/>
      <c r="W109" s="1153"/>
      <c r="X109" s="1482"/>
      <c r="Y109" s="1153"/>
      <c r="Z109" s="1465"/>
      <c r="AA109" s="1153"/>
      <c r="AB109" s="267" t="str">
        <f>IF(B108,"2.12","2.10")</f>
        <v>2.10</v>
      </c>
      <c r="AC109" s="743" t="s">
        <v>1428</v>
      </c>
      <c r="AD109" s="747" t="s">
        <v>1429</v>
      </c>
      <c r="AE109" s="747" t="s">
        <v>784</v>
      </c>
      <c r="AF109" s="265">
        <f>AF110+AF111</f>
        <v>0</v>
      </c>
      <c r="AG109" s="265">
        <f>AG110+AG111</f>
        <v>0</v>
      </c>
      <c r="AH109" s="828"/>
      <c r="AI109" s="1153"/>
      <c r="AJ109" s="1153"/>
      <c r="AK109" s="1153"/>
      <c r="AL109" s="980" t="s">
        <v>1430</v>
      </c>
      <c r="AM109" s="1153"/>
      <c r="AN109" s="1153"/>
      <c r="AO109" s="1153"/>
      <c r="AP109" s="1153"/>
      <c r="AQ109" s="1153"/>
    </row>
    <row s="1621" customFormat="1" customHeight="1" ht="21.75">
      <c r="A110" s="1153"/>
      <c r="B110" s="1160"/>
      <c r="C110" s="1153"/>
      <c r="D110" s="1153"/>
      <c r="E110" s="597">
        <v>22.5</v>
      </c>
      <c r="F110" s="50" cm="1" t="str">
        <f t="array" ref="F110:F110">OFFSET(E110,-1,1)</f>
        <v>1</v>
      </c>
      <c r="G110" s="399"/>
      <c r="H110" s="51"/>
      <c r="I110" s="399"/>
      <c r="J110" s="1153"/>
      <c r="K110" s="90"/>
      <c r="L110" s="90"/>
      <c r="M110" s="90"/>
      <c r="N110" s="1153"/>
      <c r="O110" s="1153"/>
      <c r="P110" s="1153"/>
      <c r="Q110" s="1153"/>
      <c r="R110" s="1153"/>
      <c r="S110" s="1310"/>
      <c r="T110" s="439" cm="1" t="str">
        <f t="array" ref="T110:T110">T109</f>
        <v>true</v>
      </c>
      <c r="U110" s="1153"/>
      <c r="V110" s="1153"/>
      <c r="W110" s="1153"/>
      <c r="X110" s="1482"/>
      <c r="Y110" s="1153"/>
      <c r="Z110" s="1465"/>
      <c r="AA110" s="1153"/>
      <c r="AB110" s="267" t="str">
        <f>AB109&amp;".1"</f>
        <v>2.10.1</v>
      </c>
      <c r="AC110" s="743" t="s">
        <v>1431</v>
      </c>
      <c r="AD110" s="747" t="s">
        <v>1429</v>
      </c>
      <c r="AE110" s="747" t="s">
        <v>784</v>
      </c>
      <c r="AF110" s="265"/>
      <c r="AG110" s="265"/>
      <c r="AH110" s="828"/>
      <c r="AI110" s="1153"/>
      <c r="AJ110" s="1153"/>
      <c r="AK110" s="1153"/>
      <c r="AL110" s="980" t="s">
        <v>1432</v>
      </c>
      <c r="AM110" s="1153"/>
      <c r="AN110" s="1153"/>
      <c r="AO110" s="1153"/>
      <c r="AP110" s="1153"/>
      <c r="AQ110" s="1153"/>
    </row>
    <row s="1621" customFormat="1" customHeight="1" ht="21.75">
      <c r="A111" s="1153"/>
      <c r="B111" s="1160"/>
      <c r="C111" s="1153"/>
      <c r="D111" s="1153"/>
      <c r="E111" s="597">
        <v>22.5</v>
      </c>
      <c r="F111" s="50" cm="1" t="str">
        <f t="array" ref="F111:F111">OFFSET(E111,-1,1)</f>
        <v>1</v>
      </c>
      <c r="G111" s="399"/>
      <c r="H111" s="51"/>
      <c r="I111" s="399"/>
      <c r="J111" s="1153"/>
      <c r="K111" s="90"/>
      <c r="L111" s="90"/>
      <c r="M111" s="90"/>
      <c r="N111" s="1153"/>
      <c r="O111" s="1153"/>
      <c r="P111" s="1153"/>
      <c r="Q111" s="1153"/>
      <c r="R111" s="1153"/>
      <c r="S111" s="1310"/>
      <c r="T111" s="439" cm="1" t="str">
        <f t="array" ref="T111:T111">T110</f>
        <v>true</v>
      </c>
      <c r="U111" s="1153"/>
      <c r="V111" s="1153"/>
      <c r="W111" s="1153"/>
      <c r="X111" s="1482"/>
      <c r="Y111" s="1153"/>
      <c r="Z111" s="1465"/>
      <c r="AA111" s="1153"/>
      <c r="AB111" s="267" t="str">
        <f>AB109&amp;".2"</f>
        <v>2.10.2</v>
      </c>
      <c r="AC111" s="743" t="s">
        <v>1433</v>
      </c>
      <c r="AD111" s="747" t="s">
        <v>1429</v>
      </c>
      <c r="AE111" s="747" t="s">
        <v>784</v>
      </c>
      <c r="AF111" s="265"/>
      <c r="AG111" s="265"/>
      <c r="AH111" s="828"/>
      <c r="AI111" s="1153"/>
      <c r="AJ111" s="1153"/>
      <c r="AK111" s="1153"/>
      <c r="AL111" s="980" t="s">
        <v>1434</v>
      </c>
      <c r="AM111" s="1153"/>
      <c r="AN111" s="1153"/>
      <c r="AO111" s="1153"/>
      <c r="AP111" s="1153"/>
      <c r="AQ111" s="1153"/>
    </row>
    <row s="1621" customFormat="1" customHeight="1" ht="14.25">
      <c r="A112" s="1153"/>
      <c r="B112" s="1160"/>
      <c r="C112" s="1153"/>
      <c r="D112" s="1153"/>
      <c r="E112" s="597">
        <v>15</v>
      </c>
      <c r="F112" s="50" cm="1" t="str">
        <f t="array" ref="F112:F112">OFFSET(E112,-1,1)</f>
        <v>1</v>
      </c>
      <c r="G112" s="399"/>
      <c r="H112" s="51"/>
      <c r="I112" s="399"/>
      <c r="J112" s="1153"/>
      <c r="K112" s="90"/>
      <c r="L112" s="90"/>
      <c r="M112" s="90"/>
      <c r="N112" s="1153"/>
      <c r="O112" s="1153"/>
      <c r="P112" s="1153"/>
      <c r="Q112" s="1153"/>
      <c r="R112" s="1153"/>
      <c r="S112" s="1310"/>
      <c r="T112" s="439" cm="1" t="str">
        <f t="array" ref="T112:T112">T111</f>
        <v>true</v>
      </c>
      <c r="U112" s="1153"/>
      <c r="V112" s="1153"/>
      <c r="W112" s="1153"/>
      <c r="X112" s="1482"/>
      <c r="Y112" s="1153"/>
      <c r="Z112" s="1465"/>
      <c r="AA112" s="1153"/>
      <c r="AB112" s="267" t="str">
        <f>IF(B108,"2.13","2.11")</f>
        <v>2.11</v>
      </c>
      <c r="AC112" s="743" t="s">
        <v>1435</v>
      </c>
      <c r="AD112" s="747" t="s">
        <v>1429</v>
      </c>
      <c r="AE112" s="747" t="s">
        <v>784</v>
      </c>
      <c r="AF112" s="265"/>
      <c r="AG112" s="265"/>
      <c r="AH112" s="828"/>
      <c r="AI112" s="1153"/>
      <c r="AJ112" s="1153"/>
      <c r="AK112" s="1153"/>
      <c r="AL112" s="980" t="s">
        <v>1436</v>
      </c>
      <c r="AM112" s="1153"/>
      <c r="AN112" s="1153"/>
      <c r="AO112" s="1153"/>
      <c r="AP112" s="1153"/>
      <c r="AQ112" s="1153"/>
    </row>
    <row s="1621" customFormat="1" customHeight="1" ht="14.25">
      <c r="A113" s="1153"/>
      <c r="B113" s="1160"/>
      <c r="C113" s="1153"/>
      <c r="D113" s="1153"/>
      <c r="E113" s="597">
        <v>15</v>
      </c>
      <c r="F113" s="50" cm="1" t="str">
        <f t="array" ref="F113:F113">OFFSET(E113,-1,1)</f>
        <v>1</v>
      </c>
      <c r="G113" s="399"/>
      <c r="H113" s="51"/>
      <c r="I113" s="399"/>
      <c r="J113" s="1153"/>
      <c r="K113" s="90"/>
      <c r="L113" s="90"/>
      <c r="M113" s="90"/>
      <c r="N113" s="1153"/>
      <c r="O113" s="1153"/>
      <c r="P113" s="1153"/>
      <c r="Q113" s="1153"/>
      <c r="R113" s="1153"/>
      <c r="S113" s="1310"/>
      <c r="T113" s="439" cm="1" t="str">
        <f t="array" ref="T113:T113">T112</f>
        <v>true</v>
      </c>
      <c r="U113" s="1153"/>
      <c r="V113" s="1153"/>
      <c r="W113" s="1153"/>
      <c r="X113" s="1482"/>
      <c r="Y113" s="1153"/>
      <c r="Z113" s="1465"/>
      <c r="AA113" s="1153"/>
      <c r="AB113" s="267" t="str">
        <f>IF(B108,"2.14","2.12")</f>
        <v>2.12</v>
      </c>
      <c r="AC113" s="743" t="s">
        <v>1437</v>
      </c>
      <c r="AD113" s="747" t="s">
        <v>1429</v>
      </c>
      <c r="AE113" s="747" t="s">
        <v>784</v>
      </c>
      <c r="AF113" s="265"/>
      <c r="AG113" s="265"/>
      <c r="AH113" s="828"/>
      <c r="AI113" s="1153"/>
      <c r="AJ113" s="1153"/>
      <c r="AK113" s="1153"/>
      <c r="AL113" s="980" t="s">
        <v>1438</v>
      </c>
      <c r="AM113" s="1153"/>
      <c r="AN113" s="1153"/>
      <c r="AO113" s="1153"/>
      <c r="AP113" s="1153"/>
      <c r="AQ113" s="1153"/>
    </row>
    <row s="3355" customFormat="1" customHeight="1" ht="21.75">
      <c r="A114" s="678"/>
      <c r="B114" s="404"/>
      <c r="C114" s="678"/>
      <c r="D114" s="678"/>
      <c r="E114" s="671">
        <v>22.5</v>
      </c>
      <c r="F114" s="50" cm="1" t="str">
        <f t="array" ref="F114:F114">OFFSET(E114,-1,1)</f>
        <v>1</v>
      </c>
      <c r="G114" s="113"/>
      <c r="H114" s="113"/>
      <c r="I114" s="399" t="s">
        <v>326</v>
      </c>
      <c r="J114" s="678"/>
      <c r="K114" s="471"/>
      <c r="L114" s="471"/>
      <c r="M114" s="471"/>
      <c r="N114" s="678"/>
      <c r="O114" s="678"/>
      <c r="P114" s="678"/>
      <c r="Q114" s="678"/>
      <c r="R114" s="678"/>
      <c r="S114" s="678"/>
      <c r="T114" s="439" cm="1" t="str">
        <f t="array" ref="T114:T114">T113</f>
        <v>true</v>
      </c>
      <c r="U114" s="678"/>
      <c r="V114" s="678"/>
      <c r="W114" s="678"/>
      <c r="X114" s="1482"/>
      <c r="Y114" s="678"/>
      <c r="Z114" s="1465"/>
      <c r="AA114" s="678"/>
      <c r="AB114" s="178" t="s">
        <v>1439</v>
      </c>
      <c r="AC114" s="179" t="s">
        <v>1440</v>
      </c>
      <c r="AD114" s="178" t="s">
        <v>1302</v>
      </c>
      <c r="AE114" s="201" t="s">
        <v>784</v>
      </c>
      <c r="AF114" s="826" cm="1" t="str">
        <f t="array" ref="AF114:AF114">AF115</f>
        <v>0</v>
      </c>
      <c r="AG114" s="826" cm="1" t="str">
        <f t="array" ref="AG114:AG114">AG115</f>
        <v>0</v>
      </c>
      <c r="AH114" s="827"/>
      <c r="AI114" s="678"/>
      <c r="AJ114" s="678"/>
      <c r="AK114" s="678"/>
      <c r="AL114" s="1035" t="s">
        <v>1441</v>
      </c>
      <c r="AM114" s="678"/>
      <c r="AN114" s="678"/>
      <c r="AO114" s="678"/>
      <c r="AP114" s="678"/>
      <c r="AQ114" s="678"/>
    </row>
    <row s="1621" customFormat="1" customHeight="1" ht="32.25">
      <c r="A115" s="1153"/>
      <c r="B115" s="1160"/>
      <c r="C115" s="1153"/>
      <c r="D115" s="1153"/>
      <c r="E115" s="597">
        <v>33.75</v>
      </c>
      <c r="F115" s="50" cm="1" t="str">
        <f t="array" ref="F115:F115">OFFSET(E115,-1,1)</f>
        <v>1</v>
      </c>
      <c r="G115" s="399"/>
      <c r="H115" s="51"/>
      <c r="I115" s="399" t="s">
        <v>459</v>
      </c>
      <c r="J115" s="1153"/>
      <c r="K115" s="90"/>
      <c r="L115" s="90"/>
      <c r="M115" s="90"/>
      <c r="N115" s="1153"/>
      <c r="O115" s="1153"/>
      <c r="P115" s="1153"/>
      <c r="Q115" s="1153"/>
      <c r="R115" s="1153"/>
      <c r="S115" s="1310"/>
      <c r="T115" s="439" cm="1" t="str">
        <f t="array" ref="T115:T115">T114</f>
        <v>true</v>
      </c>
      <c r="U115" s="1153"/>
      <c r="V115" s="1153"/>
      <c r="W115" s="1153"/>
      <c r="X115" s="1482"/>
      <c r="Y115" s="1153"/>
      <c r="Z115" s="1465"/>
      <c r="AA115" s="1153"/>
      <c r="AB115" s="266" t="s">
        <v>272</v>
      </c>
      <c r="AC115" s="425" t="s">
        <v>1442</v>
      </c>
      <c r="AD115" s="267" t="s">
        <v>1443</v>
      </c>
      <c r="AE115" s="747" t="s">
        <v>784</v>
      </c>
      <c r="AF115" s="916">
        <f>AF116+AF117</f>
        <v>0</v>
      </c>
      <c r="AG115" s="916">
        <f>AG116+AG117</f>
        <v>0</v>
      </c>
      <c r="AH115" s="828"/>
      <c r="AI115" s="1153"/>
      <c r="AJ115" s="1153"/>
      <c r="AK115" s="1153"/>
      <c r="AL115" s="980" t="s">
        <v>1444</v>
      </c>
      <c r="AM115" s="1153"/>
      <c r="AN115" s="1153"/>
      <c r="AO115" s="1153"/>
      <c r="AP115" s="1153"/>
      <c r="AQ115" s="1153"/>
    </row>
    <row s="1621" customFormat="1" customHeight="1" ht="43.5">
      <c r="A116" s="1153"/>
      <c r="B116" s="1160"/>
      <c r="C116" s="1153"/>
      <c r="D116" s="1153"/>
      <c r="E116" s="597">
        <v>45</v>
      </c>
      <c r="F116" s="50" cm="1" t="str">
        <f t="array" ref="F116:F116">OFFSET(E116,-1,1)</f>
        <v>1</v>
      </c>
      <c r="G116" s="399"/>
      <c r="H116" s="51"/>
      <c r="I116" s="399" t="s">
        <v>1445</v>
      </c>
      <c r="J116" s="1153"/>
      <c r="K116" s="90"/>
      <c r="L116" s="90"/>
      <c r="M116" s="90"/>
      <c r="N116" s="1153"/>
      <c r="O116" s="1153"/>
      <c r="P116" s="1153"/>
      <c r="Q116" s="1153"/>
      <c r="R116" s="1153"/>
      <c r="S116" s="1310"/>
      <c r="T116" s="439" cm="1" t="str">
        <f t="array" ref="T116:T116">T115</f>
        <v>true</v>
      </c>
      <c r="U116" s="1153"/>
      <c r="V116" s="1153"/>
      <c r="W116" s="1153"/>
      <c r="X116" s="1482"/>
      <c r="Y116" s="1153"/>
      <c r="Z116" s="1465"/>
      <c r="AA116" s="1153"/>
      <c r="AB116" s="266" t="s">
        <v>845</v>
      </c>
      <c r="AC116" s="743" t="s">
        <v>1446</v>
      </c>
      <c r="AD116" s="267" t="s">
        <v>1447</v>
      </c>
      <c r="AE116" s="747" t="s">
        <v>784</v>
      </c>
      <c r="AF116" s="265"/>
      <c r="AG116" s="265"/>
      <c r="AH116" s="828"/>
      <c r="AI116" s="1153"/>
      <c r="AJ116" s="1153"/>
      <c r="AK116" s="1153"/>
      <c r="AL116" s="980" t="s">
        <v>1448</v>
      </c>
      <c r="AM116" s="1153"/>
      <c r="AN116" s="1153"/>
      <c r="AO116" s="1153"/>
      <c r="AP116" s="1153"/>
      <c r="AQ116" s="1153"/>
    </row>
    <row s="1621" customFormat="1" customHeight="1" ht="32.25">
      <c r="A117" s="1153"/>
      <c r="B117" s="1160"/>
      <c r="C117" s="1153"/>
      <c r="D117" s="1153"/>
      <c r="E117" s="597">
        <v>33.75</v>
      </c>
      <c r="F117" s="50" cm="1" t="str">
        <f t="array" ref="F117:F117">OFFSET(E117,-1,1)</f>
        <v>1</v>
      </c>
      <c r="G117" s="399"/>
      <c r="H117" s="51"/>
      <c r="I117" s="399" t="s">
        <v>1449</v>
      </c>
      <c r="J117" s="1153"/>
      <c r="K117" s="90"/>
      <c r="L117" s="90"/>
      <c r="M117" s="90"/>
      <c r="N117" s="1153"/>
      <c r="O117" s="1153"/>
      <c r="P117" s="1153"/>
      <c r="Q117" s="1153"/>
      <c r="R117" s="1153"/>
      <c r="S117" s="1310"/>
      <c r="T117" s="439" cm="1" t="str">
        <f t="array" ref="T117:T117">T116</f>
        <v>true</v>
      </c>
      <c r="U117" s="1153"/>
      <c r="V117" s="1153"/>
      <c r="W117" s="1153"/>
      <c r="X117" s="1482"/>
      <c r="Y117" s="1153"/>
      <c r="Z117" s="1465"/>
      <c r="AA117" s="1153"/>
      <c r="AB117" s="266" t="s">
        <v>848</v>
      </c>
      <c r="AC117" s="743" t="s">
        <v>1450</v>
      </c>
      <c r="AD117" s="267" t="s">
        <v>1451</v>
      </c>
      <c r="AE117" s="747" t="s">
        <v>784</v>
      </c>
      <c r="AF117" s="265"/>
      <c r="AG117" s="265"/>
      <c r="AH117" s="828"/>
      <c r="AI117" s="1153"/>
      <c r="AJ117" s="1153"/>
      <c r="AK117" s="1153"/>
      <c r="AL117" s="980" t="s">
        <v>1452</v>
      </c>
      <c r="AM117" s="1153"/>
      <c r="AN117" s="1153"/>
      <c r="AO117" s="1153"/>
      <c r="AP117" s="1153"/>
      <c r="AQ117" s="1153"/>
    </row>
    <row s="1621" customFormat="1" customHeight="1" ht="21.75">
      <c r="A118" s="1153"/>
      <c r="B118" s="1160"/>
      <c r="C118" s="1153"/>
      <c r="D118" s="1153"/>
      <c r="E118" s="597">
        <v>22.5</v>
      </c>
      <c r="F118" s="50" cm="1" t="str">
        <f t="array" ref="F118:F118">OFFSET(E118,-1,1)</f>
        <v>1</v>
      </c>
      <c r="G118" s="399"/>
      <c r="H118" s="51"/>
      <c r="I118" s="399" t="s">
        <v>327</v>
      </c>
      <c r="J118" s="1153"/>
      <c r="K118" s="90" t="str">
        <f>F118&amp;"1komm"</f>
        <v>11komm</v>
      </c>
      <c r="L118" s="901" cm="1" t="str">
        <f t="array" ref="L118:L118">AH118</f>
        <v>0</v>
      </c>
      <c r="M118" s="90"/>
      <c r="N118" s="1153"/>
      <c r="O118" s="1153"/>
      <c r="P118" s="1153"/>
      <c r="Q118" s="1153"/>
      <c r="R118" s="1153"/>
      <c r="S118" s="1310"/>
      <c r="T118" s="439" cm="1" t="str">
        <f t="array" ref="T118:T118">T117</f>
        <v>true</v>
      </c>
      <c r="U118" s="1153"/>
      <c r="V118" s="1153"/>
      <c r="W118" s="1153"/>
      <c r="X118" s="1482"/>
      <c r="Y118" s="1153"/>
      <c r="Z118" s="1465"/>
      <c r="AA118" s="1153"/>
      <c r="AB118" s="201" t="s">
        <v>1453</v>
      </c>
      <c r="AC118" s="179" t="s">
        <v>1454</v>
      </c>
      <c r="AD118" s="178" t="s">
        <v>1455</v>
      </c>
      <c r="AE118" s="201" t="s">
        <v>784</v>
      </c>
      <c r="AF118" s="349"/>
      <c r="AG118" s="349"/>
      <c r="AH118" s="828"/>
      <c r="AI118" s="1153"/>
      <c r="AJ118" s="1153"/>
      <c r="AK118" s="1153"/>
      <c r="AL118" s="980" t="s">
        <v>1456</v>
      </c>
      <c r="AM118" s="1153"/>
      <c r="AN118" s="1153"/>
      <c r="AO118" s="1153"/>
      <c r="AP118" s="1153"/>
      <c r="AQ118" s="1153"/>
    </row>
    <row s="1621" customFormat="1" customHeight="1" ht="98.25">
      <c r="A119" s="1153"/>
      <c r="B119" s="1160"/>
      <c r="C119" s="1153"/>
      <c r="D119" s="1153"/>
      <c r="E119" s="597">
        <v>101.25</v>
      </c>
      <c r="F119" s="50" cm="1" t="str">
        <f t="array" ref="F119:F119">OFFSET(E119,-1,1)</f>
        <v>1</v>
      </c>
      <c r="G119" s="399"/>
      <c r="H119" s="51"/>
      <c r="I119" s="399" t="s">
        <v>329</v>
      </c>
      <c r="J119" s="1153"/>
      <c r="K119" s="90" t="str">
        <f>F119&amp;"2komm"</f>
        <v>12komm</v>
      </c>
      <c r="L119" s="901" cm="1" t="str">
        <f t="array" ref="L119:L119">AH119</f>
        <v>0</v>
      </c>
      <c r="M119" s="90"/>
      <c r="N119" s="1153"/>
      <c r="O119" s="1153"/>
      <c r="P119" s="1153"/>
      <c r="Q119" s="1153"/>
      <c r="R119" s="1153"/>
      <c r="S119" s="1310"/>
      <c r="T119" s="439" cm="1" t="str">
        <f t="array" ref="T119:T119">T118</f>
        <v>true</v>
      </c>
      <c r="U119" s="1153"/>
      <c r="V119" s="1153"/>
      <c r="W119" s="1153"/>
      <c r="X119" s="1482"/>
      <c r="Y119" s="1153"/>
      <c r="Z119" s="1465"/>
      <c r="AA119" s="1153"/>
      <c r="AB119" s="201" t="s">
        <v>1457</v>
      </c>
      <c r="AC119" s="179" t="s">
        <v>1458</v>
      </c>
      <c r="AD119" s="178" t="s">
        <v>1459</v>
      </c>
      <c r="AE119" s="201" t="s">
        <v>784</v>
      </c>
      <c r="AF119" s="349"/>
      <c r="AG119" s="349"/>
      <c r="AH119" s="828"/>
      <c r="AI119" s="1153"/>
      <c r="AJ119" s="1153"/>
      <c r="AK119" s="1153"/>
      <c r="AL119" s="980" t="s">
        <v>964</v>
      </c>
      <c r="AM119" s="1153"/>
      <c r="AN119" s="1153"/>
      <c r="AO119" s="1153"/>
      <c r="AP119" s="1153"/>
      <c r="AQ119" s="1153"/>
    </row>
    <row s="1621" customFormat="1" customHeight="1" ht="76.5" hidden="1">
      <c r="A120" s="1153"/>
      <c r="B120" s="401">
        <f>S78="Водоотведение"</f>
        <v>0</v>
      </c>
      <c r="C120" s="1153"/>
      <c r="D120" s="1153"/>
      <c r="E120" s="597">
        <v>78.75</v>
      </c>
      <c r="F120" s="50" cm="1" t="str">
        <f t="array" ref="F120:F120">OFFSET(E120,-1,1)</f>
        <v>1</v>
      </c>
      <c r="G120" s="90"/>
      <c r="H120" s="49"/>
      <c r="I120" s="88" t="s">
        <v>328</v>
      </c>
      <c r="J120" s="1153"/>
      <c r="K120" s="90" t="str">
        <f>F120&amp;"3komm"</f>
        <v>13komm</v>
      </c>
      <c r="L120" s="901" cm="1" t="str">
        <f t="array" ref="L120:L120">AH120</f>
        <v>0</v>
      </c>
      <c r="M120" s="90"/>
      <c r="N120" s="1153"/>
      <c r="O120" s="1153"/>
      <c r="P120" s="1153"/>
      <c r="Q120" s="1153"/>
      <c r="R120" s="1153"/>
      <c r="S120" s="1310"/>
      <c r="T120" s="439" cm="1" t="str">
        <f t="array" ref="T120:T120">T119</f>
        <v>true</v>
      </c>
      <c r="U120" s="1153"/>
      <c r="V120" s="1153"/>
      <c r="W120" s="1153"/>
      <c r="X120" s="1482"/>
      <c r="Y120" s="1153"/>
      <c r="Z120" s="1465"/>
      <c r="AA120" s="1153"/>
      <c r="AB120" s="201" t="s">
        <v>1460</v>
      </c>
      <c r="AC120" s="179" t="s">
        <v>1461</v>
      </c>
      <c r="AD120" s="178"/>
      <c r="AE120" s="201" t="s">
        <v>784</v>
      </c>
      <c r="AF120" s="3342"/>
      <c r="AG120" s="2730">
        <f>_xlfn.IFERROR(_xlfn.SUMIFS('Плата за негативное возд'!$AL$24:$AL$35,'Плата за негативное возд'!$F$24:$F$35,F120,'Плата за негативное возд'!$AB$24:$AB$35,"1"),0)</f>
        <v>0</v>
      </c>
      <c r="AH120" s="1771"/>
      <c r="AI120" s="1153"/>
      <c r="AJ120" s="1153"/>
      <c r="AK120" s="1153"/>
      <c r="AL120" s="980" t="s">
        <v>1462</v>
      </c>
      <c r="AM120" s="1153"/>
      <c r="AN120" s="1153"/>
      <c r="AO120" s="1153"/>
      <c r="AP120" s="1153"/>
      <c r="AQ120" s="1153"/>
    </row>
    <row s="1621" customFormat="1" customHeight="1" ht="54.75" hidden="1">
      <c r="A121" s="1153"/>
      <c r="B121" s="401" cm="1" t="str">
        <f t="array" ref="B121:B121">B120</f>
        <v>false</v>
      </c>
      <c r="C121" s="1153"/>
      <c r="D121" s="1153"/>
      <c r="E121" s="597">
        <v>56.25</v>
      </c>
      <c r="F121" s="50" cm="1" t="str">
        <f t="array" ref="F121:F121">OFFSET(E121,-1,1)</f>
        <v>1</v>
      </c>
      <c r="G121" s="90"/>
      <c r="H121" s="49"/>
      <c r="I121" s="88" t="s">
        <v>491</v>
      </c>
      <c r="J121" s="1153"/>
      <c r="K121" s="90" t="str">
        <f>F121&amp;"4komm"</f>
        <v>14komm</v>
      </c>
      <c r="L121" s="901" cm="1" t="str">
        <f t="array" ref="L121:L121">AH121</f>
        <v>0</v>
      </c>
      <c r="M121" s="90"/>
      <c r="N121" s="1153"/>
      <c r="O121" s="1153"/>
      <c r="P121" s="1153"/>
      <c r="Q121" s="1153"/>
      <c r="R121" s="1153"/>
      <c r="S121" s="1310"/>
      <c r="T121" s="439" cm="1" t="str">
        <f t="array" ref="T121:T121">T120</f>
        <v>true</v>
      </c>
      <c r="U121" s="1153"/>
      <c r="V121" s="1153"/>
      <c r="W121" s="1153"/>
      <c r="X121" s="1482"/>
      <c r="Y121" s="1153"/>
      <c r="Z121" s="1465"/>
      <c r="AA121" s="1153"/>
      <c r="AB121" s="201" t="s">
        <v>1463</v>
      </c>
      <c r="AC121" s="179" t="s">
        <v>1464</v>
      </c>
      <c r="AD121" s="178"/>
      <c r="AE121" s="201" t="s">
        <v>784</v>
      </c>
      <c r="AF121" s="3342"/>
      <c r="AG121" s="2730">
        <f>_xlfn.IFERROR(_xlfn.SUMIFS('Плата за негативное возд'!$AL$24:$AL$35,'Плата за негативное возд'!$F$24:$F$35,F121,'Плата за негативное возд'!$AB$24:$AB$35,"2"),0)</f>
        <v>0</v>
      </c>
      <c r="AH121" s="1771"/>
      <c r="AI121" s="1153"/>
      <c r="AJ121" s="1153"/>
      <c r="AK121" s="1153"/>
      <c r="AL121" s="980" t="s">
        <v>1465</v>
      </c>
      <c r="AM121" s="1153"/>
      <c r="AN121" s="1153"/>
      <c r="AO121" s="1153"/>
      <c r="AP121" s="1153"/>
      <c r="AQ121" s="1153"/>
    </row>
    <row s="1621" customFormat="1" customHeight="1" ht="14.25">
      <c r="A122" s="1153"/>
      <c r="B122" s="1160"/>
      <c r="C122" s="1153"/>
      <c r="D122" s="1153"/>
      <c r="E122" s="597">
        <v>15</v>
      </c>
      <c r="F122" s="50" cm="1" t="str">
        <f t="array" ref="F122:F122">OFFSET(E122,-1,1)</f>
        <v>1</v>
      </c>
      <c r="G122" s="90"/>
      <c r="H122" s="51"/>
      <c r="I122" s="88" t="s">
        <v>495</v>
      </c>
      <c r="J122" s="1153"/>
      <c r="K122" s="90" t="str">
        <f>F122&amp;"5komm"</f>
        <v>15komm</v>
      </c>
      <c r="L122" s="901" cm="1" t="str">
        <f t="array" ref="L122:L122">AH122</f>
        <v>0</v>
      </c>
      <c r="M122" s="90"/>
      <c r="N122" s="1153"/>
      <c r="O122" s="1153"/>
      <c r="P122" s="1153"/>
      <c r="Q122" s="1153"/>
      <c r="R122" s="1153"/>
      <c r="S122" s="1310"/>
      <c r="T122" s="439" cm="1" t="str">
        <f t="array" ref="T122:T122">T121</f>
        <v>true</v>
      </c>
      <c r="U122" s="1153"/>
      <c r="V122" s="1153"/>
      <c r="W122" s="1153"/>
      <c r="X122" s="1482"/>
      <c r="Y122" s="1153"/>
      <c r="Z122" s="1465"/>
      <c r="AA122" s="1153"/>
      <c r="AB122" s="201" t="str">
        <f>IF(B121,"VII","V")</f>
        <v>V</v>
      </c>
      <c r="AC122" s="179" t="s">
        <v>1466</v>
      </c>
      <c r="AD122" s="178"/>
      <c r="AE122" s="201" t="s">
        <v>784</v>
      </c>
      <c r="AF122" s="349"/>
      <c r="AG122" s="349"/>
      <c r="AH122" s="828"/>
      <c r="AI122" s="1153"/>
      <c r="AJ122" s="1153"/>
      <c r="AK122" s="1153"/>
      <c r="AL122" s="980" t="s">
        <v>1467</v>
      </c>
      <c r="AM122" s="1153"/>
      <c r="AN122" s="1153"/>
      <c r="AO122" s="1153"/>
      <c r="AP122" s="1153"/>
      <c r="AQ122" s="1153"/>
    </row>
    <row s="3356" customFormat="1" customHeight="1" ht="14.25">
      <c r="A123" s="678"/>
      <c r="B123" s="404"/>
      <c r="C123" s="678"/>
      <c r="D123" s="678"/>
      <c r="E123" s="671">
        <v>15</v>
      </c>
      <c r="F123" s="50" cm="1" t="str">
        <f t="array" ref="F123:F123">OFFSET(E123,-1,1)</f>
        <v>1</v>
      </c>
      <c r="G123" s="471"/>
      <c r="H123" s="678"/>
      <c r="I123" s="208" t="s">
        <v>541</v>
      </c>
      <c r="J123" s="678"/>
      <c r="K123" s="90" t="str">
        <f>F123&amp;"6komm"</f>
        <v>16komm</v>
      </c>
      <c r="L123" s="901" cm="1" t="str">
        <f t="array" ref="L123:L123">AH123</f>
        <v>0</v>
      </c>
      <c r="M123" s="471"/>
      <c r="N123" s="678"/>
      <c r="O123" s="678"/>
      <c r="P123" s="678"/>
      <c r="Q123" s="678"/>
      <c r="R123" s="678"/>
      <c r="S123" s="678"/>
      <c r="T123" s="439" cm="1" t="str">
        <f t="array" ref="T123:T123">T122</f>
        <v>true</v>
      </c>
      <c r="U123" s="678"/>
      <c r="V123" s="678"/>
      <c r="W123" s="678"/>
      <c r="X123" s="1482"/>
      <c r="Y123" s="678"/>
      <c r="Z123" s="1465"/>
      <c r="AA123" s="678"/>
      <c r="AB123" s="201" t="str">
        <f>IF(B121,"VIII","VI")</f>
        <v>VI</v>
      </c>
      <c r="AC123" s="179" t="s">
        <v>1428</v>
      </c>
      <c r="AD123" s="178"/>
      <c r="AE123" s="201" t="s">
        <v>784</v>
      </c>
      <c r="AF123" s="349">
        <f>AF124+AF125</f>
        <v>0</v>
      </c>
      <c r="AG123" s="349">
        <f>AG124+AG125</f>
        <v>0</v>
      </c>
      <c r="AH123" s="828"/>
      <c r="AI123" s="678"/>
      <c r="AJ123" s="678"/>
      <c r="AK123" s="678"/>
      <c r="AL123" s="1035" t="s">
        <v>1468</v>
      </c>
      <c r="AM123" s="678"/>
      <c r="AN123" s="678"/>
      <c r="AO123" s="678"/>
      <c r="AP123" s="678"/>
      <c r="AQ123" s="678"/>
    </row>
    <row s="1621" customFormat="1" customHeight="1" ht="21.75">
      <c r="A124" s="1153"/>
      <c r="B124" s="1160"/>
      <c r="C124" s="1153"/>
      <c r="D124" s="1153"/>
      <c r="E124" s="597">
        <v>22.5</v>
      </c>
      <c r="F124" s="50" cm="1" t="str">
        <f t="array" ref="F124:F124">OFFSET(E124,-1,1)</f>
        <v>1</v>
      </c>
      <c r="G124" s="90"/>
      <c r="H124" s="51"/>
      <c r="I124" s="88" t="s">
        <v>544</v>
      </c>
      <c r="J124" s="1153"/>
      <c r="K124" s="90" t="str">
        <f>F124&amp;"7komm"</f>
        <v>17komm</v>
      </c>
      <c r="L124" s="901" cm="1" t="str">
        <f t="array" ref="L124:L124">AH124</f>
        <v>0</v>
      </c>
      <c r="M124" s="90"/>
      <c r="N124" s="1153"/>
      <c r="O124" s="1153"/>
      <c r="P124" s="1153"/>
      <c r="Q124" s="1153"/>
      <c r="R124" s="1153"/>
      <c r="S124" s="1310"/>
      <c r="T124" s="439" cm="1" t="str">
        <f t="array" ref="T124:T124">T123</f>
        <v>true</v>
      </c>
      <c r="U124" s="1153"/>
      <c r="V124" s="1153"/>
      <c r="W124" s="1153"/>
      <c r="X124" s="1482"/>
      <c r="Y124" s="1153"/>
      <c r="Z124" s="1465"/>
      <c r="AA124" s="1153"/>
      <c r="AB124" s="747">
        <v>1</v>
      </c>
      <c r="AC124" s="743" t="s">
        <v>1431</v>
      </c>
      <c r="AD124" s="267"/>
      <c r="AE124" s="747" t="s">
        <v>784</v>
      </c>
      <c r="AF124" s="265"/>
      <c r="AG124" s="265"/>
      <c r="AH124" s="828"/>
      <c r="AI124" s="1153"/>
      <c r="AJ124" s="1153"/>
      <c r="AK124" s="1153"/>
      <c r="AL124" s="980" t="s">
        <v>1469</v>
      </c>
      <c r="AM124" s="1153"/>
      <c r="AN124" s="1153"/>
      <c r="AO124" s="1153"/>
      <c r="AP124" s="1153"/>
      <c r="AQ124" s="1153"/>
    </row>
    <row s="1621" customFormat="1" customHeight="1" ht="21.75">
      <c r="A125" s="1153"/>
      <c r="B125" s="1160"/>
      <c r="C125" s="1153"/>
      <c r="D125" s="1153"/>
      <c r="E125" s="597">
        <v>22.5</v>
      </c>
      <c r="F125" s="50" cm="1" t="str">
        <f t="array" ref="F125:F125">OFFSET(E125,-1,1)</f>
        <v>1</v>
      </c>
      <c r="G125" s="90"/>
      <c r="H125" s="51"/>
      <c r="I125" s="88" t="s">
        <v>548</v>
      </c>
      <c r="J125" s="1153"/>
      <c r="K125" s="90" t="str">
        <f>F125&amp;"8komm"</f>
        <v>18komm</v>
      </c>
      <c r="L125" s="901" cm="1" t="str">
        <f t="array" ref="L125:L125">AH125</f>
        <v>0</v>
      </c>
      <c r="M125" s="90"/>
      <c r="N125" s="1153"/>
      <c r="O125" s="1153"/>
      <c r="P125" s="1153"/>
      <c r="Q125" s="1153"/>
      <c r="R125" s="1153"/>
      <c r="S125" s="1310"/>
      <c r="T125" s="439" cm="1" t="str">
        <f t="array" ref="T125:T125">T124</f>
        <v>true</v>
      </c>
      <c r="U125" s="1153"/>
      <c r="V125" s="1153"/>
      <c r="W125" s="1153"/>
      <c r="X125" s="1482"/>
      <c r="Y125" s="1153"/>
      <c r="Z125" s="1465"/>
      <c r="AA125" s="1153"/>
      <c r="AB125" s="747">
        <v>2</v>
      </c>
      <c r="AC125" s="743" t="s">
        <v>1433</v>
      </c>
      <c r="AD125" s="267"/>
      <c r="AE125" s="747" t="s">
        <v>784</v>
      </c>
      <c r="AF125" s="265"/>
      <c r="AG125" s="265"/>
      <c r="AH125" s="828"/>
      <c r="AI125" s="1153"/>
      <c r="AJ125" s="1153"/>
      <c r="AK125" s="1153"/>
      <c r="AL125" s="980" t="s">
        <v>1470</v>
      </c>
      <c r="AM125" s="1153"/>
      <c r="AN125" s="1153"/>
      <c r="AO125" s="1153"/>
      <c r="AP125" s="1153"/>
      <c r="AQ125" s="1153"/>
    </row>
    <row s="1621" customFormat="1" customHeight="1" ht="14.25">
      <c r="A126" s="1153"/>
      <c r="B126" s="1160"/>
      <c r="C126" s="1153"/>
      <c r="D126" s="1153"/>
      <c r="E126" s="597">
        <v>15</v>
      </c>
      <c r="F126" s="50" cm="1" t="str">
        <f t="array" ref="F126:F126">OFFSET(E126,-1,1)</f>
        <v>1</v>
      </c>
      <c r="G126" s="90"/>
      <c r="H126" s="51"/>
      <c r="I126" s="88" t="s">
        <v>556</v>
      </c>
      <c r="J126" s="1153"/>
      <c r="K126" s="90" t="str">
        <f>F126&amp;"9komm"</f>
        <v>19komm</v>
      </c>
      <c r="L126" s="901" cm="1" t="str">
        <f t="array" ref="L126:L126">AH126</f>
        <v>0</v>
      </c>
      <c r="M126" s="90"/>
      <c r="N126" s="1153"/>
      <c r="O126" s="1153"/>
      <c r="P126" s="1153"/>
      <c r="Q126" s="1153"/>
      <c r="R126" s="1153"/>
      <c r="S126" s="1310"/>
      <c r="T126" s="439" cm="1" t="str">
        <f t="array" ref="T126:T126">T125</f>
        <v>true</v>
      </c>
      <c r="U126" s="1153"/>
      <c r="V126" s="1153"/>
      <c r="W126" s="1153"/>
      <c r="X126" s="1482"/>
      <c r="Y126" s="1153"/>
      <c r="Z126" s="1465"/>
      <c r="AA126" s="1153"/>
      <c r="AB126" s="201" t="str">
        <f>IF(B121,"IX","VIII")</f>
        <v>VIII</v>
      </c>
      <c r="AC126" s="179" t="s">
        <v>1435</v>
      </c>
      <c r="AD126" s="178"/>
      <c r="AE126" s="201" t="s">
        <v>784</v>
      </c>
      <c r="AF126" s="349"/>
      <c r="AG126" s="349"/>
      <c r="AH126" s="828"/>
      <c r="AI126" s="1153"/>
      <c r="AJ126" s="1153"/>
      <c r="AK126" s="1153"/>
      <c r="AL126" s="980" t="s">
        <v>1471</v>
      </c>
      <c r="AM126" s="1153"/>
      <c r="AN126" s="1153"/>
      <c r="AO126" s="1153"/>
      <c r="AP126" s="1153"/>
      <c r="AQ126" s="1153"/>
    </row>
    <row s="1621" customFormat="1" customHeight="1" ht="14.25">
      <c r="A127" s="1153"/>
      <c r="B127" s="1160"/>
      <c r="C127" s="1153"/>
      <c r="D127" s="1153"/>
      <c r="E127" s="597">
        <v>15</v>
      </c>
      <c r="F127" s="50" cm="1" t="str">
        <f t="array" ref="F127:F127">OFFSET(E127,-1,1)</f>
        <v>1</v>
      </c>
      <c r="G127" s="90"/>
      <c r="H127" s="51"/>
      <c r="I127" s="88" t="s">
        <v>564</v>
      </c>
      <c r="J127" s="1153"/>
      <c r="K127" s="90" t="str">
        <f>F127&amp;"10komm"</f>
        <v>110komm</v>
      </c>
      <c r="L127" s="901" cm="1" t="str">
        <f t="array" ref="L127:L127">AH127</f>
        <v>0</v>
      </c>
      <c r="M127" s="90"/>
      <c r="N127" s="1153"/>
      <c r="O127" s="1153"/>
      <c r="P127" s="1153"/>
      <c r="Q127" s="1153"/>
      <c r="R127" s="1153"/>
      <c r="S127" s="1310"/>
      <c r="T127" s="439" cm="1" t="str">
        <f t="array" ref="T127:T127">T126</f>
        <v>true</v>
      </c>
      <c r="U127" s="1153"/>
      <c r="V127" s="1153"/>
      <c r="W127" s="1153"/>
      <c r="X127" s="1482"/>
      <c r="Y127" s="1153"/>
      <c r="Z127" s="1465"/>
      <c r="AA127" s="1153"/>
      <c r="AB127" s="201" t="str">
        <f>IF(B121,"X","IX")</f>
        <v>IX</v>
      </c>
      <c r="AC127" s="179" t="s">
        <v>1437</v>
      </c>
      <c r="AD127" s="178"/>
      <c r="AE127" s="201" t="s">
        <v>784</v>
      </c>
      <c r="AF127" s="349"/>
      <c r="AG127" s="349"/>
      <c r="AH127" s="828"/>
      <c r="AI127" s="1153"/>
      <c r="AJ127" s="1153"/>
      <c r="AK127" s="1153"/>
      <c r="AL127" s="980" t="s">
        <v>1472</v>
      </c>
      <c r="AM127" s="1153"/>
      <c r="AN127" s="1153"/>
      <c r="AO127" s="1153"/>
      <c r="AP127" s="1153"/>
      <c r="AQ127" s="1153"/>
    </row>
    <row s="3357" customFormat="1" customHeight="1" ht="14.25">
      <c r="A128" s="678"/>
      <c r="B128" s="404"/>
      <c r="C128" s="678"/>
      <c r="D128" s="678"/>
      <c r="E128" s="671">
        <v>15</v>
      </c>
      <c r="F128" s="50" cm="1" t="str">
        <f t="array" ref="F128:F128">OFFSET(E128,-1,1)</f>
        <v>1</v>
      </c>
      <c r="G128" s="471"/>
      <c r="H128" s="678"/>
      <c r="I128" s="208" t="s">
        <v>722</v>
      </c>
      <c r="J128" s="678"/>
      <c r="K128" s="90" t="str">
        <f>F128&amp;"11komm"</f>
        <v>111komm</v>
      </c>
      <c r="L128" s="901" cm="1" t="str">
        <f t="array" ref="L128:L128">AH128</f>
        <v>0</v>
      </c>
      <c r="M128" s="471"/>
      <c r="N128" s="678"/>
      <c r="O128" s="678"/>
      <c r="P128" s="678"/>
      <c r="Q128" s="678"/>
      <c r="R128" s="678"/>
      <c r="S128" s="678"/>
      <c r="T128" s="439" cm="1" t="str">
        <f t="array" ref="T128:T128">T127</f>
        <v>true</v>
      </c>
      <c r="U128" s="678"/>
      <c r="V128" s="678"/>
      <c r="W128" s="678"/>
      <c r="X128" s="1482"/>
      <c r="Y128" s="678"/>
      <c r="Z128" s="1465"/>
      <c r="AA128" s="678"/>
      <c r="AB128" s="201" t="str">
        <f>IF(B121,"XI","X")</f>
        <v>X</v>
      </c>
      <c r="AC128" s="186" t="s">
        <v>1473</v>
      </c>
      <c r="AD128" s="178"/>
      <c r="AE128" s="201" t="s">
        <v>784</v>
      </c>
      <c r="AF128" s="919">
        <f>AF79+AF114+AF118+AF119+AF120+AF121+AF122+AF123+AF126+AF127</f>
        <v>487.1680486313</v>
      </c>
      <c r="AG128" s="919">
        <f>AG79+AG114+AG118+AG119+AG120+AG121+AG122+AG123+AG126+AG127</f>
        <v>25.112302652</v>
      </c>
      <c r="AH128" s="828"/>
      <c r="AI128" s="678"/>
      <c r="AJ128" s="678"/>
      <c r="AK128" s="678"/>
      <c r="AL128" s="1035" t="s">
        <v>1474</v>
      </c>
      <c r="AM128" s="678"/>
      <c r="AN128" s="678"/>
      <c r="AO128" s="678"/>
      <c r="AP128" s="678"/>
      <c r="AQ128" s="678"/>
    </row>
    <row s="1621" customFormat="1" customHeight="1" ht="14.25">
      <c r="A129" s="1153"/>
      <c r="B129" s="1160"/>
      <c r="C129" s="1153"/>
      <c r="D129" s="1153"/>
      <c r="E129" s="597">
        <v>15</v>
      </c>
      <c r="F129" s="64" cm="1" t="str">
        <f t="array" ref="F129:F129">X129</f>
        <v>2</v>
      </c>
      <c r="G129" s="467"/>
      <c r="H129" s="51"/>
      <c r="I129" s="1153"/>
      <c r="J129" s="1153"/>
      <c r="K129" s="1153"/>
      <c r="L129" s="1153"/>
      <c r="M129" s="1153"/>
      <c r="N129" s="1153"/>
      <c r="O129" s="1153"/>
      <c r="P129" s="1153"/>
      <c r="Q129" s="1153"/>
      <c r="R129" s="1153"/>
      <c r="S129" s="1183" cm="1" t="str">
        <f t="array" ref="S129:S129">INDEX('Общие сведения'!$AE$179:$AE$222,MATCH($X129,'Общие сведения'!$Z$179:$Z$222,0))</f>
        <v>Водоотведение</v>
      </c>
      <c r="T129" s="439">
        <f>X129&gt;0</f>
        <v>1</v>
      </c>
      <c r="U129" s="1153"/>
      <c r="V129" s="88" cm="1" t="str">
        <f t="array" ref="V129:V129">'Плата за негативное возд'!$AB$32</f>
        <v>Тариф 2 (Водоотведение) - тариф на водоотведение (Оказание услуг на территории: Прокопьевский муниципальный округ (ОКТМО: 32522000) - п Калачево)</v>
      </c>
      <c r="W129" s="1153"/>
      <c r="X129" s="1482" t="s">
        <v>283</v>
      </c>
      <c r="Y129" s="1153"/>
      <c r="Z129" s="1465"/>
      <c r="AA129" s="1153"/>
      <c r="AB129" s="348" cm="1" t="str">
        <f t="array" ref="AB129:AB129">'Плата за негативное возд'!$AB$32</f>
        <v>Тариф 2 (Водоотведение) - тариф на водоотведение (Оказание услуг на территории: Прокопьевский муниципальный округ (ОКТМО: 32522000) - п Калачево)</v>
      </c>
      <c r="AC129" s="348"/>
      <c r="AD129" s="348"/>
      <c r="AE129" s="348"/>
      <c r="AF129" s="348"/>
      <c r="AG129" s="348"/>
      <c r="AH129" s="348"/>
      <c r="AI129" s="1153"/>
      <c r="AJ129" s="1153"/>
      <c r="AK129" s="1153"/>
      <c r="AL129" s="1253"/>
      <c r="AM129" s="1153"/>
      <c r="AN129" s="1153"/>
      <c r="AO129" s="1153"/>
      <c r="AP129" s="1153"/>
      <c r="AQ129" s="1153"/>
    </row>
    <row s="3358" customFormat="1" customHeight="1" ht="43.5">
      <c r="A130" s="678"/>
      <c r="B130" s="404"/>
      <c r="C130" s="678"/>
      <c r="D130" s="678"/>
      <c r="E130" s="671">
        <v>45</v>
      </c>
      <c r="F130" s="50" cm="1" t="str">
        <f t="array" ref="F130:F130">OFFSET(E130,-1,1)</f>
        <v>2</v>
      </c>
      <c r="G130" s="471"/>
      <c r="H130" s="678"/>
      <c r="I130" s="88" t="s">
        <v>325</v>
      </c>
      <c r="J130" s="678"/>
      <c r="K130" s="90"/>
      <c r="L130" s="906"/>
      <c r="M130" s="471"/>
      <c r="N130" s="678"/>
      <c r="O130" s="678"/>
      <c r="P130" s="678"/>
      <c r="Q130" s="678"/>
      <c r="R130" s="678"/>
      <c r="S130" s="678"/>
      <c r="T130" s="439" cm="1" t="str">
        <f t="array" ref="T130:T130">T129</f>
        <v>true</v>
      </c>
      <c r="U130" s="678"/>
      <c r="V130" s="678"/>
      <c r="W130" s="678"/>
      <c r="X130" s="1482"/>
      <c r="Y130" s="678"/>
      <c r="Z130" s="1465"/>
      <c r="AA130" s="678"/>
      <c r="AB130" s="823" t="s">
        <v>1300</v>
      </c>
      <c r="AC130" s="824" t="s">
        <v>1301</v>
      </c>
      <c r="AD130" s="823" t="s">
        <v>1302</v>
      </c>
      <c r="AE130" s="825" t="s">
        <v>784</v>
      </c>
      <c r="AF130" s="826">
        <f>AF132-AF131</f>
        <v>0</v>
      </c>
      <c r="AG130" s="826">
        <f>AG132-AG131</f>
        <v>-11.4327153571</v>
      </c>
      <c r="AH130" s="827"/>
      <c r="AI130" s="678"/>
      <c r="AJ130" s="678"/>
      <c r="AK130" s="678"/>
      <c r="AL130" s="1035" t="s">
        <v>1303</v>
      </c>
      <c r="AM130" s="678"/>
      <c r="AN130" s="678"/>
      <c r="AO130" s="678"/>
      <c r="AP130" s="678"/>
      <c r="AQ130" s="678"/>
    </row>
    <row s="3359" customFormat="1" customHeight="1" ht="15.75">
      <c r="A131" s="678"/>
      <c r="B131" s="404"/>
      <c r="C131" s="678"/>
      <c r="D131" s="678"/>
      <c r="E131" s="671">
        <v>15</v>
      </c>
      <c r="F131" s="50" cm="1" t="str">
        <f t="array" ref="F131:F131">OFFSET(E131,-1,1)</f>
        <v>2</v>
      </c>
      <c r="G131" s="471"/>
      <c r="H131" s="678"/>
      <c r="I131" s="88" t="s">
        <v>441</v>
      </c>
      <c r="J131" s="678"/>
      <c r="K131" s="471"/>
      <c r="L131" s="471"/>
      <c r="M131" s="471"/>
      <c r="N131" s="678"/>
      <c r="O131" s="678"/>
      <c r="P131" s="678"/>
      <c r="Q131" s="678"/>
      <c r="R131" s="678"/>
      <c r="S131" s="678"/>
      <c r="T131" s="439" cm="1" t="str">
        <f t="array" ref="T131:T131">T130</f>
        <v>true</v>
      </c>
      <c r="U131" s="678"/>
      <c r="V131" s="678"/>
      <c r="W131" s="678"/>
      <c r="X131" s="1482"/>
      <c r="Y131" s="678"/>
      <c r="Z131" s="1465"/>
      <c r="AA131" s="678"/>
      <c r="AB131" s="185" t="s">
        <v>272</v>
      </c>
      <c r="AC131" s="186" t="s">
        <v>1304</v>
      </c>
      <c r="AD131" s="178" t="s">
        <v>1305</v>
      </c>
      <c r="AE131" s="201" t="s">
        <v>784</v>
      </c>
      <c r="AF131" s="349"/>
      <c r="AG131" s="349">
        <v>217.6776</v>
      </c>
      <c r="AH131" s="827"/>
      <c r="AI131" s="678"/>
      <c r="AJ131" s="678"/>
      <c r="AK131" s="678"/>
      <c r="AL131" s="1035" t="s">
        <v>1306</v>
      </c>
      <c r="AM131" s="678"/>
      <c r="AN131" s="678"/>
      <c r="AO131" s="678"/>
      <c r="AP131" s="678"/>
      <c r="AQ131" s="678"/>
    </row>
    <row s="3360" customFormat="1" customHeight="1" ht="14.25">
      <c r="A132" s="678"/>
      <c r="B132" s="404"/>
      <c r="C132" s="678"/>
      <c r="D132" s="678"/>
      <c r="E132" s="671">
        <v>15</v>
      </c>
      <c r="F132" s="50" cm="1" t="str">
        <f t="array" ref="F132:F132">OFFSET(E132,-1,1)</f>
        <v>2</v>
      </c>
      <c r="G132" s="113"/>
      <c r="H132" s="113"/>
      <c r="I132" s="399" t="s">
        <v>445</v>
      </c>
      <c r="J132" s="678"/>
      <c r="K132" s="471"/>
      <c r="L132" s="471"/>
      <c r="M132" s="471"/>
      <c r="N132" s="678"/>
      <c r="O132" s="678"/>
      <c r="P132" s="678"/>
      <c r="Q132" s="678"/>
      <c r="R132" s="678"/>
      <c r="S132" s="678"/>
      <c r="T132" s="439" cm="1" t="str">
        <f t="array" ref="T132:T132">T131</f>
        <v>true</v>
      </c>
      <c r="U132" s="678"/>
      <c r="V132" s="678"/>
      <c r="W132" s="678"/>
      <c r="X132" s="1482"/>
      <c r="Y132" s="678"/>
      <c r="Z132" s="1465"/>
      <c r="AA132" s="678"/>
      <c r="AB132" s="185" t="s">
        <v>283</v>
      </c>
      <c r="AC132" s="179" t="s">
        <v>1307</v>
      </c>
      <c r="AD132" s="178" t="s">
        <v>1308</v>
      </c>
      <c r="AE132" s="201" t="s">
        <v>784</v>
      </c>
      <c r="AF132" s="826">
        <f>AF133+AF134+AF146+AF150+AF151+AF152+AF153+AF157+AF158+AF159+AF160+AF163+AF164</f>
        <v>0</v>
      </c>
      <c r="AG132" s="826">
        <f>AG133+AG134+AG146+AG150+AG151+AG152+AG153+AG157+AG158+AG159+AG160+AG163+AG164</f>
        <v>206.2448846429</v>
      </c>
      <c r="AH132" s="827"/>
      <c r="AI132" s="678"/>
      <c r="AJ132" s="678"/>
      <c r="AK132" s="678"/>
      <c r="AL132" s="1035" t="s">
        <v>1309</v>
      </c>
      <c r="AM132" s="678"/>
      <c r="AN132" s="678"/>
      <c r="AO132" s="678"/>
      <c r="AP132" s="678"/>
      <c r="AQ132" s="678"/>
    </row>
    <row s="1621" customFormat="1" customHeight="1" ht="44.25">
      <c r="A133" s="1153"/>
      <c r="B133" s="1160"/>
      <c r="C133" s="1153"/>
      <c r="D133" s="1153"/>
      <c r="E133" s="597">
        <v>22.5</v>
      </c>
      <c r="F133" s="50" cm="1" t="str">
        <f t="array" ref="F133:F133">OFFSET(E133,-1,1)</f>
        <v>2</v>
      </c>
      <c r="G133" s="399" t="s">
        <v>1310</v>
      </c>
      <c r="H133" s="51"/>
      <c r="I133" s="399" t="s">
        <v>1219</v>
      </c>
      <c r="J133" s="1153"/>
      <c r="K133" s="90"/>
      <c r="L133" s="90"/>
      <c r="M133" s="90"/>
      <c r="N133" s="1153"/>
      <c r="O133" s="1153"/>
      <c r="P133" s="1153"/>
      <c r="Q133" s="1153"/>
      <c r="R133" s="1153"/>
      <c r="S133" s="1310"/>
      <c r="T133" s="439" cm="1" t="str">
        <f t="array" ref="T133:T133">T132</f>
        <v>true</v>
      </c>
      <c r="U133" s="1153"/>
      <c r="V133" s="1153"/>
      <c r="W133" s="1153"/>
      <c r="X133" s="1482"/>
      <c r="Y133" s="1153"/>
      <c r="Z133" s="1465"/>
      <c r="AA133" s="1153"/>
      <c r="AB133" s="266" t="s">
        <v>515</v>
      </c>
      <c r="AC133" s="743" t="s">
        <v>1311</v>
      </c>
      <c r="AD133" s="267" t="s">
        <v>1312</v>
      </c>
      <c r="AE133" s="747" t="s">
        <v>784</v>
      </c>
      <c r="AF133" s="265"/>
      <c r="AG133" s="265">
        <v>269.7435243046</v>
      </c>
      <c r="AH133" s="828" t="s">
        <v>1478</v>
      </c>
      <c r="AI133" s="1153"/>
      <c r="AJ133" s="1153"/>
      <c r="AK133" s="1153"/>
      <c r="AL133" s="980" t="s">
        <v>1313</v>
      </c>
      <c r="AM133" s="1153"/>
      <c r="AN133" s="1153"/>
      <c r="AO133" s="1153"/>
      <c r="AP133" s="1153"/>
      <c r="AQ133" s="1153"/>
    </row>
    <row s="1621" customFormat="1" customHeight="1" ht="21.75">
      <c r="A134" s="1153"/>
      <c r="B134" s="1160"/>
      <c r="C134" s="1153"/>
      <c r="D134" s="1153"/>
      <c r="E134" s="597">
        <v>22.5</v>
      </c>
      <c r="F134" s="50" cm="1" t="str">
        <f t="array" ref="F134:F134">OFFSET(E134,-1,1)</f>
        <v>2</v>
      </c>
      <c r="G134" s="399"/>
      <c r="H134" s="51"/>
      <c r="I134" s="399" t="s">
        <v>1222</v>
      </c>
      <c r="J134" s="1153"/>
      <c r="K134" s="90"/>
      <c r="L134" s="90"/>
      <c r="M134" s="90"/>
      <c r="N134" s="1153"/>
      <c r="O134" s="1153"/>
      <c r="P134" s="1153"/>
      <c r="Q134" s="1153"/>
      <c r="R134" s="1153"/>
      <c r="S134" s="1310"/>
      <c r="T134" s="439" cm="1" t="str">
        <f t="array" ref="T134:T134">T133</f>
        <v>true</v>
      </c>
      <c r="U134" s="1153"/>
      <c r="V134" s="1153"/>
      <c r="W134" s="1153"/>
      <c r="X134" s="1482"/>
      <c r="Y134" s="1153"/>
      <c r="Z134" s="1465"/>
      <c r="AA134" s="1153"/>
      <c r="AB134" s="266" t="s">
        <v>519</v>
      </c>
      <c r="AC134" s="743" t="s">
        <v>1314</v>
      </c>
      <c r="AD134" s="267" t="s">
        <v>1315</v>
      </c>
      <c r="AE134" s="747" t="s">
        <v>784</v>
      </c>
      <c r="AF134" s="916">
        <f>SUM(AF135:AF145)</f>
        <v>0</v>
      </c>
      <c r="AG134" s="916">
        <f>SUM(AG135:AG145)</f>
        <v>-42.2735139365</v>
      </c>
      <c r="AH134" s="828"/>
      <c r="AI134" s="1153"/>
      <c r="AJ134" s="1153"/>
      <c r="AK134" s="1153"/>
      <c r="AL134" s="980" t="s">
        <v>1316</v>
      </c>
      <c r="AM134" s="1153"/>
      <c r="AN134" s="1153"/>
      <c r="AO134" s="1153"/>
      <c r="AP134" s="1153"/>
      <c r="AQ134" s="1153"/>
    </row>
    <row s="1621" customFormat="1" customHeight="1" ht="21.75">
      <c r="A135" s="1153"/>
      <c r="B135" s="1160"/>
      <c r="C135" s="1153"/>
      <c r="D135" s="1153"/>
      <c r="E135" s="597">
        <v>22.5</v>
      </c>
      <c r="F135" s="50" cm="1" t="str">
        <f t="array" ref="F135:F135">OFFSET(E135,-1,1)</f>
        <v>2</v>
      </c>
      <c r="G135" s="399"/>
      <c r="H135" s="51"/>
      <c r="I135" s="399" t="s">
        <v>1317</v>
      </c>
      <c r="J135" s="1153"/>
      <c r="K135" s="90"/>
      <c r="L135" s="90"/>
      <c r="M135" s="90"/>
      <c r="N135" s="1153"/>
      <c r="O135" s="1153"/>
      <c r="P135" s="1153"/>
      <c r="Q135" s="1153"/>
      <c r="R135" s="1153"/>
      <c r="S135" s="1310"/>
      <c r="T135" s="439" cm="1" t="str">
        <f t="array" ref="T135:T135">T134</f>
        <v>true</v>
      </c>
      <c r="U135" s="1153"/>
      <c r="V135" s="1153"/>
      <c r="W135" s="1153"/>
      <c r="X135" s="1482"/>
      <c r="Y135" s="1153"/>
      <c r="Z135" s="1465"/>
      <c r="AA135" s="1153"/>
      <c r="AB135" s="765" t="s">
        <v>473</v>
      </c>
      <c r="AC135" s="762" t="s">
        <v>1318</v>
      </c>
      <c r="AD135" s="747"/>
      <c r="AE135" s="747" t="s">
        <v>784</v>
      </c>
      <c r="AF135" s="265">
        <f>_xlfn.SUMIFS(Покупка!$AF$25:$AF$117,Покупка!$F$25:$F$117,$F135,Покупка!$G$25:$G$117,"Итого")</f>
        <v>0</v>
      </c>
      <c r="AG135" s="265">
        <f>_xlfn.SUMIFS(Покупка!$AG$25:$AG$117,Покупка!$F$25:$F$117,$F135,Покупка!$G$25:$G$117,"Итого")</f>
        <v>0</v>
      </c>
      <c r="AH135" s="828"/>
      <c r="AI135" s="1153"/>
      <c r="AJ135" s="1153"/>
      <c r="AK135" s="1153"/>
      <c r="AL135" s="980" t="s">
        <v>1319</v>
      </c>
      <c r="AM135" s="1153"/>
      <c r="AN135" s="1153"/>
      <c r="AO135" s="1153"/>
      <c r="AP135" s="1153"/>
      <c r="AQ135" s="1153"/>
    </row>
    <row s="1621" customFormat="1" customHeight="1" ht="14.25">
      <c r="A136" s="1153"/>
      <c r="B136" s="1160"/>
      <c r="C136" s="1153"/>
      <c r="D136" s="1153"/>
      <c r="E136" s="597">
        <v>15</v>
      </c>
      <c r="F136" s="50" cm="1" t="str">
        <f t="array" ref="F136:F136">OFFSET(E136,-1,1)</f>
        <v>2</v>
      </c>
      <c r="G136" s="399"/>
      <c r="H136" s="51"/>
      <c r="I136" s="399" t="s">
        <v>1320</v>
      </c>
      <c r="J136" s="1153"/>
      <c r="K136" s="90"/>
      <c r="L136" s="90"/>
      <c r="M136" s="90"/>
      <c r="N136" s="1153"/>
      <c r="O136" s="1153"/>
      <c r="P136" s="1153"/>
      <c r="Q136" s="1153"/>
      <c r="R136" s="1153"/>
      <c r="S136" s="1310"/>
      <c r="T136" s="439" cm="1" t="str">
        <f t="array" ref="T136:T136">T135</f>
        <v>true</v>
      </c>
      <c r="U136" s="1153"/>
      <c r="V136" s="1153"/>
      <c r="W136" s="1153"/>
      <c r="X136" s="1482"/>
      <c r="Y136" s="1153"/>
      <c r="Z136" s="1465"/>
      <c r="AA136" s="1153"/>
      <c r="AB136" s="765" t="s">
        <v>1321</v>
      </c>
      <c r="AC136" s="762" t="s">
        <v>1322</v>
      </c>
      <c r="AD136" s="747"/>
      <c r="AE136" s="747" t="s">
        <v>784</v>
      </c>
      <c r="AF136" s="265"/>
      <c r="AG136" s="265">
        <f>_xlfn.SUMIFS('Сырье и материалы'!AG$25:AG$40,'Сырье и материалы'!$F$25:$F$40,$F136,'Сырье и материалы'!$AC$25:$AC$40,"Всего по тарифу")</f>
        <v>0</v>
      </c>
      <c r="AH136" s="828"/>
      <c r="AI136" s="1153"/>
      <c r="AJ136" s="1153"/>
      <c r="AK136" s="1153"/>
      <c r="AL136" s="980" t="s">
        <v>1323</v>
      </c>
      <c r="AM136" s="1153"/>
      <c r="AN136" s="1153"/>
      <c r="AO136" s="1153"/>
      <c r="AP136" s="1153"/>
      <c r="AQ136" s="1153"/>
    </row>
    <row s="1621" customFormat="1" customHeight="1" ht="65.25">
      <c r="A137" s="1153"/>
      <c r="B137" s="1160"/>
      <c r="C137" s="1153"/>
      <c r="D137" s="1153"/>
      <c r="E137" s="597">
        <v>15</v>
      </c>
      <c r="F137" s="50" cm="1" t="str">
        <f t="array" ref="F137:F137">OFFSET(E137,-1,1)</f>
        <v>2</v>
      </c>
      <c r="G137" s="399"/>
      <c r="H137" s="51"/>
      <c r="I137" s="399" t="s">
        <v>1324</v>
      </c>
      <c r="J137" s="1153"/>
      <c r="K137" s="90"/>
      <c r="L137" s="90"/>
      <c r="M137" s="90"/>
      <c r="N137" s="1153"/>
      <c r="O137" s="1153"/>
      <c r="P137" s="1153"/>
      <c r="Q137" s="1153"/>
      <c r="R137" s="1153"/>
      <c r="S137" s="1310"/>
      <c r="T137" s="439" cm="1" t="str">
        <f t="array" ref="T137:T137">T136</f>
        <v>true</v>
      </c>
      <c r="U137" s="1153"/>
      <c r="V137" s="1153"/>
      <c r="W137" s="1153"/>
      <c r="X137" s="1482"/>
      <c r="Y137" s="1153"/>
      <c r="Z137" s="1465"/>
      <c r="AA137" s="1153"/>
      <c r="AB137" s="765" t="s">
        <v>1325</v>
      </c>
      <c r="AC137" s="762" t="s">
        <v>1326</v>
      </c>
      <c r="AD137" s="747"/>
      <c r="AE137" s="747" t="s">
        <v>784</v>
      </c>
      <c r="AF137" s="265"/>
      <c r="AG137" s="265">
        <v>0.0219810635</v>
      </c>
      <c r="AH137" s="828" t="s">
        <v>1479</v>
      </c>
      <c r="AI137" s="1153"/>
      <c r="AJ137" s="1153"/>
      <c r="AK137" s="1153"/>
      <c r="AL137" s="980" t="s">
        <v>1327</v>
      </c>
      <c r="AM137" s="1153"/>
      <c r="AN137" s="1153"/>
      <c r="AO137" s="1153"/>
      <c r="AP137" s="1153"/>
      <c r="AQ137" s="1153"/>
    </row>
    <row s="1621" customFormat="1" customHeight="1" ht="65.25">
      <c r="A138" s="1153"/>
      <c r="B138" s="1160"/>
      <c r="C138" s="1153"/>
      <c r="D138" s="1153"/>
      <c r="E138" s="597">
        <v>67.5</v>
      </c>
      <c r="F138" s="50" cm="1" t="str">
        <f t="array" ref="F138:F138">OFFSET(E138,-1,1)</f>
        <v>2</v>
      </c>
      <c r="G138" s="73" t="s">
        <v>1328</v>
      </c>
      <c r="H138" s="51"/>
      <c r="I138" s="467" t="s">
        <v>1329</v>
      </c>
      <c r="J138" s="1153"/>
      <c r="K138" s="90"/>
      <c r="L138" s="90"/>
      <c r="M138" s="90"/>
      <c r="N138" s="1153"/>
      <c r="O138" s="1153"/>
      <c r="P138" s="1153"/>
      <c r="Q138" s="1153"/>
      <c r="R138" s="1153"/>
      <c r="S138" s="1310"/>
      <c r="T138" s="439" cm="1" t="str">
        <f t="array" ref="T138:T138">T137</f>
        <v>true</v>
      </c>
      <c r="U138" s="1153"/>
      <c r="V138" s="1153"/>
      <c r="W138" s="1153"/>
      <c r="X138" s="1482"/>
      <c r="Y138" s="1153"/>
      <c r="Z138" s="1465"/>
      <c r="AA138" s="1153"/>
      <c r="AB138" s="765" t="s">
        <v>1330</v>
      </c>
      <c r="AC138" s="762" t="s">
        <v>1331</v>
      </c>
      <c r="AD138" s="747"/>
      <c r="AE138" s="747" t="s">
        <v>784</v>
      </c>
      <c r="AF138" s="265"/>
      <c r="AG138" s="265">
        <f>IF(AND(method_reg="Метод индексации",first_year=god),_xlfn.SUMIFS('Калькуляция (МИ)'!$AG$25:$AG$459,'Калькуляция (МИ)'!$F$25:$F$459,$F138,'Калькуляция (МИ)'!$G$25:$G$459,$G138),_xlfn.SUMIFS('Калькуляция (МИ корр)'!$AG$25:$AG$459,'Калькуляция (МИ корр)'!$F$25:$F$459,$F138,'Калькуляция (МИ корр)'!$G$25:$G$459,$G138))</f>
        <v>0</v>
      </c>
      <c r="AH138" s="828"/>
      <c r="AI138" s="1153"/>
      <c r="AJ138" s="1153"/>
      <c r="AK138" s="1153"/>
      <c r="AL138" s="980" t="s">
        <v>1332</v>
      </c>
      <c r="AM138" s="1153"/>
      <c r="AN138" s="1153"/>
      <c r="AO138" s="1153"/>
      <c r="AP138" s="1153"/>
      <c r="AQ138" s="1153"/>
    </row>
    <row s="1621" customFormat="1" customHeight="1" ht="14.25">
      <c r="A139" s="1153"/>
      <c r="B139" s="1160"/>
      <c r="C139" s="1153"/>
      <c r="D139" s="1153"/>
      <c r="E139" s="597">
        <v>15</v>
      </c>
      <c r="F139" s="50" cm="1" t="str">
        <f t="array" ref="F139:F139">OFFSET(E139,-1,1)</f>
        <v>2</v>
      </c>
      <c r="G139" s="73" t="s">
        <v>949</v>
      </c>
      <c r="H139" s="51"/>
      <c r="I139" s="467" t="s">
        <v>1333</v>
      </c>
      <c r="J139" s="1153"/>
      <c r="K139" s="90"/>
      <c r="L139" s="90"/>
      <c r="M139" s="90"/>
      <c r="N139" s="1153"/>
      <c r="O139" s="1153"/>
      <c r="P139" s="1153"/>
      <c r="Q139" s="1153"/>
      <c r="R139" s="1153"/>
      <c r="S139" s="1310"/>
      <c r="T139" s="439" cm="1" t="str">
        <f t="array" ref="T139:T139">T138</f>
        <v>true</v>
      </c>
      <c r="U139" s="1153"/>
      <c r="V139" s="1153"/>
      <c r="W139" s="1153"/>
      <c r="X139" s="1482"/>
      <c r="Y139" s="1153"/>
      <c r="Z139" s="1465"/>
      <c r="AA139" s="1153"/>
      <c r="AB139" s="765" t="s">
        <v>1334</v>
      </c>
      <c r="AC139" s="762" t="s">
        <v>1335</v>
      </c>
      <c r="AD139" s="747"/>
      <c r="AE139" s="747" t="s">
        <v>784</v>
      </c>
      <c r="AF139" s="265"/>
      <c r="AG139" s="265">
        <f>IF(AND(method_reg="Метод индексации",first_year=god),_xlfn.SUMIFS('Калькуляция (МИ)'!$AG$25:$AG$459,'Калькуляция (МИ)'!$F$25:$F$459,$F139,'Калькуляция (МИ)'!$G$25:$G$459,$G139),_xlfn.SUMIFS('Калькуляция (МИ корр)'!$AG$25:$AG$459,'Калькуляция (МИ корр)'!$F$25:$F$459,$F139,'Калькуляция (МИ корр)'!$G$25:$G$459,$G139))</f>
        <v>0</v>
      </c>
      <c r="AH139" s="828"/>
      <c r="AI139" s="1153"/>
      <c r="AJ139" s="1153"/>
      <c r="AK139" s="1153"/>
      <c r="AL139" s="980" t="s">
        <v>1336</v>
      </c>
      <c r="AM139" s="1153"/>
      <c r="AN139" s="1153"/>
      <c r="AO139" s="1153"/>
      <c r="AP139" s="1153"/>
      <c r="AQ139" s="1153"/>
    </row>
    <row s="1621" customFormat="1" customHeight="1" ht="14.25">
      <c r="A140" s="1153"/>
      <c r="B140" s="1160"/>
      <c r="C140" s="1153"/>
      <c r="D140" s="1153"/>
      <c r="E140" s="597">
        <v>15</v>
      </c>
      <c r="F140" s="50" cm="1" t="str">
        <f t="array" ref="F140:F140">OFFSET(E140,-1,1)</f>
        <v>2</v>
      </c>
      <c r="G140" s="73" t="s">
        <v>1337</v>
      </c>
      <c r="H140" s="51"/>
      <c r="I140" s="467" t="s">
        <v>1338</v>
      </c>
      <c r="J140" s="1153"/>
      <c r="K140" s="90"/>
      <c r="L140" s="90"/>
      <c r="M140" s="90"/>
      <c r="N140" s="1153"/>
      <c r="O140" s="1153"/>
      <c r="P140" s="1153"/>
      <c r="Q140" s="1153"/>
      <c r="R140" s="1153"/>
      <c r="S140" s="1310"/>
      <c r="T140" s="439" cm="1" t="str">
        <f t="array" ref="T140:T140">T139</f>
        <v>true</v>
      </c>
      <c r="U140" s="1153"/>
      <c r="V140" s="1153"/>
      <c r="W140" s="1153"/>
      <c r="X140" s="1482"/>
      <c r="Y140" s="1153"/>
      <c r="Z140" s="1465"/>
      <c r="AA140" s="1153"/>
      <c r="AB140" s="765" t="s">
        <v>1339</v>
      </c>
      <c r="AC140" s="762" t="s">
        <v>1340</v>
      </c>
      <c r="AD140" s="747"/>
      <c r="AE140" s="747" t="s">
        <v>784</v>
      </c>
      <c r="AF140" s="265"/>
      <c r="AG140" s="265">
        <f>IF(AND(method_reg="Метод индексации",first_year=god),_xlfn.SUMIFS('Калькуляция (МИ)'!$AG$25:$AG$459,'Калькуляция (МИ)'!$F$25:$F$459,$F140,'Калькуляция (МИ)'!$G$25:$G$459,$G140),_xlfn.SUMIFS('Калькуляция (МИ корр)'!$AG$25:$AG$459,'Калькуляция (МИ корр)'!$F$25:$F$459,$F140,'Калькуляция (МИ корр)'!$G$25:$G$459,$G140))</f>
        <v>0</v>
      </c>
      <c r="AH140" s="828"/>
      <c r="AI140" s="1153"/>
      <c r="AJ140" s="1153"/>
      <c r="AK140" s="1153"/>
      <c r="AL140" s="980" t="s">
        <v>1341</v>
      </c>
      <c r="AM140" s="1153"/>
      <c r="AN140" s="1153"/>
      <c r="AO140" s="1153"/>
      <c r="AP140" s="1153"/>
      <c r="AQ140" s="1153"/>
    </row>
    <row s="1621" customFormat="1" customHeight="1" ht="21.75">
      <c r="A141" s="1153"/>
      <c r="B141" s="1160"/>
      <c r="C141" s="1153"/>
      <c r="D141" s="1153"/>
      <c r="E141" s="597">
        <v>22.5</v>
      </c>
      <c r="F141" s="50" cm="1" t="str">
        <f t="array" ref="F141:F141">OFFSET(E141,-1,1)</f>
        <v>2</v>
      </c>
      <c r="G141" s="73" t="s">
        <v>1342</v>
      </c>
      <c r="H141" s="51"/>
      <c r="I141" s="467" t="s">
        <v>1343</v>
      </c>
      <c r="J141" s="1153"/>
      <c r="K141" s="90"/>
      <c r="L141" s="90"/>
      <c r="M141" s="90"/>
      <c r="N141" s="1153"/>
      <c r="O141" s="1153"/>
      <c r="P141" s="1153"/>
      <c r="Q141" s="1153"/>
      <c r="R141" s="1153"/>
      <c r="S141" s="1310"/>
      <c r="T141" s="439" cm="1" t="str">
        <f t="array" ref="T141:T141">T140</f>
        <v>true</v>
      </c>
      <c r="U141" s="1153"/>
      <c r="V141" s="1153"/>
      <c r="W141" s="1153"/>
      <c r="X141" s="1482"/>
      <c r="Y141" s="1153"/>
      <c r="Z141" s="1465"/>
      <c r="AA141" s="1153"/>
      <c r="AB141" s="765" t="s">
        <v>1344</v>
      </c>
      <c r="AC141" s="762" t="s">
        <v>1345</v>
      </c>
      <c r="AD141" s="747"/>
      <c r="AE141" s="747" t="s">
        <v>784</v>
      </c>
      <c r="AF141" s="265"/>
      <c r="AG141" s="265">
        <f>IF(AND(method_reg="Метод индексации",first_year=god),_xlfn.SUMIFS('Калькуляция (МИ)'!$AG$25:$AG$459,'Калькуляция (МИ)'!$F$25:$F$459,$F141,'Калькуляция (МИ)'!$G$25:$G$459,$G141),_xlfn.SUMIFS('Калькуляция (МИ корр)'!$AG$25:$AG$459,'Калькуляция (МИ корр)'!$F$25:$F$459,$F141,'Калькуляция (МИ корр)'!$G$25:$G$459,$G141))</f>
        <v>0</v>
      </c>
      <c r="AH141" s="828"/>
      <c r="AI141" s="1153"/>
      <c r="AJ141" s="1153"/>
      <c r="AK141" s="1153"/>
      <c r="AL141" s="980" t="s">
        <v>1346</v>
      </c>
      <c r="AM141" s="1153"/>
      <c r="AN141" s="1153"/>
      <c r="AO141" s="1153"/>
      <c r="AP141" s="1153"/>
      <c r="AQ141" s="1153"/>
    </row>
    <row s="1621" customFormat="1" customHeight="1" ht="21.75">
      <c r="A142" s="1153"/>
      <c r="B142" s="1160"/>
      <c r="C142" s="1153"/>
      <c r="D142" s="1153"/>
      <c r="E142" s="597">
        <v>22.5</v>
      </c>
      <c r="F142" s="50" cm="1" t="str">
        <f t="array" ref="F142:F142">OFFSET(E142,-1,1)</f>
        <v>2</v>
      </c>
      <c r="G142" s="73" t="s">
        <v>1347</v>
      </c>
      <c r="H142" s="51"/>
      <c r="I142" s="467" t="s">
        <v>1348</v>
      </c>
      <c r="J142" s="1153"/>
      <c r="K142" s="90"/>
      <c r="L142" s="90"/>
      <c r="M142" s="90"/>
      <c r="N142" s="1153"/>
      <c r="O142" s="1153"/>
      <c r="P142" s="1153"/>
      <c r="Q142" s="1153"/>
      <c r="R142" s="1153"/>
      <c r="S142" s="1310"/>
      <c r="T142" s="439" cm="1" t="str">
        <f t="array" ref="T142:T142">T141</f>
        <v>true</v>
      </c>
      <c r="U142" s="1153"/>
      <c r="V142" s="1153"/>
      <c r="W142" s="1153"/>
      <c r="X142" s="1482"/>
      <c r="Y142" s="1153"/>
      <c r="Z142" s="1465"/>
      <c r="AA142" s="1153"/>
      <c r="AB142" s="765" t="s">
        <v>1349</v>
      </c>
      <c r="AC142" s="762" t="s">
        <v>1350</v>
      </c>
      <c r="AD142" s="917"/>
      <c r="AE142" s="747" t="s">
        <v>784</v>
      </c>
      <c r="AF142" s="265"/>
      <c r="AG142" s="265">
        <f>IF(AND(method_reg="Метод индексации",first_year=god),_xlfn.SUMIFS('Калькуляция (МИ)'!$AG$25:$AG$459,'Калькуляция (МИ)'!$F$25:$F$459,$F142,'Калькуляция (МИ)'!$G$25:$G$459,$G142),_xlfn.SUMIFS('Калькуляция (МИ корр)'!$AG$25:$AG$459,'Калькуляция (МИ корр)'!$F$25:$F$459,$F142,'Калькуляция (МИ корр)'!$G$25:$G$459,$G142))</f>
        <v>0</v>
      </c>
      <c r="AH142" s="828"/>
      <c r="AI142" s="1153"/>
      <c r="AJ142" s="1153"/>
      <c r="AK142" s="1153"/>
      <c r="AL142" s="980" t="s">
        <v>1351</v>
      </c>
      <c r="AM142" s="1153"/>
      <c r="AN142" s="1153"/>
      <c r="AO142" s="1153"/>
      <c r="AP142" s="1153"/>
      <c r="AQ142" s="1153"/>
    </row>
    <row s="1621" customFormat="1" customHeight="1" ht="23.25">
      <c r="A143" s="1153"/>
      <c r="B143" s="1160"/>
      <c r="C143" s="1153"/>
      <c r="D143" s="1153"/>
      <c r="E143" s="597">
        <v>22.5</v>
      </c>
      <c r="F143" s="50" cm="1" t="str">
        <f t="array" ref="F143:F143">OFFSET(E143,-1,1)</f>
        <v>2</v>
      </c>
      <c r="G143" s="73" t="s">
        <v>1352</v>
      </c>
      <c r="H143" s="51"/>
      <c r="I143" s="467" t="s">
        <v>1353</v>
      </c>
      <c r="J143" s="1153"/>
      <c r="K143" s="90"/>
      <c r="L143" s="90"/>
      <c r="M143" s="90"/>
      <c r="N143" s="1153"/>
      <c r="O143" s="1153"/>
      <c r="P143" s="1153"/>
      <c r="Q143" s="1153"/>
      <c r="R143" s="1153"/>
      <c r="S143" s="1310"/>
      <c r="T143" s="439" cm="1" t="str">
        <f t="array" ref="T143:T143">T142</f>
        <v>true</v>
      </c>
      <c r="U143" s="1153"/>
      <c r="V143" s="1153"/>
      <c r="W143" s="1153"/>
      <c r="X143" s="1482"/>
      <c r="Y143" s="1153"/>
      <c r="Z143" s="1465"/>
      <c r="AA143" s="1153"/>
      <c r="AB143" s="765" t="s">
        <v>1354</v>
      </c>
      <c r="AC143" s="762" t="s">
        <v>1355</v>
      </c>
      <c r="AD143" s="917"/>
      <c r="AE143" s="747" t="s">
        <v>784</v>
      </c>
      <c r="AF143" s="265"/>
      <c r="AG143" s="265">
        <v>-42.295495</v>
      </c>
      <c r="AH143" s="828"/>
      <c r="AI143" s="1153"/>
      <c r="AJ143" s="1153"/>
      <c r="AK143" s="1153"/>
      <c r="AL143" s="980" t="s">
        <v>1356</v>
      </c>
      <c r="AM143" s="1153"/>
      <c r="AN143" s="1153"/>
      <c r="AO143" s="1153"/>
      <c r="AP143" s="1153"/>
      <c r="AQ143" s="1153"/>
    </row>
    <row s="1621" customFormat="1" customHeight="1" ht="14.25">
      <c r="A144" s="1153"/>
      <c r="B144" s="1160"/>
      <c r="C144" s="1153"/>
      <c r="D144" s="1153"/>
      <c r="E144" s="597">
        <v>15</v>
      </c>
      <c r="F144" s="50" cm="1" t="str">
        <f t="array" ref="F144:F144">OFFSET(E144,-1,1)</f>
        <v>2</v>
      </c>
      <c r="G144" s="73" t="s">
        <v>1357</v>
      </c>
      <c r="H144" s="51"/>
      <c r="I144" s="467" t="s">
        <v>1358</v>
      </c>
      <c r="J144" s="1153"/>
      <c r="K144" s="90"/>
      <c r="L144" s="90"/>
      <c r="M144" s="90"/>
      <c r="N144" s="1153"/>
      <c r="O144" s="1153"/>
      <c r="P144" s="1153"/>
      <c r="Q144" s="1153"/>
      <c r="R144" s="1153"/>
      <c r="S144" s="1310"/>
      <c r="T144" s="439" cm="1" t="str">
        <f t="array" ref="T144:T144">T143</f>
        <v>true</v>
      </c>
      <c r="U144" s="1153"/>
      <c r="V144" s="1153"/>
      <c r="W144" s="1153"/>
      <c r="X144" s="1482"/>
      <c r="Y144" s="1153"/>
      <c r="Z144" s="1465"/>
      <c r="AA144" s="1153"/>
      <c r="AB144" s="765" t="s">
        <v>1359</v>
      </c>
      <c r="AC144" s="762" t="s">
        <v>1360</v>
      </c>
      <c r="AD144" s="917"/>
      <c r="AE144" s="747" t="s">
        <v>784</v>
      </c>
      <c r="AF144" s="265"/>
      <c r="AG144" s="265">
        <f>IF(AND(method_reg="Метод индексации",first_year=god),_xlfn.SUMIFS('Калькуляция (МИ)'!$AG$25:$AG$459,'Калькуляция (МИ)'!$F$25:$F$459,$F144,'Калькуляция (МИ)'!$G$25:$G$459,$G144),_xlfn.SUMIFS('Калькуляция (МИ корр)'!$AG$25:$AG$459,'Калькуляция (МИ корр)'!$F$25:$F$459,$F144,'Калькуляция (МИ корр)'!$G$25:$G$459,$G144))</f>
        <v>0</v>
      </c>
      <c r="AH144" s="828"/>
      <c r="AI144" s="1153"/>
      <c r="AJ144" s="1153"/>
      <c r="AK144" s="1153"/>
      <c r="AL144" s="980" t="s">
        <v>1361</v>
      </c>
      <c r="AM144" s="1153"/>
      <c r="AN144" s="1153"/>
      <c r="AO144" s="1153"/>
      <c r="AP144" s="1153"/>
      <c r="AQ144" s="1153"/>
    </row>
    <row s="1621" customFormat="1" customHeight="1" ht="21.75">
      <c r="A145" s="1153"/>
      <c r="B145" s="1160"/>
      <c r="C145" s="1153"/>
      <c r="D145" s="1153"/>
      <c r="E145" s="597">
        <v>22.5</v>
      </c>
      <c r="F145" s="50" cm="1" t="str">
        <f t="array" ref="F145:F145">OFFSET(E145,-1,1)</f>
        <v>2</v>
      </c>
      <c r="G145" s="73" t="s">
        <v>1362</v>
      </c>
      <c r="H145" s="51"/>
      <c r="I145" s="467" t="s">
        <v>1363</v>
      </c>
      <c r="J145" s="1153"/>
      <c r="K145" s="90"/>
      <c r="L145" s="90"/>
      <c r="M145" s="90"/>
      <c r="N145" s="1153"/>
      <c r="O145" s="1153"/>
      <c r="P145" s="1153"/>
      <c r="Q145" s="1153"/>
      <c r="R145" s="1153"/>
      <c r="S145" s="1310"/>
      <c r="T145" s="439" cm="1" t="str">
        <f t="array" ref="T145:T145">T144</f>
        <v>true</v>
      </c>
      <c r="U145" s="1153"/>
      <c r="V145" s="1153"/>
      <c r="W145" s="1153"/>
      <c r="X145" s="1482"/>
      <c r="Y145" s="1153"/>
      <c r="Z145" s="1465"/>
      <c r="AA145" s="1153"/>
      <c r="AB145" s="765" t="s">
        <v>1364</v>
      </c>
      <c r="AC145" s="762" t="s">
        <v>1365</v>
      </c>
      <c r="AD145" s="917"/>
      <c r="AE145" s="747" t="s">
        <v>784</v>
      </c>
      <c r="AF145" s="265"/>
      <c r="AG145" s="265">
        <f>IF(AND(method_reg="Метод индексации",first_year=god),_xlfn.SUMIFS('Калькуляция (МИ)'!$AG$25:$AG$459,'Калькуляция (МИ)'!$F$25:$F$459,$F145,'Калькуляция (МИ)'!$G$25:$G$459,$G145),_xlfn.SUMIFS('Калькуляция (МИ корр)'!$AG$25:$AG$459,'Калькуляция (МИ корр)'!$F$25:$F$459,$F145,'Калькуляция (МИ корр)'!$G$25:$G$459,$G145))</f>
        <v>0</v>
      </c>
      <c r="AH145" s="828"/>
      <c r="AI145" s="1153"/>
      <c r="AJ145" s="1153"/>
      <c r="AK145" s="1153"/>
      <c r="AL145" s="980" t="s">
        <v>1366</v>
      </c>
      <c r="AM145" s="1153"/>
      <c r="AN145" s="1153"/>
      <c r="AO145" s="1153"/>
      <c r="AP145" s="1153"/>
      <c r="AQ145" s="1153"/>
    </row>
    <row s="1621" customFormat="1" customHeight="1" ht="54.75">
      <c r="A146" s="1153"/>
      <c r="B146" s="1160"/>
      <c r="C146" s="1153"/>
      <c r="D146" s="1153"/>
      <c r="E146" s="597">
        <v>15</v>
      </c>
      <c r="F146" s="50" cm="1" t="str">
        <f t="array" ref="F146:F146">OFFSET(E146,-1,1)</f>
        <v>2</v>
      </c>
      <c r="G146" s="399"/>
      <c r="H146" s="51"/>
      <c r="I146" s="399" t="s">
        <v>1226</v>
      </c>
      <c r="J146" s="1153"/>
      <c r="K146" s="90"/>
      <c r="L146" s="90"/>
      <c r="M146" s="90"/>
      <c r="N146" s="1153"/>
      <c r="O146" s="1153"/>
      <c r="P146" s="1153"/>
      <c r="Q146" s="1153"/>
      <c r="R146" s="1153"/>
      <c r="S146" s="1310"/>
      <c r="T146" s="439" cm="1" t="str">
        <f t="array" ref="T146:T146">T145</f>
        <v>true</v>
      </c>
      <c r="U146" s="1153"/>
      <c r="V146" s="1153"/>
      <c r="W146" s="1153"/>
      <c r="X146" s="1482"/>
      <c r="Y146" s="1153"/>
      <c r="Z146" s="1465"/>
      <c r="AA146" s="1153"/>
      <c r="AB146" s="266" t="s">
        <v>523</v>
      </c>
      <c r="AC146" s="743" t="s">
        <v>1367</v>
      </c>
      <c r="AD146" s="267" t="s">
        <v>1368</v>
      </c>
      <c r="AE146" s="747" t="s">
        <v>784</v>
      </c>
      <c r="AF146" s="265">
        <f>AF147*AF148*AF149</f>
        <v>0</v>
      </c>
      <c r="AG146" s="265">
        <v>17.766357501</v>
      </c>
      <c r="AH146" s="828" t="s">
        <v>1480</v>
      </c>
      <c r="AI146" s="1153"/>
      <c r="AJ146" s="1153"/>
      <c r="AK146" s="1153"/>
      <c r="AL146" s="980" t="s">
        <v>1369</v>
      </c>
      <c r="AM146" s="1153"/>
      <c r="AN146" s="1153"/>
      <c r="AO146" s="1153"/>
      <c r="AP146" s="1153"/>
      <c r="AQ146" s="1153"/>
    </row>
    <row s="1621" customFormat="1" customHeight="1" ht="23.25">
      <c r="A147" s="1153"/>
      <c r="B147" s="1160"/>
      <c r="C147" s="1153"/>
      <c r="D147" s="1153"/>
      <c r="E147" s="597">
        <v>22.5</v>
      </c>
      <c r="F147" s="50" cm="1" t="str">
        <f t="array" ref="F147:F147">OFFSET(E147,-1,1)</f>
        <v>2</v>
      </c>
      <c r="G147" s="399"/>
      <c r="H147" s="51"/>
      <c r="I147" s="399" t="s">
        <v>1370</v>
      </c>
      <c r="J147" s="1153"/>
      <c r="K147" s="90"/>
      <c r="L147" s="90"/>
      <c r="M147" s="90"/>
      <c r="N147" s="1153"/>
      <c r="O147" s="1153"/>
      <c r="P147" s="1153"/>
      <c r="Q147" s="1153"/>
      <c r="R147" s="1153"/>
      <c r="S147" s="1310"/>
      <c r="T147" s="439" cm="1" t="str">
        <f t="array" ref="T147:T147">T146</f>
        <v>true</v>
      </c>
      <c r="U147" s="1153"/>
      <c r="V147" s="1153"/>
      <c r="W147" s="1153"/>
      <c r="X147" s="1482"/>
      <c r="Y147" s="1153"/>
      <c r="Z147" s="1465"/>
      <c r="AA147" s="1153"/>
      <c r="AB147" s="266" t="s">
        <v>478</v>
      </c>
      <c r="AC147" s="746" t="s">
        <v>1371</v>
      </c>
      <c r="AD147" s="267" t="s">
        <v>1372</v>
      </c>
      <c r="AE147" s="747" t="s">
        <v>801</v>
      </c>
      <c r="AF147" s="265"/>
      <c r="AG147" s="265">
        <v>1.6108106649</v>
      </c>
      <c r="AH147" s="828"/>
      <c r="AI147" s="1153"/>
      <c r="AJ147" s="1153"/>
      <c r="AK147" s="1153"/>
      <c r="AL147" s="980" t="s">
        <v>1373</v>
      </c>
      <c r="AM147" s="1153"/>
      <c r="AN147" s="1153"/>
      <c r="AO147" s="1153"/>
      <c r="AP147" s="1153"/>
      <c r="AQ147" s="1153"/>
    </row>
    <row s="1621" customFormat="1" customHeight="1" ht="14.25">
      <c r="A148" s="1153"/>
      <c r="B148" s="1160"/>
      <c r="C148" s="1153"/>
      <c r="D148" s="1153"/>
      <c r="E148" s="597">
        <v>15</v>
      </c>
      <c r="F148" s="50" cm="1" t="str">
        <f t="array" ref="F148:F148">OFFSET(E148,-1,1)</f>
        <v>2</v>
      </c>
      <c r="G148" s="399"/>
      <c r="H148" s="51"/>
      <c r="I148" s="399" t="s">
        <v>1374</v>
      </c>
      <c r="J148" s="1153"/>
      <c r="K148" s="90"/>
      <c r="L148" s="90"/>
      <c r="M148" s="90"/>
      <c r="N148" s="1153"/>
      <c r="O148" s="1153"/>
      <c r="P148" s="1153"/>
      <c r="Q148" s="1153"/>
      <c r="R148" s="1153"/>
      <c r="S148" s="1310"/>
      <c r="T148" s="439" cm="1" t="str">
        <f t="array" ref="T148:T148">T147</f>
        <v>true</v>
      </c>
      <c r="U148" s="1153"/>
      <c r="V148" s="1153"/>
      <c r="W148" s="1153"/>
      <c r="X148" s="1482"/>
      <c r="Y148" s="1153"/>
      <c r="Z148" s="1465"/>
      <c r="AA148" s="1153"/>
      <c r="AB148" s="266" t="s">
        <v>1375</v>
      </c>
      <c r="AC148" s="746" t="s">
        <v>1376</v>
      </c>
      <c r="AD148" s="267" t="s">
        <v>1377</v>
      </c>
      <c r="AE148" s="747" t="s">
        <v>795</v>
      </c>
      <c r="AF148" s="265"/>
      <c r="AG148" s="265">
        <f>_xlfn.SUMIFS(ЭЭ!AG$25:AG$93,ЭЭ!$F$25:$F$93,$F147,ЭЭ!$AC$25:$AC$93,"Объём воды/сточных вод")</f>
        <v>0</v>
      </c>
      <c r="AH148" s="828"/>
      <c r="AI148" s="1153"/>
      <c r="AJ148" s="1153"/>
      <c r="AK148" s="1153"/>
      <c r="AL148" s="980" t="s">
        <v>1378</v>
      </c>
      <c r="AM148" s="1153"/>
      <c r="AN148" s="1153"/>
      <c r="AO148" s="1153"/>
      <c r="AP148" s="1153"/>
      <c r="AQ148" s="1153"/>
    </row>
    <row s="1621" customFormat="1" customHeight="1" ht="21.75">
      <c r="A149" s="1153"/>
      <c r="B149" s="1160"/>
      <c r="C149" s="1153"/>
      <c r="D149" s="1153"/>
      <c r="E149" s="597">
        <v>22.5</v>
      </c>
      <c r="F149" s="50" cm="1" t="str">
        <f t="array" ref="F149:F149">OFFSET(E149,-1,1)</f>
        <v>2</v>
      </c>
      <c r="G149" s="399"/>
      <c r="H149" s="51"/>
      <c r="I149" s="399" t="s">
        <v>1379</v>
      </c>
      <c r="J149" s="1153"/>
      <c r="K149" s="90"/>
      <c r="L149" s="90"/>
      <c r="M149" s="90"/>
      <c r="N149" s="1153"/>
      <c r="O149" s="1153"/>
      <c r="P149" s="1153"/>
      <c r="Q149" s="1153"/>
      <c r="R149" s="1153"/>
      <c r="S149" s="1310"/>
      <c r="T149" s="439" cm="1" t="str">
        <f t="array" ref="T149:T149">T148</f>
        <v>true</v>
      </c>
      <c r="U149" s="1153"/>
      <c r="V149" s="1153"/>
      <c r="W149" s="1153"/>
      <c r="X149" s="1482"/>
      <c r="Y149" s="1153"/>
      <c r="Z149" s="1465"/>
      <c r="AA149" s="1153"/>
      <c r="AB149" s="266" t="s">
        <v>1380</v>
      </c>
      <c r="AC149" s="746" t="s">
        <v>1381</v>
      </c>
      <c r="AD149" s="267" t="s">
        <v>1382</v>
      </c>
      <c r="AE149" s="747" t="s">
        <v>798</v>
      </c>
      <c r="AF149" s="265"/>
      <c r="AG149" s="265">
        <f>_xlfn.SUMIFS(ЭЭ!AG$25:AG$93,ЭЭ!$F$25:$F$93,$F147,ЭЭ!$AC$25:$AC$93,"Средний (расчетный) тариф")</f>
        <v>2.9741224587405</v>
      </c>
      <c r="AH149" s="828"/>
      <c r="AI149" s="1153"/>
      <c r="AJ149" s="1153"/>
      <c r="AK149" s="1153"/>
      <c r="AL149" s="980" t="s">
        <v>1383</v>
      </c>
      <c r="AM149" s="1153"/>
      <c r="AN149" s="1153"/>
      <c r="AO149" s="1153"/>
      <c r="AP149" s="1153"/>
      <c r="AQ149" s="1153"/>
    </row>
    <row s="1621" customFormat="1" customHeight="1" ht="65.25">
      <c r="A150" s="1153"/>
      <c r="B150" s="1160"/>
      <c r="C150" s="1153"/>
      <c r="D150" s="1153"/>
      <c r="E150" s="597">
        <v>22.5</v>
      </c>
      <c r="F150" s="50" cm="1" t="str">
        <f t="array" ref="F150:F150">OFFSET(E150,-1,1)</f>
        <v>2</v>
      </c>
      <c r="G150" s="399" t="s">
        <v>1384</v>
      </c>
      <c r="H150" s="51"/>
      <c r="I150" s="399" t="s">
        <v>1385</v>
      </c>
      <c r="J150" s="1153"/>
      <c r="K150" s="90"/>
      <c r="L150" s="90"/>
      <c r="M150" s="90"/>
      <c r="N150" s="1153"/>
      <c r="O150" s="1153"/>
      <c r="P150" s="1153"/>
      <c r="Q150" s="1153"/>
      <c r="R150" s="1153"/>
      <c r="S150" s="1310"/>
      <c r="T150" s="439" cm="1" t="str">
        <f t="array" ref="T150:T150">T149</f>
        <v>true</v>
      </c>
      <c r="U150" s="1153"/>
      <c r="V150" s="1153"/>
      <c r="W150" s="1153"/>
      <c r="X150" s="1482"/>
      <c r="Y150" s="1153"/>
      <c r="Z150" s="1465"/>
      <c r="AA150" s="1153"/>
      <c r="AB150" s="266" t="s">
        <v>868</v>
      </c>
      <c r="AC150" s="743" t="s">
        <v>1386</v>
      </c>
      <c r="AD150" s="267" t="s">
        <v>1387</v>
      </c>
      <c r="AE150" s="747" t="s">
        <v>784</v>
      </c>
      <c r="AF150" s="265"/>
      <c r="AG150" s="265">
        <v>1.1365662738</v>
      </c>
      <c r="AH150" s="828" t="s">
        <v>1481</v>
      </c>
      <c r="AI150" s="1153"/>
      <c r="AJ150" s="1153"/>
      <c r="AK150" s="1153"/>
      <c r="AL150" s="980" t="s">
        <v>1123</v>
      </c>
      <c r="AM150" s="1153"/>
      <c r="AN150" s="1153"/>
      <c r="AO150" s="1153"/>
      <c r="AP150" s="1153"/>
      <c r="AQ150" s="1153"/>
    </row>
    <row s="1621" customFormat="1" customHeight="1" ht="14.25">
      <c r="A151" s="1153"/>
      <c r="B151" s="1160"/>
      <c r="C151" s="1153"/>
      <c r="D151" s="1153"/>
      <c r="E151" s="597">
        <v>15</v>
      </c>
      <c r="F151" s="50" cm="1" t="str">
        <f t="array" ref="F151:F151">OFFSET(E151,-1,1)</f>
        <v>2</v>
      </c>
      <c r="G151" s="399" t="s">
        <v>1388</v>
      </c>
      <c r="H151" s="51"/>
      <c r="I151" s="399" t="s">
        <v>1389</v>
      </c>
      <c r="J151" s="1153"/>
      <c r="K151" s="90"/>
      <c r="L151" s="90"/>
      <c r="M151" s="90"/>
      <c r="N151" s="1153"/>
      <c r="O151" s="1153"/>
      <c r="P151" s="1153"/>
      <c r="Q151" s="1153"/>
      <c r="R151" s="1153"/>
      <c r="S151" s="1310"/>
      <c r="T151" s="439" cm="1" t="str">
        <f t="array" ref="T151:T151">T150</f>
        <v>true</v>
      </c>
      <c r="U151" s="1153"/>
      <c r="V151" s="1153"/>
      <c r="W151" s="1153"/>
      <c r="X151" s="1482"/>
      <c r="Y151" s="1153"/>
      <c r="Z151" s="1465"/>
      <c r="AA151" s="1153"/>
      <c r="AB151" s="266" t="s">
        <v>871</v>
      </c>
      <c r="AC151" s="918" t="s">
        <v>1390</v>
      </c>
      <c r="AD151" s="267" t="s">
        <v>1391</v>
      </c>
      <c r="AE151" s="747" t="s">
        <v>784</v>
      </c>
      <c r="AF151" s="265"/>
      <c r="AG151" s="265">
        <f>IF(AND(method_reg="Метод индексации",first_year=god),_xlfn.SUMIFS('Калькуляция (МИ)'!$AE$25:$AE$459,'Калькуляция (МИ)'!$F$25:$F$459,$F151,'Калькуляция (МИ)'!$G$25:$G$459,"Нормативная прибыль")-_xlfn.SUMIFS('Калькуляция (МИ)'!$AE$25:$AE$459,'Калькуляция (МИ)'!$F$25:$F$459,$F151,'Калькуляция (МИ)'!$G$25:$G$459,"иные экономически обоснованные расходы на социальные нужды")+_xlfn.SUMIFS('Калькуляция (МИ)'!$AG$25:$AG$459,'Калькуляция (МИ)'!$F$25:$F$459,$F151,'Калькуляция (МИ)'!$G$25:$G$459,"иные экономически обоснованные расходы на социальные нужды"),_xlfn.SUMIFS('Калькуляция (МИ корр)'!$AE$25:$AE$459,'Калькуляция (МИ корр)'!$F$25:$F$459,$F151,'Калькуляция (МИ корр)'!$G$25:$G$459,"Нормативная прибыль")-_xlfn.SUMIFS('Калькуляция (МИ корр)'!$AE$25:$AE$459,'Калькуляция (МИ корр)'!$F$25:$F$459,$F151,'Калькуляция (МИ корр)'!$G$25:$G$459,"иные экономически обоснованные расходы на социальные нужды")+_xlfn.SUMIFS('Калькуляция (МИ корр)'!$AG$25:$AG$459,'Калькуляция (МИ корр)'!$F$25:$F$459,$F151,'Калькуляция (МИ корр)'!$G$25:$G$459,"иные экономически обоснованные расходы на социальные нужды"))</f>
        <v>0</v>
      </c>
      <c r="AH151" s="828"/>
      <c r="AI151" s="1153"/>
      <c r="AJ151" s="1153"/>
      <c r="AK151" s="1153"/>
      <c r="AL151" s="980" t="s">
        <v>1392</v>
      </c>
      <c r="AM151" s="1153"/>
      <c r="AN151" s="1153"/>
      <c r="AO151" s="1153"/>
      <c r="AP151" s="1153"/>
      <c r="AQ151" s="1153"/>
    </row>
    <row s="1621" customFormat="1" customHeight="1" ht="14.25">
      <c r="A152" s="1153"/>
      <c r="B152" s="1160"/>
      <c r="C152" s="1153"/>
      <c r="D152" s="1153"/>
      <c r="E152" s="597">
        <v>15</v>
      </c>
      <c r="F152" s="50" cm="1" t="str">
        <f t="array" ref="F152:F152">OFFSET(E152,-1,1)</f>
        <v>2</v>
      </c>
      <c r="G152" s="73" t="s">
        <v>1393</v>
      </c>
      <c r="H152" s="51"/>
      <c r="I152" s="467" t="s">
        <v>1394</v>
      </c>
      <c r="J152" s="1153"/>
      <c r="K152" s="90"/>
      <c r="L152" s="90"/>
      <c r="M152" s="90"/>
      <c r="N152" s="1153"/>
      <c r="O152" s="1153"/>
      <c r="P152" s="1153"/>
      <c r="Q152" s="1153"/>
      <c r="R152" s="1153"/>
      <c r="S152" s="1310"/>
      <c r="T152" s="439" cm="1" t="str">
        <f t="array" ref="T152:T152">T151</f>
        <v>true</v>
      </c>
      <c r="U152" s="1153"/>
      <c r="V152" s="1153"/>
      <c r="W152" s="1153"/>
      <c r="X152" s="1482"/>
      <c r="Y152" s="1153"/>
      <c r="Z152" s="1465"/>
      <c r="AA152" s="1153"/>
      <c r="AB152" s="266" t="s">
        <v>1395</v>
      </c>
      <c r="AC152" s="743" t="s">
        <v>1396</v>
      </c>
      <c r="AD152" s="267" t="s">
        <v>1397</v>
      </c>
      <c r="AE152" s="747" t="s">
        <v>784</v>
      </c>
      <c r="AF152" s="265"/>
      <c r="AG152" s="265">
        <f>IF(AND(method_reg="Метод индексации",first_year=god),_xlfn.SUMIFS('Калькуляция (МИ)'!$AG$25:$AG$459,'Калькуляция (МИ)'!$F$25:$F$459,$F152,'Калькуляция (МИ)'!$G$25:$G$459,$G152),_xlfn.SUMIFS('Калькуляция (МИ корр)'!$AG$25:$AG$459,'Калькуляция (МИ корр)'!$F$25:$F$459,$F152,'Калькуляция (МИ корр)'!$G$25:$G$459,$G152))</f>
        <v>0</v>
      </c>
      <c r="AH152" s="828"/>
      <c r="AI152" s="1153"/>
      <c r="AJ152" s="1153"/>
      <c r="AK152" s="1153"/>
      <c r="AL152" s="980" t="s">
        <v>1398</v>
      </c>
      <c r="AM152" s="1153"/>
      <c r="AN152" s="1153"/>
      <c r="AO152" s="1153"/>
      <c r="AP152" s="1153"/>
      <c r="AQ152" s="1153"/>
    </row>
    <row s="1621" customFormat="1" customHeight="1" ht="21.75">
      <c r="A153" s="1153"/>
      <c r="B153" s="1160"/>
      <c r="C153" s="1153"/>
      <c r="D153" s="1153"/>
      <c r="E153" s="597">
        <v>22.5</v>
      </c>
      <c r="F153" s="50" cm="1" t="str">
        <f t="array" ref="F153:F153">OFFSET(E153,-1,1)</f>
        <v>2</v>
      </c>
      <c r="G153" s="73"/>
      <c r="H153" s="51"/>
      <c r="I153" s="399" t="s">
        <v>1399</v>
      </c>
      <c r="J153" s="1153"/>
      <c r="K153" s="90"/>
      <c r="L153" s="90"/>
      <c r="M153" s="90"/>
      <c r="N153" s="1153"/>
      <c r="O153" s="1153"/>
      <c r="P153" s="1153"/>
      <c r="Q153" s="1153"/>
      <c r="R153" s="1153"/>
      <c r="S153" s="1310"/>
      <c r="T153" s="439" cm="1" t="str">
        <f t="array" ref="T153:T153">T152</f>
        <v>true</v>
      </c>
      <c r="U153" s="1153"/>
      <c r="V153" s="1153"/>
      <c r="W153" s="1153"/>
      <c r="X153" s="1482"/>
      <c r="Y153" s="1153"/>
      <c r="Z153" s="1465"/>
      <c r="AA153" s="1153"/>
      <c r="AB153" s="266" t="s">
        <v>1400</v>
      </c>
      <c r="AC153" s="743" t="s">
        <v>1401</v>
      </c>
      <c r="AD153" s="267"/>
      <c r="AE153" s="747" t="s">
        <v>784</v>
      </c>
      <c r="AF153" s="265">
        <f>AF154+AF155+AF156</f>
        <v>0</v>
      </c>
      <c r="AG153" s="265">
        <f>AG154+AG155+AG156</f>
        <v>0</v>
      </c>
      <c r="AH153" s="828"/>
      <c r="AI153" s="1153"/>
      <c r="AJ153" s="1153"/>
      <c r="AK153" s="1153"/>
      <c r="AL153" s="980" t="s">
        <v>1402</v>
      </c>
      <c r="AM153" s="1153"/>
      <c r="AN153" s="1153"/>
      <c r="AO153" s="1153"/>
      <c r="AP153" s="1153"/>
      <c r="AQ153" s="1153"/>
    </row>
    <row s="1621" customFormat="1" customHeight="1" ht="21.75">
      <c r="A154" s="1153"/>
      <c r="B154" s="1160"/>
      <c r="C154" s="1153"/>
      <c r="D154" s="1153"/>
      <c r="E154" s="597">
        <v>22.5</v>
      </c>
      <c r="F154" s="50" cm="1" t="str">
        <f t="array" ref="F154:F154">OFFSET(E154,-1,1)</f>
        <v>2</v>
      </c>
      <c r="G154" s="399"/>
      <c r="H154" s="51"/>
      <c r="I154" s="399" t="s">
        <v>1403</v>
      </c>
      <c r="J154" s="1153"/>
      <c r="K154" s="90"/>
      <c r="L154" s="90"/>
      <c r="M154" s="90"/>
      <c r="N154" s="1153"/>
      <c r="O154" s="1153"/>
      <c r="P154" s="1153"/>
      <c r="Q154" s="1153"/>
      <c r="R154" s="1153"/>
      <c r="S154" s="1310"/>
      <c r="T154" s="439" cm="1" t="str">
        <f t="array" ref="T154:T154">T153</f>
        <v>true</v>
      </c>
      <c r="U154" s="1153"/>
      <c r="V154" s="1153"/>
      <c r="W154" s="1153"/>
      <c r="X154" s="1482"/>
      <c r="Y154" s="1153"/>
      <c r="Z154" s="1465"/>
      <c r="AA154" s="1153"/>
      <c r="AB154" s="266" t="s">
        <v>1404</v>
      </c>
      <c r="AC154" s="746" t="s">
        <v>1405</v>
      </c>
      <c r="AD154" s="267" t="s">
        <v>1406</v>
      </c>
      <c r="AE154" s="747" t="s">
        <v>784</v>
      </c>
      <c r="AF154" s="265"/>
      <c r="AG154" s="265"/>
      <c r="AH154" s="828"/>
      <c r="AI154" s="1153"/>
      <c r="AJ154" s="1153"/>
      <c r="AK154" s="1153"/>
      <c r="AL154" s="980" t="s">
        <v>1407</v>
      </c>
      <c r="AM154" s="1153"/>
      <c r="AN154" s="1153"/>
      <c r="AO154" s="1153"/>
      <c r="AP154" s="1153"/>
      <c r="AQ154" s="1153"/>
    </row>
    <row s="1621" customFormat="1" customHeight="1" ht="14.25">
      <c r="A155" s="1153"/>
      <c r="B155" s="1160"/>
      <c r="C155" s="1153"/>
      <c r="D155" s="1153"/>
      <c r="E155" s="597">
        <v>15</v>
      </c>
      <c r="F155" s="50" cm="1" t="str">
        <f t="array" ref="F155:F155">OFFSET(E155,-1,1)</f>
        <v>2</v>
      </c>
      <c r="G155" s="399"/>
      <c r="H155" s="51"/>
      <c r="I155" s="399" t="s">
        <v>1408</v>
      </c>
      <c r="J155" s="1153"/>
      <c r="K155" s="90"/>
      <c r="L155" s="90"/>
      <c r="M155" s="90"/>
      <c r="N155" s="1153"/>
      <c r="O155" s="1153"/>
      <c r="P155" s="1153"/>
      <c r="Q155" s="1153"/>
      <c r="R155" s="1153"/>
      <c r="S155" s="1310"/>
      <c r="T155" s="439" cm="1" t="str">
        <f t="array" ref="T155:T155">T154</f>
        <v>true</v>
      </c>
      <c r="U155" s="1153"/>
      <c r="V155" s="1153"/>
      <c r="W155" s="1153"/>
      <c r="X155" s="1482"/>
      <c r="Y155" s="1153"/>
      <c r="Z155" s="1465"/>
      <c r="AA155" s="1153"/>
      <c r="AB155" s="266" t="s">
        <v>1409</v>
      </c>
      <c r="AC155" s="746" t="s">
        <v>1410</v>
      </c>
      <c r="AD155" s="267" t="s">
        <v>1411</v>
      </c>
      <c r="AE155" s="747" t="s">
        <v>784</v>
      </c>
      <c r="AF155" s="265"/>
      <c r="AG155" s="265"/>
      <c r="AH155" s="828"/>
      <c r="AI155" s="1153"/>
      <c r="AJ155" s="1153"/>
      <c r="AK155" s="1153"/>
      <c r="AL155" s="980" t="s">
        <v>1412</v>
      </c>
      <c r="AM155" s="1153"/>
      <c r="AN155" s="1153"/>
      <c r="AO155" s="1153"/>
      <c r="AP155" s="1153"/>
      <c r="AQ155" s="1153"/>
    </row>
    <row s="1621" customFormat="1" customHeight="1" ht="43.5">
      <c r="A156" s="1153"/>
      <c r="B156" s="1160"/>
      <c r="C156" s="1153"/>
      <c r="D156" s="1153"/>
      <c r="E156" s="597">
        <v>45</v>
      </c>
      <c r="F156" s="50" cm="1" t="str">
        <f t="array" ref="F156:F156">OFFSET(E156,-1,1)</f>
        <v>2</v>
      </c>
      <c r="G156" s="399"/>
      <c r="H156" s="51"/>
      <c r="I156" s="399" t="s">
        <v>1413</v>
      </c>
      <c r="J156" s="1153"/>
      <c r="K156" s="90"/>
      <c r="L156" s="90"/>
      <c r="M156" s="90"/>
      <c r="N156" s="1153"/>
      <c r="O156" s="1153"/>
      <c r="P156" s="1153"/>
      <c r="Q156" s="1153"/>
      <c r="R156" s="1153"/>
      <c r="S156" s="1310"/>
      <c r="T156" s="439" cm="1" t="str">
        <f t="array" ref="T156:T156">T155</f>
        <v>true</v>
      </c>
      <c r="U156" s="1153"/>
      <c r="V156" s="1153"/>
      <c r="W156" s="1153"/>
      <c r="X156" s="1482"/>
      <c r="Y156" s="1153"/>
      <c r="Z156" s="1465"/>
      <c r="AA156" s="1153"/>
      <c r="AB156" s="266" t="s">
        <v>1414</v>
      </c>
      <c r="AC156" s="746" t="s">
        <v>1415</v>
      </c>
      <c r="AD156" s="747" t="s">
        <v>1416</v>
      </c>
      <c r="AE156" s="747" t="s">
        <v>784</v>
      </c>
      <c r="AF156" s="265"/>
      <c r="AG156" s="265"/>
      <c r="AH156" s="828"/>
      <c r="AI156" s="1153"/>
      <c r="AJ156" s="1153"/>
      <c r="AK156" s="1153"/>
      <c r="AL156" s="980" t="s">
        <v>1417</v>
      </c>
      <c r="AM156" s="1153"/>
      <c r="AN156" s="1153"/>
      <c r="AO156" s="1153"/>
      <c r="AP156" s="1153"/>
      <c r="AQ156" s="1153"/>
    </row>
    <row s="1621" customFormat="1" customHeight="1" ht="44.25">
      <c r="A157" s="1153"/>
      <c r="B157" s="1160"/>
      <c r="C157" s="1153"/>
      <c r="D157" s="1153"/>
      <c r="E157" s="597">
        <v>22.5</v>
      </c>
      <c r="F157" s="50" cm="1" t="str">
        <f t="array" ref="F157:F157">OFFSET(E157,-1,1)</f>
        <v>2</v>
      </c>
      <c r="G157" s="399"/>
      <c r="H157" s="51"/>
      <c r="I157" s="399" t="s">
        <v>1418</v>
      </c>
      <c r="J157" s="1153"/>
      <c r="K157" s="90"/>
      <c r="L157" s="90"/>
      <c r="M157" s="90"/>
      <c r="N157" s="1153"/>
      <c r="O157" s="1153"/>
      <c r="P157" s="1153"/>
      <c r="Q157" s="1153"/>
      <c r="R157" s="1153"/>
      <c r="S157" s="1310"/>
      <c r="T157" s="439" cm="1" t="str">
        <f t="array" ref="T157:T157">T156</f>
        <v>true</v>
      </c>
      <c r="U157" s="1153"/>
      <c r="V157" s="1153"/>
      <c r="W157" s="1153"/>
      <c r="X157" s="1482"/>
      <c r="Y157" s="1153"/>
      <c r="Z157" s="1465"/>
      <c r="AA157" s="1153"/>
      <c r="AB157" s="266" t="s">
        <v>1419</v>
      </c>
      <c r="AC157" s="743" t="s">
        <v>1420</v>
      </c>
      <c r="AD157" s="747" t="s">
        <v>1421</v>
      </c>
      <c r="AE157" s="747" t="s">
        <v>784</v>
      </c>
      <c r="AF157" s="265"/>
      <c r="AG157" s="265">
        <v>-40.1280495</v>
      </c>
      <c r="AH157" s="828" t="s">
        <v>1478</v>
      </c>
      <c r="AI157" s="1153"/>
      <c r="AJ157" s="1153"/>
      <c r="AK157" s="1153"/>
      <c r="AL157" s="980" t="s">
        <v>1422</v>
      </c>
      <c r="AM157" s="1153"/>
      <c r="AN157" s="1153"/>
      <c r="AO157" s="1153"/>
      <c r="AP157" s="1153"/>
      <c r="AQ157" s="1153"/>
    </row>
    <row s="1621" customFormat="1" customHeight="1" ht="76.5">
      <c r="A158" s="1153"/>
      <c r="B158" s="401">
        <f>S129="Водоотведение"</f>
        <v>1</v>
      </c>
      <c r="C158" s="1153"/>
      <c r="D158" s="1153"/>
      <c r="E158" s="597">
        <v>78.75</v>
      </c>
      <c r="F158" s="50" cm="1" t="str">
        <f t="array" ref="F158:F158">OFFSET(E158,-1,1)</f>
        <v>2</v>
      </c>
      <c r="G158" s="399"/>
      <c r="H158" s="51"/>
      <c r="I158" s="399"/>
      <c r="J158" s="1153"/>
      <c r="K158" s="90"/>
      <c r="L158" s="90"/>
      <c r="M158" s="90"/>
      <c r="N158" s="1153"/>
      <c r="O158" s="1153"/>
      <c r="P158" s="1153"/>
      <c r="Q158" s="1153"/>
      <c r="R158" s="1153"/>
      <c r="S158" s="1310"/>
      <c r="T158" s="439" cm="1" t="str">
        <f t="array" ref="T158:T158">T157</f>
        <v>true</v>
      </c>
      <c r="U158" s="1153"/>
      <c r="V158" s="1153"/>
      <c r="W158" s="1153"/>
      <c r="X158" s="1482"/>
      <c r="Y158" s="1153"/>
      <c r="Z158" s="1465"/>
      <c r="AA158" s="1153"/>
      <c r="AB158" s="266" t="s">
        <v>1423</v>
      </c>
      <c r="AC158" s="743" t="s">
        <v>1424</v>
      </c>
      <c r="AD158" s="747"/>
      <c r="AE158" s="747" t="s">
        <v>784</v>
      </c>
      <c r="AF158" s="265"/>
      <c r="AG158" s="265"/>
      <c r="AH158" s="828"/>
      <c r="AI158" s="1153"/>
      <c r="AJ158" s="1153"/>
      <c r="AK158" s="1153"/>
      <c r="AL158" s="980" t="s">
        <v>1425</v>
      </c>
      <c r="AM158" s="1153"/>
      <c r="AN158" s="1153"/>
      <c r="AO158" s="1153"/>
      <c r="AP158" s="1153"/>
      <c r="AQ158" s="1153"/>
    </row>
    <row s="1621" customFormat="1" customHeight="1" ht="54.75">
      <c r="A159" s="1153"/>
      <c r="B159" s="401" cm="1" t="str">
        <f t="array" ref="B159:B159">B158</f>
        <v>true</v>
      </c>
      <c r="C159" s="1153"/>
      <c r="D159" s="1153"/>
      <c r="E159" s="597">
        <v>56.25</v>
      </c>
      <c r="F159" s="50" cm="1" t="str">
        <f t="array" ref="F159:F159">OFFSET(E159,-1,1)</f>
        <v>2</v>
      </c>
      <c r="G159" s="399"/>
      <c r="H159" s="51"/>
      <c r="I159" s="399"/>
      <c r="J159" s="1153"/>
      <c r="K159" s="90"/>
      <c r="L159" s="90"/>
      <c r="M159" s="90"/>
      <c r="N159" s="1153"/>
      <c r="O159" s="1153"/>
      <c r="P159" s="1153"/>
      <c r="Q159" s="1153"/>
      <c r="R159" s="1153"/>
      <c r="S159" s="1310"/>
      <c r="T159" s="439" cm="1" t="str">
        <f t="array" ref="T159:T159">T158</f>
        <v>true</v>
      </c>
      <c r="U159" s="1153"/>
      <c r="V159" s="1153"/>
      <c r="W159" s="1153"/>
      <c r="X159" s="1482"/>
      <c r="Y159" s="1153"/>
      <c r="Z159" s="1465"/>
      <c r="AA159" s="1153"/>
      <c r="AB159" s="266" t="s">
        <v>1426</v>
      </c>
      <c r="AC159" s="743" t="s">
        <v>1427</v>
      </c>
      <c r="AD159" s="747"/>
      <c r="AE159" s="747" t="s">
        <v>784</v>
      </c>
      <c r="AF159" s="265"/>
      <c r="AG159" s="265"/>
      <c r="AH159" s="828"/>
      <c r="AI159" s="1153"/>
      <c r="AJ159" s="1153"/>
      <c r="AK159" s="1153"/>
      <c r="AL159" s="980" t="s">
        <v>1253</v>
      </c>
      <c r="AM159" s="1153"/>
      <c r="AN159" s="1153"/>
      <c r="AO159" s="1153"/>
      <c r="AP159" s="1153"/>
      <c r="AQ159" s="1153"/>
    </row>
    <row s="1621" customFormat="1" customHeight="1" ht="14.25">
      <c r="A160" s="1153"/>
      <c r="B160" s="1160"/>
      <c r="C160" s="1153"/>
      <c r="D160" s="1153"/>
      <c r="E160" s="597">
        <v>15</v>
      </c>
      <c r="F160" s="50" cm="1" t="str">
        <f t="array" ref="F160:F160">OFFSET(E160,-1,1)</f>
        <v>2</v>
      </c>
      <c r="G160" s="399"/>
      <c r="H160" s="51"/>
      <c r="I160" s="399"/>
      <c r="J160" s="1153"/>
      <c r="K160" s="90"/>
      <c r="L160" s="90"/>
      <c r="M160" s="90"/>
      <c r="N160" s="1153"/>
      <c r="O160" s="1153"/>
      <c r="P160" s="1153"/>
      <c r="Q160" s="1153"/>
      <c r="R160" s="1153"/>
      <c r="S160" s="1310"/>
      <c r="T160" s="439" cm="1" t="str">
        <f t="array" ref="T160:T160">T159</f>
        <v>true</v>
      </c>
      <c r="U160" s="1153"/>
      <c r="V160" s="1153"/>
      <c r="W160" s="1153"/>
      <c r="X160" s="1482"/>
      <c r="Y160" s="1153"/>
      <c r="Z160" s="1465"/>
      <c r="AA160" s="1153"/>
      <c r="AB160" s="267" t="str">
        <f>IF(B159,"2.12","2.10")</f>
        <v>2.12</v>
      </c>
      <c r="AC160" s="743" t="s">
        <v>1428</v>
      </c>
      <c r="AD160" s="747" t="s">
        <v>1429</v>
      </c>
      <c r="AE160" s="747" t="s">
        <v>784</v>
      </c>
      <c r="AF160" s="265">
        <f>AF161+AF162</f>
        <v>0</v>
      </c>
      <c r="AG160" s="265">
        <f>AG161+AG162</f>
        <v>0</v>
      </c>
      <c r="AH160" s="828"/>
      <c r="AI160" s="1153"/>
      <c r="AJ160" s="1153"/>
      <c r="AK160" s="1153"/>
      <c r="AL160" s="980" t="s">
        <v>1430</v>
      </c>
      <c r="AM160" s="1153"/>
      <c r="AN160" s="1153"/>
      <c r="AO160" s="1153"/>
      <c r="AP160" s="1153"/>
      <c r="AQ160" s="1153"/>
    </row>
    <row s="1621" customFormat="1" customHeight="1" ht="21.75">
      <c r="A161" s="1153"/>
      <c r="B161" s="1160"/>
      <c r="C161" s="1153"/>
      <c r="D161" s="1153"/>
      <c r="E161" s="597">
        <v>22.5</v>
      </c>
      <c r="F161" s="50" cm="1" t="str">
        <f t="array" ref="F161:F161">OFFSET(E161,-1,1)</f>
        <v>2</v>
      </c>
      <c r="G161" s="399"/>
      <c r="H161" s="51"/>
      <c r="I161" s="399"/>
      <c r="J161" s="1153"/>
      <c r="K161" s="90"/>
      <c r="L161" s="90"/>
      <c r="M161" s="90"/>
      <c r="N161" s="1153"/>
      <c r="O161" s="1153"/>
      <c r="P161" s="1153"/>
      <c r="Q161" s="1153"/>
      <c r="R161" s="1153"/>
      <c r="S161" s="1310"/>
      <c r="T161" s="439" cm="1" t="str">
        <f t="array" ref="T161:T161">T160</f>
        <v>true</v>
      </c>
      <c r="U161" s="1153"/>
      <c r="V161" s="1153"/>
      <c r="W161" s="1153"/>
      <c r="X161" s="1482"/>
      <c r="Y161" s="1153"/>
      <c r="Z161" s="1465"/>
      <c r="AA161" s="1153"/>
      <c r="AB161" s="267" t="str">
        <f>AB160&amp;".1"</f>
        <v>2.12.1</v>
      </c>
      <c r="AC161" s="743" t="s">
        <v>1431</v>
      </c>
      <c r="AD161" s="747" t="s">
        <v>1429</v>
      </c>
      <c r="AE161" s="747" t="s">
        <v>784</v>
      </c>
      <c r="AF161" s="265"/>
      <c r="AG161" s="265"/>
      <c r="AH161" s="828"/>
      <c r="AI161" s="1153"/>
      <c r="AJ161" s="1153"/>
      <c r="AK161" s="1153"/>
      <c r="AL161" s="980" t="s">
        <v>1432</v>
      </c>
      <c r="AM161" s="1153"/>
      <c r="AN161" s="1153"/>
      <c r="AO161" s="1153"/>
      <c r="AP161" s="1153"/>
      <c r="AQ161" s="1153"/>
    </row>
    <row s="1621" customFormat="1" customHeight="1" ht="21.75">
      <c r="A162" s="1153"/>
      <c r="B162" s="1160"/>
      <c r="C162" s="1153"/>
      <c r="D162" s="1153"/>
      <c r="E162" s="597">
        <v>22.5</v>
      </c>
      <c r="F162" s="50" cm="1" t="str">
        <f t="array" ref="F162:F162">OFFSET(E162,-1,1)</f>
        <v>2</v>
      </c>
      <c r="G162" s="399"/>
      <c r="H162" s="51"/>
      <c r="I162" s="399"/>
      <c r="J162" s="1153"/>
      <c r="K162" s="90"/>
      <c r="L162" s="90"/>
      <c r="M162" s="90"/>
      <c r="N162" s="1153"/>
      <c r="O162" s="1153"/>
      <c r="P162" s="1153"/>
      <c r="Q162" s="1153"/>
      <c r="R162" s="1153"/>
      <c r="S162" s="1310"/>
      <c r="T162" s="439" cm="1" t="str">
        <f t="array" ref="T162:T162">T161</f>
        <v>true</v>
      </c>
      <c r="U162" s="1153"/>
      <c r="V162" s="1153"/>
      <c r="W162" s="1153"/>
      <c r="X162" s="1482"/>
      <c r="Y162" s="1153"/>
      <c r="Z162" s="1465"/>
      <c r="AA162" s="1153"/>
      <c r="AB162" s="267" t="str">
        <f>AB160&amp;".2"</f>
        <v>2.12.2</v>
      </c>
      <c r="AC162" s="743" t="s">
        <v>1433</v>
      </c>
      <c r="AD162" s="747" t="s">
        <v>1429</v>
      </c>
      <c r="AE162" s="747" t="s">
        <v>784</v>
      </c>
      <c r="AF162" s="265"/>
      <c r="AG162" s="265"/>
      <c r="AH162" s="828"/>
      <c r="AI162" s="1153"/>
      <c r="AJ162" s="1153"/>
      <c r="AK162" s="1153"/>
      <c r="AL162" s="980" t="s">
        <v>1434</v>
      </c>
      <c r="AM162" s="1153"/>
      <c r="AN162" s="1153"/>
      <c r="AO162" s="1153"/>
      <c r="AP162" s="1153"/>
      <c r="AQ162" s="1153"/>
    </row>
    <row s="1621" customFormat="1" customHeight="1" ht="14.25">
      <c r="A163" s="1153"/>
      <c r="B163" s="1160"/>
      <c r="C163" s="1153"/>
      <c r="D163" s="1153"/>
      <c r="E163" s="597">
        <v>15</v>
      </c>
      <c r="F163" s="50" cm="1" t="str">
        <f t="array" ref="F163:F163">OFFSET(E163,-1,1)</f>
        <v>2</v>
      </c>
      <c r="G163" s="399"/>
      <c r="H163" s="51"/>
      <c r="I163" s="399"/>
      <c r="J163" s="1153"/>
      <c r="K163" s="90"/>
      <c r="L163" s="90"/>
      <c r="M163" s="90"/>
      <c r="N163" s="1153"/>
      <c r="O163" s="1153"/>
      <c r="P163" s="1153"/>
      <c r="Q163" s="1153"/>
      <c r="R163" s="1153"/>
      <c r="S163" s="1310"/>
      <c r="T163" s="439" cm="1" t="str">
        <f t="array" ref="T163:T163">T162</f>
        <v>true</v>
      </c>
      <c r="U163" s="1153"/>
      <c r="V163" s="1153"/>
      <c r="W163" s="1153"/>
      <c r="X163" s="1482"/>
      <c r="Y163" s="1153"/>
      <c r="Z163" s="1465"/>
      <c r="AA163" s="1153"/>
      <c r="AB163" s="267" t="str">
        <f>IF(B159,"2.13","2.11")</f>
        <v>2.13</v>
      </c>
      <c r="AC163" s="743" t="s">
        <v>1435</v>
      </c>
      <c r="AD163" s="747" t="s">
        <v>1429</v>
      </c>
      <c r="AE163" s="747" t="s">
        <v>784</v>
      </c>
      <c r="AF163" s="265"/>
      <c r="AG163" s="265"/>
      <c r="AH163" s="828"/>
      <c r="AI163" s="1153"/>
      <c r="AJ163" s="1153"/>
      <c r="AK163" s="1153"/>
      <c r="AL163" s="980" t="s">
        <v>1436</v>
      </c>
      <c r="AM163" s="1153"/>
      <c r="AN163" s="1153"/>
      <c r="AO163" s="1153"/>
      <c r="AP163" s="1153"/>
      <c r="AQ163" s="1153"/>
    </row>
    <row s="1621" customFormat="1" customHeight="1" ht="14.25">
      <c r="A164" s="1153"/>
      <c r="B164" s="1160"/>
      <c r="C164" s="1153"/>
      <c r="D164" s="1153"/>
      <c r="E164" s="597">
        <v>15</v>
      </c>
      <c r="F164" s="50" cm="1" t="str">
        <f t="array" ref="F164:F164">OFFSET(E164,-1,1)</f>
        <v>2</v>
      </c>
      <c r="G164" s="399"/>
      <c r="H164" s="51"/>
      <c r="I164" s="399"/>
      <c r="J164" s="1153"/>
      <c r="K164" s="90"/>
      <c r="L164" s="90"/>
      <c r="M164" s="90"/>
      <c r="N164" s="1153"/>
      <c r="O164" s="1153"/>
      <c r="P164" s="1153"/>
      <c r="Q164" s="1153"/>
      <c r="R164" s="1153"/>
      <c r="S164" s="1310"/>
      <c r="T164" s="439" cm="1" t="str">
        <f t="array" ref="T164:T164">T163</f>
        <v>true</v>
      </c>
      <c r="U164" s="1153"/>
      <c r="V164" s="1153"/>
      <c r="W164" s="1153"/>
      <c r="X164" s="1482"/>
      <c r="Y164" s="1153"/>
      <c r="Z164" s="1465"/>
      <c r="AA164" s="1153"/>
      <c r="AB164" s="267" t="str">
        <f>IF(B159,"2.14","2.12")</f>
        <v>2.14</v>
      </c>
      <c r="AC164" s="743" t="s">
        <v>1437</v>
      </c>
      <c r="AD164" s="747" t="s">
        <v>1429</v>
      </c>
      <c r="AE164" s="747" t="s">
        <v>784</v>
      </c>
      <c r="AF164" s="265"/>
      <c r="AG164" s="265"/>
      <c r="AH164" s="828"/>
      <c r="AI164" s="1153"/>
      <c r="AJ164" s="1153"/>
      <c r="AK164" s="1153"/>
      <c r="AL164" s="980" t="s">
        <v>1438</v>
      </c>
      <c r="AM164" s="1153"/>
      <c r="AN164" s="1153"/>
      <c r="AO164" s="1153"/>
      <c r="AP164" s="1153"/>
      <c r="AQ164" s="1153"/>
    </row>
    <row s="3361" customFormat="1" customHeight="1" ht="21.75">
      <c r="A165" s="678"/>
      <c r="B165" s="404"/>
      <c r="C165" s="678"/>
      <c r="D165" s="678"/>
      <c r="E165" s="671">
        <v>22.5</v>
      </c>
      <c r="F165" s="50" cm="1" t="str">
        <f t="array" ref="F165:F165">OFFSET(E165,-1,1)</f>
        <v>2</v>
      </c>
      <c r="G165" s="113"/>
      <c r="H165" s="113"/>
      <c r="I165" s="399" t="s">
        <v>326</v>
      </c>
      <c r="J165" s="678"/>
      <c r="K165" s="471"/>
      <c r="L165" s="471"/>
      <c r="M165" s="471"/>
      <c r="N165" s="678"/>
      <c r="O165" s="678"/>
      <c r="P165" s="678"/>
      <c r="Q165" s="678"/>
      <c r="R165" s="678"/>
      <c r="S165" s="678"/>
      <c r="T165" s="439" cm="1" t="str">
        <f t="array" ref="T165:T165">T164</f>
        <v>true</v>
      </c>
      <c r="U165" s="678"/>
      <c r="V165" s="678"/>
      <c r="W165" s="678"/>
      <c r="X165" s="1482"/>
      <c r="Y165" s="678"/>
      <c r="Z165" s="1465"/>
      <c r="AA165" s="678"/>
      <c r="AB165" s="178" t="s">
        <v>1439</v>
      </c>
      <c r="AC165" s="179" t="s">
        <v>1440</v>
      </c>
      <c r="AD165" s="178" t="s">
        <v>1302</v>
      </c>
      <c r="AE165" s="201" t="s">
        <v>784</v>
      </c>
      <c r="AF165" s="826" cm="1" t="str">
        <f t="array" ref="AF165:AF165">AF166</f>
        <v>0</v>
      </c>
      <c r="AG165" s="826" cm="1" t="str">
        <f t="array" ref="AG165:AG165">AG166</f>
        <v>0</v>
      </c>
      <c r="AH165" s="827"/>
      <c r="AI165" s="678"/>
      <c r="AJ165" s="678"/>
      <c r="AK165" s="678"/>
      <c r="AL165" s="1035" t="s">
        <v>1441</v>
      </c>
      <c r="AM165" s="678"/>
      <c r="AN165" s="678"/>
      <c r="AO165" s="678"/>
      <c r="AP165" s="678"/>
      <c r="AQ165" s="678"/>
    </row>
    <row s="1621" customFormat="1" customHeight="1" ht="32.25">
      <c r="A166" s="1153"/>
      <c r="B166" s="1160"/>
      <c r="C166" s="1153"/>
      <c r="D166" s="1153"/>
      <c r="E166" s="597">
        <v>33.75</v>
      </c>
      <c r="F166" s="50" cm="1" t="str">
        <f t="array" ref="F166:F166">OFFSET(E166,-1,1)</f>
        <v>2</v>
      </c>
      <c r="G166" s="399"/>
      <c r="H166" s="51"/>
      <c r="I166" s="399" t="s">
        <v>459</v>
      </c>
      <c r="J166" s="1153"/>
      <c r="K166" s="90"/>
      <c r="L166" s="90"/>
      <c r="M166" s="90"/>
      <c r="N166" s="1153"/>
      <c r="O166" s="1153"/>
      <c r="P166" s="1153"/>
      <c r="Q166" s="1153"/>
      <c r="R166" s="1153"/>
      <c r="S166" s="1310"/>
      <c r="T166" s="439" cm="1" t="str">
        <f t="array" ref="T166:T166">T165</f>
        <v>true</v>
      </c>
      <c r="U166" s="1153"/>
      <c r="V166" s="1153"/>
      <c r="W166" s="1153"/>
      <c r="X166" s="1482"/>
      <c r="Y166" s="1153"/>
      <c r="Z166" s="1465"/>
      <c r="AA166" s="1153"/>
      <c r="AB166" s="266" t="s">
        <v>272</v>
      </c>
      <c r="AC166" s="425" t="s">
        <v>1442</v>
      </c>
      <c r="AD166" s="267" t="s">
        <v>1443</v>
      </c>
      <c r="AE166" s="747" t="s">
        <v>784</v>
      </c>
      <c r="AF166" s="916">
        <f>AF167+AF168</f>
        <v>0</v>
      </c>
      <c r="AG166" s="916">
        <f>AG167+AG168</f>
        <v>0</v>
      </c>
      <c r="AH166" s="828"/>
      <c r="AI166" s="1153"/>
      <c r="AJ166" s="1153"/>
      <c r="AK166" s="1153"/>
      <c r="AL166" s="980" t="s">
        <v>1444</v>
      </c>
      <c r="AM166" s="1153"/>
      <c r="AN166" s="1153"/>
      <c r="AO166" s="1153"/>
      <c r="AP166" s="1153"/>
      <c r="AQ166" s="1153"/>
    </row>
    <row s="1621" customFormat="1" customHeight="1" ht="43.5">
      <c r="A167" s="1153"/>
      <c r="B167" s="1160"/>
      <c r="C167" s="1153"/>
      <c r="D167" s="1153"/>
      <c r="E167" s="597">
        <v>45</v>
      </c>
      <c r="F167" s="50" cm="1" t="str">
        <f t="array" ref="F167:F167">OFFSET(E167,-1,1)</f>
        <v>2</v>
      </c>
      <c r="G167" s="399"/>
      <c r="H167" s="51"/>
      <c r="I167" s="399" t="s">
        <v>1445</v>
      </c>
      <c r="J167" s="1153"/>
      <c r="K167" s="90"/>
      <c r="L167" s="90"/>
      <c r="M167" s="90"/>
      <c r="N167" s="1153"/>
      <c r="O167" s="1153"/>
      <c r="P167" s="1153"/>
      <c r="Q167" s="1153"/>
      <c r="R167" s="1153"/>
      <c r="S167" s="1310"/>
      <c r="T167" s="439" cm="1" t="str">
        <f t="array" ref="T167:T167">T166</f>
        <v>true</v>
      </c>
      <c r="U167" s="1153"/>
      <c r="V167" s="1153"/>
      <c r="W167" s="1153"/>
      <c r="X167" s="1482"/>
      <c r="Y167" s="1153"/>
      <c r="Z167" s="1465"/>
      <c r="AA167" s="1153"/>
      <c r="AB167" s="266" t="s">
        <v>845</v>
      </c>
      <c r="AC167" s="743" t="s">
        <v>1446</v>
      </c>
      <c r="AD167" s="267" t="s">
        <v>1447</v>
      </c>
      <c r="AE167" s="747" t="s">
        <v>784</v>
      </c>
      <c r="AF167" s="265"/>
      <c r="AG167" s="265"/>
      <c r="AH167" s="828"/>
      <c r="AI167" s="1153"/>
      <c r="AJ167" s="1153"/>
      <c r="AK167" s="1153"/>
      <c r="AL167" s="980" t="s">
        <v>1448</v>
      </c>
      <c r="AM167" s="1153"/>
      <c r="AN167" s="1153"/>
      <c r="AO167" s="1153"/>
      <c r="AP167" s="1153"/>
      <c r="AQ167" s="1153"/>
    </row>
    <row s="1621" customFormat="1" customHeight="1" ht="32.25">
      <c r="A168" s="1153"/>
      <c r="B168" s="1160"/>
      <c r="C168" s="1153"/>
      <c r="D168" s="1153"/>
      <c r="E168" s="597">
        <v>33.75</v>
      </c>
      <c r="F168" s="50" cm="1" t="str">
        <f t="array" ref="F168:F168">OFFSET(E168,-1,1)</f>
        <v>2</v>
      </c>
      <c r="G168" s="399"/>
      <c r="H168" s="51"/>
      <c r="I168" s="399" t="s">
        <v>1449</v>
      </c>
      <c r="J168" s="1153"/>
      <c r="K168" s="90"/>
      <c r="L168" s="90"/>
      <c r="M168" s="90"/>
      <c r="N168" s="1153"/>
      <c r="O168" s="1153"/>
      <c r="P168" s="1153"/>
      <c r="Q168" s="1153"/>
      <c r="R168" s="1153"/>
      <c r="S168" s="1310"/>
      <c r="T168" s="439" cm="1" t="str">
        <f t="array" ref="T168:T168">T167</f>
        <v>true</v>
      </c>
      <c r="U168" s="1153"/>
      <c r="V168" s="1153"/>
      <c r="W168" s="1153"/>
      <c r="X168" s="1482"/>
      <c r="Y168" s="1153"/>
      <c r="Z168" s="1465"/>
      <c r="AA168" s="1153"/>
      <c r="AB168" s="266" t="s">
        <v>848</v>
      </c>
      <c r="AC168" s="743" t="s">
        <v>1450</v>
      </c>
      <c r="AD168" s="267" t="s">
        <v>1451</v>
      </c>
      <c r="AE168" s="747" t="s">
        <v>784</v>
      </c>
      <c r="AF168" s="265"/>
      <c r="AG168" s="265"/>
      <c r="AH168" s="828"/>
      <c r="AI168" s="1153"/>
      <c r="AJ168" s="1153"/>
      <c r="AK168" s="1153"/>
      <c r="AL168" s="980" t="s">
        <v>1452</v>
      </c>
      <c r="AM168" s="1153"/>
      <c r="AN168" s="1153"/>
      <c r="AO168" s="1153"/>
      <c r="AP168" s="1153"/>
      <c r="AQ168" s="1153"/>
    </row>
    <row s="1621" customFormat="1" customHeight="1" ht="21.75">
      <c r="A169" s="1153"/>
      <c r="B169" s="1160"/>
      <c r="C169" s="1153"/>
      <c r="D169" s="1153"/>
      <c r="E169" s="597">
        <v>22.5</v>
      </c>
      <c r="F169" s="50" cm="1" t="str">
        <f t="array" ref="F169:F169">OFFSET(E169,-1,1)</f>
        <v>2</v>
      </c>
      <c r="G169" s="399"/>
      <c r="H169" s="51"/>
      <c r="I169" s="399" t="s">
        <v>327</v>
      </c>
      <c r="J169" s="1153"/>
      <c r="K169" s="90" t="str">
        <f>F169&amp;"1komm"</f>
        <v>21komm</v>
      </c>
      <c r="L169" s="901" cm="1" t="str">
        <f t="array" ref="L169:L169">AH169</f>
        <v>0</v>
      </c>
      <c r="M169" s="90"/>
      <c r="N169" s="1153"/>
      <c r="O169" s="1153"/>
      <c r="P169" s="1153"/>
      <c r="Q169" s="1153"/>
      <c r="R169" s="1153"/>
      <c r="S169" s="1310"/>
      <c r="T169" s="439" cm="1" t="str">
        <f t="array" ref="T169:T169">T168</f>
        <v>true</v>
      </c>
      <c r="U169" s="1153"/>
      <c r="V169" s="1153"/>
      <c r="W169" s="1153"/>
      <c r="X169" s="1482"/>
      <c r="Y169" s="1153"/>
      <c r="Z169" s="1465"/>
      <c r="AA169" s="1153"/>
      <c r="AB169" s="201" t="s">
        <v>1453</v>
      </c>
      <c r="AC169" s="179" t="s">
        <v>1454</v>
      </c>
      <c r="AD169" s="178" t="s">
        <v>1455</v>
      </c>
      <c r="AE169" s="201" t="s">
        <v>784</v>
      </c>
      <c r="AF169" s="349"/>
      <c r="AG169" s="349"/>
      <c r="AH169" s="828"/>
      <c r="AI169" s="1153"/>
      <c r="AJ169" s="1153"/>
      <c r="AK169" s="1153"/>
      <c r="AL169" s="980" t="s">
        <v>1456</v>
      </c>
      <c r="AM169" s="1153"/>
      <c r="AN169" s="1153"/>
      <c r="AO169" s="1153"/>
      <c r="AP169" s="1153"/>
      <c r="AQ169" s="1153"/>
    </row>
    <row s="1621" customFormat="1" customHeight="1" ht="98.25">
      <c r="A170" s="1153"/>
      <c r="B170" s="1160"/>
      <c r="C170" s="1153"/>
      <c r="D170" s="1153"/>
      <c r="E170" s="597">
        <v>101.25</v>
      </c>
      <c r="F170" s="50" cm="1" t="str">
        <f t="array" ref="F170:F170">OFFSET(E170,-1,1)</f>
        <v>2</v>
      </c>
      <c r="G170" s="399"/>
      <c r="H170" s="51"/>
      <c r="I170" s="399" t="s">
        <v>329</v>
      </c>
      <c r="J170" s="1153"/>
      <c r="K170" s="90" t="str">
        <f>F170&amp;"2komm"</f>
        <v>22komm</v>
      </c>
      <c r="L170" s="901" cm="1" t="str">
        <f t="array" ref="L170:L170">AH170</f>
        <v>0</v>
      </c>
      <c r="M170" s="90"/>
      <c r="N170" s="1153"/>
      <c r="O170" s="1153"/>
      <c r="P170" s="1153"/>
      <c r="Q170" s="1153"/>
      <c r="R170" s="1153"/>
      <c r="S170" s="1310"/>
      <c r="T170" s="439" cm="1" t="str">
        <f t="array" ref="T170:T170">T169</f>
        <v>true</v>
      </c>
      <c r="U170" s="1153"/>
      <c r="V170" s="1153"/>
      <c r="W170" s="1153"/>
      <c r="X170" s="1482"/>
      <c r="Y170" s="1153"/>
      <c r="Z170" s="1465"/>
      <c r="AA170" s="1153"/>
      <c r="AB170" s="201" t="s">
        <v>1457</v>
      </c>
      <c r="AC170" s="179" t="s">
        <v>1458</v>
      </c>
      <c r="AD170" s="178" t="s">
        <v>1459</v>
      </c>
      <c r="AE170" s="201" t="s">
        <v>784</v>
      </c>
      <c r="AF170" s="349"/>
      <c r="AG170" s="349"/>
      <c r="AH170" s="828"/>
      <c r="AI170" s="1153"/>
      <c r="AJ170" s="1153"/>
      <c r="AK170" s="1153"/>
      <c r="AL170" s="980" t="s">
        <v>964</v>
      </c>
      <c r="AM170" s="1153"/>
      <c r="AN170" s="1153"/>
      <c r="AO170" s="1153"/>
      <c r="AP170" s="1153"/>
      <c r="AQ170" s="1153"/>
    </row>
    <row s="1621" customFormat="1" customHeight="1" ht="76.5">
      <c r="A171" s="1153"/>
      <c r="B171" s="401">
        <f>S129="Водоотведение"</f>
        <v>1</v>
      </c>
      <c r="C171" s="1153"/>
      <c r="D171" s="1153"/>
      <c r="E171" s="597">
        <v>78.75</v>
      </c>
      <c r="F171" s="50" cm="1" t="str">
        <f t="array" ref="F171:F171">OFFSET(E171,-1,1)</f>
        <v>2</v>
      </c>
      <c r="G171" s="90"/>
      <c r="H171" s="49"/>
      <c r="I171" s="88" t="s">
        <v>328</v>
      </c>
      <c r="J171" s="1153"/>
      <c r="K171" s="90" t="str">
        <f>F171&amp;"3komm"</f>
        <v>23komm</v>
      </c>
      <c r="L171" s="901" cm="1" t="str">
        <f t="array" ref="L171:L171">AH171</f>
        <v>0</v>
      </c>
      <c r="M171" s="90"/>
      <c r="N171" s="1153"/>
      <c r="O171" s="1153"/>
      <c r="P171" s="1153"/>
      <c r="Q171" s="1153"/>
      <c r="R171" s="1153"/>
      <c r="S171" s="1310"/>
      <c r="T171" s="439" cm="1" t="str">
        <f t="array" ref="T171:T171">T170</f>
        <v>true</v>
      </c>
      <c r="U171" s="1153"/>
      <c r="V171" s="1153"/>
      <c r="W171" s="1153"/>
      <c r="X171" s="1482"/>
      <c r="Y171" s="1153"/>
      <c r="Z171" s="1465"/>
      <c r="AA171" s="1153"/>
      <c r="AB171" s="201" t="s">
        <v>1460</v>
      </c>
      <c r="AC171" s="179" t="s">
        <v>1461</v>
      </c>
      <c r="AD171" s="178"/>
      <c r="AE171" s="201" t="s">
        <v>784</v>
      </c>
      <c r="AF171" s="349"/>
      <c r="AG171" s="192">
        <f>_xlfn.IFERROR(_xlfn.SUMIFS('Плата за негативное возд'!$AL$24:$AL$35,'Плата за негативное возд'!$F$24:$F$35,F171,'Плата за негативное возд'!$AB$24:$AB$35,"1"),0)</f>
        <v>0</v>
      </c>
      <c r="AH171" s="828"/>
      <c r="AI171" s="1153"/>
      <c r="AJ171" s="1153"/>
      <c r="AK171" s="1153"/>
      <c r="AL171" s="980" t="s">
        <v>1462</v>
      </c>
      <c r="AM171" s="1153"/>
      <c r="AN171" s="1153"/>
      <c r="AO171" s="1153"/>
      <c r="AP171" s="1153"/>
      <c r="AQ171" s="1153"/>
    </row>
    <row s="1621" customFormat="1" customHeight="1" ht="54.75">
      <c r="A172" s="1153"/>
      <c r="B172" s="401" cm="1" t="str">
        <f t="array" ref="B172:B172">B171</f>
        <v>true</v>
      </c>
      <c r="C172" s="1153"/>
      <c r="D172" s="1153"/>
      <c r="E172" s="597">
        <v>56.25</v>
      </c>
      <c r="F172" s="50" cm="1" t="str">
        <f t="array" ref="F172:F172">OFFSET(E172,-1,1)</f>
        <v>2</v>
      </c>
      <c r="G172" s="90"/>
      <c r="H172" s="49"/>
      <c r="I172" s="88" t="s">
        <v>491</v>
      </c>
      <c r="J172" s="1153"/>
      <c r="K172" s="90" t="str">
        <f>F172&amp;"4komm"</f>
        <v>24komm</v>
      </c>
      <c r="L172" s="901" cm="1" t="str">
        <f t="array" ref="L172:L172">AH172</f>
        <v>0</v>
      </c>
      <c r="M172" s="90"/>
      <c r="N172" s="1153"/>
      <c r="O172" s="1153"/>
      <c r="P172" s="1153"/>
      <c r="Q172" s="1153"/>
      <c r="R172" s="1153"/>
      <c r="S172" s="1310"/>
      <c r="T172" s="439" cm="1" t="str">
        <f t="array" ref="T172:T172">T171</f>
        <v>true</v>
      </c>
      <c r="U172" s="1153"/>
      <c r="V172" s="1153"/>
      <c r="W172" s="1153"/>
      <c r="X172" s="1482"/>
      <c r="Y172" s="1153"/>
      <c r="Z172" s="1465"/>
      <c r="AA172" s="1153"/>
      <c r="AB172" s="201" t="s">
        <v>1463</v>
      </c>
      <c r="AC172" s="179" t="s">
        <v>1464</v>
      </c>
      <c r="AD172" s="178"/>
      <c r="AE172" s="201" t="s">
        <v>784</v>
      </c>
      <c r="AF172" s="349"/>
      <c r="AG172" s="192">
        <f>_xlfn.IFERROR(_xlfn.SUMIFS('Плата за негативное возд'!$AL$24:$AL$35,'Плата за негативное возд'!$F$24:$F$35,F172,'Плата за негативное возд'!$AB$24:$AB$35,"2"),0)</f>
        <v>0</v>
      </c>
      <c r="AH172" s="828"/>
      <c r="AI172" s="1153"/>
      <c r="AJ172" s="1153"/>
      <c r="AK172" s="1153"/>
      <c r="AL172" s="980" t="s">
        <v>1465</v>
      </c>
      <c r="AM172" s="1153"/>
      <c r="AN172" s="1153"/>
      <c r="AO172" s="1153"/>
      <c r="AP172" s="1153"/>
      <c r="AQ172" s="1153"/>
    </row>
    <row s="1621" customFormat="1" customHeight="1" ht="14.25">
      <c r="A173" s="1153"/>
      <c r="B173" s="1160"/>
      <c r="C173" s="1153"/>
      <c r="D173" s="1153"/>
      <c r="E173" s="597">
        <v>15</v>
      </c>
      <c r="F173" s="50" cm="1" t="str">
        <f t="array" ref="F173:F173">OFFSET(E173,-1,1)</f>
        <v>2</v>
      </c>
      <c r="G173" s="90"/>
      <c r="H173" s="51"/>
      <c r="I173" s="88" t="s">
        <v>495</v>
      </c>
      <c r="J173" s="1153"/>
      <c r="K173" s="90" t="str">
        <f>F173&amp;"5komm"</f>
        <v>25komm</v>
      </c>
      <c r="L173" s="901" cm="1" t="str">
        <f t="array" ref="L173:L173">AH173</f>
        <v>0</v>
      </c>
      <c r="M173" s="90"/>
      <c r="N173" s="1153"/>
      <c r="O173" s="1153"/>
      <c r="P173" s="1153"/>
      <c r="Q173" s="1153"/>
      <c r="R173" s="1153"/>
      <c r="S173" s="1310"/>
      <c r="T173" s="439" cm="1" t="str">
        <f t="array" ref="T173:T173">T172</f>
        <v>true</v>
      </c>
      <c r="U173" s="1153"/>
      <c r="V173" s="1153"/>
      <c r="W173" s="1153"/>
      <c r="X173" s="1482"/>
      <c r="Y173" s="1153"/>
      <c r="Z173" s="1465"/>
      <c r="AA173" s="1153"/>
      <c r="AB173" s="201" t="str">
        <f>IF(B172,"VII","V")</f>
        <v>VII</v>
      </c>
      <c r="AC173" s="179" t="s">
        <v>1466</v>
      </c>
      <c r="AD173" s="178"/>
      <c r="AE173" s="201" t="s">
        <v>784</v>
      </c>
      <c r="AF173" s="349"/>
      <c r="AG173" s="349"/>
      <c r="AH173" s="828"/>
      <c r="AI173" s="1153"/>
      <c r="AJ173" s="1153"/>
      <c r="AK173" s="1153"/>
      <c r="AL173" s="980" t="s">
        <v>1467</v>
      </c>
      <c r="AM173" s="1153"/>
      <c r="AN173" s="1153"/>
      <c r="AO173" s="1153"/>
      <c r="AP173" s="1153"/>
      <c r="AQ173" s="1153"/>
    </row>
    <row s="3362" customFormat="1" customHeight="1" ht="14.25">
      <c r="A174" s="678"/>
      <c r="B174" s="404"/>
      <c r="C174" s="678"/>
      <c r="D174" s="678"/>
      <c r="E174" s="671">
        <v>15</v>
      </c>
      <c r="F174" s="50" cm="1" t="str">
        <f t="array" ref="F174:F174">OFFSET(E174,-1,1)</f>
        <v>2</v>
      </c>
      <c r="G174" s="471"/>
      <c r="H174" s="678"/>
      <c r="I174" s="208" t="s">
        <v>541</v>
      </c>
      <c r="J174" s="678"/>
      <c r="K174" s="90" t="str">
        <f>F174&amp;"6komm"</f>
        <v>26komm</v>
      </c>
      <c r="L174" s="901" cm="1" t="str">
        <f t="array" ref="L174:L174">AH174</f>
        <v>0</v>
      </c>
      <c r="M174" s="471"/>
      <c r="N174" s="678"/>
      <c r="O174" s="678"/>
      <c r="P174" s="678"/>
      <c r="Q174" s="678"/>
      <c r="R174" s="678"/>
      <c r="S174" s="678"/>
      <c r="T174" s="439" cm="1" t="str">
        <f t="array" ref="T174:T174">T173</f>
        <v>true</v>
      </c>
      <c r="U174" s="678"/>
      <c r="V174" s="678"/>
      <c r="W174" s="678"/>
      <c r="X174" s="1482"/>
      <c r="Y174" s="678"/>
      <c r="Z174" s="1465"/>
      <c r="AA174" s="678"/>
      <c r="AB174" s="201" t="str">
        <f>IF(B172,"VIII","VI")</f>
        <v>VIII</v>
      </c>
      <c r="AC174" s="179" t="s">
        <v>1428</v>
      </c>
      <c r="AD174" s="178"/>
      <c r="AE174" s="201" t="s">
        <v>784</v>
      </c>
      <c r="AF174" s="349">
        <f>AF175+AF176</f>
        <v>0</v>
      </c>
      <c r="AG174" s="349">
        <f>AG175+AG176</f>
        <v>0</v>
      </c>
      <c r="AH174" s="828"/>
      <c r="AI174" s="678"/>
      <c r="AJ174" s="678"/>
      <c r="AK174" s="678"/>
      <c r="AL174" s="1035" t="s">
        <v>1468</v>
      </c>
      <c r="AM174" s="678"/>
      <c r="AN174" s="678"/>
      <c r="AO174" s="678"/>
      <c r="AP174" s="678"/>
      <c r="AQ174" s="678"/>
    </row>
    <row s="1621" customFormat="1" customHeight="1" ht="21.75">
      <c r="A175" s="1153"/>
      <c r="B175" s="1160"/>
      <c r="C175" s="1153"/>
      <c r="D175" s="1153"/>
      <c r="E175" s="597">
        <v>22.5</v>
      </c>
      <c r="F175" s="50" cm="1" t="str">
        <f t="array" ref="F175:F175">OFFSET(E175,-1,1)</f>
        <v>2</v>
      </c>
      <c r="G175" s="90"/>
      <c r="H175" s="51"/>
      <c r="I175" s="88" t="s">
        <v>544</v>
      </c>
      <c r="J175" s="1153"/>
      <c r="K175" s="90" t="str">
        <f>F175&amp;"7komm"</f>
        <v>27komm</v>
      </c>
      <c r="L175" s="901" cm="1" t="str">
        <f t="array" ref="L175:L175">AH175</f>
        <v>0</v>
      </c>
      <c r="M175" s="90"/>
      <c r="N175" s="1153"/>
      <c r="O175" s="1153"/>
      <c r="P175" s="1153"/>
      <c r="Q175" s="1153"/>
      <c r="R175" s="1153"/>
      <c r="S175" s="1310"/>
      <c r="T175" s="439" cm="1" t="str">
        <f t="array" ref="T175:T175">T174</f>
        <v>true</v>
      </c>
      <c r="U175" s="1153"/>
      <c r="V175" s="1153"/>
      <c r="W175" s="1153"/>
      <c r="X175" s="1482"/>
      <c r="Y175" s="1153"/>
      <c r="Z175" s="1465"/>
      <c r="AA175" s="1153"/>
      <c r="AB175" s="747">
        <v>1</v>
      </c>
      <c r="AC175" s="743" t="s">
        <v>1431</v>
      </c>
      <c r="AD175" s="267"/>
      <c r="AE175" s="747" t="s">
        <v>784</v>
      </c>
      <c r="AF175" s="265"/>
      <c r="AG175" s="265"/>
      <c r="AH175" s="828"/>
      <c r="AI175" s="1153"/>
      <c r="AJ175" s="1153"/>
      <c r="AK175" s="1153"/>
      <c r="AL175" s="980" t="s">
        <v>1469</v>
      </c>
      <c r="AM175" s="1153"/>
      <c r="AN175" s="1153"/>
      <c r="AO175" s="1153"/>
      <c r="AP175" s="1153"/>
      <c r="AQ175" s="1153"/>
    </row>
    <row s="1621" customFormat="1" customHeight="1" ht="21.75">
      <c r="A176" s="1153"/>
      <c r="B176" s="1160"/>
      <c r="C176" s="1153"/>
      <c r="D176" s="1153"/>
      <c r="E176" s="597">
        <v>22.5</v>
      </c>
      <c r="F176" s="50" cm="1" t="str">
        <f t="array" ref="F176:F176">OFFSET(E176,-1,1)</f>
        <v>2</v>
      </c>
      <c r="G176" s="90"/>
      <c r="H176" s="51"/>
      <c r="I176" s="88" t="s">
        <v>548</v>
      </c>
      <c r="J176" s="1153"/>
      <c r="K176" s="90" t="str">
        <f>F176&amp;"8komm"</f>
        <v>28komm</v>
      </c>
      <c r="L176" s="901" cm="1" t="str">
        <f t="array" ref="L176:L176">AH176</f>
        <v>0</v>
      </c>
      <c r="M176" s="90"/>
      <c r="N176" s="1153"/>
      <c r="O176" s="1153"/>
      <c r="P176" s="1153"/>
      <c r="Q176" s="1153"/>
      <c r="R176" s="1153"/>
      <c r="S176" s="1310"/>
      <c r="T176" s="439" cm="1" t="str">
        <f t="array" ref="T176:T176">T175</f>
        <v>true</v>
      </c>
      <c r="U176" s="1153"/>
      <c r="V176" s="1153"/>
      <c r="W176" s="1153"/>
      <c r="X176" s="1482"/>
      <c r="Y176" s="1153"/>
      <c r="Z176" s="1465"/>
      <c r="AA176" s="1153"/>
      <c r="AB176" s="747">
        <v>2</v>
      </c>
      <c r="AC176" s="743" t="s">
        <v>1433</v>
      </c>
      <c r="AD176" s="267"/>
      <c r="AE176" s="747" t="s">
        <v>784</v>
      </c>
      <c r="AF176" s="265"/>
      <c r="AG176" s="265"/>
      <c r="AH176" s="828"/>
      <c r="AI176" s="1153"/>
      <c r="AJ176" s="1153"/>
      <c r="AK176" s="1153"/>
      <c r="AL176" s="980" t="s">
        <v>1470</v>
      </c>
      <c r="AM176" s="1153"/>
      <c r="AN176" s="1153"/>
      <c r="AO176" s="1153"/>
      <c r="AP176" s="1153"/>
      <c r="AQ176" s="1153"/>
    </row>
    <row s="1621" customFormat="1" customHeight="1" ht="14.25">
      <c r="A177" s="1153"/>
      <c r="B177" s="1160"/>
      <c r="C177" s="1153"/>
      <c r="D177" s="1153"/>
      <c r="E177" s="597">
        <v>15</v>
      </c>
      <c r="F177" s="50" cm="1" t="str">
        <f t="array" ref="F177:F177">OFFSET(E177,-1,1)</f>
        <v>2</v>
      </c>
      <c r="G177" s="90"/>
      <c r="H177" s="51"/>
      <c r="I177" s="88" t="s">
        <v>556</v>
      </c>
      <c r="J177" s="1153"/>
      <c r="K177" s="90" t="str">
        <f>F177&amp;"9komm"</f>
        <v>29komm</v>
      </c>
      <c r="L177" s="901" cm="1" t="str">
        <f t="array" ref="L177:L177">AH177</f>
        <v>0</v>
      </c>
      <c r="M177" s="90"/>
      <c r="N177" s="1153"/>
      <c r="O177" s="1153"/>
      <c r="P177" s="1153"/>
      <c r="Q177" s="1153"/>
      <c r="R177" s="1153"/>
      <c r="S177" s="1310"/>
      <c r="T177" s="439" cm="1" t="str">
        <f t="array" ref="T177:T177">T176</f>
        <v>true</v>
      </c>
      <c r="U177" s="1153"/>
      <c r="V177" s="1153"/>
      <c r="W177" s="1153"/>
      <c r="X177" s="1482"/>
      <c r="Y177" s="1153"/>
      <c r="Z177" s="1465"/>
      <c r="AA177" s="1153"/>
      <c r="AB177" s="201" t="str">
        <f>IF(B172,"IX","VIII")</f>
        <v>IX</v>
      </c>
      <c r="AC177" s="179" t="s">
        <v>1435</v>
      </c>
      <c r="AD177" s="178"/>
      <c r="AE177" s="201" t="s">
        <v>784</v>
      </c>
      <c r="AF177" s="349"/>
      <c r="AG177" s="349"/>
      <c r="AH177" s="828"/>
      <c r="AI177" s="1153"/>
      <c r="AJ177" s="1153"/>
      <c r="AK177" s="1153"/>
      <c r="AL177" s="980" t="s">
        <v>1471</v>
      </c>
      <c r="AM177" s="1153"/>
      <c r="AN177" s="1153"/>
      <c r="AO177" s="1153"/>
      <c r="AP177" s="1153"/>
      <c r="AQ177" s="1153"/>
    </row>
    <row s="1621" customFormat="1" customHeight="1" ht="14.25">
      <c r="A178" s="1153"/>
      <c r="B178" s="1160"/>
      <c r="C178" s="1153"/>
      <c r="D178" s="1153"/>
      <c r="E178" s="597">
        <v>15</v>
      </c>
      <c r="F178" s="50" cm="1" t="str">
        <f t="array" ref="F178:F178">OFFSET(E178,-1,1)</f>
        <v>2</v>
      </c>
      <c r="G178" s="90"/>
      <c r="H178" s="51"/>
      <c r="I178" s="88" t="s">
        <v>564</v>
      </c>
      <c r="J178" s="1153"/>
      <c r="K178" s="90" t="str">
        <f>F178&amp;"10komm"</f>
        <v>210komm</v>
      </c>
      <c r="L178" s="901" cm="1" t="str">
        <f t="array" ref="L178:L178">AH178</f>
        <v>0</v>
      </c>
      <c r="M178" s="90"/>
      <c r="N178" s="1153"/>
      <c r="O178" s="1153"/>
      <c r="P178" s="1153"/>
      <c r="Q178" s="1153"/>
      <c r="R178" s="1153"/>
      <c r="S178" s="1310"/>
      <c r="T178" s="439" cm="1" t="str">
        <f t="array" ref="T178:T178">T177</f>
        <v>true</v>
      </c>
      <c r="U178" s="1153"/>
      <c r="V178" s="1153"/>
      <c r="W178" s="1153"/>
      <c r="X178" s="1482"/>
      <c r="Y178" s="1153"/>
      <c r="Z178" s="1465"/>
      <c r="AA178" s="1153"/>
      <c r="AB178" s="201" t="str">
        <f>IF(B172,"X","IX")</f>
        <v>X</v>
      </c>
      <c r="AC178" s="179" t="s">
        <v>1437</v>
      </c>
      <c r="AD178" s="178"/>
      <c r="AE178" s="201" t="s">
        <v>784</v>
      </c>
      <c r="AF178" s="349"/>
      <c r="AG178" s="349"/>
      <c r="AH178" s="828"/>
      <c r="AI178" s="1153"/>
      <c r="AJ178" s="1153"/>
      <c r="AK178" s="1153"/>
      <c r="AL178" s="980" t="s">
        <v>1472</v>
      </c>
      <c r="AM178" s="1153"/>
      <c r="AN178" s="1153"/>
      <c r="AO178" s="1153"/>
      <c r="AP178" s="1153"/>
      <c r="AQ178" s="1153"/>
    </row>
    <row s="3363" customFormat="1" customHeight="1" ht="14.25">
      <c r="A179" s="678"/>
      <c r="B179" s="404"/>
      <c r="C179" s="678"/>
      <c r="D179" s="678"/>
      <c r="E179" s="671">
        <v>15</v>
      </c>
      <c r="F179" s="50" cm="1" t="str">
        <f t="array" ref="F179:F179">OFFSET(E179,-1,1)</f>
        <v>2</v>
      </c>
      <c r="G179" s="471"/>
      <c r="H179" s="678"/>
      <c r="I179" s="208" t="s">
        <v>722</v>
      </c>
      <c r="J179" s="678"/>
      <c r="K179" s="90" t="str">
        <f>F179&amp;"11komm"</f>
        <v>211komm</v>
      </c>
      <c r="L179" s="901" cm="1" t="str">
        <f t="array" ref="L179:L179">AH179</f>
        <v>0</v>
      </c>
      <c r="M179" s="471"/>
      <c r="N179" s="678"/>
      <c r="O179" s="678"/>
      <c r="P179" s="678"/>
      <c r="Q179" s="678"/>
      <c r="R179" s="678"/>
      <c r="S179" s="678"/>
      <c r="T179" s="439" cm="1" t="str">
        <f t="array" ref="T179:T179">T178</f>
        <v>true</v>
      </c>
      <c r="U179" s="678"/>
      <c r="V179" s="678"/>
      <c r="W179" s="678"/>
      <c r="X179" s="1482"/>
      <c r="Y179" s="678"/>
      <c r="Z179" s="1465"/>
      <c r="AA179" s="678"/>
      <c r="AB179" s="201" t="str">
        <f>IF(B172,"XI","X")</f>
        <v>XI</v>
      </c>
      <c r="AC179" s="186" t="s">
        <v>1473</v>
      </c>
      <c r="AD179" s="178"/>
      <c r="AE179" s="201" t="s">
        <v>784</v>
      </c>
      <c r="AF179" s="919">
        <f>AF130+AF165+AF169+AF170+AF171+AF172+AF173+AF174+AF177+AF178</f>
        <v>0</v>
      </c>
      <c r="AG179" s="919">
        <f>AG130+AG165+AG169+AG170+AG171+AG172+AG173+AG174+AG177+AG178</f>
        <v>-11.4327153571</v>
      </c>
      <c r="AH179" s="828"/>
      <c r="AI179" s="678"/>
      <c r="AJ179" s="678"/>
      <c r="AK179" s="678"/>
      <c r="AL179" s="1035" t="s">
        <v>1474</v>
      </c>
      <c r="AM179" s="678"/>
      <c r="AN179" s="678"/>
      <c r="AO179" s="678"/>
      <c r="AP179" s="678"/>
      <c r="AQ179" s="678"/>
    </row>
    <row s="1621" customFormat="1" customHeight="1" ht="10.96875">
      <c r="B180" s="403"/>
      <c r="E180" s="603">
        <v>11.25</v>
      </c>
      <c r="G180" s="461"/>
      <c r="K180" s="90"/>
      <c r="L180" s="901"/>
      <c r="M180" s="461"/>
      <c r="T180" s="0"/>
      <c r="U180" s="456" t="s">
        <v>177</v>
      </c>
      <c r="V180" s="106" t="s">
        <v>1482</v>
      </c>
      <c r="AB180" s="0"/>
      <c r="AC180" s="456"/>
      <c r="AD180" s="456"/>
      <c r="AE180" s="456"/>
      <c r="AF180" s="456"/>
      <c r="AG180" s="0"/>
      <c r="AH180" s="0"/>
      <c r="AL180" s="987"/>
      <c r="AQ180" s="67"/>
    </row>
    <row customHeight="1" ht="14.625">
      <c r="E181" s="597">
        <v>15</v>
      </c>
      <c r="AB181" s="1485" t="s">
        <v>398</v>
      </c>
      <c r="AC181" s="1485"/>
      <c r="AD181" s="1485"/>
      <c r="AE181" s="1485"/>
      <c r="AF181" s="1485"/>
      <c r="AG181" s="1485"/>
      <c r="AH181" s="1485"/>
    </row>
    <row customHeight="1" ht="14.625">
      <c r="E182" s="597">
        <v>15</v>
      </c>
      <c r="AA182" s="140"/>
      <c r="AB182" s="1562"/>
      <c r="AC182" s="1562"/>
      <c r="AD182" s="1562"/>
      <c r="AE182" s="1562"/>
      <c r="AF182" s="1562"/>
      <c r="AG182" s="1562"/>
      <c r="AH182" s="1562"/>
    </row>
    <row customHeight="1" ht="14.625" hidden="1">
      <c r="A183" s="1153"/>
      <c r="B183" s="1160"/>
      <c r="C183" s="1153"/>
      <c r="D183" s="1153"/>
      <c r="E183" s="597">
        <v>15</v>
      </c>
      <c r="F183" s="1153"/>
      <c r="G183" s="90"/>
      <c r="H183" s="1153"/>
      <c r="I183" s="1153"/>
      <c r="J183" s="1153"/>
      <c r="K183" s="1153"/>
      <c r="L183" s="1153"/>
      <c r="M183" s="1153"/>
      <c r="N183" s="1153"/>
      <c r="O183" s="1153"/>
      <c r="P183" s="1153"/>
      <c r="Q183" s="1153"/>
      <c r="R183" s="1153"/>
      <c r="S183" s="1310"/>
      <c r="T183" s="439">
        <f>ROW(W183)&gt;ROW(W$183)</f>
        <v>0</v>
      </c>
      <c r="U183" s="1153"/>
      <c r="V183" s="1153"/>
      <c r="W183" s="738" t="s">
        <v>173</v>
      </c>
      <c r="X183" s="1153"/>
      <c r="Y183" s="1153"/>
      <c r="Z183" s="1153"/>
      <c r="AA183" s="393" t="s">
        <v>174</v>
      </c>
      <c r="AB183" s="3307" t="s">
        <v>222</v>
      </c>
      <c r="AC183" s="3307"/>
      <c r="AD183" s="3307"/>
      <c r="AE183" s="3307"/>
      <c r="AF183" s="3307"/>
      <c r="AG183" s="3307"/>
      <c r="AH183" s="3307"/>
      <c r="AI183" s="1153"/>
      <c r="AJ183" s="1153"/>
      <c r="AK183" s="1153"/>
      <c r="AL183" s="1253"/>
      <c r="AM183" s="1153"/>
      <c r="AN183" s="1153"/>
      <c r="AO183" s="1153"/>
      <c r="AP183" s="1153"/>
      <c r="AQ183" s="1153"/>
    </row>
    <row customHeight="1" ht="14.625">
      <c r="E184" s="597">
        <v>15</v>
      </c>
      <c r="W184" s="738" t="s">
        <v>399</v>
      </c>
      <c r="AB184" s="627"/>
      <c r="AC184" s="488" t="s">
        <v>400</v>
      </c>
      <c r="AD184" s="277"/>
      <c r="AE184" s="277"/>
      <c r="AF184" s="277"/>
      <c r="AG184" s="277"/>
      <c r="AH184" s="350"/>
    </row>
    <row customHeight="1" ht="10.725000000000001">
      <c r="E185" s="597">
        <v>11</v>
      </c>
      <c r="AI185" s="399"/>
    </row>
    <row customHeight="1" ht="10.725000000000001" hidden="1">
      <c r="E186" s="597">
        <v>11</v>
      </c>
      <c r="AB186" s="467" t="s">
        <v>1483</v>
      </c>
    </row>
  </sheetData>
  <sheetProtection formatColumns="0" formatRows="0" insertRows="0" deleteColumns="0" deleteRows="0" sort="0" autoFilter="0" insertColumns="1"/>
  <mergeCells count="14">
    <mergeCell ref="AB181:AH181"/>
    <mergeCell ref="AB182:AH182"/>
    <mergeCell ref="AB183:AH183"/>
    <mergeCell ref="X27:X77"/>
    <mergeCell ref="Z27:Z77"/>
    <mergeCell ref="AH24:AH25"/>
    <mergeCell ref="AB24:AB25"/>
    <mergeCell ref="AC24:AC25"/>
    <mergeCell ref="AD24:AD25"/>
    <mergeCell ref="AE24:AE25"/>
    <mergeCell ref="X78:X128"/>
    <mergeCell ref="Z78:Z128"/>
    <mergeCell ref="X129:X179"/>
    <mergeCell ref="Z129:Z179"/>
  </mergeCells>
  <pageMargins left="0.35" right="0.35" top="0.40" bottom="0.40" header="0.31" footer="0.31"/>
  <pageSetup paperSize="9" scale="61" fitToHeight="0"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2E068D-A56F-E5C8-01E8-99364F7124A8}" mc:Ignorable="x14ac xr xr2 xr3">
  <sheetPr>
    <tabColor rgb="FF002060"/>
    <outlinePr summaryRight="0" summaryBelow="0"/>
  </sheetPr>
  <dimension ref="A1:GD202"/>
  <sheetViews>
    <sheetView showGridLines="0" workbookViewId="0">
      <pane xSplit="29" ySplit="26" topLeftCell="AD85" activePane="bottomRight" state="frozen"/>
      <selection pane="bottomLeft" activeCell="A27" sqref="A27"/>
      <selection pane="topRight" activeCell="AD1" sqref="AD1"/>
      <selection pane="bottomRight" activeCell="AA21" sqref="AA21"/>
    </sheetView>
  </sheetViews>
  <sheetFormatPr defaultColWidth="9.140625" customHeight="1" defaultRowHeight="11.25"/>
  <cols>
    <col min="1" max="1" style="676" width="3.57421875" hidden="1" customWidth="1"/>
    <col min="2" max="2" style="854" width="8.57421875" hidden="1" customWidth="1"/>
    <col min="3" max="4" style="676" width="3.57421875" hidden="1" customWidth="1"/>
    <col min="5" max="5" style="697" width="3.57421875" hidden="1" customWidth="1"/>
    <col min="6" max="6" style="691" width="5.421875" hidden="1" customWidth="1"/>
    <col min="7" max="7" style="676" width="19.421875" hidden="1" customWidth="1"/>
    <col min="8" max="10" style="676" width="3.57421875" hidden="1" customWidth="1"/>
    <col min="11" max="11" style="676" width="6.421875" hidden="1" customWidth="1"/>
    <col min="12" max="12" style="676" width="8.57421875" hidden="1" customWidth="1"/>
    <col min="13" max="16" style="676" width="3.57421875" hidden="1" customWidth="1"/>
    <col min="17" max="17" style="676" width="18.8515625" hidden="1" customWidth="1"/>
    <col min="18" max="18" style="676" width="17.7109375" hidden="1" customWidth="1"/>
    <col min="19" max="19" style="676" width="11.8515625" hidden="1" customWidth="1"/>
    <col min="20" max="20" style="676" width="9.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56.00390625" customWidth="1"/>
    <col min="29" max="29" style="1187" width="12.57421875" customWidth="1"/>
    <col min="30" max="32" style="676" width="14.140625" customWidth="1"/>
    <col min="33" max="179" style="676" width="14.140625" hidden="1" customWidth="1"/>
    <col min="180" max="180" style="676" width="3.00390625" customWidth="1"/>
    <col min="181" max="181" style="676" width="9.140625" hidden="1"/>
    <col min="182" max="182" style="1061" width="31.7109375" hidden="1" customWidth="1"/>
    <col min="183" max="184" style="1061" width="9.140625" hidden="1"/>
    <col min="185" max="186" style="697" width="9.140625" hidden="1"/>
  </cols>
  <sheetData>
    <row customHeight="1" ht="11.25" hidden="1">
      <c r="E1" s="64"/>
      <c r="F1" s="468" t="s">
        <v>313</v>
      </c>
      <c r="H1" s="64" t="s">
        <v>324</v>
      </c>
      <c r="I1" s="64" t="s">
        <v>351</v>
      </c>
      <c r="T1" s="439" t="s">
        <v>92</v>
      </c>
      <c r="U1" s="439" t="s">
        <v>97</v>
      </c>
      <c r="V1" s="439" t="s">
        <v>93</v>
      </c>
      <c r="W1" s="439" t="s">
        <v>94</v>
      </c>
      <c r="X1" s="439" t="s">
        <v>95</v>
      </c>
      <c r="Y1" s="441" t="s">
        <v>315</v>
      </c>
      <c r="Z1" s="439" t="s">
        <v>99</v>
      </c>
      <c r="AA1" s="441" t="s">
        <v>96</v>
      </c>
      <c r="AB1" s="440" t="s">
        <v>98</v>
      </c>
      <c r="AG1" s="676"/>
      <c r="AH1" s="676"/>
      <c r="AI1" s="676"/>
      <c r="AJ1" s="676"/>
      <c r="AK1" s="676"/>
      <c r="AL1" s="676"/>
      <c r="AM1" s="676"/>
      <c r="AN1" s="676"/>
      <c r="AO1" s="676"/>
      <c r="AP1" s="676"/>
      <c r="AQ1" s="676"/>
      <c r="AR1" s="676"/>
      <c r="AS1" s="676"/>
      <c r="AT1" s="676"/>
      <c r="AU1" s="676"/>
      <c r="AV1" s="676"/>
      <c r="AW1" s="676"/>
      <c r="AX1" s="676"/>
      <c r="AY1" s="676"/>
      <c r="AZ1" s="676"/>
      <c r="BA1" s="676"/>
      <c r="BB1" s="676"/>
      <c r="BC1" s="676"/>
      <c r="BD1" s="676"/>
      <c r="BE1" s="676"/>
      <c r="BF1" s="676"/>
      <c r="BG1" s="676"/>
      <c r="BH1" s="676"/>
      <c r="BI1" s="676"/>
      <c r="BJ1" s="676"/>
      <c r="BK1" s="676"/>
      <c r="BL1" s="676"/>
      <c r="BM1" s="676"/>
      <c r="BN1" s="676"/>
      <c r="BO1" s="676"/>
      <c r="BP1" s="676"/>
      <c r="BQ1" s="676"/>
      <c r="BR1" s="676"/>
      <c r="BS1" s="676"/>
      <c r="BT1" s="676"/>
      <c r="BU1" s="676"/>
      <c r="BV1" s="676"/>
      <c r="BW1" s="676"/>
      <c r="BX1" s="676"/>
      <c r="BY1" s="676"/>
      <c r="BZ1" s="676"/>
      <c r="CA1" s="676"/>
      <c r="CB1" s="676"/>
      <c r="CC1" s="676"/>
      <c r="CD1" s="676"/>
      <c r="CE1" s="676"/>
      <c r="CF1" s="676"/>
      <c r="CG1" s="676"/>
      <c r="CH1" s="676"/>
      <c r="CI1" s="676"/>
      <c r="CJ1" s="676"/>
      <c r="CK1" s="676"/>
      <c r="CL1" s="676"/>
      <c r="CM1" s="676"/>
      <c r="CN1" s="676"/>
      <c r="CO1" s="676"/>
      <c r="CP1" s="676"/>
      <c r="CQ1" s="676"/>
      <c r="CR1" s="676"/>
      <c r="CS1" s="676"/>
      <c r="CT1" s="676"/>
      <c r="CU1" s="676"/>
      <c r="CV1" s="676"/>
      <c r="CW1" s="676"/>
      <c r="CX1" s="676"/>
      <c r="CY1" s="676"/>
      <c r="CZ1" s="676"/>
      <c r="DA1" s="676"/>
      <c r="DB1" s="676"/>
      <c r="DC1" s="676"/>
      <c r="DD1" s="676"/>
      <c r="DE1" s="676"/>
      <c r="DF1" s="676"/>
      <c r="DG1" s="676"/>
      <c r="DH1" s="676"/>
      <c r="DI1" s="676"/>
      <c r="DJ1" s="676"/>
      <c r="DK1" s="676"/>
      <c r="DL1" s="676"/>
      <c r="DM1" s="676"/>
      <c r="DN1" s="676"/>
      <c r="DO1" s="676"/>
      <c r="DP1" s="676"/>
      <c r="DQ1" s="676"/>
      <c r="DR1" s="676"/>
      <c r="DS1" s="676"/>
      <c r="DT1" s="676"/>
      <c r="DU1" s="676"/>
      <c r="DV1" s="676"/>
      <c r="DW1" s="676"/>
      <c r="DX1" s="676"/>
      <c r="DY1" s="676"/>
      <c r="DZ1" s="676"/>
      <c r="EA1" s="676"/>
      <c r="EB1" s="676"/>
      <c r="EC1" s="676"/>
      <c r="ED1" s="676"/>
      <c r="EE1" s="676"/>
      <c r="EF1" s="676"/>
      <c r="EG1" s="676"/>
      <c r="EH1" s="676"/>
      <c r="EI1" s="676"/>
      <c r="EJ1" s="676"/>
      <c r="EK1" s="676"/>
      <c r="EL1" s="676"/>
      <c r="EM1" s="676"/>
      <c r="EN1" s="676"/>
      <c r="EO1" s="676"/>
      <c r="EP1" s="676"/>
      <c r="EQ1" s="676"/>
      <c r="ER1" s="676"/>
      <c r="ES1" s="676"/>
      <c r="ET1" s="676"/>
      <c r="EU1" s="676"/>
      <c r="EV1" s="676"/>
      <c r="EW1" s="676"/>
      <c r="EX1" s="676"/>
      <c r="EY1" s="676"/>
      <c r="EZ1" s="676"/>
      <c r="FA1" s="676"/>
      <c r="FB1" s="676"/>
      <c r="FC1" s="676"/>
      <c r="FD1" s="676"/>
      <c r="FE1" s="676"/>
      <c r="FF1" s="676"/>
      <c r="FG1" s="676"/>
      <c r="FH1" s="676"/>
      <c r="FI1" s="676"/>
      <c r="FJ1" s="676"/>
      <c r="FK1" s="676"/>
      <c r="FL1" s="676"/>
      <c r="FM1" s="676"/>
      <c r="FN1" s="676"/>
      <c r="FO1" s="676"/>
      <c r="FP1" s="676"/>
      <c r="FQ1" s="676"/>
      <c r="FR1" s="676"/>
      <c r="FS1" s="676"/>
      <c r="FT1" s="676"/>
      <c r="FU1" s="676"/>
      <c r="FV1" s="676"/>
      <c r="FW1" s="676"/>
      <c r="FZ1" s="998" t="s">
        <v>316</v>
      </c>
      <c r="GA1" s="998" t="s">
        <v>317</v>
      </c>
      <c r="GB1" s="998" t="s">
        <v>318</v>
      </c>
      <c r="GC1" s="611" t="s">
        <v>321</v>
      </c>
      <c r="GD1" s="611" t="s">
        <v>322</v>
      </c>
    </row>
    <row s="1176" customFormat="1" customHeight="1" ht="11.25" hidden="1">
      <c r="B2" s="907" t="s">
        <v>18</v>
      </c>
      <c r="F2" s="468"/>
      <c r="AB2" s="402"/>
      <c r="AC2" s="402"/>
      <c r="AG2" s="474">
        <f>AG6&lt;=last_year_vis</f>
        <v>0</v>
      </c>
      <c r="AH2" s="474">
        <f>AH6&lt;=last_year_vis</f>
        <v>0</v>
      </c>
      <c r="AI2" s="474">
        <f>AI6&lt;=last_year_vis</f>
        <v>0</v>
      </c>
      <c r="AJ2" s="474">
        <f>AJ6&lt;=last_year_vis</f>
        <v>0</v>
      </c>
      <c r="AK2" s="474">
        <f>AK6&lt;=last_year_vis</f>
        <v>0</v>
      </c>
      <c r="AL2" s="474">
        <f>AL6&lt;=last_year_vis</f>
        <v>0</v>
      </c>
      <c r="AM2" s="474">
        <f>AM6&lt;=last_year_vis</f>
        <v>0</v>
      </c>
      <c r="AN2" s="474">
        <f>AN6&lt;=last_year_vis</f>
        <v>0</v>
      </c>
      <c r="AO2" s="474">
        <f>AO6&lt;=last_year_vis</f>
        <v>0</v>
      </c>
      <c r="AP2" s="474">
        <f>AP6&lt;=last_year_vis</f>
        <v>0</v>
      </c>
      <c r="AQ2" s="474">
        <f>AQ6&lt;=last_year_vis</f>
        <v>0</v>
      </c>
      <c r="AR2" s="474">
        <f>AR6&lt;=last_year_vis</f>
        <v>0</v>
      </c>
      <c r="AS2" s="474">
        <f>AS6&lt;=last_year_vis</f>
        <v>0</v>
      </c>
      <c r="AT2" s="474">
        <f>AT6&lt;=last_year_vis</f>
        <v>0</v>
      </c>
      <c r="AU2" s="474">
        <f>AU6&lt;=last_year_vis</f>
        <v>0</v>
      </c>
      <c r="AV2" s="474">
        <f>AV6&lt;=last_year_vis</f>
        <v>0</v>
      </c>
      <c r="AW2" s="474">
        <f>AW6&lt;=last_year_vis</f>
        <v>0</v>
      </c>
      <c r="AX2" s="474">
        <f>AX6&lt;=last_year_vis</f>
        <v>0</v>
      </c>
      <c r="AY2" s="474">
        <f>AY6&lt;=last_year_vis</f>
        <v>0</v>
      </c>
      <c r="AZ2" s="474">
        <f>AZ6&lt;=last_year_vis</f>
        <v>0</v>
      </c>
      <c r="BA2" s="474">
        <f>BA6&lt;=last_year_vis</f>
        <v>0</v>
      </c>
      <c r="BB2" s="474">
        <f>BB6&lt;=last_year_vis</f>
        <v>0</v>
      </c>
      <c r="BC2" s="474">
        <f>BC6&lt;=last_year_vis</f>
        <v>0</v>
      </c>
      <c r="BD2" s="474">
        <f>BD6&lt;=last_year_vis</f>
        <v>0</v>
      </c>
      <c r="BE2" s="474">
        <f>BE6&lt;=last_year_vis</f>
        <v>0</v>
      </c>
      <c r="BF2" s="474">
        <f>BF6&lt;=last_year_vis</f>
        <v>0</v>
      </c>
      <c r="BG2" s="474">
        <f>BG6&lt;=last_year_vis</f>
        <v>0</v>
      </c>
      <c r="BH2" s="474">
        <f>BH6&lt;=last_year_vis</f>
        <v>0</v>
      </c>
      <c r="BI2" s="474">
        <f>BI6&lt;=last_year_vis</f>
        <v>0</v>
      </c>
      <c r="BJ2" s="474">
        <f>BJ6&lt;=last_year_vis</f>
        <v>0</v>
      </c>
      <c r="BK2" s="474">
        <f>BK6&lt;=last_year_vis</f>
        <v>0</v>
      </c>
      <c r="BL2" s="474">
        <f>BL6&lt;=last_year_vis</f>
        <v>0</v>
      </c>
      <c r="BM2" s="474">
        <f>BM6&lt;=last_year_vis</f>
        <v>0</v>
      </c>
      <c r="BN2" s="474">
        <f>BN6&lt;=last_year_vis</f>
        <v>0</v>
      </c>
      <c r="BO2" s="474">
        <f>BO6&lt;=last_year_vis</f>
        <v>0</v>
      </c>
      <c r="BP2" s="474">
        <f>BP6&lt;=last_year_vis</f>
        <v>0</v>
      </c>
      <c r="BQ2" s="474">
        <f>BQ6&lt;=last_year_vis</f>
        <v>0</v>
      </c>
      <c r="BR2" s="474">
        <f>BR6&lt;=last_year_vis</f>
        <v>0</v>
      </c>
      <c r="BS2" s="474">
        <f>BS6&lt;=last_year_vis</f>
        <v>0</v>
      </c>
      <c r="BT2" s="474">
        <f>BT6&lt;=last_year_vis</f>
        <v>0</v>
      </c>
      <c r="BU2" s="474">
        <f>BU6&lt;=last_year_vis</f>
        <v>0</v>
      </c>
      <c r="BV2" s="474">
        <f>BV6&lt;=last_year_vis</f>
        <v>0</v>
      </c>
      <c r="BW2" s="474">
        <f>BW6&lt;=last_year_vis</f>
        <v>0</v>
      </c>
      <c r="BX2" s="474">
        <f>BX6&lt;=last_year_vis</f>
        <v>0</v>
      </c>
      <c r="BY2" s="474">
        <f>BY6&lt;=last_year_vis</f>
        <v>0</v>
      </c>
      <c r="BZ2" s="474">
        <f>BZ6&lt;=last_year_vis</f>
        <v>0</v>
      </c>
      <c r="CA2" s="474">
        <f>CA6&lt;=last_year_vis</f>
        <v>0</v>
      </c>
      <c r="CB2" s="474">
        <f>CB6&lt;=last_year_vis</f>
        <v>0</v>
      </c>
      <c r="CC2" s="474">
        <f>CC6&lt;=last_year_vis</f>
        <v>0</v>
      </c>
      <c r="CD2" s="474">
        <f>CD6&lt;=last_year_vis</f>
        <v>0</v>
      </c>
      <c r="CE2" s="474">
        <f>CE6&lt;=last_year_vis</f>
        <v>0</v>
      </c>
      <c r="CF2" s="474">
        <f>CF6&lt;=last_year_vis</f>
        <v>0</v>
      </c>
      <c r="CG2" s="474">
        <f>CG6&lt;=last_year_vis</f>
        <v>0</v>
      </c>
      <c r="CH2" s="474">
        <f>CH6&lt;=last_year_vis</f>
        <v>0</v>
      </c>
      <c r="CI2" s="474">
        <f>CI6&lt;=last_year_vis</f>
        <v>0</v>
      </c>
      <c r="CJ2" s="474">
        <f>CJ6&lt;=last_year_vis</f>
        <v>0</v>
      </c>
      <c r="CK2" s="474">
        <f>CK6&lt;=last_year_vis</f>
        <v>0</v>
      </c>
      <c r="CL2" s="474">
        <f>CL6&lt;=last_year_vis</f>
        <v>0</v>
      </c>
      <c r="CM2" s="474">
        <f>CM6&lt;=last_year_vis</f>
        <v>0</v>
      </c>
      <c r="CN2" s="474">
        <f>CN6&lt;=last_year_vis</f>
        <v>0</v>
      </c>
      <c r="CO2" s="474">
        <f>CO6&lt;=last_year_vis</f>
        <v>0</v>
      </c>
      <c r="CP2" s="474">
        <f>CP6&lt;=last_year_vis</f>
        <v>0</v>
      </c>
      <c r="CQ2" s="474">
        <f>CQ6&lt;=last_year_vis</f>
        <v>0</v>
      </c>
      <c r="CR2" s="474">
        <f>CR6&lt;=last_year_vis</f>
        <v>0</v>
      </c>
      <c r="CS2" s="474">
        <f>CS6&lt;=last_year_vis</f>
        <v>0</v>
      </c>
      <c r="CT2" s="474">
        <f>CT6&lt;=last_year_vis</f>
        <v>0</v>
      </c>
      <c r="CU2" s="474">
        <f>CU6&lt;=last_year_vis</f>
        <v>0</v>
      </c>
      <c r="CV2" s="474">
        <f>CV6&lt;=last_year_vis</f>
        <v>0</v>
      </c>
      <c r="CW2" s="474">
        <f>CW6&lt;=last_year_vis</f>
        <v>0</v>
      </c>
      <c r="CX2" s="474">
        <f>CX6&lt;=last_year_vis</f>
        <v>0</v>
      </c>
      <c r="CY2" s="474">
        <f>CY6&lt;=last_year_vis</f>
        <v>0</v>
      </c>
      <c r="CZ2" s="474">
        <f>CZ6&lt;=last_year_vis</f>
        <v>0</v>
      </c>
      <c r="DA2" s="474">
        <f>DA6&lt;=last_year_vis</f>
        <v>0</v>
      </c>
      <c r="DB2" s="474">
        <f>DB6&lt;=last_year_vis</f>
        <v>0</v>
      </c>
      <c r="DC2" s="474">
        <f>DC6&lt;=last_year_vis</f>
        <v>0</v>
      </c>
      <c r="DD2" s="474">
        <f>DD6&lt;=last_year_vis</f>
        <v>0</v>
      </c>
      <c r="DE2" s="474">
        <f>DE6&lt;=last_year_vis</f>
        <v>0</v>
      </c>
      <c r="DF2" s="474">
        <f>DF6&lt;=last_year_vis</f>
        <v>0</v>
      </c>
      <c r="DG2" s="474">
        <f>DG6&lt;=last_year_vis</f>
        <v>0</v>
      </c>
      <c r="DH2" s="474">
        <f>DH6&lt;=last_year_vis</f>
        <v>0</v>
      </c>
      <c r="DI2" s="474">
        <f>DI6&lt;=last_year_vis</f>
        <v>0</v>
      </c>
      <c r="DJ2" s="474">
        <f>DJ6&lt;=last_year_vis</f>
        <v>0</v>
      </c>
      <c r="DK2" s="474">
        <f>DK6&lt;=last_year_vis</f>
        <v>0</v>
      </c>
      <c r="DL2" s="474">
        <f>DL6&lt;=last_year_vis</f>
        <v>0</v>
      </c>
      <c r="DM2" s="474">
        <f>DM6&lt;=last_year_vis</f>
        <v>0</v>
      </c>
      <c r="DN2" s="474">
        <f>DN6&lt;=last_year_vis</f>
        <v>0</v>
      </c>
      <c r="DO2" s="474">
        <f>DO6&lt;=last_year_vis</f>
        <v>0</v>
      </c>
      <c r="DP2" s="474">
        <f>DP6&lt;=last_year_vis</f>
        <v>0</v>
      </c>
      <c r="DQ2" s="474">
        <f>DQ6&lt;=last_year_vis</f>
        <v>0</v>
      </c>
      <c r="DR2" s="474">
        <f>DR6&lt;=last_year_vis</f>
        <v>0</v>
      </c>
      <c r="DS2" s="474">
        <f>DS6&lt;=last_year_vis</f>
        <v>0</v>
      </c>
      <c r="DT2" s="474">
        <f>DT6&lt;=last_year_vis</f>
        <v>0</v>
      </c>
      <c r="DU2" s="474">
        <f>DU6&lt;=last_year_vis</f>
        <v>0</v>
      </c>
      <c r="DV2" s="474">
        <f>DV6&lt;=last_year_vis</f>
        <v>0</v>
      </c>
      <c r="DW2" s="474">
        <f>DW6&lt;=last_year_vis</f>
        <v>0</v>
      </c>
      <c r="DX2" s="474">
        <f>DX6&lt;=last_year_vis</f>
        <v>0</v>
      </c>
      <c r="DY2" s="474">
        <f>DY6&lt;=last_year_vis</f>
        <v>0</v>
      </c>
      <c r="DZ2" s="474">
        <f>DZ6&lt;=last_year_vis</f>
        <v>0</v>
      </c>
      <c r="EA2" s="474">
        <f>EA6&lt;=last_year_vis</f>
        <v>0</v>
      </c>
      <c r="EB2" s="474">
        <f>EB6&lt;=last_year_vis</f>
        <v>0</v>
      </c>
      <c r="EC2" s="474">
        <f>EC6&lt;=last_year_vis</f>
        <v>0</v>
      </c>
      <c r="ED2" s="474">
        <f>ED6&lt;=last_year_vis</f>
        <v>0</v>
      </c>
      <c r="EE2" s="474">
        <f>EE6&lt;=last_year_vis</f>
        <v>0</v>
      </c>
      <c r="EF2" s="474">
        <f>EF6&lt;=last_year_vis</f>
        <v>0</v>
      </c>
      <c r="EG2" s="474">
        <f>EG6&lt;=last_year_vis</f>
        <v>0</v>
      </c>
      <c r="EH2" s="474">
        <f>EH6&lt;=last_year_vis</f>
        <v>0</v>
      </c>
      <c r="EI2" s="474">
        <f>EI6&lt;=last_year_vis</f>
        <v>0</v>
      </c>
      <c r="EJ2" s="474">
        <f>EJ6&lt;=last_year_vis</f>
        <v>0</v>
      </c>
      <c r="EK2" s="474">
        <f>EK6&lt;=last_year_vis</f>
        <v>0</v>
      </c>
      <c r="EL2" s="474">
        <f>EL6&lt;=last_year_vis</f>
        <v>0</v>
      </c>
      <c r="EM2" s="474">
        <f>EM6&lt;=last_year_vis</f>
        <v>0</v>
      </c>
      <c r="EN2" s="474">
        <f>EN6&lt;=last_year_vis</f>
        <v>0</v>
      </c>
      <c r="EO2" s="474">
        <f>EO6&lt;=last_year_vis</f>
        <v>0</v>
      </c>
      <c r="EP2" s="474">
        <f>EP6&lt;=last_year_vis</f>
        <v>0</v>
      </c>
      <c r="EQ2" s="474">
        <f>EQ6&lt;=last_year_vis</f>
        <v>0</v>
      </c>
      <c r="ER2" s="474">
        <f>ER6&lt;=last_year_vis</f>
        <v>0</v>
      </c>
      <c r="ES2" s="474">
        <f>ES6&lt;=last_year_vis</f>
        <v>0</v>
      </c>
      <c r="ET2" s="474">
        <f>ET6&lt;=last_year_vis</f>
        <v>0</v>
      </c>
      <c r="EU2" s="474">
        <f>EU6&lt;=last_year_vis</f>
        <v>0</v>
      </c>
      <c r="EV2" s="474">
        <f>EV6&lt;=last_year_vis</f>
        <v>0</v>
      </c>
      <c r="EW2" s="474">
        <f>EW6&lt;=last_year_vis</f>
        <v>0</v>
      </c>
      <c r="EX2" s="474">
        <f>EX6&lt;=last_year_vis</f>
        <v>0</v>
      </c>
      <c r="EY2" s="474">
        <f>EY6&lt;=last_year_vis</f>
        <v>0</v>
      </c>
      <c r="EZ2" s="474">
        <f>EZ6&lt;=last_year_vis</f>
        <v>0</v>
      </c>
      <c r="FA2" s="474">
        <f>FA6&lt;=last_year_vis</f>
        <v>0</v>
      </c>
      <c r="FB2" s="474">
        <f>FB6&lt;=last_year_vis</f>
        <v>0</v>
      </c>
      <c r="FC2" s="474">
        <f>FC6&lt;=last_year_vis</f>
        <v>0</v>
      </c>
      <c r="FD2" s="474">
        <f>FD6&lt;=last_year_vis</f>
        <v>0</v>
      </c>
      <c r="FE2" s="474">
        <f>FE6&lt;=last_year_vis</f>
        <v>0</v>
      </c>
      <c r="FF2" s="474">
        <f>FF6&lt;=last_year_vis</f>
        <v>0</v>
      </c>
      <c r="FG2" s="474">
        <f>FG6&lt;=last_year_vis</f>
        <v>0</v>
      </c>
      <c r="FH2" s="474">
        <f>FH6&lt;=last_year_vis</f>
        <v>0</v>
      </c>
      <c r="FI2" s="474">
        <f>FI6&lt;=last_year_vis</f>
        <v>0</v>
      </c>
      <c r="FJ2" s="474">
        <f>FJ6&lt;=last_year_vis</f>
        <v>0</v>
      </c>
      <c r="FK2" s="474">
        <f>FK6&lt;=last_year_vis</f>
        <v>0</v>
      </c>
      <c r="FL2" s="474">
        <f>FL6&lt;=last_year_vis</f>
        <v>0</v>
      </c>
      <c r="FM2" s="474">
        <f>FM6&lt;=last_year_vis</f>
        <v>0</v>
      </c>
      <c r="FN2" s="474">
        <f>FN6&lt;=last_year_vis</f>
        <v>0</v>
      </c>
      <c r="FO2" s="474">
        <f>FO6&lt;=last_year_vis</f>
        <v>0</v>
      </c>
      <c r="FP2" s="474">
        <f>FP6&lt;=last_year_vis</f>
        <v>0</v>
      </c>
      <c r="FQ2" s="474">
        <f>FQ6&lt;=last_year_vis</f>
        <v>0</v>
      </c>
      <c r="FR2" s="474">
        <f>FR6&lt;=last_year_vis</f>
        <v>0</v>
      </c>
      <c r="FS2" s="474">
        <f>FS6&lt;=last_year_vis</f>
        <v>0</v>
      </c>
      <c r="FT2" s="474">
        <f>FT6&lt;=last_year_vis</f>
        <v>0</v>
      </c>
      <c r="FU2" s="474">
        <f>FU6&lt;=last_year_vis</f>
        <v>0</v>
      </c>
      <c r="FV2" s="474">
        <f>FV6&lt;=last_year_vis</f>
        <v>0</v>
      </c>
      <c r="FW2" s="474">
        <f>FW6&lt;=last_year_vis</f>
        <v>0</v>
      </c>
      <c r="FZ2" s="999"/>
      <c r="GA2" s="999"/>
      <c r="GB2" s="999"/>
      <c r="GC2" s="1013"/>
      <c r="GD2" s="1013"/>
    </row>
    <row customHeight="1" ht="11.25" hidden="1">
      <c r="E3" s="64"/>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V3" s="676"/>
      <c r="CW3" s="676"/>
      <c r="CX3" s="676"/>
      <c r="CY3" s="676"/>
      <c r="CZ3" s="676"/>
      <c r="DA3" s="676"/>
      <c r="DB3" s="676"/>
      <c r="DC3" s="676"/>
      <c r="DD3" s="676"/>
      <c r="DE3" s="676"/>
      <c r="DF3" s="676"/>
      <c r="DG3" s="676"/>
      <c r="DH3" s="676"/>
      <c r="DI3" s="676"/>
      <c r="DJ3" s="676"/>
      <c r="DK3" s="676"/>
      <c r="DL3" s="676"/>
      <c r="DM3" s="676"/>
      <c r="DN3" s="676"/>
      <c r="DO3" s="676"/>
      <c r="DP3" s="676"/>
      <c r="DQ3" s="676"/>
      <c r="DR3" s="676"/>
      <c r="DS3" s="676"/>
      <c r="DT3" s="676"/>
      <c r="DU3" s="676"/>
      <c r="DV3" s="676"/>
      <c r="DW3" s="676"/>
      <c r="DX3" s="676"/>
      <c r="DY3" s="676"/>
      <c r="DZ3" s="676"/>
      <c r="EA3" s="676"/>
      <c r="EB3" s="676"/>
      <c r="EC3" s="676"/>
      <c r="ED3" s="676"/>
      <c r="EE3" s="676"/>
      <c r="EF3" s="676"/>
      <c r="EG3" s="676"/>
      <c r="EH3" s="676"/>
      <c r="EI3" s="676"/>
      <c r="EJ3" s="676"/>
      <c r="EK3" s="676"/>
      <c r="EL3" s="676"/>
      <c r="EM3" s="676"/>
      <c r="EN3" s="676"/>
      <c r="EO3" s="676"/>
      <c r="EP3" s="676"/>
      <c r="EQ3" s="676"/>
      <c r="ER3" s="676"/>
      <c r="ES3" s="676"/>
      <c r="ET3" s="676"/>
      <c r="EU3" s="676"/>
      <c r="EV3" s="676"/>
      <c r="EW3" s="676"/>
      <c r="EX3" s="676"/>
      <c r="EY3" s="676"/>
      <c r="EZ3" s="676"/>
      <c r="FA3" s="676"/>
      <c r="FB3" s="676"/>
      <c r="FC3" s="676"/>
      <c r="FD3" s="676"/>
      <c r="FE3" s="676"/>
      <c r="FF3" s="676"/>
      <c r="FG3" s="676"/>
      <c r="FH3" s="676"/>
      <c r="FI3" s="676"/>
      <c r="FJ3" s="676"/>
      <c r="FK3" s="676"/>
      <c r="FL3" s="676"/>
      <c r="FM3" s="676"/>
      <c r="FN3" s="676"/>
      <c r="FO3" s="676"/>
      <c r="FP3" s="676"/>
      <c r="FQ3" s="676"/>
      <c r="FR3" s="676"/>
      <c r="FS3" s="676"/>
      <c r="FT3" s="676"/>
      <c r="FU3" s="676"/>
      <c r="FV3" s="676"/>
      <c r="FW3" s="676"/>
    </row>
    <row customHeight="1" ht="11.25" hidden="1">
      <c r="E4" s="64"/>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V4" s="676"/>
      <c r="CW4" s="676"/>
      <c r="CX4" s="676"/>
      <c r="CY4" s="676"/>
      <c r="CZ4" s="676"/>
      <c r="DA4" s="676"/>
      <c r="DB4" s="676"/>
      <c r="DC4" s="676"/>
      <c r="DD4" s="676"/>
      <c r="DE4" s="676"/>
      <c r="DF4" s="676"/>
      <c r="DG4" s="676"/>
      <c r="DH4" s="676"/>
      <c r="DI4" s="676"/>
      <c r="DJ4" s="676"/>
      <c r="DK4" s="676"/>
      <c r="DL4" s="676"/>
      <c r="DM4" s="676"/>
      <c r="DN4" s="676"/>
      <c r="DO4" s="676"/>
      <c r="DP4" s="676"/>
      <c r="DQ4" s="676"/>
      <c r="DR4" s="676"/>
      <c r="DS4" s="676"/>
      <c r="DT4" s="676"/>
      <c r="DU4" s="676"/>
      <c r="DV4" s="676"/>
      <c r="DW4" s="676"/>
      <c r="DX4" s="676"/>
      <c r="DY4" s="676"/>
      <c r="DZ4" s="676"/>
      <c r="EA4" s="676"/>
      <c r="EB4" s="676"/>
      <c r="EC4" s="676"/>
      <c r="ED4" s="676"/>
      <c r="EE4" s="676"/>
      <c r="EF4" s="676"/>
      <c r="EG4" s="676"/>
      <c r="EH4" s="676"/>
      <c r="EI4" s="676"/>
      <c r="EJ4" s="676"/>
      <c r="EK4" s="676"/>
      <c r="EL4" s="676"/>
      <c r="EM4" s="676"/>
      <c r="EN4" s="676"/>
      <c r="EO4" s="676"/>
      <c r="EP4" s="676"/>
      <c r="EQ4" s="676"/>
      <c r="ER4" s="676"/>
      <c r="ES4" s="676"/>
      <c r="ET4" s="676"/>
      <c r="EU4" s="676"/>
      <c r="EV4" s="676"/>
      <c r="EW4" s="676"/>
      <c r="EX4" s="676"/>
      <c r="EY4" s="676"/>
      <c r="EZ4" s="676"/>
      <c r="FA4" s="676"/>
      <c r="FB4" s="676"/>
      <c r="FC4" s="676"/>
      <c r="FD4" s="676"/>
      <c r="FE4" s="676"/>
      <c r="FF4" s="676"/>
      <c r="FG4" s="676"/>
      <c r="FH4" s="676"/>
      <c r="FI4" s="676"/>
      <c r="FJ4" s="676"/>
      <c r="FK4" s="676"/>
      <c r="FL4" s="676"/>
      <c r="FM4" s="676"/>
      <c r="FN4" s="676"/>
      <c r="FO4" s="676"/>
      <c r="FP4" s="676"/>
      <c r="FQ4" s="676"/>
      <c r="FR4" s="676"/>
      <c r="FS4" s="676"/>
      <c r="FT4" s="676"/>
      <c r="FU4" s="676"/>
      <c r="FV4" s="676"/>
      <c r="FW4" s="676"/>
    </row>
    <row s="697" customFormat="1" customHeight="1" ht="11.25" hidden="1">
      <c r="A5" s="64"/>
      <c r="B5" s="821"/>
      <c r="C5" s="64"/>
      <c r="D5" s="64"/>
      <c r="E5" s="611" t="s">
        <v>19</v>
      </c>
      <c r="F5" s="890"/>
      <c r="AA5" s="611">
        <v>3</v>
      </c>
      <c r="AB5" s="673">
        <v>56</v>
      </c>
      <c r="AC5" s="609">
        <v>12.57</v>
      </c>
      <c r="AD5" s="611">
        <v>14.14</v>
      </c>
      <c r="AE5" s="611">
        <v>14.14</v>
      </c>
      <c r="AF5" s="611">
        <v>14.14</v>
      </c>
      <c r="AG5" s="611">
        <v>14.14</v>
      </c>
      <c r="AH5" s="611">
        <v>14.14</v>
      </c>
      <c r="AI5" s="611">
        <v>14.14</v>
      </c>
      <c r="AJ5" s="611">
        <v>14.14</v>
      </c>
      <c r="AK5" s="611">
        <v>14.14</v>
      </c>
      <c r="AL5" s="611">
        <v>14.14</v>
      </c>
      <c r="AM5" s="611">
        <v>14.14</v>
      </c>
      <c r="AN5" s="611">
        <v>14.14</v>
      </c>
      <c r="AO5" s="611">
        <v>14.14</v>
      </c>
      <c r="AP5" s="611">
        <v>14.14</v>
      </c>
      <c r="AQ5" s="611">
        <v>14.14</v>
      </c>
      <c r="AR5" s="611">
        <v>14.14</v>
      </c>
      <c r="AS5" s="611">
        <v>14.14</v>
      </c>
      <c r="AT5" s="611">
        <v>14.14</v>
      </c>
      <c r="AU5" s="611">
        <v>14.14</v>
      </c>
      <c r="AV5" s="611">
        <v>14.14</v>
      </c>
      <c r="AW5" s="611">
        <v>14.14</v>
      </c>
      <c r="AX5" s="611">
        <v>14.14</v>
      </c>
      <c r="AY5" s="611">
        <v>14.14</v>
      </c>
      <c r="AZ5" s="611">
        <v>14.14</v>
      </c>
      <c r="BA5" s="611">
        <v>14.14</v>
      </c>
      <c r="BB5" s="611">
        <v>14.14</v>
      </c>
      <c r="BC5" s="611">
        <v>14.14</v>
      </c>
      <c r="BD5" s="611">
        <v>14.14</v>
      </c>
      <c r="BE5" s="611">
        <v>14.14</v>
      </c>
      <c r="BF5" s="611">
        <v>14.14</v>
      </c>
      <c r="BG5" s="611">
        <v>14.14</v>
      </c>
      <c r="BH5" s="611">
        <v>14.14</v>
      </c>
      <c r="BI5" s="611">
        <v>14.14</v>
      </c>
      <c r="BJ5" s="611">
        <v>14.14</v>
      </c>
      <c r="BK5" s="611">
        <v>14.14</v>
      </c>
      <c r="BL5" s="611">
        <v>14.14</v>
      </c>
      <c r="BM5" s="611">
        <v>14.14</v>
      </c>
      <c r="BN5" s="611">
        <v>14.14</v>
      </c>
      <c r="BO5" s="611">
        <v>14.14</v>
      </c>
      <c r="BP5" s="611">
        <v>14.14</v>
      </c>
      <c r="BQ5" s="611">
        <v>14.14</v>
      </c>
      <c r="BR5" s="611">
        <v>14.14</v>
      </c>
      <c r="BS5" s="611">
        <v>14.14</v>
      </c>
      <c r="BT5" s="611">
        <v>14.14</v>
      </c>
      <c r="BU5" s="611">
        <v>14.14</v>
      </c>
      <c r="BV5" s="611">
        <v>14.14</v>
      </c>
      <c r="BW5" s="611">
        <v>14.14</v>
      </c>
      <c r="BX5" s="611">
        <v>14.14</v>
      </c>
      <c r="BY5" s="611">
        <v>14.14</v>
      </c>
      <c r="BZ5" s="611">
        <v>14.14</v>
      </c>
      <c r="CA5" s="611">
        <v>14.14</v>
      </c>
      <c r="CB5" s="611">
        <v>14.14</v>
      </c>
      <c r="CC5" s="611">
        <v>14.14</v>
      </c>
      <c r="CD5" s="611">
        <v>14.14</v>
      </c>
      <c r="CE5" s="611">
        <v>14.14</v>
      </c>
      <c r="CF5" s="611">
        <v>14.14</v>
      </c>
      <c r="CG5" s="611">
        <v>14.14</v>
      </c>
      <c r="CH5" s="611">
        <v>14.14</v>
      </c>
      <c r="CI5" s="611">
        <v>14.14</v>
      </c>
      <c r="CJ5" s="611">
        <v>14.14</v>
      </c>
      <c r="CK5" s="611">
        <v>14.14</v>
      </c>
      <c r="CL5" s="611">
        <v>14.14</v>
      </c>
      <c r="CM5" s="611">
        <v>14.14</v>
      </c>
      <c r="CN5" s="611">
        <v>14.14</v>
      </c>
      <c r="CO5" s="611">
        <v>14.14</v>
      </c>
      <c r="CP5" s="611">
        <v>14.14</v>
      </c>
      <c r="CQ5" s="611">
        <v>14.14</v>
      </c>
      <c r="CR5" s="611">
        <v>14.14</v>
      </c>
      <c r="CS5" s="611">
        <v>14.14</v>
      </c>
      <c r="CT5" s="611">
        <v>14.14</v>
      </c>
      <c r="CU5" s="611">
        <v>14.14</v>
      </c>
      <c r="CV5" s="611">
        <v>14.14</v>
      </c>
      <c r="CW5" s="611">
        <v>14.14</v>
      </c>
      <c r="CX5" s="611">
        <v>14.14</v>
      </c>
      <c r="CY5" s="611">
        <v>14.14</v>
      </c>
      <c r="CZ5" s="611">
        <v>14.14</v>
      </c>
      <c r="DA5" s="611">
        <v>14.14</v>
      </c>
      <c r="DB5" s="611">
        <v>14.14</v>
      </c>
      <c r="DC5" s="611">
        <v>14.14</v>
      </c>
      <c r="DD5" s="611">
        <v>14.14</v>
      </c>
      <c r="DE5" s="611">
        <v>14.14</v>
      </c>
      <c r="DF5" s="611">
        <v>14.14</v>
      </c>
      <c r="DG5" s="611">
        <v>14.14</v>
      </c>
      <c r="DH5" s="611">
        <v>14.14</v>
      </c>
      <c r="DI5" s="611">
        <v>14.14</v>
      </c>
      <c r="DJ5" s="611">
        <v>14.14</v>
      </c>
      <c r="DK5" s="611">
        <v>14.14</v>
      </c>
      <c r="DL5" s="611">
        <v>14.14</v>
      </c>
      <c r="DM5" s="611">
        <v>14.14</v>
      </c>
      <c r="DN5" s="611">
        <v>14.14</v>
      </c>
      <c r="DO5" s="611">
        <v>14.14</v>
      </c>
      <c r="DP5" s="611">
        <v>14.14</v>
      </c>
      <c r="DQ5" s="611">
        <v>14.14</v>
      </c>
      <c r="DR5" s="611">
        <v>14.14</v>
      </c>
      <c r="DS5" s="611">
        <v>14.14</v>
      </c>
      <c r="DT5" s="611">
        <v>14.14</v>
      </c>
      <c r="DU5" s="611">
        <v>14.14</v>
      </c>
      <c r="DV5" s="611">
        <v>14.14</v>
      </c>
      <c r="DW5" s="611">
        <v>14.14</v>
      </c>
      <c r="DX5" s="611">
        <v>14.14</v>
      </c>
      <c r="DY5" s="611">
        <v>14.14</v>
      </c>
      <c r="DZ5" s="611">
        <v>14.14</v>
      </c>
      <c r="EA5" s="611">
        <v>14.14</v>
      </c>
      <c r="EB5" s="611">
        <v>14.14</v>
      </c>
      <c r="EC5" s="611">
        <v>14.14</v>
      </c>
      <c r="ED5" s="611">
        <v>14.14</v>
      </c>
      <c r="EE5" s="611">
        <v>14.14</v>
      </c>
      <c r="EF5" s="611">
        <v>14.14</v>
      </c>
      <c r="EG5" s="611">
        <v>14.14</v>
      </c>
      <c r="EH5" s="611">
        <v>14.14</v>
      </c>
      <c r="EI5" s="611">
        <v>14.14</v>
      </c>
      <c r="EJ5" s="611">
        <v>14.14</v>
      </c>
      <c r="EK5" s="611">
        <v>14.14</v>
      </c>
      <c r="EL5" s="611">
        <v>14.14</v>
      </c>
      <c r="EM5" s="611">
        <v>14.14</v>
      </c>
      <c r="EN5" s="611">
        <v>14.14</v>
      </c>
      <c r="EO5" s="611">
        <v>14.14</v>
      </c>
      <c r="EP5" s="611">
        <v>14.14</v>
      </c>
      <c r="EQ5" s="611">
        <v>14.14</v>
      </c>
      <c r="ER5" s="611">
        <v>14.14</v>
      </c>
      <c r="ES5" s="611">
        <v>14.14</v>
      </c>
      <c r="ET5" s="611">
        <v>14.14</v>
      </c>
      <c r="EU5" s="611">
        <v>14.14</v>
      </c>
      <c r="EV5" s="611">
        <v>14.14</v>
      </c>
      <c r="EW5" s="611">
        <v>14.14</v>
      </c>
      <c r="EX5" s="611">
        <v>14.14</v>
      </c>
      <c r="EY5" s="611">
        <v>14.14</v>
      </c>
      <c r="EZ5" s="611">
        <v>14.14</v>
      </c>
      <c r="FA5" s="611">
        <v>14.14</v>
      </c>
      <c r="FB5" s="611">
        <v>14.14</v>
      </c>
      <c r="FC5" s="611">
        <v>14.14</v>
      </c>
      <c r="FD5" s="611">
        <v>14.14</v>
      </c>
      <c r="FE5" s="611">
        <v>14.14</v>
      </c>
      <c r="FF5" s="611">
        <v>14.14</v>
      </c>
      <c r="FG5" s="611">
        <v>14.14</v>
      </c>
      <c r="FH5" s="611">
        <v>14.14</v>
      </c>
      <c r="FI5" s="611">
        <v>14.14</v>
      </c>
      <c r="FJ5" s="611">
        <v>14.14</v>
      </c>
      <c r="FK5" s="611">
        <v>14.14</v>
      </c>
      <c r="FL5" s="611">
        <v>14.14</v>
      </c>
      <c r="FM5" s="611">
        <v>14.14</v>
      </c>
      <c r="FN5" s="611">
        <v>14.14</v>
      </c>
      <c r="FO5" s="611">
        <v>14.14</v>
      </c>
      <c r="FP5" s="611">
        <v>14.14</v>
      </c>
      <c r="FQ5" s="611">
        <v>14.14</v>
      </c>
      <c r="FR5" s="611">
        <v>14.14</v>
      </c>
      <c r="FS5" s="611">
        <v>14.14</v>
      </c>
      <c r="FT5" s="611">
        <v>14.14</v>
      </c>
      <c r="FU5" s="611">
        <v>14.14</v>
      </c>
      <c r="FV5" s="611">
        <v>14.14</v>
      </c>
      <c r="FW5" s="611">
        <v>14.14</v>
      </c>
      <c r="FX5" s="611">
        <v>3</v>
      </c>
      <c r="FZ5" s="998"/>
      <c r="GA5" s="998"/>
      <c r="GB5" s="998"/>
    </row>
    <row customHeight="1" ht="11.25" hidden="1">
      <c r="A6" s="64" t="s">
        <v>354</v>
      </c>
      <c r="AD6" s="64" cm="1" t="str">
        <f t="array" ref="AD6:AD6">god</f>
        <v>2026</v>
      </c>
      <c r="AE6" s="64" cm="1" t="str">
        <f t="array" ref="AE6:AE6">god</f>
        <v>2026</v>
      </c>
      <c r="AF6" s="64" cm="1" t="str">
        <f t="array" ref="AF6:AF6">god</f>
        <v>2026</v>
      </c>
      <c r="AG6" s="64">
        <f>god+1</f>
        <v>2027</v>
      </c>
      <c r="AH6" s="64">
        <f>god+1</f>
        <v>2027</v>
      </c>
      <c r="AI6" s="64">
        <f>god+1</f>
        <v>2027</v>
      </c>
      <c r="AJ6" s="64">
        <f>god+2</f>
        <v>2028</v>
      </c>
      <c r="AK6" s="64">
        <f>god+2</f>
        <v>2028</v>
      </c>
      <c r="AL6" s="64">
        <f>god+2</f>
        <v>2028</v>
      </c>
      <c r="AM6" s="64">
        <f>god+3</f>
        <v>2029</v>
      </c>
      <c r="AN6" s="64">
        <f>god+3</f>
        <v>2029</v>
      </c>
      <c r="AO6" s="64">
        <f>god+3</f>
        <v>2029</v>
      </c>
      <c r="AP6" s="64">
        <f>god+4</f>
        <v>2030</v>
      </c>
      <c r="AQ6" s="64">
        <f>god+4</f>
        <v>2030</v>
      </c>
      <c r="AR6" s="64">
        <f>god+4</f>
        <v>2030</v>
      </c>
      <c r="AS6" s="64">
        <f>god+5</f>
        <v>2031</v>
      </c>
      <c r="AT6" s="64">
        <f>god+5</f>
        <v>2031</v>
      </c>
      <c r="AU6" s="64">
        <f>god+5</f>
        <v>2031</v>
      </c>
      <c r="AV6" s="64">
        <f>god+6</f>
        <v>2032</v>
      </c>
      <c r="AW6" s="64">
        <f>god+6</f>
        <v>2032</v>
      </c>
      <c r="AX6" s="64">
        <f>god+6</f>
        <v>2032</v>
      </c>
      <c r="AY6" s="64">
        <f>god+7</f>
        <v>2033</v>
      </c>
      <c r="AZ6" s="64">
        <f>god+7</f>
        <v>2033</v>
      </c>
      <c r="BA6" s="64">
        <f>god+7</f>
        <v>2033</v>
      </c>
      <c r="BB6" s="64">
        <f>god+8</f>
        <v>2034</v>
      </c>
      <c r="BC6" s="64">
        <f>god+8</f>
        <v>2034</v>
      </c>
      <c r="BD6" s="64">
        <f>god+8</f>
        <v>2034</v>
      </c>
      <c r="BE6" s="64">
        <f>god+9</f>
        <v>2035</v>
      </c>
      <c r="BF6" s="64">
        <f>god+9</f>
        <v>2035</v>
      </c>
      <c r="BG6" s="64">
        <f>god+9</f>
        <v>2035</v>
      </c>
      <c r="BH6" s="64">
        <f>god+10</f>
        <v>2036</v>
      </c>
      <c r="BI6" s="64">
        <f>god+10</f>
        <v>2036</v>
      </c>
      <c r="BJ6" s="64">
        <f>god+10</f>
        <v>2036</v>
      </c>
      <c r="BK6" s="64">
        <f>god+11</f>
        <v>2037</v>
      </c>
      <c r="BL6" s="64">
        <f>god+11</f>
        <v>2037</v>
      </c>
      <c r="BM6" s="64">
        <f>god+11</f>
        <v>2037</v>
      </c>
      <c r="BN6" s="64">
        <f>god+12</f>
        <v>2038</v>
      </c>
      <c r="BO6" s="64">
        <f>god+12</f>
        <v>2038</v>
      </c>
      <c r="BP6" s="64">
        <f>god+12</f>
        <v>2038</v>
      </c>
      <c r="BQ6" s="64">
        <f>god+13</f>
        <v>2039</v>
      </c>
      <c r="BR6" s="64">
        <f>god+13</f>
        <v>2039</v>
      </c>
      <c r="BS6" s="64">
        <f>god+13</f>
        <v>2039</v>
      </c>
      <c r="BT6" s="64">
        <f>god+14</f>
        <v>2040</v>
      </c>
      <c r="BU6" s="64">
        <f>god+14</f>
        <v>2040</v>
      </c>
      <c r="BV6" s="64">
        <f>god+14</f>
        <v>2040</v>
      </c>
      <c r="BW6" s="64">
        <f>god+15</f>
        <v>2041</v>
      </c>
      <c r="BX6" s="64">
        <f>god+15</f>
        <v>2041</v>
      </c>
      <c r="BY6" s="64">
        <f>god+15</f>
        <v>2041</v>
      </c>
      <c r="BZ6" s="64">
        <f>god+16</f>
        <v>2042</v>
      </c>
      <c r="CA6" s="64">
        <f>god+16</f>
        <v>2042</v>
      </c>
      <c r="CB6" s="64">
        <f>god+16</f>
        <v>2042</v>
      </c>
      <c r="CC6" s="64">
        <f>god+17</f>
        <v>2043</v>
      </c>
      <c r="CD6" s="64">
        <f>god+17</f>
        <v>2043</v>
      </c>
      <c r="CE6" s="64">
        <f>god+17</f>
        <v>2043</v>
      </c>
      <c r="CF6" s="64">
        <f>god+18</f>
        <v>2044</v>
      </c>
      <c r="CG6" s="64">
        <f>god+18</f>
        <v>2044</v>
      </c>
      <c r="CH6" s="64">
        <f>god+18</f>
        <v>2044</v>
      </c>
      <c r="CI6" s="64">
        <f>god+19</f>
        <v>2045</v>
      </c>
      <c r="CJ6" s="64">
        <f>god+19</f>
        <v>2045</v>
      </c>
      <c r="CK6" s="64">
        <f>god+19</f>
        <v>2045</v>
      </c>
      <c r="CL6" s="64">
        <f>god+20</f>
        <v>2046</v>
      </c>
      <c r="CM6" s="64">
        <f>god+20</f>
        <v>2046</v>
      </c>
      <c r="CN6" s="64">
        <f>god+20</f>
        <v>2046</v>
      </c>
      <c r="CO6" s="64">
        <f>god+21</f>
        <v>2047</v>
      </c>
      <c r="CP6" s="64">
        <f>god+21</f>
        <v>2047</v>
      </c>
      <c r="CQ6" s="64">
        <f>god+21</f>
        <v>2047</v>
      </c>
      <c r="CR6" s="64">
        <f>god+22</f>
        <v>2048</v>
      </c>
      <c r="CS6" s="64">
        <f>god+22</f>
        <v>2048</v>
      </c>
      <c r="CT6" s="64">
        <f>god+22</f>
        <v>2048</v>
      </c>
      <c r="CU6" s="64">
        <f>god+23</f>
        <v>2049</v>
      </c>
      <c r="CV6" s="64">
        <f>god+23</f>
        <v>2049</v>
      </c>
      <c r="CW6" s="64">
        <f>god+23</f>
        <v>2049</v>
      </c>
      <c r="CX6" s="64">
        <f>god+24</f>
        <v>2050</v>
      </c>
      <c r="CY6" s="64">
        <f>god+24</f>
        <v>2050</v>
      </c>
      <c r="CZ6" s="64">
        <f>god+24</f>
        <v>2050</v>
      </c>
      <c r="DA6" s="64">
        <f>god+25</f>
        <v>2051</v>
      </c>
      <c r="DB6" s="64">
        <f>god+25</f>
        <v>2051</v>
      </c>
      <c r="DC6" s="64">
        <f>god+25</f>
        <v>2051</v>
      </c>
      <c r="DD6" s="64">
        <f>god+26</f>
        <v>2052</v>
      </c>
      <c r="DE6" s="64">
        <f>god+26</f>
        <v>2052</v>
      </c>
      <c r="DF6" s="64">
        <f>god+26</f>
        <v>2052</v>
      </c>
      <c r="DG6" s="64">
        <f>god+27</f>
        <v>2053</v>
      </c>
      <c r="DH6" s="64">
        <f>god+27</f>
        <v>2053</v>
      </c>
      <c r="DI6" s="64">
        <f>god+27</f>
        <v>2053</v>
      </c>
      <c r="DJ6" s="64">
        <f>god+28</f>
        <v>2054</v>
      </c>
      <c r="DK6" s="64">
        <f>god+28</f>
        <v>2054</v>
      </c>
      <c r="DL6" s="64">
        <f>god+28</f>
        <v>2054</v>
      </c>
      <c r="DM6" s="64">
        <f>god+29</f>
        <v>2055</v>
      </c>
      <c r="DN6" s="64">
        <f>god+29</f>
        <v>2055</v>
      </c>
      <c r="DO6" s="64">
        <f>god+29</f>
        <v>2055</v>
      </c>
      <c r="DP6" s="64">
        <f>god+30</f>
        <v>2056</v>
      </c>
      <c r="DQ6" s="64">
        <f>god+30</f>
        <v>2056</v>
      </c>
      <c r="DR6" s="64">
        <f>god+30</f>
        <v>2056</v>
      </c>
      <c r="DS6" s="64">
        <f>god+31</f>
        <v>2057</v>
      </c>
      <c r="DT6" s="64">
        <f>god+31</f>
        <v>2057</v>
      </c>
      <c r="DU6" s="64">
        <f>god+31</f>
        <v>2057</v>
      </c>
      <c r="DV6" s="64">
        <f>god+32</f>
        <v>2058</v>
      </c>
      <c r="DW6" s="64">
        <f>god+32</f>
        <v>2058</v>
      </c>
      <c r="DX6" s="64">
        <f>god+32</f>
        <v>2058</v>
      </c>
      <c r="DY6" s="64">
        <f>god+33</f>
        <v>2059</v>
      </c>
      <c r="DZ6" s="64">
        <f>god+33</f>
        <v>2059</v>
      </c>
      <c r="EA6" s="64">
        <f>god+33</f>
        <v>2059</v>
      </c>
      <c r="EB6" s="64">
        <f>god+34</f>
        <v>2060</v>
      </c>
      <c r="EC6" s="64">
        <f>god+34</f>
        <v>2060</v>
      </c>
      <c r="ED6" s="64">
        <f>god+34</f>
        <v>2060</v>
      </c>
      <c r="EE6" s="64">
        <f>god+35</f>
        <v>2061</v>
      </c>
      <c r="EF6" s="64">
        <f>god+35</f>
        <v>2061</v>
      </c>
      <c r="EG6" s="64">
        <f>god+35</f>
        <v>2061</v>
      </c>
      <c r="EH6" s="64">
        <f>god+36</f>
        <v>2062</v>
      </c>
      <c r="EI6" s="64">
        <f>god+36</f>
        <v>2062</v>
      </c>
      <c r="EJ6" s="64">
        <f>god+36</f>
        <v>2062</v>
      </c>
      <c r="EK6" s="64">
        <f>god+37</f>
        <v>2063</v>
      </c>
      <c r="EL6" s="64">
        <f>god+37</f>
        <v>2063</v>
      </c>
      <c r="EM6" s="64">
        <f>god+37</f>
        <v>2063</v>
      </c>
      <c r="EN6" s="64">
        <f>god+38</f>
        <v>2064</v>
      </c>
      <c r="EO6" s="64">
        <f>god+38</f>
        <v>2064</v>
      </c>
      <c r="EP6" s="64">
        <f>god+38</f>
        <v>2064</v>
      </c>
      <c r="EQ6" s="64">
        <f>god+39</f>
        <v>2065</v>
      </c>
      <c r="ER6" s="64">
        <f>god+39</f>
        <v>2065</v>
      </c>
      <c r="ES6" s="64">
        <f>god+39</f>
        <v>2065</v>
      </c>
      <c r="ET6" s="64">
        <f>god+40</f>
        <v>2066</v>
      </c>
      <c r="EU6" s="64">
        <f>god+40</f>
        <v>2066</v>
      </c>
      <c r="EV6" s="64">
        <f>god+40</f>
        <v>2066</v>
      </c>
      <c r="EW6" s="64">
        <f>god+41</f>
        <v>2067</v>
      </c>
      <c r="EX6" s="64">
        <f>god+41</f>
        <v>2067</v>
      </c>
      <c r="EY6" s="64">
        <f>god+41</f>
        <v>2067</v>
      </c>
      <c r="EZ6" s="64">
        <f>god+42</f>
        <v>2068</v>
      </c>
      <c r="FA6" s="64">
        <f>god+42</f>
        <v>2068</v>
      </c>
      <c r="FB6" s="64">
        <f>god+42</f>
        <v>2068</v>
      </c>
      <c r="FC6" s="64">
        <f>god+43</f>
        <v>2069</v>
      </c>
      <c r="FD6" s="64">
        <f>god+43</f>
        <v>2069</v>
      </c>
      <c r="FE6" s="64">
        <f>god+43</f>
        <v>2069</v>
      </c>
      <c r="FF6" s="64">
        <f>god+44</f>
        <v>2070</v>
      </c>
      <c r="FG6" s="64">
        <f>god+44</f>
        <v>2070</v>
      </c>
      <c r="FH6" s="64">
        <f>god+44</f>
        <v>2070</v>
      </c>
      <c r="FI6" s="64">
        <f>god+45</f>
        <v>2071</v>
      </c>
      <c r="FJ6" s="64">
        <f>god+45</f>
        <v>2071</v>
      </c>
      <c r="FK6" s="64">
        <f>god+45</f>
        <v>2071</v>
      </c>
      <c r="FL6" s="64">
        <f>god+46</f>
        <v>2072</v>
      </c>
      <c r="FM6" s="64">
        <f>god+46</f>
        <v>2072</v>
      </c>
      <c r="FN6" s="64">
        <f>god+46</f>
        <v>2072</v>
      </c>
      <c r="FO6" s="64">
        <f>god+47</f>
        <v>2073</v>
      </c>
      <c r="FP6" s="64">
        <f>god+47</f>
        <v>2073</v>
      </c>
      <c r="FQ6" s="64">
        <f>god+47</f>
        <v>2073</v>
      </c>
      <c r="FR6" s="64">
        <f>god+48</f>
        <v>2074</v>
      </c>
      <c r="FS6" s="64">
        <f>god+48</f>
        <v>2074</v>
      </c>
      <c r="FT6" s="64">
        <f>god+48</f>
        <v>2074</v>
      </c>
      <c r="FU6" s="64">
        <f>god+49</f>
        <v>2075</v>
      </c>
      <c r="FV6" s="64">
        <f>god+49</f>
        <v>2075</v>
      </c>
      <c r="FW6" s="64">
        <f>god+49</f>
        <v>2075</v>
      </c>
    </row>
    <row customHeight="1" ht="11.25" hidden="1">
      <c r="A7" s="64" t="s">
        <v>355</v>
      </c>
      <c r="AD7" s="64" cm="1" t="str">
        <f t="array" ref="AD7:AD7">AD26</f>
        <v>Предложение организации</v>
      </c>
      <c r="AE7" s="64" cm="1" t="str">
        <f t="array" ref="AE7:AE7">AE26</f>
        <v>Принято органом регулирования</v>
      </c>
      <c r="AF7" s="64" cm="1" t="str">
        <f t="array" ref="AF7:AF7">AF26</f>
        <v>Отклонение, %</v>
      </c>
      <c r="AG7" s="64" cm="1" t="str">
        <f t="array" ref="AG7:AG7">AG26</f>
        <v>Предложение организации</v>
      </c>
      <c r="AH7" s="64" cm="1" t="str">
        <f t="array" ref="AH7:AH7">AH26</f>
        <v>Принято органом регулирования</v>
      </c>
      <c r="AI7" s="64" cm="1" t="str">
        <f t="array" ref="AI7:AI7">AI26</f>
        <v>Отклонение, %</v>
      </c>
      <c r="AJ7" s="64" cm="1" t="str">
        <f t="array" ref="AJ7:AJ7">AJ26</f>
        <v>Предложение организации</v>
      </c>
      <c r="AK7" s="64" cm="1" t="str">
        <f t="array" ref="AK7:AK7">AK26</f>
        <v>Принято органом регулирования</v>
      </c>
      <c r="AL7" s="64" cm="1" t="str">
        <f t="array" ref="AL7:AL7">AL26</f>
        <v>Отклонение, %</v>
      </c>
      <c r="AM7" s="64" cm="1" t="str">
        <f t="array" ref="AM7:AM7">AM26</f>
        <v>Предложение организации</v>
      </c>
      <c r="AN7" s="64" cm="1" t="str">
        <f t="array" ref="AN7:AN7">AN26</f>
        <v>Принято органом регулирования</v>
      </c>
      <c r="AO7" s="64" cm="1" t="str">
        <f t="array" ref="AO7:AO7">AO26</f>
        <v>Отклонение, %</v>
      </c>
      <c r="AP7" s="64" cm="1" t="str">
        <f t="array" ref="AP7:AP7">AP26</f>
        <v>Предложение организации</v>
      </c>
      <c r="AQ7" s="64" cm="1" t="str">
        <f t="array" ref="AQ7:AQ7">AQ26</f>
        <v>Принято органом регулирования</v>
      </c>
      <c r="AR7" s="64" cm="1" t="str">
        <f t="array" ref="AR7:AR7">AR26</f>
        <v>Отклонение, %</v>
      </c>
      <c r="AS7" s="64" cm="1" t="str">
        <f t="array" ref="AS7:AS7">AS26</f>
        <v>Предложение организации</v>
      </c>
      <c r="AT7" s="64" cm="1" t="str">
        <f t="array" ref="AT7:AT7">AT26</f>
        <v>Принято органом регулирования</v>
      </c>
      <c r="AU7" s="64" cm="1" t="str">
        <f t="array" ref="AU7:AU7">AU26</f>
        <v>Отклонение, %</v>
      </c>
      <c r="AV7" s="64" cm="1" t="str">
        <f t="array" ref="AV7:AV7">AV26</f>
        <v>Предложение организации</v>
      </c>
      <c r="AW7" s="64" cm="1" t="str">
        <f t="array" ref="AW7:AW7">AW26</f>
        <v>Принято органом регулирования</v>
      </c>
      <c r="AX7" s="64" cm="1" t="str">
        <f t="array" ref="AX7:AX7">AX26</f>
        <v>Отклонение, %</v>
      </c>
      <c r="AY7" s="64" cm="1" t="str">
        <f t="array" ref="AY7:AY7">AY26</f>
        <v>Предложение организации</v>
      </c>
      <c r="AZ7" s="64" cm="1" t="str">
        <f t="array" ref="AZ7:AZ7">AZ26</f>
        <v>Принято органом регулирования</v>
      </c>
      <c r="BA7" s="64" cm="1" t="str">
        <f t="array" ref="BA7:BA7">BA26</f>
        <v>Отклонение, %</v>
      </c>
      <c r="BB7" s="64" cm="1" t="str">
        <f t="array" ref="BB7:BB7">BB26</f>
        <v>Предложение организации</v>
      </c>
      <c r="BC7" s="64" cm="1" t="str">
        <f t="array" ref="BC7:BC7">BC26</f>
        <v>Принято органом регулирования</v>
      </c>
      <c r="BD7" s="64" cm="1" t="str">
        <f t="array" ref="BD7:BD7">BD26</f>
        <v>Отклонение, %</v>
      </c>
      <c r="BE7" s="64" cm="1" t="str">
        <f t="array" ref="BE7:BE7">BE26</f>
        <v>Предложение организации</v>
      </c>
      <c r="BF7" s="64" cm="1" t="str">
        <f t="array" ref="BF7:BF7">BF26</f>
        <v>Принято органом регулирования</v>
      </c>
      <c r="BG7" s="64" cm="1" t="str">
        <f t="array" ref="BG7:BG7">BG26</f>
        <v>Отклонение, %</v>
      </c>
      <c r="BH7" s="64" cm="1" t="str">
        <f t="array" ref="BH7:BH7">BH26</f>
        <v>Предложение организации</v>
      </c>
      <c r="BI7" s="64" cm="1" t="str">
        <f t="array" ref="BI7:BI7">BI26</f>
        <v>Принято органом регулирования</v>
      </c>
      <c r="BJ7" s="64" cm="1" t="str">
        <f t="array" ref="BJ7:BJ7">BJ26</f>
        <v>Отклонение, %</v>
      </c>
      <c r="BK7" s="64" cm="1" t="str">
        <f t="array" ref="BK7:BK7">BK26</f>
        <v>Предложение организации</v>
      </c>
      <c r="BL7" s="64" cm="1" t="str">
        <f t="array" ref="BL7:BL7">BL26</f>
        <v>Принято органом регулирования</v>
      </c>
      <c r="BM7" s="64" cm="1" t="str">
        <f t="array" ref="BM7:BM7">BM26</f>
        <v>Отклонение, %</v>
      </c>
      <c r="BN7" s="64" cm="1" t="str">
        <f t="array" ref="BN7:BN7">BN26</f>
        <v>Предложение организации</v>
      </c>
      <c r="BO7" s="64" cm="1" t="str">
        <f t="array" ref="BO7:BO7">BO26</f>
        <v>Принято органом регулирования</v>
      </c>
      <c r="BP7" s="64" cm="1" t="str">
        <f t="array" ref="BP7:BP7">BP26</f>
        <v>Отклонение, %</v>
      </c>
      <c r="BQ7" s="64" cm="1" t="str">
        <f t="array" ref="BQ7:BQ7">BQ26</f>
        <v>Предложение организации</v>
      </c>
      <c r="BR7" s="64" cm="1" t="str">
        <f t="array" ref="BR7:BR7">BR26</f>
        <v>Принято органом регулирования</v>
      </c>
      <c r="BS7" s="64" cm="1" t="str">
        <f t="array" ref="BS7:BS7">BS26</f>
        <v>Отклонение, %</v>
      </c>
      <c r="BT7" s="64" cm="1" t="str">
        <f t="array" ref="BT7:BT7">BT26</f>
        <v>Предложение организации</v>
      </c>
      <c r="BU7" s="64" cm="1" t="str">
        <f t="array" ref="BU7:BU7">BU26</f>
        <v>Принято органом регулирования</v>
      </c>
      <c r="BV7" s="64" cm="1" t="str">
        <f t="array" ref="BV7:BV7">BV26</f>
        <v>Отклонение, %</v>
      </c>
      <c r="BW7" s="64" cm="1" t="str">
        <f t="array" ref="BW7:BW7">BW26</f>
        <v>Предложение организации</v>
      </c>
      <c r="BX7" s="64" cm="1" t="str">
        <f t="array" ref="BX7:BX7">BX26</f>
        <v>Принято органом регулирования</v>
      </c>
      <c r="BY7" s="64" cm="1" t="str">
        <f t="array" ref="BY7:BY7">BY26</f>
        <v>Отклонение, %</v>
      </c>
      <c r="BZ7" s="64" cm="1" t="str">
        <f t="array" ref="BZ7:BZ7">BZ26</f>
        <v>Предложение организации</v>
      </c>
      <c r="CA7" s="64" cm="1" t="str">
        <f t="array" ref="CA7:CA7">CA26</f>
        <v>Принято органом регулирования</v>
      </c>
      <c r="CB7" s="64" cm="1" t="str">
        <f t="array" ref="CB7:CB7">CB26</f>
        <v>Отклонение, %</v>
      </c>
      <c r="CC7" s="64" cm="1" t="str">
        <f t="array" ref="CC7:CC7">CC26</f>
        <v>Предложение организации</v>
      </c>
      <c r="CD7" s="64" cm="1" t="str">
        <f t="array" ref="CD7:CD7">CD26</f>
        <v>Принято органом регулирования</v>
      </c>
      <c r="CE7" s="64" cm="1" t="str">
        <f t="array" ref="CE7:CE7">CE26</f>
        <v>Отклонение, %</v>
      </c>
      <c r="CF7" s="64" cm="1" t="str">
        <f t="array" ref="CF7:CF7">CF26</f>
        <v>Предложение организации</v>
      </c>
      <c r="CG7" s="64" cm="1" t="str">
        <f t="array" ref="CG7:CG7">CG26</f>
        <v>Принято органом регулирования</v>
      </c>
      <c r="CH7" s="64" cm="1" t="str">
        <f t="array" ref="CH7:CH7">CH26</f>
        <v>Отклонение, %</v>
      </c>
      <c r="CI7" s="64" cm="1" t="str">
        <f t="array" ref="CI7:CI7">CI26</f>
        <v>Предложение организации</v>
      </c>
      <c r="CJ7" s="64" cm="1" t="str">
        <f t="array" ref="CJ7:CJ7">CJ26</f>
        <v>Принято органом регулирования</v>
      </c>
      <c r="CK7" s="64" cm="1" t="str">
        <f t="array" ref="CK7:CK7">CK26</f>
        <v>Отклонение, %</v>
      </c>
      <c r="CL7" s="64" cm="1" t="str">
        <f t="array" ref="CL7:CL7">CL26</f>
        <v>Предложение организации</v>
      </c>
      <c r="CM7" s="64" cm="1" t="str">
        <f t="array" ref="CM7:CM7">CM26</f>
        <v>Принято органом регулирования</v>
      </c>
      <c r="CN7" s="64" cm="1" t="str">
        <f t="array" ref="CN7:CN7">CN26</f>
        <v>Отклонение, %</v>
      </c>
      <c r="CO7" s="64" cm="1" t="str">
        <f t="array" ref="CO7:CO7">CO26</f>
        <v>Предложение организации</v>
      </c>
      <c r="CP7" s="64" cm="1" t="str">
        <f t="array" ref="CP7:CP7">CP26</f>
        <v>Принято органом регулирования</v>
      </c>
      <c r="CQ7" s="64" cm="1" t="str">
        <f t="array" ref="CQ7:CQ7">CQ26</f>
        <v>Отклонение, %</v>
      </c>
      <c r="CR7" s="64" cm="1" t="str">
        <f t="array" ref="CR7:CR7">CR26</f>
        <v>Предложение организации</v>
      </c>
      <c r="CS7" s="64" cm="1" t="str">
        <f t="array" ref="CS7:CS7">CS26</f>
        <v>Принято органом регулирования</v>
      </c>
      <c r="CT7" s="64" cm="1" t="str">
        <f t="array" ref="CT7:CT7">CT26</f>
        <v>Отклонение, %</v>
      </c>
      <c r="CU7" s="64" cm="1" t="str">
        <f t="array" ref="CU7:CU7">CU26</f>
        <v>Предложение организации</v>
      </c>
      <c r="CV7" s="64" cm="1" t="str">
        <f t="array" ref="CV7:CV7">CV26</f>
        <v>Принято органом регулирования</v>
      </c>
      <c r="CW7" s="64" cm="1" t="str">
        <f t="array" ref="CW7:CW7">CW26</f>
        <v>Отклонение, %</v>
      </c>
      <c r="CX7" s="64" cm="1" t="str">
        <f t="array" ref="CX7:CX7">CX26</f>
        <v>Предложение организации</v>
      </c>
      <c r="CY7" s="64" cm="1" t="str">
        <f t="array" ref="CY7:CY7">CY26</f>
        <v>Принято органом регулирования</v>
      </c>
      <c r="CZ7" s="64" cm="1" t="str">
        <f t="array" ref="CZ7:CZ7">CZ26</f>
        <v>Отклонение, %</v>
      </c>
      <c r="DA7" s="64" cm="1" t="str">
        <f t="array" ref="DA7:DA7">DA26</f>
        <v>Предложение организации</v>
      </c>
      <c r="DB7" s="64" cm="1" t="str">
        <f t="array" ref="DB7:DB7">DB26</f>
        <v>Принято органом регулирования</v>
      </c>
      <c r="DC7" s="64" cm="1" t="str">
        <f t="array" ref="DC7:DC7">DC26</f>
        <v>Отклонение, %</v>
      </c>
      <c r="DD7" s="64" cm="1" t="str">
        <f t="array" ref="DD7:DD7">DD26</f>
        <v>Предложение организации</v>
      </c>
      <c r="DE7" s="64" cm="1" t="str">
        <f t="array" ref="DE7:DE7">DE26</f>
        <v>Принято органом регулирования</v>
      </c>
      <c r="DF7" s="64" cm="1" t="str">
        <f t="array" ref="DF7:DF7">DF26</f>
        <v>Отклонение, %</v>
      </c>
      <c r="DG7" s="64" cm="1" t="str">
        <f t="array" ref="DG7:DG7">DG26</f>
        <v>Предложение организации</v>
      </c>
      <c r="DH7" s="64" cm="1" t="str">
        <f t="array" ref="DH7:DH7">DH26</f>
        <v>Принято органом регулирования</v>
      </c>
      <c r="DI7" s="64" cm="1" t="str">
        <f t="array" ref="DI7:DI7">DI26</f>
        <v>Отклонение, %</v>
      </c>
      <c r="DJ7" s="64" cm="1" t="str">
        <f t="array" ref="DJ7:DJ7">DJ26</f>
        <v>Предложение организации</v>
      </c>
      <c r="DK7" s="64" cm="1" t="str">
        <f t="array" ref="DK7:DK7">DK26</f>
        <v>Принято органом регулирования</v>
      </c>
      <c r="DL7" s="64" cm="1" t="str">
        <f t="array" ref="DL7:DL7">DL26</f>
        <v>Отклонение, %</v>
      </c>
      <c r="DM7" s="64" cm="1" t="str">
        <f t="array" ref="DM7:DM7">DM26</f>
        <v>Предложение организации</v>
      </c>
      <c r="DN7" s="64" cm="1" t="str">
        <f t="array" ref="DN7:DN7">DN26</f>
        <v>Принято органом регулирования</v>
      </c>
      <c r="DO7" s="64" cm="1" t="str">
        <f t="array" ref="DO7:DO7">DO26</f>
        <v>Отклонение, %</v>
      </c>
      <c r="DP7" s="64" cm="1" t="str">
        <f t="array" ref="DP7:DP7">DP26</f>
        <v>Предложение организации</v>
      </c>
      <c r="DQ7" s="64" cm="1" t="str">
        <f t="array" ref="DQ7:DQ7">DQ26</f>
        <v>Принято органом регулирования</v>
      </c>
      <c r="DR7" s="64" cm="1" t="str">
        <f t="array" ref="DR7:DR7">DR26</f>
        <v>Отклонение, %</v>
      </c>
      <c r="DS7" s="64" cm="1" t="str">
        <f t="array" ref="DS7:DS7">DS26</f>
        <v>Предложение организации</v>
      </c>
      <c r="DT7" s="64" cm="1" t="str">
        <f t="array" ref="DT7:DT7">DT26</f>
        <v>Принято органом регулирования</v>
      </c>
      <c r="DU7" s="64" cm="1" t="str">
        <f t="array" ref="DU7:DU7">DU26</f>
        <v>Отклонение, %</v>
      </c>
      <c r="DV7" s="64" cm="1" t="str">
        <f t="array" ref="DV7:DV7">DV26</f>
        <v>Предложение организации</v>
      </c>
      <c r="DW7" s="64" cm="1" t="str">
        <f t="array" ref="DW7:DW7">DW26</f>
        <v>Принято органом регулирования</v>
      </c>
      <c r="DX7" s="64" cm="1" t="str">
        <f t="array" ref="DX7:DX7">DX26</f>
        <v>Отклонение, %</v>
      </c>
      <c r="DY7" s="64" cm="1" t="str">
        <f t="array" ref="DY7:DY7">DY26</f>
        <v>Предложение организации</v>
      </c>
      <c r="DZ7" s="64" cm="1" t="str">
        <f t="array" ref="DZ7:DZ7">DZ26</f>
        <v>Принято органом регулирования</v>
      </c>
      <c r="EA7" s="64" cm="1" t="str">
        <f t="array" ref="EA7:EA7">EA26</f>
        <v>Отклонение, %</v>
      </c>
      <c r="EB7" s="64" cm="1" t="str">
        <f t="array" ref="EB7:EB7">EB26</f>
        <v>Предложение организации</v>
      </c>
      <c r="EC7" s="64" cm="1" t="str">
        <f t="array" ref="EC7:EC7">EC26</f>
        <v>Принято органом регулирования</v>
      </c>
      <c r="ED7" s="64" cm="1" t="str">
        <f t="array" ref="ED7:ED7">ED26</f>
        <v>Отклонение, %</v>
      </c>
      <c r="EE7" s="64" cm="1" t="str">
        <f t="array" ref="EE7:EE7">EE26</f>
        <v>Предложение организации</v>
      </c>
      <c r="EF7" s="64" cm="1" t="str">
        <f t="array" ref="EF7:EF7">EF26</f>
        <v>Принято органом регулирования</v>
      </c>
      <c r="EG7" s="64" cm="1" t="str">
        <f t="array" ref="EG7:EG7">EG26</f>
        <v>Отклонение, %</v>
      </c>
      <c r="EH7" s="64" cm="1" t="str">
        <f t="array" ref="EH7:EH7">EH26</f>
        <v>Предложение организации</v>
      </c>
      <c r="EI7" s="64" cm="1" t="str">
        <f t="array" ref="EI7:EI7">EI26</f>
        <v>Принято органом регулирования</v>
      </c>
      <c r="EJ7" s="64" cm="1" t="str">
        <f t="array" ref="EJ7:EJ7">EJ26</f>
        <v>Отклонение, %</v>
      </c>
      <c r="EK7" s="64" cm="1" t="str">
        <f t="array" ref="EK7:EK7">EK26</f>
        <v>Предложение организации</v>
      </c>
      <c r="EL7" s="64" cm="1" t="str">
        <f t="array" ref="EL7:EL7">EL26</f>
        <v>Принято органом регулирования</v>
      </c>
      <c r="EM7" s="64" cm="1" t="str">
        <f t="array" ref="EM7:EM7">EM26</f>
        <v>Отклонение, %</v>
      </c>
      <c r="EN7" s="64" cm="1" t="str">
        <f t="array" ref="EN7:EN7">EN26</f>
        <v>Предложение организации</v>
      </c>
      <c r="EO7" s="64" cm="1" t="str">
        <f t="array" ref="EO7:EO7">EO26</f>
        <v>Принято органом регулирования</v>
      </c>
      <c r="EP7" s="64" cm="1" t="str">
        <f t="array" ref="EP7:EP7">EP26</f>
        <v>Отклонение, %</v>
      </c>
      <c r="EQ7" s="64" cm="1" t="str">
        <f t="array" ref="EQ7:EQ7">EQ26</f>
        <v>Предложение организации</v>
      </c>
      <c r="ER7" s="64" cm="1" t="str">
        <f t="array" ref="ER7:ER7">ER26</f>
        <v>Принято органом регулирования</v>
      </c>
      <c r="ES7" s="64" cm="1" t="str">
        <f t="array" ref="ES7:ES7">ES26</f>
        <v>Отклонение, %</v>
      </c>
      <c r="ET7" s="64" cm="1" t="str">
        <f t="array" ref="ET7:ET7">ET26</f>
        <v>Предложение организации</v>
      </c>
      <c r="EU7" s="64" cm="1" t="str">
        <f t="array" ref="EU7:EU7">EU26</f>
        <v>Принято органом регулирования</v>
      </c>
      <c r="EV7" s="64" cm="1" t="str">
        <f t="array" ref="EV7:EV7">EV26</f>
        <v>Отклонение, %</v>
      </c>
      <c r="EW7" s="64" cm="1" t="str">
        <f t="array" ref="EW7:EW7">EW26</f>
        <v>Предложение организации</v>
      </c>
      <c r="EX7" s="64" cm="1" t="str">
        <f t="array" ref="EX7:EX7">EX26</f>
        <v>Принято органом регулирования</v>
      </c>
      <c r="EY7" s="64" cm="1" t="str">
        <f t="array" ref="EY7:EY7">EY26</f>
        <v>Отклонение, %</v>
      </c>
      <c r="EZ7" s="64" cm="1" t="str">
        <f t="array" ref="EZ7:EZ7">EZ26</f>
        <v>Предложение организации</v>
      </c>
      <c r="FA7" s="64" cm="1" t="str">
        <f t="array" ref="FA7:FA7">FA26</f>
        <v>Принято органом регулирования</v>
      </c>
      <c r="FB7" s="64" cm="1" t="str">
        <f t="array" ref="FB7:FB7">FB26</f>
        <v>Отклонение, %</v>
      </c>
      <c r="FC7" s="64" cm="1" t="str">
        <f t="array" ref="FC7:FC7">FC26</f>
        <v>Предложение организации</v>
      </c>
      <c r="FD7" s="64" cm="1" t="str">
        <f t="array" ref="FD7:FD7">FD26</f>
        <v>Принято органом регулирования</v>
      </c>
      <c r="FE7" s="64" cm="1" t="str">
        <f t="array" ref="FE7:FE7">FE26</f>
        <v>Отклонение, %</v>
      </c>
      <c r="FF7" s="64" cm="1" t="str">
        <f t="array" ref="FF7:FF7">FF26</f>
        <v>Предложение организации</v>
      </c>
      <c r="FG7" s="64" cm="1" t="str">
        <f t="array" ref="FG7:FG7">FG26</f>
        <v>Принято органом регулирования</v>
      </c>
      <c r="FH7" s="64" cm="1" t="str">
        <f t="array" ref="FH7:FH7">FH26</f>
        <v>Отклонение, %</v>
      </c>
      <c r="FI7" s="64" cm="1" t="str">
        <f t="array" ref="FI7:FI7">FI26</f>
        <v>Предложение организации</v>
      </c>
      <c r="FJ7" s="64" cm="1" t="str">
        <f t="array" ref="FJ7:FJ7">FJ26</f>
        <v>Принято органом регулирования</v>
      </c>
      <c r="FK7" s="64" cm="1" t="str">
        <f t="array" ref="FK7:FK7">FK26</f>
        <v>Отклонение, %</v>
      </c>
      <c r="FL7" s="64" cm="1" t="str">
        <f t="array" ref="FL7:FL7">FL26</f>
        <v>Предложение организации</v>
      </c>
      <c r="FM7" s="64" cm="1" t="str">
        <f t="array" ref="FM7:FM7">FM26</f>
        <v>Принято органом регулирования</v>
      </c>
      <c r="FN7" s="64" cm="1" t="str">
        <f t="array" ref="FN7:FN7">FN26</f>
        <v>Отклонение, %</v>
      </c>
      <c r="FO7" s="64" cm="1" t="str">
        <f t="array" ref="FO7:FO7">FO26</f>
        <v>Предложение организации</v>
      </c>
      <c r="FP7" s="64" cm="1" t="str">
        <f t="array" ref="FP7:FP7">FP26</f>
        <v>Принято органом регулирования</v>
      </c>
      <c r="FQ7" s="64" cm="1" t="str">
        <f t="array" ref="FQ7:FQ7">FQ26</f>
        <v>Отклонение, %</v>
      </c>
      <c r="FR7" s="64" cm="1" t="str">
        <f t="array" ref="FR7:FR7">FR26</f>
        <v>Предложение организации</v>
      </c>
      <c r="FS7" s="64" cm="1" t="str">
        <f t="array" ref="FS7:FS7">FS26</f>
        <v>Принято органом регулирования</v>
      </c>
      <c r="FT7" s="64" cm="1" t="str">
        <f t="array" ref="FT7:FT7">FT26</f>
        <v>Отклонение, %</v>
      </c>
      <c r="FU7" s="64" cm="1" t="str">
        <f t="array" ref="FU7:FU7">FU26</f>
        <v>Предложение организации</v>
      </c>
      <c r="FV7" s="64" cm="1" t="str">
        <f t="array" ref="FV7:FV7">FV26</f>
        <v>Принято органом регулирования</v>
      </c>
      <c r="FW7" s="64" cm="1" t="str">
        <f t="array" ref="FW7:FW7">FW26</f>
        <v>Отклонение, %</v>
      </c>
    </row>
    <row customHeight="1" ht="11.25" hidden="1">
      <c r="AD8" s="64" t="str">
        <f>AD6&amp;AD7</f>
        <v>2026Предложение организации</v>
      </c>
      <c r="AE8" s="64" t="str">
        <f>AE6&amp;AE7</f>
        <v>2026Принято органом регулирования</v>
      </c>
      <c r="AF8" s="64" t="str">
        <f>AF6&amp;AF7</f>
        <v>2026Отклонение, %</v>
      </c>
      <c r="AG8" s="64" t="str">
        <f>AG6&amp;AG7</f>
        <v>2027Предложение организации</v>
      </c>
      <c r="AH8" s="64" t="str">
        <f>AH6&amp;AH7</f>
        <v>2027Принято органом регулирования</v>
      </c>
      <c r="AI8" s="64" t="str">
        <f>AI6&amp;AI7</f>
        <v>2027Отклонение, %</v>
      </c>
      <c r="AJ8" s="64" t="str">
        <f>AJ6&amp;AJ7</f>
        <v>2028Предложение организации</v>
      </c>
      <c r="AK8" s="64" t="str">
        <f>AK6&amp;AK7</f>
        <v>2028Принято органом регулирования</v>
      </c>
      <c r="AL8" s="64" t="str">
        <f>AL6&amp;AL7</f>
        <v>2028Отклонение, %</v>
      </c>
      <c r="AM8" s="64" t="str">
        <f>AM6&amp;AM7</f>
        <v>2029Предложение организации</v>
      </c>
      <c r="AN8" s="64" t="str">
        <f>AN6&amp;AN7</f>
        <v>2029Принято органом регулирования</v>
      </c>
      <c r="AO8" s="64" t="str">
        <f>AO6&amp;AO7</f>
        <v>2029Отклонение, %</v>
      </c>
      <c r="AP8" s="64" t="str">
        <f>AP6&amp;AP7</f>
        <v>2030Предложение организации</v>
      </c>
      <c r="AQ8" s="64" t="str">
        <f>AQ6&amp;AQ7</f>
        <v>2030Принято органом регулирования</v>
      </c>
      <c r="AR8" s="64" t="str">
        <f>AR6&amp;AR7</f>
        <v>2030Отклонение, %</v>
      </c>
      <c r="AS8" s="64" t="str">
        <f>AS6&amp;AS7</f>
        <v>2031Предложение организации</v>
      </c>
      <c r="AT8" s="64" t="str">
        <f>AT6&amp;AT7</f>
        <v>2031Принято органом регулирования</v>
      </c>
      <c r="AU8" s="64" t="str">
        <f>AU6&amp;AU7</f>
        <v>2031Отклонение, %</v>
      </c>
      <c r="AV8" s="64" t="str">
        <f>AV6&amp;AV7</f>
        <v>2032Предложение организации</v>
      </c>
      <c r="AW8" s="64" t="str">
        <f>AW6&amp;AW7</f>
        <v>2032Принято органом регулирования</v>
      </c>
      <c r="AX8" s="64" t="str">
        <f>AX6&amp;AX7</f>
        <v>2032Отклонение, %</v>
      </c>
      <c r="AY8" s="64" t="str">
        <f>AY6&amp;AY7</f>
        <v>2033Предложение организации</v>
      </c>
      <c r="AZ8" s="64" t="str">
        <f>AZ6&amp;AZ7</f>
        <v>2033Принято органом регулирования</v>
      </c>
      <c r="BA8" s="64" t="str">
        <f>BA6&amp;BA7</f>
        <v>2033Отклонение, %</v>
      </c>
      <c r="BB8" s="64" t="str">
        <f>BB6&amp;BB7</f>
        <v>2034Предложение организации</v>
      </c>
      <c r="BC8" s="64" t="str">
        <f>BC6&amp;BC7</f>
        <v>2034Принято органом регулирования</v>
      </c>
      <c r="BD8" s="64" t="str">
        <f>BD6&amp;BD7</f>
        <v>2034Отклонение, %</v>
      </c>
      <c r="BE8" s="64" t="str">
        <f>BE6&amp;BE7</f>
        <v>2035Предложение организации</v>
      </c>
      <c r="BF8" s="64" t="str">
        <f>BF6&amp;BF7</f>
        <v>2035Принято органом регулирования</v>
      </c>
      <c r="BG8" s="64" t="str">
        <f>BG6&amp;BG7</f>
        <v>2035Отклонение, %</v>
      </c>
      <c r="BH8" s="64" t="str">
        <f>BH6&amp;BH7</f>
        <v>2036Предложение организации</v>
      </c>
      <c r="BI8" s="64" t="str">
        <f>BI6&amp;BI7</f>
        <v>2036Принято органом регулирования</v>
      </c>
      <c r="BJ8" s="64" t="str">
        <f>BJ6&amp;BJ7</f>
        <v>2036Отклонение, %</v>
      </c>
      <c r="BK8" s="64" t="str">
        <f>BK6&amp;BK7</f>
        <v>2037Предложение организации</v>
      </c>
      <c r="BL8" s="64" t="str">
        <f>BL6&amp;BL7</f>
        <v>2037Принято органом регулирования</v>
      </c>
      <c r="BM8" s="64" t="str">
        <f>BM6&amp;BM7</f>
        <v>2037Отклонение, %</v>
      </c>
      <c r="BN8" s="64" t="str">
        <f>BN6&amp;BN7</f>
        <v>2038Предложение организации</v>
      </c>
      <c r="BO8" s="64" t="str">
        <f>BO6&amp;BO7</f>
        <v>2038Принято органом регулирования</v>
      </c>
      <c r="BP8" s="64" t="str">
        <f>BP6&amp;BP7</f>
        <v>2038Отклонение, %</v>
      </c>
      <c r="BQ8" s="64" t="str">
        <f>BQ6&amp;BQ7</f>
        <v>2039Предложение организации</v>
      </c>
      <c r="BR8" s="64" t="str">
        <f>BR6&amp;BR7</f>
        <v>2039Принято органом регулирования</v>
      </c>
      <c r="BS8" s="64" t="str">
        <f>BS6&amp;BS7</f>
        <v>2039Отклонение, %</v>
      </c>
      <c r="BT8" s="64" t="str">
        <f>BT6&amp;BT7</f>
        <v>2040Предложение организации</v>
      </c>
      <c r="BU8" s="64" t="str">
        <f>BU6&amp;BU7</f>
        <v>2040Принято органом регулирования</v>
      </c>
      <c r="BV8" s="64" t="str">
        <f>BV6&amp;BV7</f>
        <v>2040Отклонение, %</v>
      </c>
      <c r="BW8" s="64" t="str">
        <f>BW6&amp;BW7</f>
        <v>2041Предложение организации</v>
      </c>
      <c r="BX8" s="64" t="str">
        <f>BX6&amp;BX7</f>
        <v>2041Принято органом регулирования</v>
      </c>
      <c r="BY8" s="64" t="str">
        <f>BY6&amp;BY7</f>
        <v>2041Отклонение, %</v>
      </c>
      <c r="BZ8" s="64" t="str">
        <f>BZ6&amp;BZ7</f>
        <v>2042Предложение организации</v>
      </c>
      <c r="CA8" s="64" t="str">
        <f>CA6&amp;CA7</f>
        <v>2042Принято органом регулирования</v>
      </c>
      <c r="CB8" s="64" t="str">
        <f>CB6&amp;CB7</f>
        <v>2042Отклонение, %</v>
      </c>
      <c r="CC8" s="64" t="str">
        <f>CC6&amp;CC7</f>
        <v>2043Предложение организации</v>
      </c>
      <c r="CD8" s="64" t="str">
        <f>CD6&amp;CD7</f>
        <v>2043Принято органом регулирования</v>
      </c>
      <c r="CE8" s="64" t="str">
        <f>CE6&amp;CE7</f>
        <v>2043Отклонение, %</v>
      </c>
      <c r="CF8" s="64" t="str">
        <f>CF6&amp;CF7</f>
        <v>2044Предложение организации</v>
      </c>
      <c r="CG8" s="64" t="str">
        <f>CG6&amp;CG7</f>
        <v>2044Принято органом регулирования</v>
      </c>
      <c r="CH8" s="64" t="str">
        <f>CH6&amp;CH7</f>
        <v>2044Отклонение, %</v>
      </c>
      <c r="CI8" s="64" t="str">
        <f>CI6&amp;CI7</f>
        <v>2045Предложение организации</v>
      </c>
      <c r="CJ8" s="64" t="str">
        <f>CJ6&amp;CJ7</f>
        <v>2045Принято органом регулирования</v>
      </c>
      <c r="CK8" s="64" t="str">
        <f>CK6&amp;CK7</f>
        <v>2045Отклонение, %</v>
      </c>
      <c r="CL8" s="64" t="str">
        <f>CL6&amp;CL7</f>
        <v>2046Предложение организации</v>
      </c>
      <c r="CM8" s="64" t="str">
        <f>CM6&amp;CM7</f>
        <v>2046Принято органом регулирования</v>
      </c>
      <c r="CN8" s="64" t="str">
        <f>CN6&amp;CN7</f>
        <v>2046Отклонение, %</v>
      </c>
      <c r="CO8" s="64" t="str">
        <f>CO6&amp;CO7</f>
        <v>2047Предложение организации</v>
      </c>
      <c r="CP8" s="64" t="str">
        <f>CP6&amp;CP7</f>
        <v>2047Принято органом регулирования</v>
      </c>
      <c r="CQ8" s="64" t="str">
        <f>CQ6&amp;CQ7</f>
        <v>2047Отклонение, %</v>
      </c>
      <c r="CR8" s="64" t="str">
        <f>CR6&amp;CR7</f>
        <v>2048Предложение организации</v>
      </c>
      <c r="CS8" s="64" t="str">
        <f>CS6&amp;CS7</f>
        <v>2048Принято органом регулирования</v>
      </c>
      <c r="CT8" s="64" t="str">
        <f>CT6&amp;CT7</f>
        <v>2048Отклонение, %</v>
      </c>
      <c r="CU8" s="64" t="str">
        <f>CU6&amp;CU7</f>
        <v>2049Предложение организации</v>
      </c>
      <c r="CV8" s="64" t="str">
        <f>CV6&amp;CV7</f>
        <v>2049Принято органом регулирования</v>
      </c>
      <c r="CW8" s="64" t="str">
        <f>CW6&amp;CW7</f>
        <v>2049Отклонение, %</v>
      </c>
      <c r="CX8" s="64" t="str">
        <f>CX6&amp;CX7</f>
        <v>2050Предложение организации</v>
      </c>
      <c r="CY8" s="64" t="str">
        <f>CY6&amp;CY7</f>
        <v>2050Принято органом регулирования</v>
      </c>
      <c r="CZ8" s="64" t="str">
        <f>CZ6&amp;CZ7</f>
        <v>2050Отклонение, %</v>
      </c>
      <c r="DA8" s="64" t="str">
        <f>DA6&amp;DA7</f>
        <v>2051Предложение организации</v>
      </c>
      <c r="DB8" s="64" t="str">
        <f>DB6&amp;DB7</f>
        <v>2051Принято органом регулирования</v>
      </c>
      <c r="DC8" s="64" t="str">
        <f>DC6&amp;DC7</f>
        <v>2051Отклонение, %</v>
      </c>
      <c r="DD8" s="64" t="str">
        <f>DD6&amp;DD7</f>
        <v>2052Предложение организации</v>
      </c>
      <c r="DE8" s="64" t="str">
        <f>DE6&amp;DE7</f>
        <v>2052Принято органом регулирования</v>
      </c>
      <c r="DF8" s="64" t="str">
        <f>DF6&amp;DF7</f>
        <v>2052Отклонение, %</v>
      </c>
      <c r="DG8" s="64" t="str">
        <f>DG6&amp;DG7</f>
        <v>2053Предложение организации</v>
      </c>
      <c r="DH8" s="64" t="str">
        <f>DH6&amp;DH7</f>
        <v>2053Принято органом регулирования</v>
      </c>
      <c r="DI8" s="64" t="str">
        <f>DI6&amp;DI7</f>
        <v>2053Отклонение, %</v>
      </c>
      <c r="DJ8" s="64" t="str">
        <f>DJ6&amp;DJ7</f>
        <v>2054Предложение организации</v>
      </c>
      <c r="DK8" s="64" t="str">
        <f>DK6&amp;DK7</f>
        <v>2054Принято органом регулирования</v>
      </c>
      <c r="DL8" s="64" t="str">
        <f>DL6&amp;DL7</f>
        <v>2054Отклонение, %</v>
      </c>
      <c r="DM8" s="64" t="str">
        <f>DM6&amp;DM7</f>
        <v>2055Предложение организации</v>
      </c>
      <c r="DN8" s="64" t="str">
        <f>DN6&amp;DN7</f>
        <v>2055Принято органом регулирования</v>
      </c>
      <c r="DO8" s="64" t="str">
        <f>DO6&amp;DO7</f>
        <v>2055Отклонение, %</v>
      </c>
      <c r="DP8" s="64" t="str">
        <f>DP6&amp;DP7</f>
        <v>2056Предложение организации</v>
      </c>
      <c r="DQ8" s="64" t="str">
        <f>DQ6&amp;DQ7</f>
        <v>2056Принято органом регулирования</v>
      </c>
      <c r="DR8" s="64" t="str">
        <f>DR6&amp;DR7</f>
        <v>2056Отклонение, %</v>
      </c>
      <c r="DS8" s="64" t="str">
        <f>DS6&amp;DS7</f>
        <v>2057Предложение организации</v>
      </c>
      <c r="DT8" s="64" t="str">
        <f>DT6&amp;DT7</f>
        <v>2057Принято органом регулирования</v>
      </c>
      <c r="DU8" s="64" t="str">
        <f>DU6&amp;DU7</f>
        <v>2057Отклонение, %</v>
      </c>
      <c r="DV8" s="64" t="str">
        <f>DV6&amp;DV7</f>
        <v>2058Предложение организации</v>
      </c>
      <c r="DW8" s="64" t="str">
        <f>DW6&amp;DW7</f>
        <v>2058Принято органом регулирования</v>
      </c>
      <c r="DX8" s="64" t="str">
        <f>DX6&amp;DX7</f>
        <v>2058Отклонение, %</v>
      </c>
      <c r="DY8" s="64" t="str">
        <f>DY6&amp;DY7</f>
        <v>2059Предложение организации</v>
      </c>
      <c r="DZ8" s="64" t="str">
        <f>DZ6&amp;DZ7</f>
        <v>2059Принято органом регулирования</v>
      </c>
      <c r="EA8" s="64" t="str">
        <f>EA6&amp;EA7</f>
        <v>2059Отклонение, %</v>
      </c>
      <c r="EB8" s="64" t="str">
        <f>EB6&amp;EB7</f>
        <v>2060Предложение организации</v>
      </c>
      <c r="EC8" s="64" t="str">
        <f>EC6&amp;EC7</f>
        <v>2060Принято органом регулирования</v>
      </c>
      <c r="ED8" s="64" t="str">
        <f>ED6&amp;ED7</f>
        <v>2060Отклонение, %</v>
      </c>
      <c r="EE8" s="64" t="str">
        <f>EE6&amp;EE7</f>
        <v>2061Предложение организации</v>
      </c>
      <c r="EF8" s="64" t="str">
        <f>EF6&amp;EF7</f>
        <v>2061Принято органом регулирования</v>
      </c>
      <c r="EG8" s="64" t="str">
        <f>EG6&amp;EG7</f>
        <v>2061Отклонение, %</v>
      </c>
      <c r="EH8" s="64" t="str">
        <f>EH6&amp;EH7</f>
        <v>2062Предложение организации</v>
      </c>
      <c r="EI8" s="64" t="str">
        <f>EI6&amp;EI7</f>
        <v>2062Принято органом регулирования</v>
      </c>
      <c r="EJ8" s="64" t="str">
        <f>EJ6&amp;EJ7</f>
        <v>2062Отклонение, %</v>
      </c>
      <c r="EK8" s="64" t="str">
        <f>EK6&amp;EK7</f>
        <v>2063Предложение организации</v>
      </c>
      <c r="EL8" s="64" t="str">
        <f>EL6&amp;EL7</f>
        <v>2063Принято органом регулирования</v>
      </c>
      <c r="EM8" s="64" t="str">
        <f>EM6&amp;EM7</f>
        <v>2063Отклонение, %</v>
      </c>
      <c r="EN8" s="64" t="str">
        <f>EN6&amp;EN7</f>
        <v>2064Предложение организации</v>
      </c>
      <c r="EO8" s="64" t="str">
        <f>EO6&amp;EO7</f>
        <v>2064Принято органом регулирования</v>
      </c>
      <c r="EP8" s="64" t="str">
        <f>EP6&amp;EP7</f>
        <v>2064Отклонение, %</v>
      </c>
      <c r="EQ8" s="64" t="str">
        <f>EQ6&amp;EQ7</f>
        <v>2065Предложение организации</v>
      </c>
      <c r="ER8" s="64" t="str">
        <f>ER6&amp;ER7</f>
        <v>2065Принято органом регулирования</v>
      </c>
      <c r="ES8" s="64" t="str">
        <f>ES6&amp;ES7</f>
        <v>2065Отклонение, %</v>
      </c>
      <c r="ET8" s="64" t="str">
        <f>ET6&amp;ET7</f>
        <v>2066Предложение организации</v>
      </c>
      <c r="EU8" s="64" t="str">
        <f>EU6&amp;EU7</f>
        <v>2066Принято органом регулирования</v>
      </c>
      <c r="EV8" s="64" t="str">
        <f>EV6&amp;EV7</f>
        <v>2066Отклонение, %</v>
      </c>
      <c r="EW8" s="64" t="str">
        <f>EW6&amp;EW7</f>
        <v>2067Предложение организации</v>
      </c>
      <c r="EX8" s="64" t="str">
        <f>EX6&amp;EX7</f>
        <v>2067Принято органом регулирования</v>
      </c>
      <c r="EY8" s="64" t="str">
        <f>EY6&amp;EY7</f>
        <v>2067Отклонение, %</v>
      </c>
      <c r="EZ8" s="64" t="str">
        <f>EZ6&amp;EZ7</f>
        <v>2068Предложение организации</v>
      </c>
      <c r="FA8" s="64" t="str">
        <f>FA6&amp;FA7</f>
        <v>2068Принято органом регулирования</v>
      </c>
      <c r="FB8" s="64" t="str">
        <f>FB6&amp;FB7</f>
        <v>2068Отклонение, %</v>
      </c>
      <c r="FC8" s="64" t="str">
        <f>FC6&amp;FC7</f>
        <v>2069Предложение организации</v>
      </c>
      <c r="FD8" s="64" t="str">
        <f>FD6&amp;FD7</f>
        <v>2069Принято органом регулирования</v>
      </c>
      <c r="FE8" s="64" t="str">
        <f>FE6&amp;FE7</f>
        <v>2069Отклонение, %</v>
      </c>
      <c r="FF8" s="64" t="str">
        <f>FF6&amp;FF7</f>
        <v>2070Предложение организации</v>
      </c>
      <c r="FG8" s="64" t="str">
        <f>FG6&amp;FG7</f>
        <v>2070Принято органом регулирования</v>
      </c>
      <c r="FH8" s="64" t="str">
        <f>FH6&amp;FH7</f>
        <v>2070Отклонение, %</v>
      </c>
      <c r="FI8" s="64" t="str">
        <f>FI6&amp;FI7</f>
        <v>2071Предложение организации</v>
      </c>
      <c r="FJ8" s="64" t="str">
        <f>FJ6&amp;FJ7</f>
        <v>2071Принято органом регулирования</v>
      </c>
      <c r="FK8" s="64" t="str">
        <f>FK6&amp;FK7</f>
        <v>2071Отклонение, %</v>
      </c>
      <c r="FL8" s="64" t="str">
        <f>FL6&amp;FL7</f>
        <v>2072Предложение организации</v>
      </c>
      <c r="FM8" s="64" t="str">
        <f>FM6&amp;FM7</f>
        <v>2072Принято органом регулирования</v>
      </c>
      <c r="FN8" s="64" t="str">
        <f>FN6&amp;FN7</f>
        <v>2072Отклонение, %</v>
      </c>
      <c r="FO8" s="64" t="str">
        <f>FO6&amp;FO7</f>
        <v>2073Предложение организации</v>
      </c>
      <c r="FP8" s="64" t="str">
        <f>FP6&amp;FP7</f>
        <v>2073Принято органом регулирования</v>
      </c>
      <c r="FQ8" s="64" t="str">
        <f>FQ6&amp;FQ7</f>
        <v>2073Отклонение, %</v>
      </c>
      <c r="FR8" s="64" t="str">
        <f>FR6&amp;FR7</f>
        <v>2074Предложение организации</v>
      </c>
      <c r="FS8" s="64" t="str">
        <f>FS6&amp;FS7</f>
        <v>2074Принято органом регулирования</v>
      </c>
      <c r="FT8" s="64" t="str">
        <f>FT6&amp;FT7</f>
        <v>2074Отклонение, %</v>
      </c>
      <c r="FU8" s="64" t="str">
        <f>FU6&amp;FU7</f>
        <v>2075Предложение организации</v>
      </c>
      <c r="FV8" s="64" t="str">
        <f>FV6&amp;FV7</f>
        <v>2075Принято органом регулирования</v>
      </c>
      <c r="FW8" s="64" t="str">
        <f>FW6&amp;FW7</f>
        <v>2075Отклонение, %</v>
      </c>
    </row>
    <row s="1061" customFormat="1" customHeight="1" ht="11.25" hidden="1">
      <c r="A9" s="998" t="s">
        <v>359</v>
      </c>
      <c r="B9" s="1036"/>
      <c r="F9" s="1037"/>
      <c r="AB9" s="1038"/>
      <c r="AC9" s="996"/>
      <c r="AD9" s="998" cm="1" t="str">
        <f t="array" ref="AD9:AD9">AD6</f>
        <v>2026</v>
      </c>
      <c r="AE9" s="998" cm="1" t="str">
        <f t="array" ref="AE9:AE9">AE6</f>
        <v>2026</v>
      </c>
      <c r="AF9" s="998" cm="1" t="str">
        <f t="array" ref="AF9:AF9">AF6</f>
        <v>2026</v>
      </c>
      <c r="AG9" s="998" cm="1" t="str">
        <f t="array" ref="AG9:AG9">AG6</f>
        <v>2027</v>
      </c>
      <c r="AH9" s="998" cm="1" t="str">
        <f t="array" ref="AH9:AH9">AH6</f>
        <v>2027</v>
      </c>
      <c r="AI9" s="998" cm="1" t="str">
        <f t="array" ref="AI9:AI9">AI6</f>
        <v>2027</v>
      </c>
      <c r="AJ9" s="998" cm="1" t="str">
        <f t="array" ref="AJ9:AJ9">AJ6</f>
        <v>2028</v>
      </c>
      <c r="AK9" s="998" cm="1" t="str">
        <f t="array" ref="AK9:AK9">AK6</f>
        <v>2028</v>
      </c>
      <c r="AL9" s="998" cm="1" t="str">
        <f t="array" ref="AL9:AL9">AL6</f>
        <v>2028</v>
      </c>
      <c r="AM9" s="998" cm="1" t="str">
        <f t="array" ref="AM9:AM9">AM6</f>
        <v>2029</v>
      </c>
      <c r="AN9" s="998" cm="1" t="str">
        <f t="array" ref="AN9:AN9">AN6</f>
        <v>2029</v>
      </c>
      <c r="AO9" s="998" cm="1" t="str">
        <f t="array" ref="AO9:AO9">AO6</f>
        <v>2029</v>
      </c>
      <c r="AP9" s="998" cm="1" t="str">
        <f t="array" ref="AP9:AP9">AP6</f>
        <v>2030</v>
      </c>
      <c r="AQ9" s="998" cm="1" t="str">
        <f t="array" ref="AQ9:AQ9">AQ6</f>
        <v>2030</v>
      </c>
      <c r="AR9" s="998" cm="1" t="str">
        <f t="array" ref="AR9:AR9">AR6</f>
        <v>2030</v>
      </c>
      <c r="AS9" s="998" cm="1" t="str">
        <f t="array" ref="AS9:AS9">AS6</f>
        <v>2031</v>
      </c>
      <c r="AT9" s="998" cm="1" t="str">
        <f t="array" ref="AT9:AT9">AT6</f>
        <v>2031</v>
      </c>
      <c r="AU9" s="998" cm="1" t="str">
        <f t="array" ref="AU9:AU9">AU6</f>
        <v>2031</v>
      </c>
      <c r="AV9" s="998" cm="1" t="str">
        <f t="array" ref="AV9:AV9">AV6</f>
        <v>2032</v>
      </c>
      <c r="AW9" s="998" cm="1" t="str">
        <f t="array" ref="AW9:AW9">AW6</f>
        <v>2032</v>
      </c>
      <c r="AX9" s="998" cm="1" t="str">
        <f t="array" ref="AX9:AX9">AX6</f>
        <v>2032</v>
      </c>
      <c r="AY9" s="998" cm="1" t="str">
        <f t="array" ref="AY9:AY9">AY6</f>
        <v>2033</v>
      </c>
      <c r="AZ9" s="998" cm="1" t="str">
        <f t="array" ref="AZ9:AZ9">AZ6</f>
        <v>2033</v>
      </c>
      <c r="BA9" s="998" cm="1" t="str">
        <f t="array" ref="BA9:BA9">BA6</f>
        <v>2033</v>
      </c>
      <c r="BB9" s="998" cm="1" t="str">
        <f t="array" ref="BB9:BB9">BB6</f>
        <v>2034</v>
      </c>
      <c r="BC9" s="998" cm="1" t="str">
        <f t="array" ref="BC9:BC9">BC6</f>
        <v>2034</v>
      </c>
      <c r="BD9" s="998" cm="1" t="str">
        <f t="array" ref="BD9:BD9">BD6</f>
        <v>2034</v>
      </c>
      <c r="BE9" s="998" cm="1" t="str">
        <f t="array" ref="BE9:BE9">BE6</f>
        <v>2035</v>
      </c>
      <c r="BF9" s="998" cm="1" t="str">
        <f t="array" ref="BF9:BF9">BF6</f>
        <v>2035</v>
      </c>
      <c r="BG9" s="998" cm="1" t="str">
        <f t="array" ref="BG9:BG9">BG6</f>
        <v>2035</v>
      </c>
      <c r="BH9" s="998" cm="1" t="str">
        <f t="array" ref="BH9:BH9">BH6</f>
        <v>2036</v>
      </c>
      <c r="BI9" s="998" cm="1" t="str">
        <f t="array" ref="BI9:BI9">BI6</f>
        <v>2036</v>
      </c>
      <c r="BJ9" s="998" cm="1" t="str">
        <f t="array" ref="BJ9:BJ9">BJ6</f>
        <v>2036</v>
      </c>
      <c r="BK9" s="998" cm="1" t="str">
        <f t="array" ref="BK9:BK9">BK6</f>
        <v>2037</v>
      </c>
      <c r="BL9" s="998" cm="1" t="str">
        <f t="array" ref="BL9:BL9">BL6</f>
        <v>2037</v>
      </c>
      <c r="BM9" s="998" cm="1" t="str">
        <f t="array" ref="BM9:BM9">BM6</f>
        <v>2037</v>
      </c>
      <c r="BN9" s="998" cm="1" t="str">
        <f t="array" ref="BN9:BN9">BN6</f>
        <v>2038</v>
      </c>
      <c r="BO9" s="998" cm="1" t="str">
        <f t="array" ref="BO9:BO9">BO6</f>
        <v>2038</v>
      </c>
      <c r="BP9" s="998" cm="1" t="str">
        <f t="array" ref="BP9:BP9">BP6</f>
        <v>2038</v>
      </c>
      <c r="BQ9" s="998" cm="1" t="str">
        <f t="array" ref="BQ9:BQ9">BQ6</f>
        <v>2039</v>
      </c>
      <c r="BR9" s="998" cm="1" t="str">
        <f t="array" ref="BR9:BR9">BR6</f>
        <v>2039</v>
      </c>
      <c r="BS9" s="998" cm="1" t="str">
        <f t="array" ref="BS9:BS9">BS6</f>
        <v>2039</v>
      </c>
      <c r="BT9" s="998" cm="1" t="str">
        <f t="array" ref="BT9:BT9">BT6</f>
        <v>2040</v>
      </c>
      <c r="BU9" s="998" cm="1" t="str">
        <f t="array" ref="BU9:BU9">BU6</f>
        <v>2040</v>
      </c>
      <c r="BV9" s="998" cm="1" t="str">
        <f t="array" ref="BV9:BV9">BV6</f>
        <v>2040</v>
      </c>
      <c r="BW9" s="998" cm="1" t="str">
        <f t="array" ref="BW9:BW9">BW6</f>
        <v>2041</v>
      </c>
      <c r="BX9" s="998" cm="1" t="str">
        <f t="array" ref="BX9:BX9">BX6</f>
        <v>2041</v>
      </c>
      <c r="BY9" s="998" cm="1" t="str">
        <f t="array" ref="BY9:BY9">BY6</f>
        <v>2041</v>
      </c>
      <c r="BZ9" s="998" cm="1" t="str">
        <f t="array" ref="BZ9:BZ9">BZ6</f>
        <v>2042</v>
      </c>
      <c r="CA9" s="998" cm="1" t="str">
        <f t="array" ref="CA9:CA9">CA6</f>
        <v>2042</v>
      </c>
      <c r="CB9" s="998" cm="1" t="str">
        <f t="array" ref="CB9:CB9">CB6</f>
        <v>2042</v>
      </c>
      <c r="CC9" s="998" cm="1" t="str">
        <f t="array" ref="CC9:CC9">CC6</f>
        <v>2043</v>
      </c>
      <c r="CD9" s="998" cm="1" t="str">
        <f t="array" ref="CD9:CD9">CD6</f>
        <v>2043</v>
      </c>
      <c r="CE9" s="998" cm="1" t="str">
        <f t="array" ref="CE9:CE9">CE6</f>
        <v>2043</v>
      </c>
      <c r="CF9" s="998" cm="1" t="str">
        <f t="array" ref="CF9:CF9">CF6</f>
        <v>2044</v>
      </c>
      <c r="CG9" s="998" cm="1" t="str">
        <f t="array" ref="CG9:CG9">CG6</f>
        <v>2044</v>
      </c>
      <c r="CH9" s="998" cm="1" t="str">
        <f t="array" ref="CH9:CH9">CH6</f>
        <v>2044</v>
      </c>
      <c r="CI9" s="998" cm="1" t="str">
        <f t="array" ref="CI9:CI9">CI6</f>
        <v>2045</v>
      </c>
      <c r="CJ9" s="998" cm="1" t="str">
        <f t="array" ref="CJ9:CJ9">CJ6</f>
        <v>2045</v>
      </c>
      <c r="CK9" s="998" cm="1" t="str">
        <f t="array" ref="CK9:CK9">CK6</f>
        <v>2045</v>
      </c>
      <c r="CL9" s="998" cm="1" t="str">
        <f t="array" ref="CL9:CL9">CL6</f>
        <v>2046</v>
      </c>
      <c r="CM9" s="998" cm="1" t="str">
        <f t="array" ref="CM9:CM9">CM6</f>
        <v>2046</v>
      </c>
      <c r="CN9" s="998" cm="1" t="str">
        <f t="array" ref="CN9:CN9">CN6</f>
        <v>2046</v>
      </c>
      <c r="CO9" s="998" cm="1" t="str">
        <f t="array" ref="CO9:CO9">CO6</f>
        <v>2047</v>
      </c>
      <c r="CP9" s="998" cm="1" t="str">
        <f t="array" ref="CP9:CP9">CP6</f>
        <v>2047</v>
      </c>
      <c r="CQ9" s="998" cm="1" t="str">
        <f t="array" ref="CQ9:CQ9">CQ6</f>
        <v>2047</v>
      </c>
      <c r="CR9" s="998" cm="1" t="str">
        <f t="array" ref="CR9:CR9">CR6</f>
        <v>2048</v>
      </c>
      <c r="CS9" s="998" cm="1" t="str">
        <f t="array" ref="CS9:CS9">CS6</f>
        <v>2048</v>
      </c>
      <c r="CT9" s="998" cm="1" t="str">
        <f t="array" ref="CT9:CT9">CT6</f>
        <v>2048</v>
      </c>
      <c r="CU9" s="998" cm="1" t="str">
        <f t="array" ref="CU9:CU9">CU6</f>
        <v>2049</v>
      </c>
      <c r="CV9" s="998" cm="1" t="str">
        <f t="array" ref="CV9:CV9">CV6</f>
        <v>2049</v>
      </c>
      <c r="CW9" s="998" cm="1" t="str">
        <f t="array" ref="CW9:CW9">CW6</f>
        <v>2049</v>
      </c>
      <c r="CX9" s="998" cm="1" t="str">
        <f t="array" ref="CX9:CX9">CX6</f>
        <v>2050</v>
      </c>
      <c r="CY9" s="998" cm="1" t="str">
        <f t="array" ref="CY9:CY9">CY6</f>
        <v>2050</v>
      </c>
      <c r="CZ9" s="998" cm="1" t="str">
        <f t="array" ref="CZ9:CZ9">CZ6</f>
        <v>2050</v>
      </c>
      <c r="DA9" s="998" cm="1" t="str">
        <f t="array" ref="DA9:DA9">DA6</f>
        <v>2051</v>
      </c>
      <c r="DB9" s="998" cm="1" t="str">
        <f t="array" ref="DB9:DB9">DB6</f>
        <v>2051</v>
      </c>
      <c r="DC9" s="998" cm="1" t="str">
        <f t="array" ref="DC9:DC9">DC6</f>
        <v>2051</v>
      </c>
      <c r="DD9" s="998" cm="1" t="str">
        <f t="array" ref="DD9:DD9">DD6</f>
        <v>2052</v>
      </c>
      <c r="DE9" s="998" cm="1" t="str">
        <f t="array" ref="DE9:DE9">DE6</f>
        <v>2052</v>
      </c>
      <c r="DF9" s="998" cm="1" t="str">
        <f t="array" ref="DF9:DF9">DF6</f>
        <v>2052</v>
      </c>
      <c r="DG9" s="998" cm="1" t="str">
        <f t="array" ref="DG9:DG9">DG6</f>
        <v>2053</v>
      </c>
      <c r="DH9" s="998" cm="1" t="str">
        <f t="array" ref="DH9:DH9">DH6</f>
        <v>2053</v>
      </c>
      <c r="DI9" s="998" cm="1" t="str">
        <f t="array" ref="DI9:DI9">DI6</f>
        <v>2053</v>
      </c>
      <c r="DJ9" s="998" cm="1" t="str">
        <f t="array" ref="DJ9:DJ9">DJ6</f>
        <v>2054</v>
      </c>
      <c r="DK9" s="998" cm="1" t="str">
        <f t="array" ref="DK9:DK9">DK6</f>
        <v>2054</v>
      </c>
      <c r="DL9" s="998" cm="1" t="str">
        <f t="array" ref="DL9:DL9">DL6</f>
        <v>2054</v>
      </c>
      <c r="DM9" s="998" cm="1" t="str">
        <f t="array" ref="DM9:DM9">DM6</f>
        <v>2055</v>
      </c>
      <c r="DN9" s="998" cm="1" t="str">
        <f t="array" ref="DN9:DN9">DN6</f>
        <v>2055</v>
      </c>
      <c r="DO9" s="998" cm="1" t="str">
        <f t="array" ref="DO9:DO9">DO6</f>
        <v>2055</v>
      </c>
      <c r="DP9" s="998" cm="1" t="str">
        <f t="array" ref="DP9:DP9">DP6</f>
        <v>2056</v>
      </c>
      <c r="DQ9" s="998" cm="1" t="str">
        <f t="array" ref="DQ9:DQ9">DQ6</f>
        <v>2056</v>
      </c>
      <c r="DR9" s="998" cm="1" t="str">
        <f t="array" ref="DR9:DR9">DR6</f>
        <v>2056</v>
      </c>
      <c r="DS9" s="998" cm="1" t="str">
        <f t="array" ref="DS9:DS9">DS6</f>
        <v>2057</v>
      </c>
      <c r="DT9" s="998" cm="1" t="str">
        <f t="array" ref="DT9:DT9">DT6</f>
        <v>2057</v>
      </c>
      <c r="DU9" s="998" cm="1" t="str">
        <f t="array" ref="DU9:DU9">DU6</f>
        <v>2057</v>
      </c>
      <c r="DV9" s="998" cm="1" t="str">
        <f t="array" ref="DV9:DV9">DV6</f>
        <v>2058</v>
      </c>
      <c r="DW9" s="998" cm="1" t="str">
        <f t="array" ref="DW9:DW9">DW6</f>
        <v>2058</v>
      </c>
      <c r="DX9" s="998" cm="1" t="str">
        <f t="array" ref="DX9:DX9">DX6</f>
        <v>2058</v>
      </c>
      <c r="DY9" s="998" cm="1" t="str">
        <f t="array" ref="DY9:DY9">DY6</f>
        <v>2059</v>
      </c>
      <c r="DZ9" s="998" cm="1" t="str">
        <f t="array" ref="DZ9:DZ9">DZ6</f>
        <v>2059</v>
      </c>
      <c r="EA9" s="998" cm="1" t="str">
        <f t="array" ref="EA9:EA9">EA6</f>
        <v>2059</v>
      </c>
      <c r="EB9" s="998" cm="1" t="str">
        <f t="array" ref="EB9:EB9">EB6</f>
        <v>2060</v>
      </c>
      <c r="EC9" s="998" cm="1" t="str">
        <f t="array" ref="EC9:EC9">EC6</f>
        <v>2060</v>
      </c>
      <c r="ED9" s="998" cm="1" t="str">
        <f t="array" ref="ED9:ED9">ED6</f>
        <v>2060</v>
      </c>
      <c r="EE9" s="998" cm="1" t="str">
        <f t="array" ref="EE9:EE9">EE6</f>
        <v>2061</v>
      </c>
      <c r="EF9" s="998" cm="1" t="str">
        <f t="array" ref="EF9:EF9">EF6</f>
        <v>2061</v>
      </c>
      <c r="EG9" s="998" cm="1" t="str">
        <f t="array" ref="EG9:EG9">EG6</f>
        <v>2061</v>
      </c>
      <c r="EH9" s="998" cm="1" t="str">
        <f t="array" ref="EH9:EH9">EH6</f>
        <v>2062</v>
      </c>
      <c r="EI9" s="998" cm="1" t="str">
        <f t="array" ref="EI9:EI9">EI6</f>
        <v>2062</v>
      </c>
      <c r="EJ9" s="998" cm="1" t="str">
        <f t="array" ref="EJ9:EJ9">EJ6</f>
        <v>2062</v>
      </c>
      <c r="EK9" s="998" cm="1" t="str">
        <f t="array" ref="EK9:EK9">EK6</f>
        <v>2063</v>
      </c>
      <c r="EL9" s="998" cm="1" t="str">
        <f t="array" ref="EL9:EL9">EL6</f>
        <v>2063</v>
      </c>
      <c r="EM9" s="998" cm="1" t="str">
        <f t="array" ref="EM9:EM9">EM6</f>
        <v>2063</v>
      </c>
      <c r="EN9" s="998" cm="1" t="str">
        <f t="array" ref="EN9:EN9">EN6</f>
        <v>2064</v>
      </c>
      <c r="EO9" s="998" cm="1" t="str">
        <f t="array" ref="EO9:EO9">EO6</f>
        <v>2064</v>
      </c>
      <c r="EP9" s="998" cm="1" t="str">
        <f t="array" ref="EP9:EP9">EP6</f>
        <v>2064</v>
      </c>
      <c r="EQ9" s="998" cm="1" t="str">
        <f t="array" ref="EQ9:EQ9">EQ6</f>
        <v>2065</v>
      </c>
      <c r="ER9" s="998" cm="1" t="str">
        <f t="array" ref="ER9:ER9">ER6</f>
        <v>2065</v>
      </c>
      <c r="ES9" s="998" cm="1" t="str">
        <f t="array" ref="ES9:ES9">ES6</f>
        <v>2065</v>
      </c>
      <c r="ET9" s="998" cm="1" t="str">
        <f t="array" ref="ET9:ET9">ET6</f>
        <v>2066</v>
      </c>
      <c r="EU9" s="998" cm="1" t="str">
        <f t="array" ref="EU9:EU9">EU6</f>
        <v>2066</v>
      </c>
      <c r="EV9" s="998" cm="1" t="str">
        <f t="array" ref="EV9:EV9">EV6</f>
        <v>2066</v>
      </c>
      <c r="EW9" s="998" cm="1" t="str">
        <f t="array" ref="EW9:EW9">EW6</f>
        <v>2067</v>
      </c>
      <c r="EX9" s="998" cm="1" t="str">
        <f t="array" ref="EX9:EX9">EX6</f>
        <v>2067</v>
      </c>
      <c r="EY9" s="998" cm="1" t="str">
        <f t="array" ref="EY9:EY9">EY6</f>
        <v>2067</v>
      </c>
      <c r="EZ9" s="998" cm="1" t="str">
        <f t="array" ref="EZ9:EZ9">EZ6</f>
        <v>2068</v>
      </c>
      <c r="FA9" s="998" cm="1" t="str">
        <f t="array" ref="FA9:FA9">FA6</f>
        <v>2068</v>
      </c>
      <c r="FB9" s="998" cm="1" t="str">
        <f t="array" ref="FB9:FB9">FB6</f>
        <v>2068</v>
      </c>
      <c r="FC9" s="998" cm="1" t="str">
        <f t="array" ref="FC9:FC9">FC6</f>
        <v>2069</v>
      </c>
      <c r="FD9" s="998" cm="1" t="str">
        <f t="array" ref="FD9:FD9">FD6</f>
        <v>2069</v>
      </c>
      <c r="FE9" s="998" cm="1" t="str">
        <f t="array" ref="FE9:FE9">FE6</f>
        <v>2069</v>
      </c>
      <c r="FF9" s="998" cm="1" t="str">
        <f t="array" ref="FF9:FF9">FF6</f>
        <v>2070</v>
      </c>
      <c r="FG9" s="998" cm="1" t="str">
        <f t="array" ref="FG9:FG9">FG6</f>
        <v>2070</v>
      </c>
      <c r="FH9" s="998" cm="1" t="str">
        <f t="array" ref="FH9:FH9">FH6</f>
        <v>2070</v>
      </c>
      <c r="FI9" s="998" cm="1" t="str">
        <f t="array" ref="FI9:FI9">FI6</f>
        <v>2071</v>
      </c>
      <c r="FJ9" s="998" cm="1" t="str">
        <f t="array" ref="FJ9:FJ9">FJ6</f>
        <v>2071</v>
      </c>
      <c r="FK9" s="998" cm="1" t="str">
        <f t="array" ref="FK9:FK9">FK6</f>
        <v>2071</v>
      </c>
      <c r="FL9" s="998" cm="1" t="str">
        <f t="array" ref="FL9:FL9">FL6</f>
        <v>2072</v>
      </c>
      <c r="FM9" s="998" cm="1" t="str">
        <f t="array" ref="FM9:FM9">FM6</f>
        <v>2072</v>
      </c>
      <c r="FN9" s="998" cm="1" t="str">
        <f t="array" ref="FN9:FN9">FN6</f>
        <v>2072</v>
      </c>
      <c r="FO9" s="998" cm="1" t="str">
        <f t="array" ref="FO9:FO9">FO6</f>
        <v>2073</v>
      </c>
      <c r="FP9" s="998" cm="1" t="str">
        <f t="array" ref="FP9:FP9">FP6</f>
        <v>2073</v>
      </c>
      <c r="FQ9" s="998" cm="1" t="str">
        <f t="array" ref="FQ9:FQ9">FQ6</f>
        <v>2073</v>
      </c>
      <c r="FR9" s="998" cm="1" t="str">
        <f t="array" ref="FR9:FR9">FR6</f>
        <v>2074</v>
      </c>
      <c r="FS9" s="998" cm="1" t="str">
        <f t="array" ref="FS9:FS9">FS6</f>
        <v>2074</v>
      </c>
      <c r="FT9" s="998" cm="1" t="str">
        <f t="array" ref="FT9:FT9">FT6</f>
        <v>2074</v>
      </c>
      <c r="FU9" s="998" cm="1" t="str">
        <f t="array" ref="FU9:FU9">FU6</f>
        <v>2075</v>
      </c>
      <c r="FV9" s="998" cm="1" t="str">
        <f t="array" ref="FV9:FV9">FV6</f>
        <v>2075</v>
      </c>
      <c r="FW9" s="998" cm="1" t="str">
        <f t="array" ref="FW9:FW9">FW6</f>
        <v>2075</v>
      </c>
      <c r="GC9" s="611"/>
      <c r="GD9" s="611"/>
    </row>
    <row s="1061" customFormat="1" customHeight="1" ht="11.25" hidden="1">
      <c r="A10" s="998" t="s">
        <v>360</v>
      </c>
      <c r="B10" s="1036"/>
      <c r="F10" s="1037"/>
      <c r="AB10" s="1038"/>
      <c r="AC10" s="996"/>
      <c r="AD10" s="998" cm="1" t="str">
        <f t="array" ref="AD10:AD10">AD26</f>
        <v>Предложение организации</v>
      </c>
      <c r="AE10" s="998" cm="1" t="str">
        <f t="array" ref="AE10:AE10">AE26</f>
        <v>Принято органом регулирования</v>
      </c>
      <c r="AF10" s="998" cm="1" t="str">
        <f t="array" ref="AF10:AF10">AF26</f>
        <v>Отклонение, %</v>
      </c>
      <c r="AG10" s="998" cm="1" t="str">
        <f t="array" ref="AG10:AG10">AG26</f>
        <v>Предложение организации</v>
      </c>
      <c r="AH10" s="998" cm="1" t="str">
        <f t="array" ref="AH10:AH10">AH26</f>
        <v>Принято органом регулирования</v>
      </c>
      <c r="AI10" s="998" cm="1" t="str">
        <f t="array" ref="AI10:AI10">AI26</f>
        <v>Отклонение, %</v>
      </c>
      <c r="AJ10" s="998" cm="1" t="str">
        <f t="array" ref="AJ10:AJ10">AJ26</f>
        <v>Предложение организации</v>
      </c>
      <c r="AK10" s="998" cm="1" t="str">
        <f t="array" ref="AK10:AK10">AK26</f>
        <v>Принято органом регулирования</v>
      </c>
      <c r="AL10" s="998" cm="1" t="str">
        <f t="array" ref="AL10:AL10">AL26</f>
        <v>Отклонение, %</v>
      </c>
      <c r="AM10" s="998" cm="1" t="str">
        <f t="array" ref="AM10:AM10">AM26</f>
        <v>Предложение организации</v>
      </c>
      <c r="AN10" s="998" cm="1" t="str">
        <f t="array" ref="AN10:AN10">AN26</f>
        <v>Принято органом регулирования</v>
      </c>
      <c r="AO10" s="998" cm="1" t="str">
        <f t="array" ref="AO10:AO10">AO26</f>
        <v>Отклонение, %</v>
      </c>
      <c r="AP10" s="998" cm="1" t="str">
        <f t="array" ref="AP10:AP10">AP26</f>
        <v>Предложение организации</v>
      </c>
      <c r="AQ10" s="998" cm="1" t="str">
        <f t="array" ref="AQ10:AQ10">AQ26</f>
        <v>Принято органом регулирования</v>
      </c>
      <c r="AR10" s="998" cm="1" t="str">
        <f t="array" ref="AR10:AR10">AR26</f>
        <v>Отклонение, %</v>
      </c>
      <c r="AS10" s="998" cm="1" t="str">
        <f t="array" ref="AS10:AS10">AS26</f>
        <v>Предложение организации</v>
      </c>
      <c r="AT10" s="998" cm="1" t="str">
        <f t="array" ref="AT10:AT10">AT26</f>
        <v>Принято органом регулирования</v>
      </c>
      <c r="AU10" s="998" cm="1" t="str">
        <f t="array" ref="AU10:AU10">AU26</f>
        <v>Отклонение, %</v>
      </c>
      <c r="AV10" s="998" cm="1" t="str">
        <f t="array" ref="AV10:AV10">AV26</f>
        <v>Предложение организации</v>
      </c>
      <c r="AW10" s="998" cm="1" t="str">
        <f t="array" ref="AW10:AW10">AW26</f>
        <v>Принято органом регулирования</v>
      </c>
      <c r="AX10" s="998" cm="1" t="str">
        <f t="array" ref="AX10:AX10">AX26</f>
        <v>Отклонение, %</v>
      </c>
      <c r="AY10" s="998" cm="1" t="str">
        <f t="array" ref="AY10:AY10">AY26</f>
        <v>Предложение организации</v>
      </c>
      <c r="AZ10" s="998" cm="1" t="str">
        <f t="array" ref="AZ10:AZ10">AZ26</f>
        <v>Принято органом регулирования</v>
      </c>
      <c r="BA10" s="998" cm="1" t="str">
        <f t="array" ref="BA10:BA10">BA26</f>
        <v>Отклонение, %</v>
      </c>
      <c r="BB10" s="998" cm="1" t="str">
        <f t="array" ref="BB10:BB10">BB26</f>
        <v>Предложение организации</v>
      </c>
      <c r="BC10" s="998" cm="1" t="str">
        <f t="array" ref="BC10:BC10">BC26</f>
        <v>Принято органом регулирования</v>
      </c>
      <c r="BD10" s="998" cm="1" t="str">
        <f t="array" ref="BD10:BD10">BD26</f>
        <v>Отклонение, %</v>
      </c>
      <c r="BE10" s="998" cm="1" t="str">
        <f t="array" ref="BE10:BE10">BE26</f>
        <v>Предложение организации</v>
      </c>
      <c r="BF10" s="998" cm="1" t="str">
        <f t="array" ref="BF10:BF10">BF26</f>
        <v>Принято органом регулирования</v>
      </c>
      <c r="BG10" s="998" cm="1" t="str">
        <f t="array" ref="BG10:BG10">BG26</f>
        <v>Отклонение, %</v>
      </c>
      <c r="BH10" s="998" cm="1" t="str">
        <f t="array" ref="BH10:BH10">BH26</f>
        <v>Предложение организации</v>
      </c>
      <c r="BI10" s="998" cm="1" t="str">
        <f t="array" ref="BI10:BI10">BI26</f>
        <v>Принято органом регулирования</v>
      </c>
      <c r="BJ10" s="998" cm="1" t="str">
        <f t="array" ref="BJ10:BJ10">BJ26</f>
        <v>Отклонение, %</v>
      </c>
      <c r="BK10" s="998" cm="1" t="str">
        <f t="array" ref="BK10:BK10">BK26</f>
        <v>Предложение организации</v>
      </c>
      <c r="BL10" s="998" cm="1" t="str">
        <f t="array" ref="BL10:BL10">BL26</f>
        <v>Принято органом регулирования</v>
      </c>
      <c r="BM10" s="998" cm="1" t="str">
        <f t="array" ref="BM10:BM10">BM26</f>
        <v>Отклонение, %</v>
      </c>
      <c r="BN10" s="998" cm="1" t="str">
        <f t="array" ref="BN10:BN10">BN26</f>
        <v>Предложение организации</v>
      </c>
      <c r="BO10" s="998" cm="1" t="str">
        <f t="array" ref="BO10:BO10">BO26</f>
        <v>Принято органом регулирования</v>
      </c>
      <c r="BP10" s="998" cm="1" t="str">
        <f t="array" ref="BP10:BP10">BP26</f>
        <v>Отклонение, %</v>
      </c>
      <c r="BQ10" s="998" cm="1" t="str">
        <f t="array" ref="BQ10:BQ10">BQ26</f>
        <v>Предложение организации</v>
      </c>
      <c r="BR10" s="998" cm="1" t="str">
        <f t="array" ref="BR10:BR10">BR26</f>
        <v>Принято органом регулирования</v>
      </c>
      <c r="BS10" s="998" cm="1" t="str">
        <f t="array" ref="BS10:BS10">BS26</f>
        <v>Отклонение, %</v>
      </c>
      <c r="BT10" s="998" cm="1" t="str">
        <f t="array" ref="BT10:BT10">BT26</f>
        <v>Предложение организации</v>
      </c>
      <c r="BU10" s="998" cm="1" t="str">
        <f t="array" ref="BU10:BU10">BU26</f>
        <v>Принято органом регулирования</v>
      </c>
      <c r="BV10" s="998" cm="1" t="str">
        <f t="array" ref="BV10:BV10">BV26</f>
        <v>Отклонение, %</v>
      </c>
      <c r="BW10" s="998" cm="1" t="str">
        <f t="array" ref="BW10:BW10">BW26</f>
        <v>Предложение организации</v>
      </c>
      <c r="BX10" s="998" cm="1" t="str">
        <f t="array" ref="BX10:BX10">BX26</f>
        <v>Принято органом регулирования</v>
      </c>
      <c r="BY10" s="998" cm="1" t="str">
        <f t="array" ref="BY10:BY10">BY26</f>
        <v>Отклонение, %</v>
      </c>
      <c r="BZ10" s="998" cm="1" t="str">
        <f t="array" ref="BZ10:BZ10">BZ26</f>
        <v>Предложение организации</v>
      </c>
      <c r="CA10" s="998" cm="1" t="str">
        <f t="array" ref="CA10:CA10">CA26</f>
        <v>Принято органом регулирования</v>
      </c>
      <c r="CB10" s="998" cm="1" t="str">
        <f t="array" ref="CB10:CB10">CB26</f>
        <v>Отклонение, %</v>
      </c>
      <c r="CC10" s="998" cm="1" t="str">
        <f t="array" ref="CC10:CC10">CC26</f>
        <v>Предложение организации</v>
      </c>
      <c r="CD10" s="998" cm="1" t="str">
        <f t="array" ref="CD10:CD10">CD26</f>
        <v>Принято органом регулирования</v>
      </c>
      <c r="CE10" s="998" cm="1" t="str">
        <f t="array" ref="CE10:CE10">CE26</f>
        <v>Отклонение, %</v>
      </c>
      <c r="CF10" s="998" cm="1" t="str">
        <f t="array" ref="CF10:CF10">CF26</f>
        <v>Предложение организации</v>
      </c>
      <c r="CG10" s="998" cm="1" t="str">
        <f t="array" ref="CG10:CG10">CG26</f>
        <v>Принято органом регулирования</v>
      </c>
      <c r="CH10" s="998" cm="1" t="str">
        <f t="array" ref="CH10:CH10">CH26</f>
        <v>Отклонение, %</v>
      </c>
      <c r="CI10" s="998" cm="1" t="str">
        <f t="array" ref="CI10:CI10">CI26</f>
        <v>Предложение организации</v>
      </c>
      <c r="CJ10" s="998" cm="1" t="str">
        <f t="array" ref="CJ10:CJ10">CJ26</f>
        <v>Принято органом регулирования</v>
      </c>
      <c r="CK10" s="998" cm="1" t="str">
        <f t="array" ref="CK10:CK10">CK26</f>
        <v>Отклонение, %</v>
      </c>
      <c r="CL10" s="998" cm="1" t="str">
        <f t="array" ref="CL10:CL10">CL26</f>
        <v>Предложение организации</v>
      </c>
      <c r="CM10" s="998" cm="1" t="str">
        <f t="array" ref="CM10:CM10">CM26</f>
        <v>Принято органом регулирования</v>
      </c>
      <c r="CN10" s="998" cm="1" t="str">
        <f t="array" ref="CN10:CN10">CN26</f>
        <v>Отклонение, %</v>
      </c>
      <c r="CO10" s="998" cm="1" t="str">
        <f t="array" ref="CO10:CO10">CO26</f>
        <v>Предложение организации</v>
      </c>
      <c r="CP10" s="998" cm="1" t="str">
        <f t="array" ref="CP10:CP10">CP26</f>
        <v>Принято органом регулирования</v>
      </c>
      <c r="CQ10" s="998" cm="1" t="str">
        <f t="array" ref="CQ10:CQ10">CQ26</f>
        <v>Отклонение, %</v>
      </c>
      <c r="CR10" s="998" cm="1" t="str">
        <f t="array" ref="CR10:CR10">CR26</f>
        <v>Предложение организации</v>
      </c>
      <c r="CS10" s="998" cm="1" t="str">
        <f t="array" ref="CS10:CS10">CS26</f>
        <v>Принято органом регулирования</v>
      </c>
      <c r="CT10" s="998" cm="1" t="str">
        <f t="array" ref="CT10:CT10">CT26</f>
        <v>Отклонение, %</v>
      </c>
      <c r="CU10" s="998" cm="1" t="str">
        <f t="array" ref="CU10:CU10">CU26</f>
        <v>Предложение организации</v>
      </c>
      <c r="CV10" s="998" cm="1" t="str">
        <f t="array" ref="CV10:CV10">CV26</f>
        <v>Принято органом регулирования</v>
      </c>
      <c r="CW10" s="998" cm="1" t="str">
        <f t="array" ref="CW10:CW10">CW26</f>
        <v>Отклонение, %</v>
      </c>
      <c r="CX10" s="998" cm="1" t="str">
        <f t="array" ref="CX10:CX10">CX26</f>
        <v>Предложение организации</v>
      </c>
      <c r="CY10" s="998" cm="1" t="str">
        <f t="array" ref="CY10:CY10">CY26</f>
        <v>Принято органом регулирования</v>
      </c>
      <c r="CZ10" s="998" cm="1" t="str">
        <f t="array" ref="CZ10:CZ10">CZ26</f>
        <v>Отклонение, %</v>
      </c>
      <c r="DA10" s="998" cm="1" t="str">
        <f t="array" ref="DA10:DA10">DA26</f>
        <v>Предложение организации</v>
      </c>
      <c r="DB10" s="998" cm="1" t="str">
        <f t="array" ref="DB10:DB10">DB26</f>
        <v>Принято органом регулирования</v>
      </c>
      <c r="DC10" s="998" cm="1" t="str">
        <f t="array" ref="DC10:DC10">DC26</f>
        <v>Отклонение, %</v>
      </c>
      <c r="DD10" s="998" cm="1" t="str">
        <f t="array" ref="DD10:DD10">DD26</f>
        <v>Предложение организации</v>
      </c>
      <c r="DE10" s="998" cm="1" t="str">
        <f t="array" ref="DE10:DE10">DE26</f>
        <v>Принято органом регулирования</v>
      </c>
      <c r="DF10" s="998" cm="1" t="str">
        <f t="array" ref="DF10:DF10">DF26</f>
        <v>Отклонение, %</v>
      </c>
      <c r="DG10" s="998" cm="1" t="str">
        <f t="array" ref="DG10:DG10">DG26</f>
        <v>Предложение организации</v>
      </c>
      <c r="DH10" s="998" cm="1" t="str">
        <f t="array" ref="DH10:DH10">DH26</f>
        <v>Принято органом регулирования</v>
      </c>
      <c r="DI10" s="998" cm="1" t="str">
        <f t="array" ref="DI10:DI10">DI26</f>
        <v>Отклонение, %</v>
      </c>
      <c r="DJ10" s="998" cm="1" t="str">
        <f t="array" ref="DJ10:DJ10">DJ26</f>
        <v>Предложение организации</v>
      </c>
      <c r="DK10" s="998" cm="1" t="str">
        <f t="array" ref="DK10:DK10">DK26</f>
        <v>Принято органом регулирования</v>
      </c>
      <c r="DL10" s="998" cm="1" t="str">
        <f t="array" ref="DL10:DL10">DL26</f>
        <v>Отклонение, %</v>
      </c>
      <c r="DM10" s="998" cm="1" t="str">
        <f t="array" ref="DM10:DM10">DM26</f>
        <v>Предложение организации</v>
      </c>
      <c r="DN10" s="998" cm="1" t="str">
        <f t="array" ref="DN10:DN10">DN26</f>
        <v>Принято органом регулирования</v>
      </c>
      <c r="DO10" s="998" cm="1" t="str">
        <f t="array" ref="DO10:DO10">DO26</f>
        <v>Отклонение, %</v>
      </c>
      <c r="DP10" s="998" cm="1" t="str">
        <f t="array" ref="DP10:DP10">DP26</f>
        <v>Предложение организации</v>
      </c>
      <c r="DQ10" s="998" cm="1" t="str">
        <f t="array" ref="DQ10:DQ10">DQ26</f>
        <v>Принято органом регулирования</v>
      </c>
      <c r="DR10" s="998" cm="1" t="str">
        <f t="array" ref="DR10:DR10">DR26</f>
        <v>Отклонение, %</v>
      </c>
      <c r="DS10" s="998" cm="1" t="str">
        <f t="array" ref="DS10:DS10">DS26</f>
        <v>Предложение организации</v>
      </c>
      <c r="DT10" s="998" cm="1" t="str">
        <f t="array" ref="DT10:DT10">DT26</f>
        <v>Принято органом регулирования</v>
      </c>
      <c r="DU10" s="998" cm="1" t="str">
        <f t="array" ref="DU10:DU10">DU26</f>
        <v>Отклонение, %</v>
      </c>
      <c r="DV10" s="998" cm="1" t="str">
        <f t="array" ref="DV10:DV10">DV26</f>
        <v>Предложение организации</v>
      </c>
      <c r="DW10" s="998" cm="1" t="str">
        <f t="array" ref="DW10:DW10">DW26</f>
        <v>Принято органом регулирования</v>
      </c>
      <c r="DX10" s="998" cm="1" t="str">
        <f t="array" ref="DX10:DX10">DX26</f>
        <v>Отклонение, %</v>
      </c>
      <c r="DY10" s="998" cm="1" t="str">
        <f t="array" ref="DY10:DY10">DY26</f>
        <v>Предложение организации</v>
      </c>
      <c r="DZ10" s="998" cm="1" t="str">
        <f t="array" ref="DZ10:DZ10">DZ26</f>
        <v>Принято органом регулирования</v>
      </c>
      <c r="EA10" s="998" cm="1" t="str">
        <f t="array" ref="EA10:EA10">EA26</f>
        <v>Отклонение, %</v>
      </c>
      <c r="EB10" s="998" cm="1" t="str">
        <f t="array" ref="EB10:EB10">EB26</f>
        <v>Предложение организации</v>
      </c>
      <c r="EC10" s="998" cm="1" t="str">
        <f t="array" ref="EC10:EC10">EC26</f>
        <v>Принято органом регулирования</v>
      </c>
      <c r="ED10" s="998" cm="1" t="str">
        <f t="array" ref="ED10:ED10">ED26</f>
        <v>Отклонение, %</v>
      </c>
      <c r="EE10" s="998" cm="1" t="str">
        <f t="array" ref="EE10:EE10">EE26</f>
        <v>Предложение организации</v>
      </c>
      <c r="EF10" s="998" cm="1" t="str">
        <f t="array" ref="EF10:EF10">EF26</f>
        <v>Принято органом регулирования</v>
      </c>
      <c r="EG10" s="998" cm="1" t="str">
        <f t="array" ref="EG10:EG10">EG26</f>
        <v>Отклонение, %</v>
      </c>
      <c r="EH10" s="998" cm="1" t="str">
        <f t="array" ref="EH10:EH10">EH26</f>
        <v>Предложение организации</v>
      </c>
      <c r="EI10" s="998" cm="1" t="str">
        <f t="array" ref="EI10:EI10">EI26</f>
        <v>Принято органом регулирования</v>
      </c>
      <c r="EJ10" s="998" cm="1" t="str">
        <f t="array" ref="EJ10:EJ10">EJ26</f>
        <v>Отклонение, %</v>
      </c>
      <c r="EK10" s="998" cm="1" t="str">
        <f t="array" ref="EK10:EK10">EK26</f>
        <v>Предложение организации</v>
      </c>
      <c r="EL10" s="998" cm="1" t="str">
        <f t="array" ref="EL10:EL10">EL26</f>
        <v>Принято органом регулирования</v>
      </c>
      <c r="EM10" s="998" cm="1" t="str">
        <f t="array" ref="EM10:EM10">EM26</f>
        <v>Отклонение, %</v>
      </c>
      <c r="EN10" s="998" cm="1" t="str">
        <f t="array" ref="EN10:EN10">EN26</f>
        <v>Предложение организации</v>
      </c>
      <c r="EO10" s="998" cm="1" t="str">
        <f t="array" ref="EO10:EO10">EO26</f>
        <v>Принято органом регулирования</v>
      </c>
      <c r="EP10" s="998" cm="1" t="str">
        <f t="array" ref="EP10:EP10">EP26</f>
        <v>Отклонение, %</v>
      </c>
      <c r="EQ10" s="998" cm="1" t="str">
        <f t="array" ref="EQ10:EQ10">EQ26</f>
        <v>Предложение организации</v>
      </c>
      <c r="ER10" s="998" cm="1" t="str">
        <f t="array" ref="ER10:ER10">ER26</f>
        <v>Принято органом регулирования</v>
      </c>
      <c r="ES10" s="998" cm="1" t="str">
        <f t="array" ref="ES10:ES10">ES26</f>
        <v>Отклонение, %</v>
      </c>
      <c r="ET10" s="998" cm="1" t="str">
        <f t="array" ref="ET10:ET10">ET26</f>
        <v>Предложение организации</v>
      </c>
      <c r="EU10" s="998" cm="1" t="str">
        <f t="array" ref="EU10:EU10">EU26</f>
        <v>Принято органом регулирования</v>
      </c>
      <c r="EV10" s="998" cm="1" t="str">
        <f t="array" ref="EV10:EV10">EV26</f>
        <v>Отклонение, %</v>
      </c>
      <c r="EW10" s="998" cm="1" t="str">
        <f t="array" ref="EW10:EW10">EW26</f>
        <v>Предложение организации</v>
      </c>
      <c r="EX10" s="998" cm="1" t="str">
        <f t="array" ref="EX10:EX10">EX26</f>
        <v>Принято органом регулирования</v>
      </c>
      <c r="EY10" s="998" cm="1" t="str">
        <f t="array" ref="EY10:EY10">EY26</f>
        <v>Отклонение, %</v>
      </c>
      <c r="EZ10" s="998" cm="1" t="str">
        <f t="array" ref="EZ10:EZ10">EZ26</f>
        <v>Предложение организации</v>
      </c>
      <c r="FA10" s="998" cm="1" t="str">
        <f t="array" ref="FA10:FA10">FA26</f>
        <v>Принято органом регулирования</v>
      </c>
      <c r="FB10" s="998" cm="1" t="str">
        <f t="array" ref="FB10:FB10">FB26</f>
        <v>Отклонение, %</v>
      </c>
      <c r="FC10" s="998" cm="1" t="str">
        <f t="array" ref="FC10:FC10">FC26</f>
        <v>Предложение организации</v>
      </c>
      <c r="FD10" s="998" cm="1" t="str">
        <f t="array" ref="FD10:FD10">FD26</f>
        <v>Принято органом регулирования</v>
      </c>
      <c r="FE10" s="998" cm="1" t="str">
        <f t="array" ref="FE10:FE10">FE26</f>
        <v>Отклонение, %</v>
      </c>
      <c r="FF10" s="998" cm="1" t="str">
        <f t="array" ref="FF10:FF10">FF26</f>
        <v>Предложение организации</v>
      </c>
      <c r="FG10" s="998" cm="1" t="str">
        <f t="array" ref="FG10:FG10">FG26</f>
        <v>Принято органом регулирования</v>
      </c>
      <c r="FH10" s="998" cm="1" t="str">
        <f t="array" ref="FH10:FH10">FH26</f>
        <v>Отклонение, %</v>
      </c>
      <c r="FI10" s="998" cm="1" t="str">
        <f t="array" ref="FI10:FI10">FI26</f>
        <v>Предложение организации</v>
      </c>
      <c r="FJ10" s="998" cm="1" t="str">
        <f t="array" ref="FJ10:FJ10">FJ26</f>
        <v>Принято органом регулирования</v>
      </c>
      <c r="FK10" s="998" cm="1" t="str">
        <f t="array" ref="FK10:FK10">FK26</f>
        <v>Отклонение, %</v>
      </c>
      <c r="FL10" s="998" cm="1" t="str">
        <f t="array" ref="FL10:FL10">FL26</f>
        <v>Предложение организации</v>
      </c>
      <c r="FM10" s="998" cm="1" t="str">
        <f t="array" ref="FM10:FM10">FM26</f>
        <v>Принято органом регулирования</v>
      </c>
      <c r="FN10" s="998" cm="1" t="str">
        <f t="array" ref="FN10:FN10">FN26</f>
        <v>Отклонение, %</v>
      </c>
      <c r="FO10" s="998" cm="1" t="str">
        <f t="array" ref="FO10:FO10">FO26</f>
        <v>Предложение организации</v>
      </c>
      <c r="FP10" s="998" cm="1" t="str">
        <f t="array" ref="FP10:FP10">FP26</f>
        <v>Принято органом регулирования</v>
      </c>
      <c r="FQ10" s="998" cm="1" t="str">
        <f t="array" ref="FQ10:FQ10">FQ26</f>
        <v>Отклонение, %</v>
      </c>
      <c r="FR10" s="998" cm="1" t="str">
        <f t="array" ref="FR10:FR10">FR26</f>
        <v>Предложение организации</v>
      </c>
      <c r="FS10" s="998" cm="1" t="str">
        <f t="array" ref="FS10:FS10">FS26</f>
        <v>Принято органом регулирования</v>
      </c>
      <c r="FT10" s="998" cm="1" t="str">
        <f t="array" ref="FT10:FT10">FT26</f>
        <v>Отклонение, %</v>
      </c>
      <c r="FU10" s="998" cm="1" t="str">
        <f t="array" ref="FU10:FU10">FU26</f>
        <v>Предложение организации</v>
      </c>
      <c r="FV10" s="998" cm="1" t="str">
        <f t="array" ref="FV10:FV10">FV26</f>
        <v>Принято органом регулирования</v>
      </c>
      <c r="FW10" s="998" cm="1" t="str">
        <f t="array" ref="FW10:FW10">FW26</f>
        <v>Отклонение, %</v>
      </c>
      <c r="GC10" s="611"/>
      <c r="GD10" s="611"/>
    </row>
    <row s="1061" customFormat="1" customHeight="1" ht="11.25" hidden="1">
      <c r="A11" s="998" t="s">
        <v>331</v>
      </c>
      <c r="B11" s="1036"/>
      <c r="F11" s="1037"/>
      <c r="AB11" s="1038" t="s">
        <v>318</v>
      </c>
      <c r="AC11" s="996"/>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GC11" s="611"/>
      <c r="GD11" s="611"/>
    </row>
    <row customHeight="1" ht="11.25" hidden="1">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676"/>
      <c r="DB12" s="676"/>
      <c r="DC12" s="676"/>
      <c r="DD12" s="676"/>
      <c r="DE12" s="676"/>
      <c r="DF12" s="676"/>
      <c r="DG12" s="676"/>
      <c r="DH12" s="676"/>
      <c r="DI12" s="676"/>
      <c r="DJ12" s="676"/>
      <c r="DK12" s="676"/>
      <c r="DL12" s="676"/>
      <c r="DM12" s="676"/>
      <c r="DN12" s="676"/>
      <c r="DO12" s="676"/>
      <c r="DP12" s="676"/>
      <c r="DQ12" s="676"/>
      <c r="DR12" s="676"/>
      <c r="DS12" s="676"/>
      <c r="DT12" s="676"/>
      <c r="DU12" s="676"/>
      <c r="DV12" s="676"/>
      <c r="DW12" s="676"/>
      <c r="DX12" s="676"/>
      <c r="DY12" s="676"/>
      <c r="DZ12" s="676"/>
      <c r="EA12" s="676"/>
      <c r="EB12" s="676"/>
      <c r="EC12" s="676"/>
      <c r="ED12" s="676"/>
      <c r="EE12" s="676"/>
      <c r="EF12" s="676"/>
      <c r="EG12" s="676"/>
      <c r="EH12" s="676"/>
      <c r="EI12" s="676"/>
      <c r="EJ12" s="676"/>
      <c r="EK12" s="676"/>
      <c r="EL12" s="676"/>
      <c r="EM12" s="676"/>
      <c r="EN12" s="676"/>
      <c r="EO12" s="676"/>
      <c r="EP12" s="676"/>
      <c r="EQ12" s="676"/>
      <c r="ER12" s="676"/>
      <c r="ES12" s="676"/>
      <c r="ET12" s="676"/>
      <c r="EU12" s="676"/>
      <c r="EV12" s="676"/>
      <c r="EW12" s="676"/>
      <c r="EX12" s="676"/>
      <c r="EY12" s="676"/>
      <c r="EZ12" s="676"/>
      <c r="FA12" s="676"/>
      <c r="FB12" s="676"/>
      <c r="FC12" s="676"/>
      <c r="FD12" s="676"/>
      <c r="FE12" s="676"/>
      <c r="FF12" s="676"/>
      <c r="FG12" s="676"/>
      <c r="FH12" s="676"/>
      <c r="FI12" s="676"/>
      <c r="FJ12" s="676"/>
      <c r="FK12" s="676"/>
      <c r="FL12" s="676"/>
      <c r="FM12" s="676"/>
      <c r="FN12" s="676"/>
      <c r="FO12" s="676"/>
      <c r="FP12" s="676"/>
      <c r="FQ12" s="676"/>
      <c r="FR12" s="676"/>
      <c r="FS12" s="676"/>
      <c r="FT12" s="676"/>
      <c r="FU12" s="676"/>
      <c r="FV12" s="676"/>
      <c r="FW12" s="676"/>
    </row>
    <row customHeight="1" ht="11.25" hidden="1">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76"/>
      <c r="CG13" s="676"/>
      <c r="CH13" s="676"/>
      <c r="CI13" s="676"/>
      <c r="CJ13" s="676"/>
      <c r="CK13" s="676"/>
      <c r="CL13" s="676"/>
      <c r="CM13" s="676"/>
      <c r="CN13" s="676"/>
      <c r="CO13" s="676"/>
      <c r="CP13" s="676"/>
      <c r="CQ13" s="676"/>
      <c r="CR13" s="676"/>
      <c r="CS13" s="676"/>
      <c r="CT13" s="676"/>
      <c r="CU13" s="676"/>
      <c r="CV13" s="676"/>
      <c r="CW13" s="676"/>
      <c r="CX13" s="676"/>
      <c r="CY13" s="676"/>
      <c r="CZ13" s="676"/>
      <c r="DA13" s="676"/>
      <c r="DB13" s="676"/>
      <c r="DC13" s="676"/>
      <c r="DD13" s="676"/>
      <c r="DE13" s="676"/>
      <c r="DF13" s="676"/>
      <c r="DG13" s="676"/>
      <c r="DH13" s="676"/>
      <c r="DI13" s="676"/>
      <c r="DJ13" s="676"/>
      <c r="DK13" s="676"/>
      <c r="DL13" s="676"/>
      <c r="DM13" s="676"/>
      <c r="DN13" s="676"/>
      <c r="DO13" s="676"/>
      <c r="DP13" s="676"/>
      <c r="DQ13" s="676"/>
      <c r="DR13" s="676"/>
      <c r="DS13" s="676"/>
      <c r="DT13" s="676"/>
      <c r="DU13" s="676"/>
      <c r="DV13" s="676"/>
      <c r="DW13" s="676"/>
      <c r="DX13" s="676"/>
      <c r="DY13" s="676"/>
      <c r="DZ13" s="676"/>
      <c r="EA13" s="676"/>
      <c r="EB13" s="676"/>
      <c r="EC13" s="676"/>
      <c r="ED13" s="676"/>
      <c r="EE13" s="676"/>
      <c r="EF13" s="676"/>
      <c r="EG13" s="676"/>
      <c r="EH13" s="676"/>
      <c r="EI13" s="676"/>
      <c r="EJ13" s="676"/>
      <c r="EK13" s="676"/>
      <c r="EL13" s="676"/>
      <c r="EM13" s="676"/>
      <c r="EN13" s="676"/>
      <c r="EO13" s="676"/>
      <c r="EP13" s="676"/>
      <c r="EQ13" s="676"/>
      <c r="ER13" s="676"/>
      <c r="ES13" s="676"/>
      <c r="ET13" s="676"/>
      <c r="EU13" s="676"/>
      <c r="EV13" s="676"/>
      <c r="EW13" s="676"/>
      <c r="EX13" s="676"/>
      <c r="EY13" s="676"/>
      <c r="EZ13" s="676"/>
      <c r="FA13" s="676"/>
      <c r="FB13" s="676"/>
      <c r="FC13" s="676"/>
      <c r="FD13" s="676"/>
      <c r="FE13" s="676"/>
      <c r="FF13" s="676"/>
      <c r="FG13" s="676"/>
      <c r="FH13" s="676"/>
      <c r="FI13" s="676"/>
      <c r="FJ13" s="676"/>
      <c r="FK13" s="676"/>
      <c r="FL13" s="676"/>
      <c r="FM13" s="676"/>
      <c r="FN13" s="676"/>
      <c r="FO13" s="676"/>
      <c r="FP13" s="676"/>
      <c r="FQ13" s="676"/>
      <c r="FR13" s="676"/>
      <c r="FS13" s="676"/>
      <c r="FT13" s="676"/>
      <c r="FU13" s="676"/>
      <c r="FV13" s="676"/>
      <c r="FW13" s="676"/>
    </row>
    <row customHeight="1" ht="11.25" hidden="1">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676"/>
      <c r="DB14" s="676"/>
      <c r="DC14" s="676"/>
      <c r="DD14" s="676"/>
      <c r="DE14" s="676"/>
      <c r="DF14" s="676"/>
      <c r="DG14" s="676"/>
      <c r="DH14" s="676"/>
      <c r="DI14" s="676"/>
      <c r="DJ14" s="676"/>
      <c r="DK14" s="676"/>
      <c r="DL14" s="676"/>
      <c r="DM14" s="676"/>
      <c r="DN14" s="676"/>
      <c r="DO14" s="676"/>
      <c r="DP14" s="676"/>
      <c r="DQ14" s="676"/>
      <c r="DR14" s="676"/>
      <c r="DS14" s="676"/>
      <c r="DT14" s="676"/>
      <c r="DU14" s="676"/>
      <c r="DV14" s="676"/>
      <c r="DW14" s="676"/>
      <c r="DX14" s="676"/>
      <c r="DY14" s="676"/>
      <c r="DZ14" s="676"/>
      <c r="EA14" s="676"/>
      <c r="EB14" s="676"/>
      <c r="EC14" s="676"/>
      <c r="ED14" s="676"/>
      <c r="EE14" s="676"/>
      <c r="EF14" s="676"/>
      <c r="EG14" s="676"/>
      <c r="EH14" s="676"/>
      <c r="EI14" s="676"/>
      <c r="EJ14" s="676"/>
      <c r="EK14" s="676"/>
      <c r="EL14" s="676"/>
      <c r="EM14" s="676"/>
      <c r="EN14" s="676"/>
      <c r="EO14" s="676"/>
      <c r="EP14" s="676"/>
      <c r="EQ14" s="676"/>
      <c r="ER14" s="676"/>
      <c r="ES14" s="676"/>
      <c r="ET14" s="676"/>
      <c r="EU14" s="676"/>
      <c r="EV14" s="676"/>
      <c r="EW14" s="676"/>
      <c r="EX14" s="676"/>
      <c r="EY14" s="676"/>
      <c r="EZ14" s="676"/>
      <c r="FA14" s="676"/>
      <c r="FB14" s="676"/>
      <c r="FC14" s="676"/>
      <c r="FD14" s="676"/>
      <c r="FE14" s="676"/>
      <c r="FF14" s="676"/>
      <c r="FG14" s="676"/>
      <c r="FH14" s="676"/>
      <c r="FI14" s="676"/>
      <c r="FJ14" s="676"/>
      <c r="FK14" s="676"/>
      <c r="FL14" s="676"/>
      <c r="FM14" s="676"/>
      <c r="FN14" s="676"/>
      <c r="FO14" s="676"/>
      <c r="FP14" s="676"/>
      <c r="FQ14" s="676"/>
      <c r="FR14" s="676"/>
      <c r="FS14" s="676"/>
      <c r="FT14" s="676"/>
      <c r="FU14" s="676"/>
      <c r="FV14" s="676"/>
      <c r="FW14" s="676"/>
    </row>
    <row customHeight="1" ht="11.25" hidden="1">
      <c r="AG15" s="676"/>
      <c r="AH15" s="676"/>
      <c r="AI15" s="676"/>
      <c r="AJ15" s="676"/>
      <c r="AK15" s="676"/>
      <c r="AL15" s="676"/>
      <c r="AM15" s="676"/>
      <c r="AN15" s="676"/>
      <c r="AO15" s="676"/>
      <c r="AP15" s="676"/>
      <c r="AQ15" s="676"/>
      <c r="AR15" s="676"/>
      <c r="AS15" s="676"/>
      <c r="AT15" s="676"/>
      <c r="AU15" s="676"/>
      <c r="AV15" s="676"/>
      <c r="AW15" s="676"/>
      <c r="AX15" s="676"/>
      <c r="AY15" s="676"/>
      <c r="AZ15" s="676"/>
      <c r="BA15" s="676"/>
      <c r="BB15" s="676"/>
      <c r="BC15" s="676"/>
      <c r="BD15" s="676"/>
      <c r="BE15" s="676"/>
      <c r="BF15" s="676"/>
      <c r="BG15" s="676"/>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c r="CK15" s="676"/>
      <c r="CL15" s="676"/>
      <c r="CM15" s="676"/>
      <c r="CN15" s="676"/>
      <c r="CO15" s="676"/>
      <c r="CP15" s="676"/>
      <c r="CQ15" s="676"/>
      <c r="CR15" s="676"/>
      <c r="CS15" s="676"/>
      <c r="CT15" s="676"/>
      <c r="CU15" s="676"/>
      <c r="CV15" s="676"/>
      <c r="CW15" s="676"/>
      <c r="CX15" s="676"/>
      <c r="CY15" s="676"/>
      <c r="CZ15" s="676"/>
      <c r="DA15" s="676"/>
      <c r="DB15" s="676"/>
      <c r="DC15" s="676"/>
      <c r="DD15" s="676"/>
      <c r="DE15" s="676"/>
      <c r="DF15" s="676"/>
      <c r="DG15" s="676"/>
      <c r="DH15" s="676"/>
      <c r="DI15" s="676"/>
      <c r="DJ15" s="676"/>
      <c r="DK15" s="676"/>
      <c r="DL15" s="676"/>
      <c r="DM15" s="676"/>
      <c r="DN15" s="676"/>
      <c r="DO15" s="676"/>
      <c r="DP15" s="676"/>
      <c r="DQ15" s="676"/>
      <c r="DR15" s="676"/>
      <c r="DS15" s="676"/>
      <c r="DT15" s="676"/>
      <c r="DU15" s="676"/>
      <c r="DV15" s="676"/>
      <c r="DW15" s="676"/>
      <c r="DX15" s="676"/>
      <c r="DY15" s="676"/>
      <c r="DZ15" s="676"/>
      <c r="EA15" s="676"/>
      <c r="EB15" s="676"/>
      <c r="EC15" s="676"/>
      <c r="ED15" s="676"/>
      <c r="EE15" s="676"/>
      <c r="EF15" s="676"/>
      <c r="EG15" s="676"/>
      <c r="EH15" s="676"/>
      <c r="EI15" s="676"/>
      <c r="EJ15" s="676"/>
      <c r="EK15" s="676"/>
      <c r="EL15" s="676"/>
      <c r="EM15" s="676"/>
      <c r="EN15" s="676"/>
      <c r="EO15" s="676"/>
      <c r="EP15" s="676"/>
      <c r="EQ15" s="676"/>
      <c r="ER15" s="676"/>
      <c r="ES15" s="676"/>
      <c r="ET15" s="676"/>
      <c r="EU15" s="676"/>
      <c r="EV15" s="676"/>
      <c r="EW15" s="676"/>
      <c r="EX15" s="676"/>
      <c r="EY15" s="676"/>
      <c r="EZ15" s="676"/>
      <c r="FA15" s="676"/>
      <c r="FB15" s="676"/>
      <c r="FC15" s="676"/>
      <c r="FD15" s="676"/>
      <c r="FE15" s="676"/>
      <c r="FF15" s="676"/>
      <c r="FG15" s="676"/>
      <c r="FH15" s="676"/>
      <c r="FI15" s="676"/>
      <c r="FJ15" s="676"/>
      <c r="FK15" s="676"/>
      <c r="FL15" s="676"/>
      <c r="FM15" s="676"/>
      <c r="FN15" s="676"/>
      <c r="FO15" s="676"/>
      <c r="FP15" s="676"/>
      <c r="FQ15" s="676"/>
      <c r="FR15" s="676"/>
      <c r="FS15" s="676"/>
      <c r="FT15" s="676"/>
      <c r="FU15" s="676"/>
      <c r="FV15" s="676"/>
      <c r="FW15" s="676"/>
    </row>
    <row customHeight="1" ht="11.25" hidden="1">
      <c r="AG16" s="676"/>
      <c r="AH16" s="676"/>
      <c r="AI16" s="676"/>
      <c r="AJ16" s="676"/>
      <c r="AK16" s="676"/>
      <c r="AL16" s="676"/>
      <c r="AM16" s="676"/>
      <c r="AN16" s="676"/>
      <c r="AO16" s="676"/>
      <c r="AP16" s="676"/>
      <c r="AQ16" s="676"/>
      <c r="AR16" s="676"/>
      <c r="AS16" s="676"/>
      <c r="AT16" s="676"/>
      <c r="AU16" s="676"/>
      <c r="AV16" s="676"/>
      <c r="AW16" s="676"/>
      <c r="AX16" s="676"/>
      <c r="AY16" s="676"/>
      <c r="AZ16" s="676"/>
      <c r="BA16" s="676"/>
      <c r="BB16" s="676"/>
      <c r="BC16" s="676"/>
      <c r="BD16" s="676"/>
      <c r="BE16" s="676"/>
      <c r="BF16" s="676"/>
      <c r="BG16" s="676"/>
      <c r="BH16" s="676"/>
      <c r="BI16" s="676"/>
      <c r="BJ16" s="676"/>
      <c r="BK16" s="676"/>
      <c r="BL16" s="676"/>
      <c r="BM16" s="676"/>
      <c r="BN16" s="676"/>
      <c r="BO16" s="676"/>
      <c r="BP16" s="676"/>
      <c r="BQ16" s="676"/>
      <c r="BR16" s="676"/>
      <c r="BS16" s="676"/>
      <c r="BT16" s="676"/>
      <c r="BU16" s="676"/>
      <c r="BV16" s="676"/>
      <c r="BW16" s="676"/>
      <c r="BX16" s="676"/>
      <c r="BY16" s="676"/>
      <c r="BZ16" s="676"/>
      <c r="CA16" s="676"/>
      <c r="CB16" s="676"/>
      <c r="CC16" s="676"/>
      <c r="CD16" s="676"/>
      <c r="CE16" s="676"/>
      <c r="CF16" s="676"/>
      <c r="CG16" s="676"/>
      <c r="CH16" s="676"/>
      <c r="CI16" s="676"/>
      <c r="CJ16" s="676"/>
      <c r="CK16" s="676"/>
      <c r="CL16" s="676"/>
      <c r="CM16" s="676"/>
      <c r="CN16" s="676"/>
      <c r="CO16" s="676"/>
      <c r="CP16" s="676"/>
      <c r="CQ16" s="676"/>
      <c r="CR16" s="676"/>
      <c r="CS16" s="676"/>
      <c r="CT16" s="676"/>
      <c r="CU16" s="676"/>
      <c r="CV16" s="676"/>
      <c r="CW16" s="676"/>
      <c r="CX16" s="676"/>
      <c r="CY16" s="676"/>
      <c r="CZ16" s="676"/>
      <c r="DA16" s="676"/>
      <c r="DB16" s="676"/>
      <c r="DC16" s="676"/>
      <c r="DD16" s="676"/>
      <c r="DE16" s="676"/>
      <c r="DF16" s="676"/>
      <c r="DG16" s="676"/>
      <c r="DH16" s="676"/>
      <c r="DI16" s="676"/>
      <c r="DJ16" s="676"/>
      <c r="DK16" s="676"/>
      <c r="DL16" s="676"/>
      <c r="DM16" s="676"/>
      <c r="DN16" s="676"/>
      <c r="DO16" s="676"/>
      <c r="DP16" s="676"/>
      <c r="DQ16" s="676"/>
      <c r="DR16" s="676"/>
      <c r="DS16" s="676"/>
      <c r="DT16" s="676"/>
      <c r="DU16" s="676"/>
      <c r="DV16" s="676"/>
      <c r="DW16" s="676"/>
      <c r="DX16" s="676"/>
      <c r="DY16" s="676"/>
      <c r="DZ16" s="676"/>
      <c r="EA16" s="676"/>
      <c r="EB16" s="676"/>
      <c r="EC16" s="676"/>
      <c r="ED16" s="676"/>
      <c r="EE16" s="676"/>
      <c r="EF16" s="676"/>
      <c r="EG16" s="676"/>
      <c r="EH16" s="676"/>
      <c r="EI16" s="676"/>
      <c r="EJ16" s="676"/>
      <c r="EK16" s="676"/>
      <c r="EL16" s="676"/>
      <c r="EM16" s="676"/>
      <c r="EN16" s="676"/>
      <c r="EO16" s="676"/>
      <c r="EP16" s="676"/>
      <c r="EQ16" s="676"/>
      <c r="ER16" s="676"/>
      <c r="ES16" s="676"/>
      <c r="ET16" s="676"/>
      <c r="EU16" s="676"/>
      <c r="EV16" s="676"/>
      <c r="EW16" s="676"/>
      <c r="EX16" s="676"/>
      <c r="EY16" s="676"/>
      <c r="EZ16" s="676"/>
      <c r="FA16" s="676"/>
      <c r="FB16" s="676"/>
      <c r="FC16" s="676"/>
      <c r="FD16" s="676"/>
      <c r="FE16" s="676"/>
      <c r="FF16" s="676"/>
      <c r="FG16" s="676"/>
      <c r="FH16" s="676"/>
      <c r="FI16" s="676"/>
      <c r="FJ16" s="676"/>
      <c r="FK16" s="676"/>
      <c r="FL16" s="676"/>
      <c r="FM16" s="676"/>
      <c r="FN16" s="676"/>
      <c r="FO16" s="676"/>
      <c r="FP16" s="676"/>
      <c r="FQ16" s="676"/>
      <c r="FR16" s="676"/>
      <c r="FS16" s="676"/>
      <c r="FT16" s="676"/>
      <c r="FU16" s="676"/>
      <c r="FV16" s="676"/>
      <c r="FW16" s="676"/>
    </row>
    <row customHeight="1" ht="11.25" hidden="1">
      <c r="AG17" s="676"/>
      <c r="AH17" s="676"/>
      <c r="AI17" s="676"/>
      <c r="AJ17" s="676"/>
      <c r="AK17" s="676"/>
      <c r="AL17" s="676"/>
      <c r="AM17" s="676"/>
      <c r="AN17" s="676"/>
      <c r="AO17" s="676"/>
      <c r="AP17" s="676"/>
      <c r="AQ17" s="676"/>
      <c r="AR17" s="676"/>
      <c r="AS17" s="676"/>
      <c r="AT17" s="676"/>
      <c r="AU17" s="676"/>
      <c r="AV17" s="676"/>
      <c r="AW17" s="676"/>
      <c r="AX17" s="676"/>
      <c r="AY17" s="676"/>
      <c r="AZ17" s="676"/>
      <c r="BA17" s="676"/>
      <c r="BB17" s="676"/>
      <c r="BC17" s="676"/>
      <c r="BD17" s="676"/>
      <c r="BE17" s="676"/>
      <c r="BF17" s="676"/>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c r="CK17" s="676"/>
      <c r="CL17" s="676"/>
      <c r="CM17" s="676"/>
      <c r="CN17" s="676"/>
      <c r="CO17" s="676"/>
      <c r="CP17" s="676"/>
      <c r="CQ17" s="676"/>
      <c r="CR17" s="676"/>
      <c r="CS17" s="676"/>
      <c r="CT17" s="676"/>
      <c r="CU17" s="676"/>
      <c r="CV17" s="676"/>
      <c r="CW17" s="676"/>
      <c r="CX17" s="676"/>
      <c r="CY17" s="676"/>
      <c r="CZ17" s="676"/>
      <c r="DA17" s="676"/>
      <c r="DB17" s="676"/>
      <c r="DC17" s="676"/>
      <c r="DD17" s="676"/>
      <c r="DE17" s="676"/>
      <c r="DF17" s="676"/>
      <c r="DG17" s="676"/>
      <c r="DH17" s="676"/>
      <c r="DI17" s="676"/>
      <c r="DJ17" s="676"/>
      <c r="DK17" s="676"/>
      <c r="DL17" s="676"/>
      <c r="DM17" s="676"/>
      <c r="DN17" s="676"/>
      <c r="DO17" s="676"/>
      <c r="DP17" s="676"/>
      <c r="DQ17" s="676"/>
      <c r="DR17" s="676"/>
      <c r="DS17" s="676"/>
      <c r="DT17" s="676"/>
      <c r="DU17" s="676"/>
      <c r="DV17" s="676"/>
      <c r="DW17" s="676"/>
      <c r="DX17" s="676"/>
      <c r="DY17" s="676"/>
      <c r="DZ17" s="676"/>
      <c r="EA17" s="676"/>
      <c r="EB17" s="676"/>
      <c r="EC17" s="676"/>
      <c r="ED17" s="676"/>
      <c r="EE17" s="676"/>
      <c r="EF17" s="676"/>
      <c r="EG17" s="676"/>
      <c r="EH17" s="676"/>
      <c r="EI17" s="676"/>
      <c r="EJ17" s="676"/>
      <c r="EK17" s="676"/>
      <c r="EL17" s="676"/>
      <c r="EM17" s="676"/>
      <c r="EN17" s="676"/>
      <c r="EO17" s="676"/>
      <c r="EP17" s="676"/>
      <c r="EQ17" s="676"/>
      <c r="ER17" s="676"/>
      <c r="ES17" s="676"/>
      <c r="ET17" s="676"/>
      <c r="EU17" s="676"/>
      <c r="EV17" s="676"/>
      <c r="EW17" s="676"/>
      <c r="EX17" s="676"/>
      <c r="EY17" s="676"/>
      <c r="EZ17" s="676"/>
      <c r="FA17" s="676"/>
      <c r="FB17" s="676"/>
      <c r="FC17" s="676"/>
      <c r="FD17" s="676"/>
      <c r="FE17" s="676"/>
      <c r="FF17" s="676"/>
      <c r="FG17" s="676"/>
      <c r="FH17" s="676"/>
      <c r="FI17" s="676"/>
      <c r="FJ17" s="676"/>
      <c r="FK17" s="676"/>
      <c r="FL17" s="676"/>
      <c r="FM17" s="676"/>
      <c r="FN17" s="676"/>
      <c r="FO17" s="676"/>
      <c r="FP17" s="676"/>
      <c r="FQ17" s="676"/>
      <c r="FR17" s="676"/>
      <c r="FS17" s="676"/>
      <c r="FT17" s="676"/>
      <c r="FU17" s="676"/>
      <c r="FV17" s="676"/>
      <c r="FW17" s="676"/>
    </row>
    <row customHeight="1" ht="11.25" hidden="1">
      <c r="A18" s="64" t="s">
        <v>332</v>
      </c>
      <c r="AB18" s="174" t="s">
        <v>362</v>
      </c>
      <c r="AG18" s="676"/>
      <c r="AH18" s="676"/>
      <c r="AI18" s="676"/>
      <c r="AJ18" s="676"/>
      <c r="AK18" s="676"/>
      <c r="AL18" s="676"/>
      <c r="AM18" s="676"/>
      <c r="AN18" s="676"/>
      <c r="AO18" s="676"/>
      <c r="AP18" s="676"/>
      <c r="AQ18" s="676"/>
      <c r="AR18" s="676"/>
      <c r="AS18" s="676"/>
      <c r="AT18" s="676"/>
      <c r="AU18" s="676"/>
      <c r="AV18" s="676"/>
      <c r="AW18" s="676"/>
      <c r="AX18" s="676"/>
      <c r="AY18" s="676"/>
      <c r="AZ18" s="676"/>
      <c r="BA18" s="676"/>
      <c r="BB18" s="676"/>
      <c r="BC18" s="676"/>
      <c r="BD18" s="676"/>
      <c r="BE18" s="676"/>
      <c r="BF18" s="676"/>
      <c r="BG18" s="676"/>
      <c r="BH18" s="676"/>
      <c r="BI18" s="676"/>
      <c r="BJ18" s="676"/>
      <c r="BK18" s="676"/>
      <c r="BL18" s="676"/>
      <c r="BM18" s="676"/>
      <c r="BN18" s="676"/>
      <c r="BO18" s="676"/>
      <c r="BP18" s="676"/>
      <c r="BQ18" s="676"/>
      <c r="BR18" s="676"/>
      <c r="BS18" s="676"/>
      <c r="BT18" s="676"/>
      <c r="BU18" s="676"/>
      <c r="BV18" s="676"/>
      <c r="BW18" s="676"/>
      <c r="BX18" s="676"/>
      <c r="BY18" s="676"/>
      <c r="BZ18" s="676"/>
      <c r="CA18" s="676"/>
      <c r="CB18" s="676"/>
      <c r="CC18" s="676"/>
      <c r="CD18" s="676"/>
      <c r="CE18" s="676"/>
      <c r="CF18" s="676"/>
      <c r="CG18" s="676"/>
      <c r="CH18" s="676"/>
      <c r="CI18" s="676"/>
      <c r="CJ18" s="676"/>
      <c r="CK18" s="676"/>
      <c r="CL18" s="676"/>
      <c r="CM18" s="676"/>
      <c r="CN18" s="676"/>
      <c r="CO18" s="676"/>
      <c r="CP18" s="676"/>
      <c r="CQ18" s="676"/>
      <c r="CR18" s="676"/>
      <c r="CS18" s="676"/>
      <c r="CT18" s="676"/>
      <c r="CU18" s="676"/>
      <c r="CV18" s="676"/>
      <c r="CW18" s="676"/>
      <c r="CX18" s="676"/>
      <c r="CY18" s="676"/>
      <c r="CZ18" s="676"/>
      <c r="DA18" s="676"/>
      <c r="DB18" s="676"/>
      <c r="DC18" s="676"/>
      <c r="DD18" s="676"/>
      <c r="DE18" s="676"/>
      <c r="DF18" s="676"/>
      <c r="DG18" s="676"/>
      <c r="DH18" s="676"/>
      <c r="DI18" s="676"/>
      <c r="DJ18" s="676"/>
      <c r="DK18" s="676"/>
      <c r="DL18" s="676"/>
      <c r="DM18" s="676"/>
      <c r="DN18" s="676"/>
      <c r="DO18" s="676"/>
      <c r="DP18" s="676"/>
      <c r="DQ18" s="676"/>
      <c r="DR18" s="676"/>
      <c r="DS18" s="676"/>
      <c r="DT18" s="676"/>
      <c r="DU18" s="676"/>
      <c r="DV18" s="676"/>
      <c r="DW18" s="676"/>
      <c r="DX18" s="676"/>
      <c r="DY18" s="676"/>
      <c r="DZ18" s="676"/>
      <c r="EA18" s="676"/>
      <c r="EB18" s="676"/>
      <c r="EC18" s="676"/>
      <c r="ED18" s="676"/>
      <c r="EE18" s="676"/>
      <c r="EF18" s="676"/>
      <c r="EG18" s="676"/>
      <c r="EH18" s="676"/>
      <c r="EI18" s="676"/>
      <c r="EJ18" s="676"/>
      <c r="EK18" s="676"/>
      <c r="EL18" s="676"/>
      <c r="EM18" s="676"/>
      <c r="EN18" s="676"/>
      <c r="EO18" s="676"/>
      <c r="EP18" s="676"/>
      <c r="EQ18" s="676"/>
      <c r="ER18" s="676"/>
      <c r="ES18" s="676"/>
      <c r="ET18" s="676"/>
      <c r="EU18" s="676"/>
      <c r="EV18" s="676"/>
      <c r="EW18" s="676"/>
      <c r="EX18" s="676"/>
      <c r="EY18" s="676"/>
      <c r="EZ18" s="676"/>
      <c r="FA18" s="676"/>
      <c r="FB18" s="676"/>
      <c r="FC18" s="676"/>
      <c r="FD18" s="676"/>
      <c r="FE18" s="676"/>
      <c r="FF18" s="676"/>
      <c r="FG18" s="676"/>
      <c r="FH18" s="676"/>
      <c r="FI18" s="676"/>
      <c r="FJ18" s="676"/>
      <c r="FK18" s="676"/>
      <c r="FL18" s="676"/>
      <c r="FM18" s="676"/>
      <c r="FN18" s="676"/>
      <c r="FO18" s="676"/>
      <c r="FP18" s="676"/>
      <c r="FQ18" s="676"/>
      <c r="FR18" s="676"/>
      <c r="FS18" s="676"/>
      <c r="FT18" s="676"/>
      <c r="FU18" s="676"/>
      <c r="FV18" s="676"/>
      <c r="FW18" s="676"/>
    </row>
    <row customHeight="1" ht="11.25" hidden="1">
      <c r="AG19" s="676"/>
      <c r="AH19" s="676"/>
      <c r="AI19" s="676"/>
      <c r="AJ19" s="676"/>
      <c r="AK19" s="676"/>
      <c r="AL19" s="676"/>
      <c r="AM19" s="676"/>
      <c r="AN19" s="676"/>
      <c r="AO19" s="676"/>
      <c r="AP19" s="676"/>
      <c r="AQ19" s="676"/>
      <c r="AR19" s="676"/>
      <c r="AS19" s="676"/>
      <c r="AT19" s="676"/>
      <c r="AU19" s="676"/>
      <c r="AV19" s="676"/>
      <c r="AW19" s="676"/>
      <c r="AX19" s="676"/>
      <c r="AY19" s="676"/>
      <c r="AZ19" s="676"/>
      <c r="BA19" s="676"/>
      <c r="BB19" s="676"/>
      <c r="BC19" s="676"/>
      <c r="BD19" s="676"/>
      <c r="BE19" s="676"/>
      <c r="BF19" s="676"/>
      <c r="BG19" s="676"/>
      <c r="BH19" s="676"/>
      <c r="BI19" s="676"/>
      <c r="BJ19" s="676"/>
      <c r="BK19" s="676"/>
      <c r="BL19" s="676"/>
      <c r="BM19" s="676"/>
      <c r="BN19" s="676"/>
      <c r="BO19" s="676"/>
      <c r="BP19" s="676"/>
      <c r="BQ19" s="676"/>
      <c r="BR19" s="676"/>
      <c r="BS19" s="676"/>
      <c r="BT19" s="676"/>
      <c r="BU19" s="676"/>
      <c r="BV19" s="676"/>
      <c r="BW19" s="676"/>
      <c r="BX19" s="676"/>
      <c r="BY19" s="676"/>
      <c r="BZ19" s="676"/>
      <c r="CA19" s="676"/>
      <c r="CB19" s="676"/>
      <c r="CC19" s="676"/>
      <c r="CD19" s="676"/>
      <c r="CE19" s="676"/>
      <c r="CF19" s="676"/>
      <c r="CG19" s="676"/>
      <c r="CH19" s="676"/>
      <c r="CI19" s="676"/>
      <c r="CJ19" s="676"/>
      <c r="CK19" s="676"/>
      <c r="CL19" s="676"/>
      <c r="CM19" s="676"/>
      <c r="CN19" s="676"/>
      <c r="CO19" s="676"/>
      <c r="CP19" s="676"/>
      <c r="CQ19" s="676"/>
      <c r="CR19" s="676"/>
      <c r="CS19" s="676"/>
      <c r="CT19" s="676"/>
      <c r="CU19" s="676"/>
      <c r="CV19" s="676"/>
      <c r="CW19" s="676"/>
      <c r="CX19" s="676"/>
      <c r="CY19" s="676"/>
      <c r="CZ19" s="676"/>
      <c r="DA19" s="676"/>
      <c r="DB19" s="676"/>
      <c r="DC19" s="676"/>
      <c r="DD19" s="676"/>
      <c r="DE19" s="676"/>
      <c r="DF19" s="676"/>
      <c r="DG19" s="676"/>
      <c r="DH19" s="676"/>
      <c r="DI19" s="676"/>
      <c r="DJ19" s="676"/>
      <c r="DK19" s="676"/>
      <c r="DL19" s="676"/>
      <c r="DM19" s="676"/>
      <c r="DN19" s="676"/>
      <c r="DO19" s="676"/>
      <c r="DP19" s="676"/>
      <c r="DQ19" s="676"/>
      <c r="DR19" s="676"/>
      <c r="DS19" s="676"/>
      <c r="DT19" s="676"/>
      <c r="DU19" s="676"/>
      <c r="DV19" s="676"/>
      <c r="DW19" s="676"/>
      <c r="DX19" s="676"/>
      <c r="DY19" s="676"/>
      <c r="DZ19" s="676"/>
      <c r="EA19" s="676"/>
      <c r="EB19" s="676"/>
      <c r="EC19" s="676"/>
      <c r="ED19" s="676"/>
      <c r="EE19" s="676"/>
      <c r="EF19" s="676"/>
      <c r="EG19" s="676"/>
      <c r="EH19" s="676"/>
      <c r="EI19" s="676"/>
      <c r="EJ19" s="676"/>
      <c r="EK19" s="676"/>
      <c r="EL19" s="676"/>
      <c r="EM19" s="676"/>
      <c r="EN19" s="676"/>
      <c r="EO19" s="676"/>
      <c r="EP19" s="676"/>
      <c r="EQ19" s="676"/>
      <c r="ER19" s="676"/>
      <c r="ES19" s="676"/>
      <c r="ET19" s="676"/>
      <c r="EU19" s="676"/>
      <c r="EV19" s="676"/>
      <c r="EW19" s="676"/>
      <c r="EX19" s="676"/>
      <c r="EY19" s="676"/>
      <c r="EZ19" s="676"/>
      <c r="FA19" s="676"/>
      <c r="FB19" s="676"/>
      <c r="FC19" s="676"/>
      <c r="FD19" s="676"/>
      <c r="FE19" s="676"/>
      <c r="FF19" s="676"/>
      <c r="FG19" s="676"/>
      <c r="FH19" s="676"/>
      <c r="FI19" s="676"/>
      <c r="FJ19" s="676"/>
      <c r="FK19" s="676"/>
      <c r="FL19" s="676"/>
      <c r="FM19" s="676"/>
      <c r="FN19" s="676"/>
      <c r="FO19" s="676"/>
      <c r="FP19" s="676"/>
      <c r="FQ19" s="676"/>
      <c r="FR19" s="676"/>
      <c r="FS19" s="676"/>
      <c r="FT19" s="676"/>
      <c r="FU19" s="676"/>
      <c r="FV19" s="676"/>
      <c r="FW19" s="676"/>
    </row>
    <row customHeight="1" ht="11.25" hidden="1">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676"/>
      <c r="BD20" s="676"/>
      <c r="BE20" s="676"/>
      <c r="BF20" s="676"/>
      <c r="BG20" s="676"/>
      <c r="BH20" s="676"/>
      <c r="BI20" s="676"/>
      <c r="BJ20" s="676"/>
      <c r="BK20" s="676"/>
      <c r="BL20" s="676"/>
      <c r="BM20" s="676"/>
      <c r="BN20" s="676"/>
      <c r="BO20" s="676"/>
      <c r="BP20" s="676"/>
      <c r="BQ20" s="676"/>
      <c r="BR20" s="676"/>
      <c r="BS20" s="676"/>
      <c r="BT20" s="676"/>
      <c r="BU20" s="676"/>
      <c r="BV20" s="676"/>
      <c r="BW20" s="676"/>
      <c r="BX20" s="676"/>
      <c r="BY20" s="676"/>
      <c r="BZ20" s="676"/>
      <c r="CA20" s="676"/>
      <c r="CB20" s="676"/>
      <c r="CC20" s="676"/>
      <c r="CD20" s="676"/>
      <c r="CE20" s="676"/>
      <c r="CF20" s="676"/>
      <c r="CG20" s="676"/>
      <c r="CH20" s="676"/>
      <c r="CI20" s="676"/>
      <c r="CJ20" s="676"/>
      <c r="CK20" s="676"/>
      <c r="CL20" s="676"/>
      <c r="CM20" s="676"/>
      <c r="CN20" s="676"/>
      <c r="CO20" s="676"/>
      <c r="CP20" s="676"/>
      <c r="CQ20" s="676"/>
      <c r="CR20" s="676"/>
      <c r="CS20" s="676"/>
      <c r="CT20" s="676"/>
      <c r="CU20" s="676"/>
      <c r="CV20" s="676"/>
      <c r="CW20" s="676"/>
      <c r="CX20" s="676"/>
      <c r="CY20" s="676"/>
      <c r="CZ20" s="676"/>
      <c r="DA20" s="676"/>
      <c r="DB20" s="676"/>
      <c r="DC20" s="676"/>
      <c r="DD20" s="676"/>
      <c r="DE20" s="676"/>
      <c r="DF20" s="676"/>
      <c r="DG20" s="676"/>
      <c r="DH20" s="676"/>
      <c r="DI20" s="676"/>
      <c r="DJ20" s="676"/>
      <c r="DK20" s="676"/>
      <c r="DL20" s="676"/>
      <c r="DM20" s="676"/>
      <c r="DN20" s="676"/>
      <c r="DO20" s="676"/>
      <c r="DP20" s="676"/>
      <c r="DQ20" s="676"/>
      <c r="DR20" s="676"/>
      <c r="DS20" s="676"/>
      <c r="DT20" s="676"/>
      <c r="DU20" s="676"/>
      <c r="DV20" s="676"/>
      <c r="DW20" s="676"/>
      <c r="DX20" s="676"/>
      <c r="DY20" s="676"/>
      <c r="DZ20" s="676"/>
      <c r="EA20" s="676"/>
      <c r="EB20" s="676"/>
      <c r="EC20" s="676"/>
      <c r="ED20" s="676"/>
      <c r="EE20" s="676"/>
      <c r="EF20" s="676"/>
      <c r="EG20" s="676"/>
      <c r="EH20" s="676"/>
      <c r="EI20" s="676"/>
      <c r="EJ20" s="676"/>
      <c r="EK20" s="676"/>
      <c r="EL20" s="676"/>
      <c r="EM20" s="676"/>
      <c r="EN20" s="676"/>
      <c r="EO20" s="676"/>
      <c r="EP20" s="676"/>
      <c r="EQ20" s="676"/>
      <c r="ER20" s="676"/>
      <c r="ES20" s="676"/>
      <c r="ET20" s="676"/>
      <c r="EU20" s="676"/>
      <c r="EV20" s="676"/>
      <c r="EW20" s="676"/>
      <c r="EX20" s="676"/>
      <c r="EY20" s="676"/>
      <c r="EZ20" s="676"/>
      <c r="FA20" s="676"/>
      <c r="FB20" s="676"/>
      <c r="FC20" s="676"/>
      <c r="FD20" s="676"/>
      <c r="FE20" s="676"/>
      <c r="FF20" s="676"/>
      <c r="FG20" s="676"/>
      <c r="FH20" s="676"/>
      <c r="FI20" s="676"/>
      <c r="FJ20" s="676"/>
      <c r="FK20" s="676"/>
      <c r="FL20" s="676"/>
      <c r="FM20" s="676"/>
      <c r="FN20" s="676"/>
      <c r="FO20" s="676"/>
      <c r="FP20" s="676"/>
      <c r="FQ20" s="676"/>
      <c r="FR20" s="676"/>
      <c r="FS20" s="676"/>
      <c r="FT20" s="676"/>
      <c r="FU20" s="676"/>
      <c r="FV20" s="676"/>
      <c r="FW20" s="676"/>
    </row>
    <row customHeight="1" ht="14.625">
      <c r="E21" s="611">
        <v>15</v>
      </c>
      <c r="AA21" s="637"/>
      <c r="AB21" s="334" cm="1" t="str">
        <f t="array" ref="AB21:AB21">tpl_title</f>
        <v>Кемеровская область / 2026 / Филиал АО "УК "Кузбассразрезуголь" "Талдинский угольный разрез" (ИНН:4205049090, КПП:423802002) / ДПР: 2024-2028</v>
      </c>
      <c r="AG21" s="676"/>
      <c r="AH21" s="676"/>
      <c r="AI21" s="676"/>
      <c r="AJ21" s="676"/>
      <c r="AK21" s="676"/>
      <c r="AL21" s="676"/>
      <c r="AM21" s="676"/>
      <c r="AN21" s="676"/>
      <c r="AO21" s="676"/>
      <c r="AP21" s="676"/>
      <c r="AQ21" s="676"/>
      <c r="AR21" s="676"/>
      <c r="AS21" s="676"/>
      <c r="AT21" s="676"/>
      <c r="AU21" s="676"/>
      <c r="AV21" s="676"/>
      <c r="AW21" s="676"/>
      <c r="AX21" s="676"/>
      <c r="AY21" s="676"/>
      <c r="AZ21" s="676"/>
      <c r="BA21" s="676"/>
      <c r="BB21" s="676"/>
      <c r="BC21" s="676"/>
      <c r="BD21" s="676"/>
      <c r="BE21" s="676"/>
      <c r="BF21" s="676"/>
      <c r="BG21" s="676"/>
      <c r="BH21" s="676"/>
      <c r="BI21" s="676"/>
      <c r="BJ21" s="676"/>
      <c r="BK21" s="676"/>
      <c r="BL21" s="676"/>
      <c r="BM21" s="676"/>
      <c r="BN21" s="676"/>
      <c r="BO21" s="676"/>
      <c r="BP21" s="676"/>
      <c r="BQ21" s="676"/>
      <c r="BR21" s="676"/>
      <c r="BS21" s="676"/>
      <c r="BT21" s="676"/>
      <c r="BU21" s="676"/>
      <c r="BV21" s="676"/>
      <c r="BW21" s="676"/>
      <c r="BX21" s="676"/>
      <c r="BY21" s="676"/>
      <c r="BZ21" s="676"/>
      <c r="CA21" s="676"/>
      <c r="CB21" s="676"/>
      <c r="CC21" s="676"/>
      <c r="CD21" s="676"/>
      <c r="CE21" s="676"/>
      <c r="CF21" s="676"/>
      <c r="CG21" s="676"/>
      <c r="CH21" s="676"/>
      <c r="CI21" s="676"/>
      <c r="CJ21" s="676"/>
      <c r="CK21" s="676"/>
      <c r="CL21" s="676"/>
      <c r="CM21" s="676"/>
      <c r="CN21" s="676"/>
      <c r="CO21" s="676"/>
      <c r="CP21" s="676"/>
      <c r="CQ21" s="676"/>
      <c r="CR21" s="676"/>
      <c r="CS21" s="676"/>
      <c r="CT21" s="676"/>
      <c r="CU21" s="676"/>
      <c r="CV21" s="676"/>
      <c r="CW21" s="676"/>
      <c r="CX21" s="676"/>
      <c r="CY21" s="676"/>
      <c r="CZ21" s="676"/>
      <c r="DA21" s="676"/>
      <c r="DB21" s="676"/>
      <c r="DC21" s="676"/>
      <c r="DD21" s="676"/>
      <c r="DE21" s="676"/>
      <c r="DF21" s="676"/>
      <c r="DG21" s="676"/>
      <c r="DH21" s="676"/>
      <c r="DI21" s="676"/>
      <c r="DJ21" s="676"/>
      <c r="DK21" s="676"/>
      <c r="DL21" s="676"/>
      <c r="DM21" s="676"/>
      <c r="DN21" s="676"/>
      <c r="DO21" s="676"/>
      <c r="DP21" s="676"/>
      <c r="DQ21" s="676"/>
      <c r="DR21" s="676"/>
      <c r="DS21" s="676"/>
      <c r="DT21" s="676"/>
      <c r="DU21" s="676"/>
      <c r="DV21" s="676"/>
      <c r="DW21" s="676"/>
      <c r="DX21" s="676"/>
      <c r="DY21" s="676"/>
      <c r="DZ21" s="676"/>
      <c r="EA21" s="676"/>
      <c r="EB21" s="676"/>
      <c r="EC21" s="676"/>
      <c r="ED21" s="676"/>
      <c r="EE21" s="676"/>
      <c r="EF21" s="676"/>
      <c r="EG21" s="676"/>
      <c r="EH21" s="676"/>
      <c r="EI21" s="676"/>
      <c r="EJ21" s="676"/>
      <c r="EK21" s="676"/>
      <c r="EL21" s="676"/>
      <c r="EM21" s="676"/>
      <c r="EN21" s="676"/>
      <c r="EO21" s="676"/>
      <c r="EP21" s="676"/>
      <c r="EQ21" s="676"/>
      <c r="ER21" s="676"/>
      <c r="ES21" s="676"/>
      <c r="ET21" s="676"/>
      <c r="EU21" s="676"/>
      <c r="EV21" s="676"/>
      <c r="EW21" s="676"/>
      <c r="EX21" s="676"/>
      <c r="EY21" s="676"/>
      <c r="EZ21" s="676"/>
      <c r="FA21" s="676"/>
      <c r="FB21" s="676"/>
      <c r="FC21" s="676"/>
      <c r="FD21" s="676"/>
      <c r="FE21" s="676"/>
      <c r="FF21" s="676"/>
      <c r="FG21" s="676"/>
      <c r="FH21" s="676"/>
      <c r="FI21" s="676"/>
      <c r="FJ21" s="676"/>
      <c r="FK21" s="676"/>
      <c r="FL21" s="676"/>
      <c r="FM21" s="676"/>
      <c r="FN21" s="676"/>
      <c r="FO21" s="676"/>
      <c r="FP21" s="676"/>
      <c r="FQ21" s="676"/>
      <c r="FR21" s="676"/>
      <c r="FS21" s="676"/>
      <c r="FT21" s="676"/>
      <c r="FU21" s="676"/>
      <c r="FV21" s="676"/>
      <c r="FW21" s="676"/>
    </row>
    <row s="1168" customFormat="1" customHeight="1" ht="23.400000000000002">
      <c r="B22" s="821"/>
      <c r="E22" s="612">
        <v>24</v>
      </c>
      <c r="F22" s="468"/>
      <c r="S22" s="467"/>
      <c r="AB22" s="287" t="s">
        <v>82</v>
      </c>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52"/>
      <c r="EM22" s="252"/>
      <c r="EN22" s="252"/>
      <c r="EO22" s="252"/>
      <c r="EP22" s="252"/>
      <c r="EQ22" s="252"/>
      <c r="ER22" s="252"/>
      <c r="ES22" s="252"/>
      <c r="ET22" s="252"/>
      <c r="EU22" s="252"/>
      <c r="EV22" s="252"/>
      <c r="EW22" s="252"/>
      <c r="EX22" s="252"/>
      <c r="EY22" s="252"/>
      <c r="EZ22" s="252"/>
      <c r="FA22" s="252"/>
      <c r="FB22" s="252"/>
      <c r="FC22" s="252"/>
      <c r="FD22" s="252"/>
      <c r="FE22" s="252"/>
      <c r="FF22" s="252"/>
      <c r="FG22" s="252"/>
      <c r="FH22" s="252"/>
      <c r="FI22" s="252"/>
      <c r="FJ22" s="252"/>
      <c r="FK22" s="252"/>
      <c r="FL22" s="252"/>
      <c r="FM22" s="252"/>
      <c r="FN22" s="252"/>
      <c r="FO22" s="252"/>
      <c r="FP22" s="252"/>
      <c r="FQ22" s="252"/>
      <c r="FR22" s="252"/>
      <c r="FS22" s="252"/>
      <c r="FT22" s="252"/>
      <c r="FU22" s="252"/>
      <c r="FV22" s="252"/>
      <c r="FW22" s="252"/>
      <c r="FZ22" s="1001"/>
      <c r="GA22" s="1001"/>
      <c r="GB22" s="1001"/>
      <c r="GC22" s="612"/>
      <c r="GD22" s="612"/>
    </row>
    <row customHeight="1" ht="10.96875">
      <c r="E23" s="611">
        <v>11.25</v>
      </c>
      <c r="AB23" s="110"/>
      <c r="AD23" s="110"/>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6"/>
      <c r="BQ23" s="676"/>
      <c r="BR23" s="676"/>
      <c r="BS23" s="676"/>
      <c r="BT23" s="676"/>
      <c r="BU23" s="676"/>
      <c r="BV23" s="676"/>
      <c r="BW23" s="676"/>
      <c r="BX23" s="676"/>
      <c r="BY23" s="676"/>
      <c r="BZ23" s="676"/>
      <c r="CA23" s="676"/>
      <c r="CB23" s="676"/>
      <c r="CC23" s="676"/>
      <c r="CD23" s="676"/>
      <c r="CE23" s="676"/>
      <c r="CF23" s="676"/>
      <c r="CG23" s="676"/>
      <c r="CH23" s="676"/>
      <c r="CI23" s="676"/>
      <c r="CJ23" s="676"/>
      <c r="CK23" s="676"/>
      <c r="CL23" s="676"/>
      <c r="CM23" s="676"/>
      <c r="CN23" s="676"/>
      <c r="CO23" s="676"/>
      <c r="CP23" s="676"/>
      <c r="CQ23" s="676"/>
      <c r="CR23" s="676"/>
      <c r="CS23" s="676"/>
      <c r="CT23" s="676"/>
      <c r="CU23" s="676"/>
      <c r="CV23" s="676"/>
      <c r="CW23" s="676"/>
      <c r="CX23" s="676"/>
      <c r="CY23" s="676"/>
      <c r="CZ23" s="676"/>
      <c r="DA23" s="676"/>
      <c r="DB23" s="676"/>
      <c r="DC23" s="676"/>
      <c r="DD23" s="676"/>
      <c r="DE23" s="676"/>
      <c r="DF23" s="676"/>
      <c r="DG23" s="676"/>
      <c r="DH23" s="676"/>
      <c r="DI23" s="676"/>
      <c r="DJ23" s="676"/>
      <c r="DK23" s="676"/>
      <c r="DL23" s="676"/>
      <c r="DM23" s="676"/>
      <c r="DN23" s="676"/>
      <c r="DO23" s="676"/>
      <c r="DP23" s="676"/>
      <c r="DQ23" s="676"/>
      <c r="DR23" s="676"/>
      <c r="DS23" s="676"/>
      <c r="DT23" s="676"/>
      <c r="DU23" s="676"/>
      <c r="DV23" s="676"/>
      <c r="DW23" s="676"/>
      <c r="DX23" s="676"/>
      <c r="DY23" s="676"/>
      <c r="DZ23" s="676"/>
      <c r="EA23" s="676"/>
      <c r="EB23" s="676"/>
      <c r="EC23" s="676"/>
      <c r="ED23" s="676"/>
      <c r="EE23" s="676"/>
      <c r="EF23" s="676"/>
      <c r="EG23" s="676"/>
      <c r="EH23" s="676"/>
      <c r="EI23" s="676"/>
      <c r="EJ23" s="676"/>
      <c r="EK23" s="676"/>
      <c r="EL23" s="676"/>
      <c r="EM23" s="676"/>
      <c r="EN23" s="676"/>
      <c r="EO23" s="676"/>
      <c r="EP23" s="676"/>
      <c r="EQ23" s="676"/>
      <c r="ER23" s="676"/>
      <c r="ES23" s="676"/>
      <c r="ET23" s="676"/>
      <c r="EU23" s="676"/>
      <c r="EV23" s="676"/>
      <c r="EW23" s="676"/>
      <c r="EX23" s="676"/>
      <c r="EY23" s="676"/>
      <c r="EZ23" s="676"/>
      <c r="FA23" s="676"/>
      <c r="FB23" s="676"/>
      <c r="FC23" s="676"/>
      <c r="FD23" s="676"/>
      <c r="FE23" s="676"/>
      <c r="FF23" s="676"/>
      <c r="FG23" s="676"/>
      <c r="FH23" s="676"/>
      <c r="FI23" s="676"/>
      <c r="FJ23" s="676"/>
      <c r="FK23" s="676"/>
      <c r="FL23" s="676"/>
      <c r="FM23" s="676"/>
      <c r="FN23" s="676"/>
      <c r="FO23" s="676"/>
      <c r="FP23" s="676"/>
      <c r="FQ23" s="676"/>
      <c r="FR23" s="676"/>
      <c r="FS23" s="676"/>
      <c r="FT23" s="676"/>
      <c r="FU23" s="676"/>
      <c r="FV23" s="676"/>
      <c r="FW23" s="676"/>
    </row>
    <row s="1168" customFormat="1" customHeight="1" ht="19.0125">
      <c r="A24" s="1168"/>
      <c r="B24" s="467"/>
      <c r="C24" s="1168"/>
      <c r="D24" s="1168"/>
      <c r="E24" s="612">
        <v>19.5</v>
      </c>
      <c r="F24" s="468"/>
      <c r="G24" s="1168"/>
      <c r="H24" s="1168"/>
      <c r="I24" s="1168"/>
      <c r="J24" s="1168"/>
      <c r="K24" s="1168"/>
      <c r="L24" s="1168"/>
      <c r="M24" s="1168"/>
      <c r="N24" s="1168"/>
      <c r="O24" s="1168"/>
      <c r="P24" s="1168"/>
      <c r="Q24" s="1168"/>
      <c r="R24" s="1168"/>
      <c r="S24" s="1168"/>
      <c r="T24" s="439">
        <f>OR(hasVS,hasVO)</f>
        <v>1</v>
      </c>
      <c r="U24" s="1168"/>
      <c r="V24" s="1168"/>
      <c r="W24" s="1168"/>
      <c r="X24" s="1168"/>
      <c r="Y24" s="1168"/>
      <c r="Z24" s="1168"/>
      <c r="AA24" s="354"/>
      <c r="AB24" s="379" t="s">
        <v>82</v>
      </c>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c r="EP24" s="338"/>
      <c r="EQ24" s="338"/>
      <c r="ER24" s="338"/>
      <c r="ES24" s="338"/>
      <c r="ET24" s="338"/>
      <c r="EU24" s="338"/>
      <c r="EV24" s="338"/>
      <c r="EW24" s="338"/>
      <c r="EX24" s="338"/>
      <c r="EY24" s="338"/>
      <c r="EZ24" s="338"/>
      <c r="FA24" s="338"/>
      <c r="FB24" s="338"/>
      <c r="FC24" s="338"/>
      <c r="FD24" s="338"/>
      <c r="FE24" s="338"/>
      <c r="FF24" s="338"/>
      <c r="FG24" s="338"/>
      <c r="FH24" s="338"/>
      <c r="FI24" s="338"/>
      <c r="FJ24" s="338"/>
      <c r="FK24" s="338"/>
      <c r="FL24" s="338"/>
      <c r="FM24" s="338"/>
      <c r="FN24" s="338"/>
      <c r="FO24" s="338"/>
      <c r="FP24" s="338"/>
      <c r="FQ24" s="338"/>
      <c r="FR24" s="338"/>
      <c r="FS24" s="338"/>
      <c r="FT24" s="338"/>
      <c r="FU24" s="338"/>
      <c r="FV24" s="338"/>
      <c r="FW24" s="338"/>
      <c r="FX24" s="1168"/>
      <c r="FY24" s="1168"/>
      <c r="FZ24" s="1001"/>
      <c r="GA24" s="1001"/>
      <c r="GB24" s="1001"/>
      <c r="GC24" s="612"/>
      <c r="GD24" s="612"/>
    </row>
    <row customHeight="1" ht="10.96875">
      <c r="A25" s="676"/>
      <c r="B25" s="854"/>
      <c r="C25" s="676"/>
      <c r="D25" s="676"/>
      <c r="E25" s="611">
        <v>11.25</v>
      </c>
      <c r="F25" s="691"/>
      <c r="G25" s="676"/>
      <c r="H25" s="676"/>
      <c r="I25" s="676"/>
      <c r="J25" s="676"/>
      <c r="K25" s="676"/>
      <c r="L25" s="676"/>
      <c r="M25" s="676"/>
      <c r="N25" s="676"/>
      <c r="O25" s="676"/>
      <c r="P25" s="676"/>
      <c r="Q25" s="676"/>
      <c r="R25" s="676"/>
      <c r="S25" s="676"/>
      <c r="T25" s="439">
        <f>OR(hasVS,hasVO)</f>
        <v>1</v>
      </c>
      <c r="U25" s="676"/>
      <c r="V25" s="676"/>
      <c r="W25" s="676"/>
      <c r="X25" s="676"/>
      <c r="Y25" s="676"/>
      <c r="Z25" s="676"/>
      <c r="AA25" s="676"/>
      <c r="AB25" s="1483" t="s">
        <v>362</v>
      </c>
      <c r="AC25" s="1483" t="s">
        <v>363</v>
      </c>
      <c r="AD25" s="1567" t="str">
        <f>AD6&amp;" год"</f>
        <v>2026 год</v>
      </c>
      <c r="AE25" s="1568"/>
      <c r="AF25" s="1569"/>
      <c r="AG25" s="1567" t="str">
        <f>AG6&amp;" год"</f>
        <v>2027 год</v>
      </c>
      <c r="AH25" s="1568"/>
      <c r="AI25" s="1569"/>
      <c r="AJ25" s="1567" t="str">
        <f>AJ6&amp;" год"</f>
        <v>2028 год</v>
      </c>
      <c r="AK25" s="1568"/>
      <c r="AL25" s="1569"/>
      <c r="AM25" s="1567" t="str">
        <f>AM6&amp;" год"</f>
        <v>2029 год</v>
      </c>
      <c r="AN25" s="1568"/>
      <c r="AO25" s="1569"/>
      <c r="AP25" s="1567" t="str">
        <f>AP6&amp;" год"</f>
        <v>2030 год</v>
      </c>
      <c r="AQ25" s="1568"/>
      <c r="AR25" s="1569"/>
      <c r="AS25" s="1567" t="str">
        <f>AS6&amp;" год"</f>
        <v>2031 год</v>
      </c>
      <c r="AT25" s="1568"/>
      <c r="AU25" s="1569"/>
      <c r="AV25" s="1567" t="str">
        <f>AV6&amp;" год"</f>
        <v>2032 год</v>
      </c>
      <c r="AW25" s="1568"/>
      <c r="AX25" s="1569"/>
      <c r="AY25" s="1567" t="str">
        <f>AY6&amp;" год"</f>
        <v>2033 год</v>
      </c>
      <c r="AZ25" s="1568"/>
      <c r="BA25" s="1569"/>
      <c r="BB25" s="1567" t="str">
        <f>BB6&amp;" год"</f>
        <v>2034 год</v>
      </c>
      <c r="BC25" s="1568"/>
      <c r="BD25" s="1569"/>
      <c r="BE25" s="1567" t="str">
        <f>BE6&amp;" год"</f>
        <v>2035 год</v>
      </c>
      <c r="BF25" s="1568"/>
      <c r="BG25" s="1569"/>
      <c r="BH25" s="1567" t="str">
        <f>BH6&amp;" год"</f>
        <v>2036 год</v>
      </c>
      <c r="BI25" s="1568"/>
      <c r="BJ25" s="1569"/>
      <c r="BK25" s="1567" t="str">
        <f>BK6&amp;" год"</f>
        <v>2037 год</v>
      </c>
      <c r="BL25" s="1568"/>
      <c r="BM25" s="1569"/>
      <c r="BN25" s="1567" t="str">
        <f>BN6&amp;" год"</f>
        <v>2038 год</v>
      </c>
      <c r="BO25" s="1568"/>
      <c r="BP25" s="1569"/>
      <c r="BQ25" s="1567" t="str">
        <f>BQ6&amp;" год"</f>
        <v>2039 год</v>
      </c>
      <c r="BR25" s="1568"/>
      <c r="BS25" s="1569"/>
      <c r="BT25" s="1567" t="str">
        <f>BT6&amp;" год"</f>
        <v>2040 год</v>
      </c>
      <c r="BU25" s="1568"/>
      <c r="BV25" s="1569"/>
      <c r="BW25" s="1567" t="str">
        <f>BW6&amp;" год"</f>
        <v>2041 год</v>
      </c>
      <c r="BX25" s="1568"/>
      <c r="BY25" s="1569"/>
      <c r="BZ25" s="1567" t="str">
        <f>BZ6&amp;" год"</f>
        <v>2042 год</v>
      </c>
      <c r="CA25" s="1568"/>
      <c r="CB25" s="1569"/>
      <c r="CC25" s="1567" t="str">
        <f>CC6&amp;" год"</f>
        <v>2043 год</v>
      </c>
      <c r="CD25" s="1568"/>
      <c r="CE25" s="1569"/>
      <c r="CF25" s="1567" t="str">
        <f>CF6&amp;" год"</f>
        <v>2044 год</v>
      </c>
      <c r="CG25" s="1568"/>
      <c r="CH25" s="1569"/>
      <c r="CI25" s="1567" t="str">
        <f>CI6&amp;" год"</f>
        <v>2045 год</v>
      </c>
      <c r="CJ25" s="1568"/>
      <c r="CK25" s="1569"/>
      <c r="CL25" s="1567" t="str">
        <f>CL6&amp;" год"</f>
        <v>2046 год</v>
      </c>
      <c r="CM25" s="1568"/>
      <c r="CN25" s="1569"/>
      <c r="CO25" s="1567" t="str">
        <f>CO6&amp;" год"</f>
        <v>2047 год</v>
      </c>
      <c r="CP25" s="1568"/>
      <c r="CQ25" s="1569"/>
      <c r="CR25" s="1567" t="str">
        <f>CR6&amp;" год"</f>
        <v>2048 год</v>
      </c>
      <c r="CS25" s="1568"/>
      <c r="CT25" s="1569"/>
      <c r="CU25" s="1567" t="str">
        <f>CU6&amp;" год"</f>
        <v>2049 год</v>
      </c>
      <c r="CV25" s="1568"/>
      <c r="CW25" s="1569"/>
      <c r="CX25" s="1567" t="str">
        <f>CX6&amp;" год"</f>
        <v>2050 год</v>
      </c>
      <c r="CY25" s="1568"/>
      <c r="CZ25" s="1569"/>
      <c r="DA25" s="1567" t="str">
        <f>DA6&amp;" год"</f>
        <v>2051 год</v>
      </c>
      <c r="DB25" s="1568"/>
      <c r="DC25" s="1569"/>
      <c r="DD25" s="1567" t="str">
        <f>DD6&amp;" год"</f>
        <v>2052 год</v>
      </c>
      <c r="DE25" s="1568"/>
      <c r="DF25" s="1569"/>
      <c r="DG25" s="1567" t="str">
        <f>DG6&amp;" год"</f>
        <v>2053 год</v>
      </c>
      <c r="DH25" s="1568"/>
      <c r="DI25" s="1569"/>
      <c r="DJ25" s="1567" t="str">
        <f>DJ6&amp;" год"</f>
        <v>2054 год</v>
      </c>
      <c r="DK25" s="1568"/>
      <c r="DL25" s="1569"/>
      <c r="DM25" s="1567" t="str">
        <f>DM6&amp;" год"</f>
        <v>2055 год</v>
      </c>
      <c r="DN25" s="1568"/>
      <c r="DO25" s="1569"/>
      <c r="DP25" s="1567" t="str">
        <f>DP6&amp;" год"</f>
        <v>2056 год</v>
      </c>
      <c r="DQ25" s="1568"/>
      <c r="DR25" s="1569"/>
      <c r="DS25" s="1567" t="str">
        <f>DS6&amp;" год"</f>
        <v>2057 год</v>
      </c>
      <c r="DT25" s="1568"/>
      <c r="DU25" s="1569"/>
      <c r="DV25" s="1567" t="str">
        <f>DV6&amp;" год"</f>
        <v>2058 год</v>
      </c>
      <c r="DW25" s="1568"/>
      <c r="DX25" s="1569"/>
      <c r="DY25" s="1567" t="str">
        <f>DY6&amp;" год"</f>
        <v>2059 год</v>
      </c>
      <c r="DZ25" s="1568"/>
      <c r="EA25" s="1569"/>
      <c r="EB25" s="1567" t="str">
        <f>EB6&amp;" год"</f>
        <v>2060 год</v>
      </c>
      <c r="EC25" s="1568"/>
      <c r="ED25" s="1569"/>
      <c r="EE25" s="1567" t="str">
        <f>EE6&amp;" год"</f>
        <v>2061 год</v>
      </c>
      <c r="EF25" s="1568"/>
      <c r="EG25" s="1569"/>
      <c r="EH25" s="1567" t="str">
        <f>EH6&amp;" год"</f>
        <v>2062 год</v>
      </c>
      <c r="EI25" s="1568"/>
      <c r="EJ25" s="1569"/>
      <c r="EK25" s="1567" t="str">
        <f>EK6&amp;" год"</f>
        <v>2063 год</v>
      </c>
      <c r="EL25" s="1568"/>
      <c r="EM25" s="1569"/>
      <c r="EN25" s="1567" t="str">
        <f>EN6&amp;" год"</f>
        <v>2064 год</v>
      </c>
      <c r="EO25" s="1568"/>
      <c r="EP25" s="1569"/>
      <c r="EQ25" s="1567" t="str">
        <f>EQ6&amp;" год"</f>
        <v>2065 год</v>
      </c>
      <c r="ER25" s="1568"/>
      <c r="ES25" s="1569"/>
      <c r="ET25" s="1567" t="str">
        <f>ET6&amp;" год"</f>
        <v>2066 год</v>
      </c>
      <c r="EU25" s="1568"/>
      <c r="EV25" s="1569"/>
      <c r="EW25" s="1567" t="str">
        <f>EW6&amp;" год"</f>
        <v>2067 год</v>
      </c>
      <c r="EX25" s="1568"/>
      <c r="EY25" s="1569"/>
      <c r="EZ25" s="1567" t="str">
        <f>EZ6&amp;" год"</f>
        <v>2068 год</v>
      </c>
      <c r="FA25" s="1568"/>
      <c r="FB25" s="1569"/>
      <c r="FC25" s="1567" t="str">
        <f>FC6&amp;" год"</f>
        <v>2069 год</v>
      </c>
      <c r="FD25" s="1568"/>
      <c r="FE25" s="1569"/>
      <c r="FF25" s="1567" t="str">
        <f>FF6&amp;" год"</f>
        <v>2070 год</v>
      </c>
      <c r="FG25" s="1568"/>
      <c r="FH25" s="1569"/>
      <c r="FI25" s="1567" t="str">
        <f>FI6&amp;" год"</f>
        <v>2071 год</v>
      </c>
      <c r="FJ25" s="1568"/>
      <c r="FK25" s="1569"/>
      <c r="FL25" s="1567" t="str">
        <f>FL6&amp;" год"</f>
        <v>2072 год</v>
      </c>
      <c r="FM25" s="1568"/>
      <c r="FN25" s="1569"/>
      <c r="FO25" s="1567" t="str">
        <f>FO6&amp;" год"</f>
        <v>2073 год</v>
      </c>
      <c r="FP25" s="1568"/>
      <c r="FQ25" s="1569"/>
      <c r="FR25" s="1567" t="str">
        <f>FR6&amp;" год"</f>
        <v>2074 год</v>
      </c>
      <c r="FS25" s="1568"/>
      <c r="FT25" s="1569"/>
      <c r="FU25" s="1567" t="str">
        <f>FU6&amp;" год"</f>
        <v>2075 год</v>
      </c>
      <c r="FV25" s="1568"/>
      <c r="FW25" s="1569"/>
      <c r="FX25" s="676"/>
      <c r="FY25" s="676"/>
      <c r="FZ25" s="1061"/>
      <c r="GA25" s="1061"/>
      <c r="GB25" s="1061"/>
      <c r="GC25" s="697"/>
      <c r="GD25" s="697"/>
    </row>
    <row customHeight="1" ht="33.39375">
      <c r="A26" s="676"/>
      <c r="B26" s="854"/>
      <c r="C26" s="676"/>
      <c r="D26" s="676"/>
      <c r="E26" s="611">
        <v>34.25</v>
      </c>
      <c r="F26" s="691"/>
      <c r="G26" s="676"/>
      <c r="H26" s="676"/>
      <c r="I26" s="676"/>
      <c r="J26" s="676"/>
      <c r="K26" s="676"/>
      <c r="L26" s="676"/>
      <c r="M26" s="676"/>
      <c r="N26" s="676"/>
      <c r="O26" s="676"/>
      <c r="P26" s="676"/>
      <c r="Q26" s="676"/>
      <c r="R26" s="676"/>
      <c r="S26" s="676"/>
      <c r="T26" s="439">
        <f>OR(hasVS,hasVO)</f>
        <v>1</v>
      </c>
      <c r="U26" s="676"/>
      <c r="V26" s="676"/>
      <c r="W26" s="676"/>
      <c r="X26" s="676"/>
      <c r="Y26" s="676"/>
      <c r="Z26" s="676"/>
      <c r="AA26" s="676"/>
      <c r="AB26" s="1483"/>
      <c r="AC26" s="1483"/>
      <c r="AD26" s="1104" t="s">
        <v>357</v>
      </c>
      <c r="AE26" s="59" t="s">
        <v>356</v>
      </c>
      <c r="AF26" s="59" t="s">
        <v>1484</v>
      </c>
      <c r="AG26" s="1104" t="s">
        <v>357</v>
      </c>
      <c r="AH26" s="59" t="s">
        <v>356</v>
      </c>
      <c r="AI26" s="59" t="s">
        <v>1484</v>
      </c>
      <c r="AJ26" s="1104" t="s">
        <v>357</v>
      </c>
      <c r="AK26" s="59" t="s">
        <v>356</v>
      </c>
      <c r="AL26" s="59" t="s">
        <v>1484</v>
      </c>
      <c r="AM26" s="1104" t="s">
        <v>357</v>
      </c>
      <c r="AN26" s="59" t="s">
        <v>356</v>
      </c>
      <c r="AO26" s="59" t="s">
        <v>1484</v>
      </c>
      <c r="AP26" s="1104" t="s">
        <v>357</v>
      </c>
      <c r="AQ26" s="59" t="s">
        <v>356</v>
      </c>
      <c r="AR26" s="59" t="s">
        <v>1484</v>
      </c>
      <c r="AS26" s="1104" t="s">
        <v>357</v>
      </c>
      <c r="AT26" s="59" t="s">
        <v>356</v>
      </c>
      <c r="AU26" s="59" t="s">
        <v>1484</v>
      </c>
      <c r="AV26" s="1104" t="s">
        <v>357</v>
      </c>
      <c r="AW26" s="59" t="s">
        <v>356</v>
      </c>
      <c r="AX26" s="59" t="s">
        <v>1484</v>
      </c>
      <c r="AY26" s="1104" t="s">
        <v>357</v>
      </c>
      <c r="AZ26" s="59" t="s">
        <v>356</v>
      </c>
      <c r="BA26" s="59" t="s">
        <v>1484</v>
      </c>
      <c r="BB26" s="1104" t="s">
        <v>357</v>
      </c>
      <c r="BC26" s="59" t="s">
        <v>356</v>
      </c>
      <c r="BD26" s="59" t="s">
        <v>1484</v>
      </c>
      <c r="BE26" s="1104" t="s">
        <v>357</v>
      </c>
      <c r="BF26" s="59" t="s">
        <v>356</v>
      </c>
      <c r="BG26" s="59" t="s">
        <v>1484</v>
      </c>
      <c r="BH26" s="1104" t="s">
        <v>357</v>
      </c>
      <c r="BI26" s="59" t="s">
        <v>356</v>
      </c>
      <c r="BJ26" s="59" t="s">
        <v>1484</v>
      </c>
      <c r="BK26" s="1104" t="s">
        <v>357</v>
      </c>
      <c r="BL26" s="59" t="s">
        <v>356</v>
      </c>
      <c r="BM26" s="59" t="s">
        <v>1484</v>
      </c>
      <c r="BN26" s="1104" t="s">
        <v>357</v>
      </c>
      <c r="BO26" s="59" t="s">
        <v>356</v>
      </c>
      <c r="BP26" s="59" t="s">
        <v>1484</v>
      </c>
      <c r="BQ26" s="1104" t="s">
        <v>357</v>
      </c>
      <c r="BR26" s="59" t="s">
        <v>356</v>
      </c>
      <c r="BS26" s="59" t="s">
        <v>1484</v>
      </c>
      <c r="BT26" s="1104" t="s">
        <v>357</v>
      </c>
      <c r="BU26" s="59" t="s">
        <v>356</v>
      </c>
      <c r="BV26" s="59" t="s">
        <v>1484</v>
      </c>
      <c r="BW26" s="1104" t="s">
        <v>357</v>
      </c>
      <c r="BX26" s="59" t="s">
        <v>356</v>
      </c>
      <c r="BY26" s="59" t="s">
        <v>1484</v>
      </c>
      <c r="BZ26" s="1104" t="s">
        <v>357</v>
      </c>
      <c r="CA26" s="59" t="s">
        <v>356</v>
      </c>
      <c r="CB26" s="59" t="s">
        <v>1484</v>
      </c>
      <c r="CC26" s="1104" t="s">
        <v>357</v>
      </c>
      <c r="CD26" s="59" t="s">
        <v>356</v>
      </c>
      <c r="CE26" s="59" t="s">
        <v>1484</v>
      </c>
      <c r="CF26" s="1104" t="s">
        <v>357</v>
      </c>
      <c r="CG26" s="59" t="s">
        <v>356</v>
      </c>
      <c r="CH26" s="59" t="s">
        <v>1484</v>
      </c>
      <c r="CI26" s="1104" t="s">
        <v>357</v>
      </c>
      <c r="CJ26" s="59" t="s">
        <v>356</v>
      </c>
      <c r="CK26" s="59" t="s">
        <v>1484</v>
      </c>
      <c r="CL26" s="1104" t="s">
        <v>357</v>
      </c>
      <c r="CM26" s="59" t="s">
        <v>356</v>
      </c>
      <c r="CN26" s="59" t="s">
        <v>1484</v>
      </c>
      <c r="CO26" s="1104" t="s">
        <v>357</v>
      </c>
      <c r="CP26" s="59" t="s">
        <v>356</v>
      </c>
      <c r="CQ26" s="59" t="s">
        <v>1484</v>
      </c>
      <c r="CR26" s="1104" t="s">
        <v>357</v>
      </c>
      <c r="CS26" s="59" t="s">
        <v>356</v>
      </c>
      <c r="CT26" s="59" t="s">
        <v>1484</v>
      </c>
      <c r="CU26" s="1104" t="s">
        <v>357</v>
      </c>
      <c r="CV26" s="59" t="s">
        <v>356</v>
      </c>
      <c r="CW26" s="59" t="s">
        <v>1484</v>
      </c>
      <c r="CX26" s="1104" t="s">
        <v>357</v>
      </c>
      <c r="CY26" s="59" t="s">
        <v>356</v>
      </c>
      <c r="CZ26" s="59" t="s">
        <v>1484</v>
      </c>
      <c r="DA26" s="1104" t="s">
        <v>357</v>
      </c>
      <c r="DB26" s="59" t="s">
        <v>356</v>
      </c>
      <c r="DC26" s="59" t="s">
        <v>1484</v>
      </c>
      <c r="DD26" s="1104" t="s">
        <v>357</v>
      </c>
      <c r="DE26" s="59" t="s">
        <v>356</v>
      </c>
      <c r="DF26" s="59" t="s">
        <v>1484</v>
      </c>
      <c r="DG26" s="1104" t="s">
        <v>357</v>
      </c>
      <c r="DH26" s="59" t="s">
        <v>356</v>
      </c>
      <c r="DI26" s="59" t="s">
        <v>1484</v>
      </c>
      <c r="DJ26" s="1104" t="s">
        <v>357</v>
      </c>
      <c r="DK26" s="59" t="s">
        <v>356</v>
      </c>
      <c r="DL26" s="59" t="s">
        <v>1484</v>
      </c>
      <c r="DM26" s="1104" t="s">
        <v>357</v>
      </c>
      <c r="DN26" s="59" t="s">
        <v>356</v>
      </c>
      <c r="DO26" s="59" t="s">
        <v>1484</v>
      </c>
      <c r="DP26" s="1104" t="s">
        <v>357</v>
      </c>
      <c r="DQ26" s="59" t="s">
        <v>356</v>
      </c>
      <c r="DR26" s="59" t="s">
        <v>1484</v>
      </c>
      <c r="DS26" s="1104" t="s">
        <v>357</v>
      </c>
      <c r="DT26" s="59" t="s">
        <v>356</v>
      </c>
      <c r="DU26" s="59" t="s">
        <v>1484</v>
      </c>
      <c r="DV26" s="1104" t="s">
        <v>357</v>
      </c>
      <c r="DW26" s="59" t="s">
        <v>356</v>
      </c>
      <c r="DX26" s="59" t="s">
        <v>1484</v>
      </c>
      <c r="DY26" s="1104" t="s">
        <v>357</v>
      </c>
      <c r="DZ26" s="59" t="s">
        <v>356</v>
      </c>
      <c r="EA26" s="59" t="s">
        <v>1484</v>
      </c>
      <c r="EB26" s="1104" t="s">
        <v>357</v>
      </c>
      <c r="EC26" s="59" t="s">
        <v>356</v>
      </c>
      <c r="ED26" s="59" t="s">
        <v>1484</v>
      </c>
      <c r="EE26" s="1104" t="s">
        <v>357</v>
      </c>
      <c r="EF26" s="59" t="s">
        <v>356</v>
      </c>
      <c r="EG26" s="59" t="s">
        <v>1484</v>
      </c>
      <c r="EH26" s="1104" t="s">
        <v>357</v>
      </c>
      <c r="EI26" s="59" t="s">
        <v>356</v>
      </c>
      <c r="EJ26" s="59" t="s">
        <v>1484</v>
      </c>
      <c r="EK26" s="1104" t="s">
        <v>357</v>
      </c>
      <c r="EL26" s="59" t="s">
        <v>356</v>
      </c>
      <c r="EM26" s="59" t="s">
        <v>1484</v>
      </c>
      <c r="EN26" s="1104" t="s">
        <v>357</v>
      </c>
      <c r="EO26" s="59" t="s">
        <v>356</v>
      </c>
      <c r="EP26" s="59" t="s">
        <v>1484</v>
      </c>
      <c r="EQ26" s="1104" t="s">
        <v>357</v>
      </c>
      <c r="ER26" s="59" t="s">
        <v>356</v>
      </c>
      <c r="ES26" s="59" t="s">
        <v>1484</v>
      </c>
      <c r="ET26" s="1104" t="s">
        <v>357</v>
      </c>
      <c r="EU26" s="59" t="s">
        <v>356</v>
      </c>
      <c r="EV26" s="59" t="s">
        <v>1484</v>
      </c>
      <c r="EW26" s="1104" t="s">
        <v>357</v>
      </c>
      <c r="EX26" s="59" t="s">
        <v>356</v>
      </c>
      <c r="EY26" s="59" t="s">
        <v>1484</v>
      </c>
      <c r="EZ26" s="1104" t="s">
        <v>357</v>
      </c>
      <c r="FA26" s="59" t="s">
        <v>356</v>
      </c>
      <c r="FB26" s="59" t="s">
        <v>1484</v>
      </c>
      <c r="FC26" s="1104" t="s">
        <v>357</v>
      </c>
      <c r="FD26" s="59" t="s">
        <v>356</v>
      </c>
      <c r="FE26" s="59" t="s">
        <v>1484</v>
      </c>
      <c r="FF26" s="1104" t="s">
        <v>357</v>
      </c>
      <c r="FG26" s="59" t="s">
        <v>356</v>
      </c>
      <c r="FH26" s="59" t="s">
        <v>1484</v>
      </c>
      <c r="FI26" s="1104" t="s">
        <v>357</v>
      </c>
      <c r="FJ26" s="59" t="s">
        <v>356</v>
      </c>
      <c r="FK26" s="59" t="s">
        <v>1484</v>
      </c>
      <c r="FL26" s="1104" t="s">
        <v>357</v>
      </c>
      <c r="FM26" s="59" t="s">
        <v>356</v>
      </c>
      <c r="FN26" s="59" t="s">
        <v>1484</v>
      </c>
      <c r="FO26" s="1104" t="s">
        <v>357</v>
      </c>
      <c r="FP26" s="59" t="s">
        <v>356</v>
      </c>
      <c r="FQ26" s="59" t="s">
        <v>1484</v>
      </c>
      <c r="FR26" s="1104" t="s">
        <v>357</v>
      </c>
      <c r="FS26" s="59" t="s">
        <v>356</v>
      </c>
      <c r="FT26" s="59" t="s">
        <v>1484</v>
      </c>
      <c r="FU26" s="1104" t="s">
        <v>357</v>
      </c>
      <c r="FV26" s="59" t="s">
        <v>356</v>
      </c>
      <c r="FW26" s="59" t="s">
        <v>1484</v>
      </c>
      <c r="FX26" s="676"/>
      <c r="FY26" s="676"/>
      <c r="FZ26" s="1061"/>
      <c r="GA26" s="1061"/>
      <c r="GB26" s="1061"/>
      <c r="GC26" s="697"/>
      <c r="GD26" s="697"/>
    </row>
    <row customHeight="1" ht="11.25" hidden="1">
      <c r="A27" s="676"/>
      <c r="B27" s="854"/>
      <c r="C27" s="676"/>
      <c r="D27" s="676"/>
      <c r="E27" s="611">
        <v>0</v>
      </c>
      <c r="F27" s="691"/>
      <c r="G27" s="676"/>
      <c r="H27" s="676"/>
      <c r="I27" s="676"/>
      <c r="J27" s="676"/>
      <c r="K27" s="676"/>
      <c r="L27" s="676"/>
      <c r="M27" s="676"/>
      <c r="N27" s="676"/>
      <c r="O27" s="676"/>
      <c r="P27" s="676"/>
      <c r="Q27" s="676"/>
      <c r="R27" s="676"/>
      <c r="S27" s="676"/>
      <c r="T27" s="439">
        <f>OR(hasVS,hasVO)</f>
        <v>1</v>
      </c>
      <c r="U27" s="676"/>
      <c r="V27" s="676"/>
      <c r="W27" s="676"/>
      <c r="X27" s="676"/>
      <c r="Y27" s="676"/>
      <c r="Z27" s="676"/>
      <c r="AA27" s="676"/>
      <c r="AB27" s="171"/>
      <c r="AC27" s="264"/>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676"/>
      <c r="FY27" s="676"/>
      <c r="FZ27" s="1061"/>
      <c r="GA27" s="1061"/>
      <c r="GB27" s="1061"/>
      <c r="GC27" s="697"/>
      <c r="GD27" s="697"/>
    </row>
    <row s="1621" customFormat="1" customHeight="1" ht="11.25" hidden="1">
      <c r="A28" s="473"/>
      <c r="B28" s="908"/>
      <c r="C28" s="473"/>
      <c r="D28" s="473"/>
      <c r="E28" s="848">
        <v>0</v>
      </c>
      <c r="F28" s="728" t="s">
        <v>1485</v>
      </c>
      <c r="G28" s="456"/>
      <c r="H28" s="473"/>
      <c r="I28" s="473"/>
      <c r="J28" s="473"/>
      <c r="K28" s="473"/>
      <c r="L28" s="473"/>
      <c r="M28" s="473"/>
      <c r="N28" s="473"/>
      <c r="O28" s="473"/>
      <c r="P28" s="473"/>
      <c r="Q28" s="456" t="s">
        <v>1486</v>
      </c>
      <c r="R28" s="909" t="s">
        <v>1487</v>
      </c>
      <c r="S28" s="909" t="s">
        <v>260</v>
      </c>
      <c r="T28" s="439"/>
      <c r="U28" s="473"/>
      <c r="V28" s="473"/>
      <c r="W28" s="473"/>
      <c r="X28" s="473"/>
      <c r="Y28" s="473"/>
      <c r="Z28" s="473"/>
      <c r="AA28" s="473"/>
      <c r="AC28" s="66"/>
      <c r="AD28" s="66"/>
      <c r="AE28" s="66"/>
      <c r="AF28" s="66"/>
      <c r="AG28" s="1621"/>
      <c r="AH28" s="1621"/>
      <c r="AI28" s="1621"/>
      <c r="AJ28" s="1621"/>
      <c r="AK28" s="1621"/>
      <c r="AL28" s="1621"/>
      <c r="AM28" s="1621"/>
      <c r="AN28" s="1621"/>
      <c r="AO28" s="1621"/>
      <c r="AP28" s="1621"/>
      <c r="AQ28" s="67"/>
      <c r="AR28" s="1621"/>
      <c r="AS28" s="1621"/>
      <c r="AT28" s="1621"/>
      <c r="AU28" s="1621"/>
      <c r="AV28" s="1621"/>
      <c r="AW28" s="1621"/>
      <c r="AX28" s="1621"/>
      <c r="AY28" s="1621"/>
      <c r="AZ28" s="1621"/>
      <c r="BA28" s="1621"/>
      <c r="BB28" s="1621"/>
      <c r="BC28" s="1621"/>
      <c r="BD28" s="1621"/>
      <c r="BE28" s="1621"/>
      <c r="BF28" s="1621"/>
      <c r="BG28" s="1621"/>
      <c r="BH28" s="1621"/>
      <c r="BI28" s="1621"/>
      <c r="BJ28" s="1621"/>
      <c r="BK28" s="1621"/>
      <c r="BL28" s="1621"/>
      <c r="BM28" s="1621"/>
      <c r="BN28" s="1621"/>
      <c r="BO28" s="1621"/>
      <c r="BP28" s="1621"/>
      <c r="BQ28" s="1621"/>
      <c r="BR28" s="1621"/>
      <c r="BS28" s="1621"/>
      <c r="BT28" s="1621"/>
      <c r="BU28" s="1621"/>
      <c r="BV28" s="1621"/>
      <c r="BW28" s="1621"/>
      <c r="BX28" s="1621"/>
      <c r="BY28" s="1621"/>
      <c r="BZ28" s="1621"/>
      <c r="CA28" s="1621"/>
      <c r="CB28" s="1621"/>
      <c r="CC28" s="1621"/>
      <c r="CD28" s="1621"/>
      <c r="CE28" s="1621"/>
      <c r="CF28" s="1621"/>
      <c r="CG28" s="1621"/>
      <c r="CH28" s="1621"/>
      <c r="CI28" s="1621"/>
      <c r="CJ28" s="1621"/>
      <c r="CK28" s="1621"/>
      <c r="CL28" s="1621"/>
      <c r="CM28" s="1621"/>
      <c r="CN28" s="1621"/>
      <c r="CO28" s="1621"/>
      <c r="CP28" s="1621"/>
      <c r="CQ28" s="1621"/>
      <c r="CR28" s="1621"/>
      <c r="CS28" s="1621"/>
      <c r="CT28" s="1621"/>
      <c r="CU28" s="1621"/>
      <c r="CV28" s="1621"/>
      <c r="CW28" s="1621"/>
      <c r="CX28" s="1621"/>
      <c r="CY28" s="1621"/>
      <c r="CZ28" s="1621"/>
      <c r="DA28" s="1621"/>
      <c r="DB28" s="1621"/>
      <c r="DC28" s="1621"/>
      <c r="DD28" s="1621"/>
      <c r="DE28" s="1621"/>
      <c r="DF28" s="1621"/>
      <c r="DG28" s="1621"/>
      <c r="DH28" s="1621"/>
      <c r="DI28" s="1621"/>
      <c r="DJ28" s="1621"/>
      <c r="DK28" s="1621"/>
      <c r="DL28" s="1621"/>
      <c r="DM28" s="1621"/>
      <c r="DN28" s="1621"/>
      <c r="DO28" s="1621"/>
      <c r="DP28" s="1621"/>
      <c r="DQ28" s="1621"/>
      <c r="DR28" s="1621"/>
      <c r="DS28" s="1621"/>
      <c r="DT28" s="1621"/>
      <c r="DU28" s="1621"/>
      <c r="DV28" s="1621"/>
      <c r="DW28" s="1621"/>
      <c r="DX28" s="1621"/>
      <c r="DY28" s="1621"/>
      <c r="DZ28" s="1621"/>
      <c r="EA28" s="1621"/>
      <c r="EB28" s="1621"/>
      <c r="EC28" s="1621"/>
      <c r="ED28" s="1621"/>
      <c r="EE28" s="1621"/>
      <c r="EF28" s="1621"/>
      <c r="EG28" s="1621"/>
      <c r="EH28" s="1621"/>
      <c r="EI28" s="1621"/>
      <c r="EJ28" s="1621"/>
      <c r="EK28" s="1621"/>
      <c r="EL28" s="1621"/>
      <c r="EM28" s="1621"/>
      <c r="EN28" s="1621"/>
      <c r="EO28" s="1621"/>
      <c r="EP28" s="1621"/>
      <c r="EQ28" s="1621"/>
      <c r="ER28" s="1621"/>
      <c r="ES28" s="1621"/>
      <c r="ET28" s="1621"/>
      <c r="EU28" s="1621"/>
      <c r="EV28" s="1621"/>
      <c r="EW28" s="1621"/>
      <c r="EX28" s="1621"/>
      <c r="EY28" s="1621"/>
      <c r="EZ28" s="1621"/>
      <c r="FA28" s="1621"/>
      <c r="FB28" s="1621"/>
      <c r="FC28" s="1621"/>
      <c r="FD28" s="1621"/>
      <c r="FE28" s="1621"/>
      <c r="FF28" s="1621"/>
      <c r="FG28" s="1621"/>
      <c r="FH28" s="1621"/>
      <c r="FI28" s="1621"/>
      <c r="FJ28" s="1621"/>
      <c r="FK28" s="1621"/>
      <c r="FL28" s="1621"/>
      <c r="FM28" s="1621"/>
      <c r="FN28" s="1621"/>
      <c r="FO28" s="1621"/>
      <c r="FP28" s="1621"/>
      <c r="FQ28" s="1621"/>
      <c r="FR28" s="1621"/>
      <c r="FS28" s="1621"/>
      <c r="FT28" s="1621"/>
      <c r="FU28" s="1621"/>
      <c r="FV28" s="1621"/>
      <c r="FW28" s="1621"/>
      <c r="FZ28" s="987"/>
      <c r="GA28" s="987"/>
      <c r="GB28" s="981"/>
      <c r="GC28" s="603"/>
      <c r="GD28" s="603"/>
    </row>
    <row customHeight="1" ht="14.625" hidden="1">
      <c r="A29" s="467"/>
      <c r="B29" s="854"/>
      <c r="C29" s="467"/>
      <c r="D29" s="467"/>
      <c r="E29" s="822">
        <v>15</v>
      </c>
      <c r="F29" s="468" cm="1" t="str">
        <f t="array" ref="F29:F29">X29</f>
        <v>0</v>
      </c>
      <c r="G29" s="467" cm="1" t="str">
        <f t="array" ref="G29:G29">INDEX('Общие сведения'!$AK$179:$AK$222,MATCH($X29,'Общие сведения'!$Z$179:$Z$222,0))</f>
        <v>0</v>
      </c>
      <c r="H29" s="467"/>
      <c r="I29" s="467"/>
      <c r="J29" s="467"/>
      <c r="K29" s="467"/>
      <c r="L29" s="467"/>
      <c r="M29" s="467"/>
      <c r="N29" s="467"/>
      <c r="O29" s="467"/>
      <c r="P29" s="467"/>
      <c r="Q29" s="467" cm="1" t="str">
        <f t="array" ref="Q29:Q29">INDEX('Общие сведения'!$AE$179:$AE$222,MATCH($X29,'Общие сведения'!$Z$179:$Z$222,0))</f>
        <v>0</v>
      </c>
      <c r="R29" s="458" cm="1" t="str">
        <f t="array" ref="R29:R29">INDEX('Общие сведения'!$AK$179:$AK$222,MATCH($X29,'Общие сведения'!$Z$179:$Z$222,0))</f>
        <v>0</v>
      </c>
      <c r="S29" s="467" cm="1" t="str">
        <f t="array" ref="S29:S29">INDEX('Общие сведения'!$AN$179:$AN$222,MATCH($X29,'Общие сведения'!$Z$179:$Z$222,0))</f>
        <v>false</v>
      </c>
      <c r="T29" s="439">
        <f>X29&gt;0</f>
        <v>0</v>
      </c>
      <c r="U29" s="467"/>
      <c r="V29" s="467" t="s">
        <v>261</v>
      </c>
      <c r="W29" s="467"/>
      <c r="X29" s="1534">
        <v>0</v>
      </c>
      <c r="Y29" s="467"/>
      <c r="Z29" s="1464"/>
      <c r="AA29" s="467"/>
      <c r="AB29" s="1570" t="s">
        <v>21</v>
      </c>
      <c r="AC29" s="1571"/>
      <c r="AD29" s="875" cm="1" t="str">
        <f t="array" ref="AD29:AD29">INDEX('Общие сведения'!$AG$179:$AG$222,MATCH($X29,'Общие сведения'!$Z$179:$Z$222,0))</f>
        <v>Тариф 0 () - </v>
      </c>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4"/>
      <c r="FX29" s="676"/>
      <c r="FY29" s="676"/>
      <c r="FZ29" s="1061"/>
      <c r="GA29" s="1061"/>
      <c r="GB29" s="1061"/>
      <c r="GC29" s="697"/>
      <c r="GD29" s="697"/>
    </row>
    <row customHeight="1" ht="14.625" hidden="1">
      <c r="A30" s="467"/>
      <c r="B30" s="854"/>
      <c r="C30" s="467"/>
      <c r="D30" s="467"/>
      <c r="E30" s="822">
        <v>15</v>
      </c>
      <c r="F30" s="50" cm="1" t="str">
        <f t="array" ref="F30:F30">OFFSET(E30,-1,1)</f>
        <v>0</v>
      </c>
      <c r="G30" s="467"/>
      <c r="H30" s="467"/>
      <c r="I30" s="467"/>
      <c r="J30" s="467"/>
      <c r="K30" s="467"/>
      <c r="L30" s="467"/>
      <c r="M30" s="467"/>
      <c r="N30" s="467"/>
      <c r="O30" s="467"/>
      <c r="P30" s="467"/>
      <c r="Q30" s="467"/>
      <c r="R30" s="458"/>
      <c r="S30" s="458"/>
      <c r="T30" s="439" cm="1" t="str">
        <f t="array" ref="T30:T30">T29</f>
        <v>false</v>
      </c>
      <c r="U30" s="467"/>
      <c r="V30" s="467"/>
      <c r="W30" s="467"/>
      <c r="X30" s="1534"/>
      <c r="Y30" s="467"/>
      <c r="Z30" s="1464"/>
      <c r="AA30" s="467"/>
      <c r="AB30" s="1422" t="str">
        <f>"Вид "&amp;IF(ISERROR(SEARCH("Водоснабжение",AD29)),"сточных вод","воды")</f>
        <v>Вид сточных вод</v>
      </c>
      <c r="AC30" s="1424"/>
      <c r="AD30" s="875" cm="1" t="str">
        <f t="array" ref="AD30:AD30">INDEX('Общие сведения'!$AH$179:$AH$222,MATCH($X29,'Общие сведения'!$Z$179:$Z$222,0))</f>
        <v>0</v>
      </c>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6"/>
      <c r="FX30" s="676"/>
      <c r="FY30" s="676"/>
      <c r="FZ30" s="1061"/>
      <c r="GA30" s="1061"/>
      <c r="GB30" s="1061"/>
      <c r="GC30" s="697"/>
      <c r="GD30" s="697"/>
    </row>
    <row customHeight="1" ht="14.625" hidden="1">
      <c r="A31" s="467"/>
      <c r="B31" s="854"/>
      <c r="C31" s="467"/>
      <c r="D31" s="467"/>
      <c r="E31" s="822">
        <v>15</v>
      </c>
      <c r="F31" s="50" cm="1" t="str">
        <f t="array" ref="F31:F31">OFFSET(E31,-1,1)</f>
        <v>0</v>
      </c>
      <c r="G31" s="467"/>
      <c r="H31" s="467"/>
      <c r="I31" s="467"/>
      <c r="J31" s="467"/>
      <c r="K31" s="467"/>
      <c r="L31" s="467"/>
      <c r="M31" s="467"/>
      <c r="N31" s="467"/>
      <c r="O31" s="467"/>
      <c r="P31" s="467"/>
      <c r="Q31" s="467"/>
      <c r="R31" s="458"/>
      <c r="S31" s="458"/>
      <c r="T31" s="439" cm="1" t="str">
        <f t="array" ref="T31:T31">T30</f>
        <v>false</v>
      </c>
      <c r="U31" s="467"/>
      <c r="V31" s="467"/>
      <c r="W31" s="467"/>
      <c r="X31" s="1534"/>
      <c r="Y31" s="467"/>
      <c r="Z31" s="1464"/>
      <c r="AA31" s="467"/>
      <c r="AB31" s="1422" t="s">
        <v>1488</v>
      </c>
      <c r="AC31" s="1424"/>
      <c r="AD31" s="875" cm="1" t="str">
        <f t="array" ref="AD31:AD31">INDEX('Общие сведения'!$AI$179:$AI$222,MATCH($X29,'Общие сведения'!$Z$179:$Z$222,0))</f>
        <v>0</v>
      </c>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6"/>
      <c r="FX31" s="676"/>
      <c r="FY31" s="676"/>
      <c r="FZ31" s="1061"/>
      <c r="GA31" s="1061"/>
      <c r="GB31" s="1061"/>
      <c r="GC31" s="697"/>
      <c r="GD31" s="697"/>
    </row>
    <row customHeight="1" ht="14.625" hidden="1">
      <c r="A32" s="467"/>
      <c r="B32" s="854"/>
      <c r="C32" s="467"/>
      <c r="D32" s="467"/>
      <c r="E32" s="822">
        <v>15</v>
      </c>
      <c r="F32" s="50" cm="1" t="str">
        <f t="array" ref="F32:F32">OFFSET(E32,-1,1)</f>
        <v>0</v>
      </c>
      <c r="G32" s="467"/>
      <c r="H32" s="467"/>
      <c r="I32" s="467"/>
      <c r="J32" s="467"/>
      <c r="K32" s="467"/>
      <c r="L32" s="467"/>
      <c r="M32" s="467"/>
      <c r="N32" s="467"/>
      <c r="O32" s="467"/>
      <c r="P32" s="467"/>
      <c r="Q32" s="910"/>
      <c r="R32" s="467"/>
      <c r="S32" s="458"/>
      <c r="T32" s="439" cm="1" t="str">
        <f t="array" ref="T32:T32">T31</f>
        <v>false</v>
      </c>
      <c r="U32" s="467"/>
      <c r="V32" s="467"/>
      <c r="W32" s="467"/>
      <c r="X32" s="1534"/>
      <c r="Y32" s="467"/>
      <c r="Z32" s="1464"/>
      <c r="AA32" s="467"/>
      <c r="AB32" s="1422" t="s">
        <v>1489</v>
      </c>
      <c r="AC32" s="1424"/>
      <c r="AD32" s="875" cm="1" t="str">
        <f t="array" ref="AD32:AD32">INDEX('Общие сведения'!$AJ$179:$AJ$222,MATCH($X29,'Общие сведения'!$Z$179:$Z$222,0))</f>
        <v>0</v>
      </c>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6"/>
      <c r="FX32" s="676"/>
      <c r="FY32" s="676"/>
      <c r="FZ32" s="1061"/>
      <c r="GA32" s="1061"/>
      <c r="GB32" s="1061"/>
      <c r="GC32" s="697"/>
      <c r="GD32" s="697"/>
    </row>
    <row customHeight="1" ht="14.625" hidden="1">
      <c r="A33" s="467"/>
      <c r="B33" s="907">
        <f>AND(R29="одноставочный",NOT(S29))</f>
        <v>0</v>
      </c>
      <c r="C33" s="467"/>
      <c r="D33" s="467"/>
      <c r="E33" s="822">
        <v>15</v>
      </c>
      <c r="F33" s="50" cm="1" t="str">
        <f t="array" ref="F33:F33">OFFSET(E33,-1,1)</f>
        <v>0</v>
      </c>
      <c r="G33" s="467"/>
      <c r="H33" s="467"/>
      <c r="I33" s="467"/>
      <c r="J33" s="467"/>
      <c r="K33" s="467"/>
      <c r="L33" s="467"/>
      <c r="M33" s="467"/>
      <c r="N33" s="467"/>
      <c r="O33" s="467"/>
      <c r="P33" s="467"/>
      <c r="Q33" s="467"/>
      <c r="R33" s="467"/>
      <c r="S33" s="467"/>
      <c r="T33" s="439" cm="1" t="str">
        <f t="array" ref="T33:T33">T32</f>
        <v>false</v>
      </c>
      <c r="U33" s="467"/>
      <c r="V33" s="467"/>
      <c r="W33" s="467"/>
      <c r="X33" s="1534"/>
      <c r="Y33" s="467"/>
      <c r="Z33" s="1464"/>
      <c r="AA33" s="467"/>
      <c r="AB33" s="876" t="s">
        <v>1490</v>
      </c>
      <c r="AC33" s="877"/>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8"/>
      <c r="BC33" s="878"/>
      <c r="BD33" s="878"/>
      <c r="BE33" s="878"/>
      <c r="BF33" s="878"/>
      <c r="BG33" s="878"/>
      <c r="BH33" s="878"/>
      <c r="BI33" s="878"/>
      <c r="BJ33" s="889"/>
      <c r="BK33" s="878"/>
      <c r="BL33" s="878"/>
      <c r="BM33" s="889"/>
      <c r="BN33" s="878"/>
      <c r="BO33" s="878"/>
      <c r="BP33" s="889"/>
      <c r="BQ33" s="878"/>
      <c r="BR33" s="878"/>
      <c r="BS33" s="889"/>
      <c r="BT33" s="878"/>
      <c r="BU33" s="878"/>
      <c r="BV33" s="889"/>
      <c r="BW33" s="878"/>
      <c r="BX33" s="878"/>
      <c r="BY33" s="889"/>
      <c r="BZ33" s="878"/>
      <c r="CA33" s="878"/>
      <c r="CB33" s="889"/>
      <c r="CC33" s="878"/>
      <c r="CD33" s="878"/>
      <c r="CE33" s="889"/>
      <c r="CF33" s="878"/>
      <c r="CG33" s="878"/>
      <c r="CH33" s="889"/>
      <c r="CI33" s="878"/>
      <c r="CJ33" s="878"/>
      <c r="CK33" s="889"/>
      <c r="CL33" s="878"/>
      <c r="CM33" s="878"/>
      <c r="CN33" s="889"/>
      <c r="CO33" s="878"/>
      <c r="CP33" s="878"/>
      <c r="CQ33" s="889"/>
      <c r="CR33" s="878"/>
      <c r="CS33" s="878"/>
      <c r="CT33" s="889"/>
      <c r="CU33" s="878"/>
      <c r="CV33" s="878"/>
      <c r="CW33" s="889"/>
      <c r="CX33" s="878"/>
      <c r="CY33" s="878"/>
      <c r="CZ33" s="889"/>
      <c r="DA33" s="878"/>
      <c r="DB33" s="878"/>
      <c r="DC33" s="889"/>
      <c r="DD33" s="878"/>
      <c r="DE33" s="878"/>
      <c r="DF33" s="258"/>
      <c r="DG33" s="257"/>
      <c r="DH33" s="257"/>
      <c r="DI33" s="258"/>
      <c r="DJ33" s="257"/>
      <c r="DK33" s="257"/>
      <c r="DL33" s="258"/>
      <c r="DM33" s="257"/>
      <c r="DN33" s="257"/>
      <c r="DO33" s="258"/>
      <c r="DP33" s="257"/>
      <c r="DQ33" s="257"/>
      <c r="DR33" s="258"/>
      <c r="DS33" s="257"/>
      <c r="DT33" s="257"/>
      <c r="DU33" s="258"/>
      <c r="DV33" s="257"/>
      <c r="DW33" s="257"/>
      <c r="DX33" s="258"/>
      <c r="DY33" s="257"/>
      <c r="DZ33" s="257"/>
      <c r="EA33" s="258"/>
      <c r="EB33" s="257"/>
      <c r="EC33" s="257"/>
      <c r="ED33" s="258"/>
      <c r="EE33" s="257"/>
      <c r="EF33" s="257"/>
      <c r="EG33" s="258"/>
      <c r="EH33" s="257"/>
      <c r="EI33" s="257"/>
      <c r="EJ33" s="258"/>
      <c r="EK33" s="257"/>
      <c r="EL33" s="257"/>
      <c r="EM33" s="258"/>
      <c r="EN33" s="257"/>
      <c r="EO33" s="257"/>
      <c r="EP33" s="258"/>
      <c r="EQ33" s="257"/>
      <c r="ER33" s="257"/>
      <c r="ES33" s="258"/>
      <c r="ET33" s="257"/>
      <c r="EU33" s="257"/>
      <c r="EV33" s="258"/>
      <c r="EW33" s="257"/>
      <c r="EX33" s="257"/>
      <c r="EY33" s="258"/>
      <c r="EZ33" s="257"/>
      <c r="FA33" s="257"/>
      <c r="FB33" s="258"/>
      <c r="FC33" s="257"/>
      <c r="FD33" s="257"/>
      <c r="FE33" s="258"/>
      <c r="FF33" s="257"/>
      <c r="FG33" s="257"/>
      <c r="FH33" s="258"/>
      <c r="FI33" s="257"/>
      <c r="FJ33" s="257"/>
      <c r="FK33" s="258"/>
      <c r="FL33" s="257"/>
      <c r="FM33" s="257"/>
      <c r="FN33" s="258"/>
      <c r="FO33" s="257"/>
      <c r="FP33" s="257"/>
      <c r="FQ33" s="258"/>
      <c r="FR33" s="257"/>
      <c r="FS33" s="257"/>
      <c r="FT33" s="258"/>
      <c r="FU33" s="257"/>
      <c r="FV33" s="257"/>
      <c r="FW33" s="258"/>
      <c r="FX33" s="676"/>
      <c r="FY33" s="676"/>
      <c r="FZ33" s="1061"/>
      <c r="GA33" s="1061"/>
      <c r="GB33" s="1061"/>
      <c r="GC33" s="697"/>
      <c r="GD33" s="697"/>
    </row>
    <row s="259" customFormat="1" customHeight="1" ht="23.887500000000003" hidden="1">
      <c r="A34" s="879"/>
      <c r="B34" s="907" cm="1" t="str">
        <f t="array" ref="B34:B34">B33</f>
        <v>false</v>
      </c>
      <c r="C34" s="879"/>
      <c r="D34" s="879"/>
      <c r="E34" s="880">
        <v>24.5</v>
      </c>
      <c r="F34" s="50" cm="1" t="str">
        <f t="array" ref="F34:F34">OFFSET(E34,-1,1)</f>
        <v>0</v>
      </c>
      <c r="G34" s="467" t="s">
        <v>1491</v>
      </c>
      <c r="H34" s="467" t="s">
        <v>441</v>
      </c>
      <c r="I34" s="467" t="s">
        <v>1492</v>
      </c>
      <c r="J34" s="879"/>
      <c r="K34" s="879"/>
      <c r="L34" s="467"/>
      <c r="M34" s="879"/>
      <c r="N34" s="879"/>
      <c r="O34" s="879"/>
      <c r="P34" s="879"/>
      <c r="Q34" s="879"/>
      <c r="R34" s="879"/>
      <c r="S34" s="467"/>
      <c r="T34" s="439" cm="1" t="str">
        <f t="array" ref="T34:T34">T33</f>
        <v>false</v>
      </c>
      <c r="U34" s="879"/>
      <c r="V34" s="879"/>
      <c r="W34" s="879"/>
      <c r="X34" s="1534"/>
      <c r="Y34" s="879"/>
      <c r="Z34" s="1464"/>
      <c r="AA34" s="879"/>
      <c r="AB34" s="260" t="s">
        <v>1493</v>
      </c>
      <c r="AC34" s="261" t="s">
        <v>1494</v>
      </c>
      <c r="AD34" s="3395">
        <f>IF(AND(method_reg="Метод индексации",god&lt;&gt;first_year),_xlfn.SUMIFS(INDEX('Калькуляция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(МИ)'!$AJ$25:$BC$459,,MATCH(AD$8,'Калькуляция (МИ)'!$AJ$8:$BC$8,0)),'Калькуляция (МИ)'!$F$25:$F$459,$F34,'Калькуляция (МИ)'!$G$25:$G$459,$G34))))</f>
        <v>0</v>
      </c>
      <c r="AE34" s="3395">
        <f>IF(AND(method_reg="Метод индексации",god&lt;&gt;first_year),_xlfn.SUMIFS(INDEX('Калькуляция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(МИ)'!$AJ$25:$BC$459,,MATCH(AE$8,'Калькуляция (МИ)'!$AJ$8:$BC$8,0)),'Калькуляция (МИ)'!$F$25:$F$459,$F34,'Калькуляция (МИ)'!$G$25:$G$459,$G34))))</f>
        <v>0</v>
      </c>
      <c r="AF34" s="263">
        <f>IF(AD34=0,0,(AE34-AD34)/AD34*100)</f>
        <v>0</v>
      </c>
      <c r="AG34" s="3395">
        <f>IF(AND(method_reg="Метод индексации",god&lt;&gt;first_year),_xlfn.SUMIFS(INDEX('Калькуляция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(МИ)'!$AJ$25:$BC$459,,MATCH(AG$8,'Калькуляция (МИ)'!$AJ$8:$BC$8,0)),'Калькуляция (МИ)'!$F$25:$F$459,$F34,'Калькуляция (МИ)'!$G$25:$G$459,$G34))))</f>
        <v>0</v>
      </c>
      <c r="AH34" s="3395">
        <f>IF(AND(method_reg="Метод индексации",god&lt;&gt;first_year),_xlfn.SUMIFS(INDEX('Калькуляция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(МИ)'!$AJ$25:$BC$459,,MATCH(AH$8,'Калькуляция (МИ)'!$AJ$8:$BC$8,0)),'Калькуляция (МИ)'!$F$25:$F$459,$F34,'Калькуляция (МИ)'!$G$25:$G$459,$G34))))</f>
        <v>0</v>
      </c>
      <c r="AI34" s="263">
        <f>IF(AG34=0,0,(AH34-AG34)/AG34*100)</f>
        <v>0</v>
      </c>
      <c r="AJ34" s="3395">
        <f>IF(AND(method_reg="Метод индексации",god&lt;&gt;first_year),_xlfn.SUMIFS(INDEX('Калькуляция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(МИ)'!$AJ$25:$BC$459,,MATCH(AJ$8,'Калькуляция (МИ)'!$AJ$8:$BC$8,0)),'Калькуляция (МИ)'!$F$25:$F$459,$F34,'Калькуляция (МИ)'!$G$25:$G$459,$G34))))</f>
        <v>0</v>
      </c>
      <c r="AK34" s="3395">
        <f>IF(AND(method_reg="Метод индексации",god&lt;&gt;first_year),_xlfn.SUMIFS(INDEX('Калькуляция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(МИ)'!$AJ$25:$BC$459,,MATCH(AK$8,'Калькуляция (МИ)'!$AJ$8:$BC$8,0)),'Калькуляция (МИ)'!$F$25:$F$459,$F34,'Калькуляция (МИ)'!$G$25:$G$459,$G34))))</f>
        <v>0</v>
      </c>
      <c r="AL34" s="263">
        <f>IF(AJ34=0,0,(AK34-AJ34)/AJ34*100)</f>
        <v>0</v>
      </c>
      <c r="AM34" s="3395">
        <f>IF(AND(method_reg="Метод индексации",god&lt;&gt;first_year),_xlfn.SUMIFS(INDEX('Калькуляция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(МИ)'!$AJ$25:$BC$459,,MATCH(AM$8,'Калькуляция (МИ)'!$AJ$8:$BC$8,0)),'Калькуляция (МИ)'!$F$25:$F$459,$F34,'Калькуляция (МИ)'!$G$25:$G$459,$G34))))</f>
        <v>0</v>
      </c>
      <c r="AN34" s="3395">
        <f>IF(AND(method_reg="Метод индексации",god&lt;&gt;first_year),_xlfn.SUMIFS(INDEX('Калькуляция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(МИ)'!$AJ$25:$BC$459,,MATCH(AN$8,'Калькуляция (МИ)'!$AJ$8:$BC$8,0)),'Калькуляция (МИ)'!$F$25:$F$459,$F34,'Калькуляция (МИ)'!$G$25:$G$459,$G34))))</f>
        <v>0</v>
      </c>
      <c r="AO34" s="263">
        <f>IF(AM34=0,0,(AN34-AM34)/AM34*100)</f>
        <v>0</v>
      </c>
      <c r="AP34" s="3395">
        <f>IF(AND(method_reg="Метод индексации",god&lt;&gt;first_year),_xlfn.SUMIFS(INDEX('Калькуляция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(МИ)'!$AJ$25:$BC$459,,MATCH(AP$8,'Калькуляция (МИ)'!$AJ$8:$BC$8,0)),'Калькуляция (МИ)'!$F$25:$F$459,$F34,'Калькуляция (МИ)'!$G$25:$G$459,$G34))))</f>
        <v>0</v>
      </c>
      <c r="AQ34" s="3395">
        <f>IF(AND(method_reg="Метод индексации",god&lt;&gt;first_year),_xlfn.SUMIFS(INDEX('Калькуляция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(МИ)'!$AJ$25:$BC$459,,MATCH(AQ$8,'Калькуляция (МИ)'!$AJ$8:$BC$8,0)),'Калькуляция (МИ)'!$F$25:$F$459,$F34,'Калькуляция (МИ)'!$G$25:$G$459,$G34))))</f>
        <v>0</v>
      </c>
      <c r="AR34" s="263">
        <f>IF(AP34=0,0,(AQ34-AP34)/AP34*100)</f>
        <v>0</v>
      </c>
      <c r="AS34" s="3395">
        <f>IF(AND(method_reg="Метод индексации",god&lt;&gt;first_year),_xlfn.SUMIFS(INDEX('Калькуляция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(МИ)'!$AJ$25:$BC$459,,MATCH(AS$8,'Калькуляция (МИ)'!$AJ$8:$BC$8,0)),'Калькуляция (МИ)'!$F$25:$F$459,$F34,'Калькуляция (МИ)'!$G$25:$G$459,$G34))))</f>
        <v>0</v>
      </c>
      <c r="AT34" s="3395">
        <f>IF(AND(method_reg="Метод индексации",god&lt;&gt;first_year),_xlfn.SUMIFS(INDEX('Калькуляция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(МИ)'!$AJ$25:$BC$459,,MATCH(AT$8,'Калькуляция (МИ)'!$AJ$8:$BC$8,0)),'Калькуляция (МИ)'!$F$25:$F$459,$F34,'Калькуляция (МИ)'!$G$25:$G$459,$G34))))</f>
        <v>0</v>
      </c>
      <c r="AU34" s="263">
        <f>IF(AS34=0,0,(AT34-AS34)/AS34*100)</f>
        <v>0</v>
      </c>
      <c r="AV34" s="3395">
        <f>IF(AND(method_reg="Метод индексации",god&lt;&gt;first_year),_xlfn.SUMIFS(INDEX('Калькуляция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(МИ)'!$AJ$25:$BC$459,,MATCH(AV$8,'Калькуляция (МИ)'!$AJ$8:$BC$8,0)),'Калькуляция (МИ)'!$F$25:$F$459,$F34,'Калькуляция (МИ)'!$G$25:$G$459,$G34))))</f>
        <v>0</v>
      </c>
      <c r="AW34" s="3395">
        <f>IF(AND(method_reg="Метод индексации",god&lt;&gt;first_year),_xlfn.SUMIFS(INDEX('Калькуляция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(МИ)'!$AJ$25:$BC$459,,MATCH(AW$8,'Калькуляция (МИ)'!$AJ$8:$BC$8,0)),'Калькуляция (МИ)'!$F$25:$F$459,$F34,'Калькуляция (МИ)'!$G$25:$G$459,$G34))))</f>
        <v>0</v>
      </c>
      <c r="AX34" s="263">
        <f>IF(AV34=0,0,(AW34-AV34)/AV34*100)</f>
        <v>0</v>
      </c>
      <c r="AY34" s="3395">
        <f>IF(AND(method_reg="Метод индексации",god&lt;&gt;first_year),_xlfn.SUMIFS(INDEX('Калькуляция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(МИ)'!$AJ$25:$BC$459,,MATCH(AY$8,'Калькуляция (МИ)'!$AJ$8:$BC$8,0)),'Калькуляция (МИ)'!$F$25:$F$459,$F34,'Калькуляция (МИ)'!$G$25:$G$459,$G34))))</f>
        <v>0</v>
      </c>
      <c r="AZ34" s="3395">
        <f>IF(AND(method_reg="Метод индексации",god&lt;&gt;first_year),_xlfn.SUMIFS(INDEX('Калькуляция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(МИ)'!$AJ$25:$BC$459,,MATCH(AZ$8,'Калькуляция (МИ)'!$AJ$8:$BC$8,0)),'Калькуляция (МИ)'!$F$25:$F$459,$F34,'Калькуляция (МИ)'!$G$25:$G$459,$G34))))</f>
        <v>0</v>
      </c>
      <c r="BA34" s="263">
        <f>IF(AY34=0,0,(AZ34-AY34)/AY34*100)</f>
        <v>0</v>
      </c>
      <c r="BB34" s="3395">
        <f>IF(AND(method_reg="Метод индексации",god&lt;&gt;first_year),_xlfn.SUMIFS(INDEX('Калькуляция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(МИ)'!$AJ$25:$BC$459,,MATCH(BB$8,'Калькуляция (МИ)'!$AJ$8:$BC$8,0)),'Калькуляция (МИ)'!$F$25:$F$459,$F34,'Калькуляция (МИ)'!$G$25:$G$459,$G34))))</f>
        <v>0</v>
      </c>
      <c r="BC34" s="3395">
        <f>IF(AND(method_reg="Метод индексации",god&lt;&gt;first_year),_xlfn.SUMIFS(INDEX('Калькуляция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(МИ)'!$AJ$25:$BC$459,,MATCH(BC$8,'Калькуляция (МИ)'!$AJ$8:$BC$8,0)),'Калькуляция (МИ)'!$F$25:$F$459,$F34,'Калькуляция (МИ)'!$G$25:$G$459,$G34))))</f>
        <v>0</v>
      </c>
      <c r="BD34" s="263">
        <f>IF(BB34=0,0,(BC34-BB34)/BB34*100)</f>
        <v>0</v>
      </c>
      <c r="BE34" s="3395">
        <f>IF(AND(method_reg="Метод индексации",god&lt;&gt;first_year),_xlfn.SUMIFS(INDEX('Калькуляция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расходов",_xlfn.SUMIFS('Калькуляция (МЭОР)'!$AJ$25:$AJ$282,'Калькуляция (МЭОР)'!$F$25:$F$282,$F34,'Калькуляция (МЭОР)'!$G$25:$G$282,$G34),IF(method_reg="Метод сравнения аналогов",_xlfn.SUMIFS('Калькуляция (МСА)'!$AE$25:$AE$84,'Калькуляция (МСА)'!$F$25:$F$84,$F34,'Калькуляция (МСА)'!$G$25:$G$84,$G34),_xlfn.SUMIFS(INDEX('Калькуляция (МИ)'!$AJ$25:$BC$459,,MATCH(BE$8,'Калькуляция (МИ)'!$AJ$8:$BC$8,0)),'Калькуляция (МИ)'!$F$25:$F$459,$F34,'Калькуляция (МИ)'!$G$25:$G$459,$G34))))</f>
        <v>0</v>
      </c>
      <c r="BF34" s="3395">
        <f>IF(AND(method_reg="Метод индексации",god&lt;&gt;first_year),_xlfn.SUMIFS(INDEX('Калькуляция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расходов",_xlfn.SUMIFS('Калькуляция (МЭОР)'!$AK$25:$AK$282,'Калькуляция (МЭОР)'!$F$25:$F$282,$F34,'Калькуляция (МЭОР)'!$G$25:$G$282,$G34),IF(method_reg="Метод сравнения аналогов",_xlfn.SUMIFS('Калькуляция (МСА)'!$AF$25:$AF$84,'Калькуляция (МСА)'!$F$25:$F$84,$F34,'Калькуляция (МСА)'!$G$25:$G$84,$G34),_xlfn.SUMIFS(INDEX('Калькуляция (МИ)'!$AJ$25:$BC$459,,MATCH(BF$8,'Калькуляция (МИ)'!$AJ$8:$BC$8,0)),'Калькуляция (МИ)'!$F$25:$F$459,$F34,'Калькуляция (МИ)'!$G$25:$G$459,$G34))))</f>
        <v>0</v>
      </c>
      <c r="BG34" s="263">
        <f>IF(BE34=0,0,(BF34-BE34)/BE34*100)</f>
        <v>0</v>
      </c>
      <c r="BH34" s="3395"/>
      <c r="BI34" s="3395"/>
      <c r="BJ34" s="263">
        <f>IF(BH34=0,0,(BI34-BH34)/BH34*100)</f>
        <v>0</v>
      </c>
      <c r="BK34" s="3395"/>
      <c r="BL34" s="3395"/>
      <c r="BM34" s="263">
        <f>IF(BK34=0,0,(BL34-BK34)/BK34*100)</f>
        <v>0</v>
      </c>
      <c r="BN34" s="3395"/>
      <c r="BO34" s="3395"/>
      <c r="BP34" s="263">
        <f>IF(BN34=0,0,(BO34-BN34)/BN34*100)</f>
        <v>0</v>
      </c>
      <c r="BQ34" s="3395"/>
      <c r="BR34" s="3395"/>
      <c r="BS34" s="263">
        <f>IF(BQ34=0,0,(BR34-BQ34)/BQ34*100)</f>
        <v>0</v>
      </c>
      <c r="BT34" s="3395"/>
      <c r="BU34" s="3395"/>
      <c r="BV34" s="263">
        <f>IF(BT34=0,0,(BU34-BT34)/BT34*100)</f>
        <v>0</v>
      </c>
      <c r="BW34" s="3395"/>
      <c r="BX34" s="3395"/>
      <c r="BY34" s="263">
        <f>IF(BW34=0,0,(BX34-BW34)/BW34*100)</f>
        <v>0</v>
      </c>
      <c r="BZ34" s="3395"/>
      <c r="CA34" s="3395"/>
      <c r="CB34" s="263">
        <f>IF(BZ34=0,0,(CA34-BZ34)/BZ34*100)</f>
        <v>0</v>
      </c>
      <c r="CC34" s="3395"/>
      <c r="CD34" s="3395"/>
      <c r="CE34" s="263">
        <f>IF(CC34=0,0,(CD34-CC34)/CC34*100)</f>
        <v>0</v>
      </c>
      <c r="CF34" s="3395"/>
      <c r="CG34" s="3395"/>
      <c r="CH34" s="263">
        <f>IF(CF34=0,0,(CG34-CF34)/CF34*100)</f>
        <v>0</v>
      </c>
      <c r="CI34" s="3395"/>
      <c r="CJ34" s="3395"/>
      <c r="CK34" s="263">
        <f>IF(CI34=0,0,(CJ34-CI34)/CI34*100)</f>
        <v>0</v>
      </c>
      <c r="CL34" s="3395"/>
      <c r="CM34" s="3395"/>
      <c r="CN34" s="263">
        <f>IF(CL34=0,0,(CM34-CL34)/CL34*100)</f>
        <v>0</v>
      </c>
      <c r="CO34" s="3395"/>
      <c r="CP34" s="3395"/>
      <c r="CQ34" s="263">
        <f>IF(CO34=0,0,(CP34-CO34)/CO34*100)</f>
        <v>0</v>
      </c>
      <c r="CR34" s="3395"/>
      <c r="CS34" s="3395"/>
      <c r="CT34" s="263">
        <f>IF(CR34=0,0,(CS34-CR34)/CR34*100)</f>
        <v>0</v>
      </c>
      <c r="CU34" s="3395"/>
      <c r="CV34" s="3395"/>
      <c r="CW34" s="263">
        <f>IF(CU34=0,0,(CV34-CU34)/CU34*100)</f>
        <v>0</v>
      </c>
      <c r="CX34" s="3395"/>
      <c r="CY34" s="3395"/>
      <c r="CZ34" s="263">
        <f>IF(CX34=0,0,(CY34-CX34)/CX34*100)</f>
        <v>0</v>
      </c>
      <c r="DA34" s="3395"/>
      <c r="DB34" s="3395"/>
      <c r="DC34" s="263">
        <f>IF(DA34=0,0,(DB34-DA34)/DA34*100)</f>
        <v>0</v>
      </c>
      <c r="DD34" s="3395"/>
      <c r="DE34" s="3395"/>
      <c r="DF34" s="263">
        <f>IF(DD34=0,0,(DE34-DD34)/DD34*100)</f>
        <v>0</v>
      </c>
      <c r="DG34" s="3397"/>
      <c r="DH34" s="3397"/>
      <c r="DI34" s="263">
        <f>IF(DG34=0,0,(DH34-DG34)/DG34*100)</f>
        <v>0</v>
      </c>
      <c r="DJ34" s="3397"/>
      <c r="DK34" s="3397"/>
      <c r="DL34" s="263">
        <f>IF(DJ34=0,0,(DK34-DJ34)/DJ34*100)</f>
        <v>0</v>
      </c>
      <c r="DM34" s="3397"/>
      <c r="DN34" s="3397"/>
      <c r="DO34" s="263">
        <f>IF(DM34=0,0,(DN34-DM34)/DM34*100)</f>
        <v>0</v>
      </c>
      <c r="DP34" s="3397"/>
      <c r="DQ34" s="3397"/>
      <c r="DR34" s="263">
        <f>IF(DP34=0,0,(DQ34-DP34)/DP34*100)</f>
        <v>0</v>
      </c>
      <c r="DS34" s="3397"/>
      <c r="DT34" s="3397"/>
      <c r="DU34" s="263">
        <f>IF(DS34=0,0,(DT34-DS34)/DS34*100)</f>
        <v>0</v>
      </c>
      <c r="DV34" s="3397"/>
      <c r="DW34" s="3397"/>
      <c r="DX34" s="263">
        <f>IF(DV34=0,0,(DW34-DV34)/DV34*100)</f>
        <v>0</v>
      </c>
      <c r="DY34" s="3397"/>
      <c r="DZ34" s="3397"/>
      <c r="EA34" s="263">
        <f>IF(DY34=0,0,(DZ34-DY34)/DY34*100)</f>
        <v>0</v>
      </c>
      <c r="EB34" s="3397"/>
      <c r="EC34" s="3397"/>
      <c r="ED34" s="263">
        <f>IF(EB34=0,0,(EC34-EB34)/EB34*100)</f>
        <v>0</v>
      </c>
      <c r="EE34" s="3397"/>
      <c r="EF34" s="3397"/>
      <c r="EG34" s="263">
        <f>IF(EE34=0,0,(EF34-EE34)/EE34*100)</f>
        <v>0</v>
      </c>
      <c r="EH34" s="3397"/>
      <c r="EI34" s="3397"/>
      <c r="EJ34" s="263">
        <f>IF(EH34=0,0,(EI34-EH34)/EH34*100)</f>
        <v>0</v>
      </c>
      <c r="EK34" s="3397"/>
      <c r="EL34" s="3397"/>
      <c r="EM34" s="263">
        <f>IF(EK34=0,0,(EL34-EK34)/EK34*100)</f>
        <v>0</v>
      </c>
      <c r="EN34" s="3397"/>
      <c r="EO34" s="3397"/>
      <c r="EP34" s="263">
        <f>IF(EN34=0,0,(EO34-EN34)/EN34*100)</f>
        <v>0</v>
      </c>
      <c r="EQ34" s="3397"/>
      <c r="ER34" s="3397"/>
      <c r="ES34" s="263">
        <f>IF(EQ34=0,0,(ER34-EQ34)/EQ34*100)</f>
        <v>0</v>
      </c>
      <c r="ET34" s="3397"/>
      <c r="EU34" s="3397"/>
      <c r="EV34" s="263">
        <f>IF(ET34=0,0,(EU34-ET34)/ET34*100)</f>
        <v>0</v>
      </c>
      <c r="EW34" s="3397"/>
      <c r="EX34" s="3397"/>
      <c r="EY34" s="263">
        <f>IF(EW34=0,0,(EX34-EW34)/EW34*100)</f>
        <v>0</v>
      </c>
      <c r="EZ34" s="3397"/>
      <c r="FA34" s="3397"/>
      <c r="FB34" s="263">
        <f>IF(EZ34=0,0,(FA34-EZ34)/EZ34*100)</f>
        <v>0</v>
      </c>
      <c r="FC34" s="3397"/>
      <c r="FD34" s="3397"/>
      <c r="FE34" s="263">
        <f>IF(FC34=0,0,(FD34-FC34)/FC34*100)</f>
        <v>0</v>
      </c>
      <c r="FF34" s="3397"/>
      <c r="FG34" s="3397"/>
      <c r="FH34" s="263">
        <f>IF(FF34=0,0,(FG34-FF34)/FF34*100)</f>
        <v>0</v>
      </c>
      <c r="FI34" s="3397"/>
      <c r="FJ34" s="3397"/>
      <c r="FK34" s="263">
        <f>IF(FI34=0,0,(FJ34-FI34)/FI34*100)</f>
        <v>0</v>
      </c>
      <c r="FL34" s="3397"/>
      <c r="FM34" s="3397"/>
      <c r="FN34" s="263">
        <f>IF(FL34=0,0,(FM34-FL34)/FL34*100)</f>
        <v>0</v>
      </c>
      <c r="FO34" s="3397"/>
      <c r="FP34" s="3397"/>
      <c r="FQ34" s="263">
        <f>IF(FO34=0,0,(FP34-FO34)/FO34*100)</f>
        <v>0</v>
      </c>
      <c r="FR34" s="3397"/>
      <c r="FS34" s="3397"/>
      <c r="FT34" s="263">
        <f>IF(FR34=0,0,(FS34-FR34)/FR34*100)</f>
        <v>0</v>
      </c>
      <c r="FU34" s="3397"/>
      <c r="FV34" s="3397"/>
      <c r="FW34" s="263">
        <f>IF(FU34=0,0,(FV34-FU34)/FU34*100)</f>
        <v>0</v>
      </c>
      <c r="FX34" s="259"/>
      <c r="FY34" s="259"/>
      <c r="FZ34" s="1039" t="s">
        <v>1495</v>
      </c>
      <c r="GA34" s="1039"/>
      <c r="GB34" s="1039"/>
      <c r="GC34" s="1040"/>
      <c r="GD34" s="1040"/>
    </row>
    <row s="259" customFormat="1" customHeight="1" ht="23.887500000000003" hidden="1">
      <c r="A35" s="879"/>
      <c r="B35" s="907" cm="1" t="str">
        <f t="array" ref="B35:B35">B34</f>
        <v>false</v>
      </c>
      <c r="C35" s="879"/>
      <c r="D35" s="879"/>
      <c r="E35" s="880">
        <v>24.5</v>
      </c>
      <c r="F35" s="50" cm="1" t="str">
        <f t="array" ref="F35:F35">OFFSET(E35,-1,1)</f>
        <v>0</v>
      </c>
      <c r="G35" s="467" t="s">
        <v>1496</v>
      </c>
      <c r="H35" s="467" t="s">
        <v>441</v>
      </c>
      <c r="I35" s="467" t="s">
        <v>1497</v>
      </c>
      <c r="J35" s="879"/>
      <c r="K35" s="879"/>
      <c r="L35" s="467"/>
      <c r="M35" s="879"/>
      <c r="N35" s="879"/>
      <c r="O35" s="879"/>
      <c r="P35" s="879"/>
      <c r="Q35" s="879"/>
      <c r="R35" s="879"/>
      <c r="S35" s="467"/>
      <c r="T35" s="439" cm="1" t="str">
        <f t="array" ref="T35:T35">T34</f>
        <v>false</v>
      </c>
      <c r="U35" s="879"/>
      <c r="V35" s="879"/>
      <c r="W35" s="879"/>
      <c r="X35" s="1534"/>
      <c r="Y35" s="879"/>
      <c r="Z35" s="1464"/>
      <c r="AA35" s="879"/>
      <c r="AB35" s="260" t="s">
        <v>1498</v>
      </c>
      <c r="AC35" s="261" t="s">
        <v>1494</v>
      </c>
      <c r="AD35" s="3395">
        <f>IF(AND(method_reg="Метод индексации",god&lt;&gt;first_year),_xlfn.SUMIFS(INDEX('Калькуляция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(МИ)'!$AJ$25:$BC$459,,MATCH(AD$8,'Калькуляция (МИ)'!$AJ$8:$BC$8,0)),'Калькуляция (МИ)'!$F$25:$F$459,$F35,'Калькуляция (МИ)'!$G$25:$G$459,$G35))))</f>
        <v>0</v>
      </c>
      <c r="AE35" s="3395">
        <f>IF(AND(method_reg="Метод индексации",god&lt;&gt;first_year),_xlfn.SUMIFS(INDEX('Калькуляция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(МИ)'!$AJ$25:$BC$459,,MATCH(AE$8,'Калькуляция (МИ)'!$AJ$8:$BC$8,0)),'Калькуляция (МИ)'!$F$25:$F$459,$F35,'Калькуляция (МИ)'!$G$25:$G$459,$G35))))</f>
        <v>0</v>
      </c>
      <c r="AF35" s="263">
        <f>IF(AD35=0,0,(AE35-AD35)/AD35*100)</f>
        <v>0</v>
      </c>
      <c r="AG35" s="3395">
        <f>IF(AND(method_reg="Метод индексации",god&lt;&gt;first_year),_xlfn.SUMIFS(INDEX('Калькуляция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(МИ)'!$AJ$25:$BC$459,,MATCH(AG$8,'Калькуляция (МИ)'!$AJ$8:$BC$8,0)),'Калькуляция (МИ)'!$F$25:$F$459,$F35,'Калькуляция (МИ)'!$G$25:$G$459,$G35))))</f>
        <v>0</v>
      </c>
      <c r="AH35" s="3395">
        <f>IF(AND(method_reg="Метод индексации",god&lt;&gt;first_year),_xlfn.SUMIFS(INDEX('Калькуляция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(МИ)'!$AJ$25:$BC$459,,MATCH(AH$8,'Калькуляция (МИ)'!$AJ$8:$BC$8,0)),'Калькуляция (МИ)'!$F$25:$F$459,$F35,'Калькуляция (МИ)'!$G$25:$G$459,$G35))))</f>
        <v>0</v>
      </c>
      <c r="AI35" s="263">
        <f>IF(AG35=0,0,(AH35-AG35)/AG35*100)</f>
        <v>0</v>
      </c>
      <c r="AJ35" s="3395">
        <f>IF(AND(method_reg="Метод индексации",god&lt;&gt;first_year),_xlfn.SUMIFS(INDEX('Калькуляция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(МИ)'!$AJ$25:$BC$459,,MATCH(AJ$8,'Калькуляция (МИ)'!$AJ$8:$BC$8,0)),'Калькуляция (МИ)'!$F$25:$F$459,$F35,'Калькуляция (МИ)'!$G$25:$G$459,$G35))))</f>
        <v>0</v>
      </c>
      <c r="AK35" s="3395">
        <f>IF(AND(method_reg="Метод индексации",god&lt;&gt;first_year),_xlfn.SUMIFS(INDEX('Калькуляция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(МИ)'!$AJ$25:$BC$459,,MATCH(AK$8,'Калькуляция (МИ)'!$AJ$8:$BC$8,0)),'Калькуляция (МИ)'!$F$25:$F$459,$F35,'Калькуляция (МИ)'!$G$25:$G$459,$G35))))</f>
        <v>0</v>
      </c>
      <c r="AL35" s="263">
        <f>IF(AJ35=0,0,(AK35-AJ35)/AJ35*100)</f>
        <v>0</v>
      </c>
      <c r="AM35" s="3395">
        <f>IF(AND(method_reg="Метод индексации",god&lt;&gt;first_year),_xlfn.SUMIFS(INDEX('Калькуляция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(МИ)'!$AJ$25:$BC$459,,MATCH(AM$8,'Калькуляция (МИ)'!$AJ$8:$BC$8,0)),'Калькуляция (МИ)'!$F$25:$F$459,$F35,'Калькуляция (МИ)'!$G$25:$G$459,$G35))))</f>
        <v>0</v>
      </c>
      <c r="AN35" s="3395">
        <f>IF(AND(method_reg="Метод индексации",god&lt;&gt;first_year),_xlfn.SUMIFS(INDEX('Калькуляция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(МИ)'!$AJ$25:$BC$459,,MATCH(AN$8,'Калькуляция (МИ)'!$AJ$8:$BC$8,0)),'Калькуляция (МИ)'!$F$25:$F$459,$F35,'Калькуляция (МИ)'!$G$25:$G$459,$G35))))</f>
        <v>0</v>
      </c>
      <c r="AO35" s="263">
        <f>IF(AM35=0,0,(AN35-AM35)/AM35*100)</f>
        <v>0</v>
      </c>
      <c r="AP35" s="3395">
        <f>IF(AND(method_reg="Метод индексации",god&lt;&gt;first_year),_xlfn.SUMIFS(INDEX('Калькуляция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(МИ)'!$AJ$25:$BC$459,,MATCH(AP$8,'Калькуляция (МИ)'!$AJ$8:$BC$8,0)),'Калькуляция (МИ)'!$F$25:$F$459,$F35,'Калькуляция (МИ)'!$G$25:$G$459,$G35))))</f>
        <v>0</v>
      </c>
      <c r="AQ35" s="3395">
        <f>IF(AND(method_reg="Метод индексации",god&lt;&gt;first_year),_xlfn.SUMIFS(INDEX('Калькуляция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(МИ)'!$AJ$25:$BC$459,,MATCH(AQ$8,'Калькуляция (МИ)'!$AJ$8:$BC$8,0)),'Калькуляция (МИ)'!$F$25:$F$459,$F35,'Калькуляция (МИ)'!$G$25:$G$459,$G35))))</f>
        <v>0</v>
      </c>
      <c r="AR35" s="263">
        <f>IF(AP35=0,0,(AQ35-AP35)/AP35*100)</f>
        <v>0</v>
      </c>
      <c r="AS35" s="3395">
        <f>IF(AND(method_reg="Метод индексации",god&lt;&gt;first_year),_xlfn.SUMIFS(INDEX('Калькуляция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(МИ)'!$AJ$25:$BC$459,,MATCH(AS$8,'Калькуляция (МИ)'!$AJ$8:$BC$8,0)),'Калькуляция (МИ)'!$F$25:$F$459,$F35,'Калькуляция (МИ)'!$G$25:$G$459,$G35))))</f>
        <v>0</v>
      </c>
      <c r="AT35" s="3395">
        <f>IF(AND(method_reg="Метод индексации",god&lt;&gt;first_year),_xlfn.SUMIFS(INDEX('Калькуляция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(МИ)'!$AJ$25:$BC$459,,MATCH(AT$8,'Калькуляция (МИ)'!$AJ$8:$BC$8,0)),'Калькуляция (МИ)'!$F$25:$F$459,$F35,'Калькуляция (МИ)'!$G$25:$G$459,$G35))))</f>
        <v>0</v>
      </c>
      <c r="AU35" s="263">
        <f>IF(AS35=0,0,(AT35-AS35)/AS35*100)</f>
        <v>0</v>
      </c>
      <c r="AV35" s="3395">
        <f>IF(AND(method_reg="Метод индексации",god&lt;&gt;first_year),_xlfn.SUMIFS(INDEX('Калькуляция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(МИ)'!$AJ$25:$BC$459,,MATCH(AV$8,'Калькуляция (МИ)'!$AJ$8:$BC$8,0)),'Калькуляция (МИ)'!$F$25:$F$459,$F35,'Калькуляция (МИ)'!$G$25:$G$459,$G35))))</f>
        <v>0</v>
      </c>
      <c r="AW35" s="3395">
        <f>IF(AND(method_reg="Метод индексации",god&lt;&gt;first_year),_xlfn.SUMIFS(INDEX('Калькуляция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(МИ)'!$AJ$25:$BC$459,,MATCH(AW$8,'Калькуляция (МИ)'!$AJ$8:$BC$8,0)),'Калькуляция (МИ)'!$F$25:$F$459,$F35,'Калькуляция (МИ)'!$G$25:$G$459,$G35))))</f>
        <v>0</v>
      </c>
      <c r="AX35" s="263">
        <f>IF(AV35=0,0,(AW35-AV35)/AV35*100)</f>
        <v>0</v>
      </c>
      <c r="AY35" s="3395">
        <f>IF(AND(method_reg="Метод индексации",god&lt;&gt;first_year),_xlfn.SUMIFS(INDEX('Калькуляция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(МИ)'!$AJ$25:$BC$459,,MATCH(AY$8,'Калькуляция (МИ)'!$AJ$8:$BC$8,0)),'Калькуляция (МИ)'!$F$25:$F$459,$F35,'Калькуляция (МИ)'!$G$25:$G$459,$G35))))</f>
        <v>0</v>
      </c>
      <c r="AZ35" s="3395">
        <f>IF(AND(method_reg="Метод индексации",god&lt;&gt;first_year),_xlfn.SUMIFS(INDEX('Калькуляция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(МИ)'!$AJ$25:$BC$459,,MATCH(AZ$8,'Калькуляция (МИ)'!$AJ$8:$BC$8,0)),'Калькуляция (МИ)'!$F$25:$F$459,$F35,'Калькуляция (МИ)'!$G$25:$G$459,$G35))))</f>
        <v>0</v>
      </c>
      <c r="BA35" s="263">
        <f>IF(AY35=0,0,(AZ35-AY35)/AY35*100)</f>
        <v>0</v>
      </c>
      <c r="BB35" s="3395">
        <f>IF(AND(method_reg="Метод индексации",god&lt;&gt;first_year),_xlfn.SUMIFS(INDEX('Калькуляция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(МИ)'!$AJ$25:$BC$459,,MATCH(BB$8,'Калькуляция (МИ)'!$AJ$8:$BC$8,0)),'Калькуляция (МИ)'!$F$25:$F$459,$F35,'Калькуляция (МИ)'!$G$25:$G$459,$G35))))</f>
        <v>0</v>
      </c>
      <c r="BC35" s="3395">
        <f>IF(AND(method_reg="Метод индексации",god&lt;&gt;first_year),_xlfn.SUMIFS(INDEX('Калькуляция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(МИ)'!$AJ$25:$BC$459,,MATCH(BC$8,'Калькуляция (МИ)'!$AJ$8:$BC$8,0)),'Калькуляция (МИ)'!$F$25:$F$459,$F35,'Калькуляция (МИ)'!$G$25:$G$459,$G35))))</f>
        <v>0</v>
      </c>
      <c r="BD35" s="263">
        <f>IF(BB35=0,0,(BC35-BB35)/BB35*100)</f>
        <v>0</v>
      </c>
      <c r="BE35" s="3395">
        <f>IF(AND(method_reg="Метод индексации",god&lt;&gt;first_year),_xlfn.SUMIFS(INDEX('Калькуляция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расходов",_xlfn.SUMIFS('Калькуляция (МЭОР)'!$AJ$25:$AJ$282,'Калькуляция (МЭОР)'!$F$25:$F$282,$F35,'Калькуляция (МЭОР)'!$G$25:$G$282,$G35),IF(method_reg="Метод сравнения аналогов",_xlfn.SUMIFS('Калькуляция (МСА)'!$AE$25:$AE$84,'Калькуляция (МСА)'!$F$25:$F$84,$F35,'Калькуляция (МСА)'!$G$25:$G$84,$G35),_xlfn.SUMIFS(INDEX('Калькуляция (МИ)'!$AJ$25:$BC$459,,MATCH(BE$8,'Калькуляция (МИ)'!$AJ$8:$BC$8,0)),'Калькуляция (МИ)'!$F$25:$F$459,$F35,'Калькуляция (МИ)'!$G$25:$G$459,$G35))))</f>
        <v>0</v>
      </c>
      <c r="BF35" s="3395">
        <f>IF(AND(method_reg="Метод индексации",god&lt;&gt;first_year),_xlfn.SUMIFS(INDEX('Калькуляция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расходов",_xlfn.SUMIFS('Калькуляция (МЭОР)'!$AK$25:$AK$282,'Калькуляция (МЭОР)'!$F$25:$F$282,$F35,'Калькуляция (МЭОР)'!$G$25:$G$282,$G35),IF(method_reg="Метод сравнения аналогов",_xlfn.SUMIFS('Калькуляция (МСА)'!$AF$25:$AF$84,'Калькуляция (МСА)'!$F$25:$F$84,$F35,'Калькуляция (МСА)'!$G$25:$G$84,$G35),_xlfn.SUMIFS(INDEX('Калькуляция (МИ)'!$AJ$25:$BC$459,,MATCH(BF$8,'Калькуляция (МИ)'!$AJ$8:$BC$8,0)),'Калькуляция (МИ)'!$F$25:$F$459,$F35,'Калькуляция (МИ)'!$G$25:$G$459,$G35))))</f>
        <v>0</v>
      </c>
      <c r="BG35" s="263">
        <f>IF(BE35=0,0,(BF35-BE35)/BE35*100)</f>
        <v>0</v>
      </c>
      <c r="BH35" s="3395"/>
      <c r="BI35" s="3395"/>
      <c r="BJ35" s="263">
        <f>IF(BH35=0,0,(BI35-BH35)/BH35*100)</f>
        <v>0</v>
      </c>
      <c r="BK35" s="3395"/>
      <c r="BL35" s="3395"/>
      <c r="BM35" s="263">
        <f>IF(BK35=0,0,(BL35-BK35)/BK35*100)</f>
        <v>0</v>
      </c>
      <c r="BN35" s="3395"/>
      <c r="BO35" s="3395"/>
      <c r="BP35" s="263">
        <f>IF(BN35=0,0,(BO35-BN35)/BN35*100)</f>
        <v>0</v>
      </c>
      <c r="BQ35" s="3395"/>
      <c r="BR35" s="3395"/>
      <c r="BS35" s="263">
        <f>IF(BQ35=0,0,(BR35-BQ35)/BQ35*100)</f>
        <v>0</v>
      </c>
      <c r="BT35" s="3395"/>
      <c r="BU35" s="3395"/>
      <c r="BV35" s="263">
        <f>IF(BT35=0,0,(BU35-BT35)/BT35*100)</f>
        <v>0</v>
      </c>
      <c r="BW35" s="3395"/>
      <c r="BX35" s="3395"/>
      <c r="BY35" s="263">
        <f>IF(BW35=0,0,(BX35-BW35)/BW35*100)</f>
        <v>0</v>
      </c>
      <c r="BZ35" s="3395"/>
      <c r="CA35" s="3395"/>
      <c r="CB35" s="263">
        <f>IF(BZ35=0,0,(CA35-BZ35)/BZ35*100)</f>
        <v>0</v>
      </c>
      <c r="CC35" s="3395"/>
      <c r="CD35" s="3395"/>
      <c r="CE35" s="263">
        <f>IF(CC35=0,0,(CD35-CC35)/CC35*100)</f>
        <v>0</v>
      </c>
      <c r="CF35" s="3395"/>
      <c r="CG35" s="3395"/>
      <c r="CH35" s="263">
        <f>IF(CF35=0,0,(CG35-CF35)/CF35*100)</f>
        <v>0</v>
      </c>
      <c r="CI35" s="3395"/>
      <c r="CJ35" s="3395"/>
      <c r="CK35" s="263">
        <f>IF(CI35=0,0,(CJ35-CI35)/CI35*100)</f>
        <v>0</v>
      </c>
      <c r="CL35" s="3395"/>
      <c r="CM35" s="3395"/>
      <c r="CN35" s="263">
        <f>IF(CL35=0,0,(CM35-CL35)/CL35*100)</f>
        <v>0</v>
      </c>
      <c r="CO35" s="3395"/>
      <c r="CP35" s="3395"/>
      <c r="CQ35" s="263">
        <f>IF(CO35=0,0,(CP35-CO35)/CO35*100)</f>
        <v>0</v>
      </c>
      <c r="CR35" s="3395"/>
      <c r="CS35" s="3395"/>
      <c r="CT35" s="263">
        <f>IF(CR35=0,0,(CS35-CR35)/CR35*100)</f>
        <v>0</v>
      </c>
      <c r="CU35" s="3395"/>
      <c r="CV35" s="3395"/>
      <c r="CW35" s="263">
        <f>IF(CU35=0,0,(CV35-CU35)/CU35*100)</f>
        <v>0</v>
      </c>
      <c r="CX35" s="3395"/>
      <c r="CY35" s="3395"/>
      <c r="CZ35" s="263">
        <f>IF(CX35=0,0,(CY35-CX35)/CX35*100)</f>
        <v>0</v>
      </c>
      <c r="DA35" s="3395"/>
      <c r="DB35" s="3395"/>
      <c r="DC35" s="263">
        <f>IF(DA35=0,0,(DB35-DA35)/DA35*100)</f>
        <v>0</v>
      </c>
      <c r="DD35" s="3395"/>
      <c r="DE35" s="3395"/>
      <c r="DF35" s="263">
        <f>IF(DD35=0,0,(DE35-DD35)/DD35*100)</f>
        <v>0</v>
      </c>
      <c r="DG35" s="3397"/>
      <c r="DH35" s="3397"/>
      <c r="DI35" s="263">
        <f>IF(DG35=0,0,(DH35-DG35)/DG35*100)</f>
        <v>0</v>
      </c>
      <c r="DJ35" s="3397"/>
      <c r="DK35" s="3397"/>
      <c r="DL35" s="263">
        <f>IF(DJ35=0,0,(DK35-DJ35)/DJ35*100)</f>
        <v>0</v>
      </c>
      <c r="DM35" s="3397"/>
      <c r="DN35" s="3397"/>
      <c r="DO35" s="263">
        <f>IF(DM35=0,0,(DN35-DM35)/DM35*100)</f>
        <v>0</v>
      </c>
      <c r="DP35" s="3397"/>
      <c r="DQ35" s="3397"/>
      <c r="DR35" s="263">
        <f>IF(DP35=0,0,(DQ35-DP35)/DP35*100)</f>
        <v>0</v>
      </c>
      <c r="DS35" s="3397"/>
      <c r="DT35" s="3397"/>
      <c r="DU35" s="263">
        <f>IF(DS35=0,0,(DT35-DS35)/DS35*100)</f>
        <v>0</v>
      </c>
      <c r="DV35" s="3397"/>
      <c r="DW35" s="3397"/>
      <c r="DX35" s="263">
        <f>IF(DV35=0,0,(DW35-DV35)/DV35*100)</f>
        <v>0</v>
      </c>
      <c r="DY35" s="3397"/>
      <c r="DZ35" s="3397"/>
      <c r="EA35" s="263">
        <f>IF(DY35=0,0,(DZ35-DY35)/DY35*100)</f>
        <v>0</v>
      </c>
      <c r="EB35" s="3397"/>
      <c r="EC35" s="3397"/>
      <c r="ED35" s="263">
        <f>IF(EB35=0,0,(EC35-EB35)/EB35*100)</f>
        <v>0</v>
      </c>
      <c r="EE35" s="3397"/>
      <c r="EF35" s="3397"/>
      <c r="EG35" s="263">
        <f>IF(EE35=0,0,(EF35-EE35)/EE35*100)</f>
        <v>0</v>
      </c>
      <c r="EH35" s="3397"/>
      <c r="EI35" s="3397"/>
      <c r="EJ35" s="263">
        <f>IF(EH35=0,0,(EI35-EH35)/EH35*100)</f>
        <v>0</v>
      </c>
      <c r="EK35" s="3397"/>
      <c r="EL35" s="3397"/>
      <c r="EM35" s="263">
        <f>IF(EK35=0,0,(EL35-EK35)/EK35*100)</f>
        <v>0</v>
      </c>
      <c r="EN35" s="3397"/>
      <c r="EO35" s="3397"/>
      <c r="EP35" s="263">
        <f>IF(EN35=0,0,(EO35-EN35)/EN35*100)</f>
        <v>0</v>
      </c>
      <c r="EQ35" s="3397"/>
      <c r="ER35" s="3397"/>
      <c r="ES35" s="263">
        <f>IF(EQ35=0,0,(ER35-EQ35)/EQ35*100)</f>
        <v>0</v>
      </c>
      <c r="ET35" s="3397"/>
      <c r="EU35" s="3397"/>
      <c r="EV35" s="263">
        <f>IF(ET35=0,0,(EU35-ET35)/ET35*100)</f>
        <v>0</v>
      </c>
      <c r="EW35" s="3397"/>
      <c r="EX35" s="3397"/>
      <c r="EY35" s="263">
        <f>IF(EW35=0,0,(EX35-EW35)/EW35*100)</f>
        <v>0</v>
      </c>
      <c r="EZ35" s="3397"/>
      <c r="FA35" s="3397"/>
      <c r="FB35" s="263">
        <f>IF(EZ35=0,0,(FA35-EZ35)/EZ35*100)</f>
        <v>0</v>
      </c>
      <c r="FC35" s="3397"/>
      <c r="FD35" s="3397"/>
      <c r="FE35" s="263">
        <f>IF(FC35=0,0,(FD35-FC35)/FC35*100)</f>
        <v>0</v>
      </c>
      <c r="FF35" s="3397"/>
      <c r="FG35" s="3397"/>
      <c r="FH35" s="263">
        <f>IF(FF35=0,0,(FG35-FF35)/FF35*100)</f>
        <v>0</v>
      </c>
      <c r="FI35" s="3397"/>
      <c r="FJ35" s="3397"/>
      <c r="FK35" s="263">
        <f>IF(FI35=0,0,(FJ35-FI35)/FI35*100)</f>
        <v>0</v>
      </c>
      <c r="FL35" s="3397"/>
      <c r="FM35" s="3397"/>
      <c r="FN35" s="263">
        <f>IF(FL35=0,0,(FM35-FL35)/FL35*100)</f>
        <v>0</v>
      </c>
      <c r="FO35" s="3397"/>
      <c r="FP35" s="3397"/>
      <c r="FQ35" s="263">
        <f>IF(FO35=0,0,(FP35-FO35)/FO35*100)</f>
        <v>0</v>
      </c>
      <c r="FR35" s="3397"/>
      <c r="FS35" s="3397"/>
      <c r="FT35" s="263">
        <f>IF(FR35=0,0,(FS35-FR35)/FR35*100)</f>
        <v>0</v>
      </c>
      <c r="FU35" s="3397"/>
      <c r="FV35" s="3397"/>
      <c r="FW35" s="263">
        <f>IF(FU35=0,0,(FV35-FU35)/FU35*100)</f>
        <v>0</v>
      </c>
      <c r="FX35" s="259"/>
      <c r="FY35" s="259"/>
      <c r="FZ35" s="1039" t="s">
        <v>1499</v>
      </c>
      <c r="GA35" s="1039"/>
      <c r="GB35" s="1039"/>
      <c r="GC35" s="1040"/>
      <c r="GD35" s="1040"/>
    </row>
    <row customHeight="1" ht="14.625" hidden="1">
      <c r="A36" s="467"/>
      <c r="B36" s="907" cm="1" t="str">
        <f t="array" ref="B36:B36">B35</f>
        <v>false</v>
      </c>
      <c r="C36" s="467"/>
      <c r="D36" s="467"/>
      <c r="E36" s="822">
        <v>15</v>
      </c>
      <c r="F36" s="50" cm="1" t="str">
        <f t="array" ref="F36:F36">OFFSET(E36,-1,1)</f>
        <v>0</v>
      </c>
      <c r="G36" s="467"/>
      <c r="H36" s="467" t="s">
        <v>445</v>
      </c>
      <c r="I36" s="467" t="s">
        <v>1500</v>
      </c>
      <c r="J36" s="467"/>
      <c r="K36" s="467"/>
      <c r="L36" s="467"/>
      <c r="M36" s="467"/>
      <c r="N36" s="467"/>
      <c r="O36" s="467"/>
      <c r="P36" s="467"/>
      <c r="Q36" s="467"/>
      <c r="R36" s="467"/>
      <c r="S36" s="467"/>
      <c r="T36" s="439" cm="1" t="str">
        <f t="array" ref="T36:T36">T35</f>
        <v>false</v>
      </c>
      <c r="U36" s="467"/>
      <c r="V36" s="467"/>
      <c r="W36" s="467"/>
      <c r="X36" s="1534"/>
      <c r="Y36" s="467"/>
      <c r="Z36" s="1464"/>
      <c r="AA36" s="467"/>
      <c r="AB36" s="1074" t="s">
        <v>1501</v>
      </c>
      <c r="AC36" s="846" t="s">
        <v>437</v>
      </c>
      <c r="AD36" s="1077">
        <f>IF(AD34=0,0,AD35/AD34)*100</f>
        <v>0</v>
      </c>
      <c r="AE36" s="1077">
        <f>IF(AE34=0,0,AE35/AE34)*100</f>
        <v>0</v>
      </c>
      <c r="AF36" s="1078"/>
      <c r="AG36" s="1077">
        <f>IF(AG34=0,0,AG35/AG34)*100</f>
        <v>0</v>
      </c>
      <c r="AH36" s="1077">
        <f>IF(AH34=0,0,AH35/AH34)*100</f>
        <v>0</v>
      </c>
      <c r="AI36" s="1078"/>
      <c r="AJ36" s="1077">
        <f>IF(AJ34=0,0,AJ35/AJ34)*100</f>
        <v>0</v>
      </c>
      <c r="AK36" s="1077">
        <f>IF(AK34=0,0,AK35/AK34)*100</f>
        <v>0</v>
      </c>
      <c r="AL36" s="1078"/>
      <c r="AM36" s="1077">
        <f>IF(AM34=0,0,AM35/AM34)*100</f>
        <v>0</v>
      </c>
      <c r="AN36" s="1077">
        <f>IF(AN34=0,0,AN35/AN34)*100</f>
        <v>0</v>
      </c>
      <c r="AO36" s="1078"/>
      <c r="AP36" s="1077">
        <f>IF(AP34=0,0,AP35/AP34)*100</f>
        <v>0</v>
      </c>
      <c r="AQ36" s="1077">
        <f>IF(AQ34=0,0,AQ35/AQ34)*100</f>
        <v>0</v>
      </c>
      <c r="AR36" s="1078"/>
      <c r="AS36" s="1077">
        <f>IF(AS34=0,0,AS35/AS34)*100</f>
        <v>0</v>
      </c>
      <c r="AT36" s="1077">
        <f>IF(AT34=0,0,AT35/AT34)*100</f>
        <v>0</v>
      </c>
      <c r="AU36" s="1078"/>
      <c r="AV36" s="1077">
        <f>IF(AV34=0,0,AV35/AV34)*100</f>
        <v>0</v>
      </c>
      <c r="AW36" s="1077">
        <f>IF(AW34=0,0,AW35/AW34)*100</f>
        <v>0</v>
      </c>
      <c r="AX36" s="1078"/>
      <c r="AY36" s="1077">
        <f>IF(AY34=0,0,AY35/AY34)*100</f>
        <v>0</v>
      </c>
      <c r="AZ36" s="1077">
        <f>IF(AZ34=0,0,AZ35/AZ34)*100</f>
        <v>0</v>
      </c>
      <c r="BA36" s="1078"/>
      <c r="BB36" s="1077">
        <f>IF(BB34=0,0,BB35/BB34)*100</f>
        <v>0</v>
      </c>
      <c r="BC36" s="1077">
        <f>IF(BC34=0,0,BC35/BC34)*100</f>
        <v>0</v>
      </c>
      <c r="BD36" s="1078"/>
      <c r="BE36" s="1077">
        <f>IF(BE34=0,0,BE35/BE34)*100</f>
        <v>0</v>
      </c>
      <c r="BF36" s="1077">
        <f>IF(BF34=0,0,BF35/BF34)*100</f>
        <v>0</v>
      </c>
      <c r="BG36" s="1078"/>
      <c r="BH36" s="1077">
        <f>IF(BH34=0,0,BH35/BH34)*100</f>
        <v>0</v>
      </c>
      <c r="BI36" s="1077">
        <f>IF(BI34=0,0,BI35/BI34)*100</f>
        <v>0</v>
      </c>
      <c r="BJ36" s="1078"/>
      <c r="BK36" s="1077">
        <f>IF(BK34=0,0,BK35/BK34)*100</f>
        <v>0</v>
      </c>
      <c r="BL36" s="1077">
        <f>IF(BL34=0,0,BL35/BL34)*100</f>
        <v>0</v>
      </c>
      <c r="BM36" s="1078"/>
      <c r="BN36" s="1077">
        <f>IF(BN34=0,0,BN35/BN34)*100</f>
        <v>0</v>
      </c>
      <c r="BO36" s="1077">
        <f>IF(BO34=0,0,BO35/BO34)*100</f>
        <v>0</v>
      </c>
      <c r="BP36" s="1078"/>
      <c r="BQ36" s="1077">
        <f>IF(BQ34=0,0,BQ35/BQ34)*100</f>
        <v>0</v>
      </c>
      <c r="BR36" s="1077">
        <f>IF(BR34=0,0,BR35/BR34)*100</f>
        <v>0</v>
      </c>
      <c r="BS36" s="1078"/>
      <c r="BT36" s="1077">
        <f>IF(BT34=0,0,BT35/BT34)*100</f>
        <v>0</v>
      </c>
      <c r="BU36" s="1077">
        <f>IF(BU34=0,0,BU35/BU34)*100</f>
        <v>0</v>
      </c>
      <c r="BV36" s="1078"/>
      <c r="BW36" s="1077">
        <f>IF(BW34=0,0,BW35/BW34)*100</f>
        <v>0</v>
      </c>
      <c r="BX36" s="1077">
        <f>IF(BX34=0,0,BX35/BX34)*100</f>
        <v>0</v>
      </c>
      <c r="BY36" s="1078"/>
      <c r="BZ36" s="1077">
        <f>IF(BZ34=0,0,BZ35/BZ34)*100</f>
        <v>0</v>
      </c>
      <c r="CA36" s="1077">
        <f>IF(CA34=0,0,CA35/CA34)*100</f>
        <v>0</v>
      </c>
      <c r="CB36" s="1078"/>
      <c r="CC36" s="1077">
        <f>IF(CC34=0,0,CC35/CC34)*100</f>
        <v>0</v>
      </c>
      <c r="CD36" s="1077">
        <f>IF(CD34=0,0,CD35/CD34)*100</f>
        <v>0</v>
      </c>
      <c r="CE36" s="1078"/>
      <c r="CF36" s="1077">
        <f>IF(CF34=0,0,CF35/CF34)*100</f>
        <v>0</v>
      </c>
      <c r="CG36" s="1077">
        <f>IF(CG34=0,0,CG35/CG34)*100</f>
        <v>0</v>
      </c>
      <c r="CH36" s="1078"/>
      <c r="CI36" s="1077">
        <f>IF(CI34=0,0,CI35/CI34)*100</f>
        <v>0</v>
      </c>
      <c r="CJ36" s="1077">
        <f>IF(CJ34=0,0,CJ35/CJ34)*100</f>
        <v>0</v>
      </c>
      <c r="CK36" s="1078"/>
      <c r="CL36" s="1077">
        <f>IF(CL34=0,0,CL35/CL34)*100</f>
        <v>0</v>
      </c>
      <c r="CM36" s="1077">
        <f>IF(CM34=0,0,CM35/CM34)*100</f>
        <v>0</v>
      </c>
      <c r="CN36" s="1078"/>
      <c r="CO36" s="1077">
        <f>IF(CO34=0,0,CO35/CO34)*100</f>
        <v>0</v>
      </c>
      <c r="CP36" s="1077">
        <f>IF(CP34=0,0,CP35/CP34)*100</f>
        <v>0</v>
      </c>
      <c r="CQ36" s="1078"/>
      <c r="CR36" s="1077">
        <f>IF(CR34=0,0,CR35/CR34)*100</f>
        <v>0</v>
      </c>
      <c r="CS36" s="1077">
        <f>IF(CS34=0,0,CS35/CS34)*100</f>
        <v>0</v>
      </c>
      <c r="CT36" s="1078"/>
      <c r="CU36" s="1077">
        <f>IF(CU34=0,0,CU35/CU34)*100</f>
        <v>0</v>
      </c>
      <c r="CV36" s="1077">
        <f>IF(CV34=0,0,CV35/CV34)*100</f>
        <v>0</v>
      </c>
      <c r="CW36" s="1078"/>
      <c r="CX36" s="1077">
        <f>IF(CX34=0,0,CX35/CX34)*100</f>
        <v>0</v>
      </c>
      <c r="CY36" s="1077">
        <f>IF(CY34=0,0,CY35/CY34)*100</f>
        <v>0</v>
      </c>
      <c r="CZ36" s="1078"/>
      <c r="DA36" s="1077">
        <f>IF(DA34=0,0,DA35/DA34)*100</f>
        <v>0</v>
      </c>
      <c r="DB36" s="1077">
        <f>IF(DB34=0,0,DB35/DB34)*100</f>
        <v>0</v>
      </c>
      <c r="DC36" s="1078"/>
      <c r="DD36" s="1077">
        <f>IF(DD34=0,0,DD35/DD34)*100</f>
        <v>0</v>
      </c>
      <c r="DE36" s="1077">
        <f>IF(DE34=0,0,DE35/DE34)*100</f>
        <v>0</v>
      </c>
      <c r="DF36" s="1078"/>
      <c r="DG36" s="1077">
        <f>IF(DG34=0,0,DG35/DG34)*100</f>
        <v>0</v>
      </c>
      <c r="DH36" s="1077">
        <f>IF(DH34=0,0,DH35/DH34)*100</f>
        <v>0</v>
      </c>
      <c r="DI36" s="1078"/>
      <c r="DJ36" s="1077">
        <f>IF(DJ34=0,0,DJ35/DJ34)*100</f>
        <v>0</v>
      </c>
      <c r="DK36" s="1077">
        <f>IF(DK34=0,0,DK35/DK34)*100</f>
        <v>0</v>
      </c>
      <c r="DL36" s="1078"/>
      <c r="DM36" s="1077">
        <f>IF(DM34=0,0,DM35/DM34)*100</f>
        <v>0</v>
      </c>
      <c r="DN36" s="1077">
        <f>IF(DN34=0,0,DN35/DN34)*100</f>
        <v>0</v>
      </c>
      <c r="DO36" s="1078"/>
      <c r="DP36" s="1077">
        <f>IF(DP34=0,0,DP35/DP34)*100</f>
        <v>0</v>
      </c>
      <c r="DQ36" s="1077">
        <f>IF(DQ34=0,0,DQ35/DQ34)*100</f>
        <v>0</v>
      </c>
      <c r="DR36" s="1078"/>
      <c r="DS36" s="1077">
        <f>IF(DS34=0,0,DS35/DS34)*100</f>
        <v>0</v>
      </c>
      <c r="DT36" s="1077">
        <f>IF(DT34=0,0,DT35/DT34)*100</f>
        <v>0</v>
      </c>
      <c r="DU36" s="1078"/>
      <c r="DV36" s="1077">
        <f>IF(DV34=0,0,DV35/DV34)*100</f>
        <v>0</v>
      </c>
      <c r="DW36" s="1077">
        <f>IF(DW34=0,0,DW35/DW34)*100</f>
        <v>0</v>
      </c>
      <c r="DX36" s="1078"/>
      <c r="DY36" s="1077">
        <f>IF(DY34=0,0,DY35/DY34)*100</f>
        <v>0</v>
      </c>
      <c r="DZ36" s="1077">
        <f>IF(DZ34=0,0,DZ35/DZ34)*100</f>
        <v>0</v>
      </c>
      <c r="EA36" s="1078"/>
      <c r="EB36" s="1077">
        <f>IF(EB34=0,0,EB35/EB34)*100</f>
        <v>0</v>
      </c>
      <c r="EC36" s="1077">
        <f>IF(EC34=0,0,EC35/EC34)*100</f>
        <v>0</v>
      </c>
      <c r="ED36" s="1078"/>
      <c r="EE36" s="1077">
        <f>IF(EE34=0,0,EE35/EE34)*100</f>
        <v>0</v>
      </c>
      <c r="EF36" s="1077">
        <f>IF(EF34=0,0,EF35/EF34)*100</f>
        <v>0</v>
      </c>
      <c r="EG36" s="1078"/>
      <c r="EH36" s="1077">
        <f>IF(EH34=0,0,EH35/EH34)*100</f>
        <v>0</v>
      </c>
      <c r="EI36" s="1077">
        <f>IF(EI34=0,0,EI35/EI34)*100</f>
        <v>0</v>
      </c>
      <c r="EJ36" s="1078"/>
      <c r="EK36" s="1077">
        <f>IF(EK34=0,0,EK35/EK34)*100</f>
        <v>0</v>
      </c>
      <c r="EL36" s="1077">
        <f>IF(EL34=0,0,EL35/EL34)*100</f>
        <v>0</v>
      </c>
      <c r="EM36" s="1078"/>
      <c r="EN36" s="1077">
        <f>IF(EN34=0,0,EN35/EN34)*100</f>
        <v>0</v>
      </c>
      <c r="EO36" s="1077">
        <f>IF(EO34=0,0,EO35/EO34)*100</f>
        <v>0</v>
      </c>
      <c r="EP36" s="1078"/>
      <c r="EQ36" s="1077">
        <f>IF(EQ34=0,0,EQ35/EQ34)*100</f>
        <v>0</v>
      </c>
      <c r="ER36" s="1077">
        <f>IF(ER34=0,0,ER35/ER34)*100</f>
        <v>0</v>
      </c>
      <c r="ES36" s="1078"/>
      <c r="ET36" s="1077">
        <f>IF(ET34=0,0,ET35/ET34)*100</f>
        <v>0</v>
      </c>
      <c r="EU36" s="1077">
        <f>IF(EU34=0,0,EU35/EU34)*100</f>
        <v>0</v>
      </c>
      <c r="EV36" s="1078"/>
      <c r="EW36" s="1077">
        <f>IF(EW34=0,0,EW35/EW34)*100</f>
        <v>0</v>
      </c>
      <c r="EX36" s="1077">
        <f>IF(EX34=0,0,EX35/EX34)*100</f>
        <v>0</v>
      </c>
      <c r="EY36" s="1078"/>
      <c r="EZ36" s="1077">
        <f>IF(EZ34=0,0,EZ35/EZ34)*100</f>
        <v>0</v>
      </c>
      <c r="FA36" s="1077">
        <f>IF(FA34=0,0,FA35/FA34)*100</f>
        <v>0</v>
      </c>
      <c r="FB36" s="1078"/>
      <c r="FC36" s="1077">
        <f>IF(FC34=0,0,FC35/FC34)*100</f>
        <v>0</v>
      </c>
      <c r="FD36" s="1077">
        <f>IF(FD34=0,0,FD35/FD34)*100</f>
        <v>0</v>
      </c>
      <c r="FE36" s="1078"/>
      <c r="FF36" s="1077">
        <f>IF(FF34=0,0,FF35/FF34)*100</f>
        <v>0</v>
      </c>
      <c r="FG36" s="1077">
        <f>IF(FG34=0,0,FG35/FG34)*100</f>
        <v>0</v>
      </c>
      <c r="FH36" s="1078"/>
      <c r="FI36" s="1077">
        <f>IF(FI34=0,0,FI35/FI34)*100</f>
        <v>0</v>
      </c>
      <c r="FJ36" s="1077">
        <f>IF(FJ34=0,0,FJ35/FJ34)*100</f>
        <v>0</v>
      </c>
      <c r="FK36" s="1078"/>
      <c r="FL36" s="1077">
        <f>IF(FL34=0,0,FL35/FL34)*100</f>
        <v>0</v>
      </c>
      <c r="FM36" s="1077">
        <f>IF(FM34=0,0,FM35/FM34)*100</f>
        <v>0</v>
      </c>
      <c r="FN36" s="1078"/>
      <c r="FO36" s="1077">
        <f>IF(FO34=0,0,FO35/FO34)*100</f>
        <v>0</v>
      </c>
      <c r="FP36" s="1077">
        <f>IF(FP34=0,0,FP35/FP34)*100</f>
        <v>0</v>
      </c>
      <c r="FQ36" s="1078"/>
      <c r="FR36" s="1077">
        <f>IF(FR34=0,0,FR35/FR34)*100</f>
        <v>0</v>
      </c>
      <c r="FS36" s="1077">
        <f>IF(FS34=0,0,FS35/FS34)*100</f>
        <v>0</v>
      </c>
      <c r="FT36" s="1078"/>
      <c r="FU36" s="1077">
        <f>IF(FU34=0,0,FU35/FU34)*100</f>
        <v>0</v>
      </c>
      <c r="FV36" s="1077">
        <f>IF(FV34=0,0,FV35/FV34)*100</f>
        <v>0</v>
      </c>
      <c r="FW36" s="1078"/>
      <c r="FX36" s="259"/>
      <c r="FY36" s="676"/>
      <c r="FZ36" s="1039" t="s">
        <v>1502</v>
      </c>
      <c r="GA36" s="1061"/>
      <c r="GB36" s="1061"/>
      <c r="GC36" s="697"/>
      <c r="GD36" s="697"/>
    </row>
    <row customHeight="1" ht="14.625" hidden="1">
      <c r="A37" s="467"/>
      <c r="B37" s="907" cm="1" t="str">
        <f t="array" ref="B37:B37">B36</f>
        <v>false</v>
      </c>
      <c r="C37" s="467"/>
      <c r="D37" s="467"/>
      <c r="E37" s="822">
        <v>15</v>
      </c>
      <c r="F37" s="50" cm="1" t="str">
        <f t="array" ref="F37:F37">OFFSET(E37,-1,1)</f>
        <v>0</v>
      </c>
      <c r="G37" s="73" t="s">
        <v>1503</v>
      </c>
      <c r="H37" s="467" t="s">
        <v>448</v>
      </c>
      <c r="I37" s="467" t="s">
        <v>1500</v>
      </c>
      <c r="J37" s="467"/>
      <c r="K37" s="467"/>
      <c r="L37" s="467"/>
      <c r="M37" s="467"/>
      <c r="N37" s="467"/>
      <c r="O37" s="467"/>
      <c r="P37" s="467"/>
      <c r="Q37" s="467"/>
      <c r="R37" s="467"/>
      <c r="S37" s="467"/>
      <c r="T37" s="439" cm="1" t="str">
        <f t="array" ref="T37:T37">T36</f>
        <v>false</v>
      </c>
      <c r="U37" s="467"/>
      <c r="V37" s="467"/>
      <c r="W37" s="467"/>
      <c r="X37" s="1534"/>
      <c r="Y37" s="467"/>
      <c r="Z37" s="1464"/>
      <c r="AA37" s="467"/>
      <c r="AB37" s="1074" t="s">
        <v>1504</v>
      </c>
      <c r="AC37" s="846" t="s">
        <v>512</v>
      </c>
      <c r="AD37" s="3404">
        <f>IF(AND(method_reg="Метод индексации",god&lt;&gt;first_year),_xlfn.SUMIFS(INDEX('Калькуляция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(МИ)'!$AJ$25:$BC$459,,MATCH(AD$8,'Калькуляция (МИ)'!$AJ$8:$BC$8,0)),'Калькуляция (МИ)'!$F$25:$F$459,$F37,'Калькуляция (МИ)'!$G$25:$G$459,$G37))))</f>
        <v>0</v>
      </c>
      <c r="AE37" s="3404">
        <f>IF(AND(method_reg="Метод индексации",god&lt;&gt;first_year),_xlfn.SUMIFS(INDEX('Калькуляция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(МИ)'!$AJ$25:$BC$459,,MATCH(AE$8,'Калькуляция (МИ)'!$AJ$8:$BC$8,0)),'Калькуляция (МИ)'!$F$25:$F$459,$F37,'Калькуляция (МИ)'!$G$25:$G$459,$G37))))</f>
        <v>0</v>
      </c>
      <c r="AF37" s="1080">
        <f>IF(AD37=0,0,(AE37-AD37)/AD37*100)</f>
        <v>0</v>
      </c>
      <c r="AG37" s="3404">
        <f>IF(AND(method_reg="Метод индексации",god&lt;&gt;first_year),_xlfn.SUMIFS(INDEX('Калькуляция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(МИ)'!$AJ$25:$BC$459,,MATCH(AG$8,'Калькуляция (МИ)'!$AJ$8:$BC$8,0)),'Калькуляция (МИ)'!$F$25:$F$459,$F37,'Калькуляция (МИ)'!$G$25:$G$459,$G37))))</f>
        <v>0</v>
      </c>
      <c r="AH37" s="3404">
        <f>IF(AND(method_reg="Метод индексации",god&lt;&gt;first_year),_xlfn.SUMIFS(INDEX('Калькуляция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(МИ)'!$AJ$25:$BC$459,,MATCH(AH$8,'Калькуляция (МИ)'!$AJ$8:$BC$8,0)),'Калькуляция (МИ)'!$F$25:$F$459,$F37,'Калькуляция (МИ)'!$G$25:$G$459,$G37))))</f>
        <v>0</v>
      </c>
      <c r="AI37" s="1080">
        <f>IF(AG37=0,0,(AH37-AG37)/AG37*100)</f>
        <v>0</v>
      </c>
      <c r="AJ37" s="3404">
        <f>IF(AND(method_reg="Метод индексации",god&lt;&gt;first_year),_xlfn.SUMIFS(INDEX('Калькуляция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(МИ)'!$AJ$25:$BC$459,,MATCH(AJ$8,'Калькуляция (МИ)'!$AJ$8:$BC$8,0)),'Калькуляция (МИ)'!$F$25:$F$459,$F37,'Калькуляция (МИ)'!$G$25:$G$459,$G37))))</f>
        <v>0</v>
      </c>
      <c r="AK37" s="3404">
        <f>IF(AND(method_reg="Метод индексации",god&lt;&gt;first_year),_xlfn.SUMIFS(INDEX('Калькуляция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(МИ)'!$AJ$25:$BC$459,,MATCH(AK$8,'Калькуляция (МИ)'!$AJ$8:$BC$8,0)),'Калькуляция (МИ)'!$F$25:$F$459,$F37,'Калькуляция (МИ)'!$G$25:$G$459,$G37))))</f>
        <v>0</v>
      </c>
      <c r="AL37" s="1080">
        <f>IF(AJ37=0,0,(AK37-AJ37)/AJ37*100)</f>
        <v>0</v>
      </c>
      <c r="AM37" s="3404">
        <f>IF(AND(method_reg="Метод индексации",god&lt;&gt;first_year),_xlfn.SUMIFS(INDEX('Калькуляция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(МИ)'!$AJ$25:$BC$459,,MATCH(AM$8,'Калькуляция (МИ)'!$AJ$8:$BC$8,0)),'Калькуляция (МИ)'!$F$25:$F$459,$F37,'Калькуляция (МИ)'!$G$25:$G$459,$G37))))</f>
        <v>0</v>
      </c>
      <c r="AN37" s="3404">
        <f>IF(AND(method_reg="Метод индексации",god&lt;&gt;first_year),_xlfn.SUMIFS(INDEX('Калькуляция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(МИ)'!$AJ$25:$BC$459,,MATCH(AN$8,'Калькуляция (МИ)'!$AJ$8:$BC$8,0)),'Калькуляция (МИ)'!$F$25:$F$459,$F37,'Калькуляция (МИ)'!$G$25:$G$459,$G37))))</f>
        <v>0</v>
      </c>
      <c r="AO37" s="1080">
        <f>IF(AM37=0,0,(AN37-AM37)/AM37*100)</f>
        <v>0</v>
      </c>
      <c r="AP37" s="3404">
        <f>IF(AND(method_reg="Метод индексации",god&lt;&gt;first_year),_xlfn.SUMIFS(INDEX('Калькуляция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(МИ)'!$AJ$25:$BC$459,,MATCH(AP$8,'Калькуляция (МИ)'!$AJ$8:$BC$8,0)),'Калькуляция (МИ)'!$F$25:$F$459,$F37,'Калькуляция (МИ)'!$G$25:$G$459,$G37))))</f>
        <v>0</v>
      </c>
      <c r="AQ37" s="3404">
        <f>IF(AND(method_reg="Метод индексации",god&lt;&gt;first_year),_xlfn.SUMIFS(INDEX('Калькуляция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(МИ)'!$AJ$25:$BC$459,,MATCH(AQ$8,'Калькуляция (МИ)'!$AJ$8:$BC$8,0)),'Калькуляция (МИ)'!$F$25:$F$459,$F37,'Калькуляция (МИ)'!$G$25:$G$459,$G37))))</f>
        <v>0</v>
      </c>
      <c r="AR37" s="1080">
        <f>IF(AP37=0,0,(AQ37-AP37)/AP37*100)</f>
        <v>0</v>
      </c>
      <c r="AS37" s="3404">
        <f>IF(AND(method_reg="Метод индексации",god&lt;&gt;first_year),_xlfn.SUMIFS(INDEX('Калькуляция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(МИ)'!$AJ$25:$BC$459,,MATCH(AS$8,'Калькуляция (МИ)'!$AJ$8:$BC$8,0)),'Калькуляция (МИ)'!$F$25:$F$459,$F37,'Калькуляция (МИ)'!$G$25:$G$459,$G37))))</f>
        <v>0</v>
      </c>
      <c r="AT37" s="3404">
        <f>IF(AND(method_reg="Метод индексации",god&lt;&gt;first_year),_xlfn.SUMIFS(INDEX('Калькуляция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(МИ)'!$AJ$25:$BC$459,,MATCH(AT$8,'Калькуляция (МИ)'!$AJ$8:$BC$8,0)),'Калькуляция (МИ)'!$F$25:$F$459,$F37,'Калькуляция (МИ)'!$G$25:$G$459,$G37))))</f>
        <v>0</v>
      </c>
      <c r="AU37" s="1080">
        <f>IF(AS37=0,0,(AT37-AS37)/AS37*100)</f>
        <v>0</v>
      </c>
      <c r="AV37" s="3404">
        <f>IF(AND(method_reg="Метод индексации",god&lt;&gt;first_year),_xlfn.SUMIFS(INDEX('Калькуляция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(МИ)'!$AJ$25:$BC$459,,MATCH(AV$8,'Калькуляция (МИ)'!$AJ$8:$BC$8,0)),'Калькуляция (МИ)'!$F$25:$F$459,$F37,'Калькуляция (МИ)'!$G$25:$G$459,$G37))))</f>
        <v>0</v>
      </c>
      <c r="AW37" s="3404">
        <f>IF(AND(method_reg="Метод индексации",god&lt;&gt;first_year),_xlfn.SUMIFS(INDEX('Калькуляция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(МИ)'!$AJ$25:$BC$459,,MATCH(AW$8,'Калькуляция (МИ)'!$AJ$8:$BC$8,0)),'Калькуляция (МИ)'!$F$25:$F$459,$F37,'Калькуляция (МИ)'!$G$25:$G$459,$G37))))</f>
        <v>0</v>
      </c>
      <c r="AX37" s="1080">
        <f>IF(AV37=0,0,(AW37-AV37)/AV37*100)</f>
        <v>0</v>
      </c>
      <c r="AY37" s="3404">
        <f>IF(AND(method_reg="Метод индексации",god&lt;&gt;first_year),_xlfn.SUMIFS(INDEX('Калькуляция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(МИ)'!$AJ$25:$BC$459,,MATCH(AY$8,'Калькуляция (МИ)'!$AJ$8:$BC$8,0)),'Калькуляция (МИ)'!$F$25:$F$459,$F37,'Калькуляция (МИ)'!$G$25:$G$459,$G37))))</f>
        <v>0</v>
      </c>
      <c r="AZ37" s="3404">
        <f>IF(AND(method_reg="Метод индексации",god&lt;&gt;first_year),_xlfn.SUMIFS(INDEX('Калькуляция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(МИ)'!$AJ$25:$BC$459,,MATCH(AZ$8,'Калькуляция (МИ)'!$AJ$8:$BC$8,0)),'Калькуляция (МИ)'!$F$25:$F$459,$F37,'Калькуляция (МИ)'!$G$25:$G$459,$G37))))</f>
        <v>0</v>
      </c>
      <c r="BA37" s="1080">
        <f>IF(AY37=0,0,(AZ37-AY37)/AY37*100)</f>
        <v>0</v>
      </c>
      <c r="BB37" s="3404">
        <f>IF(AND(method_reg="Метод индексации",god&lt;&gt;first_year),_xlfn.SUMIFS(INDEX('Калькуляция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(МИ)'!$AJ$25:$BC$459,,MATCH(BB$8,'Калькуляция (МИ)'!$AJ$8:$BC$8,0)),'Калькуляция (МИ)'!$F$25:$F$459,$F37,'Калькуляция (МИ)'!$G$25:$G$459,$G37))))</f>
        <v>0</v>
      </c>
      <c r="BC37" s="3404">
        <f>IF(AND(method_reg="Метод индексации",god&lt;&gt;first_year),_xlfn.SUMIFS(INDEX('Калькуляция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(МИ)'!$AJ$25:$BC$459,,MATCH(BC$8,'Калькуляция (МИ)'!$AJ$8:$BC$8,0)),'Калькуляция (МИ)'!$F$25:$F$459,$F37,'Калькуляция (МИ)'!$G$25:$G$459,$G37))))</f>
        <v>0</v>
      </c>
      <c r="BD37" s="1080">
        <f>IF(BB37=0,0,(BC37-BB37)/BB37*100)</f>
        <v>0</v>
      </c>
      <c r="BE37" s="3404">
        <f>IF(AND(method_reg="Метод индексации",god&lt;&gt;first_year),_xlfn.SUMIFS(INDEX('Калькуляция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расходов",_xlfn.SUMIFS('Калькуляция (МЭОР)'!$AJ$25:$AJ$282,'Калькуляция (МЭОР)'!$F$25:$F$282,$F37,'Калькуляция (МЭОР)'!$G$25:$G$282,$G37),IF(method_reg="Метод сравнения аналогов",_xlfn.SUMIFS('Калькуляция (МСА)'!$AE$25:$AE$84,'Калькуляция (МСА)'!$F$25:$F$84,$F37,'Калькуляция (МСА)'!$G$25:$G$84,$G37),_xlfn.SUMIFS(INDEX('Калькуляция (МИ)'!$AJ$25:$BC$459,,MATCH(BE$8,'Калькуляция (МИ)'!$AJ$8:$BC$8,0)),'Калькуляция (МИ)'!$F$25:$F$459,$F37,'Калькуляция (МИ)'!$G$25:$G$459,$G37))))</f>
        <v>0</v>
      </c>
      <c r="BF37" s="3404">
        <f>IF(AND(method_reg="Метод индексации",god&lt;&gt;first_year),_xlfn.SUMIFS(INDEX('Калькуляция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расходов",_xlfn.SUMIFS('Калькуляция (МЭОР)'!$AK$25:$AK$282,'Калькуляция (МЭОР)'!$F$25:$F$282,$F37,'Калькуляция (МЭОР)'!$G$25:$G$282,$G37),IF(method_reg="Метод сравнения аналогов",_xlfn.SUMIFS('Калькуляция (МСА)'!$AF$25:$AF$84,'Калькуляция (МСА)'!$F$25:$F$84,$F37,'Калькуляция (МСА)'!$G$25:$G$84,$G37),_xlfn.SUMIFS(INDEX('Калькуляция (МИ)'!$AJ$25:$BC$459,,MATCH(BF$8,'Калькуляция (МИ)'!$AJ$8:$BC$8,0)),'Калькуляция (МИ)'!$F$25:$F$459,$F37,'Калькуляция (МИ)'!$G$25:$G$459,$G37))))</f>
        <v>0</v>
      </c>
      <c r="BG37" s="1080">
        <f>IF(BE37=0,0,(BF37-BE37)/BE37*100)</f>
        <v>0</v>
      </c>
      <c r="BH37" s="3404"/>
      <c r="BI37" s="3404"/>
      <c r="BJ37" s="1080">
        <f>IF(BH37=0,0,(BI37-BH37)/BH37*100)</f>
        <v>0</v>
      </c>
      <c r="BK37" s="3404"/>
      <c r="BL37" s="3404"/>
      <c r="BM37" s="1080">
        <f>IF(BK37=0,0,(BL37-BK37)/BK37*100)</f>
        <v>0</v>
      </c>
      <c r="BN37" s="3404"/>
      <c r="BO37" s="3404"/>
      <c r="BP37" s="1080">
        <f>IF(BN37=0,0,(BO37-BN37)/BN37*100)</f>
        <v>0</v>
      </c>
      <c r="BQ37" s="3404"/>
      <c r="BR37" s="3404"/>
      <c r="BS37" s="1080">
        <f>IF(BQ37=0,0,(BR37-BQ37)/BQ37*100)</f>
        <v>0</v>
      </c>
      <c r="BT37" s="3404"/>
      <c r="BU37" s="3404"/>
      <c r="BV37" s="1080">
        <f>IF(BT37=0,0,(BU37-BT37)/BT37*100)</f>
        <v>0</v>
      </c>
      <c r="BW37" s="3404"/>
      <c r="BX37" s="3404"/>
      <c r="BY37" s="1080">
        <f>IF(BW37=0,0,(BX37-BW37)/BW37*100)</f>
        <v>0</v>
      </c>
      <c r="BZ37" s="3404"/>
      <c r="CA37" s="3404"/>
      <c r="CB37" s="1080">
        <f>IF(BZ37=0,0,(CA37-BZ37)/BZ37*100)</f>
        <v>0</v>
      </c>
      <c r="CC37" s="3404"/>
      <c r="CD37" s="3404"/>
      <c r="CE37" s="1080">
        <f>IF(CC37=0,0,(CD37-CC37)/CC37*100)</f>
        <v>0</v>
      </c>
      <c r="CF37" s="3404"/>
      <c r="CG37" s="3404"/>
      <c r="CH37" s="1080">
        <f>IF(CF37=0,0,(CG37-CF37)/CF37*100)</f>
        <v>0</v>
      </c>
      <c r="CI37" s="3404"/>
      <c r="CJ37" s="3404"/>
      <c r="CK37" s="1080">
        <f>IF(CI37=0,0,(CJ37-CI37)/CI37*100)</f>
        <v>0</v>
      </c>
      <c r="CL37" s="3404"/>
      <c r="CM37" s="3404"/>
      <c r="CN37" s="1080">
        <f>IF(CL37=0,0,(CM37-CL37)/CL37*100)</f>
        <v>0</v>
      </c>
      <c r="CO37" s="3404"/>
      <c r="CP37" s="3404"/>
      <c r="CQ37" s="1080">
        <f>IF(CO37=0,0,(CP37-CO37)/CO37*100)</f>
        <v>0</v>
      </c>
      <c r="CR37" s="3404"/>
      <c r="CS37" s="3404"/>
      <c r="CT37" s="1080">
        <f>IF(CR37=0,0,(CS37-CR37)/CR37*100)</f>
        <v>0</v>
      </c>
      <c r="CU37" s="3404"/>
      <c r="CV37" s="3404"/>
      <c r="CW37" s="1080">
        <f>IF(CU37=0,0,(CV37-CU37)/CU37*100)</f>
        <v>0</v>
      </c>
      <c r="CX37" s="3404"/>
      <c r="CY37" s="3404"/>
      <c r="CZ37" s="1080">
        <f>IF(CX37=0,0,(CY37-CX37)/CX37*100)</f>
        <v>0</v>
      </c>
      <c r="DA37" s="3404"/>
      <c r="DB37" s="3404"/>
      <c r="DC37" s="1080">
        <f>IF(DA37=0,0,(DB37-DA37)/DA37*100)</f>
        <v>0</v>
      </c>
      <c r="DD37" s="3404"/>
      <c r="DE37" s="3404"/>
      <c r="DF37" s="1080">
        <f>IF(DD37=0,0,(DE37-DD37)/DD37*100)</f>
        <v>0</v>
      </c>
      <c r="DG37" s="3404"/>
      <c r="DH37" s="3404"/>
      <c r="DI37" s="1080">
        <f>IF(DG37=0,0,(DH37-DG37)/DG37*100)</f>
        <v>0</v>
      </c>
      <c r="DJ37" s="3404"/>
      <c r="DK37" s="3404"/>
      <c r="DL37" s="1080">
        <f>IF(DJ37=0,0,(DK37-DJ37)/DJ37*100)</f>
        <v>0</v>
      </c>
      <c r="DM37" s="3404"/>
      <c r="DN37" s="3404"/>
      <c r="DO37" s="1080">
        <f>IF(DM37=0,0,(DN37-DM37)/DM37*100)</f>
        <v>0</v>
      </c>
      <c r="DP37" s="3404"/>
      <c r="DQ37" s="3404"/>
      <c r="DR37" s="1080">
        <f>IF(DP37=0,0,(DQ37-DP37)/DP37*100)</f>
        <v>0</v>
      </c>
      <c r="DS37" s="3404"/>
      <c r="DT37" s="3404"/>
      <c r="DU37" s="1080">
        <f>IF(DS37=0,0,(DT37-DS37)/DS37*100)</f>
        <v>0</v>
      </c>
      <c r="DV37" s="3404"/>
      <c r="DW37" s="3404"/>
      <c r="DX37" s="1080">
        <f>IF(DV37=0,0,(DW37-DV37)/DV37*100)</f>
        <v>0</v>
      </c>
      <c r="DY37" s="3404"/>
      <c r="DZ37" s="3404"/>
      <c r="EA37" s="1080">
        <f>IF(DY37=0,0,(DZ37-DY37)/DY37*100)</f>
        <v>0</v>
      </c>
      <c r="EB37" s="3404"/>
      <c r="EC37" s="3404"/>
      <c r="ED37" s="1080">
        <f>IF(EB37=0,0,(EC37-EB37)/EB37*100)</f>
        <v>0</v>
      </c>
      <c r="EE37" s="3404"/>
      <c r="EF37" s="3404"/>
      <c r="EG37" s="1080">
        <f>IF(EE37=0,0,(EF37-EE37)/EE37*100)</f>
        <v>0</v>
      </c>
      <c r="EH37" s="3404"/>
      <c r="EI37" s="3404"/>
      <c r="EJ37" s="1080">
        <f>IF(EH37=0,0,(EI37-EH37)/EH37*100)</f>
        <v>0</v>
      </c>
      <c r="EK37" s="3404"/>
      <c r="EL37" s="3404"/>
      <c r="EM37" s="1080">
        <f>IF(EK37=0,0,(EL37-EK37)/EK37*100)</f>
        <v>0</v>
      </c>
      <c r="EN37" s="3404"/>
      <c r="EO37" s="3404"/>
      <c r="EP37" s="1080">
        <f>IF(EN37=0,0,(EO37-EN37)/EN37*100)</f>
        <v>0</v>
      </c>
      <c r="EQ37" s="3404"/>
      <c r="ER37" s="3404"/>
      <c r="ES37" s="1080">
        <f>IF(EQ37=0,0,(ER37-EQ37)/EQ37*100)</f>
        <v>0</v>
      </c>
      <c r="ET37" s="3404"/>
      <c r="EU37" s="3404"/>
      <c r="EV37" s="1080">
        <f>IF(ET37=0,0,(EU37-ET37)/ET37*100)</f>
        <v>0</v>
      </c>
      <c r="EW37" s="3404"/>
      <c r="EX37" s="3404"/>
      <c r="EY37" s="1080">
        <f>IF(EW37=0,0,(EX37-EW37)/EW37*100)</f>
        <v>0</v>
      </c>
      <c r="EZ37" s="3404"/>
      <c r="FA37" s="3404"/>
      <c r="FB37" s="1080">
        <f>IF(EZ37=0,0,(FA37-EZ37)/EZ37*100)</f>
        <v>0</v>
      </c>
      <c r="FC37" s="3404"/>
      <c r="FD37" s="3404"/>
      <c r="FE37" s="1080">
        <f>IF(FC37=0,0,(FD37-FC37)/FC37*100)</f>
        <v>0</v>
      </c>
      <c r="FF37" s="3404"/>
      <c r="FG37" s="3404"/>
      <c r="FH37" s="1080">
        <f>IF(FF37=0,0,(FG37-FF37)/FF37*100)</f>
        <v>0</v>
      </c>
      <c r="FI37" s="3404"/>
      <c r="FJ37" s="3404"/>
      <c r="FK37" s="1080">
        <f>IF(FI37=0,0,(FJ37-FI37)/FI37*100)</f>
        <v>0</v>
      </c>
      <c r="FL37" s="3404"/>
      <c r="FM37" s="3404"/>
      <c r="FN37" s="1080">
        <f>IF(FL37=0,0,(FM37-FL37)/FL37*100)</f>
        <v>0</v>
      </c>
      <c r="FO37" s="3404"/>
      <c r="FP37" s="3404"/>
      <c r="FQ37" s="1080">
        <f>IF(FO37=0,0,(FP37-FO37)/FO37*100)</f>
        <v>0</v>
      </c>
      <c r="FR37" s="3404"/>
      <c r="FS37" s="3404"/>
      <c r="FT37" s="1080">
        <f>IF(FR37=0,0,(FS37-FR37)/FR37*100)</f>
        <v>0</v>
      </c>
      <c r="FU37" s="3404"/>
      <c r="FV37" s="3404"/>
      <c r="FW37" s="1080">
        <f>IF(FU37=0,0,(FV37-FU37)/FU37*100)</f>
        <v>0</v>
      </c>
      <c r="FX37" s="259"/>
      <c r="FY37" s="676"/>
      <c r="FZ37" s="1039" t="s">
        <v>1505</v>
      </c>
      <c r="GA37" s="1061"/>
      <c r="GB37" s="1061"/>
      <c r="GC37" s="697"/>
      <c r="GD37" s="697"/>
    </row>
    <row s="259" customFormat="1" customHeight="1" ht="23.887500000000003" hidden="1">
      <c r="A38" s="879"/>
      <c r="B38" s="907" cm="1" t="str">
        <f t="array" ref="B38:B38">B37</f>
        <v>false</v>
      </c>
      <c r="C38" s="879"/>
      <c r="D38" s="879"/>
      <c r="E38" s="880">
        <v>24.5</v>
      </c>
      <c r="F38" s="50" cm="1" t="str">
        <f t="array" ref="F38:F38">OFFSET(E38,-1,1)</f>
        <v>0</v>
      </c>
      <c r="G38" s="73" t="s">
        <v>1506</v>
      </c>
      <c r="H38" s="467" t="s">
        <v>441</v>
      </c>
      <c r="I38" s="467" t="s">
        <v>1507</v>
      </c>
      <c r="J38" s="879"/>
      <c r="K38" s="879"/>
      <c r="L38" s="467"/>
      <c r="M38" s="879"/>
      <c r="N38" s="879"/>
      <c r="O38" s="879"/>
      <c r="P38" s="879"/>
      <c r="Q38" s="879"/>
      <c r="R38" s="467"/>
      <c r="S38" s="467"/>
      <c r="T38" s="439" cm="1" t="str">
        <f t="array" ref="T38:T38">T37</f>
        <v>false</v>
      </c>
      <c r="U38" s="879"/>
      <c r="V38" s="879"/>
      <c r="W38" s="879"/>
      <c r="X38" s="1534"/>
      <c r="Y38" s="879"/>
      <c r="Z38" s="1464"/>
      <c r="AA38" s="879"/>
      <c r="AB38" s="260" t="s">
        <v>1508</v>
      </c>
      <c r="AC38" s="261" t="s">
        <v>1494</v>
      </c>
      <c r="AD38" s="3395">
        <f>IF(AND(method_reg="Метод индексации",god&lt;&gt;first_year),_xlfn.SUMIFS(INDEX('Калькуляция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(МИ)'!$AJ$25:$BC$459,,MATCH(AD$8,'Калькуляция (МИ)'!$AJ$8:$BC$8,0)),'Калькуляция (МИ)'!$F$25:$F$459,$F38,'Калькуляция (МИ)'!$G$25:$G$459,$G38))))</f>
        <v>0</v>
      </c>
      <c r="AE38" s="3395">
        <f>IF(AND(method_reg="Метод индексации",god&lt;&gt;first_year),_xlfn.SUMIFS(INDEX('Калькуляция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(МИ)'!$AJ$25:$BC$459,,MATCH(AE$8,'Калькуляция (МИ)'!$AJ$8:$BC$8,0)),'Калькуляция (МИ)'!$F$25:$F$459,$F38,'Калькуляция (МИ)'!$G$25:$G$459,$G38))))</f>
        <v>0</v>
      </c>
      <c r="AF38" s="263">
        <f>IF(AD38=0,0,(AE38-AD38)/AD38*100)</f>
        <v>0</v>
      </c>
      <c r="AG38" s="3395">
        <f>IF(AND(method_reg="Метод индексации",god&lt;&gt;first_year),_xlfn.SUMIFS(INDEX('Калькуляция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(МИ)'!$AJ$25:$BC$459,,MATCH(AG$8,'Калькуляция (МИ)'!$AJ$8:$BC$8,0)),'Калькуляция (МИ)'!$F$25:$F$459,$F38,'Калькуляция (МИ)'!$G$25:$G$459,$G38))))</f>
        <v>0</v>
      </c>
      <c r="AH38" s="3395">
        <f>IF(AND(method_reg="Метод индексации",god&lt;&gt;first_year),_xlfn.SUMIFS(INDEX('Калькуляция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(МИ)'!$AJ$25:$BC$459,,MATCH(AH$8,'Калькуляция (МИ)'!$AJ$8:$BC$8,0)),'Калькуляция (МИ)'!$F$25:$F$459,$F38,'Калькуляция (МИ)'!$G$25:$G$459,$G38))))</f>
        <v>0</v>
      </c>
      <c r="AI38" s="263">
        <f>IF(AG38=0,0,(AH38-AG38)/AG38*100)</f>
        <v>0</v>
      </c>
      <c r="AJ38" s="3395">
        <f>IF(AND(method_reg="Метод индексации",god&lt;&gt;first_year),_xlfn.SUMIFS(INDEX('Калькуляция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(МИ)'!$AJ$25:$BC$459,,MATCH(AJ$8,'Калькуляция (МИ)'!$AJ$8:$BC$8,0)),'Калькуляция (МИ)'!$F$25:$F$459,$F38,'Калькуляция (МИ)'!$G$25:$G$459,$G38))))</f>
        <v>0</v>
      </c>
      <c r="AK38" s="3395">
        <f>IF(AND(method_reg="Метод индексации",god&lt;&gt;first_year),_xlfn.SUMIFS(INDEX('Калькуляция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(МИ)'!$AJ$25:$BC$459,,MATCH(AK$8,'Калькуляция (МИ)'!$AJ$8:$BC$8,0)),'Калькуляция (МИ)'!$F$25:$F$459,$F38,'Калькуляция (МИ)'!$G$25:$G$459,$G38))))</f>
        <v>0</v>
      </c>
      <c r="AL38" s="263">
        <f>IF(AJ38=0,0,(AK38-AJ38)/AJ38*100)</f>
        <v>0</v>
      </c>
      <c r="AM38" s="3395">
        <f>IF(AND(method_reg="Метод индексации",god&lt;&gt;first_year),_xlfn.SUMIFS(INDEX('Калькуляция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(МИ)'!$AJ$25:$BC$459,,MATCH(AM$8,'Калькуляция (МИ)'!$AJ$8:$BC$8,0)),'Калькуляция (МИ)'!$F$25:$F$459,$F38,'Калькуляция (МИ)'!$G$25:$G$459,$G38))))</f>
        <v>0</v>
      </c>
      <c r="AN38" s="3395">
        <f>IF(AND(method_reg="Метод индексации",god&lt;&gt;first_year),_xlfn.SUMIFS(INDEX('Калькуляция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(МИ)'!$AJ$25:$BC$459,,MATCH(AN$8,'Калькуляция (МИ)'!$AJ$8:$BC$8,0)),'Калькуляция (МИ)'!$F$25:$F$459,$F38,'Калькуляция (МИ)'!$G$25:$G$459,$G38))))</f>
        <v>0</v>
      </c>
      <c r="AO38" s="263">
        <f>IF(AM38=0,0,(AN38-AM38)/AM38*100)</f>
        <v>0</v>
      </c>
      <c r="AP38" s="3395">
        <f>IF(AND(method_reg="Метод индексации",god&lt;&gt;first_year),_xlfn.SUMIFS(INDEX('Калькуляция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(МИ)'!$AJ$25:$BC$459,,MATCH(AP$8,'Калькуляция (МИ)'!$AJ$8:$BC$8,0)),'Калькуляция (МИ)'!$F$25:$F$459,$F38,'Калькуляция (МИ)'!$G$25:$G$459,$G38))))</f>
        <v>0</v>
      </c>
      <c r="AQ38" s="3395">
        <f>IF(AND(method_reg="Метод индексации",god&lt;&gt;first_year),_xlfn.SUMIFS(INDEX('Калькуляция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(МИ)'!$AJ$25:$BC$459,,MATCH(AQ$8,'Калькуляция (МИ)'!$AJ$8:$BC$8,0)),'Калькуляция (МИ)'!$F$25:$F$459,$F38,'Калькуляция (МИ)'!$G$25:$G$459,$G38))))</f>
        <v>0</v>
      </c>
      <c r="AR38" s="263">
        <f>IF(AP38=0,0,(AQ38-AP38)/AP38*100)</f>
        <v>0</v>
      </c>
      <c r="AS38" s="3395">
        <f>IF(AND(method_reg="Метод индексации",god&lt;&gt;first_year),_xlfn.SUMIFS(INDEX('Калькуляция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(МИ)'!$AJ$25:$BC$459,,MATCH(AS$8,'Калькуляция (МИ)'!$AJ$8:$BC$8,0)),'Калькуляция (МИ)'!$F$25:$F$459,$F38,'Калькуляция (МИ)'!$G$25:$G$459,$G38))))</f>
        <v>0</v>
      </c>
      <c r="AT38" s="3395">
        <f>IF(AND(method_reg="Метод индексации",god&lt;&gt;first_year),_xlfn.SUMIFS(INDEX('Калькуляция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(МИ)'!$AJ$25:$BC$459,,MATCH(AT$8,'Калькуляция (МИ)'!$AJ$8:$BC$8,0)),'Калькуляция (МИ)'!$F$25:$F$459,$F38,'Калькуляция (МИ)'!$G$25:$G$459,$G38))))</f>
        <v>0</v>
      </c>
      <c r="AU38" s="263">
        <f>IF(AS38=0,0,(AT38-AS38)/AS38*100)</f>
        <v>0</v>
      </c>
      <c r="AV38" s="3395">
        <f>IF(AND(method_reg="Метод индексации",god&lt;&gt;first_year),_xlfn.SUMIFS(INDEX('Калькуляция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(МИ)'!$AJ$25:$BC$459,,MATCH(AV$8,'Калькуляция (МИ)'!$AJ$8:$BC$8,0)),'Калькуляция (МИ)'!$F$25:$F$459,$F38,'Калькуляция (МИ)'!$G$25:$G$459,$G38))))</f>
        <v>0</v>
      </c>
      <c r="AW38" s="3395">
        <f>IF(AND(method_reg="Метод индексации",god&lt;&gt;first_year),_xlfn.SUMIFS(INDEX('Калькуляция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(МИ)'!$AJ$25:$BC$459,,MATCH(AW$8,'Калькуляция (МИ)'!$AJ$8:$BC$8,0)),'Калькуляция (МИ)'!$F$25:$F$459,$F38,'Калькуляция (МИ)'!$G$25:$G$459,$G38))))</f>
        <v>0</v>
      </c>
      <c r="AX38" s="263">
        <f>IF(AV38=0,0,(AW38-AV38)/AV38*100)</f>
        <v>0</v>
      </c>
      <c r="AY38" s="3395">
        <f>IF(AND(method_reg="Метод индексации",god&lt;&gt;first_year),_xlfn.SUMIFS(INDEX('Калькуляция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(МИ)'!$AJ$25:$BC$459,,MATCH(AY$8,'Калькуляция (МИ)'!$AJ$8:$BC$8,0)),'Калькуляция (МИ)'!$F$25:$F$459,$F38,'Калькуляция (МИ)'!$G$25:$G$459,$G38))))</f>
        <v>0</v>
      </c>
      <c r="AZ38" s="3395">
        <f>IF(AND(method_reg="Метод индексации",god&lt;&gt;first_year),_xlfn.SUMIFS(INDEX('Калькуляция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(МИ)'!$AJ$25:$BC$459,,MATCH(AZ$8,'Калькуляция (МИ)'!$AJ$8:$BC$8,0)),'Калькуляция (МИ)'!$F$25:$F$459,$F38,'Калькуляция (МИ)'!$G$25:$G$459,$G38))))</f>
        <v>0</v>
      </c>
      <c r="BA38" s="263">
        <f>IF(AY38=0,0,(AZ38-AY38)/AY38*100)</f>
        <v>0</v>
      </c>
      <c r="BB38" s="3395">
        <f>IF(AND(method_reg="Метод индексации",god&lt;&gt;first_year),_xlfn.SUMIFS(INDEX('Калькуляция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(МИ)'!$AJ$25:$BC$459,,MATCH(BB$8,'Калькуляция (МИ)'!$AJ$8:$BC$8,0)),'Калькуляция (МИ)'!$F$25:$F$459,$F38,'Калькуляция (МИ)'!$G$25:$G$459,$G38))))</f>
        <v>0</v>
      </c>
      <c r="BC38" s="3395">
        <f>IF(AND(method_reg="Метод индексации",god&lt;&gt;first_year),_xlfn.SUMIFS(INDEX('Калькуляция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(МИ)'!$AJ$25:$BC$459,,MATCH(BC$8,'Калькуляция (МИ)'!$AJ$8:$BC$8,0)),'Калькуляция (МИ)'!$F$25:$F$459,$F38,'Калькуляция (МИ)'!$G$25:$G$459,$G38))))</f>
        <v>0</v>
      </c>
      <c r="BD38" s="263">
        <f>IF(BB38=0,0,(BC38-BB38)/BB38*100)</f>
        <v>0</v>
      </c>
      <c r="BE38" s="3395">
        <f>IF(AND(method_reg="Метод индексации",god&lt;&gt;first_year),_xlfn.SUMIFS(INDEX('Калькуляция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расходов",_xlfn.SUMIFS('Калькуляция (МЭОР)'!$AJ$25:$AJ$282,'Калькуляция (МЭОР)'!$F$25:$F$282,$F38,'Калькуляция (МЭОР)'!$G$25:$G$282,$G38),IF(method_reg="Метод сравнения аналогов",_xlfn.SUMIFS('Калькуляция (МСА)'!$AE$25:$AE$84,'Калькуляция (МСА)'!$F$25:$F$84,$F38,'Калькуляция (МСА)'!$G$25:$G$84,$G38),_xlfn.SUMIFS(INDEX('Калькуляция (МИ)'!$AJ$25:$BC$459,,MATCH(BE$8,'Калькуляция (МИ)'!$AJ$8:$BC$8,0)),'Калькуляция (МИ)'!$F$25:$F$459,$F38,'Калькуляция (МИ)'!$G$25:$G$459,$G38))))</f>
        <v>0</v>
      </c>
      <c r="BF38" s="3395">
        <f>IF(AND(method_reg="Метод индексации",god&lt;&gt;first_year),_xlfn.SUMIFS(INDEX('Калькуляция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расходов",_xlfn.SUMIFS('Калькуляция (МЭОР)'!$AK$25:$AK$282,'Калькуляция (МЭОР)'!$F$25:$F$282,$F38,'Калькуляция (МЭОР)'!$G$25:$G$282,$G38),IF(method_reg="Метод сравнения аналогов",_xlfn.SUMIFS('Калькуляция (МСА)'!$AF$25:$AF$84,'Калькуляция (МСА)'!$F$25:$F$84,$F38,'Калькуляция (МСА)'!$G$25:$G$84,$G38),_xlfn.SUMIFS(INDEX('Калькуляция (МИ)'!$AJ$25:$BC$459,,MATCH(BF$8,'Калькуляция (МИ)'!$AJ$8:$BC$8,0)),'Калькуляция (МИ)'!$F$25:$F$459,$F38,'Калькуляция (МИ)'!$G$25:$G$459,$G38))))</f>
        <v>0</v>
      </c>
      <c r="BG38" s="263">
        <f>IF(BE38=0,0,(BF38-BE38)/BE38*100)</f>
        <v>0</v>
      </c>
      <c r="BH38" s="3395"/>
      <c r="BI38" s="3395"/>
      <c r="BJ38" s="263">
        <f>IF(BH38=0,0,(BI38-BH38)/BH38*100)</f>
        <v>0</v>
      </c>
      <c r="BK38" s="3395"/>
      <c r="BL38" s="3395"/>
      <c r="BM38" s="263">
        <f>IF(BK38=0,0,(BL38-BK38)/BK38*100)</f>
        <v>0</v>
      </c>
      <c r="BN38" s="3395"/>
      <c r="BO38" s="3395"/>
      <c r="BP38" s="263">
        <f>IF(BN38=0,0,(BO38-BN38)/BN38*100)</f>
        <v>0</v>
      </c>
      <c r="BQ38" s="3395"/>
      <c r="BR38" s="3395"/>
      <c r="BS38" s="263">
        <f>IF(BQ38=0,0,(BR38-BQ38)/BQ38*100)</f>
        <v>0</v>
      </c>
      <c r="BT38" s="3395"/>
      <c r="BU38" s="3395"/>
      <c r="BV38" s="263">
        <f>IF(BT38=0,0,(BU38-BT38)/BT38*100)</f>
        <v>0</v>
      </c>
      <c r="BW38" s="3395"/>
      <c r="BX38" s="3395"/>
      <c r="BY38" s="263">
        <f>IF(BW38=0,0,(BX38-BW38)/BW38*100)</f>
        <v>0</v>
      </c>
      <c r="BZ38" s="3395"/>
      <c r="CA38" s="3395"/>
      <c r="CB38" s="263">
        <f>IF(BZ38=0,0,(CA38-BZ38)/BZ38*100)</f>
        <v>0</v>
      </c>
      <c r="CC38" s="3395"/>
      <c r="CD38" s="3395"/>
      <c r="CE38" s="263">
        <f>IF(CC38=0,0,(CD38-CC38)/CC38*100)</f>
        <v>0</v>
      </c>
      <c r="CF38" s="3395"/>
      <c r="CG38" s="3395"/>
      <c r="CH38" s="263">
        <f>IF(CF38=0,0,(CG38-CF38)/CF38*100)</f>
        <v>0</v>
      </c>
      <c r="CI38" s="3395"/>
      <c r="CJ38" s="3395"/>
      <c r="CK38" s="263">
        <f>IF(CI38=0,0,(CJ38-CI38)/CI38*100)</f>
        <v>0</v>
      </c>
      <c r="CL38" s="3395"/>
      <c r="CM38" s="3395"/>
      <c r="CN38" s="263">
        <f>IF(CL38=0,0,(CM38-CL38)/CL38*100)</f>
        <v>0</v>
      </c>
      <c r="CO38" s="3395"/>
      <c r="CP38" s="3395"/>
      <c r="CQ38" s="263">
        <f>IF(CO38=0,0,(CP38-CO38)/CO38*100)</f>
        <v>0</v>
      </c>
      <c r="CR38" s="3395"/>
      <c r="CS38" s="3395"/>
      <c r="CT38" s="263">
        <f>IF(CR38=0,0,(CS38-CR38)/CR38*100)</f>
        <v>0</v>
      </c>
      <c r="CU38" s="3395"/>
      <c r="CV38" s="3395"/>
      <c r="CW38" s="263">
        <f>IF(CU38=0,0,(CV38-CU38)/CU38*100)</f>
        <v>0</v>
      </c>
      <c r="CX38" s="3395"/>
      <c r="CY38" s="3395"/>
      <c r="CZ38" s="263">
        <f>IF(CX38=0,0,(CY38-CX38)/CX38*100)</f>
        <v>0</v>
      </c>
      <c r="DA38" s="3395"/>
      <c r="DB38" s="3395"/>
      <c r="DC38" s="263">
        <f>IF(DA38=0,0,(DB38-DA38)/DA38*100)</f>
        <v>0</v>
      </c>
      <c r="DD38" s="3395"/>
      <c r="DE38" s="3395"/>
      <c r="DF38" s="263">
        <f>IF(DD38=0,0,(DE38-DD38)/DD38*100)</f>
        <v>0</v>
      </c>
      <c r="DG38" s="3395"/>
      <c r="DH38" s="3395"/>
      <c r="DI38" s="263">
        <f>IF(DG38=0,0,(DH38-DG38)/DG38*100)</f>
        <v>0</v>
      </c>
      <c r="DJ38" s="3395"/>
      <c r="DK38" s="3395"/>
      <c r="DL38" s="263">
        <f>IF(DJ38=0,0,(DK38-DJ38)/DJ38*100)</f>
        <v>0</v>
      </c>
      <c r="DM38" s="3395"/>
      <c r="DN38" s="3395"/>
      <c r="DO38" s="263">
        <f>IF(DM38=0,0,(DN38-DM38)/DM38*100)</f>
        <v>0</v>
      </c>
      <c r="DP38" s="3395"/>
      <c r="DQ38" s="3395"/>
      <c r="DR38" s="263">
        <f>IF(DP38=0,0,(DQ38-DP38)/DP38*100)</f>
        <v>0</v>
      </c>
      <c r="DS38" s="3395"/>
      <c r="DT38" s="3395"/>
      <c r="DU38" s="263">
        <f>IF(DS38=0,0,(DT38-DS38)/DS38*100)</f>
        <v>0</v>
      </c>
      <c r="DV38" s="3395"/>
      <c r="DW38" s="3395"/>
      <c r="DX38" s="263">
        <f>IF(DV38=0,0,(DW38-DV38)/DV38*100)</f>
        <v>0</v>
      </c>
      <c r="DY38" s="3395"/>
      <c r="DZ38" s="3395"/>
      <c r="EA38" s="263">
        <f>IF(DY38=0,0,(DZ38-DY38)/DY38*100)</f>
        <v>0</v>
      </c>
      <c r="EB38" s="3395"/>
      <c r="EC38" s="3395"/>
      <c r="ED38" s="263">
        <f>IF(EB38=0,0,(EC38-EB38)/EB38*100)</f>
        <v>0</v>
      </c>
      <c r="EE38" s="3395"/>
      <c r="EF38" s="3395"/>
      <c r="EG38" s="263">
        <f>IF(EE38=0,0,(EF38-EE38)/EE38*100)</f>
        <v>0</v>
      </c>
      <c r="EH38" s="3395"/>
      <c r="EI38" s="3395"/>
      <c r="EJ38" s="263">
        <f>IF(EH38=0,0,(EI38-EH38)/EH38*100)</f>
        <v>0</v>
      </c>
      <c r="EK38" s="3395"/>
      <c r="EL38" s="3395"/>
      <c r="EM38" s="263">
        <f>IF(EK38=0,0,(EL38-EK38)/EK38*100)</f>
        <v>0</v>
      </c>
      <c r="EN38" s="3395"/>
      <c r="EO38" s="3395"/>
      <c r="EP38" s="263">
        <f>IF(EN38=0,0,(EO38-EN38)/EN38*100)</f>
        <v>0</v>
      </c>
      <c r="EQ38" s="3395"/>
      <c r="ER38" s="3395"/>
      <c r="ES38" s="263">
        <f>IF(EQ38=0,0,(ER38-EQ38)/EQ38*100)</f>
        <v>0</v>
      </c>
      <c r="ET38" s="3395"/>
      <c r="EU38" s="3395"/>
      <c r="EV38" s="263">
        <f>IF(ET38=0,0,(EU38-ET38)/ET38*100)</f>
        <v>0</v>
      </c>
      <c r="EW38" s="3395"/>
      <c r="EX38" s="3395"/>
      <c r="EY38" s="263">
        <f>IF(EW38=0,0,(EX38-EW38)/EW38*100)</f>
        <v>0</v>
      </c>
      <c r="EZ38" s="3395"/>
      <c r="FA38" s="3395"/>
      <c r="FB38" s="263">
        <f>IF(EZ38=0,0,(FA38-EZ38)/EZ38*100)</f>
        <v>0</v>
      </c>
      <c r="FC38" s="3395"/>
      <c r="FD38" s="3395"/>
      <c r="FE38" s="263">
        <f>IF(FC38=0,0,(FD38-FC38)/FC38*100)</f>
        <v>0</v>
      </c>
      <c r="FF38" s="3395"/>
      <c r="FG38" s="3395"/>
      <c r="FH38" s="263">
        <f>IF(FF38=0,0,(FG38-FF38)/FF38*100)</f>
        <v>0</v>
      </c>
      <c r="FI38" s="3395"/>
      <c r="FJ38" s="3395"/>
      <c r="FK38" s="263">
        <f>IF(FI38=0,0,(FJ38-FI38)/FI38*100)</f>
        <v>0</v>
      </c>
      <c r="FL38" s="3395"/>
      <c r="FM38" s="3395"/>
      <c r="FN38" s="263">
        <f>IF(FL38=0,0,(FM38-FL38)/FL38*100)</f>
        <v>0</v>
      </c>
      <c r="FO38" s="3395"/>
      <c r="FP38" s="3395"/>
      <c r="FQ38" s="263">
        <f>IF(FO38=0,0,(FP38-FO38)/FO38*100)</f>
        <v>0</v>
      </c>
      <c r="FR38" s="3395"/>
      <c r="FS38" s="3395"/>
      <c r="FT38" s="263">
        <f>IF(FR38=0,0,(FS38-FR38)/FR38*100)</f>
        <v>0</v>
      </c>
      <c r="FU38" s="3395"/>
      <c r="FV38" s="3395"/>
      <c r="FW38" s="263">
        <f>IF(FU38=0,0,(FV38-FU38)/FU38*100)</f>
        <v>0</v>
      </c>
      <c r="FX38" s="259"/>
      <c r="FY38" s="259"/>
      <c r="FZ38" s="1039" t="s">
        <v>1509</v>
      </c>
      <c r="GA38" s="1039"/>
      <c r="GB38" s="1039"/>
      <c r="GC38" s="1040"/>
      <c r="GD38" s="1040"/>
    </row>
    <row s="259" customFormat="1" customHeight="1" ht="23.887500000000003" hidden="1">
      <c r="A39" s="879"/>
      <c r="B39" s="907" cm="1" t="str">
        <f t="array" ref="B39:B39">B38</f>
        <v>false</v>
      </c>
      <c r="C39" s="879"/>
      <c r="D39" s="879"/>
      <c r="E39" s="880">
        <v>24.5</v>
      </c>
      <c r="F39" s="50" cm="1" t="str">
        <f t="array" ref="F39:F39">OFFSET(E39,-1,1)</f>
        <v>0</v>
      </c>
      <c r="G39" s="73" t="s">
        <v>1510</v>
      </c>
      <c r="H39" s="467" t="s">
        <v>441</v>
      </c>
      <c r="I39" s="467" t="s">
        <v>1511</v>
      </c>
      <c r="J39" s="879"/>
      <c r="K39" s="879"/>
      <c r="L39" s="467"/>
      <c r="M39" s="879"/>
      <c r="N39" s="879"/>
      <c r="O39" s="879"/>
      <c r="P39" s="879"/>
      <c r="Q39" s="879"/>
      <c r="R39" s="467"/>
      <c r="S39" s="467"/>
      <c r="T39" s="439" cm="1" t="str">
        <f t="array" ref="T39:T39">T38</f>
        <v>false</v>
      </c>
      <c r="U39" s="879"/>
      <c r="V39" s="879"/>
      <c r="W39" s="879"/>
      <c r="X39" s="1534"/>
      <c r="Y39" s="879"/>
      <c r="Z39" s="1464"/>
      <c r="AA39" s="879"/>
      <c r="AB39" s="1075" t="s">
        <v>1512</v>
      </c>
      <c r="AC39" s="261" t="s">
        <v>1494</v>
      </c>
      <c r="AD39" s="3395">
        <f>IF(AND(method_reg="Метод индексации",god&lt;&gt;first_year),_xlfn.SUMIFS(INDEX('Калькуляция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(МИ)'!$AJ$25:$BC$459,,MATCH(AD$8,'Калькуляция (МИ)'!$AJ$8:$BC$8,0)),'Калькуляция (МИ)'!$F$25:$F$459,$F39,'Калькуляция (МИ)'!$G$25:$G$459,$G39))))</f>
        <v>0</v>
      </c>
      <c r="AE39" s="3395">
        <f>IF(AND(method_reg="Метод индексации",god&lt;&gt;first_year),_xlfn.SUMIFS(INDEX('Калькуляция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(МИ)'!$AJ$25:$BC$459,,MATCH(AE$8,'Калькуляция (МИ)'!$AJ$8:$BC$8,0)),'Калькуляция (МИ)'!$F$25:$F$459,$F39,'Калькуляция (МИ)'!$G$25:$G$459,$G39))))</f>
        <v>0</v>
      </c>
      <c r="AF39" s="263">
        <f>IF(AD39=0,0,(AE39-AD39)/AD39*100)</f>
        <v>0</v>
      </c>
      <c r="AG39" s="3395">
        <f>IF(AND(method_reg="Метод индексации",god&lt;&gt;first_year),_xlfn.SUMIFS(INDEX('Калькуляция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(МИ)'!$AJ$25:$BC$459,,MATCH(AG$8,'Калькуляция (МИ)'!$AJ$8:$BC$8,0)),'Калькуляция (МИ)'!$F$25:$F$459,$F39,'Калькуляция (МИ)'!$G$25:$G$459,$G39))))</f>
        <v>0</v>
      </c>
      <c r="AH39" s="3395">
        <f>IF(AND(method_reg="Метод индексации",god&lt;&gt;first_year),_xlfn.SUMIFS(INDEX('Калькуляция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(МИ)'!$AJ$25:$BC$459,,MATCH(AH$8,'Калькуляция (МИ)'!$AJ$8:$BC$8,0)),'Калькуляция (МИ)'!$F$25:$F$459,$F39,'Калькуляция (МИ)'!$G$25:$G$459,$G39))))</f>
        <v>0</v>
      </c>
      <c r="AI39" s="263">
        <f>IF(AG39=0,0,(AH39-AG39)/AG39*100)</f>
        <v>0</v>
      </c>
      <c r="AJ39" s="3395">
        <f>IF(AND(method_reg="Метод индексации",god&lt;&gt;first_year),_xlfn.SUMIFS(INDEX('Калькуляция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(МИ)'!$AJ$25:$BC$459,,MATCH(AJ$8,'Калькуляция (МИ)'!$AJ$8:$BC$8,0)),'Калькуляция (МИ)'!$F$25:$F$459,$F39,'Калькуляция (МИ)'!$G$25:$G$459,$G39))))</f>
        <v>0</v>
      </c>
      <c r="AK39" s="3395">
        <f>IF(AND(method_reg="Метод индексации",god&lt;&gt;first_year),_xlfn.SUMIFS(INDEX('Калькуляция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(МИ)'!$AJ$25:$BC$459,,MATCH(AK$8,'Калькуляция (МИ)'!$AJ$8:$BC$8,0)),'Калькуляция (МИ)'!$F$25:$F$459,$F39,'Калькуляция (МИ)'!$G$25:$G$459,$G39))))</f>
        <v>0</v>
      </c>
      <c r="AL39" s="263">
        <f>IF(AJ39=0,0,(AK39-AJ39)/AJ39*100)</f>
        <v>0</v>
      </c>
      <c r="AM39" s="3395">
        <f>IF(AND(method_reg="Метод индексации",god&lt;&gt;first_year),_xlfn.SUMIFS(INDEX('Калькуляция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(МИ)'!$AJ$25:$BC$459,,MATCH(AM$8,'Калькуляция (МИ)'!$AJ$8:$BC$8,0)),'Калькуляция (МИ)'!$F$25:$F$459,$F39,'Калькуляция (МИ)'!$G$25:$G$459,$G39))))</f>
        <v>0</v>
      </c>
      <c r="AN39" s="3395">
        <f>IF(AND(method_reg="Метод индексации",god&lt;&gt;first_year),_xlfn.SUMIFS(INDEX('Калькуляция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(МИ)'!$AJ$25:$BC$459,,MATCH(AN$8,'Калькуляция (МИ)'!$AJ$8:$BC$8,0)),'Калькуляция (МИ)'!$F$25:$F$459,$F39,'Калькуляция (МИ)'!$G$25:$G$459,$G39))))</f>
        <v>0</v>
      </c>
      <c r="AO39" s="263">
        <f>IF(AM39=0,0,(AN39-AM39)/AM39*100)</f>
        <v>0</v>
      </c>
      <c r="AP39" s="3395">
        <f>IF(AND(method_reg="Метод индексации",god&lt;&gt;first_year),_xlfn.SUMIFS(INDEX('Калькуляция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(МИ)'!$AJ$25:$BC$459,,MATCH(AP$8,'Калькуляция (МИ)'!$AJ$8:$BC$8,0)),'Калькуляция (МИ)'!$F$25:$F$459,$F39,'Калькуляция (МИ)'!$G$25:$G$459,$G39))))</f>
        <v>0</v>
      </c>
      <c r="AQ39" s="3395">
        <f>IF(AND(method_reg="Метод индексации",god&lt;&gt;first_year),_xlfn.SUMIFS(INDEX('Калькуляция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(МИ)'!$AJ$25:$BC$459,,MATCH(AQ$8,'Калькуляция (МИ)'!$AJ$8:$BC$8,0)),'Калькуляция (МИ)'!$F$25:$F$459,$F39,'Калькуляция (МИ)'!$G$25:$G$459,$G39))))</f>
        <v>0</v>
      </c>
      <c r="AR39" s="263">
        <f>IF(AP39=0,0,(AQ39-AP39)/AP39*100)</f>
        <v>0</v>
      </c>
      <c r="AS39" s="3395">
        <f>IF(AND(method_reg="Метод индексации",god&lt;&gt;first_year),_xlfn.SUMIFS(INDEX('Калькуляция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(МИ)'!$AJ$25:$BC$459,,MATCH(AS$8,'Калькуляция (МИ)'!$AJ$8:$BC$8,0)),'Калькуляция (МИ)'!$F$25:$F$459,$F39,'Калькуляция (МИ)'!$G$25:$G$459,$G39))))</f>
        <v>0</v>
      </c>
      <c r="AT39" s="3395">
        <f>IF(AND(method_reg="Метод индексации",god&lt;&gt;first_year),_xlfn.SUMIFS(INDEX('Калькуляция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(МИ)'!$AJ$25:$BC$459,,MATCH(AT$8,'Калькуляция (МИ)'!$AJ$8:$BC$8,0)),'Калькуляция (МИ)'!$F$25:$F$459,$F39,'Калькуляция (МИ)'!$G$25:$G$459,$G39))))</f>
        <v>0</v>
      </c>
      <c r="AU39" s="263">
        <f>IF(AS39=0,0,(AT39-AS39)/AS39*100)</f>
        <v>0</v>
      </c>
      <c r="AV39" s="3395">
        <f>IF(AND(method_reg="Метод индексации",god&lt;&gt;first_year),_xlfn.SUMIFS(INDEX('Калькуляция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(МИ)'!$AJ$25:$BC$459,,MATCH(AV$8,'Калькуляция (МИ)'!$AJ$8:$BC$8,0)),'Калькуляция (МИ)'!$F$25:$F$459,$F39,'Калькуляция (МИ)'!$G$25:$G$459,$G39))))</f>
        <v>0</v>
      </c>
      <c r="AW39" s="3395">
        <f>IF(AND(method_reg="Метод индексации",god&lt;&gt;first_year),_xlfn.SUMIFS(INDEX('Калькуляция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(МИ)'!$AJ$25:$BC$459,,MATCH(AW$8,'Калькуляция (МИ)'!$AJ$8:$BC$8,0)),'Калькуляция (МИ)'!$F$25:$F$459,$F39,'Калькуляция (МИ)'!$G$25:$G$459,$G39))))</f>
        <v>0</v>
      </c>
      <c r="AX39" s="263">
        <f>IF(AV39=0,0,(AW39-AV39)/AV39*100)</f>
        <v>0</v>
      </c>
      <c r="AY39" s="3395">
        <f>IF(AND(method_reg="Метод индексации",god&lt;&gt;first_year),_xlfn.SUMIFS(INDEX('Калькуляция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(МИ)'!$AJ$25:$BC$459,,MATCH(AY$8,'Калькуляция (МИ)'!$AJ$8:$BC$8,0)),'Калькуляция (МИ)'!$F$25:$F$459,$F39,'Калькуляция (МИ)'!$G$25:$G$459,$G39))))</f>
        <v>0</v>
      </c>
      <c r="AZ39" s="3395">
        <f>IF(AND(method_reg="Метод индексации",god&lt;&gt;first_year),_xlfn.SUMIFS(INDEX('Калькуляция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(МИ)'!$AJ$25:$BC$459,,MATCH(AZ$8,'Калькуляция (МИ)'!$AJ$8:$BC$8,0)),'Калькуляция (МИ)'!$F$25:$F$459,$F39,'Калькуляция (МИ)'!$G$25:$G$459,$G39))))</f>
        <v>0</v>
      </c>
      <c r="BA39" s="263">
        <f>IF(AY39=0,0,(AZ39-AY39)/AY39*100)</f>
        <v>0</v>
      </c>
      <c r="BB39" s="3395">
        <f>IF(AND(method_reg="Метод индексации",god&lt;&gt;first_year),_xlfn.SUMIFS(INDEX('Калькуляция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(МИ)'!$AJ$25:$BC$459,,MATCH(BB$8,'Калькуляция (МИ)'!$AJ$8:$BC$8,0)),'Калькуляция (МИ)'!$F$25:$F$459,$F39,'Калькуляция (МИ)'!$G$25:$G$459,$G39))))</f>
        <v>0</v>
      </c>
      <c r="BC39" s="3395">
        <f>IF(AND(method_reg="Метод индексации",god&lt;&gt;first_year),_xlfn.SUMIFS(INDEX('Калькуляция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(МИ)'!$AJ$25:$BC$459,,MATCH(BC$8,'Калькуляция (МИ)'!$AJ$8:$BC$8,0)),'Калькуляция (МИ)'!$F$25:$F$459,$F39,'Калькуляция (МИ)'!$G$25:$G$459,$G39))))</f>
        <v>0</v>
      </c>
      <c r="BD39" s="263">
        <f>IF(BB39=0,0,(BC39-BB39)/BB39*100)</f>
        <v>0</v>
      </c>
      <c r="BE39" s="3395">
        <f>IF(AND(method_reg="Метод индексации",god&lt;&gt;first_year),_xlfn.SUMIFS(INDEX('Калькуляция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расходов",_xlfn.SUMIFS('Калькуляция (МЭОР)'!$AJ$25:$AJ$282,'Калькуляция (МЭОР)'!$F$25:$F$282,$F39,'Калькуляция (МЭОР)'!$G$25:$G$282,$G39),IF(method_reg="Метод сравнения аналогов",_xlfn.SUMIFS('Калькуляция (МСА)'!$AE$25:$AE$84,'Калькуляция (МСА)'!$F$25:$F$84,$F39,'Калькуляция (МСА)'!$G$25:$G$84,$G39),_xlfn.SUMIFS(INDEX('Калькуляция (МИ)'!$AJ$25:$BC$459,,MATCH(BE$8,'Калькуляция (МИ)'!$AJ$8:$BC$8,0)),'Калькуляция (МИ)'!$F$25:$F$459,$F39,'Калькуляция (МИ)'!$G$25:$G$459,$G39))))</f>
        <v>0</v>
      </c>
      <c r="BF39" s="3395">
        <f>IF(AND(method_reg="Метод индексации",god&lt;&gt;first_year),_xlfn.SUMIFS(INDEX('Калькуляция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расходов",_xlfn.SUMIFS('Калькуляция (МЭОР)'!$AK$25:$AK$282,'Калькуляция (МЭОР)'!$F$25:$F$282,$F39,'Калькуляция (МЭОР)'!$G$25:$G$282,$G39),IF(method_reg="Метод сравнения аналогов",_xlfn.SUMIFS('Калькуляция (МСА)'!$AF$25:$AF$84,'Калькуляция (МСА)'!$F$25:$F$84,$F39,'Калькуляция (МСА)'!$G$25:$G$84,$G39),_xlfn.SUMIFS(INDEX('Калькуляция (МИ)'!$AJ$25:$BC$459,,MATCH(BF$8,'Калькуляция (МИ)'!$AJ$8:$BC$8,0)),'Калькуляция (МИ)'!$F$25:$F$459,$F39,'Калькуляция (МИ)'!$G$25:$G$459,$G39))))</f>
        <v>0</v>
      </c>
      <c r="BG39" s="263">
        <f>IF(BE39=0,0,(BF39-BE39)/BE39*100)</f>
        <v>0</v>
      </c>
      <c r="BH39" s="3395"/>
      <c r="BI39" s="3395"/>
      <c r="BJ39" s="263">
        <f>IF(BH39=0,0,(BI39-BH39)/BH39*100)</f>
        <v>0</v>
      </c>
      <c r="BK39" s="3395"/>
      <c r="BL39" s="3395"/>
      <c r="BM39" s="263">
        <f>IF(BK39=0,0,(BL39-BK39)/BK39*100)</f>
        <v>0</v>
      </c>
      <c r="BN39" s="3395"/>
      <c r="BO39" s="3395"/>
      <c r="BP39" s="263">
        <f>IF(BN39=0,0,(BO39-BN39)/BN39*100)</f>
        <v>0</v>
      </c>
      <c r="BQ39" s="3395"/>
      <c r="BR39" s="3395"/>
      <c r="BS39" s="263">
        <f>IF(BQ39=0,0,(BR39-BQ39)/BQ39*100)</f>
        <v>0</v>
      </c>
      <c r="BT39" s="3395"/>
      <c r="BU39" s="3395"/>
      <c r="BV39" s="263">
        <f>IF(BT39=0,0,(BU39-BT39)/BT39*100)</f>
        <v>0</v>
      </c>
      <c r="BW39" s="3395"/>
      <c r="BX39" s="3395"/>
      <c r="BY39" s="263">
        <f>IF(BW39=0,0,(BX39-BW39)/BW39*100)</f>
        <v>0</v>
      </c>
      <c r="BZ39" s="3395"/>
      <c r="CA39" s="3395"/>
      <c r="CB39" s="263">
        <f>IF(BZ39=0,0,(CA39-BZ39)/BZ39*100)</f>
        <v>0</v>
      </c>
      <c r="CC39" s="3395"/>
      <c r="CD39" s="3395"/>
      <c r="CE39" s="263">
        <f>IF(CC39=0,0,(CD39-CC39)/CC39*100)</f>
        <v>0</v>
      </c>
      <c r="CF39" s="3395"/>
      <c r="CG39" s="3395"/>
      <c r="CH39" s="263">
        <f>IF(CF39=0,0,(CG39-CF39)/CF39*100)</f>
        <v>0</v>
      </c>
      <c r="CI39" s="3395"/>
      <c r="CJ39" s="3395"/>
      <c r="CK39" s="263">
        <f>IF(CI39=0,0,(CJ39-CI39)/CI39*100)</f>
        <v>0</v>
      </c>
      <c r="CL39" s="3395"/>
      <c r="CM39" s="3395"/>
      <c r="CN39" s="263">
        <f>IF(CL39=0,0,(CM39-CL39)/CL39*100)</f>
        <v>0</v>
      </c>
      <c r="CO39" s="3395"/>
      <c r="CP39" s="3395"/>
      <c r="CQ39" s="263">
        <f>IF(CO39=0,0,(CP39-CO39)/CO39*100)</f>
        <v>0</v>
      </c>
      <c r="CR39" s="3395"/>
      <c r="CS39" s="3395"/>
      <c r="CT39" s="263">
        <f>IF(CR39=0,0,(CS39-CR39)/CR39*100)</f>
        <v>0</v>
      </c>
      <c r="CU39" s="3395"/>
      <c r="CV39" s="3395"/>
      <c r="CW39" s="263">
        <f>IF(CU39=0,0,(CV39-CU39)/CU39*100)</f>
        <v>0</v>
      </c>
      <c r="CX39" s="3395"/>
      <c r="CY39" s="3395"/>
      <c r="CZ39" s="263">
        <f>IF(CX39=0,0,(CY39-CX39)/CX39*100)</f>
        <v>0</v>
      </c>
      <c r="DA39" s="3395"/>
      <c r="DB39" s="3395"/>
      <c r="DC39" s="263">
        <f>IF(DA39=0,0,(DB39-DA39)/DA39*100)</f>
        <v>0</v>
      </c>
      <c r="DD39" s="3395"/>
      <c r="DE39" s="3395"/>
      <c r="DF39" s="263">
        <f>IF(DD39=0,0,(DE39-DD39)/DD39*100)</f>
        <v>0</v>
      </c>
      <c r="DG39" s="3395"/>
      <c r="DH39" s="3395"/>
      <c r="DI39" s="263">
        <f>IF(DG39=0,0,(DH39-DG39)/DG39*100)</f>
        <v>0</v>
      </c>
      <c r="DJ39" s="3395"/>
      <c r="DK39" s="3395"/>
      <c r="DL39" s="263">
        <f>IF(DJ39=0,0,(DK39-DJ39)/DJ39*100)</f>
        <v>0</v>
      </c>
      <c r="DM39" s="3395"/>
      <c r="DN39" s="3395"/>
      <c r="DO39" s="263">
        <f>IF(DM39=0,0,(DN39-DM39)/DM39*100)</f>
        <v>0</v>
      </c>
      <c r="DP39" s="3395"/>
      <c r="DQ39" s="3395"/>
      <c r="DR39" s="263">
        <f>IF(DP39=0,0,(DQ39-DP39)/DP39*100)</f>
        <v>0</v>
      </c>
      <c r="DS39" s="3395"/>
      <c r="DT39" s="3395"/>
      <c r="DU39" s="263">
        <f>IF(DS39=0,0,(DT39-DS39)/DS39*100)</f>
        <v>0</v>
      </c>
      <c r="DV39" s="3395"/>
      <c r="DW39" s="3395"/>
      <c r="DX39" s="263">
        <f>IF(DV39=0,0,(DW39-DV39)/DV39*100)</f>
        <v>0</v>
      </c>
      <c r="DY39" s="3395"/>
      <c r="DZ39" s="3395"/>
      <c r="EA39" s="263">
        <f>IF(DY39=0,0,(DZ39-DY39)/DY39*100)</f>
        <v>0</v>
      </c>
      <c r="EB39" s="3395"/>
      <c r="EC39" s="3395"/>
      <c r="ED39" s="263">
        <f>IF(EB39=0,0,(EC39-EB39)/EB39*100)</f>
        <v>0</v>
      </c>
      <c r="EE39" s="3395"/>
      <c r="EF39" s="3395"/>
      <c r="EG39" s="263">
        <f>IF(EE39=0,0,(EF39-EE39)/EE39*100)</f>
        <v>0</v>
      </c>
      <c r="EH39" s="3395"/>
      <c r="EI39" s="3395"/>
      <c r="EJ39" s="263">
        <f>IF(EH39=0,0,(EI39-EH39)/EH39*100)</f>
        <v>0</v>
      </c>
      <c r="EK39" s="3395"/>
      <c r="EL39" s="3395"/>
      <c r="EM39" s="263">
        <f>IF(EK39=0,0,(EL39-EK39)/EK39*100)</f>
        <v>0</v>
      </c>
      <c r="EN39" s="3395"/>
      <c r="EO39" s="3395"/>
      <c r="EP39" s="263">
        <f>IF(EN39=0,0,(EO39-EN39)/EN39*100)</f>
        <v>0</v>
      </c>
      <c r="EQ39" s="3395"/>
      <c r="ER39" s="3395"/>
      <c r="ES39" s="263">
        <f>IF(EQ39=0,0,(ER39-EQ39)/EQ39*100)</f>
        <v>0</v>
      </c>
      <c r="ET39" s="3395"/>
      <c r="EU39" s="3395"/>
      <c r="EV39" s="263">
        <f>IF(ET39=0,0,(EU39-ET39)/ET39*100)</f>
        <v>0</v>
      </c>
      <c r="EW39" s="3395"/>
      <c r="EX39" s="3395"/>
      <c r="EY39" s="263">
        <f>IF(EW39=0,0,(EX39-EW39)/EW39*100)</f>
        <v>0</v>
      </c>
      <c r="EZ39" s="3395"/>
      <c r="FA39" s="3395"/>
      <c r="FB39" s="263">
        <f>IF(EZ39=0,0,(FA39-EZ39)/EZ39*100)</f>
        <v>0</v>
      </c>
      <c r="FC39" s="3395"/>
      <c r="FD39" s="3395"/>
      <c r="FE39" s="263">
        <f>IF(FC39=0,0,(FD39-FC39)/FC39*100)</f>
        <v>0</v>
      </c>
      <c r="FF39" s="3395"/>
      <c r="FG39" s="3395"/>
      <c r="FH39" s="263">
        <f>IF(FF39=0,0,(FG39-FF39)/FF39*100)</f>
        <v>0</v>
      </c>
      <c r="FI39" s="3395"/>
      <c r="FJ39" s="3395"/>
      <c r="FK39" s="263">
        <f>IF(FI39=0,0,(FJ39-FI39)/FI39*100)</f>
        <v>0</v>
      </c>
      <c r="FL39" s="3395"/>
      <c r="FM39" s="3395"/>
      <c r="FN39" s="263">
        <f>IF(FL39=0,0,(FM39-FL39)/FL39*100)</f>
        <v>0</v>
      </c>
      <c r="FO39" s="3395"/>
      <c r="FP39" s="3395"/>
      <c r="FQ39" s="263">
        <f>IF(FO39=0,0,(FP39-FO39)/FO39*100)</f>
        <v>0</v>
      </c>
      <c r="FR39" s="3395"/>
      <c r="FS39" s="3395"/>
      <c r="FT39" s="263">
        <f>IF(FR39=0,0,(FS39-FR39)/FR39*100)</f>
        <v>0</v>
      </c>
      <c r="FU39" s="3395"/>
      <c r="FV39" s="3395"/>
      <c r="FW39" s="263">
        <f>IF(FU39=0,0,(FV39-FU39)/FU39*100)</f>
        <v>0</v>
      </c>
      <c r="FX39" s="259"/>
      <c r="FY39" s="259"/>
      <c r="FZ39" s="1039" t="s">
        <v>1513</v>
      </c>
      <c r="GA39" s="1039"/>
      <c r="GB39" s="1039"/>
      <c r="GC39" s="1040"/>
      <c r="GD39" s="1040"/>
    </row>
    <row customHeight="1" ht="14.625" hidden="1">
      <c r="A40" s="467"/>
      <c r="B40" s="907" cm="1" t="str">
        <f t="array" ref="B40:B40">B39</f>
        <v>false</v>
      </c>
      <c r="C40" s="467"/>
      <c r="D40" s="467"/>
      <c r="E40" s="822">
        <v>15</v>
      </c>
      <c r="F40" s="50" cm="1" t="str">
        <f t="array" ref="F40:F40">OFFSET(E40,-1,1)</f>
        <v>0</v>
      </c>
      <c r="G40" s="73"/>
      <c r="H40" s="467" t="s">
        <v>445</v>
      </c>
      <c r="I40" s="467" t="s">
        <v>1514</v>
      </c>
      <c r="J40" s="467"/>
      <c r="K40" s="467"/>
      <c r="L40" s="467"/>
      <c r="M40" s="467"/>
      <c r="N40" s="467"/>
      <c r="O40" s="467"/>
      <c r="P40" s="467"/>
      <c r="Q40" s="879"/>
      <c r="R40" s="467"/>
      <c r="S40" s="467"/>
      <c r="T40" s="439" cm="1" t="str">
        <f t="array" ref="T40:T40">T39</f>
        <v>false</v>
      </c>
      <c r="U40" s="467"/>
      <c r="V40" s="467"/>
      <c r="W40" s="467"/>
      <c r="X40" s="1534"/>
      <c r="Y40" s="467"/>
      <c r="Z40" s="1464"/>
      <c r="AA40" s="467"/>
      <c r="AB40" s="1074" t="s">
        <v>1501</v>
      </c>
      <c r="AC40" s="846" t="s">
        <v>437</v>
      </c>
      <c r="AD40" s="1077">
        <f>IF(AD38=0,0,AD39/AD38)*100</f>
        <v>0</v>
      </c>
      <c r="AE40" s="1077">
        <f>IF(AE38=0,0,AE39/AE38)*100</f>
        <v>0</v>
      </c>
      <c r="AF40" s="1078"/>
      <c r="AG40" s="1077">
        <f>IF(AG38=0,0,AG39/AG38)*100</f>
        <v>0</v>
      </c>
      <c r="AH40" s="1077">
        <f>IF(AH38=0,0,AH39/AH38)*100</f>
        <v>0</v>
      </c>
      <c r="AI40" s="1078"/>
      <c r="AJ40" s="1077">
        <f>IF(AJ38=0,0,AJ39/AJ38)*100</f>
        <v>0</v>
      </c>
      <c r="AK40" s="1077">
        <f>IF(AK38=0,0,AK39/AK38)*100</f>
        <v>0</v>
      </c>
      <c r="AL40" s="1078"/>
      <c r="AM40" s="1077">
        <f>IF(AM38=0,0,AM39/AM38)*100</f>
        <v>0</v>
      </c>
      <c r="AN40" s="1077">
        <f>IF(AN38=0,0,AN39/AN38)*100</f>
        <v>0</v>
      </c>
      <c r="AO40" s="1078"/>
      <c r="AP40" s="1077">
        <f>IF(AP38=0,0,AP39/AP38)*100</f>
        <v>0</v>
      </c>
      <c r="AQ40" s="1077">
        <f>IF(AQ38=0,0,AQ39/AQ38)*100</f>
        <v>0</v>
      </c>
      <c r="AR40" s="1078"/>
      <c r="AS40" s="1077">
        <f>IF(AS38=0,0,AS39/AS38)*100</f>
        <v>0</v>
      </c>
      <c r="AT40" s="1077">
        <f>IF(AT38=0,0,AT39/AT38)*100</f>
        <v>0</v>
      </c>
      <c r="AU40" s="1078"/>
      <c r="AV40" s="1077">
        <f>IF(AV38=0,0,AV39/AV38)*100</f>
        <v>0</v>
      </c>
      <c r="AW40" s="1077">
        <f>IF(AW38=0,0,AW39/AW38)*100</f>
        <v>0</v>
      </c>
      <c r="AX40" s="1078"/>
      <c r="AY40" s="1077">
        <f>IF(AY38=0,0,AY39/AY38)*100</f>
        <v>0</v>
      </c>
      <c r="AZ40" s="1077">
        <f>IF(AZ38=0,0,AZ39/AZ38)*100</f>
        <v>0</v>
      </c>
      <c r="BA40" s="1078"/>
      <c r="BB40" s="1077">
        <f>IF(BB38=0,0,BB39/BB38)*100</f>
        <v>0</v>
      </c>
      <c r="BC40" s="1077">
        <f>IF(BC38=0,0,BC39/BC38)*100</f>
        <v>0</v>
      </c>
      <c r="BD40" s="1078"/>
      <c r="BE40" s="1077">
        <f>IF(BE38=0,0,BE39/BE38)*100</f>
        <v>0</v>
      </c>
      <c r="BF40" s="1077">
        <f>IF(BF38=0,0,BF39/BF38)*100</f>
        <v>0</v>
      </c>
      <c r="BG40" s="1078"/>
      <c r="BH40" s="1077">
        <f>IF(BH38=0,0,BH39/BH38)*100</f>
        <v>0</v>
      </c>
      <c r="BI40" s="1077">
        <f>IF(BI38=0,0,BI39/BI38)*100</f>
        <v>0</v>
      </c>
      <c r="BJ40" s="1078"/>
      <c r="BK40" s="1077">
        <f>IF(BK38=0,0,BK39/BK38)*100</f>
        <v>0</v>
      </c>
      <c r="BL40" s="1077">
        <f>IF(BL38=0,0,BL39/BL38)*100</f>
        <v>0</v>
      </c>
      <c r="BM40" s="1078"/>
      <c r="BN40" s="1077">
        <f>IF(BN38=0,0,BN39/BN38)*100</f>
        <v>0</v>
      </c>
      <c r="BO40" s="1077">
        <f>IF(BO38=0,0,BO39/BO38)*100</f>
        <v>0</v>
      </c>
      <c r="BP40" s="1078"/>
      <c r="BQ40" s="1077">
        <f>IF(BQ38=0,0,BQ39/BQ38)*100</f>
        <v>0</v>
      </c>
      <c r="BR40" s="1077">
        <f>IF(BR38=0,0,BR39/BR38)*100</f>
        <v>0</v>
      </c>
      <c r="BS40" s="1078"/>
      <c r="BT40" s="1077">
        <f>IF(BT38=0,0,BT39/BT38)*100</f>
        <v>0</v>
      </c>
      <c r="BU40" s="1077">
        <f>IF(BU38=0,0,BU39/BU38)*100</f>
        <v>0</v>
      </c>
      <c r="BV40" s="1078"/>
      <c r="BW40" s="1077">
        <f>IF(BW38=0,0,BW39/BW38)*100</f>
        <v>0</v>
      </c>
      <c r="BX40" s="1077">
        <f>IF(BX38=0,0,BX39/BX38)*100</f>
        <v>0</v>
      </c>
      <c r="BY40" s="1078"/>
      <c r="BZ40" s="1077">
        <f>IF(BZ38=0,0,BZ39/BZ38)*100</f>
        <v>0</v>
      </c>
      <c r="CA40" s="1077">
        <f>IF(CA38=0,0,CA39/CA38)*100</f>
        <v>0</v>
      </c>
      <c r="CB40" s="1078"/>
      <c r="CC40" s="1077">
        <f>IF(CC38=0,0,CC39/CC38)*100</f>
        <v>0</v>
      </c>
      <c r="CD40" s="1077">
        <f>IF(CD38=0,0,CD39/CD38)*100</f>
        <v>0</v>
      </c>
      <c r="CE40" s="1078"/>
      <c r="CF40" s="1077">
        <f>IF(CF38=0,0,CF39/CF38)*100</f>
        <v>0</v>
      </c>
      <c r="CG40" s="1077">
        <f>IF(CG38=0,0,CG39/CG38)*100</f>
        <v>0</v>
      </c>
      <c r="CH40" s="1078"/>
      <c r="CI40" s="1077">
        <f>IF(CI38=0,0,CI39/CI38)*100</f>
        <v>0</v>
      </c>
      <c r="CJ40" s="1077">
        <f>IF(CJ38=0,0,CJ39/CJ38)*100</f>
        <v>0</v>
      </c>
      <c r="CK40" s="1078"/>
      <c r="CL40" s="1077">
        <f>IF(CL38=0,0,CL39/CL38)*100</f>
        <v>0</v>
      </c>
      <c r="CM40" s="1077">
        <f>IF(CM38=0,0,CM39/CM38)*100</f>
        <v>0</v>
      </c>
      <c r="CN40" s="1078"/>
      <c r="CO40" s="1077">
        <f>IF(CO38=0,0,CO39/CO38)*100</f>
        <v>0</v>
      </c>
      <c r="CP40" s="1077">
        <f>IF(CP38=0,0,CP39/CP38)*100</f>
        <v>0</v>
      </c>
      <c r="CQ40" s="1078"/>
      <c r="CR40" s="1077">
        <f>IF(CR38=0,0,CR39/CR38)*100</f>
        <v>0</v>
      </c>
      <c r="CS40" s="1077">
        <f>IF(CS38=0,0,CS39/CS38)*100</f>
        <v>0</v>
      </c>
      <c r="CT40" s="1078"/>
      <c r="CU40" s="1077">
        <f>IF(CU38=0,0,CU39/CU38)*100</f>
        <v>0</v>
      </c>
      <c r="CV40" s="1077">
        <f>IF(CV38=0,0,CV39/CV38)*100</f>
        <v>0</v>
      </c>
      <c r="CW40" s="1078"/>
      <c r="CX40" s="1077">
        <f>IF(CX38=0,0,CX39/CX38)*100</f>
        <v>0</v>
      </c>
      <c r="CY40" s="1077">
        <f>IF(CY38=0,0,CY39/CY38)*100</f>
        <v>0</v>
      </c>
      <c r="CZ40" s="1078"/>
      <c r="DA40" s="1077">
        <f>IF(DA38=0,0,DA39/DA38)*100</f>
        <v>0</v>
      </c>
      <c r="DB40" s="1077">
        <f>IF(DB38=0,0,DB39/DB38)*100</f>
        <v>0</v>
      </c>
      <c r="DC40" s="1078"/>
      <c r="DD40" s="1077">
        <f>IF(DD38=0,0,DD39/DD38)*100</f>
        <v>0</v>
      </c>
      <c r="DE40" s="1077">
        <f>IF(DE38=0,0,DE39/DE38)*100</f>
        <v>0</v>
      </c>
      <c r="DF40" s="1078"/>
      <c r="DG40" s="1077">
        <f>IF(DG38=0,0,DG39/DG38)*100</f>
        <v>0</v>
      </c>
      <c r="DH40" s="1077">
        <f>IF(DH38=0,0,DH39/DH38)*100</f>
        <v>0</v>
      </c>
      <c r="DI40" s="1078"/>
      <c r="DJ40" s="1077">
        <f>IF(DJ38=0,0,DJ39/DJ38)*100</f>
        <v>0</v>
      </c>
      <c r="DK40" s="1077">
        <f>IF(DK38=0,0,DK39/DK38)*100</f>
        <v>0</v>
      </c>
      <c r="DL40" s="1078"/>
      <c r="DM40" s="1077">
        <f>IF(DM38=0,0,DM39/DM38)*100</f>
        <v>0</v>
      </c>
      <c r="DN40" s="1077">
        <f>IF(DN38=0,0,DN39/DN38)*100</f>
        <v>0</v>
      </c>
      <c r="DO40" s="1078"/>
      <c r="DP40" s="1077">
        <f>IF(DP38=0,0,DP39/DP38)*100</f>
        <v>0</v>
      </c>
      <c r="DQ40" s="1077">
        <f>IF(DQ38=0,0,DQ39/DQ38)*100</f>
        <v>0</v>
      </c>
      <c r="DR40" s="1078"/>
      <c r="DS40" s="1077">
        <f>IF(DS38=0,0,DS39/DS38)*100</f>
        <v>0</v>
      </c>
      <c r="DT40" s="1077">
        <f>IF(DT38=0,0,DT39/DT38)*100</f>
        <v>0</v>
      </c>
      <c r="DU40" s="1078"/>
      <c r="DV40" s="1077">
        <f>IF(DV38=0,0,DV39/DV38)*100</f>
        <v>0</v>
      </c>
      <c r="DW40" s="1077">
        <f>IF(DW38=0,0,DW39/DW38)*100</f>
        <v>0</v>
      </c>
      <c r="DX40" s="1078"/>
      <c r="DY40" s="1077">
        <f>IF(DY38=0,0,DY39/DY38)*100</f>
        <v>0</v>
      </c>
      <c r="DZ40" s="1077">
        <f>IF(DZ38=0,0,DZ39/DZ38)*100</f>
        <v>0</v>
      </c>
      <c r="EA40" s="1078"/>
      <c r="EB40" s="1077">
        <f>IF(EB38=0,0,EB39/EB38)*100</f>
        <v>0</v>
      </c>
      <c r="EC40" s="1077">
        <f>IF(EC38=0,0,EC39/EC38)*100</f>
        <v>0</v>
      </c>
      <c r="ED40" s="1078"/>
      <c r="EE40" s="1077">
        <f>IF(EE38=0,0,EE39/EE38)*100</f>
        <v>0</v>
      </c>
      <c r="EF40" s="1077">
        <f>IF(EF38=0,0,EF39/EF38)*100</f>
        <v>0</v>
      </c>
      <c r="EG40" s="1078"/>
      <c r="EH40" s="1077">
        <f>IF(EH38=0,0,EH39/EH38)*100</f>
        <v>0</v>
      </c>
      <c r="EI40" s="1077">
        <f>IF(EI38=0,0,EI39/EI38)*100</f>
        <v>0</v>
      </c>
      <c r="EJ40" s="1078"/>
      <c r="EK40" s="1077">
        <f>IF(EK38=0,0,EK39/EK38)*100</f>
        <v>0</v>
      </c>
      <c r="EL40" s="1077">
        <f>IF(EL38=0,0,EL39/EL38)*100</f>
        <v>0</v>
      </c>
      <c r="EM40" s="1078"/>
      <c r="EN40" s="1077">
        <f>IF(EN38=0,0,EN39/EN38)*100</f>
        <v>0</v>
      </c>
      <c r="EO40" s="1077">
        <f>IF(EO38=0,0,EO39/EO38)*100</f>
        <v>0</v>
      </c>
      <c r="EP40" s="1078"/>
      <c r="EQ40" s="1077">
        <f>IF(EQ38=0,0,EQ39/EQ38)*100</f>
        <v>0</v>
      </c>
      <c r="ER40" s="1077">
        <f>IF(ER38=0,0,ER39/ER38)*100</f>
        <v>0</v>
      </c>
      <c r="ES40" s="1078"/>
      <c r="ET40" s="1077">
        <f>IF(ET38=0,0,ET39/ET38)*100</f>
        <v>0</v>
      </c>
      <c r="EU40" s="1077">
        <f>IF(EU38=0,0,EU39/EU38)*100</f>
        <v>0</v>
      </c>
      <c r="EV40" s="1078"/>
      <c r="EW40" s="1077">
        <f>IF(EW38=0,0,EW39/EW38)*100</f>
        <v>0</v>
      </c>
      <c r="EX40" s="1077">
        <f>IF(EX38=0,0,EX39/EX38)*100</f>
        <v>0</v>
      </c>
      <c r="EY40" s="1078"/>
      <c r="EZ40" s="1077">
        <f>IF(EZ38=0,0,EZ39/EZ38)*100</f>
        <v>0</v>
      </c>
      <c r="FA40" s="1077">
        <f>IF(FA38=0,0,FA39/FA38)*100</f>
        <v>0</v>
      </c>
      <c r="FB40" s="1078"/>
      <c r="FC40" s="1077">
        <f>IF(FC38=0,0,FC39/FC38)*100</f>
        <v>0</v>
      </c>
      <c r="FD40" s="1077">
        <f>IF(FD38=0,0,FD39/FD38)*100</f>
        <v>0</v>
      </c>
      <c r="FE40" s="1078"/>
      <c r="FF40" s="1077">
        <f>IF(FF38=0,0,FF39/FF38)*100</f>
        <v>0</v>
      </c>
      <c r="FG40" s="1077">
        <f>IF(FG38=0,0,FG39/FG38)*100</f>
        <v>0</v>
      </c>
      <c r="FH40" s="1078"/>
      <c r="FI40" s="1077">
        <f>IF(FI38=0,0,FI39/FI38)*100</f>
        <v>0</v>
      </c>
      <c r="FJ40" s="1077">
        <f>IF(FJ38=0,0,FJ39/FJ38)*100</f>
        <v>0</v>
      </c>
      <c r="FK40" s="1078"/>
      <c r="FL40" s="1077">
        <f>IF(FL38=0,0,FL39/FL38)*100</f>
        <v>0</v>
      </c>
      <c r="FM40" s="1077">
        <f>IF(FM38=0,0,FM39/FM38)*100</f>
        <v>0</v>
      </c>
      <c r="FN40" s="1078"/>
      <c r="FO40" s="1077">
        <f>IF(FO38=0,0,FO39/FO38)*100</f>
        <v>0</v>
      </c>
      <c r="FP40" s="1077">
        <f>IF(FP38=0,0,FP39/FP38)*100</f>
        <v>0</v>
      </c>
      <c r="FQ40" s="1078"/>
      <c r="FR40" s="1077">
        <f>IF(FR38=0,0,FR39/FR38)*100</f>
        <v>0</v>
      </c>
      <c r="FS40" s="1077">
        <f>IF(FS38=0,0,FS39/FS38)*100</f>
        <v>0</v>
      </c>
      <c r="FT40" s="1078"/>
      <c r="FU40" s="1077">
        <f>IF(FU38=0,0,FU39/FU38)*100</f>
        <v>0</v>
      </c>
      <c r="FV40" s="1077">
        <f>IF(FV38=0,0,FV39/FV38)*100</f>
        <v>0</v>
      </c>
      <c r="FW40" s="1078"/>
      <c r="FX40" s="259"/>
      <c r="FY40" s="676"/>
      <c r="FZ40" s="1039" t="s">
        <v>1515</v>
      </c>
      <c r="GA40" s="1061"/>
      <c r="GB40" s="1061"/>
      <c r="GC40" s="697"/>
      <c r="GD40" s="697"/>
    </row>
    <row customHeight="1" ht="14.625" hidden="1">
      <c r="A41" s="467"/>
      <c r="B41" s="907" cm="1" t="str">
        <f t="array" ref="B41:B41">B40</f>
        <v>false</v>
      </c>
      <c r="C41" s="467"/>
      <c r="D41" s="467"/>
      <c r="E41" s="822">
        <v>15</v>
      </c>
      <c r="F41" s="50" cm="1" t="str">
        <f t="array" ref="F41:F41">OFFSET(E41,-1,1)</f>
        <v>0</v>
      </c>
      <c r="G41" s="73" t="s">
        <v>1516</v>
      </c>
      <c r="H41" s="467" t="s">
        <v>448</v>
      </c>
      <c r="I41" s="467" t="s">
        <v>1514</v>
      </c>
      <c r="J41" s="467"/>
      <c r="K41" s="467"/>
      <c r="L41" s="467"/>
      <c r="M41" s="467"/>
      <c r="N41" s="467"/>
      <c r="O41" s="467"/>
      <c r="P41" s="467"/>
      <c r="Q41" s="879"/>
      <c r="R41" s="467"/>
      <c r="S41" s="467"/>
      <c r="T41" s="439" cm="1" t="str">
        <f t="array" ref="T41:T41">T40</f>
        <v>false</v>
      </c>
      <c r="U41" s="467"/>
      <c r="V41" s="467"/>
      <c r="W41" s="467"/>
      <c r="X41" s="1534"/>
      <c r="Y41" s="467"/>
      <c r="Z41" s="1464"/>
      <c r="AA41" s="467"/>
      <c r="AB41" s="882" t="s">
        <v>1517</v>
      </c>
      <c r="AC41" s="846" t="s">
        <v>512</v>
      </c>
      <c r="AD41" s="3404">
        <f>IF(AND(method_reg="Метод индексации",god&lt;&gt;first_year),_xlfn.SUMIFS(INDEX('Калькуляция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(МИ)'!$AJ$25:$BC$459,,MATCH(AD$8,'Калькуляция (МИ)'!$AJ$8:$BC$8,0)),'Калькуляция (МИ)'!$F$25:$F$459,$F41,'Калькуляция (МИ)'!$G$25:$G$459,$G41))))</f>
        <v>0</v>
      </c>
      <c r="AE41" s="3404">
        <f>IF(AND(method_reg="Метод индексации",god&lt;&gt;first_year),_xlfn.SUMIFS(INDEX('Калькуляция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(МИ)'!$AJ$25:$BC$459,,MATCH(AE$8,'Калькуляция (МИ)'!$AJ$8:$BC$8,0)),'Калькуляция (МИ)'!$F$25:$F$459,$F41,'Калькуляция (МИ)'!$G$25:$G$459,$G41))))</f>
        <v>0</v>
      </c>
      <c r="AF41" s="1080">
        <f>IF(AD41=0,0,(AE41-AD41)/AD41*100)</f>
        <v>0</v>
      </c>
      <c r="AG41" s="3404">
        <f>IF(AND(method_reg="Метод индексации",god&lt;&gt;first_year),_xlfn.SUMIFS(INDEX('Калькуляция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(МИ)'!$AJ$25:$BC$459,,MATCH(AG$8,'Калькуляция (МИ)'!$AJ$8:$BC$8,0)),'Калькуляция (МИ)'!$F$25:$F$459,$F41,'Калькуляция (МИ)'!$G$25:$G$459,$G41))))</f>
        <v>0</v>
      </c>
      <c r="AH41" s="3404">
        <f>IF(AND(method_reg="Метод индексации",god&lt;&gt;first_year),_xlfn.SUMIFS(INDEX('Калькуляция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(МИ)'!$AJ$25:$BC$459,,MATCH(AH$8,'Калькуляция (МИ)'!$AJ$8:$BC$8,0)),'Калькуляция (МИ)'!$F$25:$F$459,$F41,'Калькуляция (МИ)'!$G$25:$G$459,$G41))))</f>
        <v>0</v>
      </c>
      <c r="AI41" s="1080">
        <f>IF(AG41=0,0,(AH41-AG41)/AG41*100)</f>
        <v>0</v>
      </c>
      <c r="AJ41" s="3404">
        <f>IF(AND(method_reg="Метод индексации",god&lt;&gt;first_year),_xlfn.SUMIFS(INDEX('Калькуляция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(МИ)'!$AJ$25:$BC$459,,MATCH(AJ$8,'Калькуляция (МИ)'!$AJ$8:$BC$8,0)),'Калькуляция (МИ)'!$F$25:$F$459,$F41,'Калькуляция (МИ)'!$G$25:$G$459,$G41))))</f>
        <v>0</v>
      </c>
      <c r="AK41" s="3404">
        <f>IF(AND(method_reg="Метод индексации",god&lt;&gt;first_year),_xlfn.SUMIFS(INDEX('Калькуляция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(МИ)'!$AJ$25:$BC$459,,MATCH(AK$8,'Калькуляция (МИ)'!$AJ$8:$BC$8,0)),'Калькуляция (МИ)'!$F$25:$F$459,$F41,'Калькуляция (МИ)'!$G$25:$G$459,$G41))))</f>
        <v>0</v>
      </c>
      <c r="AL41" s="1080">
        <f>IF(AJ41=0,0,(AK41-AJ41)/AJ41*100)</f>
        <v>0</v>
      </c>
      <c r="AM41" s="3404">
        <f>IF(AND(method_reg="Метод индексации",god&lt;&gt;first_year),_xlfn.SUMIFS(INDEX('Калькуляция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(МИ)'!$AJ$25:$BC$459,,MATCH(AM$8,'Калькуляция (МИ)'!$AJ$8:$BC$8,0)),'Калькуляция (МИ)'!$F$25:$F$459,$F41,'Калькуляция (МИ)'!$G$25:$G$459,$G41))))</f>
        <v>0</v>
      </c>
      <c r="AN41" s="3404">
        <f>IF(AND(method_reg="Метод индексации",god&lt;&gt;first_year),_xlfn.SUMIFS(INDEX('Калькуляция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(МИ)'!$AJ$25:$BC$459,,MATCH(AN$8,'Калькуляция (МИ)'!$AJ$8:$BC$8,0)),'Калькуляция (МИ)'!$F$25:$F$459,$F41,'Калькуляция (МИ)'!$G$25:$G$459,$G41))))</f>
        <v>0</v>
      </c>
      <c r="AO41" s="1080">
        <f>IF(AM41=0,0,(AN41-AM41)/AM41*100)</f>
        <v>0</v>
      </c>
      <c r="AP41" s="3404">
        <f>IF(AND(method_reg="Метод индексации",god&lt;&gt;first_year),_xlfn.SUMIFS(INDEX('Калькуляция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(МИ)'!$AJ$25:$BC$459,,MATCH(AP$8,'Калькуляция (МИ)'!$AJ$8:$BC$8,0)),'Калькуляция (МИ)'!$F$25:$F$459,$F41,'Калькуляция (МИ)'!$G$25:$G$459,$G41))))</f>
        <v>0</v>
      </c>
      <c r="AQ41" s="3404">
        <f>IF(AND(method_reg="Метод индексации",god&lt;&gt;first_year),_xlfn.SUMIFS(INDEX('Калькуляция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(МИ)'!$AJ$25:$BC$459,,MATCH(AQ$8,'Калькуляция (МИ)'!$AJ$8:$BC$8,0)),'Калькуляция (МИ)'!$F$25:$F$459,$F41,'Калькуляция (МИ)'!$G$25:$G$459,$G41))))</f>
        <v>0</v>
      </c>
      <c r="AR41" s="1080">
        <f>IF(AP41=0,0,(AQ41-AP41)/AP41*100)</f>
        <v>0</v>
      </c>
      <c r="AS41" s="3404">
        <f>IF(AND(method_reg="Метод индексации",god&lt;&gt;first_year),_xlfn.SUMIFS(INDEX('Калькуляция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(МИ)'!$AJ$25:$BC$459,,MATCH(AS$8,'Калькуляция (МИ)'!$AJ$8:$BC$8,0)),'Калькуляция (МИ)'!$F$25:$F$459,$F41,'Калькуляция (МИ)'!$G$25:$G$459,$G41))))</f>
        <v>0</v>
      </c>
      <c r="AT41" s="3404">
        <f>IF(AND(method_reg="Метод индексации",god&lt;&gt;first_year),_xlfn.SUMIFS(INDEX('Калькуляция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(МИ)'!$AJ$25:$BC$459,,MATCH(AT$8,'Калькуляция (МИ)'!$AJ$8:$BC$8,0)),'Калькуляция (МИ)'!$F$25:$F$459,$F41,'Калькуляция (МИ)'!$G$25:$G$459,$G41))))</f>
        <v>0</v>
      </c>
      <c r="AU41" s="1080">
        <f>IF(AS41=0,0,(AT41-AS41)/AS41*100)</f>
        <v>0</v>
      </c>
      <c r="AV41" s="3404">
        <f>IF(AND(method_reg="Метод индексации",god&lt;&gt;first_year),_xlfn.SUMIFS(INDEX('Калькуляция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(МИ)'!$AJ$25:$BC$459,,MATCH(AV$8,'Калькуляция (МИ)'!$AJ$8:$BC$8,0)),'Калькуляция (МИ)'!$F$25:$F$459,$F41,'Калькуляция (МИ)'!$G$25:$G$459,$G41))))</f>
        <v>0</v>
      </c>
      <c r="AW41" s="3404">
        <f>IF(AND(method_reg="Метод индексации",god&lt;&gt;first_year),_xlfn.SUMIFS(INDEX('Калькуляция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(МИ)'!$AJ$25:$BC$459,,MATCH(AW$8,'Калькуляция (МИ)'!$AJ$8:$BC$8,0)),'Калькуляция (МИ)'!$F$25:$F$459,$F41,'Калькуляция (МИ)'!$G$25:$G$459,$G41))))</f>
        <v>0</v>
      </c>
      <c r="AX41" s="1080">
        <f>IF(AV41=0,0,(AW41-AV41)/AV41*100)</f>
        <v>0</v>
      </c>
      <c r="AY41" s="3404">
        <f>IF(AND(method_reg="Метод индексации",god&lt;&gt;first_year),_xlfn.SUMIFS(INDEX('Калькуляция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(МИ)'!$AJ$25:$BC$459,,MATCH(AY$8,'Калькуляция (МИ)'!$AJ$8:$BC$8,0)),'Калькуляция (МИ)'!$F$25:$F$459,$F41,'Калькуляция (МИ)'!$G$25:$G$459,$G41))))</f>
        <v>0</v>
      </c>
      <c r="AZ41" s="3404">
        <f>IF(AND(method_reg="Метод индексации",god&lt;&gt;first_year),_xlfn.SUMIFS(INDEX('Калькуляция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(МИ)'!$AJ$25:$BC$459,,MATCH(AZ$8,'Калькуляция (МИ)'!$AJ$8:$BC$8,0)),'Калькуляция (МИ)'!$F$25:$F$459,$F41,'Калькуляция (МИ)'!$G$25:$G$459,$G41))))</f>
        <v>0</v>
      </c>
      <c r="BA41" s="1080">
        <f>IF(AY41=0,0,(AZ41-AY41)/AY41*100)</f>
        <v>0</v>
      </c>
      <c r="BB41" s="3404">
        <f>IF(AND(method_reg="Метод индексации",god&lt;&gt;first_year),_xlfn.SUMIFS(INDEX('Калькуляция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(МИ)'!$AJ$25:$BC$459,,MATCH(BB$8,'Калькуляция (МИ)'!$AJ$8:$BC$8,0)),'Калькуляция (МИ)'!$F$25:$F$459,$F41,'Калькуляция (МИ)'!$G$25:$G$459,$G41))))</f>
        <v>0</v>
      </c>
      <c r="BC41" s="3404">
        <f>IF(AND(method_reg="Метод индексации",god&lt;&gt;first_year),_xlfn.SUMIFS(INDEX('Калькуляция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(МИ)'!$AJ$25:$BC$459,,MATCH(BC$8,'Калькуляция (МИ)'!$AJ$8:$BC$8,0)),'Калькуляция (МИ)'!$F$25:$F$459,$F41,'Калькуляция (МИ)'!$G$25:$G$459,$G41))))</f>
        <v>0</v>
      </c>
      <c r="BD41" s="1080">
        <f>IF(BB41=0,0,(BC41-BB41)/BB41*100)</f>
        <v>0</v>
      </c>
      <c r="BE41" s="3404">
        <f>IF(AND(method_reg="Метод индексации",god&lt;&gt;first_year),_xlfn.SUMIFS(INDEX('Калькуляция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расходов",_xlfn.SUMIFS('Калькуляция (МЭОР)'!$AJ$25:$AJ$282,'Калькуляция (МЭОР)'!$F$25:$F$282,$F41,'Калькуляция (МЭОР)'!$G$25:$G$282,$G41),IF(method_reg="Метод сравнения аналогов",_xlfn.SUMIFS('Калькуляция (МСА)'!$AE$25:$AE$84,'Калькуляция (МСА)'!$F$25:$F$84,$F41,'Калькуляция (МСА)'!$G$25:$G$84,$G41),_xlfn.SUMIFS(INDEX('Калькуляция (МИ)'!$AJ$25:$BC$459,,MATCH(BE$8,'Калькуляция (МИ)'!$AJ$8:$BC$8,0)),'Калькуляция (МИ)'!$F$25:$F$459,$F41,'Калькуляция (МИ)'!$G$25:$G$459,$G41))))</f>
        <v>0</v>
      </c>
      <c r="BF41" s="3404">
        <f>IF(AND(method_reg="Метод индексации",god&lt;&gt;first_year),_xlfn.SUMIFS(INDEX('Калькуляция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расходов",_xlfn.SUMIFS('Калькуляция (МЭОР)'!$AK$25:$AK$282,'Калькуляция (МЭОР)'!$F$25:$F$282,$F41,'Калькуляция (МЭОР)'!$G$25:$G$282,$G41),IF(method_reg="Метод сравнения аналогов",_xlfn.SUMIFS('Калькуляция (МСА)'!$AF$25:$AF$84,'Калькуляция (МСА)'!$F$25:$F$84,$F41,'Калькуляция (МСА)'!$G$25:$G$84,$G41),_xlfn.SUMIFS(INDEX('Калькуляция (МИ)'!$AJ$25:$BC$459,,MATCH(BF$8,'Калькуляция (МИ)'!$AJ$8:$BC$8,0)),'Калькуляция (МИ)'!$F$25:$F$459,$F41,'Калькуляция (МИ)'!$G$25:$G$459,$G41))))</f>
        <v>0</v>
      </c>
      <c r="BG41" s="1080">
        <f>IF(BE41=0,0,(BF41-BE41)/BE41*100)</f>
        <v>0</v>
      </c>
      <c r="BH41" s="3404"/>
      <c r="BI41" s="3404"/>
      <c r="BJ41" s="1080">
        <f>IF(BH41=0,0,(BI41-BH41)/BH41*100)</f>
        <v>0</v>
      </c>
      <c r="BK41" s="3404"/>
      <c r="BL41" s="3404"/>
      <c r="BM41" s="1080">
        <f>IF(BK41=0,0,(BL41-BK41)/BK41*100)</f>
        <v>0</v>
      </c>
      <c r="BN41" s="3404"/>
      <c r="BO41" s="3404"/>
      <c r="BP41" s="1080">
        <f>IF(BN41=0,0,(BO41-BN41)/BN41*100)</f>
        <v>0</v>
      </c>
      <c r="BQ41" s="3404"/>
      <c r="BR41" s="3404"/>
      <c r="BS41" s="1080">
        <f>IF(BQ41=0,0,(BR41-BQ41)/BQ41*100)</f>
        <v>0</v>
      </c>
      <c r="BT41" s="3404"/>
      <c r="BU41" s="3404"/>
      <c r="BV41" s="1080">
        <f>IF(BT41=0,0,(BU41-BT41)/BT41*100)</f>
        <v>0</v>
      </c>
      <c r="BW41" s="3404"/>
      <c r="BX41" s="3404"/>
      <c r="BY41" s="1080">
        <f>IF(BW41=0,0,(BX41-BW41)/BW41*100)</f>
        <v>0</v>
      </c>
      <c r="BZ41" s="3404"/>
      <c r="CA41" s="3404"/>
      <c r="CB41" s="1080">
        <f>IF(BZ41=0,0,(CA41-BZ41)/BZ41*100)</f>
        <v>0</v>
      </c>
      <c r="CC41" s="3404"/>
      <c r="CD41" s="3404"/>
      <c r="CE41" s="1080">
        <f>IF(CC41=0,0,(CD41-CC41)/CC41*100)</f>
        <v>0</v>
      </c>
      <c r="CF41" s="3404"/>
      <c r="CG41" s="3404"/>
      <c r="CH41" s="1080">
        <f>IF(CF41=0,0,(CG41-CF41)/CF41*100)</f>
        <v>0</v>
      </c>
      <c r="CI41" s="3404"/>
      <c r="CJ41" s="3404"/>
      <c r="CK41" s="1080">
        <f>IF(CI41=0,0,(CJ41-CI41)/CI41*100)</f>
        <v>0</v>
      </c>
      <c r="CL41" s="3404"/>
      <c r="CM41" s="3404"/>
      <c r="CN41" s="1080">
        <f>IF(CL41=0,0,(CM41-CL41)/CL41*100)</f>
        <v>0</v>
      </c>
      <c r="CO41" s="3404"/>
      <c r="CP41" s="3404"/>
      <c r="CQ41" s="1080">
        <f>IF(CO41=0,0,(CP41-CO41)/CO41*100)</f>
        <v>0</v>
      </c>
      <c r="CR41" s="3404"/>
      <c r="CS41" s="3404"/>
      <c r="CT41" s="1080">
        <f>IF(CR41=0,0,(CS41-CR41)/CR41*100)</f>
        <v>0</v>
      </c>
      <c r="CU41" s="3404"/>
      <c r="CV41" s="3404"/>
      <c r="CW41" s="1080">
        <f>IF(CU41=0,0,(CV41-CU41)/CU41*100)</f>
        <v>0</v>
      </c>
      <c r="CX41" s="3404"/>
      <c r="CY41" s="3404"/>
      <c r="CZ41" s="1080">
        <f>IF(CX41=0,0,(CY41-CX41)/CX41*100)</f>
        <v>0</v>
      </c>
      <c r="DA41" s="3404"/>
      <c r="DB41" s="3404"/>
      <c r="DC41" s="1080">
        <f>IF(DA41=0,0,(DB41-DA41)/DA41*100)</f>
        <v>0</v>
      </c>
      <c r="DD41" s="3404"/>
      <c r="DE41" s="3404"/>
      <c r="DF41" s="1080">
        <f>IF(DD41=0,0,(DE41-DD41)/DD41*100)</f>
        <v>0</v>
      </c>
      <c r="DG41" s="3404"/>
      <c r="DH41" s="3404"/>
      <c r="DI41" s="1080">
        <f>IF(DG41=0,0,(DH41-DG41)/DG41*100)</f>
        <v>0</v>
      </c>
      <c r="DJ41" s="3404"/>
      <c r="DK41" s="3404"/>
      <c r="DL41" s="1080">
        <f>IF(DJ41=0,0,(DK41-DJ41)/DJ41*100)</f>
        <v>0</v>
      </c>
      <c r="DM41" s="3404"/>
      <c r="DN41" s="3404"/>
      <c r="DO41" s="1080">
        <f>IF(DM41=0,0,(DN41-DM41)/DM41*100)</f>
        <v>0</v>
      </c>
      <c r="DP41" s="3404"/>
      <c r="DQ41" s="3404"/>
      <c r="DR41" s="1080">
        <f>IF(DP41=0,0,(DQ41-DP41)/DP41*100)</f>
        <v>0</v>
      </c>
      <c r="DS41" s="3404"/>
      <c r="DT41" s="3404"/>
      <c r="DU41" s="1080">
        <f>IF(DS41=0,0,(DT41-DS41)/DS41*100)</f>
        <v>0</v>
      </c>
      <c r="DV41" s="3404"/>
      <c r="DW41" s="3404"/>
      <c r="DX41" s="1080">
        <f>IF(DV41=0,0,(DW41-DV41)/DV41*100)</f>
        <v>0</v>
      </c>
      <c r="DY41" s="3404"/>
      <c r="DZ41" s="3404"/>
      <c r="EA41" s="1080">
        <f>IF(DY41=0,0,(DZ41-DY41)/DY41*100)</f>
        <v>0</v>
      </c>
      <c r="EB41" s="3404"/>
      <c r="EC41" s="3404"/>
      <c r="ED41" s="1080">
        <f>IF(EB41=0,0,(EC41-EB41)/EB41*100)</f>
        <v>0</v>
      </c>
      <c r="EE41" s="3404"/>
      <c r="EF41" s="3404"/>
      <c r="EG41" s="1080">
        <f>IF(EE41=0,0,(EF41-EE41)/EE41*100)</f>
        <v>0</v>
      </c>
      <c r="EH41" s="3404"/>
      <c r="EI41" s="3404"/>
      <c r="EJ41" s="1080">
        <f>IF(EH41=0,0,(EI41-EH41)/EH41*100)</f>
        <v>0</v>
      </c>
      <c r="EK41" s="3404"/>
      <c r="EL41" s="3404"/>
      <c r="EM41" s="1080">
        <f>IF(EK41=0,0,(EL41-EK41)/EK41*100)</f>
        <v>0</v>
      </c>
      <c r="EN41" s="3404"/>
      <c r="EO41" s="3404"/>
      <c r="EP41" s="1080">
        <f>IF(EN41=0,0,(EO41-EN41)/EN41*100)</f>
        <v>0</v>
      </c>
      <c r="EQ41" s="3404"/>
      <c r="ER41" s="3404"/>
      <c r="ES41" s="1080">
        <f>IF(EQ41=0,0,(ER41-EQ41)/EQ41*100)</f>
        <v>0</v>
      </c>
      <c r="ET41" s="3404"/>
      <c r="EU41" s="3404"/>
      <c r="EV41" s="1080">
        <f>IF(ET41=0,0,(EU41-ET41)/ET41*100)</f>
        <v>0</v>
      </c>
      <c r="EW41" s="3404"/>
      <c r="EX41" s="3404"/>
      <c r="EY41" s="1080">
        <f>IF(EW41=0,0,(EX41-EW41)/EW41*100)</f>
        <v>0</v>
      </c>
      <c r="EZ41" s="3404"/>
      <c r="FA41" s="3404"/>
      <c r="FB41" s="1080">
        <f>IF(EZ41=0,0,(FA41-EZ41)/EZ41*100)</f>
        <v>0</v>
      </c>
      <c r="FC41" s="3404"/>
      <c r="FD41" s="3404"/>
      <c r="FE41" s="1080">
        <f>IF(FC41=0,0,(FD41-FC41)/FC41*100)</f>
        <v>0</v>
      </c>
      <c r="FF41" s="3404"/>
      <c r="FG41" s="3404"/>
      <c r="FH41" s="1080">
        <f>IF(FF41=0,0,(FG41-FF41)/FF41*100)</f>
        <v>0</v>
      </c>
      <c r="FI41" s="3404"/>
      <c r="FJ41" s="3404"/>
      <c r="FK41" s="1080">
        <f>IF(FI41=0,0,(FJ41-FI41)/FI41*100)</f>
        <v>0</v>
      </c>
      <c r="FL41" s="3404"/>
      <c r="FM41" s="3404"/>
      <c r="FN41" s="1080">
        <f>IF(FL41=0,0,(FM41-FL41)/FL41*100)</f>
        <v>0</v>
      </c>
      <c r="FO41" s="3404"/>
      <c r="FP41" s="3404"/>
      <c r="FQ41" s="1080">
        <f>IF(FO41=0,0,(FP41-FO41)/FO41*100)</f>
        <v>0</v>
      </c>
      <c r="FR41" s="3404"/>
      <c r="FS41" s="3404"/>
      <c r="FT41" s="1080">
        <f>IF(FR41=0,0,(FS41-FR41)/FR41*100)</f>
        <v>0</v>
      </c>
      <c r="FU41" s="3404"/>
      <c r="FV41" s="3404"/>
      <c r="FW41" s="1080">
        <f>IF(FU41=0,0,(FV41-FU41)/FU41*100)</f>
        <v>0</v>
      </c>
      <c r="FX41" s="259"/>
      <c r="FY41" s="676"/>
      <c r="FZ41" s="1039" t="s">
        <v>1518</v>
      </c>
      <c r="GA41" s="1061"/>
      <c r="GB41" s="1061"/>
      <c r="GC41" s="697"/>
      <c r="GD41" s="697"/>
    </row>
    <row customHeight="1" ht="18.28125" hidden="1">
      <c r="A42" s="467"/>
      <c r="B42" s="907" cm="1" t="str">
        <f t="array" ref="B42:B42">B41</f>
        <v>false</v>
      </c>
      <c r="C42" s="467"/>
      <c r="D42" s="467"/>
      <c r="E42" s="822">
        <v>18.75</v>
      </c>
      <c r="F42" s="50" cm="1" t="str">
        <f t="array" ref="F42:F42">OFFSET(E42,-1,1)</f>
        <v>0</v>
      </c>
      <c r="G42" s="467"/>
      <c r="H42" s="467" t="s">
        <v>441</v>
      </c>
      <c r="I42" s="467" cm="1" t="str">
        <f t="array" ref="I42:I42">AB42</f>
        <v>0</v>
      </c>
      <c r="J42" s="467"/>
      <c r="K42" s="467"/>
      <c r="L42" s="467"/>
      <c r="M42" s="467"/>
      <c r="N42" s="467"/>
      <c r="O42" s="467"/>
      <c r="P42" s="467"/>
      <c r="Q42" s="879"/>
      <c r="R42" s="467"/>
      <c r="S42" s="467"/>
      <c r="T42" s="439">
        <f>AND(F42&gt;0,Y42&gt;0)</f>
        <v>0</v>
      </c>
      <c r="U42" s="467"/>
      <c r="V42" s="467"/>
      <c r="W42" s="467" t="s">
        <v>173</v>
      </c>
      <c r="X42" s="1534"/>
      <c r="Y42" s="1534">
        <v>0</v>
      </c>
      <c r="Z42" s="1464"/>
      <c r="AA42" s="1413" t="s">
        <v>174</v>
      </c>
      <c r="AB42" s="3408"/>
      <c r="AC42" s="846" t="s">
        <v>1494</v>
      </c>
      <c r="AD42" s="3409"/>
      <c r="AE42" s="3410"/>
      <c r="AF42" s="1078">
        <f>IF(AD42=0,0,(AE42-AD42)/AD42*100)</f>
        <v>0</v>
      </c>
      <c r="AG42" s="3409"/>
      <c r="AH42" s="3410"/>
      <c r="AI42" s="1078">
        <f>IF(AG42=0,0,(AH42-AG42)/AG42*100)</f>
        <v>0</v>
      </c>
      <c r="AJ42" s="3409"/>
      <c r="AK42" s="3410"/>
      <c r="AL42" s="1078">
        <f>IF(AJ42=0,0,(AK42-AJ42)/AJ42*100)</f>
        <v>0</v>
      </c>
      <c r="AM42" s="3409"/>
      <c r="AN42" s="3410"/>
      <c r="AO42" s="1078">
        <f>IF(AM42=0,0,(AN42-AM42)/AM42*100)</f>
        <v>0</v>
      </c>
      <c r="AP42" s="3409"/>
      <c r="AQ42" s="3410"/>
      <c r="AR42" s="1078">
        <f>IF(AP42=0,0,(AQ42-AP42)/AP42*100)</f>
        <v>0</v>
      </c>
      <c r="AS42" s="3409"/>
      <c r="AT42" s="3410"/>
      <c r="AU42" s="1078">
        <f>IF(AS42=0,0,(AT42-AS42)/AS42*100)</f>
        <v>0</v>
      </c>
      <c r="AV42" s="3409"/>
      <c r="AW42" s="3410"/>
      <c r="AX42" s="1078">
        <f>IF(AV42=0,0,(AW42-AV42)/AV42*100)</f>
        <v>0</v>
      </c>
      <c r="AY42" s="3409"/>
      <c r="AZ42" s="3410"/>
      <c r="BA42" s="1078">
        <f>IF(AY42=0,0,(AZ42-AY42)/AY42*100)</f>
        <v>0</v>
      </c>
      <c r="BB42" s="3409"/>
      <c r="BC42" s="3410"/>
      <c r="BD42" s="1078">
        <f>IF(BB42=0,0,(BC42-BB42)/BB42*100)</f>
        <v>0</v>
      </c>
      <c r="BE42" s="3409"/>
      <c r="BF42" s="3410"/>
      <c r="BG42" s="1078">
        <f>IF(BE42=0,0,(BF42-BE42)/BE42*100)</f>
        <v>0</v>
      </c>
      <c r="BH42" s="3409"/>
      <c r="BI42" s="3410"/>
      <c r="BJ42" s="1078">
        <f>IF(BH42=0,0,(BI42-BH42)/BH42*100)</f>
        <v>0</v>
      </c>
      <c r="BK42" s="3409"/>
      <c r="BL42" s="3410"/>
      <c r="BM42" s="1078">
        <f>IF(BK42=0,0,(BL42-BK42)/BK42*100)</f>
        <v>0</v>
      </c>
      <c r="BN42" s="3409"/>
      <c r="BO42" s="3410"/>
      <c r="BP42" s="1078">
        <f>IF(BN42=0,0,(BO42-BN42)/BN42*100)</f>
        <v>0</v>
      </c>
      <c r="BQ42" s="3409"/>
      <c r="BR42" s="3410"/>
      <c r="BS42" s="1078">
        <f>IF(BQ42=0,0,(BR42-BQ42)/BQ42*100)</f>
        <v>0</v>
      </c>
      <c r="BT42" s="3409"/>
      <c r="BU42" s="3410"/>
      <c r="BV42" s="1078">
        <f>IF(BT42=0,0,(BU42-BT42)/BT42*100)</f>
        <v>0</v>
      </c>
      <c r="BW42" s="3409"/>
      <c r="BX42" s="3410"/>
      <c r="BY42" s="1078">
        <f>IF(BW42=0,0,(BX42-BW42)/BW42*100)</f>
        <v>0</v>
      </c>
      <c r="BZ42" s="3409"/>
      <c r="CA42" s="3410"/>
      <c r="CB42" s="1078">
        <f>IF(BZ42=0,0,(CA42-BZ42)/BZ42*100)</f>
        <v>0</v>
      </c>
      <c r="CC42" s="3409"/>
      <c r="CD42" s="3410"/>
      <c r="CE42" s="1078">
        <f>IF(CC42=0,0,(CD42-CC42)/CC42*100)</f>
        <v>0</v>
      </c>
      <c r="CF42" s="3409"/>
      <c r="CG42" s="3410"/>
      <c r="CH42" s="1078">
        <f>IF(CF42=0,0,(CG42-CF42)/CF42*100)</f>
        <v>0</v>
      </c>
      <c r="CI42" s="3409"/>
      <c r="CJ42" s="3410"/>
      <c r="CK42" s="1078">
        <f>IF(CI42=0,0,(CJ42-CI42)/CI42*100)</f>
        <v>0</v>
      </c>
      <c r="CL42" s="3409"/>
      <c r="CM42" s="3410"/>
      <c r="CN42" s="1078">
        <f>IF(CL42=0,0,(CM42-CL42)/CL42*100)</f>
        <v>0</v>
      </c>
      <c r="CO42" s="3409"/>
      <c r="CP42" s="3410"/>
      <c r="CQ42" s="1078">
        <f>IF(CO42=0,0,(CP42-CO42)/CO42*100)</f>
        <v>0</v>
      </c>
      <c r="CR42" s="3409"/>
      <c r="CS42" s="3410"/>
      <c r="CT42" s="1078">
        <f>IF(CR42=0,0,(CS42-CR42)/CR42*100)</f>
        <v>0</v>
      </c>
      <c r="CU42" s="3409"/>
      <c r="CV42" s="3410"/>
      <c r="CW42" s="1078">
        <f>IF(CU42=0,0,(CV42-CU42)/CU42*100)</f>
        <v>0</v>
      </c>
      <c r="CX42" s="3409"/>
      <c r="CY42" s="3410"/>
      <c r="CZ42" s="1078">
        <f>IF(CX42=0,0,(CY42-CX42)/CX42*100)</f>
        <v>0</v>
      </c>
      <c r="DA42" s="3409"/>
      <c r="DB42" s="3410"/>
      <c r="DC42" s="1078">
        <f>IF(DA42=0,0,(DB42-DA42)/DA42*100)</f>
        <v>0</v>
      </c>
      <c r="DD42" s="3409"/>
      <c r="DE42" s="3410"/>
      <c r="DF42" s="1078">
        <f>IF(DD42=0,0,(DE42-DD42)/DD42*100)</f>
        <v>0</v>
      </c>
      <c r="DG42" s="3409"/>
      <c r="DH42" s="3410"/>
      <c r="DI42" s="1078">
        <f>IF(DG42=0,0,(DH42-DG42)/DG42*100)</f>
        <v>0</v>
      </c>
      <c r="DJ42" s="3409"/>
      <c r="DK42" s="3410"/>
      <c r="DL42" s="1078">
        <f>IF(DJ42=0,0,(DK42-DJ42)/DJ42*100)</f>
        <v>0</v>
      </c>
      <c r="DM42" s="3409"/>
      <c r="DN42" s="3410"/>
      <c r="DO42" s="1078">
        <f>IF(DM42=0,0,(DN42-DM42)/DM42*100)</f>
        <v>0</v>
      </c>
      <c r="DP42" s="3409"/>
      <c r="DQ42" s="3410"/>
      <c r="DR42" s="1078">
        <f>IF(DP42=0,0,(DQ42-DP42)/DP42*100)</f>
        <v>0</v>
      </c>
      <c r="DS42" s="3409"/>
      <c r="DT42" s="3410"/>
      <c r="DU42" s="1078">
        <f>IF(DS42=0,0,(DT42-DS42)/DS42*100)</f>
        <v>0</v>
      </c>
      <c r="DV42" s="3409"/>
      <c r="DW42" s="3410"/>
      <c r="DX42" s="1078">
        <f>IF(DV42=0,0,(DW42-DV42)/DV42*100)</f>
        <v>0</v>
      </c>
      <c r="DY42" s="3409"/>
      <c r="DZ42" s="3410"/>
      <c r="EA42" s="1078">
        <f>IF(DY42=0,0,(DZ42-DY42)/DY42*100)</f>
        <v>0</v>
      </c>
      <c r="EB42" s="3409"/>
      <c r="EC42" s="3410"/>
      <c r="ED42" s="1078">
        <f>IF(EB42=0,0,(EC42-EB42)/EB42*100)</f>
        <v>0</v>
      </c>
      <c r="EE42" s="3409"/>
      <c r="EF42" s="3410"/>
      <c r="EG42" s="1078">
        <f>IF(EE42=0,0,(EF42-EE42)/EE42*100)</f>
        <v>0</v>
      </c>
      <c r="EH42" s="3409"/>
      <c r="EI42" s="3410"/>
      <c r="EJ42" s="1078">
        <f>IF(EH42=0,0,(EI42-EH42)/EH42*100)</f>
        <v>0</v>
      </c>
      <c r="EK42" s="3409"/>
      <c r="EL42" s="3410"/>
      <c r="EM42" s="1078">
        <f>IF(EK42=0,0,(EL42-EK42)/EK42*100)</f>
        <v>0</v>
      </c>
      <c r="EN42" s="3409"/>
      <c r="EO42" s="3410"/>
      <c r="EP42" s="1078">
        <f>IF(EN42=0,0,(EO42-EN42)/EN42*100)</f>
        <v>0</v>
      </c>
      <c r="EQ42" s="3409"/>
      <c r="ER42" s="3410"/>
      <c r="ES42" s="1078">
        <f>IF(EQ42=0,0,(ER42-EQ42)/EQ42*100)</f>
        <v>0</v>
      </c>
      <c r="ET42" s="3409"/>
      <c r="EU42" s="3410"/>
      <c r="EV42" s="1078">
        <f>IF(ET42=0,0,(EU42-ET42)/ET42*100)</f>
        <v>0</v>
      </c>
      <c r="EW42" s="3409"/>
      <c r="EX42" s="3410"/>
      <c r="EY42" s="1078">
        <f>IF(EW42=0,0,(EX42-EW42)/EW42*100)</f>
        <v>0</v>
      </c>
      <c r="EZ42" s="3409"/>
      <c r="FA42" s="3410"/>
      <c r="FB42" s="1078">
        <f>IF(EZ42=0,0,(FA42-EZ42)/EZ42*100)</f>
        <v>0</v>
      </c>
      <c r="FC42" s="3409"/>
      <c r="FD42" s="3410"/>
      <c r="FE42" s="1078">
        <f>IF(FC42=0,0,(FD42-FC42)/FC42*100)</f>
        <v>0</v>
      </c>
      <c r="FF42" s="3409"/>
      <c r="FG42" s="3410"/>
      <c r="FH42" s="1078">
        <f>IF(FF42=0,0,(FG42-FF42)/FF42*100)</f>
        <v>0</v>
      </c>
      <c r="FI42" s="3409"/>
      <c r="FJ42" s="3410"/>
      <c r="FK42" s="1078">
        <f>IF(FI42=0,0,(FJ42-FI42)/FI42*100)</f>
        <v>0</v>
      </c>
      <c r="FL42" s="3409"/>
      <c r="FM42" s="3410"/>
      <c r="FN42" s="1078">
        <f>IF(FL42=0,0,(FM42-FL42)/FL42*100)</f>
        <v>0</v>
      </c>
      <c r="FO42" s="3409"/>
      <c r="FP42" s="3410"/>
      <c r="FQ42" s="1078">
        <f>IF(FO42=0,0,(FP42-FO42)/FO42*100)</f>
        <v>0</v>
      </c>
      <c r="FR42" s="3409"/>
      <c r="FS42" s="3410"/>
      <c r="FT42" s="1078">
        <f>IF(FR42=0,0,(FS42-FR42)/FR42*100)</f>
        <v>0</v>
      </c>
      <c r="FU42" s="3409"/>
      <c r="FV42" s="3410"/>
      <c r="FW42" s="1078">
        <f>IF(FU42=0,0,(FV42-FU42)/FU42*100)</f>
        <v>0</v>
      </c>
      <c r="FX42" s="259"/>
      <c r="FY42" s="676"/>
      <c r="FZ42" s="1039" t="s">
        <v>1519</v>
      </c>
      <c r="GA42" s="998" t="s">
        <v>1520</v>
      </c>
      <c r="GB42" s="998" cm="1" t="str">
        <f t="array" ref="GB42:GB42">AB42</f>
        <v>0</v>
      </c>
      <c r="GC42" s="697"/>
      <c r="GD42" s="611" t="b">
        <v>1</v>
      </c>
    </row>
    <row customHeight="1" ht="14.625" hidden="1">
      <c r="A43" s="467"/>
      <c r="B43" s="907" cm="1" t="str">
        <f t="array" ref="B43:B43">B42</f>
        <v>false</v>
      </c>
      <c r="C43" s="467"/>
      <c r="D43" s="467"/>
      <c r="E43" s="822">
        <v>15</v>
      </c>
      <c r="F43" s="50" cm="1" t="str">
        <f t="array" ref="F43:F43">OFFSET(E43,-1,1)</f>
        <v>0</v>
      </c>
      <c r="G43" s="467"/>
      <c r="H43" s="467" t="s">
        <v>448</v>
      </c>
      <c r="I43" s="467" cm="1" t="str">
        <f t="array" ref="I43:I43">I42</f>
        <v>0</v>
      </c>
      <c r="J43" s="467"/>
      <c r="K43" s="467"/>
      <c r="L43" s="467"/>
      <c r="M43" s="467"/>
      <c r="N43" s="467"/>
      <c r="O43" s="467"/>
      <c r="P43" s="467"/>
      <c r="Q43" s="879"/>
      <c r="R43" s="467"/>
      <c r="S43" s="467"/>
      <c r="T43" s="439" cm="1" t="str">
        <f t="array" ref="T43:T43">T42</f>
        <v>false</v>
      </c>
      <c r="U43" s="467"/>
      <c r="V43" s="467"/>
      <c r="W43" s="467"/>
      <c r="X43" s="1534"/>
      <c r="Y43" s="1534"/>
      <c r="Z43" s="1464"/>
      <c r="AA43" s="1413"/>
      <c r="AB43" s="882" t="s">
        <v>1521</v>
      </c>
      <c r="AC43" s="267" t="s">
        <v>512</v>
      </c>
      <c r="AD43" s="3404"/>
      <c r="AE43" s="3404"/>
      <c r="AF43" s="1080">
        <f>IF(AD43=0,0,(AE43-AD43)/AD43*100)</f>
        <v>0</v>
      </c>
      <c r="AG43" s="3404"/>
      <c r="AH43" s="3404"/>
      <c r="AI43" s="1080">
        <f>IF(AG43=0,0,(AH43-AG43)/AG43*100)</f>
        <v>0</v>
      </c>
      <c r="AJ43" s="3404"/>
      <c r="AK43" s="3404"/>
      <c r="AL43" s="1080">
        <f>IF(AJ43=0,0,(AK43-AJ43)/AJ43*100)</f>
        <v>0</v>
      </c>
      <c r="AM43" s="3404"/>
      <c r="AN43" s="3404"/>
      <c r="AO43" s="1080">
        <f>IF(AM43=0,0,(AN43-AM43)/AM43*100)</f>
        <v>0</v>
      </c>
      <c r="AP43" s="3404"/>
      <c r="AQ43" s="3404"/>
      <c r="AR43" s="1080">
        <f>IF(AP43=0,0,(AQ43-AP43)/AP43*100)</f>
        <v>0</v>
      </c>
      <c r="AS43" s="3404"/>
      <c r="AT43" s="3404"/>
      <c r="AU43" s="1080">
        <f>IF(AS43=0,0,(AT43-AS43)/AS43*100)</f>
        <v>0</v>
      </c>
      <c r="AV43" s="3404"/>
      <c r="AW43" s="3404"/>
      <c r="AX43" s="1080">
        <f>IF(AV43=0,0,(AW43-AV43)/AV43*100)</f>
        <v>0</v>
      </c>
      <c r="AY43" s="3404"/>
      <c r="AZ43" s="3404"/>
      <c r="BA43" s="1080">
        <f>IF(AY43=0,0,(AZ43-AY43)/AY43*100)</f>
        <v>0</v>
      </c>
      <c r="BB43" s="3404"/>
      <c r="BC43" s="3404"/>
      <c r="BD43" s="1080">
        <f>IF(BB43=0,0,(BC43-BB43)/BB43*100)</f>
        <v>0</v>
      </c>
      <c r="BE43" s="3404"/>
      <c r="BF43" s="3404"/>
      <c r="BG43" s="1080">
        <f>IF(BE43=0,0,(BF43-BE43)/BE43*100)</f>
        <v>0</v>
      </c>
      <c r="BH43" s="3404"/>
      <c r="BI43" s="3404"/>
      <c r="BJ43" s="1080">
        <f>IF(BH43=0,0,(BI43-BH43)/BH43*100)</f>
        <v>0</v>
      </c>
      <c r="BK43" s="3404"/>
      <c r="BL43" s="3404"/>
      <c r="BM43" s="1080">
        <f>IF(BK43=0,0,(BL43-BK43)/BK43*100)</f>
        <v>0</v>
      </c>
      <c r="BN43" s="3404"/>
      <c r="BO43" s="3404"/>
      <c r="BP43" s="1080">
        <f>IF(BN43=0,0,(BO43-BN43)/BN43*100)</f>
        <v>0</v>
      </c>
      <c r="BQ43" s="3404"/>
      <c r="BR43" s="3404"/>
      <c r="BS43" s="1080">
        <f>IF(BQ43=0,0,(BR43-BQ43)/BQ43*100)</f>
        <v>0</v>
      </c>
      <c r="BT43" s="3404"/>
      <c r="BU43" s="3404"/>
      <c r="BV43" s="1080">
        <f>IF(BT43=0,0,(BU43-BT43)/BT43*100)</f>
        <v>0</v>
      </c>
      <c r="BW43" s="3404"/>
      <c r="BX43" s="3404"/>
      <c r="BY43" s="1080">
        <f>IF(BW43=0,0,(BX43-BW43)/BW43*100)</f>
        <v>0</v>
      </c>
      <c r="BZ43" s="3404"/>
      <c r="CA43" s="3404"/>
      <c r="CB43" s="1080">
        <f>IF(BZ43=0,0,(CA43-BZ43)/BZ43*100)</f>
        <v>0</v>
      </c>
      <c r="CC43" s="3404"/>
      <c r="CD43" s="3404"/>
      <c r="CE43" s="1080">
        <f>IF(CC43=0,0,(CD43-CC43)/CC43*100)</f>
        <v>0</v>
      </c>
      <c r="CF43" s="3404"/>
      <c r="CG43" s="3404"/>
      <c r="CH43" s="1080">
        <f>IF(CF43=0,0,(CG43-CF43)/CF43*100)</f>
        <v>0</v>
      </c>
      <c r="CI43" s="3404"/>
      <c r="CJ43" s="3404"/>
      <c r="CK43" s="1080">
        <f>IF(CI43=0,0,(CJ43-CI43)/CI43*100)</f>
        <v>0</v>
      </c>
      <c r="CL43" s="3404"/>
      <c r="CM43" s="3404"/>
      <c r="CN43" s="1080">
        <f>IF(CL43=0,0,(CM43-CL43)/CL43*100)</f>
        <v>0</v>
      </c>
      <c r="CO43" s="3404"/>
      <c r="CP43" s="3404"/>
      <c r="CQ43" s="1080">
        <f>IF(CO43=0,0,(CP43-CO43)/CO43*100)</f>
        <v>0</v>
      </c>
      <c r="CR43" s="3404"/>
      <c r="CS43" s="3404"/>
      <c r="CT43" s="1080">
        <f>IF(CR43=0,0,(CS43-CR43)/CR43*100)</f>
        <v>0</v>
      </c>
      <c r="CU43" s="3404"/>
      <c r="CV43" s="3404"/>
      <c r="CW43" s="1080">
        <f>IF(CU43=0,0,(CV43-CU43)/CU43*100)</f>
        <v>0</v>
      </c>
      <c r="CX43" s="3404"/>
      <c r="CY43" s="3404"/>
      <c r="CZ43" s="1080">
        <f>IF(CX43=0,0,(CY43-CX43)/CX43*100)</f>
        <v>0</v>
      </c>
      <c r="DA43" s="3404"/>
      <c r="DB43" s="3404"/>
      <c r="DC43" s="1080">
        <f>IF(DA43=0,0,(DB43-DA43)/DA43*100)</f>
        <v>0</v>
      </c>
      <c r="DD43" s="3404"/>
      <c r="DE43" s="3404"/>
      <c r="DF43" s="1080">
        <f>IF(DD43=0,0,(DE43-DD43)/DD43*100)</f>
        <v>0</v>
      </c>
      <c r="DG43" s="3404"/>
      <c r="DH43" s="3404"/>
      <c r="DI43" s="1080">
        <f>IF(DG43=0,0,(DH43-DG43)/DG43*100)</f>
        <v>0</v>
      </c>
      <c r="DJ43" s="3404"/>
      <c r="DK43" s="3404"/>
      <c r="DL43" s="1080">
        <f>IF(DJ43=0,0,(DK43-DJ43)/DJ43*100)</f>
        <v>0</v>
      </c>
      <c r="DM43" s="3404"/>
      <c r="DN43" s="3404"/>
      <c r="DO43" s="1080">
        <f>IF(DM43=0,0,(DN43-DM43)/DM43*100)</f>
        <v>0</v>
      </c>
      <c r="DP43" s="3404"/>
      <c r="DQ43" s="3404"/>
      <c r="DR43" s="1080">
        <f>IF(DP43=0,0,(DQ43-DP43)/DP43*100)</f>
        <v>0</v>
      </c>
      <c r="DS43" s="3404"/>
      <c r="DT43" s="3404"/>
      <c r="DU43" s="1080">
        <f>IF(DS43=0,0,(DT43-DS43)/DS43*100)</f>
        <v>0</v>
      </c>
      <c r="DV43" s="3404"/>
      <c r="DW43" s="3404"/>
      <c r="DX43" s="1080">
        <f>IF(DV43=0,0,(DW43-DV43)/DV43*100)</f>
        <v>0</v>
      </c>
      <c r="DY43" s="3404"/>
      <c r="DZ43" s="3404"/>
      <c r="EA43" s="1080">
        <f>IF(DY43=0,0,(DZ43-DY43)/DY43*100)</f>
        <v>0</v>
      </c>
      <c r="EB43" s="3404"/>
      <c r="EC43" s="3404"/>
      <c r="ED43" s="1080">
        <f>IF(EB43=0,0,(EC43-EB43)/EB43*100)</f>
        <v>0</v>
      </c>
      <c r="EE43" s="3404"/>
      <c r="EF43" s="3404"/>
      <c r="EG43" s="1080">
        <f>IF(EE43=0,0,(EF43-EE43)/EE43*100)</f>
        <v>0</v>
      </c>
      <c r="EH43" s="3404"/>
      <c r="EI43" s="3404"/>
      <c r="EJ43" s="1080">
        <f>IF(EH43=0,0,(EI43-EH43)/EH43*100)</f>
        <v>0</v>
      </c>
      <c r="EK43" s="3404"/>
      <c r="EL43" s="3404"/>
      <c r="EM43" s="1080">
        <f>IF(EK43=0,0,(EL43-EK43)/EK43*100)</f>
        <v>0</v>
      </c>
      <c r="EN43" s="3404"/>
      <c r="EO43" s="3404"/>
      <c r="EP43" s="1080">
        <f>IF(EN43=0,0,(EO43-EN43)/EN43*100)</f>
        <v>0</v>
      </c>
      <c r="EQ43" s="3404"/>
      <c r="ER43" s="3404"/>
      <c r="ES43" s="1080">
        <f>IF(EQ43=0,0,(ER43-EQ43)/EQ43*100)</f>
        <v>0</v>
      </c>
      <c r="ET43" s="3404"/>
      <c r="EU43" s="3404"/>
      <c r="EV43" s="1080">
        <f>IF(ET43=0,0,(EU43-ET43)/ET43*100)</f>
        <v>0</v>
      </c>
      <c r="EW43" s="3404"/>
      <c r="EX43" s="3404"/>
      <c r="EY43" s="1080">
        <f>IF(EW43=0,0,(EX43-EW43)/EW43*100)</f>
        <v>0</v>
      </c>
      <c r="EZ43" s="3404"/>
      <c r="FA43" s="3404"/>
      <c r="FB43" s="1080">
        <f>IF(EZ43=0,0,(FA43-EZ43)/EZ43*100)</f>
        <v>0</v>
      </c>
      <c r="FC43" s="3404"/>
      <c r="FD43" s="3404"/>
      <c r="FE43" s="1080">
        <f>IF(FC43=0,0,(FD43-FC43)/FC43*100)</f>
        <v>0</v>
      </c>
      <c r="FF43" s="3404"/>
      <c r="FG43" s="3404"/>
      <c r="FH43" s="1080">
        <f>IF(FF43=0,0,(FG43-FF43)/FF43*100)</f>
        <v>0</v>
      </c>
      <c r="FI43" s="3404"/>
      <c r="FJ43" s="3404"/>
      <c r="FK43" s="1080">
        <f>IF(FI43=0,0,(FJ43-FI43)/FI43*100)</f>
        <v>0</v>
      </c>
      <c r="FL43" s="3404"/>
      <c r="FM43" s="3404"/>
      <c r="FN43" s="1080">
        <f>IF(FL43=0,0,(FM43-FL43)/FL43*100)</f>
        <v>0</v>
      </c>
      <c r="FO43" s="3404"/>
      <c r="FP43" s="3404"/>
      <c r="FQ43" s="1080">
        <f>IF(FO43=0,0,(FP43-FO43)/FO43*100)</f>
        <v>0</v>
      </c>
      <c r="FR43" s="3404"/>
      <c r="FS43" s="3404"/>
      <c r="FT43" s="1080">
        <f>IF(FR43=0,0,(FS43-FR43)/FR43*100)</f>
        <v>0</v>
      </c>
      <c r="FU43" s="3404"/>
      <c r="FV43" s="3404"/>
      <c r="FW43" s="1080">
        <f>IF(FU43=0,0,(FV43-FU43)/FU43*100)</f>
        <v>0</v>
      </c>
      <c r="FX43" s="259"/>
      <c r="FY43" s="676"/>
      <c r="FZ43" s="1039" t="s">
        <v>1522</v>
      </c>
      <c r="GA43" s="998" t="s">
        <v>1520</v>
      </c>
      <c r="GB43" s="998" cm="1" t="str">
        <f t="array" ref="GB43:GB43">GB42</f>
        <v>0</v>
      </c>
      <c r="GC43" s="697"/>
      <c r="GD43" s="697"/>
    </row>
    <row customHeight="1" ht="14.625" hidden="1">
      <c r="A44" s="467"/>
      <c r="B44" s="907" cm="1" t="str">
        <f t="array" ref="B44:B44">B43</f>
        <v>false</v>
      </c>
      <c r="C44" s="467"/>
      <c r="D44" s="467"/>
      <c r="E44" s="822">
        <v>15</v>
      </c>
      <c r="F44" s="50" cm="1" t="str">
        <f t="array" ref="F44:F44">OFFSET(E44,-1,1)</f>
        <v>0</v>
      </c>
      <c r="G44" s="467"/>
      <c r="H44" s="467"/>
      <c r="I44" s="64" t="s">
        <v>1523</v>
      </c>
      <c r="J44" s="467"/>
      <c r="K44" s="467"/>
      <c r="L44" s="467"/>
      <c r="M44" s="467"/>
      <c r="N44" s="467"/>
      <c r="O44" s="467"/>
      <c r="P44" s="467"/>
      <c r="Q44" s="467"/>
      <c r="R44" s="51"/>
      <c r="S44" s="467"/>
      <c r="T44" s="439">
        <f>F44&gt;0</f>
        <v>0</v>
      </c>
      <c r="U44" s="467"/>
      <c r="V44" s="676"/>
      <c r="W44" s="738" t="s">
        <v>1524</v>
      </c>
      <c r="X44" s="1534"/>
      <c r="Y44" s="676"/>
      <c r="Z44" s="1464"/>
      <c r="AA44" s="676"/>
      <c r="AB44" s="227" t="s">
        <v>177</v>
      </c>
      <c r="AC44" s="231"/>
      <c r="AD44" s="1083"/>
      <c r="AE44" s="1083"/>
      <c r="AF44" s="1083"/>
      <c r="AG44" s="1083"/>
      <c r="AH44" s="1083"/>
      <c r="AI44" s="1083"/>
      <c r="AJ44" s="1083"/>
      <c r="AK44" s="1083"/>
      <c r="AL44" s="1083"/>
      <c r="AM44" s="1083"/>
      <c r="AN44" s="1083"/>
      <c r="AO44" s="1083"/>
      <c r="AP44" s="1083"/>
      <c r="AQ44" s="1083"/>
      <c r="AR44" s="1083"/>
      <c r="AS44" s="1083"/>
      <c r="AT44" s="1083"/>
      <c r="AU44" s="1083"/>
      <c r="AV44" s="1083"/>
      <c r="AW44" s="1083"/>
      <c r="AX44" s="1083"/>
      <c r="AY44" s="1083"/>
      <c r="AZ44" s="1083"/>
      <c r="BA44" s="1083"/>
      <c r="BB44" s="1083"/>
      <c r="BC44" s="1083"/>
      <c r="BD44" s="1083"/>
      <c r="BE44" s="1083"/>
      <c r="BF44" s="1083"/>
      <c r="BG44" s="1083"/>
      <c r="BH44" s="1083"/>
      <c r="BI44" s="1083"/>
      <c r="BJ44" s="1083"/>
      <c r="BK44" s="1083"/>
      <c r="BL44" s="1083"/>
      <c r="BM44" s="1083"/>
      <c r="BN44" s="1083"/>
      <c r="BO44" s="1083"/>
      <c r="BP44" s="1083"/>
      <c r="BQ44" s="1083"/>
      <c r="BR44" s="1083"/>
      <c r="BS44" s="1083"/>
      <c r="BT44" s="1083"/>
      <c r="BU44" s="1083"/>
      <c r="BV44" s="1083"/>
      <c r="BW44" s="1083"/>
      <c r="BX44" s="1083"/>
      <c r="BY44" s="1083"/>
      <c r="BZ44" s="1083"/>
      <c r="CA44" s="1083"/>
      <c r="CB44" s="1083"/>
      <c r="CC44" s="1083"/>
      <c r="CD44" s="1083"/>
      <c r="CE44" s="1083"/>
      <c r="CF44" s="1083"/>
      <c r="CG44" s="1083"/>
      <c r="CH44" s="1083"/>
      <c r="CI44" s="1083"/>
      <c r="CJ44" s="1083"/>
      <c r="CK44" s="1083"/>
      <c r="CL44" s="1083"/>
      <c r="CM44" s="1083"/>
      <c r="CN44" s="1083"/>
      <c r="CO44" s="1083"/>
      <c r="CP44" s="1083"/>
      <c r="CQ44" s="1083"/>
      <c r="CR44" s="1083"/>
      <c r="CS44" s="1083"/>
      <c r="CT44" s="1083"/>
      <c r="CU44" s="1083"/>
      <c r="CV44" s="1083"/>
      <c r="CW44" s="1083"/>
      <c r="CX44" s="1083"/>
      <c r="CY44" s="1083"/>
      <c r="CZ44" s="1083"/>
      <c r="DA44" s="1083"/>
      <c r="DB44" s="1083"/>
      <c r="DC44" s="1083"/>
      <c r="DD44" s="1083"/>
      <c r="DE44" s="1083"/>
      <c r="DF44" s="1083"/>
      <c r="DG44" s="1083"/>
      <c r="DH44" s="1083"/>
      <c r="DI44" s="1083"/>
      <c r="DJ44" s="1083"/>
      <c r="DK44" s="1083"/>
      <c r="DL44" s="1083"/>
      <c r="DM44" s="1083"/>
      <c r="DN44" s="1083"/>
      <c r="DO44" s="1083"/>
      <c r="DP44" s="1083"/>
      <c r="DQ44" s="1083"/>
      <c r="DR44" s="1083"/>
      <c r="DS44" s="1083"/>
      <c r="DT44" s="1083"/>
      <c r="DU44" s="1083"/>
      <c r="DV44" s="1083"/>
      <c r="DW44" s="1083"/>
      <c r="DX44" s="1083"/>
      <c r="DY44" s="1083"/>
      <c r="DZ44" s="1083"/>
      <c r="EA44" s="1083"/>
      <c r="EB44" s="1083"/>
      <c r="EC44" s="1083"/>
      <c r="ED44" s="1083"/>
      <c r="EE44" s="1083"/>
      <c r="EF44" s="1083"/>
      <c r="EG44" s="1083"/>
      <c r="EH44" s="1083"/>
      <c r="EI44" s="1083"/>
      <c r="EJ44" s="1083"/>
      <c r="EK44" s="1083"/>
      <c r="EL44" s="1083"/>
      <c r="EM44" s="1083"/>
      <c r="EN44" s="1083"/>
      <c r="EO44" s="1083"/>
      <c r="EP44" s="1083"/>
      <c r="EQ44" s="1083"/>
      <c r="ER44" s="1083"/>
      <c r="ES44" s="1083"/>
      <c r="ET44" s="1083"/>
      <c r="EU44" s="1083"/>
      <c r="EV44" s="1083"/>
      <c r="EW44" s="1083"/>
      <c r="EX44" s="1083"/>
      <c r="EY44" s="1083"/>
      <c r="EZ44" s="1083"/>
      <c r="FA44" s="1083"/>
      <c r="FB44" s="1083"/>
      <c r="FC44" s="1083"/>
      <c r="FD44" s="1083"/>
      <c r="FE44" s="1083"/>
      <c r="FF44" s="1083"/>
      <c r="FG44" s="1083"/>
      <c r="FH44" s="1083"/>
      <c r="FI44" s="1083"/>
      <c r="FJ44" s="1083"/>
      <c r="FK44" s="1083"/>
      <c r="FL44" s="1083"/>
      <c r="FM44" s="1083"/>
      <c r="FN44" s="1083"/>
      <c r="FO44" s="1083"/>
      <c r="FP44" s="1083"/>
      <c r="FQ44" s="1083"/>
      <c r="FR44" s="1083"/>
      <c r="FS44" s="1083"/>
      <c r="FT44" s="1083"/>
      <c r="FU44" s="1083"/>
      <c r="FV44" s="1083"/>
      <c r="FW44" s="1084"/>
      <c r="FX44" s="676"/>
      <c r="FY44" s="676"/>
      <c r="FZ44" s="1039" t="s">
        <v>222</v>
      </c>
      <c r="GA44" s="1061"/>
      <c r="GB44" s="1061"/>
      <c r="GC44" s="611" t="s">
        <v>1520</v>
      </c>
      <c r="GD44" s="697"/>
    </row>
    <row customHeight="1" ht="14.625" hidden="1">
      <c r="A45" s="467"/>
      <c r="B45" s="907">
        <f>AND(R29="двухставочный",NOT(S29))</f>
        <v>0</v>
      </c>
      <c r="C45" s="467"/>
      <c r="D45" s="467"/>
      <c r="E45" s="822">
        <v>15</v>
      </c>
      <c r="F45" s="50" cm="1" t="str">
        <f t="array" ref="F45:F45">OFFSET(E45,-1,1)</f>
        <v>0</v>
      </c>
      <c r="G45" s="467"/>
      <c r="H45" s="467"/>
      <c r="I45" s="467"/>
      <c r="J45" s="467"/>
      <c r="K45" s="467"/>
      <c r="L45" s="467"/>
      <c r="M45" s="467"/>
      <c r="N45" s="467"/>
      <c r="O45" s="467"/>
      <c r="P45" s="467"/>
      <c r="Q45" s="467"/>
      <c r="R45" s="51"/>
      <c r="S45" s="467"/>
      <c r="T45" s="439" cm="1" t="str">
        <f t="array" ref="T45:T45">T44</f>
        <v>false</v>
      </c>
      <c r="U45" s="467"/>
      <c r="V45" s="467"/>
      <c r="W45" s="467"/>
      <c r="X45" s="1534"/>
      <c r="Y45" s="467"/>
      <c r="Z45" s="1464"/>
      <c r="AA45" s="467"/>
      <c r="AB45" s="876" t="s">
        <v>1525</v>
      </c>
      <c r="AC45" s="877"/>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5"/>
      <c r="AY45" s="1085"/>
      <c r="AZ45" s="1085"/>
      <c r="BA45" s="1085"/>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085"/>
      <c r="CP45" s="1085"/>
      <c r="CQ45" s="1085"/>
      <c r="CR45" s="1085"/>
      <c r="CS45" s="1085"/>
      <c r="CT45" s="1085"/>
      <c r="CU45" s="1085"/>
      <c r="CV45" s="1085"/>
      <c r="CW45" s="1085"/>
      <c r="CX45" s="1085"/>
      <c r="CY45" s="1085"/>
      <c r="CZ45" s="1085"/>
      <c r="DA45" s="1085"/>
      <c r="DB45" s="1085"/>
      <c r="DC45" s="1085"/>
      <c r="DD45" s="1085"/>
      <c r="DE45" s="1085"/>
      <c r="DF45" s="1085"/>
      <c r="DG45" s="1085"/>
      <c r="DH45" s="1085"/>
      <c r="DI45" s="1085"/>
      <c r="DJ45" s="1085"/>
      <c r="DK45" s="1085"/>
      <c r="DL45" s="1085"/>
      <c r="DM45" s="1085"/>
      <c r="DN45" s="1085"/>
      <c r="DO45" s="1085"/>
      <c r="DP45" s="1085"/>
      <c r="DQ45" s="1085"/>
      <c r="DR45" s="1085"/>
      <c r="DS45" s="1085"/>
      <c r="DT45" s="1085"/>
      <c r="DU45" s="1085"/>
      <c r="DV45" s="1085"/>
      <c r="DW45" s="1085"/>
      <c r="DX45" s="1085"/>
      <c r="DY45" s="1085"/>
      <c r="DZ45" s="1085"/>
      <c r="EA45" s="1085"/>
      <c r="EB45" s="1085"/>
      <c r="EC45" s="1085"/>
      <c r="ED45" s="1085"/>
      <c r="EE45" s="1085"/>
      <c r="EF45" s="1085"/>
      <c r="EG45" s="1085"/>
      <c r="EH45" s="1085"/>
      <c r="EI45" s="1085"/>
      <c r="EJ45" s="1085"/>
      <c r="EK45" s="1085"/>
      <c r="EL45" s="1085"/>
      <c r="EM45" s="1085"/>
      <c r="EN45" s="1085"/>
      <c r="EO45" s="1085"/>
      <c r="EP45" s="1085"/>
      <c r="EQ45" s="1085"/>
      <c r="ER45" s="1085"/>
      <c r="ES45" s="1085"/>
      <c r="ET45" s="1085"/>
      <c r="EU45" s="1085"/>
      <c r="EV45" s="1085"/>
      <c r="EW45" s="1085"/>
      <c r="EX45" s="1085"/>
      <c r="EY45" s="1085"/>
      <c r="EZ45" s="1085"/>
      <c r="FA45" s="1085"/>
      <c r="FB45" s="1085"/>
      <c r="FC45" s="1085"/>
      <c r="FD45" s="1085"/>
      <c r="FE45" s="1085"/>
      <c r="FF45" s="1085"/>
      <c r="FG45" s="1085"/>
      <c r="FH45" s="1085"/>
      <c r="FI45" s="1085"/>
      <c r="FJ45" s="1085"/>
      <c r="FK45" s="1085"/>
      <c r="FL45" s="1085"/>
      <c r="FM45" s="1085"/>
      <c r="FN45" s="1085"/>
      <c r="FO45" s="1085"/>
      <c r="FP45" s="1085"/>
      <c r="FQ45" s="1085"/>
      <c r="FR45" s="1085"/>
      <c r="FS45" s="1085"/>
      <c r="FT45" s="1085"/>
      <c r="FU45" s="1085"/>
      <c r="FV45" s="1085"/>
      <c r="FW45" s="1086"/>
      <c r="FX45" s="676"/>
      <c r="FY45" s="676"/>
      <c r="FZ45" s="1039" t="s">
        <v>222</v>
      </c>
      <c r="GA45" s="1061"/>
      <c r="GB45" s="1061"/>
      <c r="GC45" s="697"/>
      <c r="GD45" s="697"/>
    </row>
    <row customHeight="1" ht="23.887500000000003" hidden="1">
      <c r="A46" s="467"/>
      <c r="B46" s="907" cm="1" t="str">
        <f t="array" ref="B46:B46">B45</f>
        <v>false</v>
      </c>
      <c r="C46" s="467"/>
      <c r="D46" s="467"/>
      <c r="E46" s="822">
        <v>24.5</v>
      </c>
      <c r="F46" s="50" cm="1" t="str">
        <f t="array" ref="F46:F46">OFFSET(E46,-1,1)</f>
        <v>0</v>
      </c>
      <c r="G46" s="467"/>
      <c r="H46" s="467"/>
      <c r="I46" s="467"/>
      <c r="J46" s="467"/>
      <c r="K46" s="467"/>
      <c r="L46" s="467"/>
      <c r="M46" s="467"/>
      <c r="N46" s="467"/>
      <c r="O46" s="467"/>
      <c r="P46" s="467"/>
      <c r="Q46" s="467"/>
      <c r="R46" s="467"/>
      <c r="S46" s="467"/>
      <c r="T46" s="439" cm="1" t="str">
        <f t="array" ref="T46:T46">T45</f>
        <v>false</v>
      </c>
      <c r="U46" s="467"/>
      <c r="V46" s="467"/>
      <c r="W46" s="467"/>
      <c r="X46" s="1534"/>
      <c r="Y46" s="467"/>
      <c r="Z46" s="1464"/>
      <c r="AA46" s="467"/>
      <c r="AB46" s="260" t="s">
        <v>1526</v>
      </c>
      <c r="AC46" s="885"/>
      <c r="AD46" s="1087"/>
      <c r="AE46" s="1087"/>
      <c r="AF46" s="1087"/>
      <c r="AG46" s="1087"/>
      <c r="AH46" s="1087"/>
      <c r="AI46" s="1087"/>
      <c r="AJ46" s="1087"/>
      <c r="AK46" s="1087"/>
      <c r="AL46" s="1087"/>
      <c r="AM46" s="1087"/>
      <c r="AN46" s="1087"/>
      <c r="AO46" s="1087"/>
      <c r="AP46" s="1087"/>
      <c r="AQ46" s="1087"/>
      <c r="AR46" s="1087"/>
      <c r="AS46" s="1087"/>
      <c r="AT46" s="1087"/>
      <c r="AU46" s="1087"/>
      <c r="AV46" s="1087"/>
      <c r="AW46" s="1087"/>
      <c r="AX46" s="1087"/>
      <c r="AY46" s="1087"/>
      <c r="AZ46" s="1087"/>
      <c r="BA46" s="1087"/>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087"/>
      <c r="CP46" s="1087"/>
      <c r="CQ46" s="1087"/>
      <c r="CR46" s="1087"/>
      <c r="CS46" s="1087"/>
      <c r="CT46" s="1087"/>
      <c r="CU46" s="1087"/>
      <c r="CV46" s="1087"/>
      <c r="CW46" s="1087"/>
      <c r="CX46" s="1087"/>
      <c r="CY46" s="1087"/>
      <c r="CZ46" s="1087"/>
      <c r="DA46" s="1087"/>
      <c r="DB46" s="1087"/>
      <c r="DC46" s="1087"/>
      <c r="DD46" s="1087"/>
      <c r="DE46" s="1087"/>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1087"/>
      <c r="EE46" s="1087"/>
      <c r="EF46" s="1087"/>
      <c r="EG46" s="1087"/>
      <c r="EH46" s="1087"/>
      <c r="EI46" s="1087"/>
      <c r="EJ46" s="1087"/>
      <c r="EK46" s="1087"/>
      <c r="EL46" s="1087"/>
      <c r="EM46" s="1087"/>
      <c r="EN46" s="1087"/>
      <c r="EO46" s="1087"/>
      <c r="EP46" s="1087"/>
      <c r="EQ46" s="1087"/>
      <c r="ER46" s="1087"/>
      <c r="ES46" s="1087"/>
      <c r="ET46" s="1087"/>
      <c r="EU46" s="1087"/>
      <c r="EV46" s="1087"/>
      <c r="EW46" s="1087"/>
      <c r="EX46" s="1087"/>
      <c r="EY46" s="1087"/>
      <c r="EZ46" s="1087"/>
      <c r="FA46" s="1087"/>
      <c r="FB46" s="1087"/>
      <c r="FC46" s="1087"/>
      <c r="FD46" s="1087"/>
      <c r="FE46" s="1087"/>
      <c r="FF46" s="1087"/>
      <c r="FG46" s="1087"/>
      <c r="FH46" s="1087"/>
      <c r="FI46" s="1087"/>
      <c r="FJ46" s="1087"/>
      <c r="FK46" s="1087"/>
      <c r="FL46" s="1087"/>
      <c r="FM46" s="1087"/>
      <c r="FN46" s="1087"/>
      <c r="FO46" s="1087"/>
      <c r="FP46" s="1087"/>
      <c r="FQ46" s="1087"/>
      <c r="FR46" s="1087"/>
      <c r="FS46" s="1087"/>
      <c r="FT46" s="1087"/>
      <c r="FU46" s="1087"/>
      <c r="FV46" s="1087"/>
      <c r="FW46" s="1088"/>
      <c r="FX46" s="676"/>
      <c r="FY46" s="676"/>
      <c r="FZ46" s="1039" t="s">
        <v>222</v>
      </c>
      <c r="GA46" s="1061"/>
      <c r="GB46" s="1061"/>
      <c r="GC46" s="697"/>
      <c r="GD46" s="697"/>
    </row>
    <row customHeight="1" ht="14.625" hidden="1">
      <c r="A47" s="467"/>
      <c r="B47" s="907" cm="1" t="str">
        <f t="array" ref="B47:B47">B46</f>
        <v>false</v>
      </c>
      <c r="C47" s="467"/>
      <c r="D47" s="467"/>
      <c r="E47" s="822">
        <v>15</v>
      </c>
      <c r="F47" s="50" cm="1" t="str">
        <f t="array" ref="F47:F47">OFFSET(E47,-1,1)</f>
        <v>0</v>
      </c>
      <c r="G47" s="467"/>
      <c r="H47" s="467" t="s">
        <v>1445</v>
      </c>
      <c r="I47" s="467" t="s">
        <v>1492</v>
      </c>
      <c r="J47" s="467"/>
      <c r="K47" s="467"/>
      <c r="L47" s="467"/>
      <c r="M47" s="467"/>
      <c r="N47" s="467"/>
      <c r="O47" s="467"/>
      <c r="P47" s="467"/>
      <c r="Q47" s="467"/>
      <c r="R47" s="467"/>
      <c r="S47" s="467"/>
      <c r="T47" s="439" cm="1" t="str">
        <f t="array" ref="T47:T47">T46</f>
        <v>false</v>
      </c>
      <c r="U47" s="467"/>
      <c r="V47" s="467"/>
      <c r="W47" s="467"/>
      <c r="X47" s="1534"/>
      <c r="Y47" s="467"/>
      <c r="Z47" s="1464"/>
      <c r="AA47" s="467"/>
      <c r="AB47" s="886" t="s">
        <v>1527</v>
      </c>
      <c r="AC47" s="846" t="s">
        <v>1494</v>
      </c>
      <c r="AD47" s="3409">
        <f>IF(AD49=0,0,(AD48*AD49+AD50*AD51*IF(god=2026,9,6))/AD49)</f>
        <v>0</v>
      </c>
      <c r="AE47" s="3409">
        <f>IF(AE49=0,0,(AE48*AE49+AE50*AE51*IF(god=2026,9,6))/AE49)</f>
        <v>0</v>
      </c>
      <c r="AF47" s="1078">
        <f>IF(AD47=0,0,(AE47-AD47)/AD47*100)</f>
        <v>0</v>
      </c>
      <c r="AG47" s="3409">
        <f>IF(AG49=0,0,(AG48*AG49+AG50*AG51*IF(god=2025,9,6))/AG49)</f>
        <v>0</v>
      </c>
      <c r="AH47" s="3409">
        <f>IF(AH49=0,0,(AH48*AH49+AH50*AH51*IF(god=2025,9,6))/AH49)</f>
        <v>0</v>
      </c>
      <c r="AI47" s="1078">
        <f>IF(AG47=0,0,(AH47-AG47)/AG47*100)</f>
        <v>0</v>
      </c>
      <c r="AJ47" s="3409">
        <f>IF(AJ49=0,0,(AJ48*AJ49+AJ50*AJ51*6)/AJ49)</f>
        <v>0</v>
      </c>
      <c r="AK47" s="3409">
        <f>IF(AK49=0,0,(AK48*AK49+AK50*AK51*6)/AK49)</f>
        <v>0</v>
      </c>
      <c r="AL47" s="1078">
        <f>IF(AJ47=0,0,(AK47-AJ47)/AJ47*100)</f>
        <v>0</v>
      </c>
      <c r="AM47" s="3409">
        <f>IF(AM49=0,0,(AM48*AM49+AM50*AM51*6)/AM49)</f>
        <v>0</v>
      </c>
      <c r="AN47" s="3409">
        <f>IF(AN49=0,0,(AN48*AN49+AN50*AN51*6)/AN49)</f>
        <v>0</v>
      </c>
      <c r="AO47" s="1078">
        <f>IF(AM47=0,0,(AN47-AM47)/AM47*100)</f>
        <v>0</v>
      </c>
      <c r="AP47" s="3409">
        <f>IF(AP49=0,0,(AP48*AP49+AP50*AP51*6)/AP49)</f>
        <v>0</v>
      </c>
      <c r="AQ47" s="3409">
        <f>IF(AQ49=0,0,(AQ48*AQ49+AQ50*AQ51*6)/AQ49)</f>
        <v>0</v>
      </c>
      <c r="AR47" s="1078">
        <f>IF(AP47=0,0,(AQ47-AP47)/AP47*100)</f>
        <v>0</v>
      </c>
      <c r="AS47" s="3409">
        <f>IF(AS49=0,0,(AS48*AS49+AS50*AS51*6)/AS49)</f>
        <v>0</v>
      </c>
      <c r="AT47" s="3409">
        <f>IF(AT49=0,0,(AT48*AT49+AT50*AT51*6)/AT49)</f>
        <v>0</v>
      </c>
      <c r="AU47" s="1078">
        <f>IF(AS47=0,0,(AT47-AS47)/AS47*100)</f>
        <v>0</v>
      </c>
      <c r="AV47" s="3409">
        <f>IF(AV49=0,0,(AV48*AV49+AV50*AV51*6)/AV49)</f>
        <v>0</v>
      </c>
      <c r="AW47" s="3409">
        <f>IF(AW49=0,0,(AW48*AW49+AW50*AW51*6)/AW49)</f>
        <v>0</v>
      </c>
      <c r="AX47" s="1078">
        <f>IF(AV47=0,0,(AW47-AV47)/AV47*100)</f>
        <v>0</v>
      </c>
      <c r="AY47" s="3409">
        <f>IF(AY49=0,0,(AY48*AY49+AY50*AY51*6)/AY49)</f>
        <v>0</v>
      </c>
      <c r="AZ47" s="3409">
        <f>IF(AZ49=0,0,(AZ48*AZ49+AZ50*AZ51*6)/AZ49)</f>
        <v>0</v>
      </c>
      <c r="BA47" s="1078">
        <f>IF(AY47=0,0,(AZ47-AY47)/AY47*100)</f>
        <v>0</v>
      </c>
      <c r="BB47" s="3409">
        <f>IF(BB49=0,0,(BB48*BB49+BB50*BB51*6)/BB49)</f>
        <v>0</v>
      </c>
      <c r="BC47" s="3409">
        <f>IF(BC49=0,0,(BC48*BC49+BC50*BC51*6)/BC49)</f>
        <v>0</v>
      </c>
      <c r="BD47" s="1078">
        <f>IF(BB47=0,0,(BC47-BB47)/BB47*100)</f>
        <v>0</v>
      </c>
      <c r="BE47" s="3409">
        <f>IF(BE49=0,0,(BE48*BE49+BE50*BE51*6)/BE49)</f>
        <v>0</v>
      </c>
      <c r="BF47" s="3409">
        <f>IF(BF49=0,0,(BF48*BF49+BF50*BF51*6)/BF49)</f>
        <v>0</v>
      </c>
      <c r="BG47" s="1078">
        <f>IF(BE47=0,0,(BF47-BE47)/BE47*100)</f>
        <v>0</v>
      </c>
      <c r="BH47" s="3409">
        <f>IF(BH49=0,0,(BH48*BH49+BH50*BH51*6)/BH49)</f>
        <v>0</v>
      </c>
      <c r="BI47" s="3409">
        <f>IF(BI49=0,0,(BI48*BI49+BI50*BI51*6)/BI49)</f>
        <v>0</v>
      </c>
      <c r="BJ47" s="1078">
        <f>IF(BH47=0,0,(BI47-BH47)/BH47*100)</f>
        <v>0</v>
      </c>
      <c r="BK47" s="3409">
        <f>IF(BK49=0,0,(BK48*BK49+BK50*BK51*6)/BK49)</f>
        <v>0</v>
      </c>
      <c r="BL47" s="3409">
        <f>IF(BL49=0,0,(BL48*BL49+BL50*BL51*6)/BL49)</f>
        <v>0</v>
      </c>
      <c r="BM47" s="1078">
        <f>IF(BK47=0,0,(BL47-BK47)/BK47*100)</f>
        <v>0</v>
      </c>
      <c r="BN47" s="3409">
        <f>IF(BN49=0,0,(BN48*BN49+BN50*BN51*6)/BN49)</f>
        <v>0</v>
      </c>
      <c r="BO47" s="3409">
        <f>IF(BO49=0,0,(BO48*BO49+BO50*BO51*6)/BO49)</f>
        <v>0</v>
      </c>
      <c r="BP47" s="1078">
        <f>IF(BN47=0,0,(BO47-BN47)/BN47*100)</f>
        <v>0</v>
      </c>
      <c r="BQ47" s="3409">
        <f>IF(BQ49=0,0,(BQ48*BQ49+BQ50*BQ51*6)/BQ49)</f>
        <v>0</v>
      </c>
      <c r="BR47" s="3409">
        <f>IF(BR49=0,0,(BR48*BR49+BR50*BR51*6)/BR49)</f>
        <v>0</v>
      </c>
      <c r="BS47" s="1078">
        <f>IF(BQ47=0,0,(BR47-BQ47)/BQ47*100)</f>
        <v>0</v>
      </c>
      <c r="BT47" s="3409">
        <f>IF(BT49=0,0,(BT48*BT49+BT50*BT51*6)/BT49)</f>
        <v>0</v>
      </c>
      <c r="BU47" s="3409">
        <f>IF(BU49=0,0,(BU48*BU49+BU50*BU51*6)/BU49)</f>
        <v>0</v>
      </c>
      <c r="BV47" s="1078">
        <f>IF(BT47=0,0,(BU47-BT47)/BT47*100)</f>
        <v>0</v>
      </c>
      <c r="BW47" s="3409">
        <f>IF(BW49=0,0,(BW48*BW49+BW50*BW51*6)/BW49)</f>
        <v>0</v>
      </c>
      <c r="BX47" s="3409">
        <f>IF(BX49=0,0,(BX48*BX49+BX50*BX51*6)/BX49)</f>
        <v>0</v>
      </c>
      <c r="BY47" s="1078">
        <f>IF(BW47=0,0,(BX47-BW47)/BW47*100)</f>
        <v>0</v>
      </c>
      <c r="BZ47" s="3409">
        <f>IF(BZ49=0,0,(BZ48*BZ49+BZ50*BZ51*6)/BZ49)</f>
        <v>0</v>
      </c>
      <c r="CA47" s="3409">
        <f>IF(CA49=0,0,(CA48*CA49+CA50*CA51*6)/CA49)</f>
        <v>0</v>
      </c>
      <c r="CB47" s="1078">
        <f>IF(BZ47=0,0,(CA47-BZ47)/BZ47*100)</f>
        <v>0</v>
      </c>
      <c r="CC47" s="3409">
        <f>IF(CC49=0,0,(CC48*CC49+CC50*CC51*6)/CC49)</f>
        <v>0</v>
      </c>
      <c r="CD47" s="3409">
        <f>IF(CD49=0,0,(CD48*CD49+CD50*CD51*6)/CD49)</f>
        <v>0</v>
      </c>
      <c r="CE47" s="1078">
        <f>IF(CC47=0,0,(CD47-CC47)/CC47*100)</f>
        <v>0</v>
      </c>
      <c r="CF47" s="3409">
        <f>IF(CF49=0,0,(CF48*CF49+CF50*CF51*6)/CF49)</f>
        <v>0</v>
      </c>
      <c r="CG47" s="3409">
        <f>IF(CG49=0,0,(CG48*CG49+CG50*CG51*6)/CG49)</f>
        <v>0</v>
      </c>
      <c r="CH47" s="1078">
        <f>IF(CF47=0,0,(CG47-CF47)/CF47*100)</f>
        <v>0</v>
      </c>
      <c r="CI47" s="3409">
        <f>IF(CI49=0,0,(CI48*CI49+CI50*CI51*6)/CI49)</f>
        <v>0</v>
      </c>
      <c r="CJ47" s="3409">
        <f>IF(CJ49=0,0,(CJ48*CJ49+CJ50*CJ51*6)/CJ49)</f>
        <v>0</v>
      </c>
      <c r="CK47" s="1078">
        <f>IF(CI47=0,0,(CJ47-CI47)/CI47*100)</f>
        <v>0</v>
      </c>
      <c r="CL47" s="3409">
        <f>IF(CL49=0,0,(CL48*CL49+CL50*CL51*6)/CL49)</f>
        <v>0</v>
      </c>
      <c r="CM47" s="3409">
        <f>IF(CM49=0,0,(CM48*CM49+CM50*CM51*6)/CM49)</f>
        <v>0</v>
      </c>
      <c r="CN47" s="1078">
        <f>IF(CL47=0,0,(CM47-CL47)/CL47*100)</f>
        <v>0</v>
      </c>
      <c r="CO47" s="3409">
        <f>IF(CO49=0,0,(CO48*CO49+CO50*CO51*6)/CO49)</f>
        <v>0</v>
      </c>
      <c r="CP47" s="3409">
        <f>IF(CP49=0,0,(CP48*CP49+CP50*CP51*6)/CP49)</f>
        <v>0</v>
      </c>
      <c r="CQ47" s="1078">
        <f>IF(CO47=0,0,(CP47-CO47)/CO47*100)</f>
        <v>0</v>
      </c>
      <c r="CR47" s="3409">
        <f>IF(CR49=0,0,(CR48*CR49+CR50*CR51*6)/CR49)</f>
        <v>0</v>
      </c>
      <c r="CS47" s="3409">
        <f>IF(CS49=0,0,(CS48*CS49+CS50*CS51*6)/CS49)</f>
        <v>0</v>
      </c>
      <c r="CT47" s="1078">
        <f>IF(CR47=0,0,(CS47-CR47)/CR47*100)</f>
        <v>0</v>
      </c>
      <c r="CU47" s="3409">
        <f>IF(CU49=0,0,(CU48*CU49+CU50*CU51*6)/CU49)</f>
        <v>0</v>
      </c>
      <c r="CV47" s="3409">
        <f>IF(CV49=0,0,(CV48*CV49+CV50*CV51*6)/CV49)</f>
        <v>0</v>
      </c>
      <c r="CW47" s="1078">
        <f>IF(CU47=0,0,(CV47-CU47)/CU47*100)</f>
        <v>0</v>
      </c>
      <c r="CX47" s="3409">
        <f>IF(CX49=0,0,(CX48*CX49+CX50*CX51*6)/CX49)</f>
        <v>0</v>
      </c>
      <c r="CY47" s="3409">
        <f>IF(CY49=0,0,(CY48*CY49+CY50*CY51*6)/CY49)</f>
        <v>0</v>
      </c>
      <c r="CZ47" s="1078">
        <f>IF(CX47=0,0,(CY47-CX47)/CX47*100)</f>
        <v>0</v>
      </c>
      <c r="DA47" s="3409">
        <f>IF(DA49=0,0,(DA48*DA49+DA50*DA51*6)/DA49)</f>
        <v>0</v>
      </c>
      <c r="DB47" s="3409">
        <f>IF(DB49=0,0,(DB48*DB49+DB50*DB51*6)/DB49)</f>
        <v>0</v>
      </c>
      <c r="DC47" s="1078">
        <f>IF(DA47=0,0,(DB47-DA47)/DA47*100)</f>
        <v>0</v>
      </c>
      <c r="DD47" s="3409">
        <f>IF(DD49=0,0,(DD48*DD49+DD50*DD51*6)/DD49)</f>
        <v>0</v>
      </c>
      <c r="DE47" s="3409">
        <f>IF(DE49=0,0,(DE48*DE49+DE50*DE51*6)/DE49)</f>
        <v>0</v>
      </c>
      <c r="DF47" s="1078">
        <f>IF(DD47=0,0,(DE47-DD47)/DD47*100)</f>
        <v>0</v>
      </c>
      <c r="DG47" s="3409">
        <f>IF(DG49=0,0,(DG48*DG49+DG50*DG51*6)/DG49)</f>
        <v>0</v>
      </c>
      <c r="DH47" s="3409">
        <f>IF(DH49=0,0,(DH48*DH49+DH50*DH51*6)/DH49)</f>
        <v>0</v>
      </c>
      <c r="DI47" s="1078">
        <f>IF(DG47=0,0,(DH47-DG47)/DG47*100)</f>
        <v>0</v>
      </c>
      <c r="DJ47" s="3409">
        <f>IF(DJ49=0,0,(DJ48*DJ49+DJ50*DJ51*6)/DJ49)</f>
        <v>0</v>
      </c>
      <c r="DK47" s="3409">
        <f>IF(DK49=0,0,(DK48*DK49+DK50*DK51*6)/DK49)</f>
        <v>0</v>
      </c>
      <c r="DL47" s="1078">
        <f>IF(DJ47=0,0,(DK47-DJ47)/DJ47*100)</f>
        <v>0</v>
      </c>
      <c r="DM47" s="3409">
        <f>IF(DM49=0,0,(DM48*DM49+DM50*DM51*6)/DM49)</f>
        <v>0</v>
      </c>
      <c r="DN47" s="3409">
        <f>IF(DN49=0,0,(DN48*DN49+DN50*DN51*6)/DN49)</f>
        <v>0</v>
      </c>
      <c r="DO47" s="1078">
        <f>IF(DM47=0,0,(DN47-DM47)/DM47*100)</f>
        <v>0</v>
      </c>
      <c r="DP47" s="3409">
        <f>IF(DP49=0,0,(DP48*DP49+DP50*DP51*6)/DP49)</f>
        <v>0</v>
      </c>
      <c r="DQ47" s="3409">
        <f>IF(DQ49=0,0,(DQ48*DQ49+DQ50*DQ51*6)/DQ49)</f>
        <v>0</v>
      </c>
      <c r="DR47" s="1078">
        <f>IF(DP47=0,0,(DQ47-DP47)/DP47*100)</f>
        <v>0</v>
      </c>
      <c r="DS47" s="3409">
        <f>IF(DS49=0,0,(DS48*DS49+DS50*DS51*6)/DS49)</f>
        <v>0</v>
      </c>
      <c r="DT47" s="3409">
        <f>IF(DT49=0,0,(DT48*DT49+DT50*DT51*6)/DT49)</f>
        <v>0</v>
      </c>
      <c r="DU47" s="1078">
        <f>IF(DS47=0,0,(DT47-DS47)/DS47*100)</f>
        <v>0</v>
      </c>
      <c r="DV47" s="3409">
        <f>IF(DV49=0,0,(DV48*DV49+DV50*DV51*6)/DV49)</f>
        <v>0</v>
      </c>
      <c r="DW47" s="3409">
        <f>IF(DW49=0,0,(DW48*DW49+DW50*DW51*6)/DW49)</f>
        <v>0</v>
      </c>
      <c r="DX47" s="1078">
        <f>IF(DV47=0,0,(DW47-DV47)/DV47*100)</f>
        <v>0</v>
      </c>
      <c r="DY47" s="3409">
        <f>IF(DY49=0,0,(DY48*DY49+DY50*DY51*6)/DY49)</f>
        <v>0</v>
      </c>
      <c r="DZ47" s="3409">
        <f>IF(DZ49=0,0,(DZ48*DZ49+DZ50*DZ51*6)/DZ49)</f>
        <v>0</v>
      </c>
      <c r="EA47" s="1078">
        <f>IF(DY47=0,0,(DZ47-DY47)/DY47*100)</f>
        <v>0</v>
      </c>
      <c r="EB47" s="3409">
        <f>IF(EB49=0,0,(EB48*EB49+EB50*EB51*6)/EB49)</f>
        <v>0</v>
      </c>
      <c r="EC47" s="3409">
        <f>IF(EC49=0,0,(EC48*EC49+EC50*EC51*6)/EC49)</f>
        <v>0</v>
      </c>
      <c r="ED47" s="1078">
        <f>IF(EB47=0,0,(EC47-EB47)/EB47*100)</f>
        <v>0</v>
      </c>
      <c r="EE47" s="3409">
        <f>IF(EE49=0,0,(EE48*EE49+EE50*EE51*6)/EE49)</f>
        <v>0</v>
      </c>
      <c r="EF47" s="3409">
        <f>IF(EF49=0,0,(EF48*EF49+EF50*EF51*6)/EF49)</f>
        <v>0</v>
      </c>
      <c r="EG47" s="1078">
        <f>IF(EE47=0,0,(EF47-EE47)/EE47*100)</f>
        <v>0</v>
      </c>
      <c r="EH47" s="3409">
        <f>IF(EH49=0,0,(EH48*EH49+EH50*EH51*6)/EH49)</f>
        <v>0</v>
      </c>
      <c r="EI47" s="3409">
        <f>IF(EI49=0,0,(EI48*EI49+EI50*EI51*6)/EI49)</f>
        <v>0</v>
      </c>
      <c r="EJ47" s="1078">
        <f>IF(EH47=0,0,(EI47-EH47)/EH47*100)</f>
        <v>0</v>
      </c>
      <c r="EK47" s="3409">
        <f>IF(EK49=0,0,(EK48*EK49+EK50*EK51*6)/EK49)</f>
        <v>0</v>
      </c>
      <c r="EL47" s="3409">
        <f>IF(EL49=0,0,(EL48*EL49+EL50*EL51*6)/EL49)</f>
        <v>0</v>
      </c>
      <c r="EM47" s="1078">
        <f>IF(EK47=0,0,(EL47-EK47)/EK47*100)</f>
        <v>0</v>
      </c>
      <c r="EN47" s="3409">
        <f>IF(EN49=0,0,(EN48*EN49+EN50*EN51*6)/EN49)</f>
        <v>0</v>
      </c>
      <c r="EO47" s="3409">
        <f>IF(EO49=0,0,(EO48*EO49+EO50*EO51*6)/EO49)</f>
        <v>0</v>
      </c>
      <c r="EP47" s="1078">
        <f>IF(EN47=0,0,(EO47-EN47)/EN47*100)</f>
        <v>0</v>
      </c>
      <c r="EQ47" s="3409">
        <f>IF(EQ49=0,0,(EQ48*EQ49+EQ50*EQ51*6)/EQ49)</f>
        <v>0</v>
      </c>
      <c r="ER47" s="3409">
        <f>IF(ER49=0,0,(ER48*ER49+ER50*ER51*6)/ER49)</f>
        <v>0</v>
      </c>
      <c r="ES47" s="1078">
        <f>IF(EQ47=0,0,(ER47-EQ47)/EQ47*100)</f>
        <v>0</v>
      </c>
      <c r="ET47" s="3409">
        <f>IF(ET49=0,0,(ET48*ET49+ET50*ET51*6)/ET49)</f>
        <v>0</v>
      </c>
      <c r="EU47" s="3409">
        <f>IF(EU49=0,0,(EU48*EU49+EU50*EU51*6)/EU49)</f>
        <v>0</v>
      </c>
      <c r="EV47" s="1078">
        <f>IF(ET47=0,0,(EU47-ET47)/ET47*100)</f>
        <v>0</v>
      </c>
      <c r="EW47" s="3409">
        <f>IF(EW49=0,0,(EW48*EW49+EW50*EW51*6)/EW49)</f>
        <v>0</v>
      </c>
      <c r="EX47" s="3409">
        <f>IF(EX49=0,0,(EX48*EX49+EX50*EX51*6)/EX49)</f>
        <v>0</v>
      </c>
      <c r="EY47" s="1078">
        <f>IF(EW47=0,0,(EX47-EW47)/EW47*100)</f>
        <v>0</v>
      </c>
      <c r="EZ47" s="3409">
        <f>IF(EZ49=0,0,(EZ48*EZ49+EZ50*EZ51*6)/EZ49)</f>
        <v>0</v>
      </c>
      <c r="FA47" s="3409">
        <f>IF(FA49=0,0,(FA48*FA49+FA50*FA51*6)/FA49)</f>
        <v>0</v>
      </c>
      <c r="FB47" s="1078">
        <f>IF(EZ47=0,0,(FA47-EZ47)/EZ47*100)</f>
        <v>0</v>
      </c>
      <c r="FC47" s="3409">
        <f>IF(FC49=0,0,(FC48*FC49+FC50*FC51*6)/FC49)</f>
        <v>0</v>
      </c>
      <c r="FD47" s="3409">
        <f>IF(FD49=0,0,(FD48*FD49+FD50*FD51*6)/FD49)</f>
        <v>0</v>
      </c>
      <c r="FE47" s="1078">
        <f>IF(FC47=0,0,(FD47-FC47)/FC47*100)</f>
        <v>0</v>
      </c>
      <c r="FF47" s="3409">
        <f>IF(FF49=0,0,(FF48*FF49+FF50*FF51*6)/FF49)</f>
        <v>0</v>
      </c>
      <c r="FG47" s="3409">
        <f>IF(FG49=0,0,(FG48*FG49+FG50*FG51*6)/FG49)</f>
        <v>0</v>
      </c>
      <c r="FH47" s="1078">
        <f>IF(FF47=0,0,(FG47-FF47)/FF47*100)</f>
        <v>0</v>
      </c>
      <c r="FI47" s="3409">
        <f>IF(FI49=0,0,(FI48*FI49+FI50*FI51*6)/FI49)</f>
        <v>0</v>
      </c>
      <c r="FJ47" s="3409">
        <f>IF(FJ49=0,0,(FJ48*FJ49+FJ50*FJ51*6)/FJ49)</f>
        <v>0</v>
      </c>
      <c r="FK47" s="1078">
        <f>IF(FI47=0,0,(FJ47-FI47)/FI47*100)</f>
        <v>0</v>
      </c>
      <c r="FL47" s="3409">
        <f>IF(FL49=0,0,(FL48*FL49+FL50*FL51*6)/FL49)</f>
        <v>0</v>
      </c>
      <c r="FM47" s="3409">
        <f>IF(FM49=0,0,(FM48*FM49+FM50*FM51*6)/FM49)</f>
        <v>0</v>
      </c>
      <c r="FN47" s="1078">
        <f>IF(FL47=0,0,(FM47-FL47)/FL47*100)</f>
        <v>0</v>
      </c>
      <c r="FO47" s="3409">
        <f>IF(FO49=0,0,(FO48*FO49+FO50*FO51*6)/FO49)</f>
        <v>0</v>
      </c>
      <c r="FP47" s="3409">
        <f>IF(FP49=0,0,(FP48*FP49+FP50*FP51*6)/FP49)</f>
        <v>0</v>
      </c>
      <c r="FQ47" s="1078">
        <f>IF(FO47=0,0,(FP47-FO47)/FO47*100)</f>
        <v>0</v>
      </c>
      <c r="FR47" s="3409">
        <f>IF(FR49=0,0,(FR48*FR49+FR50*FR51*6)/FR49)</f>
        <v>0</v>
      </c>
      <c r="FS47" s="3409">
        <f>IF(FS49=0,0,(FS48*FS49+FS50*FS51*6)/FS49)</f>
        <v>0</v>
      </c>
      <c r="FT47" s="1078">
        <f>IF(FR47=0,0,(FS47-FR47)/FR47*100)</f>
        <v>0</v>
      </c>
      <c r="FU47" s="3409">
        <f>IF(FU49=0,0,(FU48*FU49+FU50*FU51*6)/FU49)</f>
        <v>0</v>
      </c>
      <c r="FV47" s="3409">
        <f>IF(FV49=0,0,(FV48*FV49+FV50*FV51*6)/FV49)</f>
        <v>0</v>
      </c>
      <c r="FW47" s="1078">
        <f>IF(FU47=0,0,(FV47-FU47)/FU47*100)</f>
        <v>0</v>
      </c>
      <c r="FX47" s="676"/>
      <c r="FY47" s="676"/>
      <c r="FZ47" s="1039" t="s">
        <v>1528</v>
      </c>
      <c r="GA47" s="1061"/>
      <c r="GB47" s="1061"/>
      <c r="GC47" s="697"/>
      <c r="GD47" s="697"/>
    </row>
    <row customHeight="1" ht="14.625" hidden="1">
      <c r="A48" s="467"/>
      <c r="B48" s="907" cm="1" t="str">
        <f t="array" ref="B48:B48">B47</f>
        <v>false</v>
      </c>
      <c r="C48" s="467"/>
      <c r="D48" s="467"/>
      <c r="E48" s="822">
        <v>15</v>
      </c>
      <c r="F48" s="50" cm="1" t="str">
        <f t="array" ref="F48:F48">OFFSET(E48,-1,1)</f>
        <v>0</v>
      </c>
      <c r="G48" s="467"/>
      <c r="H48" s="467" t="s">
        <v>1449</v>
      </c>
      <c r="I48" s="467" t="s">
        <v>1492</v>
      </c>
      <c r="J48" s="467"/>
      <c r="K48" s="467"/>
      <c r="L48" s="467"/>
      <c r="M48" s="467"/>
      <c r="N48" s="467"/>
      <c r="O48" s="467"/>
      <c r="P48" s="467"/>
      <c r="Q48" s="467"/>
      <c r="R48" s="467"/>
      <c r="S48" s="467"/>
      <c r="T48" s="439" cm="1" t="str">
        <f t="array" ref="T48:T48">T47</f>
        <v>false</v>
      </c>
      <c r="U48" s="467"/>
      <c r="V48" s="467"/>
      <c r="W48" s="467"/>
      <c r="X48" s="1534"/>
      <c r="Y48" s="467"/>
      <c r="Z48" s="1464"/>
      <c r="AA48" s="467"/>
      <c r="AB48" s="886" t="str">
        <f>"ставка платы за "&amp;IF(Q29="Водоснабжение","потребление 1 куб.м холодной воды","объем принятых сточных вод")</f>
        <v>ставка платы за объем принятых сточных вод</v>
      </c>
      <c r="AC48" s="846" t="s">
        <v>1494</v>
      </c>
      <c r="AD48" s="3409"/>
      <c r="AE48" s="3409"/>
      <c r="AF48" s="1078">
        <f>IF(AD48=0,0,(AE48-AD48)/AD48*100)</f>
        <v>0</v>
      </c>
      <c r="AG48" s="3409"/>
      <c r="AH48" s="3409"/>
      <c r="AI48" s="1078">
        <f>IF(AG48=0,0,(AH48-AG48)/AG48*100)</f>
        <v>0</v>
      </c>
      <c r="AJ48" s="3409"/>
      <c r="AK48" s="3409"/>
      <c r="AL48" s="1078">
        <f>IF(AJ48=0,0,(AK48-AJ48)/AJ48*100)</f>
        <v>0</v>
      </c>
      <c r="AM48" s="3409"/>
      <c r="AN48" s="3409"/>
      <c r="AO48" s="1078">
        <f>IF(AM48=0,0,(AN48-AM48)/AM48*100)</f>
        <v>0</v>
      </c>
      <c r="AP48" s="3409"/>
      <c r="AQ48" s="3409"/>
      <c r="AR48" s="1078">
        <f>IF(AP48=0,0,(AQ48-AP48)/AP48*100)</f>
        <v>0</v>
      </c>
      <c r="AS48" s="3409"/>
      <c r="AT48" s="3409"/>
      <c r="AU48" s="1078">
        <f>IF(AS48=0,0,(AT48-AS48)/AS48*100)</f>
        <v>0</v>
      </c>
      <c r="AV48" s="3409"/>
      <c r="AW48" s="3409"/>
      <c r="AX48" s="1078">
        <f>IF(AV48=0,0,(AW48-AV48)/AV48*100)</f>
        <v>0</v>
      </c>
      <c r="AY48" s="3409"/>
      <c r="AZ48" s="3409"/>
      <c r="BA48" s="1078">
        <f>IF(AY48=0,0,(AZ48-AY48)/AY48*100)</f>
        <v>0</v>
      </c>
      <c r="BB48" s="3409"/>
      <c r="BC48" s="3409"/>
      <c r="BD48" s="1078">
        <f>IF(BB48=0,0,(BC48-BB48)/BB48*100)</f>
        <v>0</v>
      </c>
      <c r="BE48" s="3409"/>
      <c r="BF48" s="3409"/>
      <c r="BG48" s="1078">
        <f>IF(BE48=0,0,(BF48-BE48)/BE48*100)</f>
        <v>0</v>
      </c>
      <c r="BH48" s="3409"/>
      <c r="BI48" s="3409"/>
      <c r="BJ48" s="1078">
        <f>IF(BH48=0,0,(BI48-BH48)/BH48*100)</f>
        <v>0</v>
      </c>
      <c r="BK48" s="3409"/>
      <c r="BL48" s="3409"/>
      <c r="BM48" s="1078">
        <f>IF(BK48=0,0,(BL48-BK48)/BK48*100)</f>
        <v>0</v>
      </c>
      <c r="BN48" s="3409"/>
      <c r="BO48" s="3409"/>
      <c r="BP48" s="1078">
        <f>IF(BN48=0,0,(BO48-BN48)/BN48*100)</f>
        <v>0</v>
      </c>
      <c r="BQ48" s="3409"/>
      <c r="BR48" s="3409"/>
      <c r="BS48" s="1078">
        <f>IF(BQ48=0,0,(BR48-BQ48)/BQ48*100)</f>
        <v>0</v>
      </c>
      <c r="BT48" s="3409"/>
      <c r="BU48" s="3409"/>
      <c r="BV48" s="1078">
        <f>IF(BT48=0,0,(BU48-BT48)/BT48*100)</f>
        <v>0</v>
      </c>
      <c r="BW48" s="3409"/>
      <c r="BX48" s="3409"/>
      <c r="BY48" s="1078">
        <f>IF(BW48=0,0,(BX48-BW48)/BW48*100)</f>
        <v>0</v>
      </c>
      <c r="BZ48" s="3409"/>
      <c r="CA48" s="3409"/>
      <c r="CB48" s="1078">
        <f>IF(BZ48=0,0,(CA48-BZ48)/BZ48*100)</f>
        <v>0</v>
      </c>
      <c r="CC48" s="3409"/>
      <c r="CD48" s="3409"/>
      <c r="CE48" s="1078">
        <f>IF(CC48=0,0,(CD48-CC48)/CC48*100)</f>
        <v>0</v>
      </c>
      <c r="CF48" s="3409"/>
      <c r="CG48" s="3409"/>
      <c r="CH48" s="1078">
        <f>IF(CF48=0,0,(CG48-CF48)/CF48*100)</f>
        <v>0</v>
      </c>
      <c r="CI48" s="3409"/>
      <c r="CJ48" s="3409"/>
      <c r="CK48" s="1078">
        <f>IF(CI48=0,0,(CJ48-CI48)/CI48*100)</f>
        <v>0</v>
      </c>
      <c r="CL48" s="3409"/>
      <c r="CM48" s="3409"/>
      <c r="CN48" s="1078">
        <f>IF(CL48=0,0,(CM48-CL48)/CL48*100)</f>
        <v>0</v>
      </c>
      <c r="CO48" s="3409"/>
      <c r="CP48" s="3409"/>
      <c r="CQ48" s="1078">
        <f>IF(CO48=0,0,(CP48-CO48)/CO48*100)</f>
        <v>0</v>
      </c>
      <c r="CR48" s="3409"/>
      <c r="CS48" s="3409"/>
      <c r="CT48" s="1078">
        <f>IF(CR48=0,0,(CS48-CR48)/CR48*100)</f>
        <v>0</v>
      </c>
      <c r="CU48" s="3409"/>
      <c r="CV48" s="3409"/>
      <c r="CW48" s="1078">
        <f>IF(CU48=0,0,(CV48-CU48)/CU48*100)</f>
        <v>0</v>
      </c>
      <c r="CX48" s="3409"/>
      <c r="CY48" s="3409"/>
      <c r="CZ48" s="1078">
        <f>IF(CX48=0,0,(CY48-CX48)/CX48*100)</f>
        <v>0</v>
      </c>
      <c r="DA48" s="3409"/>
      <c r="DB48" s="3409"/>
      <c r="DC48" s="1078">
        <f>IF(DA48=0,0,(DB48-DA48)/DA48*100)</f>
        <v>0</v>
      </c>
      <c r="DD48" s="3409"/>
      <c r="DE48" s="3409"/>
      <c r="DF48" s="1078">
        <f>IF(DD48=0,0,(DE48-DD48)/DD48*100)</f>
        <v>0</v>
      </c>
      <c r="DG48" s="3409"/>
      <c r="DH48" s="3409"/>
      <c r="DI48" s="1078">
        <f>IF(DG48=0,0,(DH48-DG48)/DG48*100)</f>
        <v>0</v>
      </c>
      <c r="DJ48" s="3409"/>
      <c r="DK48" s="3409"/>
      <c r="DL48" s="1078">
        <f>IF(DJ48=0,0,(DK48-DJ48)/DJ48*100)</f>
        <v>0</v>
      </c>
      <c r="DM48" s="3409"/>
      <c r="DN48" s="3409"/>
      <c r="DO48" s="1078">
        <f>IF(DM48=0,0,(DN48-DM48)/DM48*100)</f>
        <v>0</v>
      </c>
      <c r="DP48" s="3409"/>
      <c r="DQ48" s="3409"/>
      <c r="DR48" s="1078">
        <f>IF(DP48=0,0,(DQ48-DP48)/DP48*100)</f>
        <v>0</v>
      </c>
      <c r="DS48" s="3409"/>
      <c r="DT48" s="3409"/>
      <c r="DU48" s="1078">
        <f>IF(DS48=0,0,(DT48-DS48)/DS48*100)</f>
        <v>0</v>
      </c>
      <c r="DV48" s="3409"/>
      <c r="DW48" s="3409"/>
      <c r="DX48" s="1078">
        <f>IF(DV48=0,0,(DW48-DV48)/DV48*100)</f>
        <v>0</v>
      </c>
      <c r="DY48" s="3409"/>
      <c r="DZ48" s="3409"/>
      <c r="EA48" s="1078">
        <f>IF(DY48=0,0,(DZ48-DY48)/DY48*100)</f>
        <v>0</v>
      </c>
      <c r="EB48" s="3409"/>
      <c r="EC48" s="3409"/>
      <c r="ED48" s="1078">
        <f>IF(EB48=0,0,(EC48-EB48)/EB48*100)</f>
        <v>0</v>
      </c>
      <c r="EE48" s="3409"/>
      <c r="EF48" s="3409"/>
      <c r="EG48" s="1078">
        <f>IF(EE48=0,0,(EF48-EE48)/EE48*100)</f>
        <v>0</v>
      </c>
      <c r="EH48" s="3409"/>
      <c r="EI48" s="3409"/>
      <c r="EJ48" s="1078">
        <f>IF(EH48=0,0,(EI48-EH48)/EH48*100)</f>
        <v>0</v>
      </c>
      <c r="EK48" s="3409"/>
      <c r="EL48" s="3409"/>
      <c r="EM48" s="1078">
        <f>IF(EK48=0,0,(EL48-EK48)/EK48*100)</f>
        <v>0</v>
      </c>
      <c r="EN48" s="3409"/>
      <c r="EO48" s="3409"/>
      <c r="EP48" s="1078">
        <f>IF(EN48=0,0,(EO48-EN48)/EN48*100)</f>
        <v>0</v>
      </c>
      <c r="EQ48" s="3409"/>
      <c r="ER48" s="3409"/>
      <c r="ES48" s="1078">
        <f>IF(EQ48=0,0,(ER48-EQ48)/EQ48*100)</f>
        <v>0</v>
      </c>
      <c r="ET48" s="3409"/>
      <c r="EU48" s="3409"/>
      <c r="EV48" s="1078">
        <f>IF(ET48=0,0,(EU48-ET48)/ET48*100)</f>
        <v>0</v>
      </c>
      <c r="EW48" s="3409"/>
      <c r="EX48" s="3409"/>
      <c r="EY48" s="1078">
        <f>IF(EW48=0,0,(EX48-EW48)/EW48*100)</f>
        <v>0</v>
      </c>
      <c r="EZ48" s="3409"/>
      <c r="FA48" s="3409"/>
      <c r="FB48" s="1078">
        <f>IF(EZ48=0,0,(FA48-EZ48)/EZ48*100)</f>
        <v>0</v>
      </c>
      <c r="FC48" s="3409"/>
      <c r="FD48" s="3409"/>
      <c r="FE48" s="1078">
        <f>IF(FC48=0,0,(FD48-FC48)/FC48*100)</f>
        <v>0</v>
      </c>
      <c r="FF48" s="3409"/>
      <c r="FG48" s="3409"/>
      <c r="FH48" s="1078">
        <f>IF(FF48=0,0,(FG48-FF48)/FF48*100)</f>
        <v>0</v>
      </c>
      <c r="FI48" s="3409"/>
      <c r="FJ48" s="3409"/>
      <c r="FK48" s="1078">
        <f>IF(FI48=0,0,(FJ48-FI48)/FI48*100)</f>
        <v>0</v>
      </c>
      <c r="FL48" s="3409"/>
      <c r="FM48" s="3409"/>
      <c r="FN48" s="1078">
        <f>IF(FL48=0,0,(FM48-FL48)/FL48*100)</f>
        <v>0</v>
      </c>
      <c r="FO48" s="3409"/>
      <c r="FP48" s="3409"/>
      <c r="FQ48" s="1078">
        <f>IF(FO48=0,0,(FP48-FO48)/FO48*100)</f>
        <v>0</v>
      </c>
      <c r="FR48" s="3409"/>
      <c r="FS48" s="3409"/>
      <c r="FT48" s="1078">
        <f>IF(FR48=0,0,(FS48-FR48)/FR48*100)</f>
        <v>0</v>
      </c>
      <c r="FU48" s="3409"/>
      <c r="FV48" s="3409"/>
      <c r="FW48" s="1078">
        <f>IF(FU48=0,0,(FV48-FU48)/FU48*100)</f>
        <v>0</v>
      </c>
      <c r="FX48" s="676"/>
      <c r="FY48" s="676"/>
      <c r="FZ48" s="1039" t="s">
        <v>1529</v>
      </c>
      <c r="GA48" s="1061"/>
      <c r="GB48" s="1061"/>
      <c r="GC48" s="697"/>
      <c r="GD48" s="697"/>
    </row>
    <row customHeight="1" ht="14.625" hidden="1">
      <c r="A49" s="467"/>
      <c r="B49" s="907" cm="1" t="str">
        <f t="array" ref="B49:B49">B48</f>
        <v>false</v>
      </c>
      <c r="C49" s="467"/>
      <c r="D49" s="467"/>
      <c r="E49" s="822">
        <v>15</v>
      </c>
      <c r="F49" s="50" cm="1" t="str">
        <f t="array" ref="F49:F49">OFFSET(E49,-1,1)</f>
        <v>0</v>
      </c>
      <c r="G49" s="73" t="s">
        <v>1530</v>
      </c>
      <c r="H49" s="467" t="s">
        <v>1531</v>
      </c>
      <c r="I49" s="467" t="s">
        <v>1492</v>
      </c>
      <c r="J49" s="467"/>
      <c r="K49" s="467"/>
      <c r="L49" s="467"/>
      <c r="M49" s="467"/>
      <c r="N49" s="467"/>
      <c r="O49" s="467"/>
      <c r="P49" s="467"/>
      <c r="Q49" s="467"/>
      <c r="R49" s="467"/>
      <c r="S49" s="467"/>
      <c r="T49" s="439" cm="1" t="str">
        <f t="array" ref="T49:T49">T48</f>
        <v>false</v>
      </c>
      <c r="U49" s="467"/>
      <c r="V49" s="467"/>
      <c r="W49" s="467"/>
      <c r="X49" s="1534"/>
      <c r="Y49" s="467"/>
      <c r="Z49" s="1464"/>
      <c r="AA49" s="467"/>
      <c r="AB49" s="886" t="str">
        <f>"объём "&amp;IF(Q29="Водоснабжение","потребления холодной воды","водоотведения")</f>
        <v>объём водоотведения</v>
      </c>
      <c r="AC49" s="846" t="s">
        <v>512</v>
      </c>
      <c r="AD49" s="3404">
        <f>IF(AND(method_reg="Метод индексации",god&lt;&gt;first_year),_xlfn.SUMIFS(INDEX('Калькуляция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(МИ)'!$AJ$25:$BC$459,,MATCH(AD$8,'Калькуляция (МИ)'!$AJ$8:$BC$8,0)),'Калькуляция (МИ)'!$F$25:$F$459,$F49,'Калькуляция (МИ)'!$G$25:$G$459,$G49))))</f>
        <v>0</v>
      </c>
      <c r="AE49" s="3404">
        <f>IF(AND(method_reg="Метод индексации",god&lt;&gt;first_year),_xlfn.SUMIFS(INDEX('Калькуляция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(МИ)'!$AJ$25:$BC$459,,MATCH(AE$8,'Калькуляция (МИ)'!$AJ$8:$BC$8,0)),'Калькуляция (МИ)'!$F$25:$F$459,$F49,'Калькуляция (МИ)'!$G$25:$G$459,$G49))))</f>
        <v>0</v>
      </c>
      <c r="AF49" s="1080">
        <f>IF(AD49=0,0,(AE49-AD49)/AD49*100)</f>
        <v>0</v>
      </c>
      <c r="AG49" s="3404">
        <f>IF(AND(method_reg="Метод индексации",god&lt;&gt;first_year),_xlfn.SUMIFS(INDEX('Калькуляция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(МИ)'!$AJ$25:$BC$459,,MATCH(AG$8,'Калькуляция (МИ)'!$AJ$8:$BC$8,0)),'Калькуляция (МИ)'!$F$25:$F$459,$F49,'Калькуляция (МИ)'!$G$25:$G$459,$G49))))</f>
        <v>0</v>
      </c>
      <c r="AH49" s="3404">
        <f>IF(AND(method_reg="Метод индексации",god&lt;&gt;first_year),_xlfn.SUMIFS(INDEX('Калькуляция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(МИ)'!$AJ$25:$BC$459,,MATCH(AH$8,'Калькуляция (МИ)'!$AJ$8:$BC$8,0)),'Калькуляция (МИ)'!$F$25:$F$459,$F49,'Калькуляция (МИ)'!$G$25:$G$459,$G49))))</f>
        <v>0</v>
      </c>
      <c r="AI49" s="1080">
        <f>IF(AG49=0,0,(AH49-AG49)/AG49*100)</f>
        <v>0</v>
      </c>
      <c r="AJ49" s="3404">
        <f>IF(AND(method_reg="Метод индексации",god&lt;&gt;first_year),_xlfn.SUMIFS(INDEX('Калькуляция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(МИ)'!$AJ$25:$BC$459,,MATCH(AJ$8,'Калькуляция (МИ)'!$AJ$8:$BC$8,0)),'Калькуляция (МИ)'!$F$25:$F$459,$F49,'Калькуляция (МИ)'!$G$25:$G$459,$G49))))</f>
        <v>0</v>
      </c>
      <c r="AK49" s="3404">
        <f>IF(AND(method_reg="Метод индексации",god&lt;&gt;first_year),_xlfn.SUMIFS(INDEX('Калькуляция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(МИ)'!$AJ$25:$BC$459,,MATCH(AK$8,'Калькуляция (МИ)'!$AJ$8:$BC$8,0)),'Калькуляция (МИ)'!$F$25:$F$459,$F49,'Калькуляция (МИ)'!$G$25:$G$459,$G49))))</f>
        <v>0</v>
      </c>
      <c r="AL49" s="1080">
        <f>IF(AJ49=0,0,(AK49-AJ49)/AJ49*100)</f>
        <v>0</v>
      </c>
      <c r="AM49" s="3404">
        <f>IF(AND(method_reg="Метод индексации",god&lt;&gt;first_year),_xlfn.SUMIFS(INDEX('Калькуляция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(МИ)'!$AJ$25:$BC$459,,MATCH(AM$8,'Калькуляция (МИ)'!$AJ$8:$BC$8,0)),'Калькуляция (МИ)'!$F$25:$F$459,$F49,'Калькуляция (МИ)'!$G$25:$G$459,$G49))))</f>
        <v>0</v>
      </c>
      <c r="AN49" s="3404">
        <f>IF(AND(method_reg="Метод индексации",god&lt;&gt;first_year),_xlfn.SUMIFS(INDEX('Калькуляция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(МИ)'!$AJ$25:$BC$459,,MATCH(AN$8,'Калькуляция (МИ)'!$AJ$8:$BC$8,0)),'Калькуляция (МИ)'!$F$25:$F$459,$F49,'Калькуляция (МИ)'!$G$25:$G$459,$G49))))</f>
        <v>0</v>
      </c>
      <c r="AO49" s="1080">
        <f>IF(AM49=0,0,(AN49-AM49)/AM49*100)</f>
        <v>0</v>
      </c>
      <c r="AP49" s="3404">
        <f>IF(AND(method_reg="Метод индексации",god&lt;&gt;first_year),_xlfn.SUMIFS(INDEX('Калькуляция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(МИ)'!$AJ$25:$BC$459,,MATCH(AP$8,'Калькуляция (МИ)'!$AJ$8:$BC$8,0)),'Калькуляция (МИ)'!$F$25:$F$459,$F49,'Калькуляция (МИ)'!$G$25:$G$459,$G49))))</f>
        <v>0</v>
      </c>
      <c r="AQ49" s="3404">
        <f>IF(AND(method_reg="Метод индексации",god&lt;&gt;first_year),_xlfn.SUMIFS(INDEX('Калькуляция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(МИ)'!$AJ$25:$BC$459,,MATCH(AQ$8,'Калькуляция (МИ)'!$AJ$8:$BC$8,0)),'Калькуляция (МИ)'!$F$25:$F$459,$F49,'Калькуляция (МИ)'!$G$25:$G$459,$G49))))</f>
        <v>0</v>
      </c>
      <c r="AR49" s="1080">
        <f>IF(AP49=0,0,(AQ49-AP49)/AP49*100)</f>
        <v>0</v>
      </c>
      <c r="AS49" s="3404">
        <f>IF(AND(method_reg="Метод индексации",god&lt;&gt;first_year),_xlfn.SUMIFS(INDEX('Калькуляция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(МИ)'!$AJ$25:$BC$459,,MATCH(AS$8,'Калькуляция (МИ)'!$AJ$8:$BC$8,0)),'Калькуляция (МИ)'!$F$25:$F$459,$F49,'Калькуляция (МИ)'!$G$25:$G$459,$G49))))</f>
        <v>0</v>
      </c>
      <c r="AT49" s="3404">
        <f>IF(AND(method_reg="Метод индексации",god&lt;&gt;first_year),_xlfn.SUMIFS(INDEX('Калькуляция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(МИ)'!$AJ$25:$BC$459,,MATCH(AT$8,'Калькуляция (МИ)'!$AJ$8:$BC$8,0)),'Калькуляция (МИ)'!$F$25:$F$459,$F49,'Калькуляция (МИ)'!$G$25:$G$459,$G49))))</f>
        <v>0</v>
      </c>
      <c r="AU49" s="1080">
        <f>IF(AS49=0,0,(AT49-AS49)/AS49*100)</f>
        <v>0</v>
      </c>
      <c r="AV49" s="3404">
        <f>IF(AND(method_reg="Метод индексации",god&lt;&gt;first_year),_xlfn.SUMIFS(INDEX('Калькуляция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(МИ)'!$AJ$25:$BC$459,,MATCH(AV$8,'Калькуляция (МИ)'!$AJ$8:$BC$8,0)),'Калькуляция (МИ)'!$F$25:$F$459,$F49,'Калькуляция (МИ)'!$G$25:$G$459,$G49))))</f>
        <v>0</v>
      </c>
      <c r="AW49" s="3404">
        <f>IF(AND(method_reg="Метод индексации",god&lt;&gt;first_year),_xlfn.SUMIFS(INDEX('Калькуляция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(МИ)'!$AJ$25:$BC$459,,MATCH(AW$8,'Калькуляция (МИ)'!$AJ$8:$BC$8,0)),'Калькуляция (МИ)'!$F$25:$F$459,$F49,'Калькуляция (МИ)'!$G$25:$G$459,$G49))))</f>
        <v>0</v>
      </c>
      <c r="AX49" s="1080">
        <f>IF(AV49=0,0,(AW49-AV49)/AV49*100)</f>
        <v>0</v>
      </c>
      <c r="AY49" s="3404">
        <f>IF(AND(method_reg="Метод индексации",god&lt;&gt;first_year),_xlfn.SUMIFS(INDEX('Калькуляция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(МИ)'!$AJ$25:$BC$459,,MATCH(AY$8,'Калькуляция (МИ)'!$AJ$8:$BC$8,0)),'Калькуляция (МИ)'!$F$25:$F$459,$F49,'Калькуляция (МИ)'!$G$25:$G$459,$G49))))</f>
        <v>0</v>
      </c>
      <c r="AZ49" s="3404">
        <f>IF(AND(method_reg="Метод индексации",god&lt;&gt;first_year),_xlfn.SUMIFS(INDEX('Калькуляция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(МИ)'!$AJ$25:$BC$459,,MATCH(AZ$8,'Калькуляция (МИ)'!$AJ$8:$BC$8,0)),'Калькуляция (МИ)'!$F$25:$F$459,$F49,'Калькуляция (МИ)'!$G$25:$G$459,$G49))))</f>
        <v>0</v>
      </c>
      <c r="BA49" s="1080">
        <f>IF(AY49=0,0,(AZ49-AY49)/AY49*100)</f>
        <v>0</v>
      </c>
      <c r="BB49" s="3404">
        <f>IF(AND(method_reg="Метод индексации",god&lt;&gt;first_year),_xlfn.SUMIFS(INDEX('Калькуляция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(МИ)'!$AJ$25:$BC$459,,MATCH(BB$8,'Калькуляция (МИ)'!$AJ$8:$BC$8,0)),'Калькуляция (МИ)'!$F$25:$F$459,$F49,'Калькуляция (МИ)'!$G$25:$G$459,$G49))))</f>
        <v>0</v>
      </c>
      <c r="BC49" s="3404">
        <f>IF(AND(method_reg="Метод индексации",god&lt;&gt;first_year),_xlfn.SUMIFS(INDEX('Калькуляция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(МИ)'!$AJ$25:$BC$459,,MATCH(BC$8,'Калькуляция (МИ)'!$AJ$8:$BC$8,0)),'Калькуляция (МИ)'!$F$25:$F$459,$F49,'Калькуляция (МИ)'!$G$25:$G$459,$G49))))</f>
        <v>0</v>
      </c>
      <c r="BD49" s="1080">
        <f>IF(BB49=0,0,(BC49-BB49)/BB49*100)</f>
        <v>0</v>
      </c>
      <c r="BE49" s="3404">
        <f>IF(AND(method_reg="Метод индексации",god&lt;&gt;first_year),_xlfn.SUMIFS(INDEX('Калькуляция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расходов",_xlfn.SUMIFS('Калькуляция (МЭОР)'!$AJ$25:$AJ$282,'Калькуляция (МЭОР)'!$F$25:$F$282,$F49,'Калькуляция (МЭОР)'!$G$25:$G$282,$G49),IF(method_reg="Метод сравнения аналогов",_xlfn.SUMIFS('Калькуляция (МСА)'!$AE$25:$AE$84,'Калькуляция (МСА)'!$F$25:$F$84,$F49,'Калькуляция (МСА)'!$G$25:$G$84,$G49),_xlfn.SUMIFS(INDEX('Калькуляция (МИ)'!$AJ$25:$BC$459,,MATCH(BE$8,'Калькуляция (МИ)'!$AJ$8:$BC$8,0)),'Калькуляция (МИ)'!$F$25:$F$459,$F49,'Калькуляция (МИ)'!$G$25:$G$459,$G49))))</f>
        <v>0</v>
      </c>
      <c r="BF49" s="3404">
        <f>IF(AND(method_reg="Метод индексации",god&lt;&gt;first_year),_xlfn.SUMIFS(INDEX('Калькуляция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расходов",_xlfn.SUMIFS('Калькуляция (МЭОР)'!$AK$25:$AK$282,'Калькуляция (МЭОР)'!$F$25:$F$282,$F49,'Калькуляция (МЭОР)'!$G$25:$G$282,$G49),IF(method_reg="Метод сравнения аналогов",_xlfn.SUMIFS('Калькуляция (МСА)'!$AF$25:$AF$84,'Калькуляция (МСА)'!$F$25:$F$84,$F49,'Калькуляция (МСА)'!$G$25:$G$84,$G49),_xlfn.SUMIFS(INDEX('Калькуляция (МИ)'!$AJ$25:$BC$459,,MATCH(BF$8,'Калькуляция (МИ)'!$AJ$8:$BC$8,0)),'Калькуляция (МИ)'!$F$25:$F$459,$F49,'Калькуляция (МИ)'!$G$25:$G$459,$G49))))</f>
        <v>0</v>
      </c>
      <c r="BG49" s="1080">
        <f>IF(BE49=0,0,(BF49-BE49)/BE49*100)</f>
        <v>0</v>
      </c>
      <c r="BH49" s="3404"/>
      <c r="BI49" s="3404"/>
      <c r="BJ49" s="1080">
        <f>IF(BH49=0,0,(BI49-BH49)/BH49*100)</f>
        <v>0</v>
      </c>
      <c r="BK49" s="3404"/>
      <c r="BL49" s="3404"/>
      <c r="BM49" s="1080">
        <f>IF(BK49=0,0,(BL49-BK49)/BK49*100)</f>
        <v>0</v>
      </c>
      <c r="BN49" s="3404"/>
      <c r="BO49" s="3404"/>
      <c r="BP49" s="1080">
        <f>IF(BN49=0,0,(BO49-BN49)/BN49*100)</f>
        <v>0</v>
      </c>
      <c r="BQ49" s="3404"/>
      <c r="BR49" s="3404"/>
      <c r="BS49" s="1080">
        <f>IF(BQ49=0,0,(BR49-BQ49)/BQ49*100)</f>
        <v>0</v>
      </c>
      <c r="BT49" s="3404"/>
      <c r="BU49" s="3404"/>
      <c r="BV49" s="1080">
        <f>IF(BT49=0,0,(BU49-BT49)/BT49*100)</f>
        <v>0</v>
      </c>
      <c r="BW49" s="3404"/>
      <c r="BX49" s="3404"/>
      <c r="BY49" s="1080">
        <f>IF(BW49=0,0,(BX49-BW49)/BW49*100)</f>
        <v>0</v>
      </c>
      <c r="BZ49" s="3404"/>
      <c r="CA49" s="3404"/>
      <c r="CB49" s="1080">
        <f>IF(BZ49=0,0,(CA49-BZ49)/BZ49*100)</f>
        <v>0</v>
      </c>
      <c r="CC49" s="3404"/>
      <c r="CD49" s="3404"/>
      <c r="CE49" s="1080">
        <f>IF(CC49=0,0,(CD49-CC49)/CC49*100)</f>
        <v>0</v>
      </c>
      <c r="CF49" s="3404"/>
      <c r="CG49" s="3404"/>
      <c r="CH49" s="1080">
        <f>IF(CF49=0,0,(CG49-CF49)/CF49*100)</f>
        <v>0</v>
      </c>
      <c r="CI49" s="3404"/>
      <c r="CJ49" s="3404"/>
      <c r="CK49" s="1080">
        <f>IF(CI49=0,0,(CJ49-CI49)/CI49*100)</f>
        <v>0</v>
      </c>
      <c r="CL49" s="3404"/>
      <c r="CM49" s="3404"/>
      <c r="CN49" s="1080">
        <f>IF(CL49=0,0,(CM49-CL49)/CL49*100)</f>
        <v>0</v>
      </c>
      <c r="CO49" s="3404"/>
      <c r="CP49" s="3404"/>
      <c r="CQ49" s="1080">
        <f>IF(CO49=0,0,(CP49-CO49)/CO49*100)</f>
        <v>0</v>
      </c>
      <c r="CR49" s="3404"/>
      <c r="CS49" s="3404"/>
      <c r="CT49" s="1080">
        <f>IF(CR49=0,0,(CS49-CR49)/CR49*100)</f>
        <v>0</v>
      </c>
      <c r="CU49" s="3404"/>
      <c r="CV49" s="3404"/>
      <c r="CW49" s="1080">
        <f>IF(CU49=0,0,(CV49-CU49)/CU49*100)</f>
        <v>0</v>
      </c>
      <c r="CX49" s="3404"/>
      <c r="CY49" s="3404"/>
      <c r="CZ49" s="1080">
        <f>IF(CX49=0,0,(CY49-CX49)/CX49*100)</f>
        <v>0</v>
      </c>
      <c r="DA49" s="3404"/>
      <c r="DB49" s="3404"/>
      <c r="DC49" s="1080">
        <f>IF(DA49=0,0,(DB49-DA49)/DA49*100)</f>
        <v>0</v>
      </c>
      <c r="DD49" s="3404"/>
      <c r="DE49" s="3404"/>
      <c r="DF49" s="1080">
        <f>IF(DD49=0,0,(DE49-DD49)/DD49*100)</f>
        <v>0</v>
      </c>
      <c r="DG49" s="3404"/>
      <c r="DH49" s="3404"/>
      <c r="DI49" s="1080">
        <f>IF(DG49=0,0,(DH49-DG49)/DG49*100)</f>
        <v>0</v>
      </c>
      <c r="DJ49" s="3404"/>
      <c r="DK49" s="3404"/>
      <c r="DL49" s="1080">
        <f>IF(DJ49=0,0,(DK49-DJ49)/DJ49*100)</f>
        <v>0</v>
      </c>
      <c r="DM49" s="3404"/>
      <c r="DN49" s="3404"/>
      <c r="DO49" s="1080">
        <f>IF(DM49=0,0,(DN49-DM49)/DM49*100)</f>
        <v>0</v>
      </c>
      <c r="DP49" s="3404"/>
      <c r="DQ49" s="3404"/>
      <c r="DR49" s="1080">
        <f>IF(DP49=0,0,(DQ49-DP49)/DP49*100)</f>
        <v>0</v>
      </c>
      <c r="DS49" s="3404"/>
      <c r="DT49" s="3404"/>
      <c r="DU49" s="1080">
        <f>IF(DS49=0,0,(DT49-DS49)/DS49*100)</f>
        <v>0</v>
      </c>
      <c r="DV49" s="3404"/>
      <c r="DW49" s="3404"/>
      <c r="DX49" s="1080">
        <f>IF(DV49=0,0,(DW49-DV49)/DV49*100)</f>
        <v>0</v>
      </c>
      <c r="DY49" s="3404"/>
      <c r="DZ49" s="3404"/>
      <c r="EA49" s="1080">
        <f>IF(DY49=0,0,(DZ49-DY49)/DY49*100)</f>
        <v>0</v>
      </c>
      <c r="EB49" s="3404"/>
      <c r="EC49" s="3404"/>
      <c r="ED49" s="1080">
        <f>IF(EB49=0,0,(EC49-EB49)/EB49*100)</f>
        <v>0</v>
      </c>
      <c r="EE49" s="3404"/>
      <c r="EF49" s="3404"/>
      <c r="EG49" s="1080">
        <f>IF(EE49=0,0,(EF49-EE49)/EE49*100)</f>
        <v>0</v>
      </c>
      <c r="EH49" s="3404"/>
      <c r="EI49" s="3404"/>
      <c r="EJ49" s="1080">
        <f>IF(EH49=0,0,(EI49-EH49)/EH49*100)</f>
        <v>0</v>
      </c>
      <c r="EK49" s="3404"/>
      <c r="EL49" s="3404"/>
      <c r="EM49" s="1080">
        <f>IF(EK49=0,0,(EL49-EK49)/EK49*100)</f>
        <v>0</v>
      </c>
      <c r="EN49" s="3404"/>
      <c r="EO49" s="3404"/>
      <c r="EP49" s="1080">
        <f>IF(EN49=0,0,(EO49-EN49)/EN49*100)</f>
        <v>0</v>
      </c>
      <c r="EQ49" s="3404"/>
      <c r="ER49" s="3404"/>
      <c r="ES49" s="1080">
        <f>IF(EQ49=0,0,(ER49-EQ49)/EQ49*100)</f>
        <v>0</v>
      </c>
      <c r="ET49" s="3404"/>
      <c r="EU49" s="3404"/>
      <c r="EV49" s="1080">
        <f>IF(ET49=0,0,(EU49-ET49)/ET49*100)</f>
        <v>0</v>
      </c>
      <c r="EW49" s="3404"/>
      <c r="EX49" s="3404"/>
      <c r="EY49" s="1080">
        <f>IF(EW49=0,0,(EX49-EW49)/EW49*100)</f>
        <v>0</v>
      </c>
      <c r="EZ49" s="3404"/>
      <c r="FA49" s="3404"/>
      <c r="FB49" s="1080">
        <f>IF(EZ49=0,0,(FA49-EZ49)/EZ49*100)</f>
        <v>0</v>
      </c>
      <c r="FC49" s="3404"/>
      <c r="FD49" s="3404"/>
      <c r="FE49" s="1080">
        <f>IF(FC49=0,0,(FD49-FC49)/FC49*100)</f>
        <v>0</v>
      </c>
      <c r="FF49" s="3404"/>
      <c r="FG49" s="3404"/>
      <c r="FH49" s="1080">
        <f>IF(FF49=0,0,(FG49-FF49)/FF49*100)</f>
        <v>0</v>
      </c>
      <c r="FI49" s="3404"/>
      <c r="FJ49" s="3404"/>
      <c r="FK49" s="1080">
        <f>IF(FI49=0,0,(FJ49-FI49)/FI49*100)</f>
        <v>0</v>
      </c>
      <c r="FL49" s="3404"/>
      <c r="FM49" s="3404"/>
      <c r="FN49" s="1080">
        <f>IF(FL49=0,0,(FM49-FL49)/FL49*100)</f>
        <v>0</v>
      </c>
      <c r="FO49" s="3404"/>
      <c r="FP49" s="3404"/>
      <c r="FQ49" s="1080">
        <f>IF(FO49=0,0,(FP49-FO49)/FO49*100)</f>
        <v>0</v>
      </c>
      <c r="FR49" s="3404"/>
      <c r="FS49" s="3404"/>
      <c r="FT49" s="1080">
        <f>IF(FR49=0,0,(FS49-FR49)/FR49*100)</f>
        <v>0</v>
      </c>
      <c r="FU49" s="3404"/>
      <c r="FV49" s="3404"/>
      <c r="FW49" s="1080">
        <f>IF(FU49=0,0,(FV49-FU49)/FU49*100)</f>
        <v>0</v>
      </c>
      <c r="FX49" s="676"/>
      <c r="FY49" s="676"/>
      <c r="FZ49" s="1039" t="s">
        <v>1532</v>
      </c>
      <c r="GA49" s="1061"/>
      <c r="GB49" s="1061"/>
      <c r="GC49" s="697"/>
      <c r="GD49" s="697"/>
    </row>
    <row customHeight="1" ht="24.131250000000005" hidden="1">
      <c r="A50" s="467"/>
      <c r="B50" s="907" cm="1" t="str">
        <f t="array" ref="B50:B50">B49</f>
        <v>false</v>
      </c>
      <c r="C50" s="467"/>
      <c r="D50" s="467"/>
      <c r="E50" s="822">
        <v>24.75</v>
      </c>
      <c r="F50" s="50" cm="1" t="str">
        <f t="array" ref="F50:F50">OFFSET(E50,-1,1)</f>
        <v>0</v>
      </c>
      <c r="G50" s="467"/>
      <c r="H50" s="467" t="s">
        <v>1533</v>
      </c>
      <c r="I50" s="467" t="s">
        <v>1492</v>
      </c>
      <c r="J50" s="467"/>
      <c r="K50" s="467"/>
      <c r="L50" s="467"/>
      <c r="M50" s="467"/>
      <c r="N50" s="467"/>
      <c r="O50" s="467"/>
      <c r="P50" s="467"/>
      <c r="Q50" s="467"/>
      <c r="R50" s="467"/>
      <c r="S50" s="467"/>
      <c r="T50" s="439" cm="1" t="str">
        <f t="array" ref="T50:T50">T49</f>
        <v>false</v>
      </c>
      <c r="U50" s="467"/>
      <c r="V50" s="467"/>
      <c r="W50" s="467"/>
      <c r="X50" s="1534"/>
      <c r="Y50" s="467"/>
      <c r="Z50" s="1464"/>
      <c r="AA50" s="467"/>
      <c r="AB50"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846" t="s">
        <v>1534</v>
      </c>
      <c r="AD50" s="3409"/>
      <c r="AE50" s="3409"/>
      <c r="AF50" s="1078">
        <f>IF(AD50=0,0,(AE50-AD50)/AD50*100)</f>
        <v>0</v>
      </c>
      <c r="AG50" s="3409"/>
      <c r="AH50" s="3409"/>
      <c r="AI50" s="1078">
        <f>IF(AG50=0,0,(AH50-AG50)/AG50*100)</f>
        <v>0</v>
      </c>
      <c r="AJ50" s="3409"/>
      <c r="AK50" s="3409"/>
      <c r="AL50" s="1078">
        <f>IF(AJ50=0,0,(AK50-AJ50)/AJ50*100)</f>
        <v>0</v>
      </c>
      <c r="AM50" s="3409"/>
      <c r="AN50" s="3409"/>
      <c r="AO50" s="1078">
        <f>IF(AM50=0,0,(AN50-AM50)/AM50*100)</f>
        <v>0</v>
      </c>
      <c r="AP50" s="3409"/>
      <c r="AQ50" s="3409"/>
      <c r="AR50" s="1078">
        <f>IF(AP50=0,0,(AQ50-AP50)/AP50*100)</f>
        <v>0</v>
      </c>
      <c r="AS50" s="3409"/>
      <c r="AT50" s="3409"/>
      <c r="AU50" s="1078">
        <f>IF(AS50=0,0,(AT50-AS50)/AS50*100)</f>
        <v>0</v>
      </c>
      <c r="AV50" s="3409"/>
      <c r="AW50" s="3409"/>
      <c r="AX50" s="1078">
        <f>IF(AV50=0,0,(AW50-AV50)/AV50*100)</f>
        <v>0</v>
      </c>
      <c r="AY50" s="3409"/>
      <c r="AZ50" s="3409"/>
      <c r="BA50" s="1078">
        <f>IF(AY50=0,0,(AZ50-AY50)/AY50*100)</f>
        <v>0</v>
      </c>
      <c r="BB50" s="3409"/>
      <c r="BC50" s="3409"/>
      <c r="BD50" s="1078">
        <f>IF(BB50=0,0,(BC50-BB50)/BB50*100)</f>
        <v>0</v>
      </c>
      <c r="BE50" s="3409"/>
      <c r="BF50" s="3409"/>
      <c r="BG50" s="1078">
        <f>IF(BE50=0,0,(BF50-BE50)/BE50*100)</f>
        <v>0</v>
      </c>
      <c r="BH50" s="3409"/>
      <c r="BI50" s="3409"/>
      <c r="BJ50" s="1078">
        <f>IF(BH50=0,0,(BI50-BH50)/BH50*100)</f>
        <v>0</v>
      </c>
      <c r="BK50" s="3409"/>
      <c r="BL50" s="3409"/>
      <c r="BM50" s="1078">
        <f>IF(BK50=0,0,(BL50-BK50)/BK50*100)</f>
        <v>0</v>
      </c>
      <c r="BN50" s="3409"/>
      <c r="BO50" s="3409"/>
      <c r="BP50" s="1078">
        <f>IF(BN50=0,0,(BO50-BN50)/BN50*100)</f>
        <v>0</v>
      </c>
      <c r="BQ50" s="3409"/>
      <c r="BR50" s="3409"/>
      <c r="BS50" s="1078">
        <f>IF(BQ50=0,0,(BR50-BQ50)/BQ50*100)</f>
        <v>0</v>
      </c>
      <c r="BT50" s="3409"/>
      <c r="BU50" s="3409"/>
      <c r="BV50" s="1078">
        <f>IF(BT50=0,0,(BU50-BT50)/BT50*100)</f>
        <v>0</v>
      </c>
      <c r="BW50" s="3409"/>
      <c r="BX50" s="3409"/>
      <c r="BY50" s="1078">
        <f>IF(BW50=0,0,(BX50-BW50)/BW50*100)</f>
        <v>0</v>
      </c>
      <c r="BZ50" s="3409"/>
      <c r="CA50" s="3409"/>
      <c r="CB50" s="1078">
        <f>IF(BZ50=0,0,(CA50-BZ50)/BZ50*100)</f>
        <v>0</v>
      </c>
      <c r="CC50" s="3409"/>
      <c r="CD50" s="3409"/>
      <c r="CE50" s="1078">
        <f>IF(CC50=0,0,(CD50-CC50)/CC50*100)</f>
        <v>0</v>
      </c>
      <c r="CF50" s="3409"/>
      <c r="CG50" s="3409"/>
      <c r="CH50" s="1078">
        <f>IF(CF50=0,0,(CG50-CF50)/CF50*100)</f>
        <v>0</v>
      </c>
      <c r="CI50" s="3409"/>
      <c r="CJ50" s="3409"/>
      <c r="CK50" s="1078">
        <f>IF(CI50=0,0,(CJ50-CI50)/CI50*100)</f>
        <v>0</v>
      </c>
      <c r="CL50" s="3409"/>
      <c r="CM50" s="3409"/>
      <c r="CN50" s="1078">
        <f>IF(CL50=0,0,(CM50-CL50)/CL50*100)</f>
        <v>0</v>
      </c>
      <c r="CO50" s="3409"/>
      <c r="CP50" s="3409"/>
      <c r="CQ50" s="1078">
        <f>IF(CO50=0,0,(CP50-CO50)/CO50*100)</f>
        <v>0</v>
      </c>
      <c r="CR50" s="3409"/>
      <c r="CS50" s="3409"/>
      <c r="CT50" s="1078">
        <f>IF(CR50=0,0,(CS50-CR50)/CR50*100)</f>
        <v>0</v>
      </c>
      <c r="CU50" s="3409"/>
      <c r="CV50" s="3409"/>
      <c r="CW50" s="1078">
        <f>IF(CU50=0,0,(CV50-CU50)/CU50*100)</f>
        <v>0</v>
      </c>
      <c r="CX50" s="3409"/>
      <c r="CY50" s="3409"/>
      <c r="CZ50" s="1078">
        <f>IF(CX50=0,0,(CY50-CX50)/CX50*100)</f>
        <v>0</v>
      </c>
      <c r="DA50" s="3409"/>
      <c r="DB50" s="3409"/>
      <c r="DC50" s="1078">
        <f>IF(DA50=0,0,(DB50-DA50)/DA50*100)</f>
        <v>0</v>
      </c>
      <c r="DD50" s="3409"/>
      <c r="DE50" s="3409"/>
      <c r="DF50" s="1078">
        <f>IF(DD50=0,0,(DE50-DD50)/DD50*100)</f>
        <v>0</v>
      </c>
      <c r="DG50" s="3409"/>
      <c r="DH50" s="3409"/>
      <c r="DI50" s="1078">
        <f>IF(DG50=0,0,(DH50-DG50)/DG50*100)</f>
        <v>0</v>
      </c>
      <c r="DJ50" s="3409"/>
      <c r="DK50" s="3409"/>
      <c r="DL50" s="1078">
        <f>IF(DJ50=0,0,(DK50-DJ50)/DJ50*100)</f>
        <v>0</v>
      </c>
      <c r="DM50" s="3409"/>
      <c r="DN50" s="3409"/>
      <c r="DO50" s="1078">
        <f>IF(DM50=0,0,(DN50-DM50)/DM50*100)</f>
        <v>0</v>
      </c>
      <c r="DP50" s="3409"/>
      <c r="DQ50" s="3409"/>
      <c r="DR50" s="1078">
        <f>IF(DP50=0,0,(DQ50-DP50)/DP50*100)</f>
        <v>0</v>
      </c>
      <c r="DS50" s="3409"/>
      <c r="DT50" s="3409"/>
      <c r="DU50" s="1078">
        <f>IF(DS50=0,0,(DT50-DS50)/DS50*100)</f>
        <v>0</v>
      </c>
      <c r="DV50" s="3409"/>
      <c r="DW50" s="3409"/>
      <c r="DX50" s="1078">
        <f>IF(DV50=0,0,(DW50-DV50)/DV50*100)</f>
        <v>0</v>
      </c>
      <c r="DY50" s="3409"/>
      <c r="DZ50" s="3409"/>
      <c r="EA50" s="1078">
        <f>IF(DY50=0,0,(DZ50-DY50)/DY50*100)</f>
        <v>0</v>
      </c>
      <c r="EB50" s="3409"/>
      <c r="EC50" s="3409"/>
      <c r="ED50" s="1078">
        <f>IF(EB50=0,0,(EC50-EB50)/EB50*100)</f>
        <v>0</v>
      </c>
      <c r="EE50" s="3409"/>
      <c r="EF50" s="3409"/>
      <c r="EG50" s="1078">
        <f>IF(EE50=0,0,(EF50-EE50)/EE50*100)</f>
        <v>0</v>
      </c>
      <c r="EH50" s="3409"/>
      <c r="EI50" s="3409"/>
      <c r="EJ50" s="1078">
        <f>IF(EH50=0,0,(EI50-EH50)/EH50*100)</f>
        <v>0</v>
      </c>
      <c r="EK50" s="3409"/>
      <c r="EL50" s="3409"/>
      <c r="EM50" s="1078">
        <f>IF(EK50=0,0,(EL50-EK50)/EK50*100)</f>
        <v>0</v>
      </c>
      <c r="EN50" s="3409"/>
      <c r="EO50" s="3409"/>
      <c r="EP50" s="1078">
        <f>IF(EN50=0,0,(EO50-EN50)/EN50*100)</f>
        <v>0</v>
      </c>
      <c r="EQ50" s="3409"/>
      <c r="ER50" s="3409"/>
      <c r="ES50" s="1078">
        <f>IF(EQ50=0,0,(ER50-EQ50)/EQ50*100)</f>
        <v>0</v>
      </c>
      <c r="ET50" s="3409"/>
      <c r="EU50" s="3409"/>
      <c r="EV50" s="1078">
        <f>IF(ET50=0,0,(EU50-ET50)/ET50*100)</f>
        <v>0</v>
      </c>
      <c r="EW50" s="3409"/>
      <c r="EX50" s="3409"/>
      <c r="EY50" s="1078">
        <f>IF(EW50=0,0,(EX50-EW50)/EW50*100)</f>
        <v>0</v>
      </c>
      <c r="EZ50" s="3409"/>
      <c r="FA50" s="3409"/>
      <c r="FB50" s="1078">
        <f>IF(EZ50=0,0,(FA50-EZ50)/EZ50*100)</f>
        <v>0</v>
      </c>
      <c r="FC50" s="3409"/>
      <c r="FD50" s="3409"/>
      <c r="FE50" s="1078">
        <f>IF(FC50=0,0,(FD50-FC50)/FC50*100)</f>
        <v>0</v>
      </c>
      <c r="FF50" s="3409"/>
      <c r="FG50" s="3409"/>
      <c r="FH50" s="1078">
        <f>IF(FF50=0,0,(FG50-FF50)/FF50*100)</f>
        <v>0</v>
      </c>
      <c r="FI50" s="3409"/>
      <c r="FJ50" s="3409"/>
      <c r="FK50" s="1078">
        <f>IF(FI50=0,0,(FJ50-FI50)/FI50*100)</f>
        <v>0</v>
      </c>
      <c r="FL50" s="3409"/>
      <c r="FM50" s="3409"/>
      <c r="FN50" s="1078">
        <f>IF(FL50=0,0,(FM50-FL50)/FL50*100)</f>
        <v>0</v>
      </c>
      <c r="FO50" s="3409"/>
      <c r="FP50" s="3409"/>
      <c r="FQ50" s="1078">
        <f>IF(FO50=0,0,(FP50-FO50)/FO50*100)</f>
        <v>0</v>
      </c>
      <c r="FR50" s="3409"/>
      <c r="FS50" s="3409"/>
      <c r="FT50" s="1078">
        <f>IF(FR50=0,0,(FS50-FR50)/FR50*100)</f>
        <v>0</v>
      </c>
      <c r="FU50" s="3409"/>
      <c r="FV50" s="3409"/>
      <c r="FW50" s="1078">
        <f>IF(FU50=0,0,(FV50-FU50)/FU50*100)</f>
        <v>0</v>
      </c>
      <c r="FX50" s="676"/>
      <c r="FY50" s="676"/>
      <c r="FZ50" s="1039" t="s">
        <v>1535</v>
      </c>
      <c r="GA50" s="1061"/>
      <c r="GB50" s="1061"/>
      <c r="GC50" s="697"/>
      <c r="GD50" s="697"/>
    </row>
    <row customHeight="1" ht="14.625" hidden="1">
      <c r="A51" s="467"/>
      <c r="B51" s="907" cm="1" t="str">
        <f t="array" ref="B51:B51">B50</f>
        <v>false</v>
      </c>
      <c r="C51" s="467"/>
      <c r="D51" s="467"/>
      <c r="E51" s="822">
        <v>15</v>
      </c>
      <c r="F51" s="50" cm="1" t="str">
        <f t="array" ref="F51:F51">OFFSET(E51,-1,1)</f>
        <v>0</v>
      </c>
      <c r="G51" s="467"/>
      <c r="H51" s="467" t="s">
        <v>1536</v>
      </c>
      <c r="I51" s="467" t="s">
        <v>1492</v>
      </c>
      <c r="J51" s="467"/>
      <c r="K51" s="467"/>
      <c r="L51" s="467"/>
      <c r="M51" s="467"/>
      <c r="N51" s="467"/>
      <c r="O51" s="467"/>
      <c r="P51" s="467"/>
      <c r="Q51" s="467"/>
      <c r="R51" s="467"/>
      <c r="S51" s="467"/>
      <c r="T51" s="439" cm="1" t="str">
        <f t="array" ref="T51:T51">T50</f>
        <v>false</v>
      </c>
      <c r="U51" s="467"/>
      <c r="V51" s="467"/>
      <c r="W51" s="467"/>
      <c r="X51" s="1534"/>
      <c r="Y51" s="467"/>
      <c r="Z51" s="1464"/>
      <c r="AA51" s="467"/>
      <c r="AB51" s="886" t="s">
        <v>1537</v>
      </c>
      <c r="AC51" s="846" t="s">
        <v>1538</v>
      </c>
      <c r="AD51" s="3409"/>
      <c r="AE51" s="3409"/>
      <c r="AF51" s="1078">
        <f>IF(AD51=0,0,(AE51-AD51)/AD51*100)</f>
        <v>0</v>
      </c>
      <c r="AG51" s="3409"/>
      <c r="AH51" s="3409"/>
      <c r="AI51" s="1078">
        <f>IF(AG51=0,0,(AH51-AG51)/AG51*100)</f>
        <v>0</v>
      </c>
      <c r="AJ51" s="3409"/>
      <c r="AK51" s="3409"/>
      <c r="AL51" s="1078">
        <f>IF(AJ51=0,0,(AK51-AJ51)/AJ51*100)</f>
        <v>0</v>
      </c>
      <c r="AM51" s="3409"/>
      <c r="AN51" s="3409"/>
      <c r="AO51" s="1078">
        <f>IF(AM51=0,0,(AN51-AM51)/AM51*100)</f>
        <v>0</v>
      </c>
      <c r="AP51" s="3409"/>
      <c r="AQ51" s="3409"/>
      <c r="AR51" s="1078">
        <f>IF(AP51=0,0,(AQ51-AP51)/AP51*100)</f>
        <v>0</v>
      </c>
      <c r="AS51" s="3409"/>
      <c r="AT51" s="3409"/>
      <c r="AU51" s="1078">
        <f>IF(AS51=0,0,(AT51-AS51)/AS51*100)</f>
        <v>0</v>
      </c>
      <c r="AV51" s="3409"/>
      <c r="AW51" s="3409"/>
      <c r="AX51" s="1078">
        <f>IF(AV51=0,0,(AW51-AV51)/AV51*100)</f>
        <v>0</v>
      </c>
      <c r="AY51" s="3409"/>
      <c r="AZ51" s="3409"/>
      <c r="BA51" s="1078">
        <f>IF(AY51=0,0,(AZ51-AY51)/AY51*100)</f>
        <v>0</v>
      </c>
      <c r="BB51" s="3409"/>
      <c r="BC51" s="3409"/>
      <c r="BD51" s="1078">
        <f>IF(BB51=0,0,(BC51-BB51)/BB51*100)</f>
        <v>0</v>
      </c>
      <c r="BE51" s="3409"/>
      <c r="BF51" s="3409"/>
      <c r="BG51" s="1078">
        <f>IF(BE51=0,0,(BF51-BE51)/BE51*100)</f>
        <v>0</v>
      </c>
      <c r="BH51" s="3409"/>
      <c r="BI51" s="3409"/>
      <c r="BJ51" s="1078">
        <f>IF(BH51=0,0,(BI51-BH51)/BH51*100)</f>
        <v>0</v>
      </c>
      <c r="BK51" s="3409"/>
      <c r="BL51" s="3409"/>
      <c r="BM51" s="1078">
        <f>IF(BK51=0,0,(BL51-BK51)/BK51*100)</f>
        <v>0</v>
      </c>
      <c r="BN51" s="3409"/>
      <c r="BO51" s="3409"/>
      <c r="BP51" s="1078">
        <f>IF(BN51=0,0,(BO51-BN51)/BN51*100)</f>
        <v>0</v>
      </c>
      <c r="BQ51" s="3409"/>
      <c r="BR51" s="3409"/>
      <c r="BS51" s="1078">
        <f>IF(BQ51=0,0,(BR51-BQ51)/BQ51*100)</f>
        <v>0</v>
      </c>
      <c r="BT51" s="3409"/>
      <c r="BU51" s="3409"/>
      <c r="BV51" s="1078">
        <f>IF(BT51=0,0,(BU51-BT51)/BT51*100)</f>
        <v>0</v>
      </c>
      <c r="BW51" s="3409"/>
      <c r="BX51" s="3409"/>
      <c r="BY51" s="1078">
        <f>IF(BW51=0,0,(BX51-BW51)/BW51*100)</f>
        <v>0</v>
      </c>
      <c r="BZ51" s="3409"/>
      <c r="CA51" s="3409"/>
      <c r="CB51" s="1078">
        <f>IF(BZ51=0,0,(CA51-BZ51)/BZ51*100)</f>
        <v>0</v>
      </c>
      <c r="CC51" s="3409"/>
      <c r="CD51" s="3409"/>
      <c r="CE51" s="1078">
        <f>IF(CC51=0,0,(CD51-CC51)/CC51*100)</f>
        <v>0</v>
      </c>
      <c r="CF51" s="3409"/>
      <c r="CG51" s="3409"/>
      <c r="CH51" s="1078">
        <f>IF(CF51=0,0,(CG51-CF51)/CF51*100)</f>
        <v>0</v>
      </c>
      <c r="CI51" s="3409"/>
      <c r="CJ51" s="3409"/>
      <c r="CK51" s="1078">
        <f>IF(CI51=0,0,(CJ51-CI51)/CI51*100)</f>
        <v>0</v>
      </c>
      <c r="CL51" s="3409"/>
      <c r="CM51" s="3409"/>
      <c r="CN51" s="1078">
        <f>IF(CL51=0,0,(CM51-CL51)/CL51*100)</f>
        <v>0</v>
      </c>
      <c r="CO51" s="3409"/>
      <c r="CP51" s="3409"/>
      <c r="CQ51" s="1078">
        <f>IF(CO51=0,0,(CP51-CO51)/CO51*100)</f>
        <v>0</v>
      </c>
      <c r="CR51" s="3409"/>
      <c r="CS51" s="3409"/>
      <c r="CT51" s="1078">
        <f>IF(CR51=0,0,(CS51-CR51)/CR51*100)</f>
        <v>0</v>
      </c>
      <c r="CU51" s="3409"/>
      <c r="CV51" s="3409"/>
      <c r="CW51" s="1078">
        <f>IF(CU51=0,0,(CV51-CU51)/CU51*100)</f>
        <v>0</v>
      </c>
      <c r="CX51" s="3409"/>
      <c r="CY51" s="3409"/>
      <c r="CZ51" s="1078">
        <f>IF(CX51=0,0,(CY51-CX51)/CX51*100)</f>
        <v>0</v>
      </c>
      <c r="DA51" s="3409"/>
      <c r="DB51" s="3409"/>
      <c r="DC51" s="1078">
        <f>IF(DA51=0,0,(DB51-DA51)/DA51*100)</f>
        <v>0</v>
      </c>
      <c r="DD51" s="3409"/>
      <c r="DE51" s="3409"/>
      <c r="DF51" s="1078">
        <f>IF(DD51=0,0,(DE51-DD51)/DD51*100)</f>
        <v>0</v>
      </c>
      <c r="DG51" s="3409"/>
      <c r="DH51" s="3409"/>
      <c r="DI51" s="1078">
        <f>IF(DG51=0,0,(DH51-DG51)/DG51*100)</f>
        <v>0</v>
      </c>
      <c r="DJ51" s="3409"/>
      <c r="DK51" s="3409"/>
      <c r="DL51" s="1078">
        <f>IF(DJ51=0,0,(DK51-DJ51)/DJ51*100)</f>
        <v>0</v>
      </c>
      <c r="DM51" s="3409"/>
      <c r="DN51" s="3409"/>
      <c r="DO51" s="1078">
        <f>IF(DM51=0,0,(DN51-DM51)/DM51*100)</f>
        <v>0</v>
      </c>
      <c r="DP51" s="3409"/>
      <c r="DQ51" s="3409"/>
      <c r="DR51" s="1078">
        <f>IF(DP51=0,0,(DQ51-DP51)/DP51*100)</f>
        <v>0</v>
      </c>
      <c r="DS51" s="3409"/>
      <c r="DT51" s="3409"/>
      <c r="DU51" s="1078">
        <f>IF(DS51=0,0,(DT51-DS51)/DS51*100)</f>
        <v>0</v>
      </c>
      <c r="DV51" s="3409"/>
      <c r="DW51" s="3409"/>
      <c r="DX51" s="1078">
        <f>IF(DV51=0,0,(DW51-DV51)/DV51*100)</f>
        <v>0</v>
      </c>
      <c r="DY51" s="3409"/>
      <c r="DZ51" s="3409"/>
      <c r="EA51" s="1078">
        <f>IF(DY51=0,0,(DZ51-DY51)/DY51*100)</f>
        <v>0</v>
      </c>
      <c r="EB51" s="3409"/>
      <c r="EC51" s="3409"/>
      <c r="ED51" s="1078">
        <f>IF(EB51=0,0,(EC51-EB51)/EB51*100)</f>
        <v>0</v>
      </c>
      <c r="EE51" s="3409"/>
      <c r="EF51" s="3409"/>
      <c r="EG51" s="1078">
        <f>IF(EE51=0,0,(EF51-EE51)/EE51*100)</f>
        <v>0</v>
      </c>
      <c r="EH51" s="3409"/>
      <c r="EI51" s="3409"/>
      <c r="EJ51" s="1078">
        <f>IF(EH51=0,0,(EI51-EH51)/EH51*100)</f>
        <v>0</v>
      </c>
      <c r="EK51" s="3409"/>
      <c r="EL51" s="3409"/>
      <c r="EM51" s="1078">
        <f>IF(EK51=0,0,(EL51-EK51)/EK51*100)</f>
        <v>0</v>
      </c>
      <c r="EN51" s="3409"/>
      <c r="EO51" s="3409"/>
      <c r="EP51" s="1078">
        <f>IF(EN51=0,0,(EO51-EN51)/EN51*100)</f>
        <v>0</v>
      </c>
      <c r="EQ51" s="3409"/>
      <c r="ER51" s="3409"/>
      <c r="ES51" s="1078">
        <f>IF(EQ51=0,0,(ER51-EQ51)/EQ51*100)</f>
        <v>0</v>
      </c>
      <c r="ET51" s="3409"/>
      <c r="EU51" s="3409"/>
      <c r="EV51" s="1078">
        <f>IF(ET51=0,0,(EU51-ET51)/ET51*100)</f>
        <v>0</v>
      </c>
      <c r="EW51" s="3409"/>
      <c r="EX51" s="3409"/>
      <c r="EY51" s="1078">
        <f>IF(EW51=0,0,(EX51-EW51)/EW51*100)</f>
        <v>0</v>
      </c>
      <c r="EZ51" s="3409"/>
      <c r="FA51" s="3409"/>
      <c r="FB51" s="1078">
        <f>IF(EZ51=0,0,(FA51-EZ51)/EZ51*100)</f>
        <v>0</v>
      </c>
      <c r="FC51" s="3409"/>
      <c r="FD51" s="3409"/>
      <c r="FE51" s="1078">
        <f>IF(FC51=0,0,(FD51-FC51)/FC51*100)</f>
        <v>0</v>
      </c>
      <c r="FF51" s="3409"/>
      <c r="FG51" s="3409"/>
      <c r="FH51" s="1078">
        <f>IF(FF51=0,0,(FG51-FF51)/FF51*100)</f>
        <v>0</v>
      </c>
      <c r="FI51" s="3409"/>
      <c r="FJ51" s="3409"/>
      <c r="FK51" s="1078">
        <f>IF(FI51=0,0,(FJ51-FI51)/FI51*100)</f>
        <v>0</v>
      </c>
      <c r="FL51" s="3409"/>
      <c r="FM51" s="3409"/>
      <c r="FN51" s="1078">
        <f>IF(FL51=0,0,(FM51-FL51)/FL51*100)</f>
        <v>0</v>
      </c>
      <c r="FO51" s="3409"/>
      <c r="FP51" s="3409"/>
      <c r="FQ51" s="1078">
        <f>IF(FO51=0,0,(FP51-FO51)/FO51*100)</f>
        <v>0</v>
      </c>
      <c r="FR51" s="3409"/>
      <c r="FS51" s="3409"/>
      <c r="FT51" s="1078">
        <f>IF(FR51=0,0,(FS51-FR51)/FR51*100)</f>
        <v>0</v>
      </c>
      <c r="FU51" s="3409"/>
      <c r="FV51" s="3409"/>
      <c r="FW51" s="1078">
        <f>IF(FU51=0,0,(FV51-FU51)/FU51*100)</f>
        <v>0</v>
      </c>
      <c r="FX51" s="676"/>
      <c r="FY51" s="676"/>
      <c r="FZ51" s="1039" t="s">
        <v>1539</v>
      </c>
      <c r="GA51" s="1061"/>
      <c r="GB51" s="1061"/>
      <c r="GC51" s="697"/>
      <c r="GD51" s="697"/>
    </row>
    <row customHeight="1" ht="23.887500000000003" hidden="1">
      <c r="A52" s="467"/>
      <c r="B52" s="907" cm="1" t="str">
        <f t="array" ref="B52:B52">B51</f>
        <v>false</v>
      </c>
      <c r="C52" s="467"/>
      <c r="D52" s="467"/>
      <c r="E52" s="822">
        <v>24.5</v>
      </c>
      <c r="F52" s="50" cm="1" t="str">
        <f t="array" ref="F52:F52">OFFSET(E52,-1,1)</f>
        <v>0</v>
      </c>
      <c r="G52" s="467"/>
      <c r="H52" s="467"/>
      <c r="I52" s="467"/>
      <c r="J52" s="467"/>
      <c r="K52" s="467"/>
      <c r="L52" s="467"/>
      <c r="M52" s="467"/>
      <c r="N52" s="467"/>
      <c r="O52" s="467"/>
      <c r="P52" s="467"/>
      <c r="Q52" s="467"/>
      <c r="R52" s="467"/>
      <c r="S52" s="467"/>
      <c r="T52" s="439" cm="1" t="str">
        <f t="array" ref="T52:T52">T51</f>
        <v>false</v>
      </c>
      <c r="U52" s="467"/>
      <c r="V52" s="467"/>
      <c r="W52" s="467"/>
      <c r="X52" s="1534"/>
      <c r="Y52" s="467"/>
      <c r="Z52" s="1464"/>
      <c r="AA52" s="467"/>
      <c r="AB52" s="260" t="s">
        <v>1540</v>
      </c>
      <c r="AC52" s="885"/>
      <c r="AD52" s="1087"/>
      <c r="AE52" s="1087"/>
      <c r="AF52" s="1087"/>
      <c r="AG52" s="1087"/>
      <c r="AH52" s="1087"/>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087"/>
      <c r="CP52" s="1087"/>
      <c r="CQ52" s="1087"/>
      <c r="CR52" s="1087"/>
      <c r="CS52" s="1087"/>
      <c r="CT52" s="1087"/>
      <c r="CU52" s="1087"/>
      <c r="CV52" s="1087"/>
      <c r="CW52" s="1087"/>
      <c r="CX52" s="1087"/>
      <c r="CY52" s="1087"/>
      <c r="CZ52" s="1087"/>
      <c r="DA52" s="1087"/>
      <c r="DB52" s="1087"/>
      <c r="DC52" s="1087"/>
      <c r="DD52" s="1087"/>
      <c r="DE52" s="1087"/>
      <c r="DF52" s="1087"/>
      <c r="DG52" s="1087"/>
      <c r="DH52" s="1087"/>
      <c r="DI52" s="1087"/>
      <c r="DJ52" s="1087"/>
      <c r="DK52" s="1087"/>
      <c r="DL52" s="1087"/>
      <c r="DM52" s="1087"/>
      <c r="DN52" s="1087"/>
      <c r="DO52" s="1087"/>
      <c r="DP52" s="1087"/>
      <c r="DQ52" s="1087"/>
      <c r="DR52" s="1087"/>
      <c r="DS52" s="1087"/>
      <c r="DT52" s="1087"/>
      <c r="DU52" s="1087"/>
      <c r="DV52" s="1087"/>
      <c r="DW52" s="1087"/>
      <c r="DX52" s="1087"/>
      <c r="DY52" s="1087"/>
      <c r="DZ52" s="1087"/>
      <c r="EA52" s="1087"/>
      <c r="EB52" s="1087"/>
      <c r="EC52" s="1087"/>
      <c r="ED52" s="1087"/>
      <c r="EE52" s="1087"/>
      <c r="EF52" s="1087"/>
      <c r="EG52" s="1087"/>
      <c r="EH52" s="1087"/>
      <c r="EI52" s="1087"/>
      <c r="EJ52" s="1087"/>
      <c r="EK52" s="1087"/>
      <c r="EL52" s="1087"/>
      <c r="EM52" s="1087"/>
      <c r="EN52" s="1087"/>
      <c r="EO52" s="1087"/>
      <c r="EP52" s="1087"/>
      <c r="EQ52" s="1087"/>
      <c r="ER52" s="1087"/>
      <c r="ES52" s="1087"/>
      <c r="ET52" s="1087"/>
      <c r="EU52" s="1087"/>
      <c r="EV52" s="1087"/>
      <c r="EW52" s="1087"/>
      <c r="EX52" s="1087"/>
      <c r="EY52" s="1087"/>
      <c r="EZ52" s="1087"/>
      <c r="FA52" s="1087"/>
      <c r="FB52" s="1087"/>
      <c r="FC52" s="1087"/>
      <c r="FD52" s="1087"/>
      <c r="FE52" s="1087"/>
      <c r="FF52" s="1087"/>
      <c r="FG52" s="1087"/>
      <c r="FH52" s="1087"/>
      <c r="FI52" s="1087"/>
      <c r="FJ52" s="1087"/>
      <c r="FK52" s="1087"/>
      <c r="FL52" s="1087"/>
      <c r="FM52" s="1087"/>
      <c r="FN52" s="1087"/>
      <c r="FO52" s="1087"/>
      <c r="FP52" s="1087"/>
      <c r="FQ52" s="1087"/>
      <c r="FR52" s="1087"/>
      <c r="FS52" s="1087"/>
      <c r="FT52" s="1087"/>
      <c r="FU52" s="1087"/>
      <c r="FV52" s="1087"/>
      <c r="FW52" s="1088"/>
      <c r="FX52" s="676"/>
      <c r="FY52" s="676"/>
      <c r="FZ52" s="1039"/>
      <c r="GA52" s="1061"/>
      <c r="GB52" s="1061"/>
      <c r="GC52" s="697"/>
      <c r="GD52" s="697"/>
    </row>
    <row customHeight="1" ht="14.625" hidden="1">
      <c r="A53" s="467"/>
      <c r="B53" s="907" cm="1" t="str">
        <f t="array" ref="B53:B53">B52</f>
        <v>false</v>
      </c>
      <c r="C53" s="467"/>
      <c r="D53" s="467"/>
      <c r="E53" s="822">
        <v>15</v>
      </c>
      <c r="F53" s="50" cm="1" t="str">
        <f t="array" ref="F53:F53">OFFSET(E53,-1,1)</f>
        <v>0</v>
      </c>
      <c r="G53" s="467"/>
      <c r="H53" s="467" t="s">
        <v>1445</v>
      </c>
      <c r="I53" s="467" t="s">
        <v>1497</v>
      </c>
      <c r="J53" s="467"/>
      <c r="K53" s="467"/>
      <c r="L53" s="467"/>
      <c r="M53" s="467"/>
      <c r="N53" s="467"/>
      <c r="O53" s="467"/>
      <c r="P53" s="467"/>
      <c r="Q53" s="467"/>
      <c r="R53" s="467"/>
      <c r="S53" s="467"/>
      <c r="T53" s="439" cm="1" t="str">
        <f t="array" ref="T53:T53">T52</f>
        <v>false</v>
      </c>
      <c r="U53" s="467"/>
      <c r="V53" s="467"/>
      <c r="W53" s="467"/>
      <c r="X53" s="1534"/>
      <c r="Y53" s="467"/>
      <c r="Z53" s="1464"/>
      <c r="AA53" s="467"/>
      <c r="AB53" s="1076" t="s">
        <v>1527</v>
      </c>
      <c r="AC53" s="846" t="s">
        <v>1494</v>
      </c>
      <c r="AD53" s="3409">
        <f>IF(AD55=0,0,(AD54*AD55+AD56*AD57*IF(god=2026,3,6))/AD55)</f>
        <v>0</v>
      </c>
      <c r="AE53" s="3409">
        <f>IF(AE55=0,0,(AE54*AE55+AE56*AE57*IF(god=2026,3,6))/AE55)</f>
        <v>0</v>
      </c>
      <c r="AF53" s="1078">
        <f>IF(AD53=0,0,(AE53-AD53)/AD53*100)</f>
        <v>0</v>
      </c>
      <c r="AG53" s="3409">
        <f>IF(AG55=0,0,(AG54*AG55+AG56*AG57*IF(god=2025,3,6))/AG55)</f>
        <v>0</v>
      </c>
      <c r="AH53" s="3409">
        <f>IF(AH55=0,0,(AH54*AH55+AH56*AH57*IF(god=2025,3,6))/AH55)</f>
        <v>0</v>
      </c>
      <c r="AI53" s="1078">
        <f>IF(AG53=0,0,(AH53-AG53)/AG53*100)</f>
        <v>0</v>
      </c>
      <c r="AJ53" s="3409">
        <f>IF(AJ55=0,0,(AJ54*AJ55+AJ56*AJ57*6)/AJ55)</f>
        <v>0</v>
      </c>
      <c r="AK53" s="3409">
        <f>IF(AK55=0,0,(AK54*AK55+AK56*AK57*6)/AK55)</f>
        <v>0</v>
      </c>
      <c r="AL53" s="1078">
        <f>IF(AJ53=0,0,(AK53-AJ53)/AJ53*100)</f>
        <v>0</v>
      </c>
      <c r="AM53" s="3409">
        <f>IF(AM55=0,0,(AM54*AM55+AM56*AM57*6)/AM55)</f>
        <v>0</v>
      </c>
      <c r="AN53" s="3409">
        <f>IF(AN55=0,0,(AN54*AN55+AN56*AN57*6)/AN55)</f>
        <v>0</v>
      </c>
      <c r="AO53" s="1078">
        <f>IF(AM53=0,0,(AN53-AM53)/AM53*100)</f>
        <v>0</v>
      </c>
      <c r="AP53" s="3409">
        <f>IF(AP55=0,0,(AP54*AP55+AP56*AP57*6)/AP55)</f>
        <v>0</v>
      </c>
      <c r="AQ53" s="3409">
        <f>IF(AQ55=0,0,(AQ54*AQ55+AQ56*AQ57*6)/AQ55)</f>
        <v>0</v>
      </c>
      <c r="AR53" s="1078">
        <f>IF(AP53=0,0,(AQ53-AP53)/AP53*100)</f>
        <v>0</v>
      </c>
      <c r="AS53" s="3409">
        <f>IF(AS55=0,0,(AS54*AS55+AS56*AS57*6)/AS55)</f>
        <v>0</v>
      </c>
      <c r="AT53" s="3409">
        <f>IF(AT55=0,0,(AT54*AT55+AT56*AT57*6)/AT55)</f>
        <v>0</v>
      </c>
      <c r="AU53" s="1078">
        <f>IF(AS53=0,0,(AT53-AS53)/AS53*100)</f>
        <v>0</v>
      </c>
      <c r="AV53" s="3409">
        <f>IF(AV55=0,0,(AV54*AV55+AV56*AV57*6)/AV55)</f>
        <v>0</v>
      </c>
      <c r="AW53" s="3409">
        <f>IF(AW55=0,0,(AW54*AW55+AW56*AW57*6)/AW55)</f>
        <v>0</v>
      </c>
      <c r="AX53" s="1078">
        <f>IF(AV53=0,0,(AW53-AV53)/AV53*100)</f>
        <v>0</v>
      </c>
      <c r="AY53" s="3409">
        <f>IF(AY55=0,0,(AY54*AY55+AY56*AY57*6)/AY55)</f>
        <v>0</v>
      </c>
      <c r="AZ53" s="3409">
        <f>IF(AZ55=0,0,(AZ54*AZ55+AZ56*AZ57*6)/AZ55)</f>
        <v>0</v>
      </c>
      <c r="BA53" s="1078">
        <f>IF(AY53=0,0,(AZ53-AY53)/AY53*100)</f>
        <v>0</v>
      </c>
      <c r="BB53" s="3409">
        <f>IF(BB55=0,0,(BB54*BB55+BB56*BB57*6)/BB55)</f>
        <v>0</v>
      </c>
      <c r="BC53" s="3409">
        <f>IF(BC55=0,0,(BC54*BC55+BC56*BC57*6)/BC55)</f>
        <v>0</v>
      </c>
      <c r="BD53" s="1078">
        <f>IF(BB53=0,0,(BC53-BB53)/BB53*100)</f>
        <v>0</v>
      </c>
      <c r="BE53" s="3409">
        <f>IF(BE55=0,0,(BE54*BE55+BE56*BE57*6)/BE55)</f>
        <v>0</v>
      </c>
      <c r="BF53" s="3409">
        <f>IF(BF55=0,0,(BF54*BF55+BF56*BF57*6)/BF55)</f>
        <v>0</v>
      </c>
      <c r="BG53" s="1078">
        <f>IF(BE53=0,0,(BF53-BE53)/BE53*100)</f>
        <v>0</v>
      </c>
      <c r="BH53" s="3409">
        <f>IF(BH55=0,0,(BH54*BH55+BH56*BH57*6)/BH55)</f>
        <v>0</v>
      </c>
      <c r="BI53" s="3409">
        <f>IF(BI55=0,0,(BI54*BI55+BI56*BI57*6)/BI55)</f>
        <v>0</v>
      </c>
      <c r="BJ53" s="1078">
        <f>IF(BH53=0,0,(BI53-BH53)/BH53*100)</f>
        <v>0</v>
      </c>
      <c r="BK53" s="3409">
        <f>IF(BK55=0,0,(BK54*BK55+BK56*BK57*6)/BK55)</f>
        <v>0</v>
      </c>
      <c r="BL53" s="3409">
        <f>IF(BL55=0,0,(BL54*BL55+BL56*BL57*6)/BL55)</f>
        <v>0</v>
      </c>
      <c r="BM53" s="1078">
        <f>IF(BK53=0,0,(BL53-BK53)/BK53*100)</f>
        <v>0</v>
      </c>
      <c r="BN53" s="3409">
        <f>IF(BN55=0,0,(BN54*BN55+BN56*BN57*6)/BN55)</f>
        <v>0</v>
      </c>
      <c r="BO53" s="3409">
        <f>IF(BO55=0,0,(BO54*BO55+BO56*BO57*6)/BO55)</f>
        <v>0</v>
      </c>
      <c r="BP53" s="1078">
        <f>IF(BN53=0,0,(BO53-BN53)/BN53*100)</f>
        <v>0</v>
      </c>
      <c r="BQ53" s="3409">
        <f>IF(BQ55=0,0,(BQ54*BQ55+BQ56*BQ57*6)/BQ55)</f>
        <v>0</v>
      </c>
      <c r="BR53" s="3409">
        <f>IF(BR55=0,0,(BR54*BR55+BR56*BR57*6)/BR55)</f>
        <v>0</v>
      </c>
      <c r="BS53" s="1078">
        <f>IF(BQ53=0,0,(BR53-BQ53)/BQ53*100)</f>
        <v>0</v>
      </c>
      <c r="BT53" s="3409">
        <f>IF(BT55=0,0,(BT54*BT55+BT56*BT57*6)/BT55)</f>
        <v>0</v>
      </c>
      <c r="BU53" s="3409">
        <f>IF(BU55=0,0,(BU54*BU55+BU56*BU57*6)/BU55)</f>
        <v>0</v>
      </c>
      <c r="BV53" s="1078">
        <f>IF(BT53=0,0,(BU53-BT53)/BT53*100)</f>
        <v>0</v>
      </c>
      <c r="BW53" s="3409">
        <f>IF(BW55=0,0,(BW54*BW55+BW56*BW57*6)/BW55)</f>
        <v>0</v>
      </c>
      <c r="BX53" s="3409">
        <f>IF(BX55=0,0,(BX54*BX55+BX56*BX57*6)/BX55)</f>
        <v>0</v>
      </c>
      <c r="BY53" s="1078">
        <f>IF(BW53=0,0,(BX53-BW53)/BW53*100)</f>
        <v>0</v>
      </c>
      <c r="BZ53" s="3409">
        <f>IF(BZ55=0,0,(BZ54*BZ55+BZ56*BZ57*6)/BZ55)</f>
        <v>0</v>
      </c>
      <c r="CA53" s="3409">
        <f>IF(CA55=0,0,(CA54*CA55+CA56*CA57*6)/CA55)</f>
        <v>0</v>
      </c>
      <c r="CB53" s="1078">
        <f>IF(BZ53=0,0,(CA53-BZ53)/BZ53*100)</f>
        <v>0</v>
      </c>
      <c r="CC53" s="3409">
        <f>IF(CC55=0,0,(CC54*CC55+CC56*CC57*6)/CC55)</f>
        <v>0</v>
      </c>
      <c r="CD53" s="3409">
        <f>IF(CD55=0,0,(CD54*CD55+CD56*CD57*6)/CD55)</f>
        <v>0</v>
      </c>
      <c r="CE53" s="1078">
        <f>IF(CC53=0,0,(CD53-CC53)/CC53*100)</f>
        <v>0</v>
      </c>
      <c r="CF53" s="3409">
        <f>IF(CF55=0,0,(CF54*CF55+CF56*CF57*6)/CF55)</f>
        <v>0</v>
      </c>
      <c r="CG53" s="3409">
        <f>IF(CG55=0,0,(CG54*CG55+CG56*CG57*6)/CG55)</f>
        <v>0</v>
      </c>
      <c r="CH53" s="1078">
        <f>IF(CF53=0,0,(CG53-CF53)/CF53*100)</f>
        <v>0</v>
      </c>
      <c r="CI53" s="3409">
        <f>IF(CI55=0,0,(CI54*CI55+CI56*CI57*6)/CI55)</f>
        <v>0</v>
      </c>
      <c r="CJ53" s="3409">
        <f>IF(CJ55=0,0,(CJ54*CJ55+CJ56*CJ57*6)/CJ55)</f>
        <v>0</v>
      </c>
      <c r="CK53" s="1078">
        <f>IF(CI53=0,0,(CJ53-CI53)/CI53*100)</f>
        <v>0</v>
      </c>
      <c r="CL53" s="3409">
        <f>IF(CL55=0,0,(CL54*CL55+CL56*CL57*6)/CL55)</f>
        <v>0</v>
      </c>
      <c r="CM53" s="3409">
        <f>IF(CM55=0,0,(CM54*CM55+CM56*CM57*6)/CM55)</f>
        <v>0</v>
      </c>
      <c r="CN53" s="1078">
        <f>IF(CL53=0,0,(CM53-CL53)/CL53*100)</f>
        <v>0</v>
      </c>
      <c r="CO53" s="3409">
        <f>IF(CO55=0,0,(CO54*CO55+CO56*CO57*6)/CO55)</f>
        <v>0</v>
      </c>
      <c r="CP53" s="3409">
        <f>IF(CP55=0,0,(CP54*CP55+CP56*CP57*6)/CP55)</f>
        <v>0</v>
      </c>
      <c r="CQ53" s="1078">
        <f>IF(CO53=0,0,(CP53-CO53)/CO53*100)</f>
        <v>0</v>
      </c>
      <c r="CR53" s="3409">
        <f>IF(CR55=0,0,(CR54*CR55+CR56*CR57*6)/CR55)</f>
        <v>0</v>
      </c>
      <c r="CS53" s="3409">
        <f>IF(CS55=0,0,(CS54*CS55+CS56*CS57*6)/CS55)</f>
        <v>0</v>
      </c>
      <c r="CT53" s="1078">
        <f>IF(CR53=0,0,(CS53-CR53)/CR53*100)</f>
        <v>0</v>
      </c>
      <c r="CU53" s="3409">
        <f>IF(CU55=0,0,(CU54*CU55+CU56*CU57*6)/CU55)</f>
        <v>0</v>
      </c>
      <c r="CV53" s="3409">
        <f>IF(CV55=0,0,(CV54*CV55+CV56*CV57*6)/CV55)</f>
        <v>0</v>
      </c>
      <c r="CW53" s="1078">
        <f>IF(CU53=0,0,(CV53-CU53)/CU53*100)</f>
        <v>0</v>
      </c>
      <c r="CX53" s="3409">
        <f>IF(CX55=0,0,(CX54*CX55+CX56*CX57*6)/CX55)</f>
        <v>0</v>
      </c>
      <c r="CY53" s="3409">
        <f>IF(CY55=0,0,(CY54*CY55+CY56*CY57*6)/CY55)</f>
        <v>0</v>
      </c>
      <c r="CZ53" s="1078">
        <f>IF(CX53=0,0,(CY53-CX53)/CX53*100)</f>
        <v>0</v>
      </c>
      <c r="DA53" s="3409">
        <f>IF(DA55=0,0,(DA54*DA55+DA56*DA57*6)/DA55)</f>
        <v>0</v>
      </c>
      <c r="DB53" s="3409">
        <f>IF(DB55=0,0,(DB54*DB55+DB56*DB57*6)/DB55)</f>
        <v>0</v>
      </c>
      <c r="DC53" s="1078">
        <f>IF(DA53=0,0,(DB53-DA53)/DA53*100)</f>
        <v>0</v>
      </c>
      <c r="DD53" s="3409">
        <f>IF(DD55=0,0,(DD54*DD55+DD56*DD57*6)/DD55)</f>
        <v>0</v>
      </c>
      <c r="DE53" s="3409">
        <f>IF(DE55=0,0,(DE54*DE55+DE56*DE57*6)/DE55)</f>
        <v>0</v>
      </c>
      <c r="DF53" s="1078">
        <f>IF(DD53=0,0,(DE53-DD53)/DD53*100)</f>
        <v>0</v>
      </c>
      <c r="DG53" s="3409">
        <f>IF(DG55=0,0,(DG54*DG55+DG56*DG57*6)/DG55)</f>
        <v>0</v>
      </c>
      <c r="DH53" s="3409">
        <f>IF(DH55=0,0,(DH54*DH55+DH56*DH57*6)/DH55)</f>
        <v>0</v>
      </c>
      <c r="DI53" s="1078">
        <f>IF(DG53=0,0,(DH53-DG53)/DG53*100)</f>
        <v>0</v>
      </c>
      <c r="DJ53" s="3409">
        <f>IF(DJ55=0,0,(DJ54*DJ55+DJ56*DJ57*6)/DJ55)</f>
        <v>0</v>
      </c>
      <c r="DK53" s="3409">
        <f>IF(DK55=0,0,(DK54*DK55+DK56*DK57*6)/DK55)</f>
        <v>0</v>
      </c>
      <c r="DL53" s="1078">
        <f>IF(DJ53=0,0,(DK53-DJ53)/DJ53*100)</f>
        <v>0</v>
      </c>
      <c r="DM53" s="3409">
        <f>IF(DM55=0,0,(DM54*DM55+DM56*DM57*6)/DM55)</f>
        <v>0</v>
      </c>
      <c r="DN53" s="3409">
        <f>IF(DN55=0,0,(DN54*DN55+DN56*DN57*6)/DN55)</f>
        <v>0</v>
      </c>
      <c r="DO53" s="1078">
        <f>IF(DM53=0,0,(DN53-DM53)/DM53*100)</f>
        <v>0</v>
      </c>
      <c r="DP53" s="3409">
        <f>IF(DP55=0,0,(DP54*DP55+DP56*DP57*6)/DP55)</f>
        <v>0</v>
      </c>
      <c r="DQ53" s="3409">
        <f>IF(DQ55=0,0,(DQ54*DQ55+DQ56*DQ57*6)/DQ55)</f>
        <v>0</v>
      </c>
      <c r="DR53" s="1078">
        <f>IF(DP53=0,0,(DQ53-DP53)/DP53*100)</f>
        <v>0</v>
      </c>
      <c r="DS53" s="3409">
        <f>IF(DS55=0,0,(DS54*DS55+DS56*DS57*6)/DS55)</f>
        <v>0</v>
      </c>
      <c r="DT53" s="3409">
        <f>IF(DT55=0,0,(DT54*DT55+DT56*DT57*6)/DT55)</f>
        <v>0</v>
      </c>
      <c r="DU53" s="1078">
        <f>IF(DS53=0,0,(DT53-DS53)/DS53*100)</f>
        <v>0</v>
      </c>
      <c r="DV53" s="3409">
        <f>IF(DV55=0,0,(DV54*DV55+DV56*DV57*6)/DV55)</f>
        <v>0</v>
      </c>
      <c r="DW53" s="3409">
        <f>IF(DW55=0,0,(DW54*DW55+DW56*DW57*6)/DW55)</f>
        <v>0</v>
      </c>
      <c r="DX53" s="1078">
        <f>IF(DV53=0,0,(DW53-DV53)/DV53*100)</f>
        <v>0</v>
      </c>
      <c r="DY53" s="3409">
        <f>IF(DY55=0,0,(DY54*DY55+DY56*DY57*6)/DY55)</f>
        <v>0</v>
      </c>
      <c r="DZ53" s="3409">
        <f>IF(DZ55=0,0,(DZ54*DZ55+DZ56*DZ57*6)/DZ55)</f>
        <v>0</v>
      </c>
      <c r="EA53" s="1078">
        <f>IF(DY53=0,0,(DZ53-DY53)/DY53*100)</f>
        <v>0</v>
      </c>
      <c r="EB53" s="3409">
        <f>IF(EB55=0,0,(EB54*EB55+EB56*EB57*6)/EB55)</f>
        <v>0</v>
      </c>
      <c r="EC53" s="3409">
        <f>IF(EC55=0,0,(EC54*EC55+EC56*EC57*6)/EC55)</f>
        <v>0</v>
      </c>
      <c r="ED53" s="1078">
        <f>IF(EB53=0,0,(EC53-EB53)/EB53*100)</f>
        <v>0</v>
      </c>
      <c r="EE53" s="3409">
        <f>IF(EE55=0,0,(EE54*EE55+EE56*EE57*6)/EE55)</f>
        <v>0</v>
      </c>
      <c r="EF53" s="3409">
        <f>IF(EF55=0,0,(EF54*EF55+EF56*EF57*6)/EF55)</f>
        <v>0</v>
      </c>
      <c r="EG53" s="1078">
        <f>IF(EE53=0,0,(EF53-EE53)/EE53*100)</f>
        <v>0</v>
      </c>
      <c r="EH53" s="3409">
        <f>IF(EH55=0,0,(EH54*EH55+EH56*EH57*6)/EH55)</f>
        <v>0</v>
      </c>
      <c r="EI53" s="3409">
        <f>IF(EI55=0,0,(EI54*EI55+EI56*EI57*6)/EI55)</f>
        <v>0</v>
      </c>
      <c r="EJ53" s="1078">
        <f>IF(EH53=0,0,(EI53-EH53)/EH53*100)</f>
        <v>0</v>
      </c>
      <c r="EK53" s="3409">
        <f>IF(EK55=0,0,(EK54*EK55+EK56*EK57*6)/EK55)</f>
        <v>0</v>
      </c>
      <c r="EL53" s="3409">
        <f>IF(EL55=0,0,(EL54*EL55+EL56*EL57*6)/EL55)</f>
        <v>0</v>
      </c>
      <c r="EM53" s="1078">
        <f>IF(EK53=0,0,(EL53-EK53)/EK53*100)</f>
        <v>0</v>
      </c>
      <c r="EN53" s="3409">
        <f>IF(EN55=0,0,(EN54*EN55+EN56*EN57*6)/EN55)</f>
        <v>0</v>
      </c>
      <c r="EO53" s="3409">
        <f>IF(EO55=0,0,(EO54*EO55+EO56*EO57*6)/EO55)</f>
        <v>0</v>
      </c>
      <c r="EP53" s="1078">
        <f>IF(EN53=0,0,(EO53-EN53)/EN53*100)</f>
        <v>0</v>
      </c>
      <c r="EQ53" s="3409">
        <f>IF(EQ55=0,0,(EQ54*EQ55+EQ56*EQ57*6)/EQ55)</f>
        <v>0</v>
      </c>
      <c r="ER53" s="3409">
        <f>IF(ER55=0,0,(ER54*ER55+ER56*ER57*6)/ER55)</f>
        <v>0</v>
      </c>
      <c r="ES53" s="1078">
        <f>IF(EQ53=0,0,(ER53-EQ53)/EQ53*100)</f>
        <v>0</v>
      </c>
      <c r="ET53" s="3409">
        <f>IF(ET55=0,0,(ET54*ET55+ET56*ET57*6)/ET55)</f>
        <v>0</v>
      </c>
      <c r="EU53" s="3409">
        <f>IF(EU55=0,0,(EU54*EU55+EU56*EU57*6)/EU55)</f>
        <v>0</v>
      </c>
      <c r="EV53" s="1078">
        <f>IF(ET53=0,0,(EU53-ET53)/ET53*100)</f>
        <v>0</v>
      </c>
      <c r="EW53" s="3409">
        <f>IF(EW55=0,0,(EW54*EW55+EW56*EW57*6)/EW55)</f>
        <v>0</v>
      </c>
      <c r="EX53" s="3409">
        <f>IF(EX55=0,0,(EX54*EX55+EX56*EX57*6)/EX55)</f>
        <v>0</v>
      </c>
      <c r="EY53" s="1078">
        <f>IF(EW53=0,0,(EX53-EW53)/EW53*100)</f>
        <v>0</v>
      </c>
      <c r="EZ53" s="3409">
        <f>IF(EZ55=0,0,(EZ54*EZ55+EZ56*EZ57*6)/EZ55)</f>
        <v>0</v>
      </c>
      <c r="FA53" s="3409">
        <f>IF(FA55=0,0,(FA54*FA55+FA56*FA57*6)/FA55)</f>
        <v>0</v>
      </c>
      <c r="FB53" s="1078">
        <f>IF(EZ53=0,0,(FA53-EZ53)/EZ53*100)</f>
        <v>0</v>
      </c>
      <c r="FC53" s="3409">
        <f>IF(FC55=0,0,(FC54*FC55+FC56*FC57*6)/FC55)</f>
        <v>0</v>
      </c>
      <c r="FD53" s="3409">
        <f>IF(FD55=0,0,(FD54*FD55+FD56*FD57*6)/FD55)</f>
        <v>0</v>
      </c>
      <c r="FE53" s="1078">
        <f>IF(FC53=0,0,(FD53-FC53)/FC53*100)</f>
        <v>0</v>
      </c>
      <c r="FF53" s="3409">
        <f>IF(FF55=0,0,(FF54*FF55+FF56*FF57*6)/FF55)</f>
        <v>0</v>
      </c>
      <c r="FG53" s="3409">
        <f>IF(FG55=0,0,(FG54*FG55+FG56*FG57*6)/FG55)</f>
        <v>0</v>
      </c>
      <c r="FH53" s="1078">
        <f>IF(FF53=0,0,(FG53-FF53)/FF53*100)</f>
        <v>0</v>
      </c>
      <c r="FI53" s="3409">
        <f>IF(FI55=0,0,(FI54*FI55+FI56*FI57*6)/FI55)</f>
        <v>0</v>
      </c>
      <c r="FJ53" s="3409">
        <f>IF(FJ55=0,0,(FJ54*FJ55+FJ56*FJ57*6)/FJ55)</f>
        <v>0</v>
      </c>
      <c r="FK53" s="1078">
        <f>IF(FI53=0,0,(FJ53-FI53)/FI53*100)</f>
        <v>0</v>
      </c>
      <c r="FL53" s="3409">
        <f>IF(FL55=0,0,(FL54*FL55+FL56*FL57*6)/FL55)</f>
        <v>0</v>
      </c>
      <c r="FM53" s="3409">
        <f>IF(FM55=0,0,(FM54*FM55+FM56*FM57*6)/FM55)</f>
        <v>0</v>
      </c>
      <c r="FN53" s="1078">
        <f>IF(FL53=0,0,(FM53-FL53)/FL53*100)</f>
        <v>0</v>
      </c>
      <c r="FO53" s="3409">
        <f>IF(FO55=0,0,(FO54*FO55+FO56*FO57*6)/FO55)</f>
        <v>0</v>
      </c>
      <c r="FP53" s="3409">
        <f>IF(FP55=0,0,(FP54*FP55+FP56*FP57*6)/FP55)</f>
        <v>0</v>
      </c>
      <c r="FQ53" s="1078">
        <f>IF(FO53=0,0,(FP53-FO53)/FO53*100)</f>
        <v>0</v>
      </c>
      <c r="FR53" s="3409">
        <f>IF(FR55=0,0,(FR54*FR55+FR56*FR57*6)/FR55)</f>
        <v>0</v>
      </c>
      <c r="FS53" s="3409">
        <f>IF(FS55=0,0,(FS54*FS55+FS56*FS57*6)/FS55)</f>
        <v>0</v>
      </c>
      <c r="FT53" s="1078">
        <f>IF(FR53=0,0,(FS53-FR53)/FR53*100)</f>
        <v>0</v>
      </c>
      <c r="FU53" s="3409">
        <f>IF(FU55=0,0,(FU54*FU55+FU56*FU57*6)/FU55)</f>
        <v>0</v>
      </c>
      <c r="FV53" s="3409">
        <f>IF(FV55=0,0,(FV54*FV55+FV56*FV57*6)/FV55)</f>
        <v>0</v>
      </c>
      <c r="FW53" s="1078">
        <f>IF(FU53=0,0,(FV53-FU53)/FU53*100)</f>
        <v>0</v>
      </c>
      <c r="FX53" s="676"/>
      <c r="FY53" s="676"/>
      <c r="FZ53" s="1039" t="s">
        <v>1541</v>
      </c>
      <c r="GA53" s="1061"/>
      <c r="GB53" s="1061"/>
      <c r="GC53" s="697"/>
      <c r="GD53" s="697"/>
    </row>
    <row customHeight="1" ht="14.625" hidden="1">
      <c r="A54" s="467"/>
      <c r="B54" s="907" cm="1" t="str">
        <f t="array" ref="B54:B54">B53</f>
        <v>false</v>
      </c>
      <c r="C54" s="467"/>
      <c r="D54" s="467"/>
      <c r="E54" s="822">
        <v>15</v>
      </c>
      <c r="F54" s="50" cm="1" t="str">
        <f t="array" ref="F54:F54">OFFSET(E54,-1,1)</f>
        <v>0</v>
      </c>
      <c r="G54" s="467"/>
      <c r="H54" s="467" t="s">
        <v>1449</v>
      </c>
      <c r="I54" s="467" t="s">
        <v>1497</v>
      </c>
      <c r="J54" s="467"/>
      <c r="K54" s="467"/>
      <c r="L54" s="467"/>
      <c r="M54" s="467"/>
      <c r="N54" s="467"/>
      <c r="O54" s="467"/>
      <c r="P54" s="467"/>
      <c r="Q54" s="467"/>
      <c r="R54" s="467"/>
      <c r="S54" s="467"/>
      <c r="T54" s="439" cm="1" t="str">
        <f t="array" ref="T54:T54">T53</f>
        <v>false</v>
      </c>
      <c r="U54" s="467"/>
      <c r="V54" s="467"/>
      <c r="W54" s="467"/>
      <c r="X54" s="1534"/>
      <c r="Y54" s="467"/>
      <c r="Z54" s="1464"/>
      <c r="AA54" s="467"/>
      <c r="AB54" s="1076" t="str">
        <f>"ставка платы за "&amp;IF(Q29="Водоснабжение","потребление 1 куб.м холодной воды","объем принятых сточных вод")</f>
        <v>ставка платы за объем принятых сточных вод</v>
      </c>
      <c r="AC54" s="846" t="s">
        <v>1494</v>
      </c>
      <c r="AD54" s="3409"/>
      <c r="AE54" s="3409"/>
      <c r="AF54" s="1078">
        <f>IF(AD54=0,0,(AE54-AD54)/AD54*100)</f>
        <v>0</v>
      </c>
      <c r="AG54" s="3409"/>
      <c r="AH54" s="3409"/>
      <c r="AI54" s="1078">
        <f>IF(AG54=0,0,(AH54-AG54)/AG54*100)</f>
        <v>0</v>
      </c>
      <c r="AJ54" s="3409"/>
      <c r="AK54" s="3409"/>
      <c r="AL54" s="1078">
        <f>IF(AJ54=0,0,(AK54-AJ54)/AJ54*100)</f>
        <v>0</v>
      </c>
      <c r="AM54" s="3409"/>
      <c r="AN54" s="3409"/>
      <c r="AO54" s="1078">
        <f>IF(AM54=0,0,(AN54-AM54)/AM54*100)</f>
        <v>0</v>
      </c>
      <c r="AP54" s="3409"/>
      <c r="AQ54" s="3409"/>
      <c r="AR54" s="1078">
        <f>IF(AP54=0,0,(AQ54-AP54)/AP54*100)</f>
        <v>0</v>
      </c>
      <c r="AS54" s="3409"/>
      <c r="AT54" s="3409"/>
      <c r="AU54" s="1078">
        <f>IF(AS54=0,0,(AT54-AS54)/AS54*100)</f>
        <v>0</v>
      </c>
      <c r="AV54" s="3409"/>
      <c r="AW54" s="3409"/>
      <c r="AX54" s="1078">
        <f>IF(AV54=0,0,(AW54-AV54)/AV54*100)</f>
        <v>0</v>
      </c>
      <c r="AY54" s="3409"/>
      <c r="AZ54" s="3409"/>
      <c r="BA54" s="1078">
        <f>IF(AY54=0,0,(AZ54-AY54)/AY54*100)</f>
        <v>0</v>
      </c>
      <c r="BB54" s="3409"/>
      <c r="BC54" s="3409"/>
      <c r="BD54" s="1078">
        <f>IF(BB54=0,0,(BC54-BB54)/BB54*100)</f>
        <v>0</v>
      </c>
      <c r="BE54" s="3409"/>
      <c r="BF54" s="3409"/>
      <c r="BG54" s="1078">
        <f>IF(BE54=0,0,(BF54-BE54)/BE54*100)</f>
        <v>0</v>
      </c>
      <c r="BH54" s="3409"/>
      <c r="BI54" s="3409"/>
      <c r="BJ54" s="1078">
        <f>IF(BH54=0,0,(BI54-BH54)/BH54*100)</f>
        <v>0</v>
      </c>
      <c r="BK54" s="3409"/>
      <c r="BL54" s="3409"/>
      <c r="BM54" s="1078">
        <f>IF(BK54=0,0,(BL54-BK54)/BK54*100)</f>
        <v>0</v>
      </c>
      <c r="BN54" s="3409"/>
      <c r="BO54" s="3409"/>
      <c r="BP54" s="1078">
        <f>IF(BN54=0,0,(BO54-BN54)/BN54*100)</f>
        <v>0</v>
      </c>
      <c r="BQ54" s="3409"/>
      <c r="BR54" s="3409"/>
      <c r="BS54" s="1078">
        <f>IF(BQ54=0,0,(BR54-BQ54)/BQ54*100)</f>
        <v>0</v>
      </c>
      <c r="BT54" s="3409"/>
      <c r="BU54" s="3409"/>
      <c r="BV54" s="1078">
        <f>IF(BT54=0,0,(BU54-BT54)/BT54*100)</f>
        <v>0</v>
      </c>
      <c r="BW54" s="3409"/>
      <c r="BX54" s="3409"/>
      <c r="BY54" s="1078">
        <f>IF(BW54=0,0,(BX54-BW54)/BW54*100)</f>
        <v>0</v>
      </c>
      <c r="BZ54" s="3409"/>
      <c r="CA54" s="3409"/>
      <c r="CB54" s="1078">
        <f>IF(BZ54=0,0,(CA54-BZ54)/BZ54*100)</f>
        <v>0</v>
      </c>
      <c r="CC54" s="3409"/>
      <c r="CD54" s="3409"/>
      <c r="CE54" s="1078">
        <f>IF(CC54=0,0,(CD54-CC54)/CC54*100)</f>
        <v>0</v>
      </c>
      <c r="CF54" s="3409"/>
      <c r="CG54" s="3409"/>
      <c r="CH54" s="1078">
        <f>IF(CF54=0,0,(CG54-CF54)/CF54*100)</f>
        <v>0</v>
      </c>
      <c r="CI54" s="3409"/>
      <c r="CJ54" s="3409"/>
      <c r="CK54" s="1078">
        <f>IF(CI54=0,0,(CJ54-CI54)/CI54*100)</f>
        <v>0</v>
      </c>
      <c r="CL54" s="3409"/>
      <c r="CM54" s="3409"/>
      <c r="CN54" s="1078">
        <f>IF(CL54=0,0,(CM54-CL54)/CL54*100)</f>
        <v>0</v>
      </c>
      <c r="CO54" s="3409"/>
      <c r="CP54" s="3409"/>
      <c r="CQ54" s="1078">
        <f>IF(CO54=0,0,(CP54-CO54)/CO54*100)</f>
        <v>0</v>
      </c>
      <c r="CR54" s="3409"/>
      <c r="CS54" s="3409"/>
      <c r="CT54" s="1078">
        <f>IF(CR54=0,0,(CS54-CR54)/CR54*100)</f>
        <v>0</v>
      </c>
      <c r="CU54" s="3409"/>
      <c r="CV54" s="3409"/>
      <c r="CW54" s="1078">
        <f>IF(CU54=0,0,(CV54-CU54)/CU54*100)</f>
        <v>0</v>
      </c>
      <c r="CX54" s="3409"/>
      <c r="CY54" s="3409"/>
      <c r="CZ54" s="1078">
        <f>IF(CX54=0,0,(CY54-CX54)/CX54*100)</f>
        <v>0</v>
      </c>
      <c r="DA54" s="3409"/>
      <c r="DB54" s="3409"/>
      <c r="DC54" s="1078">
        <f>IF(DA54=0,0,(DB54-DA54)/DA54*100)</f>
        <v>0</v>
      </c>
      <c r="DD54" s="3409"/>
      <c r="DE54" s="3409"/>
      <c r="DF54" s="1078">
        <f>IF(DD54=0,0,(DE54-DD54)/DD54*100)</f>
        <v>0</v>
      </c>
      <c r="DG54" s="3409"/>
      <c r="DH54" s="3409"/>
      <c r="DI54" s="1078">
        <f>IF(DG54=0,0,(DH54-DG54)/DG54*100)</f>
        <v>0</v>
      </c>
      <c r="DJ54" s="3409"/>
      <c r="DK54" s="3409"/>
      <c r="DL54" s="1078">
        <f>IF(DJ54=0,0,(DK54-DJ54)/DJ54*100)</f>
        <v>0</v>
      </c>
      <c r="DM54" s="3409"/>
      <c r="DN54" s="3409"/>
      <c r="DO54" s="1078">
        <f>IF(DM54=0,0,(DN54-DM54)/DM54*100)</f>
        <v>0</v>
      </c>
      <c r="DP54" s="3409"/>
      <c r="DQ54" s="3409"/>
      <c r="DR54" s="1078">
        <f>IF(DP54=0,0,(DQ54-DP54)/DP54*100)</f>
        <v>0</v>
      </c>
      <c r="DS54" s="3409"/>
      <c r="DT54" s="3409"/>
      <c r="DU54" s="1078">
        <f>IF(DS54=0,0,(DT54-DS54)/DS54*100)</f>
        <v>0</v>
      </c>
      <c r="DV54" s="3409"/>
      <c r="DW54" s="3409"/>
      <c r="DX54" s="1078">
        <f>IF(DV54=0,0,(DW54-DV54)/DV54*100)</f>
        <v>0</v>
      </c>
      <c r="DY54" s="3409"/>
      <c r="DZ54" s="3409"/>
      <c r="EA54" s="1078">
        <f>IF(DY54=0,0,(DZ54-DY54)/DY54*100)</f>
        <v>0</v>
      </c>
      <c r="EB54" s="3409"/>
      <c r="EC54" s="3409"/>
      <c r="ED54" s="1078">
        <f>IF(EB54=0,0,(EC54-EB54)/EB54*100)</f>
        <v>0</v>
      </c>
      <c r="EE54" s="3409"/>
      <c r="EF54" s="3409"/>
      <c r="EG54" s="1078">
        <f>IF(EE54=0,0,(EF54-EE54)/EE54*100)</f>
        <v>0</v>
      </c>
      <c r="EH54" s="3409"/>
      <c r="EI54" s="3409"/>
      <c r="EJ54" s="1078">
        <f>IF(EH54=0,0,(EI54-EH54)/EH54*100)</f>
        <v>0</v>
      </c>
      <c r="EK54" s="3409"/>
      <c r="EL54" s="3409"/>
      <c r="EM54" s="1078">
        <f>IF(EK54=0,0,(EL54-EK54)/EK54*100)</f>
        <v>0</v>
      </c>
      <c r="EN54" s="3409"/>
      <c r="EO54" s="3409"/>
      <c r="EP54" s="1078">
        <f>IF(EN54=0,0,(EO54-EN54)/EN54*100)</f>
        <v>0</v>
      </c>
      <c r="EQ54" s="3409"/>
      <c r="ER54" s="3409"/>
      <c r="ES54" s="1078">
        <f>IF(EQ54=0,0,(ER54-EQ54)/EQ54*100)</f>
        <v>0</v>
      </c>
      <c r="ET54" s="3409"/>
      <c r="EU54" s="3409"/>
      <c r="EV54" s="1078">
        <f>IF(ET54=0,0,(EU54-ET54)/ET54*100)</f>
        <v>0</v>
      </c>
      <c r="EW54" s="3409"/>
      <c r="EX54" s="3409"/>
      <c r="EY54" s="1078">
        <f>IF(EW54=0,0,(EX54-EW54)/EW54*100)</f>
        <v>0</v>
      </c>
      <c r="EZ54" s="3409"/>
      <c r="FA54" s="3409"/>
      <c r="FB54" s="1078">
        <f>IF(EZ54=0,0,(FA54-EZ54)/EZ54*100)</f>
        <v>0</v>
      </c>
      <c r="FC54" s="3409"/>
      <c r="FD54" s="3409"/>
      <c r="FE54" s="1078">
        <f>IF(FC54=0,0,(FD54-FC54)/FC54*100)</f>
        <v>0</v>
      </c>
      <c r="FF54" s="3409"/>
      <c r="FG54" s="3409"/>
      <c r="FH54" s="1078">
        <f>IF(FF54=0,0,(FG54-FF54)/FF54*100)</f>
        <v>0</v>
      </c>
      <c r="FI54" s="3409"/>
      <c r="FJ54" s="3409"/>
      <c r="FK54" s="1078">
        <f>IF(FI54=0,0,(FJ54-FI54)/FI54*100)</f>
        <v>0</v>
      </c>
      <c r="FL54" s="3409"/>
      <c r="FM54" s="3409"/>
      <c r="FN54" s="1078">
        <f>IF(FL54=0,0,(FM54-FL54)/FL54*100)</f>
        <v>0</v>
      </c>
      <c r="FO54" s="3409"/>
      <c r="FP54" s="3409"/>
      <c r="FQ54" s="1078">
        <f>IF(FO54=0,0,(FP54-FO54)/FO54*100)</f>
        <v>0</v>
      </c>
      <c r="FR54" s="3409"/>
      <c r="FS54" s="3409"/>
      <c r="FT54" s="1078">
        <f>IF(FR54=0,0,(FS54-FR54)/FR54*100)</f>
        <v>0</v>
      </c>
      <c r="FU54" s="3409"/>
      <c r="FV54" s="3409"/>
      <c r="FW54" s="1078">
        <f>IF(FU54=0,0,(FV54-FU54)/FU54*100)</f>
        <v>0</v>
      </c>
      <c r="FX54" s="676"/>
      <c r="FY54" s="676"/>
      <c r="FZ54" s="1039" t="s">
        <v>1542</v>
      </c>
      <c r="GA54" s="1061"/>
      <c r="GB54" s="1061"/>
      <c r="GC54" s="697"/>
      <c r="GD54" s="697"/>
    </row>
    <row customHeight="1" ht="14.625" hidden="1">
      <c r="A55" s="467"/>
      <c r="B55" s="907" cm="1" t="str">
        <f t="array" ref="B55:B55">B54</f>
        <v>false</v>
      </c>
      <c r="C55" s="467"/>
      <c r="D55" s="467"/>
      <c r="E55" s="822">
        <v>15</v>
      </c>
      <c r="F55" s="50" cm="1" t="str">
        <f t="array" ref="F55:F55">OFFSET(E55,-1,1)</f>
        <v>0</v>
      </c>
      <c r="G55" s="73" t="s">
        <v>1543</v>
      </c>
      <c r="H55" s="467" t="s">
        <v>1531</v>
      </c>
      <c r="I55" s="467" t="s">
        <v>1497</v>
      </c>
      <c r="J55" s="467"/>
      <c r="K55" s="467"/>
      <c r="L55" s="467"/>
      <c r="M55" s="467"/>
      <c r="N55" s="467"/>
      <c r="O55" s="467"/>
      <c r="P55" s="467"/>
      <c r="Q55" s="467"/>
      <c r="R55" s="467"/>
      <c r="S55" s="467"/>
      <c r="T55" s="439" cm="1" t="str">
        <f t="array" ref="T55:T55">T54</f>
        <v>false</v>
      </c>
      <c r="U55" s="467"/>
      <c r="V55" s="467"/>
      <c r="W55" s="467"/>
      <c r="X55" s="1534"/>
      <c r="Y55" s="467"/>
      <c r="Z55" s="1464"/>
      <c r="AA55" s="467"/>
      <c r="AB55" s="1076" t="str">
        <f>"объём "&amp;IF(Q29="Водоснабжение","потребления холодной воды","водоотведения")</f>
        <v>объём водоотведения</v>
      </c>
      <c r="AC55" s="846" t="s">
        <v>512</v>
      </c>
      <c r="AD55" s="3404">
        <f>IF(AND(method_reg="Метод индексации",god&lt;&gt;first_year),_xlfn.SUMIFS(INDEX('Калькуляция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(МИ)'!$AJ$25:$BC$459,,MATCH(AD$8,'Калькуляция (МИ)'!$AJ$8:$BC$8,0)),'Калькуляция (МИ)'!$F$25:$F$459,$F55,'Калькуляция (МИ)'!$G$25:$G$459,$G55))))</f>
        <v>0</v>
      </c>
      <c r="AE55" s="3404">
        <f>IF(AND(method_reg="Метод индексации",god&lt;&gt;first_year),_xlfn.SUMIFS(INDEX('Калькуляция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(МИ)'!$AJ$25:$BC$459,,MATCH(AE$8,'Калькуляция (МИ)'!$AJ$8:$BC$8,0)),'Калькуляция (МИ)'!$F$25:$F$459,$F55,'Калькуляция (МИ)'!$G$25:$G$459,$G55))))</f>
        <v>0</v>
      </c>
      <c r="AF55" s="1080">
        <f>IF(AD55=0,0,(AE55-AD55)/AD55*100)</f>
        <v>0</v>
      </c>
      <c r="AG55" s="3404">
        <f>IF(AND(method_reg="Метод индексации",god&lt;&gt;first_year),_xlfn.SUMIFS(INDEX('Калькуляция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(МИ)'!$AJ$25:$BC$459,,MATCH(AG$8,'Калькуляция (МИ)'!$AJ$8:$BC$8,0)),'Калькуляция (МИ)'!$F$25:$F$459,$F55,'Калькуляция (МИ)'!$G$25:$G$459,$G55))))</f>
        <v>0</v>
      </c>
      <c r="AH55" s="3404">
        <f>IF(AND(method_reg="Метод индексации",god&lt;&gt;first_year),_xlfn.SUMIFS(INDEX('Калькуляция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(МИ)'!$AJ$25:$BC$459,,MATCH(AH$8,'Калькуляция (МИ)'!$AJ$8:$BC$8,0)),'Калькуляция (МИ)'!$F$25:$F$459,$F55,'Калькуляция (МИ)'!$G$25:$G$459,$G55))))</f>
        <v>0</v>
      </c>
      <c r="AI55" s="1080">
        <f>IF(AG55=0,0,(AH55-AG55)/AG55*100)</f>
        <v>0</v>
      </c>
      <c r="AJ55" s="3404">
        <f>IF(AND(method_reg="Метод индексации",god&lt;&gt;first_year),_xlfn.SUMIFS(INDEX('Калькуляция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(МИ)'!$AJ$25:$BC$459,,MATCH(AJ$8,'Калькуляция (МИ)'!$AJ$8:$BC$8,0)),'Калькуляция (МИ)'!$F$25:$F$459,$F55,'Калькуляция (МИ)'!$G$25:$G$459,$G55))))</f>
        <v>0</v>
      </c>
      <c r="AK55" s="3404">
        <f>IF(AND(method_reg="Метод индексации",god&lt;&gt;first_year),_xlfn.SUMIFS(INDEX('Калькуляция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(МИ)'!$AJ$25:$BC$459,,MATCH(AK$8,'Калькуляция (МИ)'!$AJ$8:$BC$8,0)),'Калькуляция (МИ)'!$F$25:$F$459,$F55,'Калькуляция (МИ)'!$G$25:$G$459,$G55))))</f>
        <v>0</v>
      </c>
      <c r="AL55" s="1080">
        <f>IF(AJ55=0,0,(AK55-AJ55)/AJ55*100)</f>
        <v>0</v>
      </c>
      <c r="AM55" s="3404">
        <f>IF(AND(method_reg="Метод индексации",god&lt;&gt;first_year),_xlfn.SUMIFS(INDEX('Калькуляция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(МИ)'!$AJ$25:$BC$459,,MATCH(AM$8,'Калькуляция (МИ)'!$AJ$8:$BC$8,0)),'Калькуляция (МИ)'!$F$25:$F$459,$F55,'Калькуляция (МИ)'!$G$25:$G$459,$G55))))</f>
        <v>0</v>
      </c>
      <c r="AN55" s="3404">
        <f>IF(AND(method_reg="Метод индексации",god&lt;&gt;first_year),_xlfn.SUMIFS(INDEX('Калькуляция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(МИ)'!$AJ$25:$BC$459,,MATCH(AN$8,'Калькуляция (МИ)'!$AJ$8:$BC$8,0)),'Калькуляция (МИ)'!$F$25:$F$459,$F55,'Калькуляция (МИ)'!$G$25:$G$459,$G55))))</f>
        <v>0</v>
      </c>
      <c r="AO55" s="1080">
        <f>IF(AM55=0,0,(AN55-AM55)/AM55*100)</f>
        <v>0</v>
      </c>
      <c r="AP55" s="3404">
        <f>IF(AND(method_reg="Метод индексации",god&lt;&gt;first_year),_xlfn.SUMIFS(INDEX('Калькуляция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(МИ)'!$AJ$25:$BC$459,,MATCH(AP$8,'Калькуляция (МИ)'!$AJ$8:$BC$8,0)),'Калькуляция (МИ)'!$F$25:$F$459,$F55,'Калькуляция (МИ)'!$G$25:$G$459,$G55))))</f>
        <v>0</v>
      </c>
      <c r="AQ55" s="3404">
        <f>IF(AND(method_reg="Метод индексации",god&lt;&gt;first_year),_xlfn.SUMIFS(INDEX('Калькуляция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(МИ)'!$AJ$25:$BC$459,,MATCH(AQ$8,'Калькуляция (МИ)'!$AJ$8:$BC$8,0)),'Калькуляция (МИ)'!$F$25:$F$459,$F55,'Калькуляция (МИ)'!$G$25:$G$459,$G55))))</f>
        <v>0</v>
      </c>
      <c r="AR55" s="1080">
        <f>IF(AP55=0,0,(AQ55-AP55)/AP55*100)</f>
        <v>0</v>
      </c>
      <c r="AS55" s="3404">
        <f>IF(AND(method_reg="Метод индексации",god&lt;&gt;first_year),_xlfn.SUMIFS(INDEX('Калькуляция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(МИ)'!$AJ$25:$BC$459,,MATCH(AS$8,'Калькуляция (МИ)'!$AJ$8:$BC$8,0)),'Калькуляция (МИ)'!$F$25:$F$459,$F55,'Калькуляция (МИ)'!$G$25:$G$459,$G55))))</f>
        <v>0</v>
      </c>
      <c r="AT55" s="3404">
        <f>IF(AND(method_reg="Метод индексации",god&lt;&gt;first_year),_xlfn.SUMIFS(INDEX('Калькуляция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(МИ)'!$AJ$25:$BC$459,,MATCH(AT$8,'Калькуляция (МИ)'!$AJ$8:$BC$8,0)),'Калькуляция (МИ)'!$F$25:$F$459,$F55,'Калькуляция (МИ)'!$G$25:$G$459,$G55))))</f>
        <v>0</v>
      </c>
      <c r="AU55" s="1080">
        <f>IF(AS55=0,0,(AT55-AS55)/AS55*100)</f>
        <v>0</v>
      </c>
      <c r="AV55" s="3404">
        <f>IF(AND(method_reg="Метод индексации",god&lt;&gt;first_year),_xlfn.SUMIFS(INDEX('Калькуляция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(МИ)'!$AJ$25:$BC$459,,MATCH(AV$8,'Калькуляция (МИ)'!$AJ$8:$BC$8,0)),'Калькуляция (МИ)'!$F$25:$F$459,$F55,'Калькуляция (МИ)'!$G$25:$G$459,$G55))))</f>
        <v>0</v>
      </c>
      <c r="AW55" s="3404">
        <f>IF(AND(method_reg="Метод индексации",god&lt;&gt;first_year),_xlfn.SUMIFS(INDEX('Калькуляция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(МИ)'!$AJ$25:$BC$459,,MATCH(AW$8,'Калькуляция (МИ)'!$AJ$8:$BC$8,0)),'Калькуляция (МИ)'!$F$25:$F$459,$F55,'Калькуляция (МИ)'!$G$25:$G$459,$G55))))</f>
        <v>0</v>
      </c>
      <c r="AX55" s="1080">
        <f>IF(AV55=0,0,(AW55-AV55)/AV55*100)</f>
        <v>0</v>
      </c>
      <c r="AY55" s="3404">
        <f>IF(AND(method_reg="Метод индексации",god&lt;&gt;first_year),_xlfn.SUMIFS(INDEX('Калькуляция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(МИ)'!$AJ$25:$BC$459,,MATCH(AY$8,'Калькуляция (МИ)'!$AJ$8:$BC$8,0)),'Калькуляция (МИ)'!$F$25:$F$459,$F55,'Калькуляция (МИ)'!$G$25:$G$459,$G55))))</f>
        <v>0</v>
      </c>
      <c r="AZ55" s="3404">
        <f>IF(AND(method_reg="Метод индексации",god&lt;&gt;first_year),_xlfn.SUMIFS(INDEX('Калькуляция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(МИ)'!$AJ$25:$BC$459,,MATCH(AZ$8,'Калькуляция (МИ)'!$AJ$8:$BC$8,0)),'Калькуляция (МИ)'!$F$25:$F$459,$F55,'Калькуляция (МИ)'!$G$25:$G$459,$G55))))</f>
        <v>0</v>
      </c>
      <c r="BA55" s="1080">
        <f>IF(AY55=0,0,(AZ55-AY55)/AY55*100)</f>
        <v>0</v>
      </c>
      <c r="BB55" s="3404">
        <f>IF(AND(method_reg="Метод индексации",god&lt;&gt;first_year),_xlfn.SUMIFS(INDEX('Калькуляция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(МИ)'!$AJ$25:$BC$459,,MATCH(BB$8,'Калькуляция (МИ)'!$AJ$8:$BC$8,0)),'Калькуляция (МИ)'!$F$25:$F$459,$F55,'Калькуляция (МИ)'!$G$25:$G$459,$G55))))</f>
        <v>0</v>
      </c>
      <c r="BC55" s="3404">
        <f>IF(AND(method_reg="Метод индексации",god&lt;&gt;first_year),_xlfn.SUMIFS(INDEX('Калькуляция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(МИ)'!$AJ$25:$BC$459,,MATCH(BC$8,'Калькуляция (МИ)'!$AJ$8:$BC$8,0)),'Калькуляция (МИ)'!$F$25:$F$459,$F55,'Калькуляция (МИ)'!$G$25:$G$459,$G55))))</f>
        <v>0</v>
      </c>
      <c r="BD55" s="1080">
        <f>IF(BB55=0,0,(BC55-BB55)/BB55*100)</f>
        <v>0</v>
      </c>
      <c r="BE55" s="3404">
        <f>IF(AND(method_reg="Метод индексации",god&lt;&gt;first_year),_xlfn.SUMIFS(INDEX('Калькуляция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расходов",_xlfn.SUMIFS('Калькуляция (МЭОР)'!$AJ$25:$AJ$282,'Калькуляция (МЭОР)'!$F$25:$F$282,$F55,'Калькуляция (МЭОР)'!$G$25:$G$282,$G55),IF(method_reg="Метод сравнения аналогов",_xlfn.SUMIFS('Калькуляция (МСА)'!$AE$25:$AE$84,'Калькуляция (МСА)'!$F$25:$F$84,$F55,'Калькуляция (МСА)'!$G$25:$G$84,$G55),_xlfn.SUMIFS(INDEX('Калькуляция (МИ)'!$AJ$25:$BC$459,,MATCH(BE$8,'Калькуляция (МИ)'!$AJ$8:$BC$8,0)),'Калькуляция (МИ)'!$F$25:$F$459,$F55,'Калькуляция (МИ)'!$G$25:$G$459,$G55))))</f>
        <v>0</v>
      </c>
      <c r="BF55" s="3404">
        <f>IF(AND(method_reg="Метод индексации",god&lt;&gt;first_year),_xlfn.SUMIFS(INDEX('Калькуляция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расходов",_xlfn.SUMIFS('Калькуляция (МЭОР)'!$AK$25:$AK$282,'Калькуляция (МЭОР)'!$F$25:$F$282,$F55,'Калькуляция (МЭОР)'!$G$25:$G$282,$G55),IF(method_reg="Метод сравнения аналогов",_xlfn.SUMIFS('Калькуляция (МСА)'!$AF$25:$AF$84,'Калькуляция (МСА)'!$F$25:$F$84,$F55,'Калькуляция (МСА)'!$G$25:$G$84,$G55),_xlfn.SUMIFS(INDEX('Калькуляция (МИ)'!$AJ$25:$BC$459,,MATCH(BF$8,'Калькуляция (МИ)'!$AJ$8:$BC$8,0)),'Калькуляция (МИ)'!$F$25:$F$459,$F55,'Калькуляция (МИ)'!$G$25:$G$459,$G55))))</f>
        <v>0</v>
      </c>
      <c r="BG55" s="1089">
        <f>IF(BE55=0,0,(BF55-BE55)/BE55*100)</f>
        <v>0</v>
      </c>
      <c r="BH55" s="3404"/>
      <c r="BI55" s="3404"/>
      <c r="BJ55" s="1089">
        <f>IF(BH55=0,0,(BI55-BH55)/BH55*100)</f>
        <v>0</v>
      </c>
      <c r="BK55" s="3404"/>
      <c r="BL55" s="3404"/>
      <c r="BM55" s="1089">
        <f>IF(BK55=0,0,(BL55-BK55)/BK55*100)</f>
        <v>0</v>
      </c>
      <c r="BN55" s="3404"/>
      <c r="BO55" s="3404"/>
      <c r="BP55" s="1089">
        <f>IF(BN55=0,0,(BO55-BN55)/BN55*100)</f>
        <v>0</v>
      </c>
      <c r="BQ55" s="3404"/>
      <c r="BR55" s="3404"/>
      <c r="BS55" s="1089">
        <f>IF(BQ55=0,0,(BR55-BQ55)/BQ55*100)</f>
        <v>0</v>
      </c>
      <c r="BT55" s="3404"/>
      <c r="BU55" s="3404"/>
      <c r="BV55" s="1089">
        <f>IF(BT55=0,0,(BU55-BT55)/BT55*100)</f>
        <v>0</v>
      </c>
      <c r="BW55" s="3404"/>
      <c r="BX55" s="3404"/>
      <c r="BY55" s="1089">
        <f>IF(BW55=0,0,(BX55-BW55)/BW55*100)</f>
        <v>0</v>
      </c>
      <c r="BZ55" s="3404"/>
      <c r="CA55" s="3404"/>
      <c r="CB55" s="1089">
        <f>IF(BZ55=0,0,(CA55-BZ55)/BZ55*100)</f>
        <v>0</v>
      </c>
      <c r="CC55" s="3404"/>
      <c r="CD55" s="3404"/>
      <c r="CE55" s="1089">
        <f>IF(CC55=0,0,(CD55-CC55)/CC55*100)</f>
        <v>0</v>
      </c>
      <c r="CF55" s="3404"/>
      <c r="CG55" s="3404"/>
      <c r="CH55" s="1089">
        <f>IF(CF55=0,0,(CG55-CF55)/CF55*100)</f>
        <v>0</v>
      </c>
      <c r="CI55" s="3404"/>
      <c r="CJ55" s="3404"/>
      <c r="CK55" s="1089">
        <f>IF(CI55=0,0,(CJ55-CI55)/CI55*100)</f>
        <v>0</v>
      </c>
      <c r="CL55" s="3404"/>
      <c r="CM55" s="3404"/>
      <c r="CN55" s="1089">
        <f>IF(CL55=0,0,(CM55-CL55)/CL55*100)</f>
        <v>0</v>
      </c>
      <c r="CO55" s="3404"/>
      <c r="CP55" s="3404"/>
      <c r="CQ55" s="1089">
        <f>IF(CO55=0,0,(CP55-CO55)/CO55*100)</f>
        <v>0</v>
      </c>
      <c r="CR55" s="3404"/>
      <c r="CS55" s="3404"/>
      <c r="CT55" s="1089">
        <f>IF(CR55=0,0,(CS55-CR55)/CR55*100)</f>
        <v>0</v>
      </c>
      <c r="CU55" s="3404"/>
      <c r="CV55" s="3404"/>
      <c r="CW55" s="1089">
        <f>IF(CU55=0,0,(CV55-CU55)/CU55*100)</f>
        <v>0</v>
      </c>
      <c r="CX55" s="3404"/>
      <c r="CY55" s="3404"/>
      <c r="CZ55" s="1089">
        <f>IF(CX55=0,0,(CY55-CX55)/CX55*100)</f>
        <v>0</v>
      </c>
      <c r="DA55" s="3404"/>
      <c r="DB55" s="3404"/>
      <c r="DC55" s="1089">
        <f>IF(DA55=0,0,(DB55-DA55)/DA55*100)</f>
        <v>0</v>
      </c>
      <c r="DD55" s="3404"/>
      <c r="DE55" s="3404"/>
      <c r="DF55" s="1089">
        <f>IF(DD55=0,0,(DE55-DD55)/DD55*100)</f>
        <v>0</v>
      </c>
      <c r="DG55" s="3404"/>
      <c r="DH55" s="3404"/>
      <c r="DI55" s="1089">
        <f>IF(DG55=0,0,(DH55-DG55)/DG55*100)</f>
        <v>0</v>
      </c>
      <c r="DJ55" s="3404"/>
      <c r="DK55" s="3404"/>
      <c r="DL55" s="1089">
        <f>IF(DJ55=0,0,(DK55-DJ55)/DJ55*100)</f>
        <v>0</v>
      </c>
      <c r="DM55" s="3404"/>
      <c r="DN55" s="3404"/>
      <c r="DO55" s="1089">
        <f>IF(DM55=0,0,(DN55-DM55)/DM55*100)</f>
        <v>0</v>
      </c>
      <c r="DP55" s="3404"/>
      <c r="DQ55" s="3404"/>
      <c r="DR55" s="1089">
        <f>IF(DP55=0,0,(DQ55-DP55)/DP55*100)</f>
        <v>0</v>
      </c>
      <c r="DS55" s="3404"/>
      <c r="DT55" s="3404"/>
      <c r="DU55" s="1089">
        <f>IF(DS55=0,0,(DT55-DS55)/DS55*100)</f>
        <v>0</v>
      </c>
      <c r="DV55" s="3404"/>
      <c r="DW55" s="3404"/>
      <c r="DX55" s="1089">
        <f>IF(DV55=0,0,(DW55-DV55)/DV55*100)</f>
        <v>0</v>
      </c>
      <c r="DY55" s="3404"/>
      <c r="DZ55" s="3404"/>
      <c r="EA55" s="1089">
        <f>IF(DY55=0,0,(DZ55-DY55)/DY55*100)</f>
        <v>0</v>
      </c>
      <c r="EB55" s="3404"/>
      <c r="EC55" s="3404"/>
      <c r="ED55" s="1089">
        <f>IF(EB55=0,0,(EC55-EB55)/EB55*100)</f>
        <v>0</v>
      </c>
      <c r="EE55" s="3404"/>
      <c r="EF55" s="3404"/>
      <c r="EG55" s="1089">
        <f>IF(EE55=0,0,(EF55-EE55)/EE55*100)</f>
        <v>0</v>
      </c>
      <c r="EH55" s="3404"/>
      <c r="EI55" s="3404"/>
      <c r="EJ55" s="1089">
        <f>IF(EH55=0,0,(EI55-EH55)/EH55*100)</f>
        <v>0</v>
      </c>
      <c r="EK55" s="3404"/>
      <c r="EL55" s="3404"/>
      <c r="EM55" s="1089">
        <f>IF(EK55=0,0,(EL55-EK55)/EK55*100)</f>
        <v>0</v>
      </c>
      <c r="EN55" s="3404"/>
      <c r="EO55" s="3404"/>
      <c r="EP55" s="1089">
        <f>IF(EN55=0,0,(EO55-EN55)/EN55*100)</f>
        <v>0</v>
      </c>
      <c r="EQ55" s="3404"/>
      <c r="ER55" s="3404"/>
      <c r="ES55" s="1089">
        <f>IF(EQ55=0,0,(ER55-EQ55)/EQ55*100)</f>
        <v>0</v>
      </c>
      <c r="ET55" s="3404"/>
      <c r="EU55" s="3404"/>
      <c r="EV55" s="1089">
        <f>IF(ET55=0,0,(EU55-ET55)/ET55*100)</f>
        <v>0</v>
      </c>
      <c r="EW55" s="3404"/>
      <c r="EX55" s="3404"/>
      <c r="EY55" s="1089">
        <f>IF(EW55=0,0,(EX55-EW55)/EW55*100)</f>
        <v>0</v>
      </c>
      <c r="EZ55" s="3404"/>
      <c r="FA55" s="3404"/>
      <c r="FB55" s="1089">
        <f>IF(EZ55=0,0,(FA55-EZ55)/EZ55*100)</f>
        <v>0</v>
      </c>
      <c r="FC55" s="3404"/>
      <c r="FD55" s="3404"/>
      <c r="FE55" s="1089">
        <f>IF(FC55=0,0,(FD55-FC55)/FC55*100)</f>
        <v>0</v>
      </c>
      <c r="FF55" s="3404"/>
      <c r="FG55" s="3404"/>
      <c r="FH55" s="1089">
        <f>IF(FF55=0,0,(FG55-FF55)/FF55*100)</f>
        <v>0</v>
      </c>
      <c r="FI55" s="3404"/>
      <c r="FJ55" s="3404"/>
      <c r="FK55" s="1089">
        <f>IF(FI55=0,0,(FJ55-FI55)/FI55*100)</f>
        <v>0</v>
      </c>
      <c r="FL55" s="3404"/>
      <c r="FM55" s="3404"/>
      <c r="FN55" s="1089">
        <f>IF(FL55=0,0,(FM55-FL55)/FL55*100)</f>
        <v>0</v>
      </c>
      <c r="FO55" s="3404"/>
      <c r="FP55" s="3404"/>
      <c r="FQ55" s="1089">
        <f>IF(FO55=0,0,(FP55-FO55)/FO55*100)</f>
        <v>0</v>
      </c>
      <c r="FR55" s="3404"/>
      <c r="FS55" s="3404"/>
      <c r="FT55" s="1089">
        <f>IF(FR55=0,0,(FS55-FR55)/FR55*100)</f>
        <v>0</v>
      </c>
      <c r="FU55" s="3404"/>
      <c r="FV55" s="3404"/>
      <c r="FW55" s="1089">
        <f>IF(FU55=0,0,(FV55-FU55)/FU55*100)</f>
        <v>0</v>
      </c>
      <c r="FX55" s="676"/>
      <c r="FY55" s="676"/>
      <c r="FZ55" s="1039" t="s">
        <v>1544</v>
      </c>
      <c r="GA55" s="1061"/>
      <c r="GB55" s="1061"/>
      <c r="GC55" s="697"/>
      <c r="GD55" s="697"/>
    </row>
    <row customHeight="1" ht="21.9375" hidden="1">
      <c r="A56" s="467"/>
      <c r="B56" s="907" cm="1" t="str">
        <f t="array" ref="B56:B56">B55</f>
        <v>false</v>
      </c>
      <c r="C56" s="467"/>
      <c r="D56" s="467"/>
      <c r="E56" s="822">
        <v>22.5</v>
      </c>
      <c r="F56" s="50" cm="1" t="str">
        <f t="array" ref="F56:F56">OFFSET(E56,-1,1)</f>
        <v>0</v>
      </c>
      <c r="G56" s="467"/>
      <c r="H56" s="467" t="s">
        <v>1533</v>
      </c>
      <c r="I56" s="467" t="s">
        <v>1497</v>
      </c>
      <c r="J56" s="467"/>
      <c r="K56" s="467"/>
      <c r="L56" s="467"/>
      <c r="M56" s="467"/>
      <c r="N56" s="467"/>
      <c r="O56" s="467"/>
      <c r="P56" s="467"/>
      <c r="Q56" s="467"/>
      <c r="R56" s="467"/>
      <c r="S56" s="467"/>
      <c r="T56" s="439" cm="1" t="str">
        <f t="array" ref="T56:T56">T55</f>
        <v>false</v>
      </c>
      <c r="U56" s="467"/>
      <c r="V56" s="467"/>
      <c r="W56" s="467"/>
      <c r="X56" s="1534"/>
      <c r="Y56" s="467"/>
      <c r="Z56" s="1464"/>
      <c r="AA56" s="467"/>
      <c r="AB56"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846" t="s">
        <v>1534</v>
      </c>
      <c r="AD56" s="3409"/>
      <c r="AE56" s="3409"/>
      <c r="AF56" s="1078">
        <f>IF(AD56=0,0,(AE56-AD56)/AD56*100)</f>
        <v>0</v>
      </c>
      <c r="AG56" s="3409"/>
      <c r="AH56" s="3409"/>
      <c r="AI56" s="1078">
        <f>IF(AG56=0,0,(AH56-AG56)/AG56*100)</f>
        <v>0</v>
      </c>
      <c r="AJ56" s="3409"/>
      <c r="AK56" s="3409"/>
      <c r="AL56" s="1078">
        <f>IF(AJ56=0,0,(AK56-AJ56)/AJ56*100)</f>
        <v>0</v>
      </c>
      <c r="AM56" s="3409"/>
      <c r="AN56" s="3409"/>
      <c r="AO56" s="1078">
        <f>IF(AM56=0,0,(AN56-AM56)/AM56*100)</f>
        <v>0</v>
      </c>
      <c r="AP56" s="3409"/>
      <c r="AQ56" s="3409"/>
      <c r="AR56" s="1078">
        <f>IF(AP56=0,0,(AQ56-AP56)/AP56*100)</f>
        <v>0</v>
      </c>
      <c r="AS56" s="3409"/>
      <c r="AT56" s="3409"/>
      <c r="AU56" s="1078">
        <f>IF(AS56=0,0,(AT56-AS56)/AS56*100)</f>
        <v>0</v>
      </c>
      <c r="AV56" s="3409"/>
      <c r="AW56" s="3409"/>
      <c r="AX56" s="1078">
        <f>IF(AV56=0,0,(AW56-AV56)/AV56*100)</f>
        <v>0</v>
      </c>
      <c r="AY56" s="3409"/>
      <c r="AZ56" s="3409"/>
      <c r="BA56" s="1078">
        <f>IF(AY56=0,0,(AZ56-AY56)/AY56*100)</f>
        <v>0</v>
      </c>
      <c r="BB56" s="3409"/>
      <c r="BC56" s="3409"/>
      <c r="BD56" s="1078">
        <f>IF(BB56=0,0,(BC56-BB56)/BB56*100)</f>
        <v>0</v>
      </c>
      <c r="BE56" s="3409"/>
      <c r="BF56" s="3409"/>
      <c r="BG56" s="1078">
        <f>IF(BE56=0,0,(BF56-BE56)/BE56*100)</f>
        <v>0</v>
      </c>
      <c r="BH56" s="3409"/>
      <c r="BI56" s="3409"/>
      <c r="BJ56" s="1078">
        <f>IF(BH56=0,0,(BI56-BH56)/BH56*100)</f>
        <v>0</v>
      </c>
      <c r="BK56" s="3409"/>
      <c r="BL56" s="3409"/>
      <c r="BM56" s="1078">
        <f>IF(BK56=0,0,(BL56-BK56)/BK56*100)</f>
        <v>0</v>
      </c>
      <c r="BN56" s="3409"/>
      <c r="BO56" s="3409"/>
      <c r="BP56" s="1078">
        <f>IF(BN56=0,0,(BO56-BN56)/BN56*100)</f>
        <v>0</v>
      </c>
      <c r="BQ56" s="3409"/>
      <c r="BR56" s="3409"/>
      <c r="BS56" s="1078">
        <f>IF(BQ56=0,0,(BR56-BQ56)/BQ56*100)</f>
        <v>0</v>
      </c>
      <c r="BT56" s="3409"/>
      <c r="BU56" s="3409"/>
      <c r="BV56" s="1078">
        <f>IF(BT56=0,0,(BU56-BT56)/BT56*100)</f>
        <v>0</v>
      </c>
      <c r="BW56" s="3409"/>
      <c r="BX56" s="3409"/>
      <c r="BY56" s="1078">
        <f>IF(BW56=0,0,(BX56-BW56)/BW56*100)</f>
        <v>0</v>
      </c>
      <c r="BZ56" s="3409"/>
      <c r="CA56" s="3409"/>
      <c r="CB56" s="1078">
        <f>IF(BZ56=0,0,(CA56-BZ56)/BZ56*100)</f>
        <v>0</v>
      </c>
      <c r="CC56" s="3409"/>
      <c r="CD56" s="3409"/>
      <c r="CE56" s="1078">
        <f>IF(CC56=0,0,(CD56-CC56)/CC56*100)</f>
        <v>0</v>
      </c>
      <c r="CF56" s="3409"/>
      <c r="CG56" s="3409"/>
      <c r="CH56" s="1078">
        <f>IF(CF56=0,0,(CG56-CF56)/CF56*100)</f>
        <v>0</v>
      </c>
      <c r="CI56" s="3409"/>
      <c r="CJ56" s="3409"/>
      <c r="CK56" s="1078">
        <f>IF(CI56=0,0,(CJ56-CI56)/CI56*100)</f>
        <v>0</v>
      </c>
      <c r="CL56" s="3409"/>
      <c r="CM56" s="3409"/>
      <c r="CN56" s="1078">
        <f>IF(CL56=0,0,(CM56-CL56)/CL56*100)</f>
        <v>0</v>
      </c>
      <c r="CO56" s="3409"/>
      <c r="CP56" s="3409"/>
      <c r="CQ56" s="1078">
        <f>IF(CO56=0,0,(CP56-CO56)/CO56*100)</f>
        <v>0</v>
      </c>
      <c r="CR56" s="3409"/>
      <c r="CS56" s="3409"/>
      <c r="CT56" s="1078">
        <f>IF(CR56=0,0,(CS56-CR56)/CR56*100)</f>
        <v>0</v>
      </c>
      <c r="CU56" s="3409"/>
      <c r="CV56" s="3409"/>
      <c r="CW56" s="1078">
        <f>IF(CU56=0,0,(CV56-CU56)/CU56*100)</f>
        <v>0</v>
      </c>
      <c r="CX56" s="3409"/>
      <c r="CY56" s="3409"/>
      <c r="CZ56" s="1078">
        <f>IF(CX56=0,0,(CY56-CX56)/CX56*100)</f>
        <v>0</v>
      </c>
      <c r="DA56" s="3409"/>
      <c r="DB56" s="3409"/>
      <c r="DC56" s="1078">
        <f>IF(DA56=0,0,(DB56-DA56)/DA56*100)</f>
        <v>0</v>
      </c>
      <c r="DD56" s="3409"/>
      <c r="DE56" s="3409"/>
      <c r="DF56" s="1078">
        <f>IF(DD56=0,0,(DE56-DD56)/DD56*100)</f>
        <v>0</v>
      </c>
      <c r="DG56" s="3409"/>
      <c r="DH56" s="3409"/>
      <c r="DI56" s="1078">
        <f>IF(DG56=0,0,(DH56-DG56)/DG56*100)</f>
        <v>0</v>
      </c>
      <c r="DJ56" s="3409"/>
      <c r="DK56" s="3409"/>
      <c r="DL56" s="1078">
        <f>IF(DJ56=0,0,(DK56-DJ56)/DJ56*100)</f>
        <v>0</v>
      </c>
      <c r="DM56" s="3409"/>
      <c r="DN56" s="3409"/>
      <c r="DO56" s="1078">
        <f>IF(DM56=0,0,(DN56-DM56)/DM56*100)</f>
        <v>0</v>
      </c>
      <c r="DP56" s="3409"/>
      <c r="DQ56" s="3409"/>
      <c r="DR56" s="1078">
        <f>IF(DP56=0,0,(DQ56-DP56)/DP56*100)</f>
        <v>0</v>
      </c>
      <c r="DS56" s="3409"/>
      <c r="DT56" s="3409"/>
      <c r="DU56" s="1078">
        <f>IF(DS56=0,0,(DT56-DS56)/DS56*100)</f>
        <v>0</v>
      </c>
      <c r="DV56" s="3409"/>
      <c r="DW56" s="3409"/>
      <c r="DX56" s="1078">
        <f>IF(DV56=0,0,(DW56-DV56)/DV56*100)</f>
        <v>0</v>
      </c>
      <c r="DY56" s="3409"/>
      <c r="DZ56" s="3409"/>
      <c r="EA56" s="1078">
        <f>IF(DY56=0,0,(DZ56-DY56)/DY56*100)</f>
        <v>0</v>
      </c>
      <c r="EB56" s="3409"/>
      <c r="EC56" s="3409"/>
      <c r="ED56" s="1078">
        <f>IF(EB56=0,0,(EC56-EB56)/EB56*100)</f>
        <v>0</v>
      </c>
      <c r="EE56" s="3409"/>
      <c r="EF56" s="3409"/>
      <c r="EG56" s="1078">
        <f>IF(EE56=0,0,(EF56-EE56)/EE56*100)</f>
        <v>0</v>
      </c>
      <c r="EH56" s="3409"/>
      <c r="EI56" s="3409"/>
      <c r="EJ56" s="1078">
        <f>IF(EH56=0,0,(EI56-EH56)/EH56*100)</f>
        <v>0</v>
      </c>
      <c r="EK56" s="3409"/>
      <c r="EL56" s="3409"/>
      <c r="EM56" s="1078">
        <f>IF(EK56=0,0,(EL56-EK56)/EK56*100)</f>
        <v>0</v>
      </c>
      <c r="EN56" s="3409"/>
      <c r="EO56" s="3409"/>
      <c r="EP56" s="1078">
        <f>IF(EN56=0,0,(EO56-EN56)/EN56*100)</f>
        <v>0</v>
      </c>
      <c r="EQ56" s="3409"/>
      <c r="ER56" s="3409"/>
      <c r="ES56" s="1078">
        <f>IF(EQ56=0,0,(ER56-EQ56)/EQ56*100)</f>
        <v>0</v>
      </c>
      <c r="ET56" s="3409"/>
      <c r="EU56" s="3409"/>
      <c r="EV56" s="1078">
        <f>IF(ET56=0,0,(EU56-ET56)/ET56*100)</f>
        <v>0</v>
      </c>
      <c r="EW56" s="3409"/>
      <c r="EX56" s="3409"/>
      <c r="EY56" s="1078">
        <f>IF(EW56=0,0,(EX56-EW56)/EW56*100)</f>
        <v>0</v>
      </c>
      <c r="EZ56" s="3409"/>
      <c r="FA56" s="3409"/>
      <c r="FB56" s="1078">
        <f>IF(EZ56=0,0,(FA56-EZ56)/EZ56*100)</f>
        <v>0</v>
      </c>
      <c r="FC56" s="3409"/>
      <c r="FD56" s="3409"/>
      <c r="FE56" s="1078">
        <f>IF(FC56=0,0,(FD56-FC56)/FC56*100)</f>
        <v>0</v>
      </c>
      <c r="FF56" s="3409"/>
      <c r="FG56" s="3409"/>
      <c r="FH56" s="1078">
        <f>IF(FF56=0,0,(FG56-FF56)/FF56*100)</f>
        <v>0</v>
      </c>
      <c r="FI56" s="3409"/>
      <c r="FJ56" s="3409"/>
      <c r="FK56" s="1078">
        <f>IF(FI56=0,0,(FJ56-FI56)/FI56*100)</f>
        <v>0</v>
      </c>
      <c r="FL56" s="3409"/>
      <c r="FM56" s="3409"/>
      <c r="FN56" s="1078">
        <f>IF(FL56=0,0,(FM56-FL56)/FL56*100)</f>
        <v>0</v>
      </c>
      <c r="FO56" s="3409"/>
      <c r="FP56" s="3409"/>
      <c r="FQ56" s="1078">
        <f>IF(FO56=0,0,(FP56-FO56)/FO56*100)</f>
        <v>0</v>
      </c>
      <c r="FR56" s="3409"/>
      <c r="FS56" s="3409"/>
      <c r="FT56" s="1078">
        <f>IF(FR56=0,0,(FS56-FR56)/FR56*100)</f>
        <v>0</v>
      </c>
      <c r="FU56" s="3409"/>
      <c r="FV56" s="3409"/>
      <c r="FW56" s="1078">
        <f>IF(FU56=0,0,(FV56-FU56)/FU56*100)</f>
        <v>0</v>
      </c>
      <c r="FX56" s="676"/>
      <c r="FY56" s="676"/>
      <c r="FZ56" s="1039" t="s">
        <v>1545</v>
      </c>
      <c r="GA56" s="1061"/>
      <c r="GB56" s="1061"/>
      <c r="GC56" s="697"/>
      <c r="GD56" s="697"/>
    </row>
    <row customHeight="1" ht="14.625" hidden="1">
      <c r="A57" s="467"/>
      <c r="B57" s="907" cm="1" t="str">
        <f t="array" ref="B57:B57">B56</f>
        <v>false</v>
      </c>
      <c r="C57" s="467"/>
      <c r="D57" s="467"/>
      <c r="E57" s="822">
        <v>15</v>
      </c>
      <c r="F57" s="50" cm="1" t="str">
        <f t="array" ref="F57:F57">OFFSET(E57,-1,1)</f>
        <v>0</v>
      </c>
      <c r="G57" s="467"/>
      <c r="H57" s="467" t="s">
        <v>1536</v>
      </c>
      <c r="I57" s="467" t="s">
        <v>1497</v>
      </c>
      <c r="J57" s="467"/>
      <c r="K57" s="467"/>
      <c r="L57" s="467"/>
      <c r="M57" s="467"/>
      <c r="N57" s="467"/>
      <c r="O57" s="467"/>
      <c r="P57" s="467"/>
      <c r="Q57" s="467"/>
      <c r="R57" s="467"/>
      <c r="S57" s="467"/>
      <c r="T57" s="439" cm="1" t="str">
        <f t="array" ref="T57:T57">T56</f>
        <v>false</v>
      </c>
      <c r="U57" s="467"/>
      <c r="V57" s="467"/>
      <c r="W57" s="467"/>
      <c r="X57" s="1534"/>
      <c r="Y57" s="467"/>
      <c r="Z57" s="1464"/>
      <c r="AA57" s="467"/>
      <c r="AB57" s="1076" t="s">
        <v>1537</v>
      </c>
      <c r="AC57" s="846" t="s">
        <v>1538</v>
      </c>
      <c r="AD57" s="3409"/>
      <c r="AE57" s="3409"/>
      <c r="AF57" s="1078">
        <f>IF(AD57=0,0,(AE57-AD57)/AD57*100)</f>
        <v>0</v>
      </c>
      <c r="AG57" s="3409"/>
      <c r="AH57" s="3409"/>
      <c r="AI57" s="1078">
        <f>IF(AG57=0,0,(AH57-AG57)/AG57*100)</f>
        <v>0</v>
      </c>
      <c r="AJ57" s="3409"/>
      <c r="AK57" s="3409"/>
      <c r="AL57" s="1078">
        <f>IF(AJ57=0,0,(AK57-AJ57)/AJ57*100)</f>
        <v>0</v>
      </c>
      <c r="AM57" s="3409"/>
      <c r="AN57" s="3409"/>
      <c r="AO57" s="1078">
        <f>IF(AM57=0,0,(AN57-AM57)/AM57*100)</f>
        <v>0</v>
      </c>
      <c r="AP57" s="3409"/>
      <c r="AQ57" s="3409"/>
      <c r="AR57" s="1078">
        <f>IF(AP57=0,0,(AQ57-AP57)/AP57*100)</f>
        <v>0</v>
      </c>
      <c r="AS57" s="3409"/>
      <c r="AT57" s="3409"/>
      <c r="AU57" s="1078">
        <f>IF(AS57=0,0,(AT57-AS57)/AS57*100)</f>
        <v>0</v>
      </c>
      <c r="AV57" s="3409"/>
      <c r="AW57" s="3409"/>
      <c r="AX57" s="1078">
        <f>IF(AV57=0,0,(AW57-AV57)/AV57*100)</f>
        <v>0</v>
      </c>
      <c r="AY57" s="3409"/>
      <c r="AZ57" s="3409"/>
      <c r="BA57" s="1078">
        <f>IF(AY57=0,0,(AZ57-AY57)/AY57*100)</f>
        <v>0</v>
      </c>
      <c r="BB57" s="3409"/>
      <c r="BC57" s="3409"/>
      <c r="BD57" s="1078">
        <f>IF(BB57=0,0,(BC57-BB57)/BB57*100)</f>
        <v>0</v>
      </c>
      <c r="BE57" s="3409"/>
      <c r="BF57" s="3409"/>
      <c r="BG57" s="1078">
        <f>IF(BE57=0,0,(BF57-BE57)/BE57*100)</f>
        <v>0</v>
      </c>
      <c r="BH57" s="3409"/>
      <c r="BI57" s="3409"/>
      <c r="BJ57" s="1078">
        <f>IF(BH57=0,0,(BI57-BH57)/BH57*100)</f>
        <v>0</v>
      </c>
      <c r="BK57" s="3409"/>
      <c r="BL57" s="3409"/>
      <c r="BM57" s="1078">
        <f>IF(BK57=0,0,(BL57-BK57)/BK57*100)</f>
        <v>0</v>
      </c>
      <c r="BN57" s="3409"/>
      <c r="BO57" s="3409"/>
      <c r="BP57" s="1078">
        <f>IF(BN57=0,0,(BO57-BN57)/BN57*100)</f>
        <v>0</v>
      </c>
      <c r="BQ57" s="3409"/>
      <c r="BR57" s="3409"/>
      <c r="BS57" s="1078">
        <f>IF(BQ57=0,0,(BR57-BQ57)/BQ57*100)</f>
        <v>0</v>
      </c>
      <c r="BT57" s="3409"/>
      <c r="BU57" s="3409"/>
      <c r="BV57" s="1078">
        <f>IF(BT57=0,0,(BU57-BT57)/BT57*100)</f>
        <v>0</v>
      </c>
      <c r="BW57" s="3409"/>
      <c r="BX57" s="3409"/>
      <c r="BY57" s="1078">
        <f>IF(BW57=0,0,(BX57-BW57)/BW57*100)</f>
        <v>0</v>
      </c>
      <c r="BZ57" s="3409"/>
      <c r="CA57" s="3409"/>
      <c r="CB57" s="1078">
        <f>IF(BZ57=0,0,(CA57-BZ57)/BZ57*100)</f>
        <v>0</v>
      </c>
      <c r="CC57" s="3409"/>
      <c r="CD57" s="3409"/>
      <c r="CE57" s="1078">
        <f>IF(CC57=0,0,(CD57-CC57)/CC57*100)</f>
        <v>0</v>
      </c>
      <c r="CF57" s="3409"/>
      <c r="CG57" s="3409"/>
      <c r="CH57" s="1078">
        <f>IF(CF57=0,0,(CG57-CF57)/CF57*100)</f>
        <v>0</v>
      </c>
      <c r="CI57" s="3409"/>
      <c r="CJ57" s="3409"/>
      <c r="CK57" s="1078">
        <f>IF(CI57=0,0,(CJ57-CI57)/CI57*100)</f>
        <v>0</v>
      </c>
      <c r="CL57" s="3409"/>
      <c r="CM57" s="3409"/>
      <c r="CN57" s="1078">
        <f>IF(CL57=0,0,(CM57-CL57)/CL57*100)</f>
        <v>0</v>
      </c>
      <c r="CO57" s="3409"/>
      <c r="CP57" s="3409"/>
      <c r="CQ57" s="1078">
        <f>IF(CO57=0,0,(CP57-CO57)/CO57*100)</f>
        <v>0</v>
      </c>
      <c r="CR57" s="3409"/>
      <c r="CS57" s="3409"/>
      <c r="CT57" s="1078">
        <f>IF(CR57=0,0,(CS57-CR57)/CR57*100)</f>
        <v>0</v>
      </c>
      <c r="CU57" s="3409"/>
      <c r="CV57" s="3409"/>
      <c r="CW57" s="1078">
        <f>IF(CU57=0,0,(CV57-CU57)/CU57*100)</f>
        <v>0</v>
      </c>
      <c r="CX57" s="3409"/>
      <c r="CY57" s="3409"/>
      <c r="CZ57" s="1078">
        <f>IF(CX57=0,0,(CY57-CX57)/CX57*100)</f>
        <v>0</v>
      </c>
      <c r="DA57" s="3409"/>
      <c r="DB57" s="3409"/>
      <c r="DC57" s="1078">
        <f>IF(DA57=0,0,(DB57-DA57)/DA57*100)</f>
        <v>0</v>
      </c>
      <c r="DD57" s="3409"/>
      <c r="DE57" s="3409"/>
      <c r="DF57" s="1078">
        <f>IF(DD57=0,0,(DE57-DD57)/DD57*100)</f>
        <v>0</v>
      </c>
      <c r="DG57" s="3409"/>
      <c r="DH57" s="3409"/>
      <c r="DI57" s="1078">
        <f>IF(DG57=0,0,(DH57-DG57)/DG57*100)</f>
        <v>0</v>
      </c>
      <c r="DJ57" s="3409"/>
      <c r="DK57" s="3409"/>
      <c r="DL57" s="1078">
        <f>IF(DJ57=0,0,(DK57-DJ57)/DJ57*100)</f>
        <v>0</v>
      </c>
      <c r="DM57" s="3409"/>
      <c r="DN57" s="3409"/>
      <c r="DO57" s="1078">
        <f>IF(DM57=0,0,(DN57-DM57)/DM57*100)</f>
        <v>0</v>
      </c>
      <c r="DP57" s="3409"/>
      <c r="DQ57" s="3409"/>
      <c r="DR57" s="1078">
        <f>IF(DP57=0,0,(DQ57-DP57)/DP57*100)</f>
        <v>0</v>
      </c>
      <c r="DS57" s="3409"/>
      <c r="DT57" s="3409"/>
      <c r="DU57" s="1078">
        <f>IF(DS57=0,0,(DT57-DS57)/DS57*100)</f>
        <v>0</v>
      </c>
      <c r="DV57" s="3409"/>
      <c r="DW57" s="3409"/>
      <c r="DX57" s="1078">
        <f>IF(DV57=0,0,(DW57-DV57)/DV57*100)</f>
        <v>0</v>
      </c>
      <c r="DY57" s="3409"/>
      <c r="DZ57" s="3409"/>
      <c r="EA57" s="1078">
        <f>IF(DY57=0,0,(DZ57-DY57)/DY57*100)</f>
        <v>0</v>
      </c>
      <c r="EB57" s="3409"/>
      <c r="EC57" s="3409"/>
      <c r="ED57" s="1078">
        <f>IF(EB57=0,0,(EC57-EB57)/EB57*100)</f>
        <v>0</v>
      </c>
      <c r="EE57" s="3409"/>
      <c r="EF57" s="3409"/>
      <c r="EG57" s="1078">
        <f>IF(EE57=0,0,(EF57-EE57)/EE57*100)</f>
        <v>0</v>
      </c>
      <c r="EH57" s="3409"/>
      <c r="EI57" s="3409"/>
      <c r="EJ57" s="1078">
        <f>IF(EH57=0,0,(EI57-EH57)/EH57*100)</f>
        <v>0</v>
      </c>
      <c r="EK57" s="3409"/>
      <c r="EL57" s="3409"/>
      <c r="EM57" s="1078">
        <f>IF(EK57=0,0,(EL57-EK57)/EK57*100)</f>
        <v>0</v>
      </c>
      <c r="EN57" s="3409"/>
      <c r="EO57" s="3409"/>
      <c r="EP57" s="1078">
        <f>IF(EN57=0,0,(EO57-EN57)/EN57*100)</f>
        <v>0</v>
      </c>
      <c r="EQ57" s="3409"/>
      <c r="ER57" s="3409"/>
      <c r="ES57" s="1078">
        <f>IF(EQ57=0,0,(ER57-EQ57)/EQ57*100)</f>
        <v>0</v>
      </c>
      <c r="ET57" s="3409"/>
      <c r="EU57" s="3409"/>
      <c r="EV57" s="1078">
        <f>IF(ET57=0,0,(EU57-ET57)/ET57*100)</f>
        <v>0</v>
      </c>
      <c r="EW57" s="3409"/>
      <c r="EX57" s="3409"/>
      <c r="EY57" s="1078">
        <f>IF(EW57=0,0,(EX57-EW57)/EW57*100)</f>
        <v>0</v>
      </c>
      <c r="EZ57" s="3409"/>
      <c r="FA57" s="3409"/>
      <c r="FB57" s="1078">
        <f>IF(EZ57=0,0,(FA57-EZ57)/EZ57*100)</f>
        <v>0</v>
      </c>
      <c r="FC57" s="3409"/>
      <c r="FD57" s="3409"/>
      <c r="FE57" s="1078">
        <f>IF(FC57=0,0,(FD57-FC57)/FC57*100)</f>
        <v>0</v>
      </c>
      <c r="FF57" s="3409"/>
      <c r="FG57" s="3409"/>
      <c r="FH57" s="1078">
        <f>IF(FF57=0,0,(FG57-FF57)/FF57*100)</f>
        <v>0</v>
      </c>
      <c r="FI57" s="3409"/>
      <c r="FJ57" s="3409"/>
      <c r="FK57" s="1078">
        <f>IF(FI57=0,0,(FJ57-FI57)/FI57*100)</f>
        <v>0</v>
      </c>
      <c r="FL57" s="3409"/>
      <c r="FM57" s="3409"/>
      <c r="FN57" s="1078">
        <f>IF(FL57=0,0,(FM57-FL57)/FL57*100)</f>
        <v>0</v>
      </c>
      <c r="FO57" s="3409"/>
      <c r="FP57" s="3409"/>
      <c r="FQ57" s="1078">
        <f>IF(FO57=0,0,(FP57-FO57)/FO57*100)</f>
        <v>0</v>
      </c>
      <c r="FR57" s="3409"/>
      <c r="FS57" s="3409"/>
      <c r="FT57" s="1078">
        <f>IF(FR57=0,0,(FS57-FR57)/FR57*100)</f>
        <v>0</v>
      </c>
      <c r="FU57" s="3409"/>
      <c r="FV57" s="3409"/>
      <c r="FW57" s="1078">
        <f>IF(FU57=0,0,(FV57-FU57)/FU57*100)</f>
        <v>0</v>
      </c>
      <c r="FX57" s="676"/>
      <c r="FY57" s="676"/>
      <c r="FZ57" s="1039" t="s">
        <v>1546</v>
      </c>
      <c r="GA57" s="1061"/>
      <c r="GB57" s="1061"/>
      <c r="GC57" s="697"/>
      <c r="GD57" s="697"/>
    </row>
    <row customHeight="1" ht="23.887500000000003" hidden="1">
      <c r="A58" s="467"/>
      <c r="B58" s="907" cm="1" t="str">
        <f t="array" ref="B58:B58">B57</f>
        <v>false</v>
      </c>
      <c r="C58" s="467"/>
      <c r="D58" s="467"/>
      <c r="E58" s="822">
        <v>24.5</v>
      </c>
      <c r="F58" s="50" cm="1" t="str">
        <f t="array" ref="F58:F58">OFFSET(E58,-1,1)</f>
        <v>0</v>
      </c>
      <c r="G58" s="467"/>
      <c r="H58" s="467"/>
      <c r="I58" s="467"/>
      <c r="J58" s="467"/>
      <c r="K58" s="467"/>
      <c r="L58" s="467"/>
      <c r="M58" s="467"/>
      <c r="N58" s="467"/>
      <c r="O58" s="467"/>
      <c r="P58" s="467"/>
      <c r="Q58" s="467"/>
      <c r="R58" s="467"/>
      <c r="S58" s="467"/>
      <c r="T58" s="439" cm="1" t="str">
        <f t="array" ref="T58:T58">T57</f>
        <v>false</v>
      </c>
      <c r="U58" s="467"/>
      <c r="V58" s="467"/>
      <c r="W58" s="467"/>
      <c r="X58" s="1534"/>
      <c r="Y58" s="467"/>
      <c r="Z58" s="1464"/>
      <c r="AA58" s="467"/>
      <c r="AB58" s="260" t="s">
        <v>1547</v>
      </c>
      <c r="AC58" s="885"/>
      <c r="AD58" s="1087"/>
      <c r="AE58" s="1087"/>
      <c r="AF58" s="1087"/>
      <c r="AG58" s="1087"/>
      <c r="AH58" s="1087"/>
      <c r="AI58" s="1087"/>
      <c r="AJ58" s="1087"/>
      <c r="AK58" s="1087"/>
      <c r="AL58" s="1087"/>
      <c r="AM58" s="1087"/>
      <c r="AN58" s="1087"/>
      <c r="AO58" s="1087"/>
      <c r="AP58" s="1087"/>
      <c r="AQ58" s="1087"/>
      <c r="AR58" s="1087"/>
      <c r="AS58" s="1087"/>
      <c r="AT58" s="1087"/>
      <c r="AU58" s="1087"/>
      <c r="AV58" s="1087"/>
      <c r="AW58" s="1087"/>
      <c r="AX58" s="1087"/>
      <c r="AY58" s="1087"/>
      <c r="AZ58" s="1087"/>
      <c r="BA58" s="1087"/>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087"/>
      <c r="CP58" s="1087"/>
      <c r="CQ58" s="1087"/>
      <c r="CR58" s="1087"/>
      <c r="CS58" s="1087"/>
      <c r="CT58" s="1087"/>
      <c r="CU58" s="1087"/>
      <c r="CV58" s="1087"/>
      <c r="CW58" s="1087"/>
      <c r="CX58" s="1087"/>
      <c r="CY58" s="1087"/>
      <c r="CZ58" s="1087"/>
      <c r="DA58" s="1087"/>
      <c r="DB58" s="1087"/>
      <c r="DC58" s="1087"/>
      <c r="DD58" s="1087"/>
      <c r="DE58" s="1087"/>
      <c r="DF58" s="1087"/>
      <c r="DG58" s="1087"/>
      <c r="DH58" s="1087"/>
      <c r="DI58" s="1087"/>
      <c r="DJ58" s="1087"/>
      <c r="DK58" s="1087"/>
      <c r="DL58" s="1087"/>
      <c r="DM58" s="1087"/>
      <c r="DN58" s="1087"/>
      <c r="DO58" s="1087"/>
      <c r="DP58" s="1087"/>
      <c r="DQ58" s="1087"/>
      <c r="DR58" s="1087"/>
      <c r="DS58" s="1087"/>
      <c r="DT58" s="1087"/>
      <c r="DU58" s="1087"/>
      <c r="DV58" s="1087"/>
      <c r="DW58" s="1087"/>
      <c r="DX58" s="1087"/>
      <c r="DY58" s="1087"/>
      <c r="DZ58" s="1087"/>
      <c r="EA58" s="1087"/>
      <c r="EB58" s="1087"/>
      <c r="EC58" s="1087"/>
      <c r="ED58" s="1087"/>
      <c r="EE58" s="1087"/>
      <c r="EF58" s="1087"/>
      <c r="EG58" s="1087"/>
      <c r="EH58" s="1087"/>
      <c r="EI58" s="1087"/>
      <c r="EJ58" s="1087"/>
      <c r="EK58" s="1087"/>
      <c r="EL58" s="1087"/>
      <c r="EM58" s="1087"/>
      <c r="EN58" s="1087"/>
      <c r="EO58" s="1087"/>
      <c r="EP58" s="1087"/>
      <c r="EQ58" s="1087"/>
      <c r="ER58" s="1087"/>
      <c r="ES58" s="1087"/>
      <c r="ET58" s="1087"/>
      <c r="EU58" s="1087"/>
      <c r="EV58" s="1087"/>
      <c r="EW58" s="1087"/>
      <c r="EX58" s="1087"/>
      <c r="EY58" s="1087"/>
      <c r="EZ58" s="1087"/>
      <c r="FA58" s="1087"/>
      <c r="FB58" s="1087"/>
      <c r="FC58" s="1087"/>
      <c r="FD58" s="1087"/>
      <c r="FE58" s="1087"/>
      <c r="FF58" s="1087"/>
      <c r="FG58" s="1087"/>
      <c r="FH58" s="1087"/>
      <c r="FI58" s="1087"/>
      <c r="FJ58" s="1087"/>
      <c r="FK58" s="1087"/>
      <c r="FL58" s="1087"/>
      <c r="FM58" s="1087"/>
      <c r="FN58" s="1087"/>
      <c r="FO58" s="1087"/>
      <c r="FP58" s="1087"/>
      <c r="FQ58" s="1087"/>
      <c r="FR58" s="1087"/>
      <c r="FS58" s="1087"/>
      <c r="FT58" s="1087"/>
      <c r="FU58" s="1087"/>
      <c r="FV58" s="1087"/>
      <c r="FW58" s="1088"/>
      <c r="FX58" s="676"/>
      <c r="FY58" s="676"/>
      <c r="FZ58" s="1039"/>
      <c r="GA58" s="1061"/>
      <c r="GB58" s="1061"/>
      <c r="GC58" s="697"/>
      <c r="GD58" s="697"/>
    </row>
    <row customHeight="1" ht="14.625" hidden="1">
      <c r="A59" s="467"/>
      <c r="B59" s="907" cm="1" t="str">
        <f t="array" ref="B59:B59">B58</f>
        <v>false</v>
      </c>
      <c r="C59" s="467"/>
      <c r="D59" s="467"/>
      <c r="E59" s="822">
        <v>15</v>
      </c>
      <c r="F59" s="50" cm="1" t="str">
        <f t="array" ref="F59:F59">OFFSET(E59,-1,1)</f>
        <v>0</v>
      </c>
      <c r="G59" s="467"/>
      <c r="H59" s="467" t="s">
        <v>1445</v>
      </c>
      <c r="I59" s="467" t="s">
        <v>1507</v>
      </c>
      <c r="J59" s="467"/>
      <c r="K59" s="467"/>
      <c r="L59" s="467"/>
      <c r="M59" s="467"/>
      <c r="N59" s="467"/>
      <c r="O59" s="467"/>
      <c r="P59" s="467"/>
      <c r="Q59" s="467"/>
      <c r="R59" s="467"/>
      <c r="S59" s="467"/>
      <c r="T59" s="439" cm="1" t="str">
        <f t="array" ref="T59:T59">T58</f>
        <v>false</v>
      </c>
      <c r="U59" s="467"/>
      <c r="V59" s="467"/>
      <c r="W59" s="467"/>
      <c r="X59" s="1534"/>
      <c r="Y59" s="467"/>
      <c r="Z59" s="1464"/>
      <c r="AA59" s="467"/>
      <c r="AB59" s="1076" t="s">
        <v>1527</v>
      </c>
      <c r="AC59" s="846" t="s">
        <v>1494</v>
      </c>
      <c r="AD59" s="3409">
        <f>IF(AD61=0,0,(AD60*AD61+AD62*AD63*IF(god=2026,9,6))/AD61)</f>
        <v>0</v>
      </c>
      <c r="AE59" s="3409">
        <f>IF(AE61=0,0,(AE60*AE61+AE62*AE63*IF(god=2026,9,6))/AE61)</f>
        <v>0</v>
      </c>
      <c r="AF59" s="1078">
        <f>IF(AD59=0,0,(AE59-AD59)/AD59*100)</f>
        <v>0</v>
      </c>
      <c r="AG59" s="3409">
        <f>IF(AG61=0,0,(AG60*AG61+AG62*AG63*IF(god=2025,9,6))/AG61)</f>
        <v>0</v>
      </c>
      <c r="AH59" s="3409">
        <f>IF(AH61=0,0,(AH60*AH61+AH62*AH63*IF(god=2025,9,6))/AH61)</f>
        <v>0</v>
      </c>
      <c r="AI59" s="1078">
        <f>IF(AG59=0,0,(AH59-AG59)/AG59*100)</f>
        <v>0</v>
      </c>
      <c r="AJ59" s="3409">
        <f>IF(AJ61=0,0,(AJ60*AJ61+AJ62*AJ63*6)/AJ61)</f>
        <v>0</v>
      </c>
      <c r="AK59" s="3409">
        <f>IF(AK61=0,0,(AK60*AK61+AK62*AK63*6)/AK61)</f>
        <v>0</v>
      </c>
      <c r="AL59" s="1078">
        <f>IF(AJ59=0,0,(AK59-AJ59)/AJ59*100)</f>
        <v>0</v>
      </c>
      <c r="AM59" s="3409">
        <f>IF(AM61=0,0,(AM60*AM61+AM62*AM63*6)/AM61)</f>
        <v>0</v>
      </c>
      <c r="AN59" s="3409">
        <f>IF(AN61=0,0,(AN60*AN61+AN62*AN63*6)/AN61)</f>
        <v>0</v>
      </c>
      <c r="AO59" s="1078">
        <f>IF(AM59=0,0,(AN59-AM59)/AM59*100)</f>
        <v>0</v>
      </c>
      <c r="AP59" s="3409">
        <f>IF(AP61=0,0,(AP60*AP61+AP62*AP63*6)/AP61)</f>
        <v>0</v>
      </c>
      <c r="AQ59" s="3409">
        <f>IF(AQ61=0,0,(AQ60*AQ61+AQ62*AQ63*6)/AQ61)</f>
        <v>0</v>
      </c>
      <c r="AR59" s="1078">
        <f>IF(AP59=0,0,(AQ59-AP59)/AP59*100)</f>
        <v>0</v>
      </c>
      <c r="AS59" s="3409">
        <f>IF(AS61=0,0,(AS60*AS61+AS62*AS63*6)/AS61)</f>
        <v>0</v>
      </c>
      <c r="AT59" s="3409">
        <f>IF(AT61=0,0,(AT60*AT61+AT62*AT63*6)/AT61)</f>
        <v>0</v>
      </c>
      <c r="AU59" s="1078">
        <f>IF(AS59=0,0,(AT59-AS59)/AS59*100)</f>
        <v>0</v>
      </c>
      <c r="AV59" s="3409">
        <f>IF(AV61=0,0,(AV60*AV61+AV62*AV63*6)/AV61)</f>
        <v>0</v>
      </c>
      <c r="AW59" s="3409">
        <f>IF(AW61=0,0,(AW60*AW61+AW62*AW63*6)/AW61)</f>
        <v>0</v>
      </c>
      <c r="AX59" s="1078">
        <f>IF(AV59=0,0,(AW59-AV59)/AV59*100)</f>
        <v>0</v>
      </c>
      <c r="AY59" s="3409">
        <f>IF(AY61=0,0,(AY60*AY61+AY62*AY63*6)/AY61)</f>
        <v>0</v>
      </c>
      <c r="AZ59" s="3409">
        <f>IF(AZ61=0,0,(AZ60*AZ61+AZ62*AZ63*6)/AZ61)</f>
        <v>0</v>
      </c>
      <c r="BA59" s="1078">
        <f>IF(AY59=0,0,(AZ59-AY59)/AY59*100)</f>
        <v>0</v>
      </c>
      <c r="BB59" s="3409">
        <f>IF(BB61=0,0,(BB60*BB61+BB62*BB63*6)/BB61)</f>
        <v>0</v>
      </c>
      <c r="BC59" s="3409">
        <f>IF(BC61=0,0,(BC60*BC61+BC62*BC63*6)/BC61)</f>
        <v>0</v>
      </c>
      <c r="BD59" s="1078">
        <f>IF(BB59=0,0,(BC59-BB59)/BB59*100)</f>
        <v>0</v>
      </c>
      <c r="BE59" s="3409">
        <f>IF(BE61=0,0,(BE60*BE61+BE62*BE63*6)/BE61)</f>
        <v>0</v>
      </c>
      <c r="BF59" s="3409">
        <f>IF(BF61=0,0,(BF60*BF61+BF62*BF63*6)/BF61)</f>
        <v>0</v>
      </c>
      <c r="BG59" s="1078">
        <f>IF(BE59=0,0,(BF59-BE59)/BE59*100)</f>
        <v>0</v>
      </c>
      <c r="BH59" s="3409">
        <f>IF(BH61=0,0,(BH60*BH61+BH62*BH63*6)/BH61)</f>
        <v>0</v>
      </c>
      <c r="BI59" s="3409">
        <f>IF(BI61=0,0,(BI60*BI61+BI62*BI63*6)/BI61)</f>
        <v>0</v>
      </c>
      <c r="BJ59" s="1078">
        <f>IF(BH59=0,0,(BI59-BH59)/BH59*100)</f>
        <v>0</v>
      </c>
      <c r="BK59" s="3409">
        <f>IF(BK61=0,0,(BK60*BK61+BK62*BK63*6)/BK61)</f>
        <v>0</v>
      </c>
      <c r="BL59" s="3409">
        <f>IF(BL61=0,0,(BL60*BL61+BL62*BL63*6)/BL61)</f>
        <v>0</v>
      </c>
      <c r="BM59" s="1078">
        <f>IF(BK59=0,0,(BL59-BK59)/BK59*100)</f>
        <v>0</v>
      </c>
      <c r="BN59" s="3409">
        <f>IF(BN61=0,0,(BN60*BN61+BN62*BN63*6)/BN61)</f>
        <v>0</v>
      </c>
      <c r="BO59" s="3409">
        <f>IF(BO61=0,0,(BO60*BO61+BO62*BO63*6)/BO61)</f>
        <v>0</v>
      </c>
      <c r="BP59" s="1078">
        <f>IF(BN59=0,0,(BO59-BN59)/BN59*100)</f>
        <v>0</v>
      </c>
      <c r="BQ59" s="3409">
        <f>IF(BQ61=0,0,(BQ60*BQ61+BQ62*BQ63*6)/BQ61)</f>
        <v>0</v>
      </c>
      <c r="BR59" s="3409">
        <f>IF(BR61=0,0,(BR60*BR61+BR62*BR63*6)/BR61)</f>
        <v>0</v>
      </c>
      <c r="BS59" s="1078">
        <f>IF(BQ59=0,0,(BR59-BQ59)/BQ59*100)</f>
        <v>0</v>
      </c>
      <c r="BT59" s="3409">
        <f>IF(BT61=0,0,(BT60*BT61+BT62*BT63*6)/BT61)</f>
        <v>0</v>
      </c>
      <c r="BU59" s="3409">
        <f>IF(BU61=0,0,(BU60*BU61+BU62*BU63*6)/BU61)</f>
        <v>0</v>
      </c>
      <c r="BV59" s="1078">
        <f>IF(BT59=0,0,(BU59-BT59)/BT59*100)</f>
        <v>0</v>
      </c>
      <c r="BW59" s="3409">
        <f>IF(BW61=0,0,(BW60*BW61+BW62*BW63*6)/BW61)</f>
        <v>0</v>
      </c>
      <c r="BX59" s="3409">
        <f>IF(BX61=0,0,(BX60*BX61+BX62*BX63*6)/BX61)</f>
        <v>0</v>
      </c>
      <c r="BY59" s="1078">
        <f>IF(BW59=0,0,(BX59-BW59)/BW59*100)</f>
        <v>0</v>
      </c>
      <c r="BZ59" s="3409">
        <f>IF(BZ61=0,0,(BZ60*BZ61+BZ62*BZ63*6)/BZ61)</f>
        <v>0</v>
      </c>
      <c r="CA59" s="3409">
        <f>IF(CA61=0,0,(CA60*CA61+CA62*CA63*6)/CA61)</f>
        <v>0</v>
      </c>
      <c r="CB59" s="1078">
        <f>IF(BZ59=0,0,(CA59-BZ59)/BZ59*100)</f>
        <v>0</v>
      </c>
      <c r="CC59" s="3409">
        <f>IF(CC61=0,0,(CC60*CC61+CC62*CC63*6)/CC61)</f>
        <v>0</v>
      </c>
      <c r="CD59" s="3409">
        <f>IF(CD61=0,0,(CD60*CD61+CD62*CD63*6)/CD61)</f>
        <v>0</v>
      </c>
      <c r="CE59" s="1078">
        <f>IF(CC59=0,0,(CD59-CC59)/CC59*100)</f>
        <v>0</v>
      </c>
      <c r="CF59" s="3409">
        <f>IF(CF61=0,0,(CF60*CF61+CF62*CF63*6)/CF61)</f>
        <v>0</v>
      </c>
      <c r="CG59" s="3409">
        <f>IF(CG61=0,0,(CG60*CG61+CG62*CG63*6)/CG61)</f>
        <v>0</v>
      </c>
      <c r="CH59" s="1078">
        <f>IF(CF59=0,0,(CG59-CF59)/CF59*100)</f>
        <v>0</v>
      </c>
      <c r="CI59" s="3409">
        <f>IF(CI61=0,0,(CI60*CI61+CI62*CI63*6)/CI61)</f>
        <v>0</v>
      </c>
      <c r="CJ59" s="3409">
        <f>IF(CJ61=0,0,(CJ60*CJ61+CJ62*CJ63*6)/CJ61)</f>
        <v>0</v>
      </c>
      <c r="CK59" s="1078">
        <f>IF(CI59=0,0,(CJ59-CI59)/CI59*100)</f>
        <v>0</v>
      </c>
      <c r="CL59" s="3409">
        <f>IF(CL61=0,0,(CL60*CL61+CL62*CL63*6)/CL61)</f>
        <v>0</v>
      </c>
      <c r="CM59" s="3409">
        <f>IF(CM61=0,0,(CM60*CM61+CM62*CM63*6)/CM61)</f>
        <v>0</v>
      </c>
      <c r="CN59" s="1078">
        <f>IF(CL59=0,0,(CM59-CL59)/CL59*100)</f>
        <v>0</v>
      </c>
      <c r="CO59" s="3409">
        <f>IF(CO61=0,0,(CO60*CO61+CO62*CO63*6)/CO61)</f>
        <v>0</v>
      </c>
      <c r="CP59" s="3409">
        <f>IF(CP61=0,0,(CP60*CP61+CP62*CP63*6)/CP61)</f>
        <v>0</v>
      </c>
      <c r="CQ59" s="1078">
        <f>IF(CO59=0,0,(CP59-CO59)/CO59*100)</f>
        <v>0</v>
      </c>
      <c r="CR59" s="3409">
        <f>IF(CR61=0,0,(CR60*CR61+CR62*CR63*6)/CR61)</f>
        <v>0</v>
      </c>
      <c r="CS59" s="3409">
        <f>IF(CS61=0,0,(CS60*CS61+CS62*CS63*6)/CS61)</f>
        <v>0</v>
      </c>
      <c r="CT59" s="1078">
        <f>IF(CR59=0,0,(CS59-CR59)/CR59*100)</f>
        <v>0</v>
      </c>
      <c r="CU59" s="3409">
        <f>IF(CU61=0,0,(CU60*CU61+CU62*CU63*6)/CU61)</f>
        <v>0</v>
      </c>
      <c r="CV59" s="3409">
        <f>IF(CV61=0,0,(CV60*CV61+CV62*CV63*6)/CV61)</f>
        <v>0</v>
      </c>
      <c r="CW59" s="1078">
        <f>IF(CU59=0,0,(CV59-CU59)/CU59*100)</f>
        <v>0</v>
      </c>
      <c r="CX59" s="3409">
        <f>IF(CX61=0,0,(CX60*CX61+CX62*CX63*6)/CX61)</f>
        <v>0</v>
      </c>
      <c r="CY59" s="3409">
        <f>IF(CY61=0,0,(CY60*CY61+CY62*CY63*6)/CY61)</f>
        <v>0</v>
      </c>
      <c r="CZ59" s="1078">
        <f>IF(CX59=0,0,(CY59-CX59)/CX59*100)</f>
        <v>0</v>
      </c>
      <c r="DA59" s="3409">
        <f>IF(DA61=0,0,(DA60*DA61+DA62*DA63*6)/DA61)</f>
        <v>0</v>
      </c>
      <c r="DB59" s="3409">
        <f>IF(DB61=0,0,(DB60*DB61+DB62*DB63*6)/DB61)</f>
        <v>0</v>
      </c>
      <c r="DC59" s="1078">
        <f>IF(DA59=0,0,(DB59-DA59)/DA59*100)</f>
        <v>0</v>
      </c>
      <c r="DD59" s="3409">
        <f>IF(DD61=0,0,(DD60*DD61+DD62*DD63*6)/DD61)</f>
        <v>0</v>
      </c>
      <c r="DE59" s="3409">
        <f>IF(DE61=0,0,(DE60*DE61+DE62*DE63*6)/DE61)</f>
        <v>0</v>
      </c>
      <c r="DF59" s="1078">
        <f>IF(DD59=0,0,(DE59-DD59)/DD59*100)</f>
        <v>0</v>
      </c>
      <c r="DG59" s="3409">
        <f>IF(DG61=0,0,(DG60*DG61+DG62*DG63*6)/DG61)</f>
        <v>0</v>
      </c>
      <c r="DH59" s="3409">
        <f>IF(DH61=0,0,(DH60*DH61+DH62*DH63*6)/DH61)</f>
        <v>0</v>
      </c>
      <c r="DI59" s="1078">
        <f>IF(DG59=0,0,(DH59-DG59)/DG59*100)</f>
        <v>0</v>
      </c>
      <c r="DJ59" s="3409">
        <f>IF(DJ61=0,0,(DJ60*DJ61+DJ62*DJ63*6)/DJ61)</f>
        <v>0</v>
      </c>
      <c r="DK59" s="3409">
        <f>IF(DK61=0,0,(DK60*DK61+DK62*DK63*6)/DK61)</f>
        <v>0</v>
      </c>
      <c r="DL59" s="1078">
        <f>IF(DJ59=0,0,(DK59-DJ59)/DJ59*100)</f>
        <v>0</v>
      </c>
      <c r="DM59" s="3409">
        <f>IF(DM61=0,0,(DM60*DM61+DM62*DM63*6)/DM61)</f>
        <v>0</v>
      </c>
      <c r="DN59" s="3409">
        <f>IF(DN61=0,0,(DN60*DN61+DN62*DN63*6)/DN61)</f>
        <v>0</v>
      </c>
      <c r="DO59" s="1078">
        <f>IF(DM59=0,0,(DN59-DM59)/DM59*100)</f>
        <v>0</v>
      </c>
      <c r="DP59" s="3409">
        <f>IF(DP61=0,0,(DP60*DP61+DP62*DP63*6)/DP61)</f>
        <v>0</v>
      </c>
      <c r="DQ59" s="3409">
        <f>IF(DQ61=0,0,(DQ60*DQ61+DQ62*DQ63*6)/DQ61)</f>
        <v>0</v>
      </c>
      <c r="DR59" s="1078">
        <f>IF(DP59=0,0,(DQ59-DP59)/DP59*100)</f>
        <v>0</v>
      </c>
      <c r="DS59" s="3409">
        <f>IF(DS61=0,0,(DS60*DS61+DS62*DS63*6)/DS61)</f>
        <v>0</v>
      </c>
      <c r="DT59" s="3409">
        <f>IF(DT61=0,0,(DT60*DT61+DT62*DT63*6)/DT61)</f>
        <v>0</v>
      </c>
      <c r="DU59" s="1078">
        <f>IF(DS59=0,0,(DT59-DS59)/DS59*100)</f>
        <v>0</v>
      </c>
      <c r="DV59" s="3409">
        <f>IF(DV61=0,0,(DV60*DV61+DV62*DV63*6)/DV61)</f>
        <v>0</v>
      </c>
      <c r="DW59" s="3409">
        <f>IF(DW61=0,0,(DW60*DW61+DW62*DW63*6)/DW61)</f>
        <v>0</v>
      </c>
      <c r="DX59" s="1078">
        <f>IF(DV59=0,0,(DW59-DV59)/DV59*100)</f>
        <v>0</v>
      </c>
      <c r="DY59" s="3409">
        <f>IF(DY61=0,0,(DY60*DY61+DY62*DY63*6)/DY61)</f>
        <v>0</v>
      </c>
      <c r="DZ59" s="3409">
        <f>IF(DZ61=0,0,(DZ60*DZ61+DZ62*DZ63*6)/DZ61)</f>
        <v>0</v>
      </c>
      <c r="EA59" s="1078">
        <f>IF(DY59=0,0,(DZ59-DY59)/DY59*100)</f>
        <v>0</v>
      </c>
      <c r="EB59" s="3409">
        <f>IF(EB61=0,0,(EB60*EB61+EB62*EB63*6)/EB61)</f>
        <v>0</v>
      </c>
      <c r="EC59" s="3409">
        <f>IF(EC61=0,0,(EC60*EC61+EC62*EC63*6)/EC61)</f>
        <v>0</v>
      </c>
      <c r="ED59" s="1078">
        <f>IF(EB59=0,0,(EC59-EB59)/EB59*100)</f>
        <v>0</v>
      </c>
      <c r="EE59" s="3409">
        <f>IF(EE61=0,0,(EE60*EE61+EE62*EE63*6)/EE61)</f>
        <v>0</v>
      </c>
      <c r="EF59" s="3409">
        <f>IF(EF61=0,0,(EF60*EF61+EF62*EF63*6)/EF61)</f>
        <v>0</v>
      </c>
      <c r="EG59" s="1078">
        <f>IF(EE59=0,0,(EF59-EE59)/EE59*100)</f>
        <v>0</v>
      </c>
      <c r="EH59" s="3409">
        <f>IF(EH61=0,0,(EH60*EH61+EH62*EH63*6)/EH61)</f>
        <v>0</v>
      </c>
      <c r="EI59" s="3409">
        <f>IF(EI61=0,0,(EI60*EI61+EI62*EI63*6)/EI61)</f>
        <v>0</v>
      </c>
      <c r="EJ59" s="1078">
        <f>IF(EH59=0,0,(EI59-EH59)/EH59*100)</f>
        <v>0</v>
      </c>
      <c r="EK59" s="3409">
        <f>IF(EK61=0,0,(EK60*EK61+EK62*EK63*6)/EK61)</f>
        <v>0</v>
      </c>
      <c r="EL59" s="3409">
        <f>IF(EL61=0,0,(EL60*EL61+EL62*EL63*6)/EL61)</f>
        <v>0</v>
      </c>
      <c r="EM59" s="1078">
        <f>IF(EK59=0,0,(EL59-EK59)/EK59*100)</f>
        <v>0</v>
      </c>
      <c r="EN59" s="3409">
        <f>IF(EN61=0,0,(EN60*EN61+EN62*EN63*6)/EN61)</f>
        <v>0</v>
      </c>
      <c r="EO59" s="3409">
        <f>IF(EO61=0,0,(EO60*EO61+EO62*EO63*6)/EO61)</f>
        <v>0</v>
      </c>
      <c r="EP59" s="1078">
        <f>IF(EN59=0,0,(EO59-EN59)/EN59*100)</f>
        <v>0</v>
      </c>
      <c r="EQ59" s="3409">
        <f>IF(EQ61=0,0,(EQ60*EQ61+EQ62*EQ63*6)/EQ61)</f>
        <v>0</v>
      </c>
      <c r="ER59" s="3409">
        <f>IF(ER61=0,0,(ER60*ER61+ER62*ER63*6)/ER61)</f>
        <v>0</v>
      </c>
      <c r="ES59" s="1078">
        <f>IF(EQ59=0,0,(ER59-EQ59)/EQ59*100)</f>
        <v>0</v>
      </c>
      <c r="ET59" s="3409">
        <f>IF(ET61=0,0,(ET60*ET61+ET62*ET63*6)/ET61)</f>
        <v>0</v>
      </c>
      <c r="EU59" s="3409">
        <f>IF(EU61=0,0,(EU60*EU61+EU62*EU63*6)/EU61)</f>
        <v>0</v>
      </c>
      <c r="EV59" s="1078">
        <f>IF(ET59=0,0,(EU59-ET59)/ET59*100)</f>
        <v>0</v>
      </c>
      <c r="EW59" s="3409">
        <f>IF(EW61=0,0,(EW60*EW61+EW62*EW63*6)/EW61)</f>
        <v>0</v>
      </c>
      <c r="EX59" s="3409">
        <f>IF(EX61=0,0,(EX60*EX61+EX62*EX63*6)/EX61)</f>
        <v>0</v>
      </c>
      <c r="EY59" s="1078">
        <f>IF(EW59=0,0,(EX59-EW59)/EW59*100)</f>
        <v>0</v>
      </c>
      <c r="EZ59" s="3409">
        <f>IF(EZ61=0,0,(EZ60*EZ61+EZ62*EZ63*6)/EZ61)</f>
        <v>0</v>
      </c>
      <c r="FA59" s="3409">
        <f>IF(FA61=0,0,(FA60*FA61+FA62*FA63*6)/FA61)</f>
        <v>0</v>
      </c>
      <c r="FB59" s="1078">
        <f>IF(EZ59=0,0,(FA59-EZ59)/EZ59*100)</f>
        <v>0</v>
      </c>
      <c r="FC59" s="3409">
        <f>IF(FC61=0,0,(FC60*FC61+FC62*FC63*6)/FC61)</f>
        <v>0</v>
      </c>
      <c r="FD59" s="3409">
        <f>IF(FD61=0,0,(FD60*FD61+FD62*FD63*6)/FD61)</f>
        <v>0</v>
      </c>
      <c r="FE59" s="1078">
        <f>IF(FC59=0,0,(FD59-FC59)/FC59*100)</f>
        <v>0</v>
      </c>
      <c r="FF59" s="3409">
        <f>IF(FF61=0,0,(FF60*FF61+FF62*FF63*6)/FF61)</f>
        <v>0</v>
      </c>
      <c r="FG59" s="3409">
        <f>IF(FG61=0,0,(FG60*FG61+FG62*FG63*6)/FG61)</f>
        <v>0</v>
      </c>
      <c r="FH59" s="1078">
        <f>IF(FF59=0,0,(FG59-FF59)/FF59*100)</f>
        <v>0</v>
      </c>
      <c r="FI59" s="3409">
        <f>IF(FI61=0,0,(FI60*FI61+FI62*FI63*6)/FI61)</f>
        <v>0</v>
      </c>
      <c r="FJ59" s="3409">
        <f>IF(FJ61=0,0,(FJ60*FJ61+FJ62*FJ63*6)/FJ61)</f>
        <v>0</v>
      </c>
      <c r="FK59" s="1078">
        <f>IF(FI59=0,0,(FJ59-FI59)/FI59*100)</f>
        <v>0</v>
      </c>
      <c r="FL59" s="3409">
        <f>IF(FL61=0,0,(FL60*FL61+FL62*FL63*6)/FL61)</f>
        <v>0</v>
      </c>
      <c r="FM59" s="3409">
        <f>IF(FM61=0,0,(FM60*FM61+FM62*FM63*6)/FM61)</f>
        <v>0</v>
      </c>
      <c r="FN59" s="1078">
        <f>IF(FL59=0,0,(FM59-FL59)/FL59*100)</f>
        <v>0</v>
      </c>
      <c r="FO59" s="3409">
        <f>IF(FO61=0,0,(FO60*FO61+FO62*FO63*6)/FO61)</f>
        <v>0</v>
      </c>
      <c r="FP59" s="3409">
        <f>IF(FP61=0,0,(FP60*FP61+FP62*FP63*6)/FP61)</f>
        <v>0</v>
      </c>
      <c r="FQ59" s="1078">
        <f>IF(FO59=0,0,(FP59-FO59)/FO59*100)</f>
        <v>0</v>
      </c>
      <c r="FR59" s="3409">
        <f>IF(FR61=0,0,(FR60*FR61+FR62*FR63*6)/FR61)</f>
        <v>0</v>
      </c>
      <c r="FS59" s="3409">
        <f>IF(FS61=0,0,(FS60*FS61+FS62*FS63*6)/FS61)</f>
        <v>0</v>
      </c>
      <c r="FT59" s="1078">
        <f>IF(FR59=0,0,(FS59-FR59)/FR59*100)</f>
        <v>0</v>
      </c>
      <c r="FU59" s="3409">
        <f>IF(FU61=0,0,(FU60*FU61+FU62*FU63*6)/FU61)</f>
        <v>0</v>
      </c>
      <c r="FV59" s="3409">
        <f>IF(FV61=0,0,(FV60*FV61+FV62*FV63*6)/FV61)</f>
        <v>0</v>
      </c>
      <c r="FW59" s="1078">
        <f>IF(FU59=0,0,(FV59-FU59)/FU59*100)</f>
        <v>0</v>
      </c>
      <c r="FX59" s="676"/>
      <c r="FY59" s="676"/>
      <c r="FZ59" s="1039" t="s">
        <v>1548</v>
      </c>
      <c r="GA59" s="1061"/>
      <c r="GB59" s="1061"/>
      <c r="GC59" s="697"/>
      <c r="GD59" s="697"/>
    </row>
    <row customHeight="1" ht="14.625" hidden="1">
      <c r="A60" s="467"/>
      <c r="B60" s="907" cm="1" t="str">
        <f t="array" ref="B60:B60">B59</f>
        <v>false</v>
      </c>
      <c r="C60" s="467"/>
      <c r="D60" s="467"/>
      <c r="E60" s="822">
        <v>15</v>
      </c>
      <c r="F60" s="50" cm="1" t="str">
        <f t="array" ref="F60:F60">OFFSET(E60,-1,1)</f>
        <v>0</v>
      </c>
      <c r="G60" s="467"/>
      <c r="H60" s="467" t="s">
        <v>1449</v>
      </c>
      <c r="I60" s="467" t="s">
        <v>1507</v>
      </c>
      <c r="J60" s="467"/>
      <c r="K60" s="467"/>
      <c r="L60" s="467"/>
      <c r="M60" s="467"/>
      <c r="N60" s="467"/>
      <c r="O60" s="467"/>
      <c r="P60" s="467"/>
      <c r="Q60" s="467"/>
      <c r="R60" s="467"/>
      <c r="S60" s="467"/>
      <c r="T60" s="439" cm="1" t="str">
        <f t="array" ref="T60:T60">T59</f>
        <v>false</v>
      </c>
      <c r="U60" s="467"/>
      <c r="V60" s="467"/>
      <c r="W60" s="467"/>
      <c r="X60" s="1534"/>
      <c r="Y60" s="467"/>
      <c r="Z60" s="1464"/>
      <c r="AA60" s="467"/>
      <c r="AB60" s="1076" t="str">
        <f>"ставка платы за "&amp;IF(Q29="Водоснабжение","потребление 1 куб.м холодной воды","объем принятых сточных вод")</f>
        <v>ставка платы за объем принятых сточных вод</v>
      </c>
      <c r="AC60" s="846" t="s">
        <v>1494</v>
      </c>
      <c r="AD60" s="3409"/>
      <c r="AE60" s="3409"/>
      <c r="AF60" s="1078">
        <f>IF(AD60=0,0,(AE60-AD60)/AD60*100)</f>
        <v>0</v>
      </c>
      <c r="AG60" s="3409"/>
      <c r="AH60" s="3409"/>
      <c r="AI60" s="1078">
        <f>IF(AG60=0,0,(AH60-AG60)/AG60*100)</f>
        <v>0</v>
      </c>
      <c r="AJ60" s="3409"/>
      <c r="AK60" s="3409"/>
      <c r="AL60" s="1078">
        <f>IF(AJ60=0,0,(AK60-AJ60)/AJ60*100)</f>
        <v>0</v>
      </c>
      <c r="AM60" s="3409"/>
      <c r="AN60" s="3409"/>
      <c r="AO60" s="1078">
        <f>IF(AM60=0,0,(AN60-AM60)/AM60*100)</f>
        <v>0</v>
      </c>
      <c r="AP60" s="3409"/>
      <c r="AQ60" s="3409"/>
      <c r="AR60" s="1078">
        <f>IF(AP60=0,0,(AQ60-AP60)/AP60*100)</f>
        <v>0</v>
      </c>
      <c r="AS60" s="3409"/>
      <c r="AT60" s="3409"/>
      <c r="AU60" s="1078">
        <f>IF(AS60=0,0,(AT60-AS60)/AS60*100)</f>
        <v>0</v>
      </c>
      <c r="AV60" s="3409"/>
      <c r="AW60" s="3409"/>
      <c r="AX60" s="1078">
        <f>IF(AV60=0,0,(AW60-AV60)/AV60*100)</f>
        <v>0</v>
      </c>
      <c r="AY60" s="3409"/>
      <c r="AZ60" s="3409"/>
      <c r="BA60" s="1078">
        <f>IF(AY60=0,0,(AZ60-AY60)/AY60*100)</f>
        <v>0</v>
      </c>
      <c r="BB60" s="3409"/>
      <c r="BC60" s="3409"/>
      <c r="BD60" s="1078">
        <f>IF(BB60=0,0,(BC60-BB60)/BB60*100)</f>
        <v>0</v>
      </c>
      <c r="BE60" s="3409"/>
      <c r="BF60" s="3409"/>
      <c r="BG60" s="1078">
        <f>IF(BE60=0,0,(BF60-BE60)/BE60*100)</f>
        <v>0</v>
      </c>
      <c r="BH60" s="3409"/>
      <c r="BI60" s="3409"/>
      <c r="BJ60" s="1078">
        <f>IF(BH60=0,0,(BI60-BH60)/BH60*100)</f>
        <v>0</v>
      </c>
      <c r="BK60" s="3409"/>
      <c r="BL60" s="3409"/>
      <c r="BM60" s="1078">
        <f>IF(BK60=0,0,(BL60-BK60)/BK60*100)</f>
        <v>0</v>
      </c>
      <c r="BN60" s="3409"/>
      <c r="BO60" s="3409"/>
      <c r="BP60" s="1078">
        <f>IF(BN60=0,0,(BO60-BN60)/BN60*100)</f>
        <v>0</v>
      </c>
      <c r="BQ60" s="3409"/>
      <c r="BR60" s="3409"/>
      <c r="BS60" s="1078">
        <f>IF(BQ60=0,0,(BR60-BQ60)/BQ60*100)</f>
        <v>0</v>
      </c>
      <c r="BT60" s="3409"/>
      <c r="BU60" s="3409"/>
      <c r="BV60" s="1078">
        <f>IF(BT60=0,0,(BU60-BT60)/BT60*100)</f>
        <v>0</v>
      </c>
      <c r="BW60" s="3409"/>
      <c r="BX60" s="3409"/>
      <c r="BY60" s="1078">
        <f>IF(BW60=0,0,(BX60-BW60)/BW60*100)</f>
        <v>0</v>
      </c>
      <c r="BZ60" s="3409"/>
      <c r="CA60" s="3409"/>
      <c r="CB60" s="1078">
        <f>IF(BZ60=0,0,(CA60-BZ60)/BZ60*100)</f>
        <v>0</v>
      </c>
      <c r="CC60" s="3409"/>
      <c r="CD60" s="3409"/>
      <c r="CE60" s="1078">
        <f>IF(CC60=0,0,(CD60-CC60)/CC60*100)</f>
        <v>0</v>
      </c>
      <c r="CF60" s="3409"/>
      <c r="CG60" s="3409"/>
      <c r="CH60" s="1078">
        <f>IF(CF60=0,0,(CG60-CF60)/CF60*100)</f>
        <v>0</v>
      </c>
      <c r="CI60" s="3409"/>
      <c r="CJ60" s="3409"/>
      <c r="CK60" s="1078">
        <f>IF(CI60=0,0,(CJ60-CI60)/CI60*100)</f>
        <v>0</v>
      </c>
      <c r="CL60" s="3409"/>
      <c r="CM60" s="3409"/>
      <c r="CN60" s="1078">
        <f>IF(CL60=0,0,(CM60-CL60)/CL60*100)</f>
        <v>0</v>
      </c>
      <c r="CO60" s="3409"/>
      <c r="CP60" s="3409"/>
      <c r="CQ60" s="1078">
        <f>IF(CO60=0,0,(CP60-CO60)/CO60*100)</f>
        <v>0</v>
      </c>
      <c r="CR60" s="3409"/>
      <c r="CS60" s="3409"/>
      <c r="CT60" s="1078">
        <f>IF(CR60=0,0,(CS60-CR60)/CR60*100)</f>
        <v>0</v>
      </c>
      <c r="CU60" s="3409"/>
      <c r="CV60" s="3409"/>
      <c r="CW60" s="1078">
        <f>IF(CU60=0,0,(CV60-CU60)/CU60*100)</f>
        <v>0</v>
      </c>
      <c r="CX60" s="3409"/>
      <c r="CY60" s="3409"/>
      <c r="CZ60" s="1078">
        <f>IF(CX60=0,0,(CY60-CX60)/CX60*100)</f>
        <v>0</v>
      </c>
      <c r="DA60" s="3409"/>
      <c r="DB60" s="3409"/>
      <c r="DC60" s="1078">
        <f>IF(DA60=0,0,(DB60-DA60)/DA60*100)</f>
        <v>0</v>
      </c>
      <c r="DD60" s="3409"/>
      <c r="DE60" s="3409"/>
      <c r="DF60" s="1078">
        <f>IF(DD60=0,0,(DE60-DD60)/DD60*100)</f>
        <v>0</v>
      </c>
      <c r="DG60" s="3409"/>
      <c r="DH60" s="3409"/>
      <c r="DI60" s="1078">
        <f>IF(DG60=0,0,(DH60-DG60)/DG60*100)</f>
        <v>0</v>
      </c>
      <c r="DJ60" s="3409"/>
      <c r="DK60" s="3409"/>
      <c r="DL60" s="1078">
        <f>IF(DJ60=0,0,(DK60-DJ60)/DJ60*100)</f>
        <v>0</v>
      </c>
      <c r="DM60" s="3409"/>
      <c r="DN60" s="3409"/>
      <c r="DO60" s="1078">
        <f>IF(DM60=0,0,(DN60-DM60)/DM60*100)</f>
        <v>0</v>
      </c>
      <c r="DP60" s="3409"/>
      <c r="DQ60" s="3409"/>
      <c r="DR60" s="1078">
        <f>IF(DP60=0,0,(DQ60-DP60)/DP60*100)</f>
        <v>0</v>
      </c>
      <c r="DS60" s="3409"/>
      <c r="DT60" s="3409"/>
      <c r="DU60" s="1078">
        <f>IF(DS60=0,0,(DT60-DS60)/DS60*100)</f>
        <v>0</v>
      </c>
      <c r="DV60" s="3409"/>
      <c r="DW60" s="3409"/>
      <c r="DX60" s="1078">
        <f>IF(DV60=0,0,(DW60-DV60)/DV60*100)</f>
        <v>0</v>
      </c>
      <c r="DY60" s="3409"/>
      <c r="DZ60" s="3409"/>
      <c r="EA60" s="1078">
        <f>IF(DY60=0,0,(DZ60-DY60)/DY60*100)</f>
        <v>0</v>
      </c>
      <c r="EB60" s="3409"/>
      <c r="EC60" s="3409"/>
      <c r="ED60" s="1078">
        <f>IF(EB60=0,0,(EC60-EB60)/EB60*100)</f>
        <v>0</v>
      </c>
      <c r="EE60" s="3409"/>
      <c r="EF60" s="3409"/>
      <c r="EG60" s="1078">
        <f>IF(EE60=0,0,(EF60-EE60)/EE60*100)</f>
        <v>0</v>
      </c>
      <c r="EH60" s="3409"/>
      <c r="EI60" s="3409"/>
      <c r="EJ60" s="1078">
        <f>IF(EH60=0,0,(EI60-EH60)/EH60*100)</f>
        <v>0</v>
      </c>
      <c r="EK60" s="3409"/>
      <c r="EL60" s="3409"/>
      <c r="EM60" s="1078">
        <f>IF(EK60=0,0,(EL60-EK60)/EK60*100)</f>
        <v>0</v>
      </c>
      <c r="EN60" s="3409"/>
      <c r="EO60" s="3409"/>
      <c r="EP60" s="1078">
        <f>IF(EN60=0,0,(EO60-EN60)/EN60*100)</f>
        <v>0</v>
      </c>
      <c r="EQ60" s="3409"/>
      <c r="ER60" s="3409"/>
      <c r="ES60" s="1078">
        <f>IF(EQ60=0,0,(ER60-EQ60)/EQ60*100)</f>
        <v>0</v>
      </c>
      <c r="ET60" s="3409"/>
      <c r="EU60" s="3409"/>
      <c r="EV60" s="1078">
        <f>IF(ET60=0,0,(EU60-ET60)/ET60*100)</f>
        <v>0</v>
      </c>
      <c r="EW60" s="3409"/>
      <c r="EX60" s="3409"/>
      <c r="EY60" s="1078">
        <f>IF(EW60=0,0,(EX60-EW60)/EW60*100)</f>
        <v>0</v>
      </c>
      <c r="EZ60" s="3409"/>
      <c r="FA60" s="3409"/>
      <c r="FB60" s="1078">
        <f>IF(EZ60=0,0,(FA60-EZ60)/EZ60*100)</f>
        <v>0</v>
      </c>
      <c r="FC60" s="3409"/>
      <c r="FD60" s="3409"/>
      <c r="FE60" s="1078">
        <f>IF(FC60=0,0,(FD60-FC60)/FC60*100)</f>
        <v>0</v>
      </c>
      <c r="FF60" s="3409"/>
      <c r="FG60" s="3409"/>
      <c r="FH60" s="1078">
        <f>IF(FF60=0,0,(FG60-FF60)/FF60*100)</f>
        <v>0</v>
      </c>
      <c r="FI60" s="3409"/>
      <c r="FJ60" s="3409"/>
      <c r="FK60" s="1078">
        <f>IF(FI60=0,0,(FJ60-FI60)/FI60*100)</f>
        <v>0</v>
      </c>
      <c r="FL60" s="3409"/>
      <c r="FM60" s="3409"/>
      <c r="FN60" s="1078">
        <f>IF(FL60=0,0,(FM60-FL60)/FL60*100)</f>
        <v>0</v>
      </c>
      <c r="FO60" s="3409"/>
      <c r="FP60" s="3409"/>
      <c r="FQ60" s="1078">
        <f>IF(FO60=0,0,(FP60-FO60)/FO60*100)</f>
        <v>0</v>
      </c>
      <c r="FR60" s="3409"/>
      <c r="FS60" s="3409"/>
      <c r="FT60" s="1078">
        <f>IF(FR60=0,0,(FS60-FR60)/FR60*100)</f>
        <v>0</v>
      </c>
      <c r="FU60" s="3409"/>
      <c r="FV60" s="3409"/>
      <c r="FW60" s="1078">
        <f>IF(FU60=0,0,(FV60-FU60)/FU60*100)</f>
        <v>0</v>
      </c>
      <c r="FX60" s="676"/>
      <c r="FY60" s="676"/>
      <c r="FZ60" s="1039" t="s">
        <v>1549</v>
      </c>
      <c r="GA60" s="1061"/>
      <c r="GB60" s="1061"/>
      <c r="GC60" s="697"/>
      <c r="GD60" s="697"/>
    </row>
    <row customHeight="1" ht="14.625" hidden="1">
      <c r="A61" s="467"/>
      <c r="B61" s="907" cm="1" t="str">
        <f t="array" ref="B61:B61">B60</f>
        <v>false</v>
      </c>
      <c r="C61" s="467"/>
      <c r="D61" s="467"/>
      <c r="E61" s="822">
        <v>15</v>
      </c>
      <c r="F61" s="50" cm="1" t="str">
        <f t="array" ref="F61:F61">OFFSET(E61,-1,1)</f>
        <v>0</v>
      </c>
      <c r="G61" s="73" t="s">
        <v>1550</v>
      </c>
      <c r="H61" s="467" t="s">
        <v>1531</v>
      </c>
      <c r="I61" s="467" t="s">
        <v>1507</v>
      </c>
      <c r="J61" s="467"/>
      <c r="K61" s="467"/>
      <c r="L61" s="467"/>
      <c r="M61" s="467"/>
      <c r="N61" s="467"/>
      <c r="O61" s="467"/>
      <c r="P61" s="467"/>
      <c r="Q61" s="467"/>
      <c r="R61" s="467"/>
      <c r="S61" s="467"/>
      <c r="T61" s="439" cm="1" t="str">
        <f t="array" ref="T61:T61">T60</f>
        <v>false</v>
      </c>
      <c r="U61" s="467"/>
      <c r="V61" s="467"/>
      <c r="W61" s="467"/>
      <c r="X61" s="1534"/>
      <c r="Y61" s="467"/>
      <c r="Z61" s="1464"/>
      <c r="AA61" s="467"/>
      <c r="AB61" s="1076" t="str">
        <f>"объём "&amp;IF(Q29="Водоснабжение","потребления холодной воды","водоотведения")</f>
        <v>объём водоотведения</v>
      </c>
      <c r="AC61" s="846" t="s">
        <v>512</v>
      </c>
      <c r="AD61" s="3404">
        <f>IF(AND(method_reg="Метод индексации",god&lt;&gt;first_year),_xlfn.SUMIFS(INDEX('Калькуляция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(МИ)'!$AJ$25:$BC$459,,MATCH(AD$8,'Калькуляция (МИ)'!$AJ$8:$BC$8,0)),'Калькуляция (МИ)'!$F$25:$F$459,$F61,'Калькуляция (МИ)'!$G$25:$G$459,$G61))))</f>
        <v>0</v>
      </c>
      <c r="AE61" s="3404">
        <f>IF(AND(method_reg="Метод индексации",god&lt;&gt;first_year),_xlfn.SUMIFS(INDEX('Калькуляция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(МИ)'!$AJ$25:$BC$459,,MATCH(AE$8,'Калькуляция (МИ)'!$AJ$8:$BC$8,0)),'Калькуляция (МИ)'!$F$25:$F$459,$F61,'Калькуляция (МИ)'!$G$25:$G$459,$G61))))</f>
        <v>0</v>
      </c>
      <c r="AF61" s="1080">
        <f>IF(AD61=0,0,(AE61-AD61)/AD61*100)</f>
        <v>0</v>
      </c>
      <c r="AG61" s="3404">
        <f>IF(AND(method_reg="Метод индексации",god&lt;&gt;first_year),_xlfn.SUMIFS(INDEX('Калькуляция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(МИ)'!$AJ$25:$BC$459,,MATCH(AG$8,'Калькуляция (МИ)'!$AJ$8:$BC$8,0)),'Калькуляция (МИ)'!$F$25:$F$459,$F61,'Калькуляция (МИ)'!$G$25:$G$459,$G61))))</f>
        <v>0</v>
      </c>
      <c r="AH61" s="3404">
        <f>IF(AND(method_reg="Метод индексации",god&lt;&gt;first_year),_xlfn.SUMIFS(INDEX('Калькуляция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(МИ)'!$AJ$25:$BC$459,,MATCH(AH$8,'Калькуляция (МИ)'!$AJ$8:$BC$8,0)),'Калькуляция (МИ)'!$F$25:$F$459,$F61,'Калькуляция (МИ)'!$G$25:$G$459,$G61))))</f>
        <v>0</v>
      </c>
      <c r="AI61" s="1080">
        <f>IF(AG61=0,0,(AH61-AG61)/AG61*100)</f>
        <v>0</v>
      </c>
      <c r="AJ61" s="3404">
        <f>IF(AND(method_reg="Метод индексации",god&lt;&gt;first_year),_xlfn.SUMIFS(INDEX('Калькуляция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(МИ)'!$AJ$25:$BC$459,,MATCH(AJ$8,'Калькуляция (МИ)'!$AJ$8:$BC$8,0)),'Калькуляция (МИ)'!$F$25:$F$459,$F61,'Калькуляция (МИ)'!$G$25:$G$459,$G61))))</f>
        <v>0</v>
      </c>
      <c r="AK61" s="3404">
        <f>IF(AND(method_reg="Метод индексации",god&lt;&gt;first_year),_xlfn.SUMIFS(INDEX('Калькуляция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(МИ)'!$AJ$25:$BC$459,,MATCH(AK$8,'Калькуляция (МИ)'!$AJ$8:$BC$8,0)),'Калькуляция (МИ)'!$F$25:$F$459,$F61,'Калькуляция (МИ)'!$G$25:$G$459,$G61))))</f>
        <v>0</v>
      </c>
      <c r="AL61" s="1080">
        <f>IF(AJ61=0,0,(AK61-AJ61)/AJ61*100)</f>
        <v>0</v>
      </c>
      <c r="AM61" s="3404">
        <f>IF(AND(method_reg="Метод индексации",god&lt;&gt;first_year),_xlfn.SUMIFS(INDEX('Калькуляция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(МИ)'!$AJ$25:$BC$459,,MATCH(AM$8,'Калькуляция (МИ)'!$AJ$8:$BC$8,0)),'Калькуляция (МИ)'!$F$25:$F$459,$F61,'Калькуляция (МИ)'!$G$25:$G$459,$G61))))</f>
        <v>0</v>
      </c>
      <c r="AN61" s="3404">
        <f>IF(AND(method_reg="Метод индексации",god&lt;&gt;first_year),_xlfn.SUMIFS(INDEX('Калькуляция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(МИ)'!$AJ$25:$BC$459,,MATCH(AN$8,'Калькуляция (МИ)'!$AJ$8:$BC$8,0)),'Калькуляция (МИ)'!$F$25:$F$459,$F61,'Калькуляция (МИ)'!$G$25:$G$459,$G61))))</f>
        <v>0</v>
      </c>
      <c r="AO61" s="1080">
        <f>IF(AM61=0,0,(AN61-AM61)/AM61*100)</f>
        <v>0</v>
      </c>
      <c r="AP61" s="3404">
        <f>IF(AND(method_reg="Метод индексации",god&lt;&gt;first_year),_xlfn.SUMIFS(INDEX('Калькуляция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(МИ)'!$AJ$25:$BC$459,,MATCH(AP$8,'Калькуляция (МИ)'!$AJ$8:$BC$8,0)),'Калькуляция (МИ)'!$F$25:$F$459,$F61,'Калькуляция (МИ)'!$G$25:$G$459,$G61))))</f>
        <v>0</v>
      </c>
      <c r="AQ61" s="3404">
        <f>IF(AND(method_reg="Метод индексации",god&lt;&gt;first_year),_xlfn.SUMIFS(INDEX('Калькуляция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(МИ)'!$AJ$25:$BC$459,,MATCH(AQ$8,'Калькуляция (МИ)'!$AJ$8:$BC$8,0)),'Калькуляция (МИ)'!$F$25:$F$459,$F61,'Калькуляция (МИ)'!$G$25:$G$459,$G61))))</f>
        <v>0</v>
      </c>
      <c r="AR61" s="1080">
        <f>IF(AP61=0,0,(AQ61-AP61)/AP61*100)</f>
        <v>0</v>
      </c>
      <c r="AS61" s="3404">
        <f>IF(AND(method_reg="Метод индексации",god&lt;&gt;first_year),_xlfn.SUMIFS(INDEX('Калькуляция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(МИ)'!$AJ$25:$BC$459,,MATCH(AS$8,'Калькуляция (МИ)'!$AJ$8:$BC$8,0)),'Калькуляция (МИ)'!$F$25:$F$459,$F61,'Калькуляция (МИ)'!$G$25:$G$459,$G61))))</f>
        <v>0</v>
      </c>
      <c r="AT61" s="3404">
        <f>IF(AND(method_reg="Метод индексации",god&lt;&gt;first_year),_xlfn.SUMIFS(INDEX('Калькуляция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(МИ)'!$AJ$25:$BC$459,,MATCH(AT$8,'Калькуляция (МИ)'!$AJ$8:$BC$8,0)),'Калькуляция (МИ)'!$F$25:$F$459,$F61,'Калькуляция (МИ)'!$G$25:$G$459,$G61))))</f>
        <v>0</v>
      </c>
      <c r="AU61" s="1080">
        <f>IF(AS61=0,0,(AT61-AS61)/AS61*100)</f>
        <v>0</v>
      </c>
      <c r="AV61" s="3404">
        <f>IF(AND(method_reg="Метод индексации",god&lt;&gt;first_year),_xlfn.SUMIFS(INDEX('Калькуляция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(МИ)'!$AJ$25:$BC$459,,MATCH(AV$8,'Калькуляция (МИ)'!$AJ$8:$BC$8,0)),'Калькуляция (МИ)'!$F$25:$F$459,$F61,'Калькуляция (МИ)'!$G$25:$G$459,$G61))))</f>
        <v>0</v>
      </c>
      <c r="AW61" s="3404">
        <f>IF(AND(method_reg="Метод индексации",god&lt;&gt;first_year),_xlfn.SUMIFS(INDEX('Калькуляция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(МИ)'!$AJ$25:$BC$459,,MATCH(AW$8,'Калькуляция (МИ)'!$AJ$8:$BC$8,0)),'Калькуляция (МИ)'!$F$25:$F$459,$F61,'Калькуляция (МИ)'!$G$25:$G$459,$G61))))</f>
        <v>0</v>
      </c>
      <c r="AX61" s="1080">
        <f>IF(AV61=0,0,(AW61-AV61)/AV61*100)</f>
        <v>0</v>
      </c>
      <c r="AY61" s="3404">
        <f>IF(AND(method_reg="Метод индексации",god&lt;&gt;first_year),_xlfn.SUMIFS(INDEX('Калькуляция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(МИ)'!$AJ$25:$BC$459,,MATCH(AY$8,'Калькуляция (МИ)'!$AJ$8:$BC$8,0)),'Калькуляция (МИ)'!$F$25:$F$459,$F61,'Калькуляция (МИ)'!$G$25:$G$459,$G61))))</f>
        <v>0</v>
      </c>
      <c r="AZ61" s="3404">
        <f>IF(AND(method_reg="Метод индексации",god&lt;&gt;first_year),_xlfn.SUMIFS(INDEX('Калькуляция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(МИ)'!$AJ$25:$BC$459,,MATCH(AZ$8,'Калькуляция (МИ)'!$AJ$8:$BC$8,0)),'Калькуляция (МИ)'!$F$25:$F$459,$F61,'Калькуляция (МИ)'!$G$25:$G$459,$G61))))</f>
        <v>0</v>
      </c>
      <c r="BA61" s="1080">
        <f>IF(AY61=0,0,(AZ61-AY61)/AY61*100)</f>
        <v>0</v>
      </c>
      <c r="BB61" s="3404">
        <f>IF(AND(method_reg="Метод индексации",god&lt;&gt;first_year),_xlfn.SUMIFS(INDEX('Калькуляция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(МИ)'!$AJ$25:$BC$459,,MATCH(BB$8,'Калькуляция (МИ)'!$AJ$8:$BC$8,0)),'Калькуляция (МИ)'!$F$25:$F$459,$F61,'Калькуляция (МИ)'!$G$25:$G$459,$G61))))</f>
        <v>0</v>
      </c>
      <c r="BC61" s="3404">
        <f>IF(AND(method_reg="Метод индексации",god&lt;&gt;first_year),_xlfn.SUMIFS(INDEX('Калькуляция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(МИ)'!$AJ$25:$BC$459,,MATCH(BC$8,'Калькуляция (МИ)'!$AJ$8:$BC$8,0)),'Калькуляция (МИ)'!$F$25:$F$459,$F61,'Калькуляция (МИ)'!$G$25:$G$459,$G61))))</f>
        <v>0</v>
      </c>
      <c r="BD61" s="1080">
        <f>IF(BB61=0,0,(BC61-BB61)/BB61*100)</f>
        <v>0</v>
      </c>
      <c r="BE61" s="3404">
        <f>IF(AND(method_reg="Метод индексации",god&lt;&gt;first_year),_xlfn.SUMIFS(INDEX('Калькуляция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расходов",_xlfn.SUMIFS('Калькуляция (МЭОР)'!$AJ$25:$AJ$282,'Калькуляция (МЭОР)'!$F$25:$F$282,$F61,'Калькуляция (МЭОР)'!$G$25:$G$282,$G61),IF(method_reg="Метод сравнения аналогов",_xlfn.SUMIFS('Калькуляция (МСА)'!$AE$25:$AE$84,'Калькуляция (МСА)'!$F$25:$F$84,$F61,'Калькуляция (МСА)'!$G$25:$G$84,$G61),_xlfn.SUMIFS(INDEX('Калькуляция (МИ)'!$AJ$25:$BC$459,,MATCH(BE$8,'Калькуляция (МИ)'!$AJ$8:$BC$8,0)),'Калькуляция (МИ)'!$F$25:$F$459,$F61,'Калькуляция (МИ)'!$G$25:$G$459,$G61))))</f>
        <v>0</v>
      </c>
      <c r="BF61" s="3404">
        <f>IF(AND(method_reg="Метод индексации",god&lt;&gt;first_year),_xlfn.SUMIFS(INDEX('Калькуляция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расходов",_xlfn.SUMIFS('Калькуляция (МЭОР)'!$AK$25:$AK$282,'Калькуляция (МЭОР)'!$F$25:$F$282,$F61,'Калькуляция (МЭОР)'!$G$25:$G$282,$G61),IF(method_reg="Метод сравнения аналогов",_xlfn.SUMIFS('Калькуляция (МСА)'!$AF$25:$AF$84,'Калькуляция (МСА)'!$F$25:$F$84,$F61,'Калькуляция (МСА)'!$G$25:$G$84,$G61),_xlfn.SUMIFS(INDEX('Калькуляция (МИ)'!$AJ$25:$BC$459,,MATCH(BF$8,'Калькуляция (МИ)'!$AJ$8:$BC$8,0)),'Калькуляция (МИ)'!$F$25:$F$459,$F61,'Калькуляция (МИ)'!$G$25:$G$459,$G61))))</f>
        <v>0</v>
      </c>
      <c r="BG61" s="1080">
        <f>IF(BE61=0,0,(BF61-BE61)/BE61*100)</f>
        <v>0</v>
      </c>
      <c r="BH61" s="3404"/>
      <c r="BI61" s="3404"/>
      <c r="BJ61" s="1080">
        <f>IF(BH61=0,0,(BI61-BH61)/BH61*100)</f>
        <v>0</v>
      </c>
      <c r="BK61" s="3404"/>
      <c r="BL61" s="3404"/>
      <c r="BM61" s="1080">
        <f>IF(BK61=0,0,(BL61-BK61)/BK61*100)</f>
        <v>0</v>
      </c>
      <c r="BN61" s="3404"/>
      <c r="BO61" s="3404"/>
      <c r="BP61" s="1080">
        <f>IF(BN61=0,0,(BO61-BN61)/BN61*100)</f>
        <v>0</v>
      </c>
      <c r="BQ61" s="3404"/>
      <c r="BR61" s="3404"/>
      <c r="BS61" s="1080">
        <f>IF(BQ61=0,0,(BR61-BQ61)/BQ61*100)</f>
        <v>0</v>
      </c>
      <c r="BT61" s="3404"/>
      <c r="BU61" s="3404"/>
      <c r="BV61" s="1080">
        <f>IF(BT61=0,0,(BU61-BT61)/BT61*100)</f>
        <v>0</v>
      </c>
      <c r="BW61" s="3404"/>
      <c r="BX61" s="3404"/>
      <c r="BY61" s="1080">
        <f>IF(BW61=0,0,(BX61-BW61)/BW61*100)</f>
        <v>0</v>
      </c>
      <c r="BZ61" s="3404"/>
      <c r="CA61" s="3404"/>
      <c r="CB61" s="1080">
        <f>IF(BZ61=0,0,(CA61-BZ61)/BZ61*100)</f>
        <v>0</v>
      </c>
      <c r="CC61" s="3404"/>
      <c r="CD61" s="3404"/>
      <c r="CE61" s="1080">
        <f>IF(CC61=0,0,(CD61-CC61)/CC61*100)</f>
        <v>0</v>
      </c>
      <c r="CF61" s="3404"/>
      <c r="CG61" s="3404"/>
      <c r="CH61" s="1080">
        <f>IF(CF61=0,0,(CG61-CF61)/CF61*100)</f>
        <v>0</v>
      </c>
      <c r="CI61" s="3404"/>
      <c r="CJ61" s="3404"/>
      <c r="CK61" s="1080">
        <f>IF(CI61=0,0,(CJ61-CI61)/CI61*100)</f>
        <v>0</v>
      </c>
      <c r="CL61" s="3404"/>
      <c r="CM61" s="3404"/>
      <c r="CN61" s="1080">
        <f>IF(CL61=0,0,(CM61-CL61)/CL61*100)</f>
        <v>0</v>
      </c>
      <c r="CO61" s="3404"/>
      <c r="CP61" s="3404"/>
      <c r="CQ61" s="1080">
        <f>IF(CO61=0,0,(CP61-CO61)/CO61*100)</f>
        <v>0</v>
      </c>
      <c r="CR61" s="3404"/>
      <c r="CS61" s="3404"/>
      <c r="CT61" s="1080">
        <f>IF(CR61=0,0,(CS61-CR61)/CR61*100)</f>
        <v>0</v>
      </c>
      <c r="CU61" s="3404"/>
      <c r="CV61" s="3404"/>
      <c r="CW61" s="1080">
        <f>IF(CU61=0,0,(CV61-CU61)/CU61*100)</f>
        <v>0</v>
      </c>
      <c r="CX61" s="3404"/>
      <c r="CY61" s="3404"/>
      <c r="CZ61" s="1080">
        <f>IF(CX61=0,0,(CY61-CX61)/CX61*100)</f>
        <v>0</v>
      </c>
      <c r="DA61" s="3404"/>
      <c r="DB61" s="3404"/>
      <c r="DC61" s="1080">
        <f>IF(DA61=0,0,(DB61-DA61)/DA61*100)</f>
        <v>0</v>
      </c>
      <c r="DD61" s="3404"/>
      <c r="DE61" s="3404"/>
      <c r="DF61" s="1080">
        <f>IF(DD61=0,0,(DE61-DD61)/DD61*100)</f>
        <v>0</v>
      </c>
      <c r="DG61" s="3404"/>
      <c r="DH61" s="3404"/>
      <c r="DI61" s="1080">
        <f>IF(DG61=0,0,(DH61-DG61)/DG61*100)</f>
        <v>0</v>
      </c>
      <c r="DJ61" s="3404"/>
      <c r="DK61" s="3404"/>
      <c r="DL61" s="1080">
        <f>IF(DJ61=0,0,(DK61-DJ61)/DJ61*100)</f>
        <v>0</v>
      </c>
      <c r="DM61" s="3404"/>
      <c r="DN61" s="3404"/>
      <c r="DO61" s="1080">
        <f>IF(DM61=0,0,(DN61-DM61)/DM61*100)</f>
        <v>0</v>
      </c>
      <c r="DP61" s="3404"/>
      <c r="DQ61" s="3404"/>
      <c r="DR61" s="1080">
        <f>IF(DP61=0,0,(DQ61-DP61)/DP61*100)</f>
        <v>0</v>
      </c>
      <c r="DS61" s="3404"/>
      <c r="DT61" s="3404"/>
      <c r="DU61" s="1080">
        <f>IF(DS61=0,0,(DT61-DS61)/DS61*100)</f>
        <v>0</v>
      </c>
      <c r="DV61" s="3404"/>
      <c r="DW61" s="3404"/>
      <c r="DX61" s="1080">
        <f>IF(DV61=0,0,(DW61-DV61)/DV61*100)</f>
        <v>0</v>
      </c>
      <c r="DY61" s="3404"/>
      <c r="DZ61" s="3404"/>
      <c r="EA61" s="1080">
        <f>IF(DY61=0,0,(DZ61-DY61)/DY61*100)</f>
        <v>0</v>
      </c>
      <c r="EB61" s="3404"/>
      <c r="EC61" s="3404"/>
      <c r="ED61" s="1080">
        <f>IF(EB61=0,0,(EC61-EB61)/EB61*100)</f>
        <v>0</v>
      </c>
      <c r="EE61" s="3404"/>
      <c r="EF61" s="3404"/>
      <c r="EG61" s="1080">
        <f>IF(EE61=0,0,(EF61-EE61)/EE61*100)</f>
        <v>0</v>
      </c>
      <c r="EH61" s="3404"/>
      <c r="EI61" s="3404"/>
      <c r="EJ61" s="1080">
        <f>IF(EH61=0,0,(EI61-EH61)/EH61*100)</f>
        <v>0</v>
      </c>
      <c r="EK61" s="3404"/>
      <c r="EL61" s="3404"/>
      <c r="EM61" s="1080">
        <f>IF(EK61=0,0,(EL61-EK61)/EK61*100)</f>
        <v>0</v>
      </c>
      <c r="EN61" s="3404"/>
      <c r="EO61" s="3404"/>
      <c r="EP61" s="1080">
        <f>IF(EN61=0,0,(EO61-EN61)/EN61*100)</f>
        <v>0</v>
      </c>
      <c r="EQ61" s="3404"/>
      <c r="ER61" s="3404"/>
      <c r="ES61" s="1080">
        <f>IF(EQ61=0,0,(ER61-EQ61)/EQ61*100)</f>
        <v>0</v>
      </c>
      <c r="ET61" s="3404"/>
      <c r="EU61" s="3404"/>
      <c r="EV61" s="1080">
        <f>IF(ET61=0,0,(EU61-ET61)/ET61*100)</f>
        <v>0</v>
      </c>
      <c r="EW61" s="3404"/>
      <c r="EX61" s="3404"/>
      <c r="EY61" s="1080">
        <f>IF(EW61=0,0,(EX61-EW61)/EW61*100)</f>
        <v>0</v>
      </c>
      <c r="EZ61" s="3404"/>
      <c r="FA61" s="3404"/>
      <c r="FB61" s="1080">
        <f>IF(EZ61=0,0,(FA61-EZ61)/EZ61*100)</f>
        <v>0</v>
      </c>
      <c r="FC61" s="3404"/>
      <c r="FD61" s="3404"/>
      <c r="FE61" s="1080">
        <f>IF(FC61=0,0,(FD61-FC61)/FC61*100)</f>
        <v>0</v>
      </c>
      <c r="FF61" s="3404"/>
      <c r="FG61" s="3404"/>
      <c r="FH61" s="1080">
        <f>IF(FF61=0,0,(FG61-FF61)/FF61*100)</f>
        <v>0</v>
      </c>
      <c r="FI61" s="3404"/>
      <c r="FJ61" s="3404"/>
      <c r="FK61" s="1080">
        <f>IF(FI61=0,0,(FJ61-FI61)/FI61*100)</f>
        <v>0</v>
      </c>
      <c r="FL61" s="3404"/>
      <c r="FM61" s="3404"/>
      <c r="FN61" s="1080">
        <f>IF(FL61=0,0,(FM61-FL61)/FL61*100)</f>
        <v>0</v>
      </c>
      <c r="FO61" s="3404"/>
      <c r="FP61" s="3404"/>
      <c r="FQ61" s="1080">
        <f>IF(FO61=0,0,(FP61-FO61)/FO61*100)</f>
        <v>0</v>
      </c>
      <c r="FR61" s="3404"/>
      <c r="FS61" s="3404"/>
      <c r="FT61" s="1080">
        <f>IF(FR61=0,0,(FS61-FR61)/FR61*100)</f>
        <v>0</v>
      </c>
      <c r="FU61" s="3404"/>
      <c r="FV61" s="3404"/>
      <c r="FW61" s="1080">
        <f>IF(FU61=0,0,(FV61-FU61)/FU61*100)</f>
        <v>0</v>
      </c>
      <c r="FX61" s="676"/>
      <c r="FY61" s="676"/>
      <c r="FZ61" s="1039" t="s">
        <v>1551</v>
      </c>
      <c r="GA61" s="1061"/>
      <c r="GB61" s="1061"/>
      <c r="GC61" s="697"/>
      <c r="GD61" s="697"/>
    </row>
    <row customHeight="1" ht="21.9375" hidden="1">
      <c r="A62" s="467"/>
      <c r="B62" s="907" cm="1" t="str">
        <f t="array" ref="B62:B62">B61</f>
        <v>false</v>
      </c>
      <c r="C62" s="467"/>
      <c r="D62" s="467"/>
      <c r="E62" s="822">
        <v>22.5</v>
      </c>
      <c r="F62" s="50" cm="1" t="str">
        <f t="array" ref="F62:F62">OFFSET(E62,-1,1)</f>
        <v>0</v>
      </c>
      <c r="G62" s="467"/>
      <c r="H62" s="467" t="s">
        <v>1533</v>
      </c>
      <c r="I62" s="467" t="s">
        <v>1507</v>
      </c>
      <c r="J62" s="467"/>
      <c r="K62" s="467"/>
      <c r="L62" s="467"/>
      <c r="M62" s="467"/>
      <c r="N62" s="467"/>
      <c r="O62" s="467"/>
      <c r="P62" s="467"/>
      <c r="Q62" s="467"/>
      <c r="R62" s="467"/>
      <c r="S62" s="467"/>
      <c r="T62" s="439" cm="1" t="str">
        <f t="array" ref="T62:T62">T61</f>
        <v>false</v>
      </c>
      <c r="U62" s="467"/>
      <c r="V62" s="467"/>
      <c r="W62" s="467"/>
      <c r="X62" s="1534"/>
      <c r="Y62" s="467"/>
      <c r="Z62" s="1464"/>
      <c r="AA62" s="467"/>
      <c r="AB62"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846" t="s">
        <v>1534</v>
      </c>
      <c r="AD62" s="3409"/>
      <c r="AE62" s="3409"/>
      <c r="AF62" s="1078">
        <f>IF(AD62=0,0,(AE62-AD62)/AD62*100)</f>
        <v>0</v>
      </c>
      <c r="AG62" s="3409"/>
      <c r="AH62" s="3409"/>
      <c r="AI62" s="1078">
        <f>IF(AG62=0,0,(AH62-AG62)/AG62*100)</f>
        <v>0</v>
      </c>
      <c r="AJ62" s="3409"/>
      <c r="AK62" s="3409"/>
      <c r="AL62" s="1078">
        <f>IF(AJ62=0,0,(AK62-AJ62)/AJ62*100)</f>
        <v>0</v>
      </c>
      <c r="AM62" s="3409"/>
      <c r="AN62" s="3409"/>
      <c r="AO62" s="1078">
        <f>IF(AM62=0,0,(AN62-AM62)/AM62*100)</f>
        <v>0</v>
      </c>
      <c r="AP62" s="3409"/>
      <c r="AQ62" s="3409"/>
      <c r="AR62" s="1078">
        <f>IF(AP62=0,0,(AQ62-AP62)/AP62*100)</f>
        <v>0</v>
      </c>
      <c r="AS62" s="3409"/>
      <c r="AT62" s="3409"/>
      <c r="AU62" s="1078">
        <f>IF(AS62=0,0,(AT62-AS62)/AS62*100)</f>
        <v>0</v>
      </c>
      <c r="AV62" s="3409"/>
      <c r="AW62" s="3409"/>
      <c r="AX62" s="1078">
        <f>IF(AV62=0,0,(AW62-AV62)/AV62*100)</f>
        <v>0</v>
      </c>
      <c r="AY62" s="3409"/>
      <c r="AZ62" s="3409"/>
      <c r="BA62" s="1078">
        <f>IF(AY62=0,0,(AZ62-AY62)/AY62*100)</f>
        <v>0</v>
      </c>
      <c r="BB62" s="3409"/>
      <c r="BC62" s="3409"/>
      <c r="BD62" s="1078">
        <f>IF(BB62=0,0,(BC62-BB62)/BB62*100)</f>
        <v>0</v>
      </c>
      <c r="BE62" s="3409"/>
      <c r="BF62" s="3409"/>
      <c r="BG62" s="1078">
        <f>IF(BE62=0,0,(BF62-BE62)/BE62*100)</f>
        <v>0</v>
      </c>
      <c r="BH62" s="3409"/>
      <c r="BI62" s="3409"/>
      <c r="BJ62" s="1078">
        <f>IF(BH62=0,0,(BI62-BH62)/BH62*100)</f>
        <v>0</v>
      </c>
      <c r="BK62" s="3409"/>
      <c r="BL62" s="3409"/>
      <c r="BM62" s="1078">
        <f>IF(BK62=0,0,(BL62-BK62)/BK62*100)</f>
        <v>0</v>
      </c>
      <c r="BN62" s="3409"/>
      <c r="BO62" s="3409"/>
      <c r="BP62" s="1078">
        <f>IF(BN62=0,0,(BO62-BN62)/BN62*100)</f>
        <v>0</v>
      </c>
      <c r="BQ62" s="3409"/>
      <c r="BR62" s="3409"/>
      <c r="BS62" s="1078">
        <f>IF(BQ62=0,0,(BR62-BQ62)/BQ62*100)</f>
        <v>0</v>
      </c>
      <c r="BT62" s="3409"/>
      <c r="BU62" s="3409"/>
      <c r="BV62" s="1078">
        <f>IF(BT62=0,0,(BU62-BT62)/BT62*100)</f>
        <v>0</v>
      </c>
      <c r="BW62" s="3409"/>
      <c r="BX62" s="3409"/>
      <c r="BY62" s="1078">
        <f>IF(BW62=0,0,(BX62-BW62)/BW62*100)</f>
        <v>0</v>
      </c>
      <c r="BZ62" s="3409"/>
      <c r="CA62" s="3409"/>
      <c r="CB62" s="1078">
        <f>IF(BZ62=0,0,(CA62-BZ62)/BZ62*100)</f>
        <v>0</v>
      </c>
      <c r="CC62" s="3409"/>
      <c r="CD62" s="3409"/>
      <c r="CE62" s="1078">
        <f>IF(CC62=0,0,(CD62-CC62)/CC62*100)</f>
        <v>0</v>
      </c>
      <c r="CF62" s="3409"/>
      <c r="CG62" s="3409"/>
      <c r="CH62" s="1078">
        <f>IF(CF62=0,0,(CG62-CF62)/CF62*100)</f>
        <v>0</v>
      </c>
      <c r="CI62" s="3409"/>
      <c r="CJ62" s="3409"/>
      <c r="CK62" s="1078">
        <f>IF(CI62=0,0,(CJ62-CI62)/CI62*100)</f>
        <v>0</v>
      </c>
      <c r="CL62" s="3409"/>
      <c r="CM62" s="3409"/>
      <c r="CN62" s="1078">
        <f>IF(CL62=0,0,(CM62-CL62)/CL62*100)</f>
        <v>0</v>
      </c>
      <c r="CO62" s="3409"/>
      <c r="CP62" s="3409"/>
      <c r="CQ62" s="1078">
        <f>IF(CO62=0,0,(CP62-CO62)/CO62*100)</f>
        <v>0</v>
      </c>
      <c r="CR62" s="3409"/>
      <c r="CS62" s="3409"/>
      <c r="CT62" s="1078">
        <f>IF(CR62=0,0,(CS62-CR62)/CR62*100)</f>
        <v>0</v>
      </c>
      <c r="CU62" s="3409"/>
      <c r="CV62" s="3409"/>
      <c r="CW62" s="1078">
        <f>IF(CU62=0,0,(CV62-CU62)/CU62*100)</f>
        <v>0</v>
      </c>
      <c r="CX62" s="3409"/>
      <c r="CY62" s="3409"/>
      <c r="CZ62" s="1078">
        <f>IF(CX62=0,0,(CY62-CX62)/CX62*100)</f>
        <v>0</v>
      </c>
      <c r="DA62" s="3409"/>
      <c r="DB62" s="3409"/>
      <c r="DC62" s="1078">
        <f>IF(DA62=0,0,(DB62-DA62)/DA62*100)</f>
        <v>0</v>
      </c>
      <c r="DD62" s="3409"/>
      <c r="DE62" s="3409"/>
      <c r="DF62" s="1078">
        <f>IF(DD62=0,0,(DE62-DD62)/DD62*100)</f>
        <v>0</v>
      </c>
      <c r="DG62" s="3409"/>
      <c r="DH62" s="3409"/>
      <c r="DI62" s="1078">
        <f>IF(DG62=0,0,(DH62-DG62)/DG62*100)</f>
        <v>0</v>
      </c>
      <c r="DJ62" s="3409"/>
      <c r="DK62" s="3409"/>
      <c r="DL62" s="1078">
        <f>IF(DJ62=0,0,(DK62-DJ62)/DJ62*100)</f>
        <v>0</v>
      </c>
      <c r="DM62" s="3409"/>
      <c r="DN62" s="3409"/>
      <c r="DO62" s="1078">
        <f>IF(DM62=0,0,(DN62-DM62)/DM62*100)</f>
        <v>0</v>
      </c>
      <c r="DP62" s="3409"/>
      <c r="DQ62" s="3409"/>
      <c r="DR62" s="1078">
        <f>IF(DP62=0,0,(DQ62-DP62)/DP62*100)</f>
        <v>0</v>
      </c>
      <c r="DS62" s="3409"/>
      <c r="DT62" s="3409"/>
      <c r="DU62" s="1078">
        <f>IF(DS62=0,0,(DT62-DS62)/DS62*100)</f>
        <v>0</v>
      </c>
      <c r="DV62" s="3409"/>
      <c r="DW62" s="3409"/>
      <c r="DX62" s="1078">
        <f>IF(DV62=0,0,(DW62-DV62)/DV62*100)</f>
        <v>0</v>
      </c>
      <c r="DY62" s="3409"/>
      <c r="DZ62" s="3409"/>
      <c r="EA62" s="1078">
        <f>IF(DY62=0,0,(DZ62-DY62)/DY62*100)</f>
        <v>0</v>
      </c>
      <c r="EB62" s="3409"/>
      <c r="EC62" s="3409"/>
      <c r="ED62" s="1078">
        <f>IF(EB62=0,0,(EC62-EB62)/EB62*100)</f>
        <v>0</v>
      </c>
      <c r="EE62" s="3409"/>
      <c r="EF62" s="3409"/>
      <c r="EG62" s="1078">
        <f>IF(EE62=0,0,(EF62-EE62)/EE62*100)</f>
        <v>0</v>
      </c>
      <c r="EH62" s="3409"/>
      <c r="EI62" s="3409"/>
      <c r="EJ62" s="1078">
        <f>IF(EH62=0,0,(EI62-EH62)/EH62*100)</f>
        <v>0</v>
      </c>
      <c r="EK62" s="3409"/>
      <c r="EL62" s="3409"/>
      <c r="EM62" s="1078">
        <f>IF(EK62=0,0,(EL62-EK62)/EK62*100)</f>
        <v>0</v>
      </c>
      <c r="EN62" s="3409"/>
      <c r="EO62" s="3409"/>
      <c r="EP62" s="1078">
        <f>IF(EN62=0,0,(EO62-EN62)/EN62*100)</f>
        <v>0</v>
      </c>
      <c r="EQ62" s="3409"/>
      <c r="ER62" s="3409"/>
      <c r="ES62" s="1078">
        <f>IF(EQ62=0,0,(ER62-EQ62)/EQ62*100)</f>
        <v>0</v>
      </c>
      <c r="ET62" s="3409"/>
      <c r="EU62" s="3409"/>
      <c r="EV62" s="1078">
        <f>IF(ET62=0,0,(EU62-ET62)/ET62*100)</f>
        <v>0</v>
      </c>
      <c r="EW62" s="3409"/>
      <c r="EX62" s="3409"/>
      <c r="EY62" s="1078">
        <f>IF(EW62=0,0,(EX62-EW62)/EW62*100)</f>
        <v>0</v>
      </c>
      <c r="EZ62" s="3409"/>
      <c r="FA62" s="3409"/>
      <c r="FB62" s="1078">
        <f>IF(EZ62=0,0,(FA62-EZ62)/EZ62*100)</f>
        <v>0</v>
      </c>
      <c r="FC62" s="3409"/>
      <c r="FD62" s="3409"/>
      <c r="FE62" s="1078">
        <f>IF(FC62=0,0,(FD62-FC62)/FC62*100)</f>
        <v>0</v>
      </c>
      <c r="FF62" s="3409"/>
      <c r="FG62" s="3409"/>
      <c r="FH62" s="1078">
        <f>IF(FF62=0,0,(FG62-FF62)/FF62*100)</f>
        <v>0</v>
      </c>
      <c r="FI62" s="3409"/>
      <c r="FJ62" s="3409"/>
      <c r="FK62" s="1078">
        <f>IF(FI62=0,0,(FJ62-FI62)/FI62*100)</f>
        <v>0</v>
      </c>
      <c r="FL62" s="3409"/>
      <c r="FM62" s="3409"/>
      <c r="FN62" s="1078">
        <f>IF(FL62=0,0,(FM62-FL62)/FL62*100)</f>
        <v>0</v>
      </c>
      <c r="FO62" s="3409"/>
      <c r="FP62" s="3409"/>
      <c r="FQ62" s="1078">
        <f>IF(FO62=0,0,(FP62-FO62)/FO62*100)</f>
        <v>0</v>
      </c>
      <c r="FR62" s="3409"/>
      <c r="FS62" s="3409"/>
      <c r="FT62" s="1078">
        <f>IF(FR62=0,0,(FS62-FR62)/FR62*100)</f>
        <v>0</v>
      </c>
      <c r="FU62" s="3409"/>
      <c r="FV62" s="3409"/>
      <c r="FW62" s="1078">
        <f>IF(FU62=0,0,(FV62-FU62)/FU62*100)</f>
        <v>0</v>
      </c>
      <c r="FX62" s="676"/>
      <c r="FY62" s="676"/>
      <c r="FZ62" s="1039" t="s">
        <v>1552</v>
      </c>
      <c r="GA62" s="1061"/>
      <c r="GB62" s="1061"/>
      <c r="GC62" s="697"/>
      <c r="GD62" s="697"/>
    </row>
    <row customHeight="1" ht="14.625" hidden="1">
      <c r="A63" s="467"/>
      <c r="B63" s="907" cm="1" t="str">
        <f t="array" ref="B63:B63">B62</f>
        <v>false</v>
      </c>
      <c r="C63" s="467"/>
      <c r="D63" s="467"/>
      <c r="E63" s="822">
        <v>15</v>
      </c>
      <c r="F63" s="50" cm="1" t="str">
        <f t="array" ref="F63:F63">OFFSET(E63,-1,1)</f>
        <v>0</v>
      </c>
      <c r="G63" s="467"/>
      <c r="H63" s="467" t="s">
        <v>1536</v>
      </c>
      <c r="I63" s="467" t="s">
        <v>1507</v>
      </c>
      <c r="J63" s="467"/>
      <c r="K63" s="467"/>
      <c r="L63" s="467"/>
      <c r="M63" s="467"/>
      <c r="N63" s="467"/>
      <c r="O63" s="467"/>
      <c r="P63" s="467"/>
      <c r="Q63" s="467"/>
      <c r="R63" s="467"/>
      <c r="S63" s="467"/>
      <c r="T63" s="439" cm="1" t="str">
        <f t="array" ref="T63:T63">T62</f>
        <v>false</v>
      </c>
      <c r="U63" s="467"/>
      <c r="V63" s="467"/>
      <c r="W63" s="467"/>
      <c r="X63" s="1534"/>
      <c r="Y63" s="467"/>
      <c r="Z63" s="1464"/>
      <c r="AA63" s="467"/>
      <c r="AB63" s="1076" t="s">
        <v>1537</v>
      </c>
      <c r="AC63" s="846" t="s">
        <v>1538</v>
      </c>
      <c r="AD63" s="3409"/>
      <c r="AE63" s="3409"/>
      <c r="AF63" s="1078">
        <f>IF(AD63=0,0,(AE63-AD63)/AD63*100)</f>
        <v>0</v>
      </c>
      <c r="AG63" s="3409"/>
      <c r="AH63" s="3409"/>
      <c r="AI63" s="1078">
        <f>IF(AG63=0,0,(AH63-AG63)/AG63*100)</f>
        <v>0</v>
      </c>
      <c r="AJ63" s="3409"/>
      <c r="AK63" s="3409"/>
      <c r="AL63" s="1078">
        <f>IF(AJ63=0,0,(AK63-AJ63)/AJ63*100)</f>
        <v>0</v>
      </c>
      <c r="AM63" s="3409"/>
      <c r="AN63" s="3409"/>
      <c r="AO63" s="1078">
        <f>IF(AM63=0,0,(AN63-AM63)/AM63*100)</f>
        <v>0</v>
      </c>
      <c r="AP63" s="3409"/>
      <c r="AQ63" s="3409"/>
      <c r="AR63" s="1078">
        <f>IF(AP63=0,0,(AQ63-AP63)/AP63*100)</f>
        <v>0</v>
      </c>
      <c r="AS63" s="3409"/>
      <c r="AT63" s="3409"/>
      <c r="AU63" s="1078">
        <f>IF(AS63=0,0,(AT63-AS63)/AS63*100)</f>
        <v>0</v>
      </c>
      <c r="AV63" s="3409"/>
      <c r="AW63" s="3409"/>
      <c r="AX63" s="1078">
        <f>IF(AV63=0,0,(AW63-AV63)/AV63*100)</f>
        <v>0</v>
      </c>
      <c r="AY63" s="3409"/>
      <c r="AZ63" s="3409"/>
      <c r="BA63" s="1078">
        <f>IF(AY63=0,0,(AZ63-AY63)/AY63*100)</f>
        <v>0</v>
      </c>
      <c r="BB63" s="3409"/>
      <c r="BC63" s="3409"/>
      <c r="BD63" s="1078">
        <f>IF(BB63=0,0,(BC63-BB63)/BB63*100)</f>
        <v>0</v>
      </c>
      <c r="BE63" s="3409"/>
      <c r="BF63" s="3409"/>
      <c r="BG63" s="1078">
        <f>IF(BE63=0,0,(BF63-BE63)/BE63*100)</f>
        <v>0</v>
      </c>
      <c r="BH63" s="3409"/>
      <c r="BI63" s="3409"/>
      <c r="BJ63" s="1078">
        <f>IF(BH63=0,0,(BI63-BH63)/BH63*100)</f>
        <v>0</v>
      </c>
      <c r="BK63" s="3409"/>
      <c r="BL63" s="3409"/>
      <c r="BM63" s="1078">
        <f>IF(BK63=0,0,(BL63-BK63)/BK63*100)</f>
        <v>0</v>
      </c>
      <c r="BN63" s="3409"/>
      <c r="BO63" s="3409"/>
      <c r="BP63" s="1078">
        <f>IF(BN63=0,0,(BO63-BN63)/BN63*100)</f>
        <v>0</v>
      </c>
      <c r="BQ63" s="3409"/>
      <c r="BR63" s="3409"/>
      <c r="BS63" s="1078">
        <f>IF(BQ63=0,0,(BR63-BQ63)/BQ63*100)</f>
        <v>0</v>
      </c>
      <c r="BT63" s="3409"/>
      <c r="BU63" s="3409"/>
      <c r="BV63" s="1078">
        <f>IF(BT63=0,0,(BU63-BT63)/BT63*100)</f>
        <v>0</v>
      </c>
      <c r="BW63" s="3409"/>
      <c r="BX63" s="3409"/>
      <c r="BY63" s="1078">
        <f>IF(BW63=0,0,(BX63-BW63)/BW63*100)</f>
        <v>0</v>
      </c>
      <c r="BZ63" s="3409"/>
      <c r="CA63" s="3409"/>
      <c r="CB63" s="1078">
        <f>IF(BZ63=0,0,(CA63-BZ63)/BZ63*100)</f>
        <v>0</v>
      </c>
      <c r="CC63" s="3409"/>
      <c r="CD63" s="3409"/>
      <c r="CE63" s="1078">
        <f>IF(CC63=0,0,(CD63-CC63)/CC63*100)</f>
        <v>0</v>
      </c>
      <c r="CF63" s="3409"/>
      <c r="CG63" s="3409"/>
      <c r="CH63" s="1078">
        <f>IF(CF63=0,0,(CG63-CF63)/CF63*100)</f>
        <v>0</v>
      </c>
      <c r="CI63" s="3409"/>
      <c r="CJ63" s="3409"/>
      <c r="CK63" s="1078">
        <f>IF(CI63=0,0,(CJ63-CI63)/CI63*100)</f>
        <v>0</v>
      </c>
      <c r="CL63" s="3409"/>
      <c r="CM63" s="3409"/>
      <c r="CN63" s="1078">
        <f>IF(CL63=0,0,(CM63-CL63)/CL63*100)</f>
        <v>0</v>
      </c>
      <c r="CO63" s="3409"/>
      <c r="CP63" s="3409"/>
      <c r="CQ63" s="1078">
        <f>IF(CO63=0,0,(CP63-CO63)/CO63*100)</f>
        <v>0</v>
      </c>
      <c r="CR63" s="3409"/>
      <c r="CS63" s="3409"/>
      <c r="CT63" s="1078">
        <f>IF(CR63=0,0,(CS63-CR63)/CR63*100)</f>
        <v>0</v>
      </c>
      <c r="CU63" s="3409"/>
      <c r="CV63" s="3409"/>
      <c r="CW63" s="1078">
        <f>IF(CU63=0,0,(CV63-CU63)/CU63*100)</f>
        <v>0</v>
      </c>
      <c r="CX63" s="3409"/>
      <c r="CY63" s="3409"/>
      <c r="CZ63" s="1078">
        <f>IF(CX63=0,0,(CY63-CX63)/CX63*100)</f>
        <v>0</v>
      </c>
      <c r="DA63" s="3409"/>
      <c r="DB63" s="3409"/>
      <c r="DC63" s="1078">
        <f>IF(DA63=0,0,(DB63-DA63)/DA63*100)</f>
        <v>0</v>
      </c>
      <c r="DD63" s="3409"/>
      <c r="DE63" s="3409"/>
      <c r="DF63" s="1078">
        <f>IF(DD63=0,0,(DE63-DD63)/DD63*100)</f>
        <v>0</v>
      </c>
      <c r="DG63" s="3409"/>
      <c r="DH63" s="3409"/>
      <c r="DI63" s="1078">
        <f>IF(DG63=0,0,(DH63-DG63)/DG63*100)</f>
        <v>0</v>
      </c>
      <c r="DJ63" s="3409"/>
      <c r="DK63" s="3409"/>
      <c r="DL63" s="1078">
        <f>IF(DJ63=0,0,(DK63-DJ63)/DJ63*100)</f>
        <v>0</v>
      </c>
      <c r="DM63" s="3409"/>
      <c r="DN63" s="3409"/>
      <c r="DO63" s="1078">
        <f>IF(DM63=0,0,(DN63-DM63)/DM63*100)</f>
        <v>0</v>
      </c>
      <c r="DP63" s="3409"/>
      <c r="DQ63" s="3409"/>
      <c r="DR63" s="1078">
        <f>IF(DP63=0,0,(DQ63-DP63)/DP63*100)</f>
        <v>0</v>
      </c>
      <c r="DS63" s="3409"/>
      <c r="DT63" s="3409"/>
      <c r="DU63" s="1078">
        <f>IF(DS63=0,0,(DT63-DS63)/DS63*100)</f>
        <v>0</v>
      </c>
      <c r="DV63" s="3409"/>
      <c r="DW63" s="3409"/>
      <c r="DX63" s="1078">
        <f>IF(DV63=0,0,(DW63-DV63)/DV63*100)</f>
        <v>0</v>
      </c>
      <c r="DY63" s="3409"/>
      <c r="DZ63" s="3409"/>
      <c r="EA63" s="1078">
        <f>IF(DY63=0,0,(DZ63-DY63)/DY63*100)</f>
        <v>0</v>
      </c>
      <c r="EB63" s="3409"/>
      <c r="EC63" s="3409"/>
      <c r="ED63" s="1078">
        <f>IF(EB63=0,0,(EC63-EB63)/EB63*100)</f>
        <v>0</v>
      </c>
      <c r="EE63" s="3409"/>
      <c r="EF63" s="3409"/>
      <c r="EG63" s="1078">
        <f>IF(EE63=0,0,(EF63-EE63)/EE63*100)</f>
        <v>0</v>
      </c>
      <c r="EH63" s="3409"/>
      <c r="EI63" s="3409"/>
      <c r="EJ63" s="1078">
        <f>IF(EH63=0,0,(EI63-EH63)/EH63*100)</f>
        <v>0</v>
      </c>
      <c r="EK63" s="3409"/>
      <c r="EL63" s="3409"/>
      <c r="EM63" s="1078">
        <f>IF(EK63=0,0,(EL63-EK63)/EK63*100)</f>
        <v>0</v>
      </c>
      <c r="EN63" s="3409"/>
      <c r="EO63" s="3409"/>
      <c r="EP63" s="1078">
        <f>IF(EN63=0,0,(EO63-EN63)/EN63*100)</f>
        <v>0</v>
      </c>
      <c r="EQ63" s="3409"/>
      <c r="ER63" s="3409"/>
      <c r="ES63" s="1078">
        <f>IF(EQ63=0,0,(ER63-EQ63)/EQ63*100)</f>
        <v>0</v>
      </c>
      <c r="ET63" s="3409"/>
      <c r="EU63" s="3409"/>
      <c r="EV63" s="1078">
        <f>IF(ET63=0,0,(EU63-ET63)/ET63*100)</f>
        <v>0</v>
      </c>
      <c r="EW63" s="3409"/>
      <c r="EX63" s="3409"/>
      <c r="EY63" s="1078">
        <f>IF(EW63=0,0,(EX63-EW63)/EW63*100)</f>
        <v>0</v>
      </c>
      <c r="EZ63" s="3409"/>
      <c r="FA63" s="3409"/>
      <c r="FB63" s="1078">
        <f>IF(EZ63=0,0,(FA63-EZ63)/EZ63*100)</f>
        <v>0</v>
      </c>
      <c r="FC63" s="3409"/>
      <c r="FD63" s="3409"/>
      <c r="FE63" s="1078">
        <f>IF(FC63=0,0,(FD63-FC63)/FC63*100)</f>
        <v>0</v>
      </c>
      <c r="FF63" s="3409"/>
      <c r="FG63" s="3409"/>
      <c r="FH63" s="1078">
        <f>IF(FF63=0,0,(FG63-FF63)/FF63*100)</f>
        <v>0</v>
      </c>
      <c r="FI63" s="3409"/>
      <c r="FJ63" s="3409"/>
      <c r="FK63" s="1078">
        <f>IF(FI63=0,0,(FJ63-FI63)/FI63*100)</f>
        <v>0</v>
      </c>
      <c r="FL63" s="3409"/>
      <c r="FM63" s="3409"/>
      <c r="FN63" s="1078">
        <f>IF(FL63=0,0,(FM63-FL63)/FL63*100)</f>
        <v>0</v>
      </c>
      <c r="FO63" s="3409"/>
      <c r="FP63" s="3409"/>
      <c r="FQ63" s="1078">
        <f>IF(FO63=0,0,(FP63-FO63)/FO63*100)</f>
        <v>0</v>
      </c>
      <c r="FR63" s="3409"/>
      <c r="FS63" s="3409"/>
      <c r="FT63" s="1078">
        <f>IF(FR63=0,0,(FS63-FR63)/FR63*100)</f>
        <v>0</v>
      </c>
      <c r="FU63" s="3409"/>
      <c r="FV63" s="3409"/>
      <c r="FW63" s="1078">
        <f>IF(FU63=0,0,(FV63-FU63)/FU63*100)</f>
        <v>0</v>
      </c>
      <c r="FX63" s="676"/>
      <c r="FY63" s="676"/>
      <c r="FZ63" s="1039" t="s">
        <v>1553</v>
      </c>
      <c r="GA63" s="1061"/>
      <c r="GB63" s="1061"/>
      <c r="GC63" s="697"/>
      <c r="GD63" s="697"/>
    </row>
    <row customHeight="1" ht="23.887500000000003" hidden="1">
      <c r="A64" s="467"/>
      <c r="B64" s="907" cm="1" t="str">
        <f t="array" ref="B64:B64">B63</f>
        <v>false</v>
      </c>
      <c r="C64" s="467"/>
      <c r="D64" s="467"/>
      <c r="E64" s="822">
        <v>24.5</v>
      </c>
      <c r="F64" s="50" cm="1" t="str">
        <f t="array" ref="F64:F64">OFFSET(E64,-1,1)</f>
        <v>0</v>
      </c>
      <c r="G64" s="467"/>
      <c r="H64" s="467"/>
      <c r="I64" s="467"/>
      <c r="J64" s="467"/>
      <c r="K64" s="467"/>
      <c r="L64" s="467"/>
      <c r="M64" s="467"/>
      <c r="N64" s="467"/>
      <c r="O64" s="467"/>
      <c r="P64" s="467"/>
      <c r="Q64" s="467"/>
      <c r="R64" s="467"/>
      <c r="S64" s="467"/>
      <c r="T64" s="439" cm="1" t="str">
        <f t="array" ref="T64:T64">T63</f>
        <v>false</v>
      </c>
      <c r="U64" s="467"/>
      <c r="V64" s="467"/>
      <c r="W64" s="467"/>
      <c r="X64" s="1534"/>
      <c r="Y64" s="467"/>
      <c r="Z64" s="1464"/>
      <c r="AA64" s="467"/>
      <c r="AB64" s="260" t="s">
        <v>1554</v>
      </c>
      <c r="AC64" s="885"/>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BD64" s="1087"/>
      <c r="BE64" s="1087"/>
      <c r="BF64" s="1087"/>
      <c r="BG64" s="1087"/>
      <c r="BH64" s="1087"/>
      <c r="BI64" s="1087"/>
      <c r="BJ64" s="1087"/>
      <c r="BK64" s="1087"/>
      <c r="BL64" s="1087"/>
      <c r="BM64" s="1087"/>
      <c r="BN64" s="1087"/>
      <c r="BO64" s="1087"/>
      <c r="BP64" s="1087"/>
      <c r="BQ64" s="1087"/>
      <c r="BR64" s="1087"/>
      <c r="BS64" s="1087"/>
      <c r="BT64" s="1087"/>
      <c r="BU64" s="1087"/>
      <c r="BV64" s="1087"/>
      <c r="BW64" s="1087"/>
      <c r="BX64" s="1087"/>
      <c r="BY64" s="1087"/>
      <c r="BZ64" s="1087"/>
      <c r="CA64" s="1087"/>
      <c r="CB64" s="1087"/>
      <c r="CC64" s="1087"/>
      <c r="CD64" s="1087"/>
      <c r="CE64" s="1087"/>
      <c r="CF64" s="1087"/>
      <c r="CG64" s="1087"/>
      <c r="CH64" s="1087"/>
      <c r="CI64" s="1087"/>
      <c r="CJ64" s="1087"/>
      <c r="CK64" s="1087"/>
      <c r="CL64" s="1087"/>
      <c r="CM64" s="1087"/>
      <c r="CN64" s="1087"/>
      <c r="CO64" s="1087"/>
      <c r="CP64" s="1087"/>
      <c r="CQ64" s="1087"/>
      <c r="CR64" s="1087"/>
      <c r="CS64" s="1087"/>
      <c r="CT64" s="1087"/>
      <c r="CU64" s="1087"/>
      <c r="CV64" s="1087"/>
      <c r="CW64" s="1087"/>
      <c r="CX64" s="1087"/>
      <c r="CY64" s="1087"/>
      <c r="CZ64" s="1087"/>
      <c r="DA64" s="1087"/>
      <c r="DB64" s="1087"/>
      <c r="DC64" s="1087"/>
      <c r="DD64" s="1087"/>
      <c r="DE64" s="1087"/>
      <c r="DF64" s="1087"/>
      <c r="DG64" s="1087"/>
      <c r="DH64" s="1087"/>
      <c r="DI64" s="1087"/>
      <c r="DJ64" s="1087"/>
      <c r="DK64" s="1087"/>
      <c r="DL64" s="1087"/>
      <c r="DM64" s="1087"/>
      <c r="DN64" s="1087"/>
      <c r="DO64" s="1087"/>
      <c r="DP64" s="1087"/>
      <c r="DQ64" s="1087"/>
      <c r="DR64" s="1087"/>
      <c r="DS64" s="1087"/>
      <c r="DT64" s="1087"/>
      <c r="DU64" s="1087"/>
      <c r="DV64" s="1087"/>
      <c r="DW64" s="1087"/>
      <c r="DX64" s="1087"/>
      <c r="DY64" s="1087"/>
      <c r="DZ64" s="1087"/>
      <c r="EA64" s="1087"/>
      <c r="EB64" s="1087"/>
      <c r="EC64" s="1087"/>
      <c r="ED64" s="1087"/>
      <c r="EE64" s="1087"/>
      <c r="EF64" s="1087"/>
      <c r="EG64" s="1087"/>
      <c r="EH64" s="1087"/>
      <c r="EI64" s="1087"/>
      <c r="EJ64" s="1087"/>
      <c r="EK64" s="1087"/>
      <c r="EL64" s="1087"/>
      <c r="EM64" s="1087"/>
      <c r="EN64" s="1087"/>
      <c r="EO64" s="1087"/>
      <c r="EP64" s="1087"/>
      <c r="EQ64" s="1087"/>
      <c r="ER64" s="1087"/>
      <c r="ES64" s="1087"/>
      <c r="ET64" s="1087"/>
      <c r="EU64" s="1087"/>
      <c r="EV64" s="1087"/>
      <c r="EW64" s="1087"/>
      <c r="EX64" s="1087"/>
      <c r="EY64" s="1087"/>
      <c r="EZ64" s="1087"/>
      <c r="FA64" s="1087"/>
      <c r="FB64" s="1087"/>
      <c r="FC64" s="1087"/>
      <c r="FD64" s="1087"/>
      <c r="FE64" s="1087"/>
      <c r="FF64" s="1087"/>
      <c r="FG64" s="1087"/>
      <c r="FH64" s="1087"/>
      <c r="FI64" s="1087"/>
      <c r="FJ64" s="1087"/>
      <c r="FK64" s="1087"/>
      <c r="FL64" s="1087"/>
      <c r="FM64" s="1087"/>
      <c r="FN64" s="1087"/>
      <c r="FO64" s="1087"/>
      <c r="FP64" s="1087"/>
      <c r="FQ64" s="1087"/>
      <c r="FR64" s="1087"/>
      <c r="FS64" s="1087"/>
      <c r="FT64" s="1087"/>
      <c r="FU64" s="1087"/>
      <c r="FV64" s="1087"/>
      <c r="FW64" s="1088"/>
      <c r="FX64" s="676"/>
      <c r="FY64" s="676"/>
      <c r="FZ64" s="1039"/>
      <c r="GA64" s="1061"/>
      <c r="GB64" s="1061"/>
      <c r="GC64" s="697"/>
      <c r="GD64" s="697"/>
    </row>
    <row customHeight="1" ht="14.625" hidden="1">
      <c r="A65" s="467"/>
      <c r="B65" s="907" cm="1" t="str">
        <f t="array" ref="B65:B65">B64</f>
        <v>false</v>
      </c>
      <c r="C65" s="467"/>
      <c r="D65" s="467"/>
      <c r="E65" s="822">
        <v>15</v>
      </c>
      <c r="F65" s="50" cm="1" t="str">
        <f t="array" ref="F65:F65">OFFSET(E65,-1,1)</f>
        <v>0</v>
      </c>
      <c r="G65" s="467"/>
      <c r="H65" s="467" t="s">
        <v>1445</v>
      </c>
      <c r="I65" s="467" t="s">
        <v>1511</v>
      </c>
      <c r="J65" s="467"/>
      <c r="K65" s="467"/>
      <c r="L65" s="467"/>
      <c r="M65" s="467"/>
      <c r="N65" s="467"/>
      <c r="O65" s="467"/>
      <c r="P65" s="467"/>
      <c r="Q65" s="467"/>
      <c r="R65" s="467"/>
      <c r="S65" s="467"/>
      <c r="T65" s="439" cm="1" t="str">
        <f t="array" ref="T65:T65">T64</f>
        <v>false</v>
      </c>
      <c r="U65" s="467"/>
      <c r="V65" s="467"/>
      <c r="W65" s="467"/>
      <c r="X65" s="1534"/>
      <c r="Y65" s="467"/>
      <c r="Z65" s="1464"/>
      <c r="AA65" s="467"/>
      <c r="AB65" s="1076" t="s">
        <v>1527</v>
      </c>
      <c r="AC65" s="846" t="s">
        <v>1494</v>
      </c>
      <c r="AD65" s="3409">
        <f>IF(AD67=0,0,(AD66*AD67+AD68*AD69*IF(god=2026,3,6))/AD67)</f>
        <v>0</v>
      </c>
      <c r="AE65" s="3409">
        <f>IF(AE67=0,0,(AE66*AE67+AE68*AE69*IF(god=2026,3,6))/AE67)</f>
        <v>0</v>
      </c>
      <c r="AF65" s="1078">
        <f>IF(AD65=0,0,(AE65-AD65)/AD65*100)</f>
        <v>0</v>
      </c>
      <c r="AG65" s="3409">
        <f>IF(AG67=0,0,(AG66*AG67+AG68*AG69*IF(god=2025,3,6))/AG67)</f>
        <v>0</v>
      </c>
      <c r="AH65" s="3409">
        <f>IF(AH67=0,0,(AH66*AH67+AH68*AH69*IF(god=2025,3,6))/AH67)</f>
        <v>0</v>
      </c>
      <c r="AI65" s="1078">
        <f>IF(AG65=0,0,(AH65-AG65)/AG65*100)</f>
        <v>0</v>
      </c>
      <c r="AJ65" s="3409">
        <f>IF(AJ67=0,0,(AJ66*AJ67+AJ68*AJ69*6)/AJ67)</f>
        <v>0</v>
      </c>
      <c r="AK65" s="3409">
        <f>IF(AK67=0,0,(AK66*AK67+AK68*AK69*6)/AK67)</f>
        <v>0</v>
      </c>
      <c r="AL65" s="1078">
        <f>IF(AJ65=0,0,(AK65-AJ65)/AJ65*100)</f>
        <v>0</v>
      </c>
      <c r="AM65" s="3409">
        <f>IF(AM67=0,0,(AM66*AM67+AM68*AM69*6)/AM67)</f>
        <v>0</v>
      </c>
      <c r="AN65" s="3409">
        <f>IF(AN67=0,0,(AN66*AN67+AN68*AN69*6)/AN67)</f>
        <v>0</v>
      </c>
      <c r="AO65" s="1078">
        <f>IF(AM65=0,0,(AN65-AM65)/AM65*100)</f>
        <v>0</v>
      </c>
      <c r="AP65" s="3409">
        <f>IF(AP67=0,0,(AP66*AP67+AP68*AP69*6)/AP67)</f>
        <v>0</v>
      </c>
      <c r="AQ65" s="3409">
        <f>IF(AQ67=0,0,(AQ66*AQ67+AQ68*AQ69*6)/AQ67)</f>
        <v>0</v>
      </c>
      <c r="AR65" s="1078">
        <f>IF(AP65=0,0,(AQ65-AP65)/AP65*100)</f>
        <v>0</v>
      </c>
      <c r="AS65" s="3409">
        <f>IF(AS67=0,0,(AS66*AS67+AS68*AS69*6)/AS67)</f>
        <v>0</v>
      </c>
      <c r="AT65" s="3409">
        <f>IF(AT67=0,0,(AT66*AT67+AT68*AT69*6)/AT67)</f>
        <v>0</v>
      </c>
      <c r="AU65" s="1078">
        <f>IF(AS65=0,0,(AT65-AS65)/AS65*100)</f>
        <v>0</v>
      </c>
      <c r="AV65" s="3409">
        <f>IF(AV67=0,0,(AV66*AV67+AV68*AV69*6)/AV67)</f>
        <v>0</v>
      </c>
      <c r="AW65" s="3409">
        <f>IF(AW67=0,0,(AW66*AW67+AW68*AW69*6)/AW67)</f>
        <v>0</v>
      </c>
      <c r="AX65" s="1078">
        <f>IF(AV65=0,0,(AW65-AV65)/AV65*100)</f>
        <v>0</v>
      </c>
      <c r="AY65" s="3409">
        <f>IF(AY67=0,0,(AY66*AY67+AY68*AY69*6)/AY67)</f>
        <v>0</v>
      </c>
      <c r="AZ65" s="3409">
        <f>IF(AZ67=0,0,(AZ66*AZ67+AZ68*AZ69*6)/AZ67)</f>
        <v>0</v>
      </c>
      <c r="BA65" s="1078">
        <f>IF(AY65=0,0,(AZ65-AY65)/AY65*100)</f>
        <v>0</v>
      </c>
      <c r="BB65" s="3409">
        <f>IF(BB67=0,0,(BB66*BB67+BB68*BB69*6)/BB67)</f>
        <v>0</v>
      </c>
      <c r="BC65" s="3409">
        <f>IF(BC67=0,0,(BC66*BC67+BC68*BC69*6)/BC67)</f>
        <v>0</v>
      </c>
      <c r="BD65" s="1078">
        <f>IF(BB65=0,0,(BC65-BB65)/BB65*100)</f>
        <v>0</v>
      </c>
      <c r="BE65" s="3409">
        <f>IF(BE67=0,0,(BE66*BE67+BE68*BE69*6)/BE67)</f>
        <v>0</v>
      </c>
      <c r="BF65" s="3409">
        <f>IF(BF67=0,0,(BF66*BF67+BF68*BF69*6)/BF67)</f>
        <v>0</v>
      </c>
      <c r="BG65" s="1078">
        <f>IF(BE65=0,0,(BF65-BE65)/BE65*100)</f>
        <v>0</v>
      </c>
      <c r="BH65" s="3409">
        <f>IF(BH67=0,0,(BH66*BH67+BH68*BH69*6)/BH67)</f>
        <v>0</v>
      </c>
      <c r="BI65" s="3409">
        <f>IF(BI67=0,0,(BI66*BI67+BI68*BI69*6)/BI67)</f>
        <v>0</v>
      </c>
      <c r="BJ65" s="1078">
        <f>IF(BH65=0,0,(BI65-BH65)/BH65*100)</f>
        <v>0</v>
      </c>
      <c r="BK65" s="3409">
        <f>IF(BK67=0,0,(BK66*BK67+BK68*BK69*6)/BK67)</f>
        <v>0</v>
      </c>
      <c r="BL65" s="3409">
        <f>IF(BL67=0,0,(BL66*BL67+BL68*BL69*6)/BL67)</f>
        <v>0</v>
      </c>
      <c r="BM65" s="1078">
        <f>IF(BK65=0,0,(BL65-BK65)/BK65*100)</f>
        <v>0</v>
      </c>
      <c r="BN65" s="3409">
        <f>IF(BN67=0,0,(BN66*BN67+BN68*BN69*6)/BN67)</f>
        <v>0</v>
      </c>
      <c r="BO65" s="3409">
        <f>IF(BO67=0,0,(BO66*BO67+BO68*BO69*6)/BO67)</f>
        <v>0</v>
      </c>
      <c r="BP65" s="1078">
        <f>IF(BN65=0,0,(BO65-BN65)/BN65*100)</f>
        <v>0</v>
      </c>
      <c r="BQ65" s="3409">
        <f>IF(BQ67=0,0,(BQ66*BQ67+BQ68*BQ69*6)/BQ67)</f>
        <v>0</v>
      </c>
      <c r="BR65" s="3409">
        <f>IF(BR67=0,0,(BR66*BR67+BR68*BR69*6)/BR67)</f>
        <v>0</v>
      </c>
      <c r="BS65" s="1078">
        <f>IF(BQ65=0,0,(BR65-BQ65)/BQ65*100)</f>
        <v>0</v>
      </c>
      <c r="BT65" s="3409">
        <f>IF(BT67=0,0,(BT66*BT67+BT68*BT69*6)/BT67)</f>
        <v>0</v>
      </c>
      <c r="BU65" s="3409">
        <f>IF(BU67=0,0,(BU66*BU67+BU68*BU69*6)/BU67)</f>
        <v>0</v>
      </c>
      <c r="BV65" s="1078">
        <f>IF(BT65=0,0,(BU65-BT65)/BT65*100)</f>
        <v>0</v>
      </c>
      <c r="BW65" s="3409">
        <f>IF(BW67=0,0,(BW66*BW67+BW68*BW69*6)/BW67)</f>
        <v>0</v>
      </c>
      <c r="BX65" s="3409">
        <f>IF(BX67=0,0,(BX66*BX67+BX68*BX69*6)/BX67)</f>
        <v>0</v>
      </c>
      <c r="BY65" s="1078">
        <f>IF(BW65=0,0,(BX65-BW65)/BW65*100)</f>
        <v>0</v>
      </c>
      <c r="BZ65" s="3409">
        <f>IF(BZ67=0,0,(BZ66*BZ67+BZ68*BZ69*6)/BZ67)</f>
        <v>0</v>
      </c>
      <c r="CA65" s="3409">
        <f>IF(CA67=0,0,(CA66*CA67+CA68*CA69*6)/CA67)</f>
        <v>0</v>
      </c>
      <c r="CB65" s="1078">
        <f>IF(BZ65=0,0,(CA65-BZ65)/BZ65*100)</f>
        <v>0</v>
      </c>
      <c r="CC65" s="3409">
        <f>IF(CC67=0,0,(CC66*CC67+CC68*CC69*6)/CC67)</f>
        <v>0</v>
      </c>
      <c r="CD65" s="3409">
        <f>IF(CD67=0,0,(CD66*CD67+CD68*CD69*6)/CD67)</f>
        <v>0</v>
      </c>
      <c r="CE65" s="1078">
        <f>IF(CC65=0,0,(CD65-CC65)/CC65*100)</f>
        <v>0</v>
      </c>
      <c r="CF65" s="3409">
        <f>IF(CF67=0,0,(CF66*CF67+CF68*CF69*6)/CF67)</f>
        <v>0</v>
      </c>
      <c r="CG65" s="3409">
        <f>IF(CG67=0,0,(CG66*CG67+CG68*CG69*6)/CG67)</f>
        <v>0</v>
      </c>
      <c r="CH65" s="1078">
        <f>IF(CF65=0,0,(CG65-CF65)/CF65*100)</f>
        <v>0</v>
      </c>
      <c r="CI65" s="3409">
        <f>IF(CI67=0,0,(CI66*CI67+CI68*CI69*6)/CI67)</f>
        <v>0</v>
      </c>
      <c r="CJ65" s="3409">
        <f>IF(CJ67=0,0,(CJ66*CJ67+CJ68*CJ69*6)/CJ67)</f>
        <v>0</v>
      </c>
      <c r="CK65" s="1078">
        <f>IF(CI65=0,0,(CJ65-CI65)/CI65*100)</f>
        <v>0</v>
      </c>
      <c r="CL65" s="3409">
        <f>IF(CL67=0,0,(CL66*CL67+CL68*CL69*6)/CL67)</f>
        <v>0</v>
      </c>
      <c r="CM65" s="3409">
        <f>IF(CM67=0,0,(CM66*CM67+CM68*CM69*6)/CM67)</f>
        <v>0</v>
      </c>
      <c r="CN65" s="1078">
        <f>IF(CL65=0,0,(CM65-CL65)/CL65*100)</f>
        <v>0</v>
      </c>
      <c r="CO65" s="3409">
        <f>IF(CO67=0,0,(CO66*CO67+CO68*CO69*6)/CO67)</f>
        <v>0</v>
      </c>
      <c r="CP65" s="3409">
        <f>IF(CP67=0,0,(CP66*CP67+CP68*CP69*6)/CP67)</f>
        <v>0</v>
      </c>
      <c r="CQ65" s="1078">
        <f>IF(CO65=0,0,(CP65-CO65)/CO65*100)</f>
        <v>0</v>
      </c>
      <c r="CR65" s="3409">
        <f>IF(CR67=0,0,(CR66*CR67+CR68*CR69*6)/CR67)</f>
        <v>0</v>
      </c>
      <c r="CS65" s="3409">
        <f>IF(CS67=0,0,(CS66*CS67+CS68*CS69*6)/CS67)</f>
        <v>0</v>
      </c>
      <c r="CT65" s="1078">
        <f>IF(CR65=0,0,(CS65-CR65)/CR65*100)</f>
        <v>0</v>
      </c>
      <c r="CU65" s="3409">
        <f>IF(CU67=0,0,(CU66*CU67+CU68*CU69*6)/CU67)</f>
        <v>0</v>
      </c>
      <c r="CV65" s="3409">
        <f>IF(CV67=0,0,(CV66*CV67+CV68*CV69*6)/CV67)</f>
        <v>0</v>
      </c>
      <c r="CW65" s="1078">
        <f>IF(CU65=0,0,(CV65-CU65)/CU65*100)</f>
        <v>0</v>
      </c>
      <c r="CX65" s="3409">
        <f>IF(CX67=0,0,(CX66*CX67+CX68*CX69*6)/CX67)</f>
        <v>0</v>
      </c>
      <c r="CY65" s="3409">
        <f>IF(CY67=0,0,(CY66*CY67+CY68*CY69*6)/CY67)</f>
        <v>0</v>
      </c>
      <c r="CZ65" s="1078">
        <f>IF(CX65=0,0,(CY65-CX65)/CX65*100)</f>
        <v>0</v>
      </c>
      <c r="DA65" s="3409">
        <f>IF(DA67=0,0,(DA66*DA67+DA68*DA69*6)/DA67)</f>
        <v>0</v>
      </c>
      <c r="DB65" s="3409">
        <f>IF(DB67=0,0,(DB66*DB67+DB68*DB69*6)/DB67)</f>
        <v>0</v>
      </c>
      <c r="DC65" s="1078">
        <f>IF(DA65=0,0,(DB65-DA65)/DA65*100)</f>
        <v>0</v>
      </c>
      <c r="DD65" s="3409">
        <f>IF(DD67=0,0,(DD66*DD67+DD68*DD69*6)/DD67)</f>
        <v>0</v>
      </c>
      <c r="DE65" s="3409">
        <f>IF(DE67=0,0,(DE66*DE67+DE68*DE69*6)/DE67)</f>
        <v>0</v>
      </c>
      <c r="DF65" s="1078">
        <f>IF(DD65=0,0,(DE65-DD65)/DD65*100)</f>
        <v>0</v>
      </c>
      <c r="DG65" s="3409">
        <f>IF(DG67=0,0,(DG66*DG67+DG68*DG69*6)/DG67)</f>
        <v>0</v>
      </c>
      <c r="DH65" s="3409">
        <f>IF(DH67=0,0,(DH66*DH67+DH68*DH69*6)/DH67)</f>
        <v>0</v>
      </c>
      <c r="DI65" s="1078">
        <f>IF(DG65=0,0,(DH65-DG65)/DG65*100)</f>
        <v>0</v>
      </c>
      <c r="DJ65" s="3409">
        <f>IF(DJ67=0,0,(DJ66*DJ67+DJ68*DJ69*6)/DJ67)</f>
        <v>0</v>
      </c>
      <c r="DK65" s="3409">
        <f>IF(DK67=0,0,(DK66*DK67+DK68*DK69*6)/DK67)</f>
        <v>0</v>
      </c>
      <c r="DL65" s="1078">
        <f>IF(DJ65=0,0,(DK65-DJ65)/DJ65*100)</f>
        <v>0</v>
      </c>
      <c r="DM65" s="3409">
        <f>IF(DM67=0,0,(DM66*DM67+DM68*DM69*6)/DM67)</f>
        <v>0</v>
      </c>
      <c r="DN65" s="3409">
        <f>IF(DN67=0,0,(DN66*DN67+DN68*DN69*6)/DN67)</f>
        <v>0</v>
      </c>
      <c r="DO65" s="1078">
        <f>IF(DM65=0,0,(DN65-DM65)/DM65*100)</f>
        <v>0</v>
      </c>
      <c r="DP65" s="3409">
        <f>IF(DP67=0,0,(DP66*DP67+DP68*DP69*6)/DP67)</f>
        <v>0</v>
      </c>
      <c r="DQ65" s="3409">
        <f>IF(DQ67=0,0,(DQ66*DQ67+DQ68*DQ69*6)/DQ67)</f>
        <v>0</v>
      </c>
      <c r="DR65" s="1078">
        <f>IF(DP65=0,0,(DQ65-DP65)/DP65*100)</f>
        <v>0</v>
      </c>
      <c r="DS65" s="3409">
        <f>IF(DS67=0,0,(DS66*DS67+DS68*DS69*6)/DS67)</f>
        <v>0</v>
      </c>
      <c r="DT65" s="3409">
        <f>IF(DT67=0,0,(DT66*DT67+DT68*DT69*6)/DT67)</f>
        <v>0</v>
      </c>
      <c r="DU65" s="1078">
        <f>IF(DS65=0,0,(DT65-DS65)/DS65*100)</f>
        <v>0</v>
      </c>
      <c r="DV65" s="3409">
        <f>IF(DV67=0,0,(DV66*DV67+DV68*DV69*6)/DV67)</f>
        <v>0</v>
      </c>
      <c r="DW65" s="3409">
        <f>IF(DW67=0,0,(DW66*DW67+DW68*DW69*6)/DW67)</f>
        <v>0</v>
      </c>
      <c r="DX65" s="1078">
        <f>IF(DV65=0,0,(DW65-DV65)/DV65*100)</f>
        <v>0</v>
      </c>
      <c r="DY65" s="3409">
        <f>IF(DY67=0,0,(DY66*DY67+DY68*DY69*6)/DY67)</f>
        <v>0</v>
      </c>
      <c r="DZ65" s="3409">
        <f>IF(DZ67=0,0,(DZ66*DZ67+DZ68*DZ69*6)/DZ67)</f>
        <v>0</v>
      </c>
      <c r="EA65" s="1078">
        <f>IF(DY65=0,0,(DZ65-DY65)/DY65*100)</f>
        <v>0</v>
      </c>
      <c r="EB65" s="3409">
        <f>IF(EB67=0,0,(EB66*EB67+EB68*EB69*6)/EB67)</f>
        <v>0</v>
      </c>
      <c r="EC65" s="3409">
        <f>IF(EC67=0,0,(EC66*EC67+EC68*EC69*6)/EC67)</f>
        <v>0</v>
      </c>
      <c r="ED65" s="1078">
        <f>IF(EB65=0,0,(EC65-EB65)/EB65*100)</f>
        <v>0</v>
      </c>
      <c r="EE65" s="3409">
        <f>IF(EE67=0,0,(EE66*EE67+EE68*EE69*6)/EE67)</f>
        <v>0</v>
      </c>
      <c r="EF65" s="3409">
        <f>IF(EF67=0,0,(EF66*EF67+EF68*EF69*6)/EF67)</f>
        <v>0</v>
      </c>
      <c r="EG65" s="1078">
        <f>IF(EE65=0,0,(EF65-EE65)/EE65*100)</f>
        <v>0</v>
      </c>
      <c r="EH65" s="3409">
        <f>IF(EH67=0,0,(EH66*EH67+EH68*EH69*6)/EH67)</f>
        <v>0</v>
      </c>
      <c r="EI65" s="3409">
        <f>IF(EI67=0,0,(EI66*EI67+EI68*EI69*6)/EI67)</f>
        <v>0</v>
      </c>
      <c r="EJ65" s="1078">
        <f>IF(EH65=0,0,(EI65-EH65)/EH65*100)</f>
        <v>0</v>
      </c>
      <c r="EK65" s="3409">
        <f>IF(EK67=0,0,(EK66*EK67+EK68*EK69*6)/EK67)</f>
        <v>0</v>
      </c>
      <c r="EL65" s="3409">
        <f>IF(EL67=0,0,(EL66*EL67+EL68*EL69*6)/EL67)</f>
        <v>0</v>
      </c>
      <c r="EM65" s="1078">
        <f>IF(EK65=0,0,(EL65-EK65)/EK65*100)</f>
        <v>0</v>
      </c>
      <c r="EN65" s="3409">
        <f>IF(EN67=0,0,(EN66*EN67+EN68*EN69*6)/EN67)</f>
        <v>0</v>
      </c>
      <c r="EO65" s="3409">
        <f>IF(EO67=0,0,(EO66*EO67+EO68*EO69*6)/EO67)</f>
        <v>0</v>
      </c>
      <c r="EP65" s="1078">
        <f>IF(EN65=0,0,(EO65-EN65)/EN65*100)</f>
        <v>0</v>
      </c>
      <c r="EQ65" s="3409">
        <f>IF(EQ67=0,0,(EQ66*EQ67+EQ68*EQ69*6)/EQ67)</f>
        <v>0</v>
      </c>
      <c r="ER65" s="3409">
        <f>IF(ER67=0,0,(ER66*ER67+ER68*ER69*6)/ER67)</f>
        <v>0</v>
      </c>
      <c r="ES65" s="1078">
        <f>IF(EQ65=0,0,(ER65-EQ65)/EQ65*100)</f>
        <v>0</v>
      </c>
      <c r="ET65" s="3409">
        <f>IF(ET67=0,0,(ET66*ET67+ET68*ET69*6)/ET67)</f>
        <v>0</v>
      </c>
      <c r="EU65" s="3409">
        <f>IF(EU67=0,0,(EU66*EU67+EU68*EU69*6)/EU67)</f>
        <v>0</v>
      </c>
      <c r="EV65" s="1078">
        <f>IF(ET65=0,0,(EU65-ET65)/ET65*100)</f>
        <v>0</v>
      </c>
      <c r="EW65" s="3409">
        <f>IF(EW67=0,0,(EW66*EW67+EW68*EW69*6)/EW67)</f>
        <v>0</v>
      </c>
      <c r="EX65" s="3409">
        <f>IF(EX67=0,0,(EX66*EX67+EX68*EX69*6)/EX67)</f>
        <v>0</v>
      </c>
      <c r="EY65" s="1078">
        <f>IF(EW65=0,0,(EX65-EW65)/EW65*100)</f>
        <v>0</v>
      </c>
      <c r="EZ65" s="3409">
        <f>IF(EZ67=0,0,(EZ66*EZ67+EZ68*EZ69*6)/EZ67)</f>
        <v>0</v>
      </c>
      <c r="FA65" s="3409">
        <f>IF(FA67=0,0,(FA66*FA67+FA68*FA69*6)/FA67)</f>
        <v>0</v>
      </c>
      <c r="FB65" s="1078">
        <f>IF(EZ65=0,0,(FA65-EZ65)/EZ65*100)</f>
        <v>0</v>
      </c>
      <c r="FC65" s="3409">
        <f>IF(FC67=0,0,(FC66*FC67+FC68*FC69*6)/FC67)</f>
        <v>0</v>
      </c>
      <c r="FD65" s="3409">
        <f>IF(FD67=0,0,(FD66*FD67+FD68*FD69*6)/FD67)</f>
        <v>0</v>
      </c>
      <c r="FE65" s="1078">
        <f>IF(FC65=0,0,(FD65-FC65)/FC65*100)</f>
        <v>0</v>
      </c>
      <c r="FF65" s="3409">
        <f>IF(FF67=0,0,(FF66*FF67+FF68*FF69*6)/FF67)</f>
        <v>0</v>
      </c>
      <c r="FG65" s="3409">
        <f>IF(FG67=0,0,(FG66*FG67+FG68*FG69*6)/FG67)</f>
        <v>0</v>
      </c>
      <c r="FH65" s="1078">
        <f>IF(FF65=0,0,(FG65-FF65)/FF65*100)</f>
        <v>0</v>
      </c>
      <c r="FI65" s="3409">
        <f>IF(FI67=0,0,(FI66*FI67+FI68*FI69*6)/FI67)</f>
        <v>0</v>
      </c>
      <c r="FJ65" s="3409">
        <f>IF(FJ67=0,0,(FJ66*FJ67+FJ68*FJ69*6)/FJ67)</f>
        <v>0</v>
      </c>
      <c r="FK65" s="1078">
        <f>IF(FI65=0,0,(FJ65-FI65)/FI65*100)</f>
        <v>0</v>
      </c>
      <c r="FL65" s="3409">
        <f>IF(FL67=0,0,(FL66*FL67+FL68*FL69*6)/FL67)</f>
        <v>0</v>
      </c>
      <c r="FM65" s="3409">
        <f>IF(FM67=0,0,(FM66*FM67+FM68*FM69*6)/FM67)</f>
        <v>0</v>
      </c>
      <c r="FN65" s="1078">
        <f>IF(FL65=0,0,(FM65-FL65)/FL65*100)</f>
        <v>0</v>
      </c>
      <c r="FO65" s="3409">
        <f>IF(FO67=0,0,(FO66*FO67+FO68*FO69*6)/FO67)</f>
        <v>0</v>
      </c>
      <c r="FP65" s="3409">
        <f>IF(FP67=0,0,(FP66*FP67+FP68*FP69*6)/FP67)</f>
        <v>0</v>
      </c>
      <c r="FQ65" s="1078">
        <f>IF(FO65=0,0,(FP65-FO65)/FO65*100)</f>
        <v>0</v>
      </c>
      <c r="FR65" s="3409">
        <f>IF(FR67=0,0,(FR66*FR67+FR68*FR69*6)/FR67)</f>
        <v>0</v>
      </c>
      <c r="FS65" s="3409">
        <f>IF(FS67=0,0,(FS66*FS67+FS68*FS69*6)/FS67)</f>
        <v>0</v>
      </c>
      <c r="FT65" s="1078">
        <f>IF(FR65=0,0,(FS65-FR65)/FR65*100)</f>
        <v>0</v>
      </c>
      <c r="FU65" s="3409">
        <f>IF(FU67=0,0,(FU66*FU67+FU68*FU69*6)/FU67)</f>
        <v>0</v>
      </c>
      <c r="FV65" s="3409">
        <f>IF(FV67=0,0,(FV66*FV67+FV68*FV69*6)/FV67)</f>
        <v>0</v>
      </c>
      <c r="FW65" s="1078">
        <f>IF(FU65=0,0,(FV65-FU65)/FU65*100)</f>
        <v>0</v>
      </c>
      <c r="FX65" s="676"/>
      <c r="FY65" s="676"/>
      <c r="FZ65" s="1039" t="s">
        <v>1555</v>
      </c>
      <c r="GA65" s="1061"/>
      <c r="GB65" s="1061"/>
      <c r="GC65" s="697"/>
      <c r="GD65" s="697"/>
    </row>
    <row customHeight="1" ht="14.625" hidden="1">
      <c r="A66" s="467"/>
      <c r="B66" s="907" cm="1" t="str">
        <f t="array" ref="B66:B66">B65</f>
        <v>false</v>
      </c>
      <c r="C66" s="467"/>
      <c r="D66" s="467"/>
      <c r="E66" s="822">
        <v>15</v>
      </c>
      <c r="F66" s="50" cm="1" t="str">
        <f t="array" ref="F66:F66">OFFSET(E66,-1,1)</f>
        <v>0</v>
      </c>
      <c r="G66" s="467"/>
      <c r="H66" s="467" t="s">
        <v>1449</v>
      </c>
      <c r="I66" s="467" t="s">
        <v>1511</v>
      </c>
      <c r="J66" s="467"/>
      <c r="K66" s="467"/>
      <c r="L66" s="467"/>
      <c r="M66" s="467"/>
      <c r="N66" s="467"/>
      <c r="O66" s="467"/>
      <c r="P66" s="467"/>
      <c r="Q66" s="467"/>
      <c r="R66" s="467"/>
      <c r="S66" s="467"/>
      <c r="T66" s="439" cm="1" t="str">
        <f t="array" ref="T66:T66">T65</f>
        <v>false</v>
      </c>
      <c r="U66" s="467"/>
      <c r="V66" s="467"/>
      <c r="W66" s="467"/>
      <c r="X66" s="1534"/>
      <c r="Y66" s="467"/>
      <c r="Z66" s="1464"/>
      <c r="AA66" s="467"/>
      <c r="AB66" s="886" t="str">
        <f>"ставка платы за "&amp;IF(Q29="Водоснабжение","потребление 1 куб.м холодной воды","объем принятых сточных вод")</f>
        <v>ставка платы за объем принятых сточных вод</v>
      </c>
      <c r="AC66" s="846" t="s">
        <v>1494</v>
      </c>
      <c r="AD66" s="3409"/>
      <c r="AE66" s="3409"/>
      <c r="AF66" s="1078">
        <f>IF(AD66=0,0,(AE66-AD66)/AD66*100)</f>
        <v>0</v>
      </c>
      <c r="AG66" s="3409"/>
      <c r="AH66" s="3409"/>
      <c r="AI66" s="1078">
        <f>IF(AG66=0,0,(AH66-AG66)/AG66*100)</f>
        <v>0</v>
      </c>
      <c r="AJ66" s="3409"/>
      <c r="AK66" s="3409"/>
      <c r="AL66" s="1078">
        <f>IF(AJ66=0,0,(AK66-AJ66)/AJ66*100)</f>
        <v>0</v>
      </c>
      <c r="AM66" s="3409"/>
      <c r="AN66" s="3409"/>
      <c r="AO66" s="1078">
        <f>IF(AM66=0,0,(AN66-AM66)/AM66*100)</f>
        <v>0</v>
      </c>
      <c r="AP66" s="3409"/>
      <c r="AQ66" s="3409"/>
      <c r="AR66" s="1078">
        <f>IF(AP66=0,0,(AQ66-AP66)/AP66*100)</f>
        <v>0</v>
      </c>
      <c r="AS66" s="3409"/>
      <c r="AT66" s="3409"/>
      <c r="AU66" s="1078">
        <f>IF(AS66=0,0,(AT66-AS66)/AS66*100)</f>
        <v>0</v>
      </c>
      <c r="AV66" s="3409"/>
      <c r="AW66" s="3409"/>
      <c r="AX66" s="1078">
        <f>IF(AV66=0,0,(AW66-AV66)/AV66*100)</f>
        <v>0</v>
      </c>
      <c r="AY66" s="3409"/>
      <c r="AZ66" s="3409"/>
      <c r="BA66" s="1078">
        <f>IF(AY66=0,0,(AZ66-AY66)/AY66*100)</f>
        <v>0</v>
      </c>
      <c r="BB66" s="3409"/>
      <c r="BC66" s="3409"/>
      <c r="BD66" s="1078">
        <f>IF(BB66=0,0,(BC66-BB66)/BB66*100)</f>
        <v>0</v>
      </c>
      <c r="BE66" s="3409"/>
      <c r="BF66" s="3409"/>
      <c r="BG66" s="1078">
        <f>IF(BE66=0,0,(BF66-BE66)/BE66*100)</f>
        <v>0</v>
      </c>
      <c r="BH66" s="3409"/>
      <c r="BI66" s="3409"/>
      <c r="BJ66" s="1078">
        <f>IF(BH66=0,0,(BI66-BH66)/BH66*100)</f>
        <v>0</v>
      </c>
      <c r="BK66" s="3409"/>
      <c r="BL66" s="3409"/>
      <c r="BM66" s="1078">
        <f>IF(BK66=0,0,(BL66-BK66)/BK66*100)</f>
        <v>0</v>
      </c>
      <c r="BN66" s="3409"/>
      <c r="BO66" s="3409"/>
      <c r="BP66" s="1078">
        <f>IF(BN66=0,0,(BO66-BN66)/BN66*100)</f>
        <v>0</v>
      </c>
      <c r="BQ66" s="3409"/>
      <c r="BR66" s="3409"/>
      <c r="BS66" s="1078">
        <f>IF(BQ66=0,0,(BR66-BQ66)/BQ66*100)</f>
        <v>0</v>
      </c>
      <c r="BT66" s="3409"/>
      <c r="BU66" s="3409"/>
      <c r="BV66" s="1078">
        <f>IF(BT66=0,0,(BU66-BT66)/BT66*100)</f>
        <v>0</v>
      </c>
      <c r="BW66" s="3409"/>
      <c r="BX66" s="3409"/>
      <c r="BY66" s="1078">
        <f>IF(BW66=0,0,(BX66-BW66)/BW66*100)</f>
        <v>0</v>
      </c>
      <c r="BZ66" s="3409"/>
      <c r="CA66" s="3409"/>
      <c r="CB66" s="1078">
        <f>IF(BZ66=0,0,(CA66-BZ66)/BZ66*100)</f>
        <v>0</v>
      </c>
      <c r="CC66" s="3409"/>
      <c r="CD66" s="3409"/>
      <c r="CE66" s="1078">
        <f>IF(CC66=0,0,(CD66-CC66)/CC66*100)</f>
        <v>0</v>
      </c>
      <c r="CF66" s="3409"/>
      <c r="CG66" s="3409"/>
      <c r="CH66" s="1078">
        <f>IF(CF66=0,0,(CG66-CF66)/CF66*100)</f>
        <v>0</v>
      </c>
      <c r="CI66" s="3409"/>
      <c r="CJ66" s="3409"/>
      <c r="CK66" s="1078">
        <f>IF(CI66=0,0,(CJ66-CI66)/CI66*100)</f>
        <v>0</v>
      </c>
      <c r="CL66" s="3409"/>
      <c r="CM66" s="3409"/>
      <c r="CN66" s="1078">
        <f>IF(CL66=0,0,(CM66-CL66)/CL66*100)</f>
        <v>0</v>
      </c>
      <c r="CO66" s="3409"/>
      <c r="CP66" s="3409"/>
      <c r="CQ66" s="1078">
        <f>IF(CO66=0,0,(CP66-CO66)/CO66*100)</f>
        <v>0</v>
      </c>
      <c r="CR66" s="3409"/>
      <c r="CS66" s="3409"/>
      <c r="CT66" s="1078">
        <f>IF(CR66=0,0,(CS66-CR66)/CR66*100)</f>
        <v>0</v>
      </c>
      <c r="CU66" s="3409"/>
      <c r="CV66" s="3409"/>
      <c r="CW66" s="1078">
        <f>IF(CU66=0,0,(CV66-CU66)/CU66*100)</f>
        <v>0</v>
      </c>
      <c r="CX66" s="3409"/>
      <c r="CY66" s="3409"/>
      <c r="CZ66" s="1078">
        <f>IF(CX66=0,0,(CY66-CX66)/CX66*100)</f>
        <v>0</v>
      </c>
      <c r="DA66" s="3409"/>
      <c r="DB66" s="3409"/>
      <c r="DC66" s="1078">
        <f>IF(DA66=0,0,(DB66-DA66)/DA66*100)</f>
        <v>0</v>
      </c>
      <c r="DD66" s="3409"/>
      <c r="DE66" s="3409"/>
      <c r="DF66" s="1078">
        <f>IF(DD66=0,0,(DE66-DD66)/DD66*100)</f>
        <v>0</v>
      </c>
      <c r="DG66" s="3409"/>
      <c r="DH66" s="3409"/>
      <c r="DI66" s="1078">
        <f>IF(DG66=0,0,(DH66-DG66)/DG66*100)</f>
        <v>0</v>
      </c>
      <c r="DJ66" s="3409"/>
      <c r="DK66" s="3409"/>
      <c r="DL66" s="1078">
        <f>IF(DJ66=0,0,(DK66-DJ66)/DJ66*100)</f>
        <v>0</v>
      </c>
      <c r="DM66" s="3409"/>
      <c r="DN66" s="3409"/>
      <c r="DO66" s="1078">
        <f>IF(DM66=0,0,(DN66-DM66)/DM66*100)</f>
        <v>0</v>
      </c>
      <c r="DP66" s="3409"/>
      <c r="DQ66" s="3409"/>
      <c r="DR66" s="1078">
        <f>IF(DP66=0,0,(DQ66-DP66)/DP66*100)</f>
        <v>0</v>
      </c>
      <c r="DS66" s="3409"/>
      <c r="DT66" s="3409"/>
      <c r="DU66" s="1078">
        <f>IF(DS66=0,0,(DT66-DS66)/DS66*100)</f>
        <v>0</v>
      </c>
      <c r="DV66" s="3409"/>
      <c r="DW66" s="3409"/>
      <c r="DX66" s="1078">
        <f>IF(DV66=0,0,(DW66-DV66)/DV66*100)</f>
        <v>0</v>
      </c>
      <c r="DY66" s="3409"/>
      <c r="DZ66" s="3409"/>
      <c r="EA66" s="1078">
        <f>IF(DY66=0,0,(DZ66-DY66)/DY66*100)</f>
        <v>0</v>
      </c>
      <c r="EB66" s="3409"/>
      <c r="EC66" s="3409"/>
      <c r="ED66" s="1078">
        <f>IF(EB66=0,0,(EC66-EB66)/EB66*100)</f>
        <v>0</v>
      </c>
      <c r="EE66" s="3409"/>
      <c r="EF66" s="3409"/>
      <c r="EG66" s="1078">
        <f>IF(EE66=0,0,(EF66-EE66)/EE66*100)</f>
        <v>0</v>
      </c>
      <c r="EH66" s="3409"/>
      <c r="EI66" s="3409"/>
      <c r="EJ66" s="1078">
        <f>IF(EH66=0,0,(EI66-EH66)/EH66*100)</f>
        <v>0</v>
      </c>
      <c r="EK66" s="3409"/>
      <c r="EL66" s="3409"/>
      <c r="EM66" s="1078">
        <f>IF(EK66=0,0,(EL66-EK66)/EK66*100)</f>
        <v>0</v>
      </c>
      <c r="EN66" s="3409"/>
      <c r="EO66" s="3409"/>
      <c r="EP66" s="1078">
        <f>IF(EN66=0,0,(EO66-EN66)/EN66*100)</f>
        <v>0</v>
      </c>
      <c r="EQ66" s="3409"/>
      <c r="ER66" s="3409"/>
      <c r="ES66" s="1078">
        <f>IF(EQ66=0,0,(ER66-EQ66)/EQ66*100)</f>
        <v>0</v>
      </c>
      <c r="ET66" s="3409"/>
      <c r="EU66" s="3409"/>
      <c r="EV66" s="1078">
        <f>IF(ET66=0,0,(EU66-ET66)/ET66*100)</f>
        <v>0</v>
      </c>
      <c r="EW66" s="3409"/>
      <c r="EX66" s="3409"/>
      <c r="EY66" s="1078">
        <f>IF(EW66=0,0,(EX66-EW66)/EW66*100)</f>
        <v>0</v>
      </c>
      <c r="EZ66" s="3409"/>
      <c r="FA66" s="3409"/>
      <c r="FB66" s="1078">
        <f>IF(EZ66=0,0,(FA66-EZ66)/EZ66*100)</f>
        <v>0</v>
      </c>
      <c r="FC66" s="3409"/>
      <c r="FD66" s="3409"/>
      <c r="FE66" s="1078">
        <f>IF(FC66=0,0,(FD66-FC66)/FC66*100)</f>
        <v>0</v>
      </c>
      <c r="FF66" s="3409"/>
      <c r="FG66" s="3409"/>
      <c r="FH66" s="1078">
        <f>IF(FF66=0,0,(FG66-FF66)/FF66*100)</f>
        <v>0</v>
      </c>
      <c r="FI66" s="3409"/>
      <c r="FJ66" s="3409"/>
      <c r="FK66" s="1078">
        <f>IF(FI66=0,0,(FJ66-FI66)/FI66*100)</f>
        <v>0</v>
      </c>
      <c r="FL66" s="3409"/>
      <c r="FM66" s="3409"/>
      <c r="FN66" s="1078">
        <f>IF(FL66=0,0,(FM66-FL66)/FL66*100)</f>
        <v>0</v>
      </c>
      <c r="FO66" s="3409"/>
      <c r="FP66" s="3409"/>
      <c r="FQ66" s="1078">
        <f>IF(FO66=0,0,(FP66-FO66)/FO66*100)</f>
        <v>0</v>
      </c>
      <c r="FR66" s="3409"/>
      <c r="FS66" s="3409"/>
      <c r="FT66" s="1078">
        <f>IF(FR66=0,0,(FS66-FR66)/FR66*100)</f>
        <v>0</v>
      </c>
      <c r="FU66" s="3409"/>
      <c r="FV66" s="3409"/>
      <c r="FW66" s="1078">
        <f>IF(FU66=0,0,(FV66-FU66)/FU66*100)</f>
        <v>0</v>
      </c>
      <c r="FX66" s="676"/>
      <c r="FY66" s="676"/>
      <c r="FZ66" s="1039" t="s">
        <v>1556</v>
      </c>
      <c r="GA66" s="1061"/>
      <c r="GB66" s="1061"/>
      <c r="GC66" s="697"/>
      <c r="GD66" s="697"/>
    </row>
    <row customHeight="1" ht="14.625" hidden="1">
      <c r="A67" s="467"/>
      <c r="B67" s="907" cm="1" t="str">
        <f t="array" ref="B67:B67">B66</f>
        <v>false</v>
      </c>
      <c r="C67" s="467"/>
      <c r="D67" s="467"/>
      <c r="E67" s="822">
        <v>15</v>
      </c>
      <c r="F67" s="50" cm="1" t="str">
        <f t="array" ref="F67:F67">OFFSET(E67,-1,1)</f>
        <v>0</v>
      </c>
      <c r="G67" s="73" t="s">
        <v>1557</v>
      </c>
      <c r="H67" s="467" t="s">
        <v>1531</v>
      </c>
      <c r="I67" s="467" t="s">
        <v>1511</v>
      </c>
      <c r="J67" s="467"/>
      <c r="K67" s="467"/>
      <c r="L67" s="467"/>
      <c r="M67" s="467"/>
      <c r="N67" s="467"/>
      <c r="O67" s="467"/>
      <c r="P67" s="467"/>
      <c r="Q67" s="467"/>
      <c r="R67" s="467"/>
      <c r="S67" s="467"/>
      <c r="T67" s="439" cm="1" t="str">
        <f t="array" ref="T67:T67">T66</f>
        <v>false</v>
      </c>
      <c r="U67" s="467"/>
      <c r="V67" s="467"/>
      <c r="W67" s="467"/>
      <c r="X67" s="1534"/>
      <c r="Y67" s="467"/>
      <c r="Z67" s="1464"/>
      <c r="AA67" s="467"/>
      <c r="AB67" s="886" t="str">
        <f>"объём "&amp;IF(Q29="Водоснабжение","потребления холодной воды","водоотведения")</f>
        <v>объём водоотведения</v>
      </c>
      <c r="AC67" s="846" t="s">
        <v>512</v>
      </c>
      <c r="AD67" s="3404">
        <f>IF(AND(method_reg="Метод индексации",god&lt;&gt;first_year),_xlfn.SUMIFS(INDEX('Калькуляция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(МИ)'!$AJ$25:$BC$459,,MATCH(AD$8,'Калькуляция (МИ)'!$AJ$8:$BC$8,0)),'Калькуляция (МИ)'!$F$25:$F$459,$F67,'Калькуляция (МИ)'!$G$25:$G$459,$G67))))</f>
        <v>0</v>
      </c>
      <c r="AE67" s="3404">
        <f>IF(AND(method_reg="Метод индексации",god&lt;&gt;first_year),_xlfn.SUMIFS(INDEX('Калькуляция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(МИ)'!$AJ$25:$BC$459,,MATCH(AE$8,'Калькуляция (МИ)'!$AJ$8:$BC$8,0)),'Калькуляция (МИ)'!$F$25:$F$459,$F67,'Калькуляция (МИ)'!$G$25:$G$459,$G67))))</f>
        <v>0</v>
      </c>
      <c r="AF67" s="1080">
        <f>IF(AD67=0,0,(AE67-AD67)/AD67*100)</f>
        <v>0</v>
      </c>
      <c r="AG67" s="3404">
        <f>IF(AND(method_reg="Метод индексации",god&lt;&gt;first_year),_xlfn.SUMIFS(INDEX('Калькуляция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(МИ)'!$AJ$25:$BC$459,,MATCH(AG$8,'Калькуляция (МИ)'!$AJ$8:$BC$8,0)),'Калькуляция (МИ)'!$F$25:$F$459,$F67,'Калькуляция (МИ)'!$G$25:$G$459,$G67))))</f>
        <v>0</v>
      </c>
      <c r="AH67" s="3404">
        <f>IF(AND(method_reg="Метод индексации",god&lt;&gt;first_year),_xlfn.SUMIFS(INDEX('Калькуляция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(МИ)'!$AJ$25:$BC$459,,MATCH(AH$8,'Калькуляция (МИ)'!$AJ$8:$BC$8,0)),'Калькуляция (МИ)'!$F$25:$F$459,$F67,'Калькуляция (МИ)'!$G$25:$G$459,$G67))))</f>
        <v>0</v>
      </c>
      <c r="AI67" s="1080">
        <f>IF(AG67=0,0,(AH67-AG67)/AG67*100)</f>
        <v>0</v>
      </c>
      <c r="AJ67" s="3404">
        <f>IF(AND(method_reg="Метод индексации",god&lt;&gt;first_year),_xlfn.SUMIFS(INDEX('Калькуляция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(МИ)'!$AJ$25:$BC$459,,MATCH(AJ$8,'Калькуляция (МИ)'!$AJ$8:$BC$8,0)),'Калькуляция (МИ)'!$F$25:$F$459,$F67,'Калькуляция (МИ)'!$G$25:$G$459,$G67))))</f>
        <v>0</v>
      </c>
      <c r="AK67" s="3404">
        <f>IF(AND(method_reg="Метод индексации",god&lt;&gt;first_year),_xlfn.SUMIFS(INDEX('Калькуляция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(МИ)'!$AJ$25:$BC$459,,MATCH(AK$8,'Калькуляция (МИ)'!$AJ$8:$BC$8,0)),'Калькуляция (МИ)'!$F$25:$F$459,$F67,'Калькуляция (МИ)'!$G$25:$G$459,$G67))))</f>
        <v>0</v>
      </c>
      <c r="AL67" s="1080">
        <f>IF(AJ67=0,0,(AK67-AJ67)/AJ67*100)</f>
        <v>0</v>
      </c>
      <c r="AM67" s="3404">
        <f>IF(AND(method_reg="Метод индексации",god&lt;&gt;first_year),_xlfn.SUMIFS(INDEX('Калькуляция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(МИ)'!$AJ$25:$BC$459,,MATCH(AM$8,'Калькуляция (МИ)'!$AJ$8:$BC$8,0)),'Калькуляция (МИ)'!$F$25:$F$459,$F67,'Калькуляция (МИ)'!$G$25:$G$459,$G67))))</f>
        <v>0</v>
      </c>
      <c r="AN67" s="3404">
        <f>IF(AND(method_reg="Метод индексации",god&lt;&gt;first_year),_xlfn.SUMIFS(INDEX('Калькуляция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(МИ)'!$AJ$25:$BC$459,,MATCH(AN$8,'Калькуляция (МИ)'!$AJ$8:$BC$8,0)),'Калькуляция (МИ)'!$F$25:$F$459,$F67,'Калькуляция (МИ)'!$G$25:$G$459,$G67))))</f>
        <v>0</v>
      </c>
      <c r="AO67" s="1080">
        <f>IF(AM67=0,0,(AN67-AM67)/AM67*100)</f>
        <v>0</v>
      </c>
      <c r="AP67" s="3404">
        <f>IF(AND(method_reg="Метод индексации",god&lt;&gt;first_year),_xlfn.SUMIFS(INDEX('Калькуляция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(МИ)'!$AJ$25:$BC$459,,MATCH(AP$8,'Калькуляция (МИ)'!$AJ$8:$BC$8,0)),'Калькуляция (МИ)'!$F$25:$F$459,$F67,'Калькуляция (МИ)'!$G$25:$G$459,$G67))))</f>
        <v>0</v>
      </c>
      <c r="AQ67" s="3404">
        <f>IF(AND(method_reg="Метод индексации",god&lt;&gt;first_year),_xlfn.SUMIFS(INDEX('Калькуляция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(МИ)'!$AJ$25:$BC$459,,MATCH(AQ$8,'Калькуляция (МИ)'!$AJ$8:$BC$8,0)),'Калькуляция (МИ)'!$F$25:$F$459,$F67,'Калькуляция (МИ)'!$G$25:$G$459,$G67))))</f>
        <v>0</v>
      </c>
      <c r="AR67" s="1080">
        <f>IF(AP67=0,0,(AQ67-AP67)/AP67*100)</f>
        <v>0</v>
      </c>
      <c r="AS67" s="3404">
        <f>IF(AND(method_reg="Метод индексации",god&lt;&gt;first_year),_xlfn.SUMIFS(INDEX('Калькуляция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(МИ)'!$AJ$25:$BC$459,,MATCH(AS$8,'Калькуляция (МИ)'!$AJ$8:$BC$8,0)),'Калькуляция (МИ)'!$F$25:$F$459,$F67,'Калькуляция (МИ)'!$G$25:$G$459,$G67))))</f>
        <v>0</v>
      </c>
      <c r="AT67" s="3404">
        <f>IF(AND(method_reg="Метод индексации",god&lt;&gt;first_year),_xlfn.SUMIFS(INDEX('Калькуляция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(МИ)'!$AJ$25:$BC$459,,MATCH(AT$8,'Калькуляция (МИ)'!$AJ$8:$BC$8,0)),'Калькуляция (МИ)'!$F$25:$F$459,$F67,'Калькуляция (МИ)'!$G$25:$G$459,$G67))))</f>
        <v>0</v>
      </c>
      <c r="AU67" s="1080">
        <f>IF(AS67=0,0,(AT67-AS67)/AS67*100)</f>
        <v>0</v>
      </c>
      <c r="AV67" s="3404">
        <f>IF(AND(method_reg="Метод индексации",god&lt;&gt;first_year),_xlfn.SUMIFS(INDEX('Калькуляция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(МИ)'!$AJ$25:$BC$459,,MATCH(AV$8,'Калькуляция (МИ)'!$AJ$8:$BC$8,0)),'Калькуляция (МИ)'!$F$25:$F$459,$F67,'Калькуляция (МИ)'!$G$25:$G$459,$G67))))</f>
        <v>0</v>
      </c>
      <c r="AW67" s="3404">
        <f>IF(AND(method_reg="Метод индексации",god&lt;&gt;first_year),_xlfn.SUMIFS(INDEX('Калькуляция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(МИ)'!$AJ$25:$BC$459,,MATCH(AW$8,'Калькуляция (МИ)'!$AJ$8:$BC$8,0)),'Калькуляция (МИ)'!$F$25:$F$459,$F67,'Калькуляция (МИ)'!$G$25:$G$459,$G67))))</f>
        <v>0</v>
      </c>
      <c r="AX67" s="1080">
        <f>IF(AV67=0,0,(AW67-AV67)/AV67*100)</f>
        <v>0</v>
      </c>
      <c r="AY67" s="3404">
        <f>IF(AND(method_reg="Метод индексации",god&lt;&gt;first_year),_xlfn.SUMIFS(INDEX('Калькуляция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(МИ)'!$AJ$25:$BC$459,,MATCH(AY$8,'Калькуляция (МИ)'!$AJ$8:$BC$8,0)),'Калькуляция (МИ)'!$F$25:$F$459,$F67,'Калькуляция (МИ)'!$G$25:$G$459,$G67))))</f>
        <v>0</v>
      </c>
      <c r="AZ67" s="3404">
        <f>IF(AND(method_reg="Метод индексации",god&lt;&gt;first_year),_xlfn.SUMIFS(INDEX('Калькуляция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(МИ)'!$AJ$25:$BC$459,,MATCH(AZ$8,'Калькуляция (МИ)'!$AJ$8:$BC$8,0)),'Калькуляция (МИ)'!$F$25:$F$459,$F67,'Калькуляция (МИ)'!$G$25:$G$459,$G67))))</f>
        <v>0</v>
      </c>
      <c r="BA67" s="1080">
        <f>IF(AY67=0,0,(AZ67-AY67)/AY67*100)</f>
        <v>0</v>
      </c>
      <c r="BB67" s="3404">
        <f>IF(AND(method_reg="Метод индексации",god&lt;&gt;first_year),_xlfn.SUMIFS(INDEX('Калькуляция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(МИ)'!$AJ$25:$BC$459,,MATCH(BB$8,'Калькуляция (МИ)'!$AJ$8:$BC$8,0)),'Калькуляция (МИ)'!$F$25:$F$459,$F67,'Калькуляция (МИ)'!$G$25:$G$459,$G67))))</f>
        <v>0</v>
      </c>
      <c r="BC67" s="3404">
        <f>IF(AND(method_reg="Метод индексации",god&lt;&gt;first_year),_xlfn.SUMIFS(INDEX('Калькуляция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(МИ)'!$AJ$25:$BC$459,,MATCH(BC$8,'Калькуляция (МИ)'!$AJ$8:$BC$8,0)),'Калькуляция (МИ)'!$F$25:$F$459,$F67,'Калькуляция (МИ)'!$G$25:$G$459,$G67))))</f>
        <v>0</v>
      </c>
      <c r="BD67" s="1080">
        <f>IF(BB67=0,0,(BC67-BB67)/BB67*100)</f>
        <v>0</v>
      </c>
      <c r="BE67" s="3404">
        <f>IF(AND(method_reg="Метод индексации",god&lt;&gt;first_year),_xlfn.SUMIFS(INDEX('Калькуляция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расходов",_xlfn.SUMIFS('Калькуляция (МЭОР)'!$AJ$25:$AJ$282,'Калькуляция (МЭОР)'!$F$25:$F$282,$F67,'Калькуляция (МЭОР)'!$G$25:$G$282,$G67),IF(method_reg="Метод сравнения аналогов",_xlfn.SUMIFS('Калькуляция (МСА)'!$AE$25:$AE$84,'Калькуляция (МСА)'!$F$25:$F$84,$F67,'Калькуляция (МСА)'!$G$25:$G$84,$G67),_xlfn.SUMIFS(INDEX('Калькуляция (МИ)'!$AJ$25:$BC$459,,MATCH(BE$8,'Калькуляция (МИ)'!$AJ$8:$BC$8,0)),'Калькуляция (МИ)'!$F$25:$F$459,$F67,'Калькуляция (МИ)'!$G$25:$G$459,$G67))))</f>
        <v>0</v>
      </c>
      <c r="BF67" s="3404">
        <f>IF(AND(method_reg="Метод индексации",god&lt;&gt;first_year),_xlfn.SUMIFS(INDEX('Калькуляция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расходов",_xlfn.SUMIFS('Калькуляция (МЭОР)'!$AK$25:$AK$282,'Калькуляция (МЭОР)'!$F$25:$F$282,$F67,'Калькуляция (МЭОР)'!$G$25:$G$282,$G67),IF(method_reg="Метод сравнения аналогов",_xlfn.SUMIFS('Калькуляция (МСА)'!$AF$25:$AF$84,'Калькуляция (МСА)'!$F$25:$F$84,$F67,'Калькуляция (МСА)'!$G$25:$G$84,$G67),_xlfn.SUMIFS(INDEX('Калькуляция (МИ)'!$AJ$25:$BC$459,,MATCH(BF$8,'Калькуляция (МИ)'!$AJ$8:$BC$8,0)),'Калькуляция (МИ)'!$F$25:$F$459,$F67,'Калькуляция (МИ)'!$G$25:$G$459,$G67))))</f>
        <v>0</v>
      </c>
      <c r="BG67" s="1080">
        <f>IF(BE67=0,0,(BF67-BE67)/BE67*100)</f>
        <v>0</v>
      </c>
      <c r="BH67" s="3404"/>
      <c r="BI67" s="3404"/>
      <c r="BJ67" s="1080">
        <f>IF(BH67=0,0,(BI67-BH67)/BH67*100)</f>
        <v>0</v>
      </c>
      <c r="BK67" s="3404"/>
      <c r="BL67" s="3404"/>
      <c r="BM67" s="1080">
        <f>IF(BK67=0,0,(BL67-BK67)/BK67*100)</f>
        <v>0</v>
      </c>
      <c r="BN67" s="3404"/>
      <c r="BO67" s="3404"/>
      <c r="BP67" s="1080">
        <f>IF(BN67=0,0,(BO67-BN67)/BN67*100)</f>
        <v>0</v>
      </c>
      <c r="BQ67" s="3404"/>
      <c r="BR67" s="3404"/>
      <c r="BS67" s="1080">
        <f>IF(BQ67=0,0,(BR67-BQ67)/BQ67*100)</f>
        <v>0</v>
      </c>
      <c r="BT67" s="3404"/>
      <c r="BU67" s="3404"/>
      <c r="BV67" s="1080">
        <f>IF(BT67=0,0,(BU67-BT67)/BT67*100)</f>
        <v>0</v>
      </c>
      <c r="BW67" s="3404"/>
      <c r="BX67" s="3404"/>
      <c r="BY67" s="1080">
        <f>IF(BW67=0,0,(BX67-BW67)/BW67*100)</f>
        <v>0</v>
      </c>
      <c r="BZ67" s="3404"/>
      <c r="CA67" s="3404"/>
      <c r="CB67" s="1080">
        <f>IF(BZ67=0,0,(CA67-BZ67)/BZ67*100)</f>
        <v>0</v>
      </c>
      <c r="CC67" s="3404"/>
      <c r="CD67" s="3404"/>
      <c r="CE67" s="1080">
        <f>IF(CC67=0,0,(CD67-CC67)/CC67*100)</f>
        <v>0</v>
      </c>
      <c r="CF67" s="3404"/>
      <c r="CG67" s="3404"/>
      <c r="CH67" s="1080">
        <f>IF(CF67=0,0,(CG67-CF67)/CF67*100)</f>
        <v>0</v>
      </c>
      <c r="CI67" s="3404"/>
      <c r="CJ67" s="3404"/>
      <c r="CK67" s="1080">
        <f>IF(CI67=0,0,(CJ67-CI67)/CI67*100)</f>
        <v>0</v>
      </c>
      <c r="CL67" s="3404"/>
      <c r="CM67" s="3404"/>
      <c r="CN67" s="1080">
        <f>IF(CL67=0,0,(CM67-CL67)/CL67*100)</f>
        <v>0</v>
      </c>
      <c r="CO67" s="3404"/>
      <c r="CP67" s="3404"/>
      <c r="CQ67" s="1080">
        <f>IF(CO67=0,0,(CP67-CO67)/CO67*100)</f>
        <v>0</v>
      </c>
      <c r="CR67" s="3404"/>
      <c r="CS67" s="3404"/>
      <c r="CT67" s="1080">
        <f>IF(CR67=0,0,(CS67-CR67)/CR67*100)</f>
        <v>0</v>
      </c>
      <c r="CU67" s="3404"/>
      <c r="CV67" s="3404"/>
      <c r="CW67" s="1080">
        <f>IF(CU67=0,0,(CV67-CU67)/CU67*100)</f>
        <v>0</v>
      </c>
      <c r="CX67" s="3404"/>
      <c r="CY67" s="3404"/>
      <c r="CZ67" s="1080">
        <f>IF(CX67=0,0,(CY67-CX67)/CX67*100)</f>
        <v>0</v>
      </c>
      <c r="DA67" s="3404"/>
      <c r="DB67" s="3404"/>
      <c r="DC67" s="1080">
        <f>IF(DA67=0,0,(DB67-DA67)/DA67*100)</f>
        <v>0</v>
      </c>
      <c r="DD67" s="3404"/>
      <c r="DE67" s="3404"/>
      <c r="DF67" s="1080">
        <f>IF(DD67=0,0,(DE67-DD67)/DD67*100)</f>
        <v>0</v>
      </c>
      <c r="DG67" s="3404"/>
      <c r="DH67" s="3404"/>
      <c r="DI67" s="1080">
        <f>IF(DG67=0,0,(DH67-DG67)/DG67*100)</f>
        <v>0</v>
      </c>
      <c r="DJ67" s="3404"/>
      <c r="DK67" s="3404"/>
      <c r="DL67" s="1080">
        <f>IF(DJ67=0,0,(DK67-DJ67)/DJ67*100)</f>
        <v>0</v>
      </c>
      <c r="DM67" s="3404"/>
      <c r="DN67" s="3404"/>
      <c r="DO67" s="1080">
        <f>IF(DM67=0,0,(DN67-DM67)/DM67*100)</f>
        <v>0</v>
      </c>
      <c r="DP67" s="3404"/>
      <c r="DQ67" s="3404"/>
      <c r="DR67" s="1080">
        <f>IF(DP67=0,0,(DQ67-DP67)/DP67*100)</f>
        <v>0</v>
      </c>
      <c r="DS67" s="3404"/>
      <c r="DT67" s="3404"/>
      <c r="DU67" s="1080">
        <f>IF(DS67=0,0,(DT67-DS67)/DS67*100)</f>
        <v>0</v>
      </c>
      <c r="DV67" s="3404"/>
      <c r="DW67" s="3404"/>
      <c r="DX67" s="1080">
        <f>IF(DV67=0,0,(DW67-DV67)/DV67*100)</f>
        <v>0</v>
      </c>
      <c r="DY67" s="3404"/>
      <c r="DZ67" s="3404"/>
      <c r="EA67" s="1080">
        <f>IF(DY67=0,0,(DZ67-DY67)/DY67*100)</f>
        <v>0</v>
      </c>
      <c r="EB67" s="3404"/>
      <c r="EC67" s="3404"/>
      <c r="ED67" s="1080">
        <f>IF(EB67=0,0,(EC67-EB67)/EB67*100)</f>
        <v>0</v>
      </c>
      <c r="EE67" s="3404"/>
      <c r="EF67" s="3404"/>
      <c r="EG67" s="1080">
        <f>IF(EE67=0,0,(EF67-EE67)/EE67*100)</f>
        <v>0</v>
      </c>
      <c r="EH67" s="3404"/>
      <c r="EI67" s="3404"/>
      <c r="EJ67" s="1080">
        <f>IF(EH67=0,0,(EI67-EH67)/EH67*100)</f>
        <v>0</v>
      </c>
      <c r="EK67" s="3404"/>
      <c r="EL67" s="3404"/>
      <c r="EM67" s="1080">
        <f>IF(EK67=0,0,(EL67-EK67)/EK67*100)</f>
        <v>0</v>
      </c>
      <c r="EN67" s="3404"/>
      <c r="EO67" s="3404"/>
      <c r="EP67" s="1080">
        <f>IF(EN67=0,0,(EO67-EN67)/EN67*100)</f>
        <v>0</v>
      </c>
      <c r="EQ67" s="3404"/>
      <c r="ER67" s="3404"/>
      <c r="ES67" s="1080">
        <f>IF(EQ67=0,0,(ER67-EQ67)/EQ67*100)</f>
        <v>0</v>
      </c>
      <c r="ET67" s="3404"/>
      <c r="EU67" s="3404"/>
      <c r="EV67" s="1080">
        <f>IF(ET67=0,0,(EU67-ET67)/ET67*100)</f>
        <v>0</v>
      </c>
      <c r="EW67" s="3404"/>
      <c r="EX67" s="3404"/>
      <c r="EY67" s="1080">
        <f>IF(EW67=0,0,(EX67-EW67)/EW67*100)</f>
        <v>0</v>
      </c>
      <c r="EZ67" s="3404"/>
      <c r="FA67" s="3404"/>
      <c r="FB67" s="1080">
        <f>IF(EZ67=0,0,(FA67-EZ67)/EZ67*100)</f>
        <v>0</v>
      </c>
      <c r="FC67" s="3404"/>
      <c r="FD67" s="3404"/>
      <c r="FE67" s="1080">
        <f>IF(FC67=0,0,(FD67-FC67)/FC67*100)</f>
        <v>0</v>
      </c>
      <c r="FF67" s="3404"/>
      <c r="FG67" s="3404"/>
      <c r="FH67" s="1080">
        <f>IF(FF67=0,0,(FG67-FF67)/FF67*100)</f>
        <v>0</v>
      </c>
      <c r="FI67" s="3404"/>
      <c r="FJ67" s="3404"/>
      <c r="FK67" s="1080">
        <f>IF(FI67=0,0,(FJ67-FI67)/FI67*100)</f>
        <v>0</v>
      </c>
      <c r="FL67" s="3404"/>
      <c r="FM67" s="3404"/>
      <c r="FN67" s="1080">
        <f>IF(FL67=0,0,(FM67-FL67)/FL67*100)</f>
        <v>0</v>
      </c>
      <c r="FO67" s="3404"/>
      <c r="FP67" s="3404"/>
      <c r="FQ67" s="1080">
        <f>IF(FO67=0,0,(FP67-FO67)/FO67*100)</f>
        <v>0</v>
      </c>
      <c r="FR67" s="3404"/>
      <c r="FS67" s="3404"/>
      <c r="FT67" s="1080">
        <f>IF(FR67=0,0,(FS67-FR67)/FR67*100)</f>
        <v>0</v>
      </c>
      <c r="FU67" s="3404"/>
      <c r="FV67" s="3404"/>
      <c r="FW67" s="1080">
        <f>IF(FU67=0,0,(FV67-FU67)/FU67*100)</f>
        <v>0</v>
      </c>
      <c r="FX67" s="676"/>
      <c r="FY67" s="676"/>
      <c r="FZ67" s="1039" t="s">
        <v>1558</v>
      </c>
      <c r="GA67" s="1061"/>
      <c r="GB67" s="1061"/>
      <c r="GC67" s="697"/>
      <c r="GD67" s="697"/>
    </row>
    <row customHeight="1" ht="21.9375" hidden="1">
      <c r="A68" s="467"/>
      <c r="B68" s="907" cm="1" t="str">
        <f t="array" ref="B68:B68">B67</f>
        <v>false</v>
      </c>
      <c r="C68" s="467"/>
      <c r="D68" s="467"/>
      <c r="E68" s="822">
        <v>22.5</v>
      </c>
      <c r="F68" s="50" cm="1" t="str">
        <f t="array" ref="F68:F68">OFFSET(E68,-1,1)</f>
        <v>0</v>
      </c>
      <c r="G68" s="467"/>
      <c r="H68" s="467" t="s">
        <v>1533</v>
      </c>
      <c r="I68" s="467" t="s">
        <v>1511</v>
      </c>
      <c r="J68" s="467"/>
      <c r="K68" s="467"/>
      <c r="L68" s="467"/>
      <c r="M68" s="467"/>
      <c r="N68" s="467"/>
      <c r="O68" s="467"/>
      <c r="P68" s="467"/>
      <c r="Q68" s="467"/>
      <c r="R68" s="467"/>
      <c r="S68" s="467"/>
      <c r="T68" s="439" cm="1" t="str">
        <f t="array" ref="T68:T68">T67</f>
        <v>false</v>
      </c>
      <c r="U68" s="467"/>
      <c r="V68" s="467"/>
      <c r="W68" s="467"/>
      <c r="X68" s="1534"/>
      <c r="Y68" s="467"/>
      <c r="Z68" s="1464"/>
      <c r="AA68" s="467"/>
      <c r="AB68"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846" t="s">
        <v>1534</v>
      </c>
      <c r="AD68" s="3409"/>
      <c r="AE68" s="3409"/>
      <c r="AF68" s="1078">
        <f>IF(AD68=0,0,(AE68-AD68)/AD68*100)</f>
        <v>0</v>
      </c>
      <c r="AG68" s="3409"/>
      <c r="AH68" s="3409"/>
      <c r="AI68" s="1078">
        <f>IF(AG68=0,0,(AH68-AG68)/AG68*100)</f>
        <v>0</v>
      </c>
      <c r="AJ68" s="3409"/>
      <c r="AK68" s="3409"/>
      <c r="AL68" s="1078">
        <f>IF(AJ68=0,0,(AK68-AJ68)/AJ68*100)</f>
        <v>0</v>
      </c>
      <c r="AM68" s="3409"/>
      <c r="AN68" s="3409"/>
      <c r="AO68" s="1078">
        <f>IF(AM68=0,0,(AN68-AM68)/AM68*100)</f>
        <v>0</v>
      </c>
      <c r="AP68" s="3409"/>
      <c r="AQ68" s="3409"/>
      <c r="AR68" s="1078">
        <f>IF(AP68=0,0,(AQ68-AP68)/AP68*100)</f>
        <v>0</v>
      </c>
      <c r="AS68" s="3409"/>
      <c r="AT68" s="3409"/>
      <c r="AU68" s="1078">
        <f>IF(AS68=0,0,(AT68-AS68)/AS68*100)</f>
        <v>0</v>
      </c>
      <c r="AV68" s="3409"/>
      <c r="AW68" s="3409"/>
      <c r="AX68" s="1078">
        <f>IF(AV68=0,0,(AW68-AV68)/AV68*100)</f>
        <v>0</v>
      </c>
      <c r="AY68" s="3409"/>
      <c r="AZ68" s="3409"/>
      <c r="BA68" s="1078">
        <f>IF(AY68=0,0,(AZ68-AY68)/AY68*100)</f>
        <v>0</v>
      </c>
      <c r="BB68" s="3409"/>
      <c r="BC68" s="3409"/>
      <c r="BD68" s="1078">
        <f>IF(BB68=0,0,(BC68-BB68)/BB68*100)</f>
        <v>0</v>
      </c>
      <c r="BE68" s="3409"/>
      <c r="BF68" s="3409"/>
      <c r="BG68" s="1078">
        <f>IF(BE68=0,0,(BF68-BE68)/BE68*100)</f>
        <v>0</v>
      </c>
      <c r="BH68" s="3409"/>
      <c r="BI68" s="3409"/>
      <c r="BJ68" s="1078">
        <f>IF(BH68=0,0,(BI68-BH68)/BH68*100)</f>
        <v>0</v>
      </c>
      <c r="BK68" s="3409"/>
      <c r="BL68" s="3409"/>
      <c r="BM68" s="1078">
        <f>IF(BK68=0,0,(BL68-BK68)/BK68*100)</f>
        <v>0</v>
      </c>
      <c r="BN68" s="3409"/>
      <c r="BO68" s="3409"/>
      <c r="BP68" s="1078">
        <f>IF(BN68=0,0,(BO68-BN68)/BN68*100)</f>
        <v>0</v>
      </c>
      <c r="BQ68" s="3409"/>
      <c r="BR68" s="3409"/>
      <c r="BS68" s="1078">
        <f>IF(BQ68=0,0,(BR68-BQ68)/BQ68*100)</f>
        <v>0</v>
      </c>
      <c r="BT68" s="3409"/>
      <c r="BU68" s="3409"/>
      <c r="BV68" s="1078">
        <f>IF(BT68=0,0,(BU68-BT68)/BT68*100)</f>
        <v>0</v>
      </c>
      <c r="BW68" s="3409"/>
      <c r="BX68" s="3409"/>
      <c r="BY68" s="1078">
        <f>IF(BW68=0,0,(BX68-BW68)/BW68*100)</f>
        <v>0</v>
      </c>
      <c r="BZ68" s="3409"/>
      <c r="CA68" s="3409"/>
      <c r="CB68" s="1078">
        <f>IF(BZ68=0,0,(CA68-BZ68)/BZ68*100)</f>
        <v>0</v>
      </c>
      <c r="CC68" s="3409"/>
      <c r="CD68" s="3409"/>
      <c r="CE68" s="1078">
        <f>IF(CC68=0,0,(CD68-CC68)/CC68*100)</f>
        <v>0</v>
      </c>
      <c r="CF68" s="3409"/>
      <c r="CG68" s="3409"/>
      <c r="CH68" s="1078">
        <f>IF(CF68=0,0,(CG68-CF68)/CF68*100)</f>
        <v>0</v>
      </c>
      <c r="CI68" s="3409"/>
      <c r="CJ68" s="3409"/>
      <c r="CK68" s="1078">
        <f>IF(CI68=0,0,(CJ68-CI68)/CI68*100)</f>
        <v>0</v>
      </c>
      <c r="CL68" s="3409"/>
      <c r="CM68" s="3409"/>
      <c r="CN68" s="1078">
        <f>IF(CL68=0,0,(CM68-CL68)/CL68*100)</f>
        <v>0</v>
      </c>
      <c r="CO68" s="3409"/>
      <c r="CP68" s="3409"/>
      <c r="CQ68" s="1078">
        <f>IF(CO68=0,0,(CP68-CO68)/CO68*100)</f>
        <v>0</v>
      </c>
      <c r="CR68" s="3409"/>
      <c r="CS68" s="3409"/>
      <c r="CT68" s="1078">
        <f>IF(CR68=0,0,(CS68-CR68)/CR68*100)</f>
        <v>0</v>
      </c>
      <c r="CU68" s="3409"/>
      <c r="CV68" s="3409"/>
      <c r="CW68" s="1078">
        <f>IF(CU68=0,0,(CV68-CU68)/CU68*100)</f>
        <v>0</v>
      </c>
      <c r="CX68" s="3409"/>
      <c r="CY68" s="3409"/>
      <c r="CZ68" s="1078">
        <f>IF(CX68=0,0,(CY68-CX68)/CX68*100)</f>
        <v>0</v>
      </c>
      <c r="DA68" s="3409"/>
      <c r="DB68" s="3409"/>
      <c r="DC68" s="1078">
        <f>IF(DA68=0,0,(DB68-DA68)/DA68*100)</f>
        <v>0</v>
      </c>
      <c r="DD68" s="3409"/>
      <c r="DE68" s="3409"/>
      <c r="DF68" s="1078">
        <f>IF(DD68=0,0,(DE68-DD68)/DD68*100)</f>
        <v>0</v>
      </c>
      <c r="DG68" s="3409"/>
      <c r="DH68" s="3409"/>
      <c r="DI68" s="1078">
        <f>IF(DG68=0,0,(DH68-DG68)/DG68*100)</f>
        <v>0</v>
      </c>
      <c r="DJ68" s="3409"/>
      <c r="DK68" s="3409"/>
      <c r="DL68" s="1078">
        <f>IF(DJ68=0,0,(DK68-DJ68)/DJ68*100)</f>
        <v>0</v>
      </c>
      <c r="DM68" s="3409"/>
      <c r="DN68" s="3409"/>
      <c r="DO68" s="1078">
        <f>IF(DM68=0,0,(DN68-DM68)/DM68*100)</f>
        <v>0</v>
      </c>
      <c r="DP68" s="3409"/>
      <c r="DQ68" s="3409"/>
      <c r="DR68" s="1078">
        <f>IF(DP68=0,0,(DQ68-DP68)/DP68*100)</f>
        <v>0</v>
      </c>
      <c r="DS68" s="3409"/>
      <c r="DT68" s="3409"/>
      <c r="DU68" s="1078">
        <f>IF(DS68=0,0,(DT68-DS68)/DS68*100)</f>
        <v>0</v>
      </c>
      <c r="DV68" s="3409"/>
      <c r="DW68" s="3409"/>
      <c r="DX68" s="1078">
        <f>IF(DV68=0,0,(DW68-DV68)/DV68*100)</f>
        <v>0</v>
      </c>
      <c r="DY68" s="3409"/>
      <c r="DZ68" s="3409"/>
      <c r="EA68" s="1078">
        <f>IF(DY68=0,0,(DZ68-DY68)/DY68*100)</f>
        <v>0</v>
      </c>
      <c r="EB68" s="3409"/>
      <c r="EC68" s="3409"/>
      <c r="ED68" s="1078">
        <f>IF(EB68=0,0,(EC68-EB68)/EB68*100)</f>
        <v>0</v>
      </c>
      <c r="EE68" s="3409"/>
      <c r="EF68" s="3409"/>
      <c r="EG68" s="1078">
        <f>IF(EE68=0,0,(EF68-EE68)/EE68*100)</f>
        <v>0</v>
      </c>
      <c r="EH68" s="3409"/>
      <c r="EI68" s="3409"/>
      <c r="EJ68" s="1078">
        <f>IF(EH68=0,0,(EI68-EH68)/EH68*100)</f>
        <v>0</v>
      </c>
      <c r="EK68" s="3409"/>
      <c r="EL68" s="3409"/>
      <c r="EM68" s="1078">
        <f>IF(EK68=0,0,(EL68-EK68)/EK68*100)</f>
        <v>0</v>
      </c>
      <c r="EN68" s="3409"/>
      <c r="EO68" s="3409"/>
      <c r="EP68" s="1078">
        <f>IF(EN68=0,0,(EO68-EN68)/EN68*100)</f>
        <v>0</v>
      </c>
      <c r="EQ68" s="3409"/>
      <c r="ER68" s="3409"/>
      <c r="ES68" s="1078">
        <f>IF(EQ68=0,0,(ER68-EQ68)/EQ68*100)</f>
        <v>0</v>
      </c>
      <c r="ET68" s="3409"/>
      <c r="EU68" s="3409"/>
      <c r="EV68" s="1078">
        <f>IF(ET68=0,0,(EU68-ET68)/ET68*100)</f>
        <v>0</v>
      </c>
      <c r="EW68" s="3409"/>
      <c r="EX68" s="3409"/>
      <c r="EY68" s="1078">
        <f>IF(EW68=0,0,(EX68-EW68)/EW68*100)</f>
        <v>0</v>
      </c>
      <c r="EZ68" s="3409"/>
      <c r="FA68" s="3409"/>
      <c r="FB68" s="1078">
        <f>IF(EZ68=0,0,(FA68-EZ68)/EZ68*100)</f>
        <v>0</v>
      </c>
      <c r="FC68" s="3409"/>
      <c r="FD68" s="3409"/>
      <c r="FE68" s="1078">
        <f>IF(FC68=0,0,(FD68-FC68)/FC68*100)</f>
        <v>0</v>
      </c>
      <c r="FF68" s="3409"/>
      <c r="FG68" s="3409"/>
      <c r="FH68" s="1078">
        <f>IF(FF68=0,0,(FG68-FF68)/FF68*100)</f>
        <v>0</v>
      </c>
      <c r="FI68" s="3409"/>
      <c r="FJ68" s="3409"/>
      <c r="FK68" s="1078">
        <f>IF(FI68=0,0,(FJ68-FI68)/FI68*100)</f>
        <v>0</v>
      </c>
      <c r="FL68" s="3409"/>
      <c r="FM68" s="3409"/>
      <c r="FN68" s="1078">
        <f>IF(FL68=0,0,(FM68-FL68)/FL68*100)</f>
        <v>0</v>
      </c>
      <c r="FO68" s="3409"/>
      <c r="FP68" s="3409"/>
      <c r="FQ68" s="1078">
        <f>IF(FO68=0,0,(FP68-FO68)/FO68*100)</f>
        <v>0</v>
      </c>
      <c r="FR68" s="3409"/>
      <c r="FS68" s="3409"/>
      <c r="FT68" s="1078">
        <f>IF(FR68=0,0,(FS68-FR68)/FR68*100)</f>
        <v>0</v>
      </c>
      <c r="FU68" s="3409"/>
      <c r="FV68" s="3409"/>
      <c r="FW68" s="1078">
        <f>IF(FU68=0,0,(FV68-FU68)/FU68*100)</f>
        <v>0</v>
      </c>
      <c r="FX68" s="676"/>
      <c r="FY68" s="676"/>
      <c r="FZ68" s="1039" t="s">
        <v>1559</v>
      </c>
      <c r="GA68" s="1061"/>
      <c r="GB68" s="1061"/>
      <c r="GC68" s="697"/>
      <c r="GD68" s="697"/>
    </row>
    <row customHeight="1" ht="14.625" hidden="1">
      <c r="A69" s="467"/>
      <c r="B69" s="907" cm="1" t="str">
        <f t="array" ref="B69:B69">B68</f>
        <v>false</v>
      </c>
      <c r="C69" s="467"/>
      <c r="D69" s="467"/>
      <c r="E69" s="822">
        <v>15</v>
      </c>
      <c r="F69" s="50" cm="1" t="str">
        <f t="array" ref="F69:F69">OFFSET(E69,-1,1)</f>
        <v>0</v>
      </c>
      <c r="G69" s="467"/>
      <c r="H69" s="467" t="s">
        <v>1536</v>
      </c>
      <c r="I69" s="467" t="s">
        <v>1511</v>
      </c>
      <c r="J69" s="467"/>
      <c r="K69" s="467"/>
      <c r="L69" s="467"/>
      <c r="M69" s="467"/>
      <c r="N69" s="467"/>
      <c r="O69" s="467"/>
      <c r="P69" s="467"/>
      <c r="Q69" s="467"/>
      <c r="R69" s="467"/>
      <c r="S69" s="467"/>
      <c r="T69" s="439" cm="1" t="str">
        <f t="array" ref="T69:T69">T68</f>
        <v>false</v>
      </c>
      <c r="U69" s="467"/>
      <c r="V69" s="467"/>
      <c r="W69" s="467"/>
      <c r="X69" s="1534"/>
      <c r="Y69" s="467"/>
      <c r="Z69" s="1464"/>
      <c r="AA69" s="467"/>
      <c r="AB69" s="886" t="s">
        <v>1537</v>
      </c>
      <c r="AC69" s="846" t="s">
        <v>1538</v>
      </c>
      <c r="AD69" s="3409"/>
      <c r="AE69" s="3409"/>
      <c r="AF69" s="1078">
        <f>IF(AD69=0,0,(AE69-AD69)/AD69*100)</f>
        <v>0</v>
      </c>
      <c r="AG69" s="3409"/>
      <c r="AH69" s="3409"/>
      <c r="AI69" s="1078">
        <f>IF(AG69=0,0,(AH69-AG69)/AG69*100)</f>
        <v>0</v>
      </c>
      <c r="AJ69" s="3409"/>
      <c r="AK69" s="3409"/>
      <c r="AL69" s="1078">
        <f>IF(AJ69=0,0,(AK69-AJ69)/AJ69*100)</f>
        <v>0</v>
      </c>
      <c r="AM69" s="3409"/>
      <c r="AN69" s="3409"/>
      <c r="AO69" s="1078">
        <f>IF(AM69=0,0,(AN69-AM69)/AM69*100)</f>
        <v>0</v>
      </c>
      <c r="AP69" s="3409"/>
      <c r="AQ69" s="3409"/>
      <c r="AR69" s="1078">
        <f>IF(AP69=0,0,(AQ69-AP69)/AP69*100)</f>
        <v>0</v>
      </c>
      <c r="AS69" s="3409"/>
      <c r="AT69" s="3409"/>
      <c r="AU69" s="1078">
        <f>IF(AS69=0,0,(AT69-AS69)/AS69*100)</f>
        <v>0</v>
      </c>
      <c r="AV69" s="3409"/>
      <c r="AW69" s="3409"/>
      <c r="AX69" s="1078">
        <f>IF(AV69=0,0,(AW69-AV69)/AV69*100)</f>
        <v>0</v>
      </c>
      <c r="AY69" s="3409"/>
      <c r="AZ69" s="3409"/>
      <c r="BA69" s="1078">
        <f>IF(AY69=0,0,(AZ69-AY69)/AY69*100)</f>
        <v>0</v>
      </c>
      <c r="BB69" s="3409"/>
      <c r="BC69" s="3409"/>
      <c r="BD69" s="1078">
        <f>IF(BB69=0,0,(BC69-BB69)/BB69*100)</f>
        <v>0</v>
      </c>
      <c r="BE69" s="3409"/>
      <c r="BF69" s="3409"/>
      <c r="BG69" s="1078">
        <f>IF(BE69=0,0,(BF69-BE69)/BE69*100)</f>
        <v>0</v>
      </c>
      <c r="BH69" s="3409"/>
      <c r="BI69" s="3409"/>
      <c r="BJ69" s="1078">
        <f>IF(BH69=0,0,(BI69-BH69)/BH69*100)</f>
        <v>0</v>
      </c>
      <c r="BK69" s="3409"/>
      <c r="BL69" s="3409"/>
      <c r="BM69" s="1078">
        <f>IF(BK69=0,0,(BL69-BK69)/BK69*100)</f>
        <v>0</v>
      </c>
      <c r="BN69" s="3409"/>
      <c r="BO69" s="3409"/>
      <c r="BP69" s="1078">
        <f>IF(BN69=0,0,(BO69-BN69)/BN69*100)</f>
        <v>0</v>
      </c>
      <c r="BQ69" s="3409"/>
      <c r="BR69" s="3409"/>
      <c r="BS69" s="1078">
        <f>IF(BQ69=0,0,(BR69-BQ69)/BQ69*100)</f>
        <v>0</v>
      </c>
      <c r="BT69" s="3409"/>
      <c r="BU69" s="3409"/>
      <c r="BV69" s="1078">
        <f>IF(BT69=0,0,(BU69-BT69)/BT69*100)</f>
        <v>0</v>
      </c>
      <c r="BW69" s="3409"/>
      <c r="BX69" s="3409"/>
      <c r="BY69" s="1078">
        <f>IF(BW69=0,0,(BX69-BW69)/BW69*100)</f>
        <v>0</v>
      </c>
      <c r="BZ69" s="3409"/>
      <c r="CA69" s="3409"/>
      <c r="CB69" s="1078">
        <f>IF(BZ69=0,0,(CA69-BZ69)/BZ69*100)</f>
        <v>0</v>
      </c>
      <c r="CC69" s="3409"/>
      <c r="CD69" s="3409"/>
      <c r="CE69" s="1078">
        <f>IF(CC69=0,0,(CD69-CC69)/CC69*100)</f>
        <v>0</v>
      </c>
      <c r="CF69" s="3409"/>
      <c r="CG69" s="3409"/>
      <c r="CH69" s="1078">
        <f>IF(CF69=0,0,(CG69-CF69)/CF69*100)</f>
        <v>0</v>
      </c>
      <c r="CI69" s="3409"/>
      <c r="CJ69" s="3409"/>
      <c r="CK69" s="1078">
        <f>IF(CI69=0,0,(CJ69-CI69)/CI69*100)</f>
        <v>0</v>
      </c>
      <c r="CL69" s="3409"/>
      <c r="CM69" s="3409"/>
      <c r="CN69" s="1078">
        <f>IF(CL69=0,0,(CM69-CL69)/CL69*100)</f>
        <v>0</v>
      </c>
      <c r="CO69" s="3409"/>
      <c r="CP69" s="3409"/>
      <c r="CQ69" s="1078">
        <f>IF(CO69=0,0,(CP69-CO69)/CO69*100)</f>
        <v>0</v>
      </c>
      <c r="CR69" s="3409"/>
      <c r="CS69" s="3409"/>
      <c r="CT69" s="1078">
        <f>IF(CR69=0,0,(CS69-CR69)/CR69*100)</f>
        <v>0</v>
      </c>
      <c r="CU69" s="3409"/>
      <c r="CV69" s="3409"/>
      <c r="CW69" s="1078">
        <f>IF(CU69=0,0,(CV69-CU69)/CU69*100)</f>
        <v>0</v>
      </c>
      <c r="CX69" s="3409"/>
      <c r="CY69" s="3409"/>
      <c r="CZ69" s="1078">
        <f>IF(CX69=0,0,(CY69-CX69)/CX69*100)</f>
        <v>0</v>
      </c>
      <c r="DA69" s="3409"/>
      <c r="DB69" s="3409"/>
      <c r="DC69" s="1078">
        <f>IF(DA69=0,0,(DB69-DA69)/DA69*100)</f>
        <v>0</v>
      </c>
      <c r="DD69" s="3409"/>
      <c r="DE69" s="3409"/>
      <c r="DF69" s="1078">
        <f>IF(DD69=0,0,(DE69-DD69)/DD69*100)</f>
        <v>0</v>
      </c>
      <c r="DG69" s="3409"/>
      <c r="DH69" s="3409"/>
      <c r="DI69" s="1078">
        <f>IF(DG69=0,0,(DH69-DG69)/DG69*100)</f>
        <v>0</v>
      </c>
      <c r="DJ69" s="3409"/>
      <c r="DK69" s="3409"/>
      <c r="DL69" s="1078">
        <f>IF(DJ69=0,0,(DK69-DJ69)/DJ69*100)</f>
        <v>0</v>
      </c>
      <c r="DM69" s="3409"/>
      <c r="DN69" s="3409"/>
      <c r="DO69" s="1078">
        <f>IF(DM69=0,0,(DN69-DM69)/DM69*100)</f>
        <v>0</v>
      </c>
      <c r="DP69" s="3409"/>
      <c r="DQ69" s="3409"/>
      <c r="DR69" s="1078">
        <f>IF(DP69=0,0,(DQ69-DP69)/DP69*100)</f>
        <v>0</v>
      </c>
      <c r="DS69" s="3409"/>
      <c r="DT69" s="3409"/>
      <c r="DU69" s="1078">
        <f>IF(DS69=0,0,(DT69-DS69)/DS69*100)</f>
        <v>0</v>
      </c>
      <c r="DV69" s="3409"/>
      <c r="DW69" s="3409"/>
      <c r="DX69" s="1078">
        <f>IF(DV69=0,0,(DW69-DV69)/DV69*100)</f>
        <v>0</v>
      </c>
      <c r="DY69" s="3409"/>
      <c r="DZ69" s="3409"/>
      <c r="EA69" s="1078">
        <f>IF(DY69=0,0,(DZ69-DY69)/DY69*100)</f>
        <v>0</v>
      </c>
      <c r="EB69" s="3409"/>
      <c r="EC69" s="3409"/>
      <c r="ED69" s="1078">
        <f>IF(EB69=0,0,(EC69-EB69)/EB69*100)</f>
        <v>0</v>
      </c>
      <c r="EE69" s="3409"/>
      <c r="EF69" s="3409"/>
      <c r="EG69" s="1078">
        <f>IF(EE69=0,0,(EF69-EE69)/EE69*100)</f>
        <v>0</v>
      </c>
      <c r="EH69" s="3409"/>
      <c r="EI69" s="3409"/>
      <c r="EJ69" s="1078">
        <f>IF(EH69=0,0,(EI69-EH69)/EH69*100)</f>
        <v>0</v>
      </c>
      <c r="EK69" s="3409"/>
      <c r="EL69" s="3409"/>
      <c r="EM69" s="1078">
        <f>IF(EK69=0,0,(EL69-EK69)/EK69*100)</f>
        <v>0</v>
      </c>
      <c r="EN69" s="3409"/>
      <c r="EO69" s="3409"/>
      <c r="EP69" s="1078">
        <f>IF(EN69=0,0,(EO69-EN69)/EN69*100)</f>
        <v>0</v>
      </c>
      <c r="EQ69" s="3409"/>
      <c r="ER69" s="3409"/>
      <c r="ES69" s="1078">
        <f>IF(EQ69=0,0,(ER69-EQ69)/EQ69*100)</f>
        <v>0</v>
      </c>
      <c r="ET69" s="3409"/>
      <c r="EU69" s="3409"/>
      <c r="EV69" s="1078">
        <f>IF(ET69=0,0,(EU69-ET69)/ET69*100)</f>
        <v>0</v>
      </c>
      <c r="EW69" s="3409"/>
      <c r="EX69" s="3409"/>
      <c r="EY69" s="1078">
        <f>IF(EW69=0,0,(EX69-EW69)/EW69*100)</f>
        <v>0</v>
      </c>
      <c r="EZ69" s="3409"/>
      <c r="FA69" s="3409"/>
      <c r="FB69" s="1078">
        <f>IF(EZ69=0,0,(FA69-EZ69)/EZ69*100)</f>
        <v>0</v>
      </c>
      <c r="FC69" s="3409"/>
      <c r="FD69" s="3409"/>
      <c r="FE69" s="1078">
        <f>IF(FC69=0,0,(FD69-FC69)/FC69*100)</f>
        <v>0</v>
      </c>
      <c r="FF69" s="3409"/>
      <c r="FG69" s="3409"/>
      <c r="FH69" s="1078">
        <f>IF(FF69=0,0,(FG69-FF69)/FF69*100)</f>
        <v>0</v>
      </c>
      <c r="FI69" s="3409"/>
      <c r="FJ69" s="3409"/>
      <c r="FK69" s="1078">
        <f>IF(FI69=0,0,(FJ69-FI69)/FI69*100)</f>
        <v>0</v>
      </c>
      <c r="FL69" s="3409"/>
      <c r="FM69" s="3409"/>
      <c r="FN69" s="1078">
        <f>IF(FL69=0,0,(FM69-FL69)/FL69*100)</f>
        <v>0</v>
      </c>
      <c r="FO69" s="3409"/>
      <c r="FP69" s="3409"/>
      <c r="FQ69" s="1078">
        <f>IF(FO69=0,0,(FP69-FO69)/FO69*100)</f>
        <v>0</v>
      </c>
      <c r="FR69" s="3409"/>
      <c r="FS69" s="3409"/>
      <c r="FT69" s="1078">
        <f>IF(FR69=0,0,(FS69-FR69)/FR69*100)</f>
        <v>0</v>
      </c>
      <c r="FU69" s="3409"/>
      <c r="FV69" s="3409"/>
      <c r="FW69" s="1078">
        <f>IF(FU69=0,0,(FV69-FU69)/FU69*100)</f>
        <v>0</v>
      </c>
      <c r="FX69" s="676"/>
      <c r="FY69" s="676"/>
      <c r="FZ69" s="1039" t="s">
        <v>1560</v>
      </c>
      <c r="GA69" s="1061"/>
      <c r="GB69" s="1061"/>
      <c r="GC69" s="697"/>
      <c r="GD69" s="697"/>
    </row>
    <row customHeight="1" ht="18.28125" hidden="1">
      <c r="A70" s="467"/>
      <c r="B70" s="907" cm="1" t="str">
        <f t="array" ref="B70:B70">B69</f>
        <v>false</v>
      </c>
      <c r="C70" s="467"/>
      <c r="D70" s="467"/>
      <c r="E70" s="822">
        <v>18.75</v>
      </c>
      <c r="F70" s="50" cm="1" t="str">
        <f t="array" ref="F70:F70">OFFSET(E70,-1,1)</f>
        <v>0</v>
      </c>
      <c r="G70" s="467"/>
      <c r="H70" s="467"/>
      <c r="I70" s="467"/>
      <c r="J70" s="467"/>
      <c r="K70" s="467"/>
      <c r="L70" s="467"/>
      <c r="M70" s="467"/>
      <c r="N70" s="467"/>
      <c r="O70" s="467"/>
      <c r="P70" s="467"/>
      <c r="Q70" s="467"/>
      <c r="R70" s="467"/>
      <c r="S70" s="467"/>
      <c r="T70" s="439">
        <f>AND(F70&gt;0,Y70&gt;0)</f>
        <v>0</v>
      </c>
      <c r="U70" s="467"/>
      <c r="V70" s="467"/>
      <c r="W70" s="467" t="s">
        <v>173</v>
      </c>
      <c r="X70" s="1534"/>
      <c r="Y70" s="1534">
        <v>0</v>
      </c>
      <c r="Z70" s="1464"/>
      <c r="AA70" s="1413" t="s">
        <v>174</v>
      </c>
      <c r="AB70" s="3408"/>
      <c r="AC70" s="847"/>
      <c r="AD70" s="1090"/>
      <c r="AE70" s="1091"/>
      <c r="AF70" s="1091"/>
      <c r="AG70" s="1090"/>
      <c r="AH70" s="1091"/>
      <c r="AI70" s="1091"/>
      <c r="AJ70" s="1090"/>
      <c r="AK70" s="1091"/>
      <c r="AL70" s="1091"/>
      <c r="AM70" s="1090"/>
      <c r="AN70" s="1091"/>
      <c r="AO70" s="1091"/>
      <c r="AP70" s="1090"/>
      <c r="AQ70" s="1091"/>
      <c r="AR70" s="1091"/>
      <c r="AS70" s="1090"/>
      <c r="AT70" s="1091"/>
      <c r="AU70" s="1091"/>
      <c r="AV70" s="1090"/>
      <c r="AW70" s="1091"/>
      <c r="AX70" s="1091"/>
      <c r="AY70" s="1090"/>
      <c r="AZ70" s="1091"/>
      <c r="BA70" s="1091"/>
      <c r="BB70" s="1090"/>
      <c r="BC70" s="1091"/>
      <c r="BD70" s="1091"/>
      <c r="BE70" s="1090"/>
      <c r="BF70" s="1091"/>
      <c r="BG70" s="1091"/>
      <c r="BH70" s="1090"/>
      <c r="BI70" s="1091"/>
      <c r="BJ70" s="1091"/>
      <c r="BK70" s="1090"/>
      <c r="BL70" s="1091"/>
      <c r="BM70" s="1091"/>
      <c r="BN70" s="1090"/>
      <c r="BO70" s="1091"/>
      <c r="BP70" s="1091"/>
      <c r="BQ70" s="1090"/>
      <c r="BR70" s="1091"/>
      <c r="BS70" s="1091"/>
      <c r="BT70" s="1090"/>
      <c r="BU70" s="1091"/>
      <c r="BV70" s="1091"/>
      <c r="BW70" s="1090"/>
      <c r="BX70" s="1091"/>
      <c r="BY70" s="1091"/>
      <c r="BZ70" s="1090"/>
      <c r="CA70" s="1091"/>
      <c r="CB70" s="1091"/>
      <c r="CC70" s="1090"/>
      <c r="CD70" s="1091"/>
      <c r="CE70" s="1091"/>
      <c r="CF70" s="1090"/>
      <c r="CG70" s="1091"/>
      <c r="CH70" s="1091"/>
      <c r="CI70" s="1090"/>
      <c r="CJ70" s="1091"/>
      <c r="CK70" s="1091"/>
      <c r="CL70" s="1090"/>
      <c r="CM70" s="1091"/>
      <c r="CN70" s="1091"/>
      <c r="CO70" s="1090"/>
      <c r="CP70" s="1091"/>
      <c r="CQ70" s="1091"/>
      <c r="CR70" s="1090"/>
      <c r="CS70" s="1091"/>
      <c r="CT70" s="1091"/>
      <c r="CU70" s="1090"/>
      <c r="CV70" s="1091"/>
      <c r="CW70" s="1091"/>
      <c r="CX70" s="1090"/>
      <c r="CY70" s="1091"/>
      <c r="CZ70" s="1091"/>
      <c r="DA70" s="1090"/>
      <c r="DB70" s="1091"/>
      <c r="DC70" s="1091"/>
      <c r="DD70" s="1090"/>
      <c r="DE70" s="1091"/>
      <c r="DF70" s="1091"/>
      <c r="DG70" s="1090"/>
      <c r="DH70" s="1091"/>
      <c r="DI70" s="1091"/>
      <c r="DJ70" s="1090"/>
      <c r="DK70" s="1091"/>
      <c r="DL70" s="1091"/>
      <c r="DM70" s="1090"/>
      <c r="DN70" s="1091"/>
      <c r="DO70" s="1091"/>
      <c r="DP70" s="1090"/>
      <c r="DQ70" s="1091"/>
      <c r="DR70" s="1091"/>
      <c r="DS70" s="1090"/>
      <c r="DT70" s="1091"/>
      <c r="DU70" s="1091"/>
      <c r="DV70" s="1090"/>
      <c r="DW70" s="1091"/>
      <c r="DX70" s="1091"/>
      <c r="DY70" s="1090"/>
      <c r="DZ70" s="1091"/>
      <c r="EA70" s="1091"/>
      <c r="EB70" s="1090"/>
      <c r="EC70" s="1091"/>
      <c r="ED70" s="1091"/>
      <c r="EE70" s="1090"/>
      <c r="EF70" s="1091"/>
      <c r="EG70" s="1091"/>
      <c r="EH70" s="1090"/>
      <c r="EI70" s="1091"/>
      <c r="EJ70" s="1091"/>
      <c r="EK70" s="1090"/>
      <c r="EL70" s="1091"/>
      <c r="EM70" s="1091"/>
      <c r="EN70" s="1090"/>
      <c r="EO70" s="1091"/>
      <c r="EP70" s="1091"/>
      <c r="EQ70" s="1090"/>
      <c r="ER70" s="1091"/>
      <c r="ES70" s="1091"/>
      <c r="ET70" s="1090"/>
      <c r="EU70" s="1091"/>
      <c r="EV70" s="1091"/>
      <c r="EW70" s="1090"/>
      <c r="EX70" s="1091"/>
      <c r="EY70" s="1091"/>
      <c r="EZ70" s="1090"/>
      <c r="FA70" s="1091"/>
      <c r="FB70" s="1091"/>
      <c r="FC70" s="1090"/>
      <c r="FD70" s="1091"/>
      <c r="FE70" s="1091"/>
      <c r="FF70" s="1090"/>
      <c r="FG70" s="1091"/>
      <c r="FH70" s="1091"/>
      <c r="FI70" s="1090"/>
      <c r="FJ70" s="1091"/>
      <c r="FK70" s="1091"/>
      <c r="FL70" s="1090"/>
      <c r="FM70" s="1091"/>
      <c r="FN70" s="1091"/>
      <c r="FO70" s="1090"/>
      <c r="FP70" s="1091"/>
      <c r="FQ70" s="1091"/>
      <c r="FR70" s="1090"/>
      <c r="FS70" s="1091"/>
      <c r="FT70" s="1091"/>
      <c r="FU70" s="1090"/>
      <c r="FV70" s="1091"/>
      <c r="FW70" s="1092"/>
      <c r="FX70" s="676"/>
      <c r="FY70" s="676"/>
      <c r="FZ70" s="1039"/>
      <c r="GA70" s="1061"/>
      <c r="GB70" s="1061"/>
      <c r="GC70" s="697"/>
      <c r="GD70" s="611" t="b">
        <v>1</v>
      </c>
    </row>
    <row customHeight="1" ht="14.625" hidden="1">
      <c r="A71" s="467"/>
      <c r="B71" s="907" cm="1" t="str">
        <f t="array" ref="B71:B71">B70</f>
        <v>false</v>
      </c>
      <c r="C71" s="467"/>
      <c r="D71" s="467"/>
      <c r="E71" s="822">
        <v>15</v>
      </c>
      <c r="F71" s="50" cm="1" t="str">
        <f t="array" ref="F71:F71">OFFSET(E71,-1,1)</f>
        <v>0</v>
      </c>
      <c r="G71" s="467"/>
      <c r="H71" s="467" t="s">
        <v>1445</v>
      </c>
      <c r="I71" s="467" cm="1" t="str">
        <f t="array" ref="I71:I71">AB70</f>
        <v>0</v>
      </c>
      <c r="J71" s="467"/>
      <c r="K71" s="467"/>
      <c r="L71" s="467"/>
      <c r="M71" s="467"/>
      <c r="N71" s="467"/>
      <c r="O71" s="467"/>
      <c r="P71" s="467"/>
      <c r="Q71" s="467"/>
      <c r="R71" s="467"/>
      <c r="S71" s="467"/>
      <c r="T71" s="439" cm="1" t="str">
        <f t="array" ref="T71:T71">T70</f>
        <v>false</v>
      </c>
      <c r="U71" s="467"/>
      <c r="V71" s="467"/>
      <c r="W71" s="467"/>
      <c r="X71" s="1534"/>
      <c r="Y71" s="1534"/>
      <c r="Z71" s="1464"/>
      <c r="AA71" s="1413"/>
      <c r="AB71" s="886" t="s">
        <v>1527</v>
      </c>
      <c r="AC71" s="846" t="s">
        <v>1494</v>
      </c>
      <c r="AD71" s="3409">
        <f>IF(AD73=0,0,(AD72*AD73+AD74*AD75*IF(god=2026,3,6))/AD73)</f>
        <v>0</v>
      </c>
      <c r="AE71" s="3409">
        <f>IF(AE73=0,0,(AE72*AE73+AE74*AE75*IF(god=2026,3,6))/AE73)</f>
        <v>0</v>
      </c>
      <c r="AF71" s="1078">
        <f>IF(AD71=0,0,(AE71-AD71)/AD71*100)</f>
        <v>0</v>
      </c>
      <c r="AG71" s="3409">
        <f>IF(AG73=0,0,(AG72*AG73+AG74*AG75*IF(god=2025,3,6))/AG73)</f>
        <v>0</v>
      </c>
      <c r="AH71" s="3409">
        <f>IF(AH73=0,0,(AH72*AH73+AH74*AH75*IF(god=2025,3,6))/AH73)</f>
        <v>0</v>
      </c>
      <c r="AI71" s="1078">
        <f>IF(AG71=0,0,(AH71-AG71)/AG71*100)</f>
        <v>0</v>
      </c>
      <c r="AJ71" s="3409">
        <f>IF(AJ73=0,0,(AJ72*AJ73+AJ74*AJ75*6)/AJ73)</f>
        <v>0</v>
      </c>
      <c r="AK71" s="3409">
        <f>IF(AK73=0,0,(AK72*AK73+AK74*AK75*6)/AK73)</f>
        <v>0</v>
      </c>
      <c r="AL71" s="1078">
        <f>IF(AJ71=0,0,(AK71-AJ71)/AJ71*100)</f>
        <v>0</v>
      </c>
      <c r="AM71" s="3409">
        <f>IF(AM73=0,0,(AM72*AM73+AM74*AM75*6)/AM73)</f>
        <v>0</v>
      </c>
      <c r="AN71" s="3409">
        <f>IF(AN73=0,0,(AN72*AN73+AN74*AN75*6)/AN73)</f>
        <v>0</v>
      </c>
      <c r="AO71" s="1078">
        <f>IF(AM71=0,0,(AN71-AM71)/AM71*100)</f>
        <v>0</v>
      </c>
      <c r="AP71" s="3409">
        <f>IF(AP73=0,0,(AP72*AP73+AP74*AP75*6)/AP73)</f>
        <v>0</v>
      </c>
      <c r="AQ71" s="3409">
        <f>IF(AQ73=0,0,(AQ72*AQ73+AQ74*AQ75*6)/AQ73)</f>
        <v>0</v>
      </c>
      <c r="AR71" s="1078">
        <f>IF(AP71=0,0,(AQ71-AP71)/AP71*100)</f>
        <v>0</v>
      </c>
      <c r="AS71" s="3409">
        <f>IF(AS73=0,0,(AS72*AS73+AS74*AS75*6)/AS73)</f>
        <v>0</v>
      </c>
      <c r="AT71" s="3409">
        <f>IF(AT73=0,0,(AT72*AT73+AT74*AT75*6)/AT73)</f>
        <v>0</v>
      </c>
      <c r="AU71" s="1078">
        <f>IF(AS71=0,0,(AT71-AS71)/AS71*100)</f>
        <v>0</v>
      </c>
      <c r="AV71" s="3409">
        <f>IF(AV73=0,0,(AV72*AV73+AV74*AV75*6)/AV73)</f>
        <v>0</v>
      </c>
      <c r="AW71" s="3409">
        <f>IF(AW73=0,0,(AW72*AW73+AW74*AW75*6)/AW73)</f>
        <v>0</v>
      </c>
      <c r="AX71" s="1078">
        <f>IF(AV71=0,0,(AW71-AV71)/AV71*100)</f>
        <v>0</v>
      </c>
      <c r="AY71" s="3409">
        <f>IF(AY73=0,0,(AY72*AY73+AY74*AY75*6)/AY73)</f>
        <v>0</v>
      </c>
      <c r="AZ71" s="3409">
        <f>IF(AZ73=0,0,(AZ72*AZ73+AZ74*AZ75*6)/AZ73)</f>
        <v>0</v>
      </c>
      <c r="BA71" s="1078">
        <f>IF(AY71=0,0,(AZ71-AY71)/AY71*100)</f>
        <v>0</v>
      </c>
      <c r="BB71" s="3409">
        <f>IF(BB73=0,0,(BB72*BB73+BB74*BB75*6)/BB73)</f>
        <v>0</v>
      </c>
      <c r="BC71" s="3409">
        <f>IF(BC73=0,0,(BC72*BC73+BC74*BC75*6)/BC73)</f>
        <v>0</v>
      </c>
      <c r="BD71" s="1078">
        <f>IF(BB71=0,0,(BC71-BB71)/BB71*100)</f>
        <v>0</v>
      </c>
      <c r="BE71" s="3409">
        <f>IF(BE73=0,0,(BE72*BE73+BE74*BE75*6)/BE73)</f>
        <v>0</v>
      </c>
      <c r="BF71" s="3409">
        <f>IF(BF73=0,0,(BF72*BF73+BF74*BF75*6)/BF73)</f>
        <v>0</v>
      </c>
      <c r="BG71" s="1078">
        <f>IF(BE71=0,0,(BF71-BE71)/BE71*100)</f>
        <v>0</v>
      </c>
      <c r="BH71" s="3409">
        <f>IF(BH73=0,0,(BH72*BH73+BH74*BH75*6)/BH73)</f>
        <v>0</v>
      </c>
      <c r="BI71" s="3409">
        <f>IF(BI73=0,0,(BI72*BI73+BI74*BI75*6)/BI73)</f>
        <v>0</v>
      </c>
      <c r="BJ71" s="1078">
        <f>IF(BH71=0,0,(BI71-BH71)/BH71*100)</f>
        <v>0</v>
      </c>
      <c r="BK71" s="3409">
        <f>IF(BK73=0,0,(BK72*BK73+BK74*BK75*6)/BK73)</f>
        <v>0</v>
      </c>
      <c r="BL71" s="3409">
        <f>IF(BL73=0,0,(BL72*BL73+BL74*BL75*6)/BL73)</f>
        <v>0</v>
      </c>
      <c r="BM71" s="1078">
        <f>IF(BK71=0,0,(BL71-BK71)/BK71*100)</f>
        <v>0</v>
      </c>
      <c r="BN71" s="3409">
        <f>IF(BN73=0,0,(BN72*BN73+BN74*BN75*6)/BN73)</f>
        <v>0</v>
      </c>
      <c r="BO71" s="3409">
        <f>IF(BO73=0,0,(BO72*BO73+BO74*BO75*6)/BO73)</f>
        <v>0</v>
      </c>
      <c r="BP71" s="1078">
        <f>IF(BN71=0,0,(BO71-BN71)/BN71*100)</f>
        <v>0</v>
      </c>
      <c r="BQ71" s="3409">
        <f>IF(BQ73=0,0,(BQ72*BQ73+BQ74*BQ75*6)/BQ73)</f>
        <v>0</v>
      </c>
      <c r="BR71" s="3409">
        <f>IF(BR73=0,0,(BR72*BR73+BR74*BR75*6)/BR73)</f>
        <v>0</v>
      </c>
      <c r="BS71" s="1078">
        <f>IF(BQ71=0,0,(BR71-BQ71)/BQ71*100)</f>
        <v>0</v>
      </c>
      <c r="BT71" s="3409">
        <f>IF(BT73=0,0,(BT72*BT73+BT74*BT75*6)/BT73)</f>
        <v>0</v>
      </c>
      <c r="BU71" s="3409">
        <f>IF(BU73=0,0,(BU72*BU73+BU74*BU75*6)/BU73)</f>
        <v>0</v>
      </c>
      <c r="BV71" s="1078">
        <f>IF(BT71=0,0,(BU71-BT71)/BT71*100)</f>
        <v>0</v>
      </c>
      <c r="BW71" s="3409">
        <f>IF(BW73=0,0,(BW72*BW73+BW74*BW75*6)/BW73)</f>
        <v>0</v>
      </c>
      <c r="BX71" s="3409">
        <f>IF(BX73=0,0,(BX72*BX73+BX74*BX75*6)/BX73)</f>
        <v>0</v>
      </c>
      <c r="BY71" s="1078">
        <f>IF(BW71=0,0,(BX71-BW71)/BW71*100)</f>
        <v>0</v>
      </c>
      <c r="BZ71" s="3409">
        <f>IF(BZ73=0,0,(BZ72*BZ73+BZ74*BZ75*6)/BZ73)</f>
        <v>0</v>
      </c>
      <c r="CA71" s="3409">
        <f>IF(CA73=0,0,(CA72*CA73+CA74*CA75*6)/CA73)</f>
        <v>0</v>
      </c>
      <c r="CB71" s="1078">
        <f>IF(BZ71=0,0,(CA71-BZ71)/BZ71*100)</f>
        <v>0</v>
      </c>
      <c r="CC71" s="3409">
        <f>IF(CC73=0,0,(CC72*CC73+CC74*CC75*6)/CC73)</f>
        <v>0</v>
      </c>
      <c r="CD71" s="3409">
        <f>IF(CD73=0,0,(CD72*CD73+CD74*CD75*6)/CD73)</f>
        <v>0</v>
      </c>
      <c r="CE71" s="1078">
        <f>IF(CC71=0,0,(CD71-CC71)/CC71*100)</f>
        <v>0</v>
      </c>
      <c r="CF71" s="3409">
        <f>IF(CF73=0,0,(CF72*CF73+CF74*CF75*6)/CF73)</f>
        <v>0</v>
      </c>
      <c r="CG71" s="3409">
        <f>IF(CG73=0,0,(CG72*CG73+CG74*CG75*6)/CG73)</f>
        <v>0</v>
      </c>
      <c r="CH71" s="1078">
        <f>IF(CF71=0,0,(CG71-CF71)/CF71*100)</f>
        <v>0</v>
      </c>
      <c r="CI71" s="3409">
        <f>IF(CI73=0,0,(CI72*CI73+CI74*CI75*6)/CI73)</f>
        <v>0</v>
      </c>
      <c r="CJ71" s="3409">
        <f>IF(CJ73=0,0,(CJ72*CJ73+CJ74*CJ75*6)/CJ73)</f>
        <v>0</v>
      </c>
      <c r="CK71" s="1078">
        <f>IF(CI71=0,0,(CJ71-CI71)/CI71*100)</f>
        <v>0</v>
      </c>
      <c r="CL71" s="3409">
        <f>IF(CL73=0,0,(CL72*CL73+CL74*CL75*6)/CL73)</f>
        <v>0</v>
      </c>
      <c r="CM71" s="3409">
        <f>IF(CM73=0,0,(CM72*CM73+CM74*CM75*6)/CM73)</f>
        <v>0</v>
      </c>
      <c r="CN71" s="1078">
        <f>IF(CL71=0,0,(CM71-CL71)/CL71*100)</f>
        <v>0</v>
      </c>
      <c r="CO71" s="3409">
        <f>IF(CO73=0,0,(CO72*CO73+CO74*CO75*6)/CO73)</f>
        <v>0</v>
      </c>
      <c r="CP71" s="3409">
        <f>IF(CP73=0,0,(CP72*CP73+CP74*CP75*6)/CP73)</f>
        <v>0</v>
      </c>
      <c r="CQ71" s="1078">
        <f>IF(CO71=0,0,(CP71-CO71)/CO71*100)</f>
        <v>0</v>
      </c>
      <c r="CR71" s="3409">
        <f>IF(CR73=0,0,(CR72*CR73+CR74*CR75*6)/CR73)</f>
        <v>0</v>
      </c>
      <c r="CS71" s="3409">
        <f>IF(CS73=0,0,(CS72*CS73+CS74*CS75*6)/CS73)</f>
        <v>0</v>
      </c>
      <c r="CT71" s="1078">
        <f>IF(CR71=0,0,(CS71-CR71)/CR71*100)</f>
        <v>0</v>
      </c>
      <c r="CU71" s="3409">
        <f>IF(CU73=0,0,(CU72*CU73+CU74*CU75*6)/CU73)</f>
        <v>0</v>
      </c>
      <c r="CV71" s="3409">
        <f>IF(CV73=0,0,(CV72*CV73+CV74*CV75*6)/CV73)</f>
        <v>0</v>
      </c>
      <c r="CW71" s="1078">
        <f>IF(CU71=0,0,(CV71-CU71)/CU71*100)</f>
        <v>0</v>
      </c>
      <c r="CX71" s="3409">
        <f>IF(CX73=0,0,(CX72*CX73+CX74*CX75*6)/CX73)</f>
        <v>0</v>
      </c>
      <c r="CY71" s="3409">
        <f>IF(CY73=0,0,(CY72*CY73+CY74*CY75*6)/CY73)</f>
        <v>0</v>
      </c>
      <c r="CZ71" s="1078">
        <f>IF(CX71=0,0,(CY71-CX71)/CX71*100)</f>
        <v>0</v>
      </c>
      <c r="DA71" s="3409">
        <f>IF(DA73=0,0,(DA72*DA73+DA74*DA75*6)/DA73)</f>
        <v>0</v>
      </c>
      <c r="DB71" s="3409">
        <f>IF(DB73=0,0,(DB72*DB73+DB74*DB75*6)/DB73)</f>
        <v>0</v>
      </c>
      <c r="DC71" s="1078">
        <f>IF(DA71=0,0,(DB71-DA71)/DA71*100)</f>
        <v>0</v>
      </c>
      <c r="DD71" s="3409">
        <f>IF(DD73=0,0,(DD72*DD73+DD74*DD75*6)/DD73)</f>
        <v>0</v>
      </c>
      <c r="DE71" s="3409">
        <f>IF(DE73=0,0,(DE72*DE73+DE74*DE75*6)/DE73)</f>
        <v>0</v>
      </c>
      <c r="DF71" s="1078">
        <f>IF(DD71=0,0,(DE71-DD71)/DD71*100)</f>
        <v>0</v>
      </c>
      <c r="DG71" s="3409">
        <f>IF(DG73=0,0,(DG72*DG73+DG74*DG75*6)/DG73)</f>
        <v>0</v>
      </c>
      <c r="DH71" s="3409">
        <f>IF(DH73=0,0,(DH72*DH73+DH74*DH75*6)/DH73)</f>
        <v>0</v>
      </c>
      <c r="DI71" s="1078">
        <f>IF(DG71=0,0,(DH71-DG71)/DG71*100)</f>
        <v>0</v>
      </c>
      <c r="DJ71" s="3409">
        <f>IF(DJ73=0,0,(DJ72*DJ73+DJ74*DJ75*6)/DJ73)</f>
        <v>0</v>
      </c>
      <c r="DK71" s="3409">
        <f>IF(DK73=0,0,(DK72*DK73+DK74*DK75*6)/DK73)</f>
        <v>0</v>
      </c>
      <c r="DL71" s="1078">
        <f>IF(DJ71=0,0,(DK71-DJ71)/DJ71*100)</f>
        <v>0</v>
      </c>
      <c r="DM71" s="3409">
        <f>IF(DM73=0,0,(DM72*DM73+DM74*DM75*6)/DM73)</f>
        <v>0</v>
      </c>
      <c r="DN71" s="3409">
        <f>IF(DN73=0,0,(DN72*DN73+DN74*DN75*6)/DN73)</f>
        <v>0</v>
      </c>
      <c r="DO71" s="1078">
        <f>IF(DM71=0,0,(DN71-DM71)/DM71*100)</f>
        <v>0</v>
      </c>
      <c r="DP71" s="3409">
        <f>IF(DP73=0,0,(DP72*DP73+DP74*DP75*6)/DP73)</f>
        <v>0</v>
      </c>
      <c r="DQ71" s="3409">
        <f>IF(DQ73=0,0,(DQ72*DQ73+DQ74*DQ75*6)/DQ73)</f>
        <v>0</v>
      </c>
      <c r="DR71" s="1078">
        <f>IF(DP71=0,0,(DQ71-DP71)/DP71*100)</f>
        <v>0</v>
      </c>
      <c r="DS71" s="3409">
        <f>IF(DS73=0,0,(DS72*DS73+DS74*DS75*6)/DS73)</f>
        <v>0</v>
      </c>
      <c r="DT71" s="3409">
        <f>IF(DT73=0,0,(DT72*DT73+DT74*DT75*6)/DT73)</f>
        <v>0</v>
      </c>
      <c r="DU71" s="1078">
        <f>IF(DS71=0,0,(DT71-DS71)/DS71*100)</f>
        <v>0</v>
      </c>
      <c r="DV71" s="3409">
        <f>IF(DV73=0,0,(DV72*DV73+DV74*DV75*6)/DV73)</f>
        <v>0</v>
      </c>
      <c r="DW71" s="3409">
        <f>IF(DW73=0,0,(DW72*DW73+DW74*DW75*6)/DW73)</f>
        <v>0</v>
      </c>
      <c r="DX71" s="1078">
        <f>IF(DV71=0,0,(DW71-DV71)/DV71*100)</f>
        <v>0</v>
      </c>
      <c r="DY71" s="3409">
        <f>IF(DY73=0,0,(DY72*DY73+DY74*DY75*6)/DY73)</f>
        <v>0</v>
      </c>
      <c r="DZ71" s="3409">
        <f>IF(DZ73=0,0,(DZ72*DZ73+DZ74*DZ75*6)/DZ73)</f>
        <v>0</v>
      </c>
      <c r="EA71" s="1078">
        <f>IF(DY71=0,0,(DZ71-DY71)/DY71*100)</f>
        <v>0</v>
      </c>
      <c r="EB71" s="3409">
        <f>IF(EB73=0,0,(EB72*EB73+EB74*EB75*6)/EB73)</f>
        <v>0</v>
      </c>
      <c r="EC71" s="3409">
        <f>IF(EC73=0,0,(EC72*EC73+EC74*EC75*6)/EC73)</f>
        <v>0</v>
      </c>
      <c r="ED71" s="1078">
        <f>IF(EB71=0,0,(EC71-EB71)/EB71*100)</f>
        <v>0</v>
      </c>
      <c r="EE71" s="3409">
        <f>IF(EE73=0,0,(EE72*EE73+EE74*EE75*6)/EE73)</f>
        <v>0</v>
      </c>
      <c r="EF71" s="3409">
        <f>IF(EF73=0,0,(EF72*EF73+EF74*EF75*6)/EF73)</f>
        <v>0</v>
      </c>
      <c r="EG71" s="1078">
        <f>IF(EE71=0,0,(EF71-EE71)/EE71*100)</f>
        <v>0</v>
      </c>
      <c r="EH71" s="3409">
        <f>IF(EH73=0,0,(EH72*EH73+EH74*EH75*6)/EH73)</f>
        <v>0</v>
      </c>
      <c r="EI71" s="3409">
        <f>IF(EI73=0,0,(EI72*EI73+EI74*EI75*6)/EI73)</f>
        <v>0</v>
      </c>
      <c r="EJ71" s="1078">
        <f>IF(EH71=0,0,(EI71-EH71)/EH71*100)</f>
        <v>0</v>
      </c>
      <c r="EK71" s="3409">
        <f>IF(EK73=0,0,(EK72*EK73+EK74*EK75*6)/EK73)</f>
        <v>0</v>
      </c>
      <c r="EL71" s="3409">
        <f>IF(EL73=0,0,(EL72*EL73+EL74*EL75*6)/EL73)</f>
        <v>0</v>
      </c>
      <c r="EM71" s="1078">
        <f>IF(EK71=0,0,(EL71-EK71)/EK71*100)</f>
        <v>0</v>
      </c>
      <c r="EN71" s="3409">
        <f>IF(EN73=0,0,(EN72*EN73+EN74*EN75*6)/EN73)</f>
        <v>0</v>
      </c>
      <c r="EO71" s="3409">
        <f>IF(EO73=0,0,(EO72*EO73+EO74*EO75*6)/EO73)</f>
        <v>0</v>
      </c>
      <c r="EP71" s="1078">
        <f>IF(EN71=0,0,(EO71-EN71)/EN71*100)</f>
        <v>0</v>
      </c>
      <c r="EQ71" s="3409">
        <f>IF(EQ73=0,0,(EQ72*EQ73+EQ74*EQ75*6)/EQ73)</f>
        <v>0</v>
      </c>
      <c r="ER71" s="3409">
        <f>IF(ER73=0,0,(ER72*ER73+ER74*ER75*6)/ER73)</f>
        <v>0</v>
      </c>
      <c r="ES71" s="1078">
        <f>IF(EQ71=0,0,(ER71-EQ71)/EQ71*100)</f>
        <v>0</v>
      </c>
      <c r="ET71" s="3409">
        <f>IF(ET73=0,0,(ET72*ET73+ET74*ET75*6)/ET73)</f>
        <v>0</v>
      </c>
      <c r="EU71" s="3409">
        <f>IF(EU73=0,0,(EU72*EU73+EU74*EU75*6)/EU73)</f>
        <v>0</v>
      </c>
      <c r="EV71" s="1078">
        <f>IF(ET71=0,0,(EU71-ET71)/ET71*100)</f>
        <v>0</v>
      </c>
      <c r="EW71" s="3409">
        <f>IF(EW73=0,0,(EW72*EW73+EW74*EW75*6)/EW73)</f>
        <v>0</v>
      </c>
      <c r="EX71" s="3409">
        <f>IF(EX73=0,0,(EX72*EX73+EX74*EX75*6)/EX73)</f>
        <v>0</v>
      </c>
      <c r="EY71" s="1078">
        <f>IF(EW71=0,0,(EX71-EW71)/EW71*100)</f>
        <v>0</v>
      </c>
      <c r="EZ71" s="3409">
        <f>IF(EZ73=0,0,(EZ72*EZ73+EZ74*EZ75*6)/EZ73)</f>
        <v>0</v>
      </c>
      <c r="FA71" s="3409">
        <f>IF(FA73=0,0,(FA72*FA73+FA74*FA75*6)/FA73)</f>
        <v>0</v>
      </c>
      <c r="FB71" s="1078">
        <f>IF(EZ71=0,0,(FA71-EZ71)/EZ71*100)</f>
        <v>0</v>
      </c>
      <c r="FC71" s="3409">
        <f>IF(FC73=0,0,(FC72*FC73+FC74*FC75*6)/FC73)</f>
        <v>0</v>
      </c>
      <c r="FD71" s="3409">
        <f>IF(FD73=0,0,(FD72*FD73+FD74*FD75*6)/FD73)</f>
        <v>0</v>
      </c>
      <c r="FE71" s="1078">
        <f>IF(FC71=0,0,(FD71-FC71)/FC71*100)</f>
        <v>0</v>
      </c>
      <c r="FF71" s="3409">
        <f>IF(FF73=0,0,(FF72*FF73+FF74*FF75*6)/FF73)</f>
        <v>0</v>
      </c>
      <c r="FG71" s="3409">
        <f>IF(FG73=0,0,(FG72*FG73+FG74*FG75*6)/FG73)</f>
        <v>0</v>
      </c>
      <c r="FH71" s="1078">
        <f>IF(FF71=0,0,(FG71-FF71)/FF71*100)</f>
        <v>0</v>
      </c>
      <c r="FI71" s="3409">
        <f>IF(FI73=0,0,(FI72*FI73+FI74*FI75*6)/FI73)</f>
        <v>0</v>
      </c>
      <c r="FJ71" s="3409">
        <f>IF(FJ73=0,0,(FJ72*FJ73+FJ74*FJ75*6)/FJ73)</f>
        <v>0</v>
      </c>
      <c r="FK71" s="1078">
        <f>IF(FI71=0,0,(FJ71-FI71)/FI71*100)</f>
        <v>0</v>
      </c>
      <c r="FL71" s="3409">
        <f>IF(FL73=0,0,(FL72*FL73+FL74*FL75*6)/FL73)</f>
        <v>0</v>
      </c>
      <c r="FM71" s="3409">
        <f>IF(FM73=0,0,(FM72*FM73+FM74*FM75*6)/FM73)</f>
        <v>0</v>
      </c>
      <c r="FN71" s="1078">
        <f>IF(FL71=0,0,(FM71-FL71)/FL71*100)</f>
        <v>0</v>
      </c>
      <c r="FO71" s="3409">
        <f>IF(FO73=0,0,(FO72*FO73+FO74*FO75*6)/FO73)</f>
        <v>0</v>
      </c>
      <c r="FP71" s="3409">
        <f>IF(FP73=0,0,(FP72*FP73+FP74*FP75*6)/FP73)</f>
        <v>0</v>
      </c>
      <c r="FQ71" s="1078">
        <f>IF(FO71=0,0,(FP71-FO71)/FO71*100)</f>
        <v>0</v>
      </c>
      <c r="FR71" s="3409">
        <f>IF(FR73=0,0,(FR72*FR73+FR74*FR75*6)/FR73)</f>
        <v>0</v>
      </c>
      <c r="FS71" s="3409">
        <f>IF(FS73=0,0,(FS72*FS73+FS74*FS75*6)/FS73)</f>
        <v>0</v>
      </c>
      <c r="FT71" s="1078">
        <f>IF(FR71=0,0,(FS71-FR71)/FR71*100)</f>
        <v>0</v>
      </c>
      <c r="FU71" s="3409">
        <f>IF(FU73=0,0,(FU72*FU73+FU74*FU75*6)/FU73)</f>
        <v>0</v>
      </c>
      <c r="FV71" s="3409">
        <f>IF(FV73=0,0,(FV72*FV73+FV74*FV75*6)/FV73)</f>
        <v>0</v>
      </c>
      <c r="FW71" s="1078">
        <f>IF(FU71=0,0,(FV71-FU71)/FU71*100)</f>
        <v>0</v>
      </c>
      <c r="FX71" s="676"/>
      <c r="FY71" s="676"/>
      <c r="FZ71" s="1039" t="s">
        <v>1561</v>
      </c>
      <c r="GA71" s="998" t="s">
        <v>813</v>
      </c>
      <c r="GB71" s="1041" cm="1" t="str">
        <f t="array" ref="GB71:GB71">AB70</f>
        <v>0</v>
      </c>
      <c r="GC71" s="697"/>
      <c r="GD71" s="697"/>
    </row>
    <row customHeight="1" ht="14.625" hidden="1">
      <c r="A72" s="467"/>
      <c r="B72" s="907" cm="1" t="str">
        <f t="array" ref="B72:B72">B71</f>
        <v>false</v>
      </c>
      <c r="C72" s="467"/>
      <c r="D72" s="467"/>
      <c r="E72" s="822">
        <v>15</v>
      </c>
      <c r="F72" s="50" cm="1" t="str">
        <f t="array" ref="F72:F72">OFFSET(E72,-1,1)</f>
        <v>0</v>
      </c>
      <c r="G72" s="467"/>
      <c r="H72" s="467" t="s">
        <v>1449</v>
      </c>
      <c r="I72" s="467" cm="1" t="str">
        <f t="array" ref="I72:I72">I71</f>
        <v>0</v>
      </c>
      <c r="J72" s="467"/>
      <c r="K72" s="467"/>
      <c r="L72" s="467"/>
      <c r="M72" s="467"/>
      <c r="N72" s="467"/>
      <c r="O72" s="467"/>
      <c r="P72" s="467"/>
      <c r="Q72" s="467"/>
      <c r="R72" s="467"/>
      <c r="S72" s="467"/>
      <c r="T72" s="439" cm="1" t="str">
        <f t="array" ref="T72:T72">T71</f>
        <v>false</v>
      </c>
      <c r="U72" s="467"/>
      <c r="V72" s="467"/>
      <c r="W72" s="467"/>
      <c r="X72" s="1534"/>
      <c r="Y72" s="1534"/>
      <c r="Z72" s="1464"/>
      <c r="AA72" s="1413"/>
      <c r="AB72" s="886" t="str">
        <f>"ставка платы за "&amp;IF(Q29="Водоснабжение","потребление 1 куб.м холодной воды","объем принятых сточных вод")</f>
        <v>ставка платы за объем принятых сточных вод</v>
      </c>
      <c r="AC72" s="846" t="s">
        <v>1494</v>
      </c>
      <c r="AD72" s="3409"/>
      <c r="AE72" s="3409"/>
      <c r="AF72" s="1078">
        <f>IF(AD72=0,0,(AE72-AD72)/AD72*100)</f>
        <v>0</v>
      </c>
      <c r="AG72" s="3409"/>
      <c r="AH72" s="3409"/>
      <c r="AI72" s="1078">
        <f>IF(AG72=0,0,(AH72-AG72)/AG72*100)</f>
        <v>0</v>
      </c>
      <c r="AJ72" s="3409"/>
      <c r="AK72" s="3409"/>
      <c r="AL72" s="1078">
        <f>IF(AJ72=0,0,(AK72-AJ72)/AJ72*100)</f>
        <v>0</v>
      </c>
      <c r="AM72" s="3409"/>
      <c r="AN72" s="3409"/>
      <c r="AO72" s="1078">
        <f>IF(AM72=0,0,(AN72-AM72)/AM72*100)</f>
        <v>0</v>
      </c>
      <c r="AP72" s="3409"/>
      <c r="AQ72" s="3409"/>
      <c r="AR72" s="1078">
        <f>IF(AP72=0,0,(AQ72-AP72)/AP72*100)</f>
        <v>0</v>
      </c>
      <c r="AS72" s="3409"/>
      <c r="AT72" s="3409"/>
      <c r="AU72" s="1078">
        <f>IF(AS72=0,0,(AT72-AS72)/AS72*100)</f>
        <v>0</v>
      </c>
      <c r="AV72" s="3409"/>
      <c r="AW72" s="3409"/>
      <c r="AX72" s="1078">
        <f>IF(AV72=0,0,(AW72-AV72)/AV72*100)</f>
        <v>0</v>
      </c>
      <c r="AY72" s="3409"/>
      <c r="AZ72" s="3409"/>
      <c r="BA72" s="1078">
        <f>IF(AY72=0,0,(AZ72-AY72)/AY72*100)</f>
        <v>0</v>
      </c>
      <c r="BB72" s="3409"/>
      <c r="BC72" s="3409"/>
      <c r="BD72" s="1078">
        <f>IF(BB72=0,0,(BC72-BB72)/BB72*100)</f>
        <v>0</v>
      </c>
      <c r="BE72" s="3409"/>
      <c r="BF72" s="3409"/>
      <c r="BG72" s="1078">
        <f>IF(BE72=0,0,(BF72-BE72)/BE72*100)</f>
        <v>0</v>
      </c>
      <c r="BH72" s="3409"/>
      <c r="BI72" s="3409"/>
      <c r="BJ72" s="1078">
        <f>IF(BH72=0,0,(BI72-BH72)/BH72*100)</f>
        <v>0</v>
      </c>
      <c r="BK72" s="3409"/>
      <c r="BL72" s="3409"/>
      <c r="BM72" s="1078">
        <f>IF(BK72=0,0,(BL72-BK72)/BK72*100)</f>
        <v>0</v>
      </c>
      <c r="BN72" s="3409"/>
      <c r="BO72" s="3409"/>
      <c r="BP72" s="1078">
        <f>IF(BN72=0,0,(BO72-BN72)/BN72*100)</f>
        <v>0</v>
      </c>
      <c r="BQ72" s="3409"/>
      <c r="BR72" s="3409"/>
      <c r="BS72" s="1078">
        <f>IF(BQ72=0,0,(BR72-BQ72)/BQ72*100)</f>
        <v>0</v>
      </c>
      <c r="BT72" s="3409"/>
      <c r="BU72" s="3409"/>
      <c r="BV72" s="1078">
        <f>IF(BT72=0,0,(BU72-BT72)/BT72*100)</f>
        <v>0</v>
      </c>
      <c r="BW72" s="3409"/>
      <c r="BX72" s="3409"/>
      <c r="BY72" s="1078">
        <f>IF(BW72=0,0,(BX72-BW72)/BW72*100)</f>
        <v>0</v>
      </c>
      <c r="BZ72" s="3409"/>
      <c r="CA72" s="3409"/>
      <c r="CB72" s="1078">
        <f>IF(BZ72=0,0,(CA72-BZ72)/BZ72*100)</f>
        <v>0</v>
      </c>
      <c r="CC72" s="3409"/>
      <c r="CD72" s="3409"/>
      <c r="CE72" s="1078">
        <f>IF(CC72=0,0,(CD72-CC72)/CC72*100)</f>
        <v>0</v>
      </c>
      <c r="CF72" s="3409"/>
      <c r="CG72" s="3409"/>
      <c r="CH72" s="1078">
        <f>IF(CF72=0,0,(CG72-CF72)/CF72*100)</f>
        <v>0</v>
      </c>
      <c r="CI72" s="3409"/>
      <c r="CJ72" s="3409"/>
      <c r="CK72" s="1078">
        <f>IF(CI72=0,0,(CJ72-CI72)/CI72*100)</f>
        <v>0</v>
      </c>
      <c r="CL72" s="3409"/>
      <c r="CM72" s="3409"/>
      <c r="CN72" s="1078">
        <f>IF(CL72=0,0,(CM72-CL72)/CL72*100)</f>
        <v>0</v>
      </c>
      <c r="CO72" s="3409"/>
      <c r="CP72" s="3409"/>
      <c r="CQ72" s="1078">
        <f>IF(CO72=0,0,(CP72-CO72)/CO72*100)</f>
        <v>0</v>
      </c>
      <c r="CR72" s="3409"/>
      <c r="CS72" s="3409"/>
      <c r="CT72" s="1078">
        <f>IF(CR72=0,0,(CS72-CR72)/CR72*100)</f>
        <v>0</v>
      </c>
      <c r="CU72" s="3409"/>
      <c r="CV72" s="3409"/>
      <c r="CW72" s="1078">
        <f>IF(CU72=0,0,(CV72-CU72)/CU72*100)</f>
        <v>0</v>
      </c>
      <c r="CX72" s="3409"/>
      <c r="CY72" s="3409"/>
      <c r="CZ72" s="1078">
        <f>IF(CX72=0,0,(CY72-CX72)/CX72*100)</f>
        <v>0</v>
      </c>
      <c r="DA72" s="3409"/>
      <c r="DB72" s="3409"/>
      <c r="DC72" s="1078">
        <f>IF(DA72=0,0,(DB72-DA72)/DA72*100)</f>
        <v>0</v>
      </c>
      <c r="DD72" s="3409"/>
      <c r="DE72" s="3409"/>
      <c r="DF72" s="1078">
        <f>IF(DD72=0,0,(DE72-DD72)/DD72*100)</f>
        <v>0</v>
      </c>
      <c r="DG72" s="3409"/>
      <c r="DH72" s="3409"/>
      <c r="DI72" s="1078">
        <f>IF(DG72=0,0,(DH72-DG72)/DG72*100)</f>
        <v>0</v>
      </c>
      <c r="DJ72" s="3409"/>
      <c r="DK72" s="3409"/>
      <c r="DL72" s="1078">
        <f>IF(DJ72=0,0,(DK72-DJ72)/DJ72*100)</f>
        <v>0</v>
      </c>
      <c r="DM72" s="3409"/>
      <c r="DN72" s="3409"/>
      <c r="DO72" s="1078">
        <f>IF(DM72=0,0,(DN72-DM72)/DM72*100)</f>
        <v>0</v>
      </c>
      <c r="DP72" s="3409"/>
      <c r="DQ72" s="3409"/>
      <c r="DR72" s="1078">
        <f>IF(DP72=0,0,(DQ72-DP72)/DP72*100)</f>
        <v>0</v>
      </c>
      <c r="DS72" s="3409"/>
      <c r="DT72" s="3409"/>
      <c r="DU72" s="1078">
        <f>IF(DS72=0,0,(DT72-DS72)/DS72*100)</f>
        <v>0</v>
      </c>
      <c r="DV72" s="3409"/>
      <c r="DW72" s="3409"/>
      <c r="DX72" s="1078">
        <f>IF(DV72=0,0,(DW72-DV72)/DV72*100)</f>
        <v>0</v>
      </c>
      <c r="DY72" s="3409"/>
      <c r="DZ72" s="3409"/>
      <c r="EA72" s="1078">
        <f>IF(DY72=0,0,(DZ72-DY72)/DY72*100)</f>
        <v>0</v>
      </c>
      <c r="EB72" s="3409"/>
      <c r="EC72" s="3409"/>
      <c r="ED72" s="1078">
        <f>IF(EB72=0,0,(EC72-EB72)/EB72*100)</f>
        <v>0</v>
      </c>
      <c r="EE72" s="3409"/>
      <c r="EF72" s="3409"/>
      <c r="EG72" s="1078">
        <f>IF(EE72=0,0,(EF72-EE72)/EE72*100)</f>
        <v>0</v>
      </c>
      <c r="EH72" s="3409"/>
      <c r="EI72" s="3409"/>
      <c r="EJ72" s="1078">
        <f>IF(EH72=0,0,(EI72-EH72)/EH72*100)</f>
        <v>0</v>
      </c>
      <c r="EK72" s="3409"/>
      <c r="EL72" s="3409"/>
      <c r="EM72" s="1078">
        <f>IF(EK72=0,0,(EL72-EK72)/EK72*100)</f>
        <v>0</v>
      </c>
      <c r="EN72" s="3409"/>
      <c r="EO72" s="3409"/>
      <c r="EP72" s="1078">
        <f>IF(EN72=0,0,(EO72-EN72)/EN72*100)</f>
        <v>0</v>
      </c>
      <c r="EQ72" s="3409"/>
      <c r="ER72" s="3409"/>
      <c r="ES72" s="1078">
        <f>IF(EQ72=0,0,(ER72-EQ72)/EQ72*100)</f>
        <v>0</v>
      </c>
      <c r="ET72" s="3409"/>
      <c r="EU72" s="3409"/>
      <c r="EV72" s="1078">
        <f>IF(ET72=0,0,(EU72-ET72)/ET72*100)</f>
        <v>0</v>
      </c>
      <c r="EW72" s="3409"/>
      <c r="EX72" s="3409"/>
      <c r="EY72" s="1078">
        <f>IF(EW72=0,0,(EX72-EW72)/EW72*100)</f>
        <v>0</v>
      </c>
      <c r="EZ72" s="3409"/>
      <c r="FA72" s="3409"/>
      <c r="FB72" s="1078">
        <f>IF(EZ72=0,0,(FA72-EZ72)/EZ72*100)</f>
        <v>0</v>
      </c>
      <c r="FC72" s="3409"/>
      <c r="FD72" s="3409"/>
      <c r="FE72" s="1078">
        <f>IF(FC72=0,0,(FD72-FC72)/FC72*100)</f>
        <v>0</v>
      </c>
      <c r="FF72" s="3409"/>
      <c r="FG72" s="3409"/>
      <c r="FH72" s="1078">
        <f>IF(FF72=0,0,(FG72-FF72)/FF72*100)</f>
        <v>0</v>
      </c>
      <c r="FI72" s="3409"/>
      <c r="FJ72" s="3409"/>
      <c r="FK72" s="1078">
        <f>IF(FI72=0,0,(FJ72-FI72)/FI72*100)</f>
        <v>0</v>
      </c>
      <c r="FL72" s="3409"/>
      <c r="FM72" s="3409"/>
      <c r="FN72" s="1078">
        <f>IF(FL72=0,0,(FM72-FL72)/FL72*100)</f>
        <v>0</v>
      </c>
      <c r="FO72" s="3409"/>
      <c r="FP72" s="3409"/>
      <c r="FQ72" s="1078">
        <f>IF(FO72=0,0,(FP72-FO72)/FO72*100)</f>
        <v>0</v>
      </c>
      <c r="FR72" s="3409"/>
      <c r="FS72" s="3409"/>
      <c r="FT72" s="1078">
        <f>IF(FR72=0,0,(FS72-FR72)/FR72*100)</f>
        <v>0</v>
      </c>
      <c r="FU72" s="3409"/>
      <c r="FV72" s="3409"/>
      <c r="FW72" s="1078">
        <f>IF(FU72=0,0,(FV72-FU72)/FU72*100)</f>
        <v>0</v>
      </c>
      <c r="FX72" s="676"/>
      <c r="FY72" s="676"/>
      <c r="FZ72" s="1039" t="s">
        <v>1562</v>
      </c>
      <c r="GA72" s="998" t="s">
        <v>813</v>
      </c>
      <c r="GB72" s="998" cm="1" t="str">
        <f t="array" ref="GB72:GB72">GB71</f>
        <v>0</v>
      </c>
      <c r="GC72" s="697"/>
      <c r="GD72" s="697"/>
    </row>
    <row customHeight="1" ht="14.625" hidden="1">
      <c r="A73" s="467"/>
      <c r="B73" s="907" cm="1" t="str">
        <f t="array" ref="B73:B73">B72</f>
        <v>false</v>
      </c>
      <c r="C73" s="467"/>
      <c r="D73" s="467"/>
      <c r="E73" s="822">
        <v>15</v>
      </c>
      <c r="F73" s="50" cm="1" t="str">
        <f t="array" ref="F73:F73">OFFSET(E73,-1,1)</f>
        <v>0</v>
      </c>
      <c r="G73" s="467"/>
      <c r="H73" s="467" t="s">
        <v>1531</v>
      </c>
      <c r="I73" s="467" cm="1" t="str">
        <f t="array" ref="I73:I73">I72</f>
        <v>0</v>
      </c>
      <c r="J73" s="467"/>
      <c r="K73" s="467"/>
      <c r="L73" s="467"/>
      <c r="M73" s="467"/>
      <c r="N73" s="467"/>
      <c r="O73" s="467"/>
      <c r="P73" s="467"/>
      <c r="Q73" s="467"/>
      <c r="R73" s="467"/>
      <c r="S73" s="467"/>
      <c r="T73" s="439" cm="1" t="str">
        <f t="array" ref="T73:T73">T72</f>
        <v>false</v>
      </c>
      <c r="U73" s="467"/>
      <c r="V73" s="467"/>
      <c r="W73" s="467"/>
      <c r="X73" s="1534"/>
      <c r="Y73" s="1534"/>
      <c r="Z73" s="1464"/>
      <c r="AA73" s="1413"/>
      <c r="AB73" s="886" t="str">
        <f>"объём "&amp;IF(Q29="Водоснабжение","потребления холодной воды","водоотведения")</f>
        <v>объём водоотведения</v>
      </c>
      <c r="AC73" s="846" t="s">
        <v>512</v>
      </c>
      <c r="AD73" s="3404"/>
      <c r="AE73" s="3404"/>
      <c r="AF73" s="1080">
        <f>IF(AD73=0,0,(AE73-AD73)/AD73*100)</f>
        <v>0</v>
      </c>
      <c r="AG73" s="3404"/>
      <c r="AH73" s="3404"/>
      <c r="AI73" s="1080">
        <f>IF(AG73=0,0,(AH73-AG73)/AG73*100)</f>
        <v>0</v>
      </c>
      <c r="AJ73" s="3404"/>
      <c r="AK73" s="3404"/>
      <c r="AL73" s="1080">
        <f>IF(AJ73=0,0,(AK73-AJ73)/AJ73*100)</f>
        <v>0</v>
      </c>
      <c r="AM73" s="3404"/>
      <c r="AN73" s="3404"/>
      <c r="AO73" s="1080">
        <f>IF(AM73=0,0,(AN73-AM73)/AM73*100)</f>
        <v>0</v>
      </c>
      <c r="AP73" s="3404"/>
      <c r="AQ73" s="3404"/>
      <c r="AR73" s="1080">
        <f>IF(AP73=0,0,(AQ73-AP73)/AP73*100)</f>
        <v>0</v>
      </c>
      <c r="AS73" s="3404"/>
      <c r="AT73" s="3404"/>
      <c r="AU73" s="1080">
        <f>IF(AS73=0,0,(AT73-AS73)/AS73*100)</f>
        <v>0</v>
      </c>
      <c r="AV73" s="3404"/>
      <c r="AW73" s="3404"/>
      <c r="AX73" s="1080">
        <f>IF(AV73=0,0,(AW73-AV73)/AV73*100)</f>
        <v>0</v>
      </c>
      <c r="AY73" s="3404"/>
      <c r="AZ73" s="3404"/>
      <c r="BA73" s="1080">
        <f>IF(AY73=0,0,(AZ73-AY73)/AY73*100)</f>
        <v>0</v>
      </c>
      <c r="BB73" s="3404"/>
      <c r="BC73" s="3404"/>
      <c r="BD73" s="1080">
        <f>IF(BB73=0,0,(BC73-BB73)/BB73*100)</f>
        <v>0</v>
      </c>
      <c r="BE73" s="3404"/>
      <c r="BF73" s="3404"/>
      <c r="BG73" s="1080">
        <f>IF(BE73=0,0,(BF73-BE73)/BE73*100)</f>
        <v>0</v>
      </c>
      <c r="BH73" s="3404"/>
      <c r="BI73" s="3404"/>
      <c r="BJ73" s="1080">
        <f>IF(BH73=0,0,(BI73-BH73)/BH73*100)</f>
        <v>0</v>
      </c>
      <c r="BK73" s="3404"/>
      <c r="BL73" s="3404"/>
      <c r="BM73" s="1080">
        <f>IF(BK73=0,0,(BL73-BK73)/BK73*100)</f>
        <v>0</v>
      </c>
      <c r="BN73" s="3404"/>
      <c r="BO73" s="3404"/>
      <c r="BP73" s="1080">
        <f>IF(BN73=0,0,(BO73-BN73)/BN73*100)</f>
        <v>0</v>
      </c>
      <c r="BQ73" s="3404"/>
      <c r="BR73" s="3404"/>
      <c r="BS73" s="1080">
        <f>IF(BQ73=0,0,(BR73-BQ73)/BQ73*100)</f>
        <v>0</v>
      </c>
      <c r="BT73" s="3404"/>
      <c r="BU73" s="3404"/>
      <c r="BV73" s="1080">
        <f>IF(BT73=0,0,(BU73-BT73)/BT73*100)</f>
        <v>0</v>
      </c>
      <c r="BW73" s="3404"/>
      <c r="BX73" s="3404"/>
      <c r="BY73" s="1080">
        <f>IF(BW73=0,0,(BX73-BW73)/BW73*100)</f>
        <v>0</v>
      </c>
      <c r="BZ73" s="3404"/>
      <c r="CA73" s="3404"/>
      <c r="CB73" s="1080">
        <f>IF(BZ73=0,0,(CA73-BZ73)/BZ73*100)</f>
        <v>0</v>
      </c>
      <c r="CC73" s="3404"/>
      <c r="CD73" s="3404"/>
      <c r="CE73" s="1080">
        <f>IF(CC73=0,0,(CD73-CC73)/CC73*100)</f>
        <v>0</v>
      </c>
      <c r="CF73" s="3404"/>
      <c r="CG73" s="3404"/>
      <c r="CH73" s="1080">
        <f>IF(CF73=0,0,(CG73-CF73)/CF73*100)</f>
        <v>0</v>
      </c>
      <c r="CI73" s="3404"/>
      <c r="CJ73" s="3404"/>
      <c r="CK73" s="1080">
        <f>IF(CI73=0,0,(CJ73-CI73)/CI73*100)</f>
        <v>0</v>
      </c>
      <c r="CL73" s="3404"/>
      <c r="CM73" s="3404"/>
      <c r="CN73" s="1080">
        <f>IF(CL73=0,0,(CM73-CL73)/CL73*100)</f>
        <v>0</v>
      </c>
      <c r="CO73" s="3404"/>
      <c r="CP73" s="3404"/>
      <c r="CQ73" s="1080">
        <f>IF(CO73=0,0,(CP73-CO73)/CO73*100)</f>
        <v>0</v>
      </c>
      <c r="CR73" s="3404"/>
      <c r="CS73" s="3404"/>
      <c r="CT73" s="1080">
        <f>IF(CR73=0,0,(CS73-CR73)/CR73*100)</f>
        <v>0</v>
      </c>
      <c r="CU73" s="3404"/>
      <c r="CV73" s="3404"/>
      <c r="CW73" s="1080">
        <f>IF(CU73=0,0,(CV73-CU73)/CU73*100)</f>
        <v>0</v>
      </c>
      <c r="CX73" s="3404"/>
      <c r="CY73" s="3404"/>
      <c r="CZ73" s="1080">
        <f>IF(CX73=0,0,(CY73-CX73)/CX73*100)</f>
        <v>0</v>
      </c>
      <c r="DA73" s="3404"/>
      <c r="DB73" s="3404"/>
      <c r="DC73" s="1080">
        <f>IF(DA73=0,0,(DB73-DA73)/DA73*100)</f>
        <v>0</v>
      </c>
      <c r="DD73" s="3404"/>
      <c r="DE73" s="3404"/>
      <c r="DF73" s="1080">
        <f>IF(DD73=0,0,(DE73-DD73)/DD73*100)</f>
        <v>0</v>
      </c>
      <c r="DG73" s="3404"/>
      <c r="DH73" s="3404"/>
      <c r="DI73" s="1080">
        <f>IF(DG73=0,0,(DH73-DG73)/DG73*100)</f>
        <v>0</v>
      </c>
      <c r="DJ73" s="3404"/>
      <c r="DK73" s="3404"/>
      <c r="DL73" s="1080">
        <f>IF(DJ73=0,0,(DK73-DJ73)/DJ73*100)</f>
        <v>0</v>
      </c>
      <c r="DM73" s="3404"/>
      <c r="DN73" s="3404"/>
      <c r="DO73" s="1080">
        <f>IF(DM73=0,0,(DN73-DM73)/DM73*100)</f>
        <v>0</v>
      </c>
      <c r="DP73" s="3404"/>
      <c r="DQ73" s="3404"/>
      <c r="DR73" s="1080">
        <f>IF(DP73=0,0,(DQ73-DP73)/DP73*100)</f>
        <v>0</v>
      </c>
      <c r="DS73" s="3404"/>
      <c r="DT73" s="3404"/>
      <c r="DU73" s="1080">
        <f>IF(DS73=0,0,(DT73-DS73)/DS73*100)</f>
        <v>0</v>
      </c>
      <c r="DV73" s="3404"/>
      <c r="DW73" s="3404"/>
      <c r="DX73" s="1080">
        <f>IF(DV73=0,0,(DW73-DV73)/DV73*100)</f>
        <v>0</v>
      </c>
      <c r="DY73" s="3404"/>
      <c r="DZ73" s="3404"/>
      <c r="EA73" s="1080">
        <f>IF(DY73=0,0,(DZ73-DY73)/DY73*100)</f>
        <v>0</v>
      </c>
      <c r="EB73" s="3404"/>
      <c r="EC73" s="3404"/>
      <c r="ED73" s="1080">
        <f>IF(EB73=0,0,(EC73-EB73)/EB73*100)</f>
        <v>0</v>
      </c>
      <c r="EE73" s="3404"/>
      <c r="EF73" s="3404"/>
      <c r="EG73" s="1080">
        <f>IF(EE73=0,0,(EF73-EE73)/EE73*100)</f>
        <v>0</v>
      </c>
      <c r="EH73" s="3404"/>
      <c r="EI73" s="3404"/>
      <c r="EJ73" s="1080">
        <f>IF(EH73=0,0,(EI73-EH73)/EH73*100)</f>
        <v>0</v>
      </c>
      <c r="EK73" s="3404"/>
      <c r="EL73" s="3404"/>
      <c r="EM73" s="1080">
        <f>IF(EK73=0,0,(EL73-EK73)/EK73*100)</f>
        <v>0</v>
      </c>
      <c r="EN73" s="3404"/>
      <c r="EO73" s="3404"/>
      <c r="EP73" s="1080">
        <f>IF(EN73=0,0,(EO73-EN73)/EN73*100)</f>
        <v>0</v>
      </c>
      <c r="EQ73" s="3404"/>
      <c r="ER73" s="3404"/>
      <c r="ES73" s="1080">
        <f>IF(EQ73=0,0,(ER73-EQ73)/EQ73*100)</f>
        <v>0</v>
      </c>
      <c r="ET73" s="3404"/>
      <c r="EU73" s="3404"/>
      <c r="EV73" s="1080">
        <f>IF(ET73=0,0,(EU73-ET73)/ET73*100)</f>
        <v>0</v>
      </c>
      <c r="EW73" s="3404"/>
      <c r="EX73" s="3404"/>
      <c r="EY73" s="1080">
        <f>IF(EW73=0,0,(EX73-EW73)/EW73*100)</f>
        <v>0</v>
      </c>
      <c r="EZ73" s="3404"/>
      <c r="FA73" s="3404"/>
      <c r="FB73" s="1080">
        <f>IF(EZ73=0,0,(FA73-EZ73)/EZ73*100)</f>
        <v>0</v>
      </c>
      <c r="FC73" s="3404"/>
      <c r="FD73" s="3404"/>
      <c r="FE73" s="1080">
        <f>IF(FC73=0,0,(FD73-FC73)/FC73*100)</f>
        <v>0</v>
      </c>
      <c r="FF73" s="3404"/>
      <c r="FG73" s="3404"/>
      <c r="FH73" s="1080">
        <f>IF(FF73=0,0,(FG73-FF73)/FF73*100)</f>
        <v>0</v>
      </c>
      <c r="FI73" s="3404"/>
      <c r="FJ73" s="3404"/>
      <c r="FK73" s="1080">
        <f>IF(FI73=0,0,(FJ73-FI73)/FI73*100)</f>
        <v>0</v>
      </c>
      <c r="FL73" s="3404"/>
      <c r="FM73" s="3404"/>
      <c r="FN73" s="1080">
        <f>IF(FL73=0,0,(FM73-FL73)/FL73*100)</f>
        <v>0</v>
      </c>
      <c r="FO73" s="3404"/>
      <c r="FP73" s="3404"/>
      <c r="FQ73" s="1080">
        <f>IF(FO73=0,0,(FP73-FO73)/FO73*100)</f>
        <v>0</v>
      </c>
      <c r="FR73" s="3404"/>
      <c r="FS73" s="3404"/>
      <c r="FT73" s="1080">
        <f>IF(FR73=0,0,(FS73-FR73)/FR73*100)</f>
        <v>0</v>
      </c>
      <c r="FU73" s="3404"/>
      <c r="FV73" s="3404"/>
      <c r="FW73" s="1080">
        <f>IF(FU73=0,0,(FV73-FU73)/FU73*100)</f>
        <v>0</v>
      </c>
      <c r="FX73" s="676"/>
      <c r="FY73" s="676"/>
      <c r="FZ73" s="1039" t="s">
        <v>1563</v>
      </c>
      <c r="GA73" s="998" t="s">
        <v>813</v>
      </c>
      <c r="GB73" s="998" cm="1" t="str">
        <f t="array" ref="GB73:GB73">GB72</f>
        <v>0</v>
      </c>
      <c r="GC73" s="697"/>
      <c r="GD73" s="697"/>
    </row>
    <row customHeight="1" ht="21.9375" hidden="1">
      <c r="A74" s="467"/>
      <c r="B74" s="907" cm="1" t="str">
        <f t="array" ref="B74:B74">B73</f>
        <v>false</v>
      </c>
      <c r="C74" s="467"/>
      <c r="D74" s="467"/>
      <c r="E74" s="822">
        <v>22.5</v>
      </c>
      <c r="F74" s="50" cm="1" t="str">
        <f t="array" ref="F74:F74">OFFSET(E74,-1,1)</f>
        <v>0</v>
      </c>
      <c r="G74" s="467"/>
      <c r="H74" s="467" t="s">
        <v>1533</v>
      </c>
      <c r="I74" s="467" cm="1" t="str">
        <f t="array" ref="I74:I74">I73</f>
        <v>0</v>
      </c>
      <c r="J74" s="467"/>
      <c r="K74" s="467"/>
      <c r="L74" s="467"/>
      <c r="M74" s="467"/>
      <c r="N74" s="467"/>
      <c r="O74" s="467"/>
      <c r="P74" s="467"/>
      <c r="Q74" s="467"/>
      <c r="R74" s="467"/>
      <c r="S74" s="467"/>
      <c r="T74" s="439" cm="1" t="str">
        <f t="array" ref="T74:T74">T73</f>
        <v>false</v>
      </c>
      <c r="U74" s="467"/>
      <c r="V74" s="467"/>
      <c r="W74" s="467"/>
      <c r="X74" s="1534"/>
      <c r="Y74" s="1534"/>
      <c r="Z74" s="1464"/>
      <c r="AA74" s="1413"/>
      <c r="AB74"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846" t="s">
        <v>1534</v>
      </c>
      <c r="AD74" s="3409"/>
      <c r="AE74" s="3409"/>
      <c r="AF74" s="1078">
        <f>IF(AD74=0,0,(AE74-AD74)/AD74*100)</f>
        <v>0</v>
      </c>
      <c r="AG74" s="3409"/>
      <c r="AH74" s="3409"/>
      <c r="AI74" s="1078">
        <f>IF(AG74=0,0,(AH74-AG74)/AG74*100)</f>
        <v>0</v>
      </c>
      <c r="AJ74" s="3409"/>
      <c r="AK74" s="3409"/>
      <c r="AL74" s="1078">
        <f>IF(AJ74=0,0,(AK74-AJ74)/AJ74*100)</f>
        <v>0</v>
      </c>
      <c r="AM74" s="3409"/>
      <c r="AN74" s="3409"/>
      <c r="AO74" s="1078">
        <f>IF(AM74=0,0,(AN74-AM74)/AM74*100)</f>
        <v>0</v>
      </c>
      <c r="AP74" s="3409"/>
      <c r="AQ74" s="3409"/>
      <c r="AR74" s="1078">
        <f>IF(AP74=0,0,(AQ74-AP74)/AP74*100)</f>
        <v>0</v>
      </c>
      <c r="AS74" s="3409"/>
      <c r="AT74" s="3409"/>
      <c r="AU74" s="1078">
        <f>IF(AS74=0,0,(AT74-AS74)/AS74*100)</f>
        <v>0</v>
      </c>
      <c r="AV74" s="3409"/>
      <c r="AW74" s="3409"/>
      <c r="AX74" s="1078">
        <f>IF(AV74=0,0,(AW74-AV74)/AV74*100)</f>
        <v>0</v>
      </c>
      <c r="AY74" s="3409"/>
      <c r="AZ74" s="3409"/>
      <c r="BA74" s="1078">
        <f>IF(AY74=0,0,(AZ74-AY74)/AY74*100)</f>
        <v>0</v>
      </c>
      <c r="BB74" s="3409"/>
      <c r="BC74" s="3409"/>
      <c r="BD74" s="1078">
        <f>IF(BB74=0,0,(BC74-BB74)/BB74*100)</f>
        <v>0</v>
      </c>
      <c r="BE74" s="3409"/>
      <c r="BF74" s="3409"/>
      <c r="BG74" s="1078">
        <f>IF(BE74=0,0,(BF74-BE74)/BE74*100)</f>
        <v>0</v>
      </c>
      <c r="BH74" s="3409"/>
      <c r="BI74" s="3409"/>
      <c r="BJ74" s="1078">
        <f>IF(BH74=0,0,(BI74-BH74)/BH74*100)</f>
        <v>0</v>
      </c>
      <c r="BK74" s="3409"/>
      <c r="BL74" s="3409"/>
      <c r="BM74" s="1078">
        <f>IF(BK74=0,0,(BL74-BK74)/BK74*100)</f>
        <v>0</v>
      </c>
      <c r="BN74" s="3409"/>
      <c r="BO74" s="3409"/>
      <c r="BP74" s="1078">
        <f>IF(BN74=0,0,(BO74-BN74)/BN74*100)</f>
        <v>0</v>
      </c>
      <c r="BQ74" s="3409"/>
      <c r="BR74" s="3409"/>
      <c r="BS74" s="1078">
        <f>IF(BQ74=0,0,(BR74-BQ74)/BQ74*100)</f>
        <v>0</v>
      </c>
      <c r="BT74" s="3409"/>
      <c r="BU74" s="3409"/>
      <c r="BV74" s="1078">
        <f>IF(BT74=0,0,(BU74-BT74)/BT74*100)</f>
        <v>0</v>
      </c>
      <c r="BW74" s="3409"/>
      <c r="BX74" s="3409"/>
      <c r="BY74" s="1078">
        <f>IF(BW74=0,0,(BX74-BW74)/BW74*100)</f>
        <v>0</v>
      </c>
      <c r="BZ74" s="3409"/>
      <c r="CA74" s="3409"/>
      <c r="CB74" s="1078">
        <f>IF(BZ74=0,0,(CA74-BZ74)/BZ74*100)</f>
        <v>0</v>
      </c>
      <c r="CC74" s="3409"/>
      <c r="CD74" s="3409"/>
      <c r="CE74" s="1078">
        <f>IF(CC74=0,0,(CD74-CC74)/CC74*100)</f>
        <v>0</v>
      </c>
      <c r="CF74" s="3409"/>
      <c r="CG74" s="3409"/>
      <c r="CH74" s="1078">
        <f>IF(CF74=0,0,(CG74-CF74)/CF74*100)</f>
        <v>0</v>
      </c>
      <c r="CI74" s="3409"/>
      <c r="CJ74" s="3409"/>
      <c r="CK74" s="1078">
        <f>IF(CI74=0,0,(CJ74-CI74)/CI74*100)</f>
        <v>0</v>
      </c>
      <c r="CL74" s="3409"/>
      <c r="CM74" s="3409"/>
      <c r="CN74" s="1078">
        <f>IF(CL74=0,0,(CM74-CL74)/CL74*100)</f>
        <v>0</v>
      </c>
      <c r="CO74" s="3409"/>
      <c r="CP74" s="3409"/>
      <c r="CQ74" s="1078">
        <f>IF(CO74=0,0,(CP74-CO74)/CO74*100)</f>
        <v>0</v>
      </c>
      <c r="CR74" s="3409"/>
      <c r="CS74" s="3409"/>
      <c r="CT74" s="1078">
        <f>IF(CR74=0,0,(CS74-CR74)/CR74*100)</f>
        <v>0</v>
      </c>
      <c r="CU74" s="3409"/>
      <c r="CV74" s="3409"/>
      <c r="CW74" s="1078">
        <f>IF(CU74=0,0,(CV74-CU74)/CU74*100)</f>
        <v>0</v>
      </c>
      <c r="CX74" s="3409"/>
      <c r="CY74" s="3409"/>
      <c r="CZ74" s="1078">
        <f>IF(CX74=0,0,(CY74-CX74)/CX74*100)</f>
        <v>0</v>
      </c>
      <c r="DA74" s="3409"/>
      <c r="DB74" s="3409"/>
      <c r="DC74" s="1078">
        <f>IF(DA74=0,0,(DB74-DA74)/DA74*100)</f>
        <v>0</v>
      </c>
      <c r="DD74" s="3409"/>
      <c r="DE74" s="3409"/>
      <c r="DF74" s="1078">
        <f>IF(DD74=0,0,(DE74-DD74)/DD74*100)</f>
        <v>0</v>
      </c>
      <c r="DG74" s="3409"/>
      <c r="DH74" s="3409"/>
      <c r="DI74" s="1078">
        <f>IF(DG74=0,0,(DH74-DG74)/DG74*100)</f>
        <v>0</v>
      </c>
      <c r="DJ74" s="3409"/>
      <c r="DK74" s="3409"/>
      <c r="DL74" s="1078">
        <f>IF(DJ74=0,0,(DK74-DJ74)/DJ74*100)</f>
        <v>0</v>
      </c>
      <c r="DM74" s="3409"/>
      <c r="DN74" s="3409"/>
      <c r="DO74" s="1078">
        <f>IF(DM74=0,0,(DN74-DM74)/DM74*100)</f>
        <v>0</v>
      </c>
      <c r="DP74" s="3409"/>
      <c r="DQ74" s="3409"/>
      <c r="DR74" s="1078">
        <f>IF(DP74=0,0,(DQ74-DP74)/DP74*100)</f>
        <v>0</v>
      </c>
      <c r="DS74" s="3409"/>
      <c r="DT74" s="3409"/>
      <c r="DU74" s="1078">
        <f>IF(DS74=0,0,(DT74-DS74)/DS74*100)</f>
        <v>0</v>
      </c>
      <c r="DV74" s="3409"/>
      <c r="DW74" s="3409"/>
      <c r="DX74" s="1078">
        <f>IF(DV74=0,0,(DW74-DV74)/DV74*100)</f>
        <v>0</v>
      </c>
      <c r="DY74" s="3409"/>
      <c r="DZ74" s="3409"/>
      <c r="EA74" s="1078">
        <f>IF(DY74=0,0,(DZ74-DY74)/DY74*100)</f>
        <v>0</v>
      </c>
      <c r="EB74" s="3409"/>
      <c r="EC74" s="3409"/>
      <c r="ED74" s="1078">
        <f>IF(EB74=0,0,(EC74-EB74)/EB74*100)</f>
        <v>0</v>
      </c>
      <c r="EE74" s="3409"/>
      <c r="EF74" s="3409"/>
      <c r="EG74" s="1078">
        <f>IF(EE74=0,0,(EF74-EE74)/EE74*100)</f>
        <v>0</v>
      </c>
      <c r="EH74" s="3409"/>
      <c r="EI74" s="3409"/>
      <c r="EJ74" s="1078">
        <f>IF(EH74=0,0,(EI74-EH74)/EH74*100)</f>
        <v>0</v>
      </c>
      <c r="EK74" s="3409"/>
      <c r="EL74" s="3409"/>
      <c r="EM74" s="1078">
        <f>IF(EK74=0,0,(EL74-EK74)/EK74*100)</f>
        <v>0</v>
      </c>
      <c r="EN74" s="3409"/>
      <c r="EO74" s="3409"/>
      <c r="EP74" s="1078">
        <f>IF(EN74=0,0,(EO74-EN74)/EN74*100)</f>
        <v>0</v>
      </c>
      <c r="EQ74" s="3409"/>
      <c r="ER74" s="3409"/>
      <c r="ES74" s="1078">
        <f>IF(EQ74=0,0,(ER74-EQ74)/EQ74*100)</f>
        <v>0</v>
      </c>
      <c r="ET74" s="3409"/>
      <c r="EU74" s="3409"/>
      <c r="EV74" s="1078">
        <f>IF(ET74=0,0,(EU74-ET74)/ET74*100)</f>
        <v>0</v>
      </c>
      <c r="EW74" s="3409"/>
      <c r="EX74" s="3409"/>
      <c r="EY74" s="1078">
        <f>IF(EW74=0,0,(EX74-EW74)/EW74*100)</f>
        <v>0</v>
      </c>
      <c r="EZ74" s="3409"/>
      <c r="FA74" s="3409"/>
      <c r="FB74" s="1078">
        <f>IF(EZ74=0,0,(FA74-EZ74)/EZ74*100)</f>
        <v>0</v>
      </c>
      <c r="FC74" s="3409"/>
      <c r="FD74" s="3409"/>
      <c r="FE74" s="1078">
        <f>IF(FC74=0,0,(FD74-FC74)/FC74*100)</f>
        <v>0</v>
      </c>
      <c r="FF74" s="3409"/>
      <c r="FG74" s="3409"/>
      <c r="FH74" s="1078">
        <f>IF(FF74=0,0,(FG74-FF74)/FF74*100)</f>
        <v>0</v>
      </c>
      <c r="FI74" s="3409"/>
      <c r="FJ74" s="3409"/>
      <c r="FK74" s="1078">
        <f>IF(FI74=0,0,(FJ74-FI74)/FI74*100)</f>
        <v>0</v>
      </c>
      <c r="FL74" s="3409"/>
      <c r="FM74" s="3409"/>
      <c r="FN74" s="1078">
        <f>IF(FL74=0,0,(FM74-FL74)/FL74*100)</f>
        <v>0</v>
      </c>
      <c r="FO74" s="3409"/>
      <c r="FP74" s="3409"/>
      <c r="FQ74" s="1078">
        <f>IF(FO74=0,0,(FP74-FO74)/FO74*100)</f>
        <v>0</v>
      </c>
      <c r="FR74" s="3409"/>
      <c r="FS74" s="3409"/>
      <c r="FT74" s="1078">
        <f>IF(FR74=0,0,(FS74-FR74)/FR74*100)</f>
        <v>0</v>
      </c>
      <c r="FU74" s="3409"/>
      <c r="FV74" s="3409"/>
      <c r="FW74" s="1078">
        <f>IF(FU74=0,0,(FV74-FU74)/FU74*100)</f>
        <v>0</v>
      </c>
      <c r="FX74" s="676"/>
      <c r="FY74" s="676"/>
      <c r="FZ74" s="1039" t="s">
        <v>1564</v>
      </c>
      <c r="GA74" s="998" t="s">
        <v>813</v>
      </c>
      <c r="GB74" s="998" cm="1" t="str">
        <f t="array" ref="GB74:GB74">GB73</f>
        <v>0</v>
      </c>
      <c r="GC74" s="697"/>
      <c r="GD74" s="697"/>
    </row>
    <row customHeight="1" ht="14.625" hidden="1">
      <c r="A75" s="467"/>
      <c r="B75" s="907" cm="1" t="str">
        <f t="array" ref="B75:B75">B74</f>
        <v>false</v>
      </c>
      <c r="C75" s="467"/>
      <c r="D75" s="467"/>
      <c r="E75" s="822">
        <v>15</v>
      </c>
      <c r="F75" s="50" cm="1" t="str">
        <f t="array" ref="F75:F75">OFFSET(E75,-1,1)</f>
        <v>0</v>
      </c>
      <c r="G75" s="467"/>
      <c r="H75" s="467" t="s">
        <v>1536</v>
      </c>
      <c r="I75" s="467" cm="1" t="str">
        <f t="array" ref="I75:I75">I74</f>
        <v>0</v>
      </c>
      <c r="J75" s="467"/>
      <c r="K75" s="467"/>
      <c r="L75" s="467"/>
      <c r="M75" s="467"/>
      <c r="N75" s="467"/>
      <c r="O75" s="467"/>
      <c r="P75" s="467"/>
      <c r="Q75" s="467"/>
      <c r="R75" s="467"/>
      <c r="S75" s="467"/>
      <c r="T75" s="439" cm="1" t="str">
        <f t="array" ref="T75:T75">T74</f>
        <v>false</v>
      </c>
      <c r="U75" s="467"/>
      <c r="V75" s="467"/>
      <c r="W75" s="467"/>
      <c r="X75" s="1534"/>
      <c r="Y75" s="1534"/>
      <c r="Z75" s="1464"/>
      <c r="AA75" s="1413"/>
      <c r="AB75" s="886" t="s">
        <v>1537</v>
      </c>
      <c r="AC75" s="846" t="s">
        <v>1538</v>
      </c>
      <c r="AD75" s="3409"/>
      <c r="AE75" s="3409"/>
      <c r="AF75" s="1078">
        <f>IF(AD75=0,0,(AE75-AD75)/AD75*100)</f>
        <v>0</v>
      </c>
      <c r="AG75" s="3409"/>
      <c r="AH75" s="3409"/>
      <c r="AI75" s="1078">
        <f>IF(AG75=0,0,(AH75-AG75)/AG75*100)</f>
        <v>0</v>
      </c>
      <c r="AJ75" s="3409"/>
      <c r="AK75" s="3409"/>
      <c r="AL75" s="1078">
        <f>IF(AJ75=0,0,(AK75-AJ75)/AJ75*100)</f>
        <v>0</v>
      </c>
      <c r="AM75" s="3409"/>
      <c r="AN75" s="3409"/>
      <c r="AO75" s="1078">
        <f>IF(AM75=0,0,(AN75-AM75)/AM75*100)</f>
        <v>0</v>
      </c>
      <c r="AP75" s="3409"/>
      <c r="AQ75" s="3409"/>
      <c r="AR75" s="1078">
        <f>IF(AP75=0,0,(AQ75-AP75)/AP75*100)</f>
        <v>0</v>
      </c>
      <c r="AS75" s="3409"/>
      <c r="AT75" s="3409"/>
      <c r="AU75" s="1078">
        <f>IF(AS75=0,0,(AT75-AS75)/AS75*100)</f>
        <v>0</v>
      </c>
      <c r="AV75" s="3409"/>
      <c r="AW75" s="3409"/>
      <c r="AX75" s="1078">
        <f>IF(AV75=0,0,(AW75-AV75)/AV75*100)</f>
        <v>0</v>
      </c>
      <c r="AY75" s="3409"/>
      <c r="AZ75" s="3409"/>
      <c r="BA75" s="1078">
        <f>IF(AY75=0,0,(AZ75-AY75)/AY75*100)</f>
        <v>0</v>
      </c>
      <c r="BB75" s="3409"/>
      <c r="BC75" s="3409"/>
      <c r="BD75" s="1078">
        <f>IF(BB75=0,0,(BC75-BB75)/BB75*100)</f>
        <v>0</v>
      </c>
      <c r="BE75" s="3409"/>
      <c r="BF75" s="3409"/>
      <c r="BG75" s="1078">
        <f>IF(BE75=0,0,(BF75-BE75)/BE75*100)</f>
        <v>0</v>
      </c>
      <c r="BH75" s="3409"/>
      <c r="BI75" s="3409"/>
      <c r="BJ75" s="1078">
        <f>IF(BH75=0,0,(BI75-BH75)/BH75*100)</f>
        <v>0</v>
      </c>
      <c r="BK75" s="3409"/>
      <c r="BL75" s="3409"/>
      <c r="BM75" s="1078">
        <f>IF(BK75=0,0,(BL75-BK75)/BK75*100)</f>
        <v>0</v>
      </c>
      <c r="BN75" s="3409"/>
      <c r="BO75" s="3409"/>
      <c r="BP75" s="1078">
        <f>IF(BN75=0,0,(BO75-BN75)/BN75*100)</f>
        <v>0</v>
      </c>
      <c r="BQ75" s="3409"/>
      <c r="BR75" s="3409"/>
      <c r="BS75" s="1078">
        <f>IF(BQ75=0,0,(BR75-BQ75)/BQ75*100)</f>
        <v>0</v>
      </c>
      <c r="BT75" s="3409"/>
      <c r="BU75" s="3409"/>
      <c r="BV75" s="1078">
        <f>IF(BT75=0,0,(BU75-BT75)/BT75*100)</f>
        <v>0</v>
      </c>
      <c r="BW75" s="3409"/>
      <c r="BX75" s="3409"/>
      <c r="BY75" s="1078">
        <f>IF(BW75=0,0,(BX75-BW75)/BW75*100)</f>
        <v>0</v>
      </c>
      <c r="BZ75" s="3409"/>
      <c r="CA75" s="3409"/>
      <c r="CB75" s="1078">
        <f>IF(BZ75=0,0,(CA75-BZ75)/BZ75*100)</f>
        <v>0</v>
      </c>
      <c r="CC75" s="3409"/>
      <c r="CD75" s="3409"/>
      <c r="CE75" s="1078">
        <f>IF(CC75=0,0,(CD75-CC75)/CC75*100)</f>
        <v>0</v>
      </c>
      <c r="CF75" s="3409"/>
      <c r="CG75" s="3409"/>
      <c r="CH75" s="1078">
        <f>IF(CF75=0,0,(CG75-CF75)/CF75*100)</f>
        <v>0</v>
      </c>
      <c r="CI75" s="3409"/>
      <c r="CJ75" s="3409"/>
      <c r="CK75" s="1078">
        <f>IF(CI75=0,0,(CJ75-CI75)/CI75*100)</f>
        <v>0</v>
      </c>
      <c r="CL75" s="3409"/>
      <c r="CM75" s="3409"/>
      <c r="CN75" s="1078">
        <f>IF(CL75=0,0,(CM75-CL75)/CL75*100)</f>
        <v>0</v>
      </c>
      <c r="CO75" s="3409"/>
      <c r="CP75" s="3409"/>
      <c r="CQ75" s="1078">
        <f>IF(CO75=0,0,(CP75-CO75)/CO75*100)</f>
        <v>0</v>
      </c>
      <c r="CR75" s="3409"/>
      <c r="CS75" s="3409"/>
      <c r="CT75" s="1078">
        <f>IF(CR75=0,0,(CS75-CR75)/CR75*100)</f>
        <v>0</v>
      </c>
      <c r="CU75" s="3409"/>
      <c r="CV75" s="3409"/>
      <c r="CW75" s="1078">
        <f>IF(CU75=0,0,(CV75-CU75)/CU75*100)</f>
        <v>0</v>
      </c>
      <c r="CX75" s="3409"/>
      <c r="CY75" s="3409"/>
      <c r="CZ75" s="1078">
        <f>IF(CX75=0,0,(CY75-CX75)/CX75*100)</f>
        <v>0</v>
      </c>
      <c r="DA75" s="3409"/>
      <c r="DB75" s="3409"/>
      <c r="DC75" s="1078">
        <f>IF(DA75=0,0,(DB75-DA75)/DA75*100)</f>
        <v>0</v>
      </c>
      <c r="DD75" s="3409"/>
      <c r="DE75" s="3409"/>
      <c r="DF75" s="1078">
        <f>IF(DD75=0,0,(DE75-DD75)/DD75*100)</f>
        <v>0</v>
      </c>
      <c r="DG75" s="3409"/>
      <c r="DH75" s="3409"/>
      <c r="DI75" s="1078">
        <f>IF(DG75=0,0,(DH75-DG75)/DG75*100)</f>
        <v>0</v>
      </c>
      <c r="DJ75" s="3409"/>
      <c r="DK75" s="3409"/>
      <c r="DL75" s="1078">
        <f>IF(DJ75=0,0,(DK75-DJ75)/DJ75*100)</f>
        <v>0</v>
      </c>
      <c r="DM75" s="3409"/>
      <c r="DN75" s="3409"/>
      <c r="DO75" s="1078">
        <f>IF(DM75=0,0,(DN75-DM75)/DM75*100)</f>
        <v>0</v>
      </c>
      <c r="DP75" s="3409"/>
      <c r="DQ75" s="3409"/>
      <c r="DR75" s="1078">
        <f>IF(DP75=0,0,(DQ75-DP75)/DP75*100)</f>
        <v>0</v>
      </c>
      <c r="DS75" s="3409"/>
      <c r="DT75" s="3409"/>
      <c r="DU75" s="1078">
        <f>IF(DS75=0,0,(DT75-DS75)/DS75*100)</f>
        <v>0</v>
      </c>
      <c r="DV75" s="3409"/>
      <c r="DW75" s="3409"/>
      <c r="DX75" s="1078">
        <f>IF(DV75=0,0,(DW75-DV75)/DV75*100)</f>
        <v>0</v>
      </c>
      <c r="DY75" s="3409"/>
      <c r="DZ75" s="3409"/>
      <c r="EA75" s="1078">
        <f>IF(DY75=0,0,(DZ75-DY75)/DY75*100)</f>
        <v>0</v>
      </c>
      <c r="EB75" s="3409"/>
      <c r="EC75" s="3409"/>
      <c r="ED75" s="1078">
        <f>IF(EB75=0,0,(EC75-EB75)/EB75*100)</f>
        <v>0</v>
      </c>
      <c r="EE75" s="3409"/>
      <c r="EF75" s="3409"/>
      <c r="EG75" s="1078">
        <f>IF(EE75=0,0,(EF75-EE75)/EE75*100)</f>
        <v>0</v>
      </c>
      <c r="EH75" s="3409"/>
      <c r="EI75" s="3409"/>
      <c r="EJ75" s="1078">
        <f>IF(EH75=0,0,(EI75-EH75)/EH75*100)</f>
        <v>0</v>
      </c>
      <c r="EK75" s="3409"/>
      <c r="EL75" s="3409"/>
      <c r="EM75" s="1078">
        <f>IF(EK75=0,0,(EL75-EK75)/EK75*100)</f>
        <v>0</v>
      </c>
      <c r="EN75" s="3409"/>
      <c r="EO75" s="3409"/>
      <c r="EP75" s="1078">
        <f>IF(EN75=0,0,(EO75-EN75)/EN75*100)</f>
        <v>0</v>
      </c>
      <c r="EQ75" s="3409"/>
      <c r="ER75" s="3409"/>
      <c r="ES75" s="1078">
        <f>IF(EQ75=0,0,(ER75-EQ75)/EQ75*100)</f>
        <v>0</v>
      </c>
      <c r="ET75" s="3409"/>
      <c r="EU75" s="3409"/>
      <c r="EV75" s="1078">
        <f>IF(ET75=0,0,(EU75-ET75)/ET75*100)</f>
        <v>0</v>
      </c>
      <c r="EW75" s="3409"/>
      <c r="EX75" s="3409"/>
      <c r="EY75" s="1078">
        <f>IF(EW75=0,0,(EX75-EW75)/EW75*100)</f>
        <v>0</v>
      </c>
      <c r="EZ75" s="3409"/>
      <c r="FA75" s="3409"/>
      <c r="FB75" s="1078">
        <f>IF(EZ75=0,0,(FA75-EZ75)/EZ75*100)</f>
        <v>0</v>
      </c>
      <c r="FC75" s="3409"/>
      <c r="FD75" s="3409"/>
      <c r="FE75" s="1078">
        <f>IF(FC75=0,0,(FD75-FC75)/FC75*100)</f>
        <v>0</v>
      </c>
      <c r="FF75" s="3409"/>
      <c r="FG75" s="3409"/>
      <c r="FH75" s="1078">
        <f>IF(FF75=0,0,(FG75-FF75)/FF75*100)</f>
        <v>0</v>
      </c>
      <c r="FI75" s="3409"/>
      <c r="FJ75" s="3409"/>
      <c r="FK75" s="1078">
        <f>IF(FI75=0,0,(FJ75-FI75)/FI75*100)</f>
        <v>0</v>
      </c>
      <c r="FL75" s="3409"/>
      <c r="FM75" s="3409"/>
      <c r="FN75" s="1078">
        <f>IF(FL75=0,0,(FM75-FL75)/FL75*100)</f>
        <v>0</v>
      </c>
      <c r="FO75" s="3409"/>
      <c r="FP75" s="3409"/>
      <c r="FQ75" s="1078">
        <f>IF(FO75=0,0,(FP75-FO75)/FO75*100)</f>
        <v>0</v>
      </c>
      <c r="FR75" s="3409"/>
      <c r="FS75" s="3409"/>
      <c r="FT75" s="1078">
        <f>IF(FR75=0,0,(FS75-FR75)/FR75*100)</f>
        <v>0</v>
      </c>
      <c r="FU75" s="3409"/>
      <c r="FV75" s="3409"/>
      <c r="FW75" s="1078">
        <f>IF(FU75=0,0,(FV75-FU75)/FU75*100)</f>
        <v>0</v>
      </c>
      <c r="FX75" s="676"/>
      <c r="FY75" s="676"/>
      <c r="FZ75" s="1039" t="s">
        <v>1565</v>
      </c>
      <c r="GA75" s="998" t="s">
        <v>813</v>
      </c>
      <c r="GB75" s="998" cm="1" t="str">
        <f t="array" ref="GB75:GB75">GB74</f>
        <v>0</v>
      </c>
      <c r="GC75" s="697"/>
      <c r="GD75" s="697"/>
    </row>
    <row customHeight="1" ht="14.625" hidden="1">
      <c r="A76" s="467"/>
      <c r="B76" s="907" cm="1" t="str">
        <f t="array" ref="B76:B76">B75</f>
        <v>false</v>
      </c>
      <c r="C76" s="467"/>
      <c r="D76" s="467"/>
      <c r="E76" s="822">
        <v>15</v>
      </c>
      <c r="F76" s="50" cm="1" t="str">
        <f t="array" ref="F76:F76">OFFSET(E76,-1,1)</f>
        <v>0</v>
      </c>
      <c r="G76" s="467"/>
      <c r="H76" s="467"/>
      <c r="I76" s="64" t="s">
        <v>1566</v>
      </c>
      <c r="J76" s="467"/>
      <c r="K76" s="467"/>
      <c r="L76" s="467"/>
      <c r="M76" s="467"/>
      <c r="N76" s="467"/>
      <c r="O76" s="467"/>
      <c r="P76" s="467"/>
      <c r="Q76" s="467"/>
      <c r="R76" s="467"/>
      <c r="S76" s="467"/>
      <c r="T76" s="439">
        <f>F76&gt;0</f>
        <v>0</v>
      </c>
      <c r="U76" s="467"/>
      <c r="V76" s="676"/>
      <c r="W76" s="738" t="s">
        <v>1524</v>
      </c>
      <c r="X76" s="1534"/>
      <c r="Y76" s="676"/>
      <c r="Z76" s="1464"/>
      <c r="AA76" s="676"/>
      <c r="AB76" s="227" t="s">
        <v>177</v>
      </c>
      <c r="AC76" s="231"/>
      <c r="AD76" s="1083"/>
      <c r="AE76" s="1083"/>
      <c r="AF76" s="1083"/>
      <c r="AG76" s="1083"/>
      <c r="AH76" s="1083"/>
      <c r="AI76" s="1083"/>
      <c r="AJ76" s="1083"/>
      <c r="AK76" s="1083"/>
      <c r="AL76" s="1083"/>
      <c r="AM76" s="1083"/>
      <c r="AN76" s="1083"/>
      <c r="AO76" s="1083"/>
      <c r="AP76" s="1083"/>
      <c r="AQ76" s="1083"/>
      <c r="AR76" s="1083"/>
      <c r="AS76" s="1083"/>
      <c r="AT76" s="1083"/>
      <c r="AU76" s="1083"/>
      <c r="AV76" s="1083"/>
      <c r="AW76" s="1083"/>
      <c r="AX76" s="1083"/>
      <c r="AY76" s="1083"/>
      <c r="AZ76" s="1083"/>
      <c r="BA76" s="1083"/>
      <c r="BB76" s="1083"/>
      <c r="BC76" s="1083"/>
      <c r="BD76" s="1083"/>
      <c r="BE76" s="1083"/>
      <c r="BF76" s="1083"/>
      <c r="BG76" s="1083"/>
      <c r="BH76" s="1083"/>
      <c r="BI76" s="1083"/>
      <c r="BJ76" s="1083"/>
      <c r="BK76" s="1083"/>
      <c r="BL76" s="1083"/>
      <c r="BM76" s="1083"/>
      <c r="BN76" s="1083"/>
      <c r="BO76" s="1083"/>
      <c r="BP76" s="1083"/>
      <c r="BQ76" s="1083"/>
      <c r="BR76" s="1083"/>
      <c r="BS76" s="1083"/>
      <c r="BT76" s="1083"/>
      <c r="BU76" s="1083"/>
      <c r="BV76" s="1083"/>
      <c r="BW76" s="1083"/>
      <c r="BX76" s="1083"/>
      <c r="BY76" s="1083"/>
      <c r="BZ76" s="1083"/>
      <c r="CA76" s="1083"/>
      <c r="CB76" s="1083"/>
      <c r="CC76" s="1083"/>
      <c r="CD76" s="1083"/>
      <c r="CE76" s="1083"/>
      <c r="CF76" s="1083"/>
      <c r="CG76" s="1083"/>
      <c r="CH76" s="1083"/>
      <c r="CI76" s="1083"/>
      <c r="CJ76" s="1083"/>
      <c r="CK76" s="1083"/>
      <c r="CL76" s="1083"/>
      <c r="CM76" s="1083"/>
      <c r="CN76" s="1083"/>
      <c r="CO76" s="1083"/>
      <c r="CP76" s="1083"/>
      <c r="CQ76" s="1083"/>
      <c r="CR76" s="1083"/>
      <c r="CS76" s="1083"/>
      <c r="CT76" s="1083"/>
      <c r="CU76" s="1083"/>
      <c r="CV76" s="1083"/>
      <c r="CW76" s="1083"/>
      <c r="CX76" s="1083"/>
      <c r="CY76" s="1083"/>
      <c r="CZ76" s="1083"/>
      <c r="DA76" s="1083"/>
      <c r="DB76" s="1083"/>
      <c r="DC76" s="1083"/>
      <c r="DD76" s="1083"/>
      <c r="DE76" s="1083"/>
      <c r="DF76" s="1083"/>
      <c r="DG76" s="1083"/>
      <c r="DH76" s="1083"/>
      <c r="DI76" s="1083"/>
      <c r="DJ76" s="1083"/>
      <c r="DK76" s="1083"/>
      <c r="DL76" s="1083"/>
      <c r="DM76" s="1083"/>
      <c r="DN76" s="1083"/>
      <c r="DO76" s="1083"/>
      <c r="DP76" s="1083"/>
      <c r="DQ76" s="1083"/>
      <c r="DR76" s="1083"/>
      <c r="DS76" s="1083"/>
      <c r="DT76" s="1083"/>
      <c r="DU76" s="1083"/>
      <c r="DV76" s="1083"/>
      <c r="DW76" s="1083"/>
      <c r="DX76" s="1083"/>
      <c r="DY76" s="1083"/>
      <c r="DZ76" s="1083"/>
      <c r="EA76" s="1083"/>
      <c r="EB76" s="1083"/>
      <c r="EC76" s="1083"/>
      <c r="ED76" s="1083"/>
      <c r="EE76" s="1083"/>
      <c r="EF76" s="1083"/>
      <c r="EG76" s="1083"/>
      <c r="EH76" s="1083"/>
      <c r="EI76" s="1083"/>
      <c r="EJ76" s="1083"/>
      <c r="EK76" s="1083"/>
      <c r="EL76" s="1083"/>
      <c r="EM76" s="1083"/>
      <c r="EN76" s="1083"/>
      <c r="EO76" s="1083"/>
      <c r="EP76" s="1083"/>
      <c r="EQ76" s="1083"/>
      <c r="ER76" s="1083"/>
      <c r="ES76" s="1083"/>
      <c r="ET76" s="1083"/>
      <c r="EU76" s="1083"/>
      <c r="EV76" s="1083"/>
      <c r="EW76" s="1083"/>
      <c r="EX76" s="1083"/>
      <c r="EY76" s="1083"/>
      <c r="EZ76" s="1083"/>
      <c r="FA76" s="1083"/>
      <c r="FB76" s="1083"/>
      <c r="FC76" s="1083"/>
      <c r="FD76" s="1083"/>
      <c r="FE76" s="1083"/>
      <c r="FF76" s="1083"/>
      <c r="FG76" s="1083"/>
      <c r="FH76" s="1083"/>
      <c r="FI76" s="1083"/>
      <c r="FJ76" s="1083"/>
      <c r="FK76" s="1083"/>
      <c r="FL76" s="1083"/>
      <c r="FM76" s="1083"/>
      <c r="FN76" s="1083"/>
      <c r="FO76" s="1083"/>
      <c r="FP76" s="1083"/>
      <c r="FQ76" s="1083"/>
      <c r="FR76" s="1083"/>
      <c r="FS76" s="1083"/>
      <c r="FT76" s="1083"/>
      <c r="FU76" s="1083"/>
      <c r="FV76" s="1083"/>
      <c r="FW76" s="1084"/>
      <c r="FX76" s="676"/>
      <c r="FY76" s="676"/>
      <c r="FZ76" s="1039" t="s">
        <v>222</v>
      </c>
      <c r="GA76" s="1061"/>
      <c r="GB76" s="1061"/>
      <c r="GC76" s="611" t="s">
        <v>813</v>
      </c>
      <c r="GD76" s="697"/>
    </row>
    <row s="1621" customFormat="1" customHeight="1" ht="11.25" hidden="1">
      <c r="A77" s="456"/>
      <c r="B77" s="907"/>
      <c r="C77" s="456"/>
      <c r="D77" s="456"/>
      <c r="E77" s="848">
        <v>0</v>
      </c>
      <c r="F77" s="1202" cm="1" t="str">
        <f t="array" ref="F77:F77">OFFSET(E77,-1,1)</f>
        <v>0</v>
      </c>
      <c r="G77" s="456"/>
      <c r="H77" s="456"/>
      <c r="I77" s="456"/>
      <c r="J77" s="456"/>
      <c r="K77" s="456"/>
      <c r="L77" s="456"/>
      <c r="M77" s="456"/>
      <c r="N77" s="456"/>
      <c r="O77" s="456"/>
      <c r="P77" s="456"/>
      <c r="Q77" s="456"/>
      <c r="R77" s="456"/>
      <c r="S77" s="456"/>
      <c r="T77" s="439" t="b">
        <v>0</v>
      </c>
      <c r="U77" s="456"/>
      <c r="V77" s="456"/>
      <c r="W77" s="456"/>
      <c r="X77" s="1534"/>
      <c r="Y77" s="456"/>
      <c r="Z77" s="1464"/>
      <c r="AA77" s="456"/>
      <c r="AB77" s="0"/>
      <c r="AC77" s="456"/>
      <c r="AD77" s="1093"/>
      <c r="AE77" s="1093"/>
      <c r="AF77" s="1093"/>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1621"/>
      <c r="FY77" s="1621"/>
      <c r="FZ77" s="1039" t="s">
        <v>222</v>
      </c>
      <c r="GA77" s="1002"/>
      <c r="GB77" s="1042"/>
      <c r="GC77" s="666"/>
      <c r="GD77" s="666"/>
    </row>
    <row s="259" customFormat="1" customHeight="1" ht="23.887500000000003" hidden="1">
      <c r="A78" s="879"/>
      <c r="B78" s="907" cm="1" t="str">
        <f t="array" ref="B78:B78">S29</f>
        <v>false</v>
      </c>
      <c r="C78" s="879"/>
      <c r="D78" s="879"/>
      <c r="E78" s="822">
        <v>24.5</v>
      </c>
      <c r="F78" s="50" cm="1" t="str">
        <f t="array" ref="F78:F78">OFFSET(E78,-1,1)</f>
        <v>0</v>
      </c>
      <c r="G78" s="73" t="s">
        <v>1491</v>
      </c>
      <c r="H78" s="467" t="s">
        <v>441</v>
      </c>
      <c r="I78" s="467" t="s">
        <v>1567</v>
      </c>
      <c r="J78" s="879"/>
      <c r="K78" s="879"/>
      <c r="L78" s="879"/>
      <c r="M78" s="879"/>
      <c r="N78" s="879"/>
      <c r="O78" s="879"/>
      <c r="P78" s="879"/>
      <c r="Q78" s="879"/>
      <c r="R78" s="879"/>
      <c r="S78" s="467"/>
      <c r="T78" s="439" cm="1" t="str">
        <f t="array" ref="T78:T78">T76</f>
        <v>false</v>
      </c>
      <c r="U78" s="879"/>
      <c r="V78" s="879"/>
      <c r="W78" s="879"/>
      <c r="X78" s="1534"/>
      <c r="Y78" s="879"/>
      <c r="Z78" s="1464"/>
      <c r="AA78" s="879"/>
      <c r="AB78" s="186" t="s">
        <v>1568</v>
      </c>
      <c r="AC78" s="201" t="s">
        <v>1494</v>
      </c>
      <c r="AD78" s="3429">
        <f>IF(AND(method_reg="Метод индексации",god&lt;&gt;first_year),_xlfn.SUMIFS(INDEX('Калькуляция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(МИ)'!$AJ$25:$BC$459,,MATCH(AD$8,'Калькуляция (МИ)'!$AJ$8:$BC$8,0)),'Калькуляция (МИ)'!$F$25:$F$459,$F78,'Калькуляция (МИ)'!$G$25:$G$459,$G78))))</f>
        <v>0</v>
      </c>
      <c r="AE78" s="3429">
        <f>IF(AND(method_reg="Метод индексации",god&lt;&gt;first_year),_xlfn.SUMIFS(INDEX('Калькуляция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(МИ)'!$AJ$25:$BC$459,,MATCH(AE$8,'Калькуляция (МИ)'!$AJ$8:$BC$8,0)),'Калькуляция (МИ)'!$F$25:$F$459,$F78,'Калькуляция (МИ)'!$G$25:$G$459,$G78))))</f>
        <v>0</v>
      </c>
      <c r="AF78" s="263">
        <f>IF(AD78=0,0,(AE78-AD78)/AD78*100)</f>
        <v>0</v>
      </c>
      <c r="AG78" s="3429">
        <f>IF(AND(method_reg="Метод индексации",god&lt;&gt;first_year),_xlfn.SUMIFS(INDEX('Калькуляция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(МИ)'!$AJ$25:$BC$459,,MATCH(AG$8,'Калькуляция (МИ)'!$AJ$8:$BC$8,0)),'Калькуляция (МИ)'!$F$25:$F$459,$F78,'Калькуляция (МИ)'!$G$25:$G$459,$G78))))</f>
        <v>0</v>
      </c>
      <c r="AH78" s="3429">
        <f>IF(AND(method_reg="Метод индексации",god&lt;&gt;first_year),_xlfn.SUMIFS(INDEX('Калькуляция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(МИ)'!$AJ$25:$BC$459,,MATCH(AH$8,'Калькуляция (МИ)'!$AJ$8:$BC$8,0)),'Калькуляция (МИ)'!$F$25:$F$459,$F78,'Калькуляция (МИ)'!$G$25:$G$459,$G78))))</f>
        <v>0</v>
      </c>
      <c r="AI78" s="263">
        <f>IF(AG78=0,0,(AH78-AG78)/AG78*100)</f>
        <v>0</v>
      </c>
      <c r="AJ78" s="3429">
        <f>IF(AND(method_reg="Метод индексации",god&lt;&gt;first_year),_xlfn.SUMIFS(INDEX('Калькуляция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(МИ)'!$AJ$25:$BC$459,,MATCH(AJ$8,'Калькуляция (МИ)'!$AJ$8:$BC$8,0)),'Калькуляция (МИ)'!$F$25:$F$459,$F78,'Калькуляция (МИ)'!$G$25:$G$459,$G78))))</f>
        <v>0</v>
      </c>
      <c r="AK78" s="3429">
        <f>IF(AND(method_reg="Метод индексации",god&lt;&gt;first_year),_xlfn.SUMIFS(INDEX('Калькуляция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(МИ)'!$AJ$25:$BC$459,,MATCH(AK$8,'Калькуляция (МИ)'!$AJ$8:$BC$8,0)),'Калькуляция (МИ)'!$F$25:$F$459,$F78,'Калькуляция (МИ)'!$G$25:$G$459,$G78))))</f>
        <v>0</v>
      </c>
      <c r="AL78" s="263">
        <f>IF(AJ78=0,0,(AK78-AJ78)/AJ78*100)</f>
        <v>0</v>
      </c>
      <c r="AM78" s="3429">
        <f>IF(AND(method_reg="Метод индексации",god&lt;&gt;first_year),_xlfn.SUMIFS(INDEX('Калькуляция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(МИ)'!$AJ$25:$BC$459,,MATCH(AM$8,'Калькуляция (МИ)'!$AJ$8:$BC$8,0)),'Калькуляция (МИ)'!$F$25:$F$459,$F78,'Калькуляция (МИ)'!$G$25:$G$459,$G78))))</f>
        <v>0</v>
      </c>
      <c r="AN78" s="3429">
        <f>IF(AND(method_reg="Метод индексации",god&lt;&gt;first_year),_xlfn.SUMIFS(INDEX('Калькуляция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(МИ)'!$AJ$25:$BC$459,,MATCH(AN$8,'Калькуляция (МИ)'!$AJ$8:$BC$8,0)),'Калькуляция (МИ)'!$F$25:$F$459,$F78,'Калькуляция (МИ)'!$G$25:$G$459,$G78))))</f>
        <v>0</v>
      </c>
      <c r="AO78" s="263">
        <f>IF(AM78=0,0,(AN78-AM78)/AM78*100)</f>
        <v>0</v>
      </c>
      <c r="AP78" s="3429">
        <f>IF(AND(method_reg="Метод индексации",god&lt;&gt;first_year),_xlfn.SUMIFS(INDEX('Калькуляция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(МИ)'!$AJ$25:$BC$459,,MATCH(AP$8,'Калькуляция (МИ)'!$AJ$8:$BC$8,0)),'Калькуляция (МИ)'!$F$25:$F$459,$F78,'Калькуляция (МИ)'!$G$25:$G$459,$G78))))</f>
        <v>0</v>
      </c>
      <c r="AQ78" s="3429">
        <f>IF(AND(method_reg="Метод индексации",god&lt;&gt;first_year),_xlfn.SUMIFS(INDEX('Калькуляция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(МИ)'!$AJ$25:$BC$459,,MATCH(AQ$8,'Калькуляция (МИ)'!$AJ$8:$BC$8,0)),'Калькуляция (МИ)'!$F$25:$F$459,$F78,'Калькуляция (МИ)'!$G$25:$G$459,$G78))))</f>
        <v>0</v>
      </c>
      <c r="AR78" s="263">
        <f>IF(AP78=0,0,(AQ78-AP78)/AP78*100)</f>
        <v>0</v>
      </c>
      <c r="AS78" s="3429">
        <f>IF(AND(method_reg="Метод индексации",god&lt;&gt;first_year),_xlfn.SUMIFS(INDEX('Калькуляция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(МИ)'!$AJ$25:$BC$459,,MATCH(AS$8,'Калькуляция (МИ)'!$AJ$8:$BC$8,0)),'Калькуляция (МИ)'!$F$25:$F$459,$F78,'Калькуляция (МИ)'!$G$25:$G$459,$G78))))</f>
        <v>0</v>
      </c>
      <c r="AT78" s="3429">
        <f>IF(AND(method_reg="Метод индексации",god&lt;&gt;first_year),_xlfn.SUMIFS(INDEX('Калькуляция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(МИ)'!$AJ$25:$BC$459,,MATCH(AT$8,'Калькуляция (МИ)'!$AJ$8:$BC$8,0)),'Калькуляция (МИ)'!$F$25:$F$459,$F78,'Калькуляция (МИ)'!$G$25:$G$459,$G78))))</f>
        <v>0</v>
      </c>
      <c r="AU78" s="263">
        <f>IF(AS78=0,0,(AT78-AS78)/AS78*100)</f>
        <v>0</v>
      </c>
      <c r="AV78" s="3429">
        <f>IF(AND(method_reg="Метод индексации",god&lt;&gt;first_year),_xlfn.SUMIFS(INDEX('Калькуляция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(МИ)'!$AJ$25:$BC$459,,MATCH(AV$8,'Калькуляция (МИ)'!$AJ$8:$BC$8,0)),'Калькуляция (МИ)'!$F$25:$F$459,$F78,'Калькуляция (МИ)'!$G$25:$G$459,$G78))))</f>
        <v>0</v>
      </c>
      <c r="AW78" s="3429">
        <f>IF(AND(method_reg="Метод индексации",god&lt;&gt;first_year),_xlfn.SUMIFS(INDEX('Калькуляция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(МИ)'!$AJ$25:$BC$459,,MATCH(AW$8,'Калькуляция (МИ)'!$AJ$8:$BC$8,0)),'Калькуляция (МИ)'!$F$25:$F$459,$F78,'Калькуляция (МИ)'!$G$25:$G$459,$G78))))</f>
        <v>0</v>
      </c>
      <c r="AX78" s="263">
        <f>IF(AV78=0,0,(AW78-AV78)/AV78*100)</f>
        <v>0</v>
      </c>
      <c r="AY78" s="3429">
        <f>IF(AND(method_reg="Метод индексации",god&lt;&gt;first_year),_xlfn.SUMIFS(INDEX('Калькуляция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(МИ)'!$AJ$25:$BC$459,,MATCH(AY$8,'Калькуляция (МИ)'!$AJ$8:$BC$8,0)),'Калькуляция (МИ)'!$F$25:$F$459,$F78,'Калькуляция (МИ)'!$G$25:$G$459,$G78))))</f>
        <v>0</v>
      </c>
      <c r="AZ78" s="3429">
        <f>IF(AND(method_reg="Метод индексации",god&lt;&gt;first_year),_xlfn.SUMIFS(INDEX('Калькуляция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(МИ)'!$AJ$25:$BC$459,,MATCH(AZ$8,'Калькуляция (МИ)'!$AJ$8:$BC$8,0)),'Калькуляция (МИ)'!$F$25:$F$459,$F78,'Калькуляция (МИ)'!$G$25:$G$459,$G78))))</f>
        <v>0</v>
      </c>
      <c r="BA78" s="263">
        <f>IF(AY78=0,0,(AZ78-AY78)/AY78*100)</f>
        <v>0</v>
      </c>
      <c r="BB78" s="3429">
        <f>IF(AND(method_reg="Метод индексации",god&lt;&gt;first_year),_xlfn.SUMIFS(INDEX('Калькуляция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(МИ)'!$AJ$25:$BC$459,,MATCH(BB$8,'Калькуляция (МИ)'!$AJ$8:$BC$8,0)),'Калькуляция (МИ)'!$F$25:$F$459,$F78,'Калькуляция (МИ)'!$G$25:$G$459,$G78))))</f>
        <v>0</v>
      </c>
      <c r="BC78" s="3429">
        <f>IF(AND(method_reg="Метод индексации",god&lt;&gt;first_year),_xlfn.SUMIFS(INDEX('Калькуляция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(МИ)'!$AJ$25:$BC$459,,MATCH(BC$8,'Калькуляция (МИ)'!$AJ$8:$BC$8,0)),'Калькуляция (МИ)'!$F$25:$F$459,$F78,'Калькуляция (МИ)'!$G$25:$G$459,$G78))))</f>
        <v>0</v>
      </c>
      <c r="BD78" s="263">
        <f>IF(BB78=0,0,(BC78-BB78)/BB78*100)</f>
        <v>0</v>
      </c>
      <c r="BE78" s="3429">
        <f>IF(AND(method_reg="Метод индексации",god&lt;&gt;first_year),_xlfn.SUMIFS(INDEX('Калькуляция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расходов",_xlfn.SUMIFS('Калькуляция (МЭОР)'!$AJ$25:$AJ$282,'Калькуляция (МЭОР)'!$F$25:$F$282,$F78,'Калькуляция (МЭОР)'!$G$25:$G$282,$G78),IF(method_reg="Метод сравнения аналогов",_xlfn.SUMIFS('Калькуляция (МСА)'!$AE$25:$AE$84,'Калькуляция (МСА)'!$F$25:$F$84,$F78,'Калькуляция (МСА)'!$G$25:$G$84,$G78),_xlfn.SUMIFS(INDEX('Калькуляция (МИ)'!$AJ$25:$BC$459,,MATCH(BE$8,'Калькуляция (МИ)'!$AJ$8:$BC$8,0)),'Калькуляция (МИ)'!$F$25:$F$459,$F78,'Калькуляция (МИ)'!$G$25:$G$459,$G78))))</f>
        <v>0</v>
      </c>
      <c r="BF78" s="3429">
        <f>IF(AND(method_reg="Метод индексации",god&lt;&gt;first_year),_xlfn.SUMIFS(INDEX('Калькуляция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расходов",_xlfn.SUMIFS('Калькуляция (МЭОР)'!$AK$25:$AK$282,'Калькуляция (МЭОР)'!$F$25:$F$282,$F78,'Калькуляция (МЭОР)'!$G$25:$G$282,$G78),IF(method_reg="Метод сравнения аналогов",_xlfn.SUMIFS('Калькуляция (МСА)'!$AF$25:$AF$84,'Калькуляция (МСА)'!$F$25:$F$84,$F78,'Калькуляция (МСА)'!$G$25:$G$84,$G78),_xlfn.SUMIFS(INDEX('Калькуляция (МИ)'!$AJ$25:$BC$459,,MATCH(BF$8,'Калькуляция (МИ)'!$AJ$8:$BC$8,0)),'Калькуляция (МИ)'!$F$25:$F$459,$F78,'Калькуляция (МИ)'!$G$25:$G$459,$G78))))</f>
        <v>0</v>
      </c>
      <c r="BG78" s="263">
        <f>IF(BE78=0,0,(BF78-BE78)/BE78*100)</f>
        <v>0</v>
      </c>
      <c r="BH78" s="3429"/>
      <c r="BI78" s="3429"/>
      <c r="BJ78" s="263">
        <f>IF(BH78=0,0,(BI78-BH78)/BH78*100)</f>
        <v>0</v>
      </c>
      <c r="BK78" s="3429"/>
      <c r="BL78" s="3429"/>
      <c r="BM78" s="263">
        <f>IF(BK78=0,0,(BL78-BK78)/BK78*100)</f>
        <v>0</v>
      </c>
      <c r="BN78" s="3429"/>
      <c r="BO78" s="3429"/>
      <c r="BP78" s="263">
        <f>IF(BN78=0,0,(BO78-BN78)/BN78*100)</f>
        <v>0</v>
      </c>
      <c r="BQ78" s="3429"/>
      <c r="BR78" s="3429"/>
      <c r="BS78" s="263">
        <f>IF(BQ78=0,0,(BR78-BQ78)/BQ78*100)</f>
        <v>0</v>
      </c>
      <c r="BT78" s="3429"/>
      <c r="BU78" s="3429"/>
      <c r="BV78" s="263">
        <f>IF(BT78=0,0,(BU78-BT78)/BT78*100)</f>
        <v>0</v>
      </c>
      <c r="BW78" s="3429"/>
      <c r="BX78" s="3429"/>
      <c r="BY78" s="263">
        <f>IF(BW78=0,0,(BX78-BW78)/BW78*100)</f>
        <v>0</v>
      </c>
      <c r="BZ78" s="3429"/>
      <c r="CA78" s="3429"/>
      <c r="CB78" s="263">
        <f>IF(BZ78=0,0,(CA78-BZ78)/BZ78*100)</f>
        <v>0</v>
      </c>
      <c r="CC78" s="3429"/>
      <c r="CD78" s="3429"/>
      <c r="CE78" s="263">
        <f>IF(CC78=0,0,(CD78-CC78)/CC78*100)</f>
        <v>0</v>
      </c>
      <c r="CF78" s="3429"/>
      <c r="CG78" s="3429"/>
      <c r="CH78" s="263">
        <f>IF(CF78=0,0,(CG78-CF78)/CF78*100)</f>
        <v>0</v>
      </c>
      <c r="CI78" s="3429"/>
      <c r="CJ78" s="3429"/>
      <c r="CK78" s="263">
        <f>IF(CI78=0,0,(CJ78-CI78)/CI78*100)</f>
        <v>0</v>
      </c>
      <c r="CL78" s="3429"/>
      <c r="CM78" s="3429"/>
      <c r="CN78" s="263">
        <f>IF(CL78=0,0,(CM78-CL78)/CL78*100)</f>
        <v>0</v>
      </c>
      <c r="CO78" s="3429"/>
      <c r="CP78" s="3429"/>
      <c r="CQ78" s="263">
        <f>IF(CO78=0,0,(CP78-CO78)/CO78*100)</f>
        <v>0</v>
      </c>
      <c r="CR78" s="3429"/>
      <c r="CS78" s="3429"/>
      <c r="CT78" s="263">
        <f>IF(CR78=0,0,(CS78-CR78)/CR78*100)</f>
        <v>0</v>
      </c>
      <c r="CU78" s="3429"/>
      <c r="CV78" s="3429"/>
      <c r="CW78" s="263">
        <f>IF(CU78=0,0,(CV78-CU78)/CU78*100)</f>
        <v>0</v>
      </c>
      <c r="CX78" s="3429"/>
      <c r="CY78" s="3429"/>
      <c r="CZ78" s="263">
        <f>IF(CX78=0,0,(CY78-CX78)/CX78*100)</f>
        <v>0</v>
      </c>
      <c r="DA78" s="3429"/>
      <c r="DB78" s="3429"/>
      <c r="DC78" s="263">
        <f>IF(DA78=0,0,(DB78-DA78)/DA78*100)</f>
        <v>0</v>
      </c>
      <c r="DD78" s="3429"/>
      <c r="DE78" s="3429"/>
      <c r="DF78" s="263">
        <f>IF(DD78=0,0,(DE78-DD78)/DD78*100)</f>
        <v>0</v>
      </c>
      <c r="DG78" s="3429"/>
      <c r="DH78" s="3429"/>
      <c r="DI78" s="263">
        <f>IF(DG78=0,0,(DH78-DG78)/DG78*100)</f>
        <v>0</v>
      </c>
      <c r="DJ78" s="3429"/>
      <c r="DK78" s="3429"/>
      <c r="DL78" s="263">
        <f>IF(DJ78=0,0,(DK78-DJ78)/DJ78*100)</f>
        <v>0</v>
      </c>
      <c r="DM78" s="3429"/>
      <c r="DN78" s="3429"/>
      <c r="DO78" s="263">
        <f>IF(DM78=0,0,(DN78-DM78)/DM78*100)</f>
        <v>0</v>
      </c>
      <c r="DP78" s="3429"/>
      <c r="DQ78" s="3429"/>
      <c r="DR78" s="263">
        <f>IF(DP78=0,0,(DQ78-DP78)/DP78*100)</f>
        <v>0</v>
      </c>
      <c r="DS78" s="3429"/>
      <c r="DT78" s="3429"/>
      <c r="DU78" s="263">
        <f>IF(DS78=0,0,(DT78-DS78)/DS78*100)</f>
        <v>0</v>
      </c>
      <c r="DV78" s="3429"/>
      <c r="DW78" s="3429"/>
      <c r="DX78" s="263">
        <f>IF(DV78=0,0,(DW78-DV78)/DV78*100)</f>
        <v>0</v>
      </c>
      <c r="DY78" s="3429"/>
      <c r="DZ78" s="3429"/>
      <c r="EA78" s="263">
        <f>IF(DY78=0,0,(DZ78-DY78)/DY78*100)</f>
        <v>0</v>
      </c>
      <c r="EB78" s="3429"/>
      <c r="EC78" s="3429"/>
      <c r="ED78" s="263">
        <f>IF(EB78=0,0,(EC78-EB78)/EB78*100)</f>
        <v>0</v>
      </c>
      <c r="EE78" s="3429"/>
      <c r="EF78" s="3429"/>
      <c r="EG78" s="263">
        <f>IF(EE78=0,0,(EF78-EE78)/EE78*100)</f>
        <v>0</v>
      </c>
      <c r="EH78" s="3429"/>
      <c r="EI78" s="3429"/>
      <c r="EJ78" s="263">
        <f>IF(EH78=0,0,(EI78-EH78)/EH78*100)</f>
        <v>0</v>
      </c>
      <c r="EK78" s="3429"/>
      <c r="EL78" s="3429"/>
      <c r="EM78" s="263">
        <f>IF(EK78=0,0,(EL78-EK78)/EK78*100)</f>
        <v>0</v>
      </c>
      <c r="EN78" s="3429"/>
      <c r="EO78" s="3429"/>
      <c r="EP78" s="263">
        <f>IF(EN78=0,0,(EO78-EN78)/EN78*100)</f>
        <v>0</v>
      </c>
      <c r="EQ78" s="3429"/>
      <c r="ER78" s="3429"/>
      <c r="ES78" s="263">
        <f>IF(EQ78=0,0,(ER78-EQ78)/EQ78*100)</f>
        <v>0</v>
      </c>
      <c r="ET78" s="3429"/>
      <c r="EU78" s="3429"/>
      <c r="EV78" s="263">
        <f>IF(ET78=0,0,(EU78-ET78)/ET78*100)</f>
        <v>0</v>
      </c>
      <c r="EW78" s="3429"/>
      <c r="EX78" s="3429"/>
      <c r="EY78" s="263">
        <f>IF(EW78=0,0,(EX78-EW78)/EW78*100)</f>
        <v>0</v>
      </c>
      <c r="EZ78" s="3429"/>
      <c r="FA78" s="3429"/>
      <c r="FB78" s="263">
        <f>IF(EZ78=0,0,(FA78-EZ78)/EZ78*100)</f>
        <v>0</v>
      </c>
      <c r="FC78" s="3429"/>
      <c r="FD78" s="3429"/>
      <c r="FE78" s="263">
        <f>IF(FC78=0,0,(FD78-FC78)/FC78*100)</f>
        <v>0</v>
      </c>
      <c r="FF78" s="3429"/>
      <c r="FG78" s="3429"/>
      <c r="FH78" s="263">
        <f>IF(FF78=0,0,(FG78-FF78)/FF78*100)</f>
        <v>0</v>
      </c>
      <c r="FI78" s="3429"/>
      <c r="FJ78" s="3429"/>
      <c r="FK78" s="263">
        <f>IF(FI78=0,0,(FJ78-FI78)/FI78*100)</f>
        <v>0</v>
      </c>
      <c r="FL78" s="3429"/>
      <c r="FM78" s="3429"/>
      <c r="FN78" s="263">
        <f>IF(FL78=0,0,(FM78-FL78)/FL78*100)</f>
        <v>0</v>
      </c>
      <c r="FO78" s="3429"/>
      <c r="FP78" s="3429"/>
      <c r="FQ78" s="263">
        <f>IF(FO78=0,0,(FP78-FO78)/FO78*100)</f>
        <v>0</v>
      </c>
      <c r="FR78" s="3429"/>
      <c r="FS78" s="3429"/>
      <c r="FT78" s="263">
        <f>IF(FR78=0,0,(FS78-FR78)/FR78*100)</f>
        <v>0</v>
      </c>
      <c r="FU78" s="3429"/>
      <c r="FV78" s="3429"/>
      <c r="FW78" s="263">
        <f>IF(FU78=0,0,(FV78-FU78)/FU78*100)</f>
        <v>0</v>
      </c>
      <c r="FX78" s="259"/>
      <c r="FY78" s="259"/>
      <c r="FZ78" s="1039" t="s">
        <v>1569</v>
      </c>
      <c r="GA78" s="1039"/>
      <c r="GB78" s="1039"/>
      <c r="GC78" s="1040"/>
      <c r="GD78" s="1040"/>
    </row>
    <row s="259" customFormat="1" customHeight="1" ht="23.887500000000003" hidden="1">
      <c r="A79" s="879"/>
      <c r="B79" s="907" cm="1" t="str">
        <f t="array" ref="B79:B79">B78</f>
        <v>false</v>
      </c>
      <c r="C79" s="879"/>
      <c r="D79" s="879"/>
      <c r="E79" s="822">
        <v>24.5</v>
      </c>
      <c r="F79" s="50" cm="1" t="str">
        <f t="array" ref="F79:F79">OFFSET(E79,-1,1)</f>
        <v>0</v>
      </c>
      <c r="G79" s="73" t="s">
        <v>1496</v>
      </c>
      <c r="H79" s="467" t="s">
        <v>441</v>
      </c>
      <c r="I79" s="467" t="s">
        <v>1570</v>
      </c>
      <c r="J79" s="879"/>
      <c r="K79" s="879"/>
      <c r="L79" s="879"/>
      <c r="M79" s="879"/>
      <c r="N79" s="879"/>
      <c r="O79" s="879"/>
      <c r="P79" s="879"/>
      <c r="Q79" s="879"/>
      <c r="R79" s="879"/>
      <c r="S79" s="467"/>
      <c r="T79" s="439" cm="1" t="str">
        <f t="array" ref="T79:T79">T78</f>
        <v>false</v>
      </c>
      <c r="U79" s="879"/>
      <c r="V79" s="879"/>
      <c r="W79" s="879"/>
      <c r="X79" s="1534"/>
      <c r="Y79" s="879"/>
      <c r="Z79" s="1464"/>
      <c r="AA79" s="879"/>
      <c r="AB79" s="186" t="s">
        <v>1571</v>
      </c>
      <c r="AC79" s="201" t="s">
        <v>1494</v>
      </c>
      <c r="AD79" s="3429">
        <f>IF(AND(method_reg="Метод индексации",god&lt;&gt;first_year),_xlfn.SUMIFS(INDEX('Калькуляция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(МИ)'!$AJ$25:$BC$459,,MATCH(AD$8,'Калькуляция (МИ)'!$AJ$8:$BC$8,0)),'Калькуляция (МИ)'!$F$25:$F$459,$F79,'Калькуляция (МИ)'!$G$25:$G$459,$G79))))</f>
        <v>0</v>
      </c>
      <c r="AE79" s="3429">
        <f>IF(AND(method_reg="Метод индексации",god&lt;&gt;first_year),_xlfn.SUMIFS(INDEX('Калькуляция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(МИ)'!$AJ$25:$BC$459,,MATCH(AE$8,'Калькуляция (МИ)'!$AJ$8:$BC$8,0)),'Калькуляция (МИ)'!$F$25:$F$459,$F79,'Калькуляция (МИ)'!$G$25:$G$459,$G79))))</f>
        <v>0</v>
      </c>
      <c r="AF79" s="263">
        <f>IF(AD79=0,0,(AE79-AD79)/AD79*100)</f>
        <v>0</v>
      </c>
      <c r="AG79" s="3429">
        <f>IF(AND(method_reg="Метод индексации",god&lt;&gt;first_year),_xlfn.SUMIFS(INDEX('Калькуляция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(МИ)'!$AJ$25:$BC$459,,MATCH(AG$8,'Калькуляция (МИ)'!$AJ$8:$BC$8,0)),'Калькуляция (МИ)'!$F$25:$F$459,$F79,'Калькуляция (МИ)'!$G$25:$G$459,$G79))))</f>
        <v>0</v>
      </c>
      <c r="AH79" s="3429">
        <f>IF(AND(method_reg="Метод индексации",god&lt;&gt;first_year),_xlfn.SUMIFS(INDEX('Калькуляция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(МИ)'!$AJ$25:$BC$459,,MATCH(AH$8,'Калькуляция (МИ)'!$AJ$8:$BC$8,0)),'Калькуляция (МИ)'!$F$25:$F$459,$F79,'Калькуляция (МИ)'!$G$25:$G$459,$G79))))</f>
        <v>0</v>
      </c>
      <c r="AI79" s="263">
        <f>IF(AG79=0,0,(AH79-AG79)/AG79*100)</f>
        <v>0</v>
      </c>
      <c r="AJ79" s="3429">
        <f>IF(AND(method_reg="Метод индексации",god&lt;&gt;first_year),_xlfn.SUMIFS(INDEX('Калькуляция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(МИ)'!$AJ$25:$BC$459,,MATCH(AJ$8,'Калькуляция (МИ)'!$AJ$8:$BC$8,0)),'Калькуляция (МИ)'!$F$25:$F$459,$F79,'Калькуляция (МИ)'!$G$25:$G$459,$G79))))</f>
        <v>0</v>
      </c>
      <c r="AK79" s="3429">
        <f>IF(AND(method_reg="Метод индексации",god&lt;&gt;first_year),_xlfn.SUMIFS(INDEX('Калькуляция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(МИ)'!$AJ$25:$BC$459,,MATCH(AK$8,'Калькуляция (МИ)'!$AJ$8:$BC$8,0)),'Калькуляция (МИ)'!$F$25:$F$459,$F79,'Калькуляция (МИ)'!$G$25:$G$459,$G79))))</f>
        <v>0</v>
      </c>
      <c r="AL79" s="263">
        <f>IF(AJ79=0,0,(AK79-AJ79)/AJ79*100)</f>
        <v>0</v>
      </c>
      <c r="AM79" s="3429">
        <f>IF(AND(method_reg="Метод индексации",god&lt;&gt;first_year),_xlfn.SUMIFS(INDEX('Калькуляция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(МИ)'!$AJ$25:$BC$459,,MATCH(AM$8,'Калькуляция (МИ)'!$AJ$8:$BC$8,0)),'Калькуляция (МИ)'!$F$25:$F$459,$F79,'Калькуляция (МИ)'!$G$25:$G$459,$G79))))</f>
        <v>0</v>
      </c>
      <c r="AN79" s="3429">
        <f>IF(AND(method_reg="Метод индексации",god&lt;&gt;first_year),_xlfn.SUMIFS(INDEX('Калькуляция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(МИ)'!$AJ$25:$BC$459,,MATCH(AN$8,'Калькуляция (МИ)'!$AJ$8:$BC$8,0)),'Калькуляция (МИ)'!$F$25:$F$459,$F79,'Калькуляция (МИ)'!$G$25:$G$459,$G79))))</f>
        <v>0</v>
      </c>
      <c r="AO79" s="263">
        <f>IF(AM79=0,0,(AN79-AM79)/AM79*100)</f>
        <v>0</v>
      </c>
      <c r="AP79" s="3429">
        <f>IF(AND(method_reg="Метод индексации",god&lt;&gt;first_year),_xlfn.SUMIFS(INDEX('Калькуляция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(МИ)'!$AJ$25:$BC$459,,MATCH(AP$8,'Калькуляция (МИ)'!$AJ$8:$BC$8,0)),'Калькуляция (МИ)'!$F$25:$F$459,$F79,'Калькуляция (МИ)'!$G$25:$G$459,$G79))))</f>
        <v>0</v>
      </c>
      <c r="AQ79" s="3429">
        <f>IF(AND(method_reg="Метод индексации",god&lt;&gt;first_year),_xlfn.SUMIFS(INDEX('Калькуляция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(МИ)'!$AJ$25:$BC$459,,MATCH(AQ$8,'Калькуляция (МИ)'!$AJ$8:$BC$8,0)),'Калькуляция (МИ)'!$F$25:$F$459,$F79,'Калькуляция (МИ)'!$G$25:$G$459,$G79))))</f>
        <v>0</v>
      </c>
      <c r="AR79" s="263">
        <f>IF(AP79=0,0,(AQ79-AP79)/AP79*100)</f>
        <v>0</v>
      </c>
      <c r="AS79" s="3429">
        <f>IF(AND(method_reg="Метод индексации",god&lt;&gt;first_year),_xlfn.SUMIFS(INDEX('Калькуляция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(МИ)'!$AJ$25:$BC$459,,MATCH(AS$8,'Калькуляция (МИ)'!$AJ$8:$BC$8,0)),'Калькуляция (МИ)'!$F$25:$F$459,$F79,'Калькуляция (МИ)'!$G$25:$G$459,$G79))))</f>
        <v>0</v>
      </c>
      <c r="AT79" s="3429">
        <f>IF(AND(method_reg="Метод индексации",god&lt;&gt;first_year),_xlfn.SUMIFS(INDEX('Калькуляция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(МИ)'!$AJ$25:$BC$459,,MATCH(AT$8,'Калькуляция (МИ)'!$AJ$8:$BC$8,0)),'Калькуляция (МИ)'!$F$25:$F$459,$F79,'Калькуляция (МИ)'!$G$25:$G$459,$G79))))</f>
        <v>0</v>
      </c>
      <c r="AU79" s="263">
        <f>IF(AS79=0,0,(AT79-AS79)/AS79*100)</f>
        <v>0</v>
      </c>
      <c r="AV79" s="3429">
        <f>IF(AND(method_reg="Метод индексации",god&lt;&gt;first_year),_xlfn.SUMIFS(INDEX('Калькуляция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(МИ)'!$AJ$25:$BC$459,,MATCH(AV$8,'Калькуляция (МИ)'!$AJ$8:$BC$8,0)),'Калькуляция (МИ)'!$F$25:$F$459,$F79,'Калькуляция (МИ)'!$G$25:$G$459,$G79))))</f>
        <v>0</v>
      </c>
      <c r="AW79" s="3429">
        <f>IF(AND(method_reg="Метод индексации",god&lt;&gt;first_year),_xlfn.SUMIFS(INDEX('Калькуляция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(МИ)'!$AJ$25:$BC$459,,MATCH(AW$8,'Калькуляция (МИ)'!$AJ$8:$BC$8,0)),'Калькуляция (МИ)'!$F$25:$F$459,$F79,'Калькуляция (МИ)'!$G$25:$G$459,$G79))))</f>
        <v>0</v>
      </c>
      <c r="AX79" s="263">
        <f>IF(AV79=0,0,(AW79-AV79)/AV79*100)</f>
        <v>0</v>
      </c>
      <c r="AY79" s="3429">
        <f>IF(AND(method_reg="Метод индексации",god&lt;&gt;first_year),_xlfn.SUMIFS(INDEX('Калькуляция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(МИ)'!$AJ$25:$BC$459,,MATCH(AY$8,'Калькуляция (МИ)'!$AJ$8:$BC$8,0)),'Калькуляция (МИ)'!$F$25:$F$459,$F79,'Калькуляция (МИ)'!$G$25:$G$459,$G79))))</f>
        <v>0</v>
      </c>
      <c r="AZ79" s="3429">
        <f>IF(AND(method_reg="Метод индексации",god&lt;&gt;first_year),_xlfn.SUMIFS(INDEX('Калькуляция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(МИ)'!$AJ$25:$BC$459,,MATCH(AZ$8,'Калькуляция (МИ)'!$AJ$8:$BC$8,0)),'Калькуляция (МИ)'!$F$25:$F$459,$F79,'Калькуляция (МИ)'!$G$25:$G$459,$G79))))</f>
        <v>0</v>
      </c>
      <c r="BA79" s="263">
        <f>IF(AY79=0,0,(AZ79-AY79)/AY79*100)</f>
        <v>0</v>
      </c>
      <c r="BB79" s="3429">
        <f>IF(AND(method_reg="Метод индексации",god&lt;&gt;first_year),_xlfn.SUMIFS(INDEX('Калькуляция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(МИ)'!$AJ$25:$BC$459,,MATCH(BB$8,'Калькуляция (МИ)'!$AJ$8:$BC$8,0)),'Калькуляция (МИ)'!$F$25:$F$459,$F79,'Калькуляция (МИ)'!$G$25:$G$459,$G79))))</f>
        <v>0</v>
      </c>
      <c r="BC79" s="3429">
        <f>IF(AND(method_reg="Метод индексации",god&lt;&gt;first_year),_xlfn.SUMIFS(INDEX('Калькуляция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(МИ)'!$AJ$25:$BC$459,,MATCH(BC$8,'Калькуляция (МИ)'!$AJ$8:$BC$8,0)),'Калькуляция (МИ)'!$F$25:$F$459,$F79,'Калькуляция (МИ)'!$G$25:$G$459,$G79))))</f>
        <v>0</v>
      </c>
      <c r="BD79" s="263">
        <f>IF(BB79=0,0,(BC79-BB79)/BB79*100)</f>
        <v>0</v>
      </c>
      <c r="BE79" s="3429">
        <f>IF(AND(method_reg="Метод индексации",god&lt;&gt;first_year),_xlfn.SUMIFS(INDEX('Калькуляция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расходов",_xlfn.SUMIFS('Калькуляция (МЭОР)'!$AJ$25:$AJ$282,'Калькуляция (МЭОР)'!$F$25:$F$282,$F79,'Калькуляция (МЭОР)'!$G$25:$G$282,$G79),IF(method_reg="Метод сравнения аналогов",_xlfn.SUMIFS('Калькуляция (МСА)'!$AE$25:$AE$84,'Калькуляция (МСА)'!$F$25:$F$84,$F79,'Калькуляция (МСА)'!$G$25:$G$84,$G79),_xlfn.SUMIFS(INDEX('Калькуляция (МИ)'!$AJ$25:$BC$459,,MATCH(BE$8,'Калькуляция (МИ)'!$AJ$8:$BC$8,0)),'Калькуляция (МИ)'!$F$25:$F$459,$F79,'Калькуляция (МИ)'!$G$25:$G$459,$G79))))</f>
        <v>0</v>
      </c>
      <c r="BF79" s="3429">
        <f>IF(AND(method_reg="Метод индексации",god&lt;&gt;first_year),_xlfn.SUMIFS(INDEX('Калькуляция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расходов",_xlfn.SUMIFS('Калькуляция (МЭОР)'!$AK$25:$AK$282,'Калькуляция (МЭОР)'!$F$25:$F$282,$F79,'Калькуляция (МЭОР)'!$G$25:$G$282,$G79),IF(method_reg="Метод сравнения аналогов",_xlfn.SUMIFS('Калькуляция (МСА)'!$AF$25:$AF$84,'Калькуляция (МСА)'!$F$25:$F$84,$F79,'Калькуляция (МСА)'!$G$25:$G$84,$G79),_xlfn.SUMIFS(INDEX('Калькуляция (МИ)'!$AJ$25:$BC$459,,MATCH(BF$8,'Калькуляция (МИ)'!$AJ$8:$BC$8,0)),'Калькуляция (МИ)'!$F$25:$F$459,$F79,'Калькуляция (МИ)'!$G$25:$G$459,$G79))))</f>
        <v>0</v>
      </c>
      <c r="BG79" s="263">
        <f>IF(BE79=0,0,(BF79-BE79)/BE79*100)</f>
        <v>0</v>
      </c>
      <c r="BH79" s="3429"/>
      <c r="BI79" s="3429"/>
      <c r="BJ79" s="263">
        <f>IF(BH79=0,0,(BI79-BH79)/BH79*100)</f>
        <v>0</v>
      </c>
      <c r="BK79" s="3429"/>
      <c r="BL79" s="3429"/>
      <c r="BM79" s="263">
        <f>IF(BK79=0,0,(BL79-BK79)/BK79*100)</f>
        <v>0</v>
      </c>
      <c r="BN79" s="3429"/>
      <c r="BO79" s="3429"/>
      <c r="BP79" s="263">
        <f>IF(BN79=0,0,(BO79-BN79)/BN79*100)</f>
        <v>0</v>
      </c>
      <c r="BQ79" s="3429"/>
      <c r="BR79" s="3429"/>
      <c r="BS79" s="263">
        <f>IF(BQ79=0,0,(BR79-BQ79)/BQ79*100)</f>
        <v>0</v>
      </c>
      <c r="BT79" s="3429"/>
      <c r="BU79" s="3429"/>
      <c r="BV79" s="263">
        <f>IF(BT79=0,0,(BU79-BT79)/BT79*100)</f>
        <v>0</v>
      </c>
      <c r="BW79" s="3429"/>
      <c r="BX79" s="3429"/>
      <c r="BY79" s="263">
        <f>IF(BW79=0,0,(BX79-BW79)/BW79*100)</f>
        <v>0</v>
      </c>
      <c r="BZ79" s="3429"/>
      <c r="CA79" s="3429"/>
      <c r="CB79" s="263">
        <f>IF(BZ79=0,0,(CA79-BZ79)/BZ79*100)</f>
        <v>0</v>
      </c>
      <c r="CC79" s="3429"/>
      <c r="CD79" s="3429"/>
      <c r="CE79" s="263">
        <f>IF(CC79=0,0,(CD79-CC79)/CC79*100)</f>
        <v>0</v>
      </c>
      <c r="CF79" s="3429"/>
      <c r="CG79" s="3429"/>
      <c r="CH79" s="263">
        <f>IF(CF79=0,0,(CG79-CF79)/CF79*100)</f>
        <v>0</v>
      </c>
      <c r="CI79" s="3429"/>
      <c r="CJ79" s="3429"/>
      <c r="CK79" s="263">
        <f>IF(CI79=0,0,(CJ79-CI79)/CI79*100)</f>
        <v>0</v>
      </c>
      <c r="CL79" s="3429"/>
      <c r="CM79" s="3429"/>
      <c r="CN79" s="263">
        <f>IF(CL79=0,0,(CM79-CL79)/CL79*100)</f>
        <v>0</v>
      </c>
      <c r="CO79" s="3429"/>
      <c r="CP79" s="3429"/>
      <c r="CQ79" s="263">
        <f>IF(CO79=0,0,(CP79-CO79)/CO79*100)</f>
        <v>0</v>
      </c>
      <c r="CR79" s="3429"/>
      <c r="CS79" s="3429"/>
      <c r="CT79" s="263">
        <f>IF(CR79=0,0,(CS79-CR79)/CR79*100)</f>
        <v>0</v>
      </c>
      <c r="CU79" s="3429"/>
      <c r="CV79" s="3429"/>
      <c r="CW79" s="263">
        <f>IF(CU79=0,0,(CV79-CU79)/CU79*100)</f>
        <v>0</v>
      </c>
      <c r="CX79" s="3429"/>
      <c r="CY79" s="3429"/>
      <c r="CZ79" s="263">
        <f>IF(CX79=0,0,(CY79-CX79)/CX79*100)</f>
        <v>0</v>
      </c>
      <c r="DA79" s="3429"/>
      <c r="DB79" s="3429"/>
      <c r="DC79" s="263">
        <f>IF(DA79=0,0,(DB79-DA79)/DA79*100)</f>
        <v>0</v>
      </c>
      <c r="DD79" s="3429"/>
      <c r="DE79" s="3429"/>
      <c r="DF79" s="263">
        <f>IF(DD79=0,0,(DE79-DD79)/DD79*100)</f>
        <v>0</v>
      </c>
      <c r="DG79" s="3429"/>
      <c r="DH79" s="3429"/>
      <c r="DI79" s="263">
        <f>IF(DG79=0,0,(DH79-DG79)/DG79*100)</f>
        <v>0</v>
      </c>
      <c r="DJ79" s="3429"/>
      <c r="DK79" s="3429"/>
      <c r="DL79" s="263">
        <f>IF(DJ79=0,0,(DK79-DJ79)/DJ79*100)</f>
        <v>0</v>
      </c>
      <c r="DM79" s="3429"/>
      <c r="DN79" s="3429"/>
      <c r="DO79" s="263">
        <f>IF(DM79=0,0,(DN79-DM79)/DM79*100)</f>
        <v>0</v>
      </c>
      <c r="DP79" s="3429"/>
      <c r="DQ79" s="3429"/>
      <c r="DR79" s="263">
        <f>IF(DP79=0,0,(DQ79-DP79)/DP79*100)</f>
        <v>0</v>
      </c>
      <c r="DS79" s="3429"/>
      <c r="DT79" s="3429"/>
      <c r="DU79" s="263">
        <f>IF(DS79=0,0,(DT79-DS79)/DS79*100)</f>
        <v>0</v>
      </c>
      <c r="DV79" s="3429"/>
      <c r="DW79" s="3429"/>
      <c r="DX79" s="263">
        <f>IF(DV79=0,0,(DW79-DV79)/DV79*100)</f>
        <v>0</v>
      </c>
      <c r="DY79" s="3429"/>
      <c r="DZ79" s="3429"/>
      <c r="EA79" s="263">
        <f>IF(DY79=0,0,(DZ79-DY79)/DY79*100)</f>
        <v>0</v>
      </c>
      <c r="EB79" s="3429"/>
      <c r="EC79" s="3429"/>
      <c r="ED79" s="263">
        <f>IF(EB79=0,0,(EC79-EB79)/EB79*100)</f>
        <v>0</v>
      </c>
      <c r="EE79" s="3429"/>
      <c r="EF79" s="3429"/>
      <c r="EG79" s="263">
        <f>IF(EE79=0,0,(EF79-EE79)/EE79*100)</f>
        <v>0</v>
      </c>
      <c r="EH79" s="3429"/>
      <c r="EI79" s="3429"/>
      <c r="EJ79" s="263">
        <f>IF(EH79=0,0,(EI79-EH79)/EH79*100)</f>
        <v>0</v>
      </c>
      <c r="EK79" s="3429"/>
      <c r="EL79" s="3429"/>
      <c r="EM79" s="263">
        <f>IF(EK79=0,0,(EL79-EK79)/EK79*100)</f>
        <v>0</v>
      </c>
      <c r="EN79" s="3429"/>
      <c r="EO79" s="3429"/>
      <c r="EP79" s="263">
        <f>IF(EN79=0,0,(EO79-EN79)/EN79*100)</f>
        <v>0</v>
      </c>
      <c r="EQ79" s="3429"/>
      <c r="ER79" s="3429"/>
      <c r="ES79" s="263">
        <f>IF(EQ79=0,0,(ER79-EQ79)/EQ79*100)</f>
        <v>0</v>
      </c>
      <c r="ET79" s="3429"/>
      <c r="EU79" s="3429"/>
      <c r="EV79" s="263">
        <f>IF(ET79=0,0,(EU79-ET79)/ET79*100)</f>
        <v>0</v>
      </c>
      <c r="EW79" s="3429"/>
      <c r="EX79" s="3429"/>
      <c r="EY79" s="263">
        <f>IF(EW79=0,0,(EX79-EW79)/EW79*100)</f>
        <v>0</v>
      </c>
      <c r="EZ79" s="3429"/>
      <c r="FA79" s="3429"/>
      <c r="FB79" s="263">
        <f>IF(EZ79=0,0,(FA79-EZ79)/EZ79*100)</f>
        <v>0</v>
      </c>
      <c r="FC79" s="3429"/>
      <c r="FD79" s="3429"/>
      <c r="FE79" s="263">
        <f>IF(FC79=0,0,(FD79-FC79)/FC79*100)</f>
        <v>0</v>
      </c>
      <c r="FF79" s="3429"/>
      <c r="FG79" s="3429"/>
      <c r="FH79" s="263">
        <f>IF(FF79=0,0,(FG79-FF79)/FF79*100)</f>
        <v>0</v>
      </c>
      <c r="FI79" s="3429"/>
      <c r="FJ79" s="3429"/>
      <c r="FK79" s="263">
        <f>IF(FI79=0,0,(FJ79-FI79)/FI79*100)</f>
        <v>0</v>
      </c>
      <c r="FL79" s="3429"/>
      <c r="FM79" s="3429"/>
      <c r="FN79" s="263">
        <f>IF(FL79=0,0,(FM79-FL79)/FL79*100)</f>
        <v>0</v>
      </c>
      <c r="FO79" s="3429"/>
      <c r="FP79" s="3429"/>
      <c r="FQ79" s="263">
        <f>IF(FO79=0,0,(FP79-FO79)/FO79*100)</f>
        <v>0</v>
      </c>
      <c r="FR79" s="3429"/>
      <c r="FS79" s="3429"/>
      <c r="FT79" s="263">
        <f>IF(FR79=0,0,(FS79-FR79)/FR79*100)</f>
        <v>0</v>
      </c>
      <c r="FU79" s="3429"/>
      <c r="FV79" s="3429"/>
      <c r="FW79" s="263">
        <f>IF(FU79=0,0,(FV79-FU79)/FU79*100)</f>
        <v>0</v>
      </c>
      <c r="FX79" s="259"/>
      <c r="FY79" s="259"/>
      <c r="FZ79" s="1039" t="s">
        <v>1572</v>
      </c>
      <c r="GA79" s="1039"/>
      <c r="GB79" s="1039"/>
      <c r="GC79" s="1040"/>
      <c r="GD79" s="1040"/>
    </row>
    <row customHeight="1" ht="14.625" hidden="1">
      <c r="A80" s="467"/>
      <c r="B80" s="907" cm="1" t="str">
        <f t="array" ref="B80:B80">B79</f>
        <v>false</v>
      </c>
      <c r="C80" s="467"/>
      <c r="D80" s="467"/>
      <c r="E80" s="822">
        <v>15</v>
      </c>
      <c r="F80" s="50" cm="1" t="str">
        <f t="array" ref="F80:F80">OFFSET(E80,-1,1)</f>
        <v>0</v>
      </c>
      <c r="G80" s="467"/>
      <c r="H80" s="467" t="s">
        <v>445</v>
      </c>
      <c r="I80" s="467"/>
      <c r="J80" s="467"/>
      <c r="K80" s="467"/>
      <c r="L80" s="467"/>
      <c r="M80" s="467"/>
      <c r="N80" s="467"/>
      <c r="O80" s="467"/>
      <c r="P80" s="467"/>
      <c r="Q80" s="467"/>
      <c r="R80" s="467"/>
      <c r="S80" s="467"/>
      <c r="T80" s="439" cm="1" t="str">
        <f t="array" ref="T80:T80">T79</f>
        <v>false</v>
      </c>
      <c r="U80" s="467"/>
      <c r="V80" s="467"/>
      <c r="W80" s="467"/>
      <c r="X80" s="1534"/>
      <c r="Y80" s="467"/>
      <c r="Z80" s="1464"/>
      <c r="AA80" s="467"/>
      <c r="AB80" s="1073" t="s">
        <v>1573</v>
      </c>
      <c r="AC80" s="747" t="s">
        <v>437</v>
      </c>
      <c r="AD80" s="1077">
        <f>IF(AD78=0,0,AD79/AD78)*100</f>
        <v>0</v>
      </c>
      <c r="AE80" s="1077">
        <f>IF(AE78=0,0,AE79/AE78)*100</f>
        <v>0</v>
      </c>
      <c r="AF80" s="1094"/>
      <c r="AG80" s="1077">
        <f>IF(AG78=0,0,AG79/AG78)*100</f>
        <v>0</v>
      </c>
      <c r="AH80" s="1077">
        <f>IF(AH78=0,0,AH79/AH78)*100</f>
        <v>0</v>
      </c>
      <c r="AI80" s="1094"/>
      <c r="AJ80" s="1077">
        <f>IF(AJ78=0,0,AJ79/AJ78)*100</f>
        <v>0</v>
      </c>
      <c r="AK80" s="1077">
        <f>IF(AK78=0,0,AK79/AK78)*100</f>
        <v>0</v>
      </c>
      <c r="AL80" s="1094"/>
      <c r="AM80" s="1077">
        <f>IF(AM78=0,0,AM79/AM78)*100</f>
        <v>0</v>
      </c>
      <c r="AN80" s="1077">
        <f>IF(AN78=0,0,AN79/AN78)*100</f>
        <v>0</v>
      </c>
      <c r="AO80" s="1094"/>
      <c r="AP80" s="1077">
        <f>IF(AP78=0,0,AP79/AP78)*100</f>
        <v>0</v>
      </c>
      <c r="AQ80" s="1077">
        <f>IF(AQ78=0,0,AQ79/AQ78)*100</f>
        <v>0</v>
      </c>
      <c r="AR80" s="1094"/>
      <c r="AS80" s="1077">
        <f>IF(AS78=0,0,AS79/AS78)*100</f>
        <v>0</v>
      </c>
      <c r="AT80" s="1077">
        <f>IF(AT78=0,0,AT79/AT78)*100</f>
        <v>0</v>
      </c>
      <c r="AU80" s="1094"/>
      <c r="AV80" s="1077">
        <f>IF(AV78=0,0,AV79/AV78)*100</f>
        <v>0</v>
      </c>
      <c r="AW80" s="1077">
        <f>IF(AW78=0,0,AW79/AW78)*100</f>
        <v>0</v>
      </c>
      <c r="AX80" s="1094"/>
      <c r="AY80" s="1077">
        <f>IF(AY78=0,0,AY79/AY78)*100</f>
        <v>0</v>
      </c>
      <c r="AZ80" s="1077">
        <f>IF(AZ78=0,0,AZ79/AZ78)*100</f>
        <v>0</v>
      </c>
      <c r="BA80" s="1094"/>
      <c r="BB80" s="1077">
        <f>IF(BB78=0,0,BB79/BB78)*100</f>
        <v>0</v>
      </c>
      <c r="BC80" s="1077">
        <f>IF(BC78=0,0,BC79/BC78)*100</f>
        <v>0</v>
      </c>
      <c r="BD80" s="1094"/>
      <c r="BE80" s="1077">
        <f>IF(BE78=0,0,BE79/BE78)*100</f>
        <v>0</v>
      </c>
      <c r="BF80" s="1077">
        <f>IF(BF78=0,0,BF79/BF78)*100</f>
        <v>0</v>
      </c>
      <c r="BG80" s="1094"/>
      <c r="BH80" s="1077">
        <f>IF(BH78=0,0,BH79/BH78)*100</f>
        <v>0</v>
      </c>
      <c r="BI80" s="1077">
        <f>IF(BI78=0,0,BI79/BI78)*100</f>
        <v>0</v>
      </c>
      <c r="BJ80" s="1094"/>
      <c r="BK80" s="1077">
        <f>IF(BK78=0,0,BK79/BK78)*100</f>
        <v>0</v>
      </c>
      <c r="BL80" s="1077">
        <f>IF(BL78=0,0,BL79/BL78)*100</f>
        <v>0</v>
      </c>
      <c r="BM80" s="1094"/>
      <c r="BN80" s="1077">
        <f>IF(BN78=0,0,BN79/BN78)*100</f>
        <v>0</v>
      </c>
      <c r="BO80" s="1077">
        <f>IF(BO78=0,0,BO79/BO78)*100</f>
        <v>0</v>
      </c>
      <c r="BP80" s="1094"/>
      <c r="BQ80" s="1077">
        <f>IF(BQ78=0,0,BQ79/BQ78)*100</f>
        <v>0</v>
      </c>
      <c r="BR80" s="1077">
        <f>IF(BR78=0,0,BR79/BR78)*100</f>
        <v>0</v>
      </c>
      <c r="BS80" s="1094"/>
      <c r="BT80" s="1077">
        <f>IF(BT78=0,0,BT79/BT78)*100</f>
        <v>0</v>
      </c>
      <c r="BU80" s="1077">
        <f>IF(BU78=0,0,BU79/BU78)*100</f>
        <v>0</v>
      </c>
      <c r="BV80" s="1094"/>
      <c r="BW80" s="1077">
        <f>IF(BW78=0,0,BW79/BW78)*100</f>
        <v>0</v>
      </c>
      <c r="BX80" s="1077">
        <f>IF(BX78=0,0,BX79/BX78)*100</f>
        <v>0</v>
      </c>
      <c r="BY80" s="1094"/>
      <c r="BZ80" s="1077">
        <f>IF(BZ78=0,0,BZ79/BZ78)*100</f>
        <v>0</v>
      </c>
      <c r="CA80" s="1077">
        <f>IF(CA78=0,0,CA79/CA78)*100</f>
        <v>0</v>
      </c>
      <c r="CB80" s="1094"/>
      <c r="CC80" s="1077">
        <f>IF(CC78=0,0,CC79/CC78)*100</f>
        <v>0</v>
      </c>
      <c r="CD80" s="1077">
        <f>IF(CD78=0,0,CD79/CD78)*100</f>
        <v>0</v>
      </c>
      <c r="CE80" s="1094"/>
      <c r="CF80" s="1077">
        <f>IF(CF78=0,0,CF79/CF78)*100</f>
        <v>0</v>
      </c>
      <c r="CG80" s="1077">
        <f>IF(CG78=0,0,CG79/CG78)*100</f>
        <v>0</v>
      </c>
      <c r="CH80" s="1094"/>
      <c r="CI80" s="1077">
        <f>IF(CI78=0,0,CI79/CI78)*100</f>
        <v>0</v>
      </c>
      <c r="CJ80" s="1077">
        <f>IF(CJ78=0,0,CJ79/CJ78)*100</f>
        <v>0</v>
      </c>
      <c r="CK80" s="1094"/>
      <c r="CL80" s="1077">
        <f>IF(CL78=0,0,CL79/CL78)*100</f>
        <v>0</v>
      </c>
      <c r="CM80" s="1077">
        <f>IF(CM78=0,0,CM79/CM78)*100</f>
        <v>0</v>
      </c>
      <c r="CN80" s="1094"/>
      <c r="CO80" s="1077">
        <f>IF(CO78=0,0,CO79/CO78)*100</f>
        <v>0</v>
      </c>
      <c r="CP80" s="1077">
        <f>IF(CP78=0,0,CP79/CP78)*100</f>
        <v>0</v>
      </c>
      <c r="CQ80" s="1094"/>
      <c r="CR80" s="1077">
        <f>IF(CR78=0,0,CR79/CR78)*100</f>
        <v>0</v>
      </c>
      <c r="CS80" s="1077">
        <f>IF(CS78=0,0,CS79/CS78)*100</f>
        <v>0</v>
      </c>
      <c r="CT80" s="1094"/>
      <c r="CU80" s="1077">
        <f>IF(CU78=0,0,CU79/CU78)*100</f>
        <v>0</v>
      </c>
      <c r="CV80" s="1077">
        <f>IF(CV78=0,0,CV79/CV78)*100</f>
        <v>0</v>
      </c>
      <c r="CW80" s="1094"/>
      <c r="CX80" s="1077">
        <f>IF(CX78=0,0,CX79/CX78)*100</f>
        <v>0</v>
      </c>
      <c r="CY80" s="1077">
        <f>IF(CY78=0,0,CY79/CY78)*100</f>
        <v>0</v>
      </c>
      <c r="CZ80" s="1094"/>
      <c r="DA80" s="1077">
        <f>IF(DA78=0,0,DA79/DA78)*100</f>
        <v>0</v>
      </c>
      <c r="DB80" s="1077">
        <f>IF(DB78=0,0,DB79/DB78)*100</f>
        <v>0</v>
      </c>
      <c r="DC80" s="1094"/>
      <c r="DD80" s="1077">
        <f>IF(DD78=0,0,DD79/DD78)*100</f>
        <v>0</v>
      </c>
      <c r="DE80" s="1077">
        <f>IF(DE78=0,0,DE79/DE78)*100</f>
        <v>0</v>
      </c>
      <c r="DF80" s="1094"/>
      <c r="DG80" s="1077">
        <f>IF(DG78=0,0,DG79/DG78)*100</f>
        <v>0</v>
      </c>
      <c r="DH80" s="1077">
        <f>IF(DH78=0,0,DH79/DH78)*100</f>
        <v>0</v>
      </c>
      <c r="DI80" s="1094"/>
      <c r="DJ80" s="1077">
        <f>IF(DJ78=0,0,DJ79/DJ78)*100</f>
        <v>0</v>
      </c>
      <c r="DK80" s="1077">
        <f>IF(DK78=0,0,DK79/DK78)*100</f>
        <v>0</v>
      </c>
      <c r="DL80" s="1094"/>
      <c r="DM80" s="1077">
        <f>IF(DM78=0,0,DM79/DM78)*100</f>
        <v>0</v>
      </c>
      <c r="DN80" s="1077">
        <f>IF(DN78=0,0,DN79/DN78)*100</f>
        <v>0</v>
      </c>
      <c r="DO80" s="1094"/>
      <c r="DP80" s="1077">
        <f>IF(DP78=0,0,DP79/DP78)*100</f>
        <v>0</v>
      </c>
      <c r="DQ80" s="1077">
        <f>IF(DQ78=0,0,DQ79/DQ78)*100</f>
        <v>0</v>
      </c>
      <c r="DR80" s="1094"/>
      <c r="DS80" s="1077">
        <f>IF(DS78=0,0,DS79/DS78)*100</f>
        <v>0</v>
      </c>
      <c r="DT80" s="1077">
        <f>IF(DT78=0,0,DT79/DT78)*100</f>
        <v>0</v>
      </c>
      <c r="DU80" s="1094"/>
      <c r="DV80" s="1077">
        <f>IF(DV78=0,0,DV79/DV78)*100</f>
        <v>0</v>
      </c>
      <c r="DW80" s="1077">
        <f>IF(DW78=0,0,DW79/DW78)*100</f>
        <v>0</v>
      </c>
      <c r="DX80" s="1094"/>
      <c r="DY80" s="1077">
        <f>IF(DY78=0,0,DY79/DY78)*100</f>
        <v>0</v>
      </c>
      <c r="DZ80" s="1077">
        <f>IF(DZ78=0,0,DZ79/DZ78)*100</f>
        <v>0</v>
      </c>
      <c r="EA80" s="1094"/>
      <c r="EB80" s="1077">
        <f>IF(EB78=0,0,EB79/EB78)*100</f>
        <v>0</v>
      </c>
      <c r="EC80" s="1077">
        <f>IF(EC78=0,0,EC79/EC78)*100</f>
        <v>0</v>
      </c>
      <c r="ED80" s="1094"/>
      <c r="EE80" s="1077">
        <f>IF(EE78=0,0,EE79/EE78)*100</f>
        <v>0</v>
      </c>
      <c r="EF80" s="1077">
        <f>IF(EF78=0,0,EF79/EF78)*100</f>
        <v>0</v>
      </c>
      <c r="EG80" s="1094"/>
      <c r="EH80" s="1077">
        <f>IF(EH78=0,0,EH79/EH78)*100</f>
        <v>0</v>
      </c>
      <c r="EI80" s="1077">
        <f>IF(EI78=0,0,EI79/EI78)*100</f>
        <v>0</v>
      </c>
      <c r="EJ80" s="1094"/>
      <c r="EK80" s="1077">
        <f>IF(EK78=0,0,EK79/EK78)*100</f>
        <v>0</v>
      </c>
      <c r="EL80" s="1077">
        <f>IF(EL78=0,0,EL79/EL78)*100</f>
        <v>0</v>
      </c>
      <c r="EM80" s="1094"/>
      <c r="EN80" s="1077">
        <f>IF(EN78=0,0,EN79/EN78)*100</f>
        <v>0</v>
      </c>
      <c r="EO80" s="1077">
        <f>IF(EO78=0,0,EO79/EO78)*100</f>
        <v>0</v>
      </c>
      <c r="EP80" s="1094"/>
      <c r="EQ80" s="1077">
        <f>IF(EQ78=0,0,EQ79/EQ78)*100</f>
        <v>0</v>
      </c>
      <c r="ER80" s="1077">
        <f>IF(ER78=0,0,ER79/ER78)*100</f>
        <v>0</v>
      </c>
      <c r="ES80" s="1094"/>
      <c r="ET80" s="1077">
        <f>IF(ET78=0,0,ET79/ET78)*100</f>
        <v>0</v>
      </c>
      <c r="EU80" s="1077">
        <f>IF(EU78=0,0,EU79/EU78)*100</f>
        <v>0</v>
      </c>
      <c r="EV80" s="1094"/>
      <c r="EW80" s="1077">
        <f>IF(EW78=0,0,EW79/EW78)*100</f>
        <v>0</v>
      </c>
      <c r="EX80" s="1077">
        <f>IF(EX78=0,0,EX79/EX78)*100</f>
        <v>0</v>
      </c>
      <c r="EY80" s="1094"/>
      <c r="EZ80" s="1077">
        <f>IF(EZ78=0,0,EZ79/EZ78)*100</f>
        <v>0</v>
      </c>
      <c r="FA80" s="1077">
        <f>IF(FA78=0,0,FA79/FA78)*100</f>
        <v>0</v>
      </c>
      <c r="FB80" s="1094"/>
      <c r="FC80" s="1077">
        <f>IF(FC78=0,0,FC79/FC78)*100</f>
        <v>0</v>
      </c>
      <c r="FD80" s="1077">
        <f>IF(FD78=0,0,FD79/FD78)*100</f>
        <v>0</v>
      </c>
      <c r="FE80" s="1094"/>
      <c r="FF80" s="1077">
        <f>IF(FF78=0,0,FF79/FF78)*100</f>
        <v>0</v>
      </c>
      <c r="FG80" s="1077">
        <f>IF(FG78=0,0,FG79/FG78)*100</f>
        <v>0</v>
      </c>
      <c r="FH80" s="1094"/>
      <c r="FI80" s="1077">
        <f>IF(FI78=0,0,FI79/FI78)*100</f>
        <v>0</v>
      </c>
      <c r="FJ80" s="1077">
        <f>IF(FJ78=0,0,FJ79/FJ78)*100</f>
        <v>0</v>
      </c>
      <c r="FK80" s="1094"/>
      <c r="FL80" s="1077">
        <f>IF(FL78=0,0,FL79/FL78)*100</f>
        <v>0</v>
      </c>
      <c r="FM80" s="1077">
        <f>IF(FM78=0,0,FM79/FM78)*100</f>
        <v>0</v>
      </c>
      <c r="FN80" s="1094"/>
      <c r="FO80" s="1077">
        <f>IF(FO78=0,0,FO79/FO78)*100</f>
        <v>0</v>
      </c>
      <c r="FP80" s="1077">
        <f>IF(FP78=0,0,FP79/FP78)*100</f>
        <v>0</v>
      </c>
      <c r="FQ80" s="1094"/>
      <c r="FR80" s="1077">
        <f>IF(FR78=0,0,FR79/FR78)*100</f>
        <v>0</v>
      </c>
      <c r="FS80" s="1077">
        <f>IF(FS78=0,0,FS79/FS78)*100</f>
        <v>0</v>
      </c>
      <c r="FT80" s="1094"/>
      <c r="FU80" s="1077">
        <f>IF(FU78=0,0,FU79/FU78)*100</f>
        <v>0</v>
      </c>
      <c r="FV80" s="1077">
        <f>IF(FV78=0,0,FV79/FV78)*100</f>
        <v>0</v>
      </c>
      <c r="FW80" s="1095"/>
      <c r="FX80" s="259"/>
      <c r="FY80" s="676"/>
      <c r="FZ80" s="1039" t="s">
        <v>1574</v>
      </c>
      <c r="GA80" s="1061"/>
      <c r="GB80" s="1061"/>
      <c r="GC80" s="697"/>
      <c r="GD80" s="697"/>
    </row>
    <row customHeight="1" ht="14.625" hidden="1">
      <c r="A81" s="467"/>
      <c r="B81" s="907" cm="1" t="str">
        <f t="array" ref="B81:B81">B80</f>
        <v>false</v>
      </c>
      <c r="C81" s="467"/>
      <c r="D81" s="467"/>
      <c r="E81" s="822">
        <v>15</v>
      </c>
      <c r="F81" s="50" cm="1" t="str">
        <f t="array" ref="F81:F81">OFFSET(E81,-1,1)</f>
        <v>0</v>
      </c>
      <c r="G81" s="73" t="s">
        <v>1503</v>
      </c>
      <c r="H81" s="467"/>
      <c r="I81" s="467"/>
      <c r="J81" s="467"/>
      <c r="K81" s="467"/>
      <c r="L81" s="467"/>
      <c r="M81" s="467"/>
      <c r="N81" s="467"/>
      <c r="O81" s="467"/>
      <c r="P81" s="467"/>
      <c r="Q81" s="467"/>
      <c r="R81" s="467"/>
      <c r="S81" s="467"/>
      <c r="T81" s="439" cm="1" t="str">
        <f t="array" ref="T81:T81">T80</f>
        <v>false</v>
      </c>
      <c r="U81" s="467"/>
      <c r="V81" s="467"/>
      <c r="W81" s="467"/>
      <c r="X81" s="1534"/>
      <c r="Y81" s="467"/>
      <c r="Z81" s="1464"/>
      <c r="AA81" s="467"/>
      <c r="AB81" s="882" t="s">
        <v>1504</v>
      </c>
      <c r="AC81" s="846" t="s">
        <v>512</v>
      </c>
      <c r="AD81" s="3404">
        <f>IF(AND(method_reg="Метод индексации",god&lt;&gt;first_year),_xlfn.SUMIFS(INDEX('Калькуляция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(МИ)'!$AJ$25:$BC$459,,MATCH(AD$8,'Калькуляция (МИ)'!$AJ$8:$BC$8,0)),'Калькуляция (МИ)'!$F$25:$F$459,$F81,'Калькуляция (МИ)'!$G$25:$G$459,$G81))))</f>
        <v>0</v>
      </c>
      <c r="AE81" s="3404">
        <f>IF(AND(method_reg="Метод индексации",god&lt;&gt;first_year),_xlfn.SUMIFS(INDEX('Калькуляция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(МИ)'!$AJ$25:$BC$459,,MATCH(AE$8,'Калькуляция (МИ)'!$AJ$8:$BC$8,0)),'Калькуляция (МИ)'!$F$25:$F$459,$F81,'Калькуляция (МИ)'!$G$25:$G$459,$G81))))</f>
        <v>0</v>
      </c>
      <c r="AF81" s="1080">
        <f>IF(AD81=0,0,(AE81-AD81)/AD81*100)</f>
        <v>0</v>
      </c>
      <c r="AG81" s="3404">
        <f>IF(AND(method_reg="Метод индексации",god&lt;&gt;first_year),_xlfn.SUMIFS(INDEX('Калькуляция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(МИ)'!$AJ$25:$BC$459,,MATCH(AG$8,'Калькуляция (МИ)'!$AJ$8:$BC$8,0)),'Калькуляция (МИ)'!$F$25:$F$459,$F81,'Калькуляция (МИ)'!$G$25:$G$459,$G81))))</f>
        <v>0</v>
      </c>
      <c r="AH81" s="3404">
        <f>IF(AND(method_reg="Метод индексации",god&lt;&gt;first_year),_xlfn.SUMIFS(INDEX('Калькуляция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(МИ)'!$AJ$25:$BC$459,,MATCH(AH$8,'Калькуляция (МИ)'!$AJ$8:$BC$8,0)),'Калькуляция (МИ)'!$F$25:$F$459,$F81,'Калькуляция (МИ)'!$G$25:$G$459,$G81))))</f>
        <v>0</v>
      </c>
      <c r="AI81" s="1080">
        <f>IF(AG81=0,0,(AH81-AG81)/AG81*100)</f>
        <v>0</v>
      </c>
      <c r="AJ81" s="3404">
        <f>IF(AND(method_reg="Метод индексации",god&lt;&gt;first_year),_xlfn.SUMIFS(INDEX('Калькуляция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(МИ)'!$AJ$25:$BC$459,,MATCH(AJ$8,'Калькуляция (МИ)'!$AJ$8:$BC$8,0)),'Калькуляция (МИ)'!$F$25:$F$459,$F81,'Калькуляция (МИ)'!$G$25:$G$459,$G81))))</f>
        <v>0</v>
      </c>
      <c r="AK81" s="3404">
        <f>IF(AND(method_reg="Метод индексации",god&lt;&gt;first_year),_xlfn.SUMIFS(INDEX('Калькуляция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(МИ)'!$AJ$25:$BC$459,,MATCH(AK$8,'Калькуляция (МИ)'!$AJ$8:$BC$8,0)),'Калькуляция (МИ)'!$F$25:$F$459,$F81,'Калькуляция (МИ)'!$G$25:$G$459,$G81))))</f>
        <v>0</v>
      </c>
      <c r="AL81" s="1080">
        <f>IF(AJ81=0,0,(AK81-AJ81)/AJ81*100)</f>
        <v>0</v>
      </c>
      <c r="AM81" s="3404">
        <f>IF(AND(method_reg="Метод индексации",god&lt;&gt;first_year),_xlfn.SUMIFS(INDEX('Калькуляция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(МИ)'!$AJ$25:$BC$459,,MATCH(AM$8,'Калькуляция (МИ)'!$AJ$8:$BC$8,0)),'Калькуляция (МИ)'!$F$25:$F$459,$F81,'Калькуляция (МИ)'!$G$25:$G$459,$G81))))</f>
        <v>0</v>
      </c>
      <c r="AN81" s="3404">
        <f>IF(AND(method_reg="Метод индексации",god&lt;&gt;first_year),_xlfn.SUMIFS(INDEX('Калькуляция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(МИ)'!$AJ$25:$BC$459,,MATCH(AN$8,'Калькуляция (МИ)'!$AJ$8:$BC$8,0)),'Калькуляция (МИ)'!$F$25:$F$459,$F81,'Калькуляция (МИ)'!$G$25:$G$459,$G81))))</f>
        <v>0</v>
      </c>
      <c r="AO81" s="1080">
        <f>IF(AM81=0,0,(AN81-AM81)/AM81*100)</f>
        <v>0</v>
      </c>
      <c r="AP81" s="3404">
        <f>IF(AND(method_reg="Метод индексации",god&lt;&gt;first_year),_xlfn.SUMIFS(INDEX('Калькуляция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(МИ)'!$AJ$25:$BC$459,,MATCH(AP$8,'Калькуляция (МИ)'!$AJ$8:$BC$8,0)),'Калькуляция (МИ)'!$F$25:$F$459,$F81,'Калькуляция (МИ)'!$G$25:$G$459,$G81))))</f>
        <v>0</v>
      </c>
      <c r="AQ81" s="3404">
        <f>IF(AND(method_reg="Метод индексации",god&lt;&gt;first_year),_xlfn.SUMIFS(INDEX('Калькуляция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(МИ)'!$AJ$25:$BC$459,,MATCH(AQ$8,'Калькуляция (МИ)'!$AJ$8:$BC$8,0)),'Калькуляция (МИ)'!$F$25:$F$459,$F81,'Калькуляция (МИ)'!$G$25:$G$459,$G81))))</f>
        <v>0</v>
      </c>
      <c r="AR81" s="1080">
        <f>IF(AP81=0,0,(AQ81-AP81)/AP81*100)</f>
        <v>0</v>
      </c>
      <c r="AS81" s="3404">
        <f>IF(AND(method_reg="Метод индексации",god&lt;&gt;first_year),_xlfn.SUMIFS(INDEX('Калькуляция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(МИ)'!$AJ$25:$BC$459,,MATCH(AS$8,'Калькуляция (МИ)'!$AJ$8:$BC$8,0)),'Калькуляция (МИ)'!$F$25:$F$459,$F81,'Калькуляция (МИ)'!$G$25:$G$459,$G81))))</f>
        <v>0</v>
      </c>
      <c r="AT81" s="3404">
        <f>IF(AND(method_reg="Метод индексации",god&lt;&gt;first_year),_xlfn.SUMIFS(INDEX('Калькуляция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(МИ)'!$AJ$25:$BC$459,,MATCH(AT$8,'Калькуляция (МИ)'!$AJ$8:$BC$8,0)),'Калькуляция (МИ)'!$F$25:$F$459,$F81,'Калькуляция (МИ)'!$G$25:$G$459,$G81))))</f>
        <v>0</v>
      </c>
      <c r="AU81" s="1080">
        <f>IF(AS81=0,0,(AT81-AS81)/AS81*100)</f>
        <v>0</v>
      </c>
      <c r="AV81" s="3404">
        <f>IF(AND(method_reg="Метод индексации",god&lt;&gt;first_year),_xlfn.SUMIFS(INDEX('Калькуляция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(МИ)'!$AJ$25:$BC$459,,MATCH(AV$8,'Калькуляция (МИ)'!$AJ$8:$BC$8,0)),'Калькуляция (МИ)'!$F$25:$F$459,$F81,'Калькуляция (МИ)'!$G$25:$G$459,$G81))))</f>
        <v>0</v>
      </c>
      <c r="AW81" s="3404">
        <f>IF(AND(method_reg="Метод индексации",god&lt;&gt;first_year),_xlfn.SUMIFS(INDEX('Калькуляция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(МИ)'!$AJ$25:$BC$459,,MATCH(AW$8,'Калькуляция (МИ)'!$AJ$8:$BC$8,0)),'Калькуляция (МИ)'!$F$25:$F$459,$F81,'Калькуляция (МИ)'!$G$25:$G$459,$G81))))</f>
        <v>0</v>
      </c>
      <c r="AX81" s="1080">
        <f>IF(AV81=0,0,(AW81-AV81)/AV81*100)</f>
        <v>0</v>
      </c>
      <c r="AY81" s="3404">
        <f>IF(AND(method_reg="Метод индексации",god&lt;&gt;first_year),_xlfn.SUMIFS(INDEX('Калькуляция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(МИ)'!$AJ$25:$BC$459,,MATCH(AY$8,'Калькуляция (МИ)'!$AJ$8:$BC$8,0)),'Калькуляция (МИ)'!$F$25:$F$459,$F81,'Калькуляция (МИ)'!$G$25:$G$459,$G81))))</f>
        <v>0</v>
      </c>
      <c r="AZ81" s="3404">
        <f>IF(AND(method_reg="Метод индексации",god&lt;&gt;first_year),_xlfn.SUMIFS(INDEX('Калькуляция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(МИ)'!$AJ$25:$BC$459,,MATCH(AZ$8,'Калькуляция (МИ)'!$AJ$8:$BC$8,0)),'Калькуляция (МИ)'!$F$25:$F$459,$F81,'Калькуляция (МИ)'!$G$25:$G$459,$G81))))</f>
        <v>0</v>
      </c>
      <c r="BA81" s="1080">
        <f>IF(AY81=0,0,(AZ81-AY81)/AY81*100)</f>
        <v>0</v>
      </c>
      <c r="BB81" s="3404">
        <f>IF(AND(method_reg="Метод индексации",god&lt;&gt;first_year),_xlfn.SUMIFS(INDEX('Калькуляция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(МИ)'!$AJ$25:$BC$459,,MATCH(BB$8,'Калькуляция (МИ)'!$AJ$8:$BC$8,0)),'Калькуляция (МИ)'!$F$25:$F$459,$F81,'Калькуляция (МИ)'!$G$25:$G$459,$G81))))</f>
        <v>0</v>
      </c>
      <c r="BC81" s="3404">
        <f>IF(AND(method_reg="Метод индексации",god&lt;&gt;first_year),_xlfn.SUMIFS(INDEX('Калькуляция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(МИ)'!$AJ$25:$BC$459,,MATCH(BC$8,'Калькуляция (МИ)'!$AJ$8:$BC$8,0)),'Калькуляция (МИ)'!$F$25:$F$459,$F81,'Калькуляция (МИ)'!$G$25:$G$459,$G81))))</f>
        <v>0</v>
      </c>
      <c r="BD81" s="1080">
        <f>IF(BB81=0,0,(BC81-BB81)/BB81*100)</f>
        <v>0</v>
      </c>
      <c r="BE81" s="3404">
        <f>IF(AND(method_reg="Метод индексации",god&lt;&gt;first_year),_xlfn.SUMIFS(INDEX('Калькуляция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расходов",_xlfn.SUMIFS('Калькуляция (МЭОР)'!$AJ$25:$AJ$282,'Калькуляция (МЭОР)'!$F$25:$F$282,$F81,'Калькуляция (МЭОР)'!$G$25:$G$282,$G81),IF(method_reg="Метод сравнения аналогов",_xlfn.SUMIFS('Калькуляция (МСА)'!$AE$25:$AE$84,'Калькуляция (МСА)'!$F$25:$F$84,$F81,'Калькуляция (МСА)'!$G$25:$G$84,$G81),_xlfn.SUMIFS(INDEX('Калькуляция (МИ)'!$AJ$25:$BC$459,,MATCH(BE$8,'Калькуляция (МИ)'!$AJ$8:$BC$8,0)),'Калькуляция (МИ)'!$F$25:$F$459,$F81,'Калькуляция (МИ)'!$G$25:$G$459,$G81))))</f>
        <v>0</v>
      </c>
      <c r="BF81" s="3404">
        <f>IF(AND(method_reg="Метод индексации",god&lt;&gt;first_year),_xlfn.SUMIFS(INDEX('Калькуляция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расходов",_xlfn.SUMIFS('Калькуляция (МЭОР)'!$AK$25:$AK$282,'Калькуляция (МЭОР)'!$F$25:$F$282,$F81,'Калькуляция (МЭОР)'!$G$25:$G$282,$G81),IF(method_reg="Метод сравнения аналогов",_xlfn.SUMIFS('Калькуляция (МСА)'!$AF$25:$AF$84,'Калькуляция (МСА)'!$F$25:$F$84,$F81,'Калькуляция (МСА)'!$G$25:$G$84,$G81),_xlfn.SUMIFS(INDEX('Калькуляция (МИ)'!$AJ$25:$BC$459,,MATCH(BF$8,'Калькуляция (МИ)'!$AJ$8:$BC$8,0)),'Калькуляция (МИ)'!$F$25:$F$459,$F81,'Калькуляция (МИ)'!$G$25:$G$459,$G81))))</f>
        <v>0</v>
      </c>
      <c r="BG81" s="1080">
        <f>IF(BE81=0,0,(BF81-BE81)/BE81*100)</f>
        <v>0</v>
      </c>
      <c r="BH81" s="3404"/>
      <c r="BI81" s="3404"/>
      <c r="BJ81" s="1080">
        <f>IF(BH81=0,0,(BI81-BH81)/BH81*100)</f>
        <v>0</v>
      </c>
      <c r="BK81" s="3404"/>
      <c r="BL81" s="3404"/>
      <c r="BM81" s="1080">
        <f>IF(BK81=0,0,(BL81-BK81)/BK81*100)</f>
        <v>0</v>
      </c>
      <c r="BN81" s="3404"/>
      <c r="BO81" s="3404"/>
      <c r="BP81" s="1080">
        <f>IF(BN81=0,0,(BO81-BN81)/BN81*100)</f>
        <v>0</v>
      </c>
      <c r="BQ81" s="3404"/>
      <c r="BR81" s="3404"/>
      <c r="BS81" s="1080">
        <f>IF(BQ81=0,0,(BR81-BQ81)/BQ81*100)</f>
        <v>0</v>
      </c>
      <c r="BT81" s="3404"/>
      <c r="BU81" s="3404"/>
      <c r="BV81" s="1080">
        <f>IF(BT81=0,0,(BU81-BT81)/BT81*100)</f>
        <v>0</v>
      </c>
      <c r="BW81" s="3404"/>
      <c r="BX81" s="3404"/>
      <c r="BY81" s="1080">
        <f>IF(BW81=0,0,(BX81-BW81)/BW81*100)</f>
        <v>0</v>
      </c>
      <c r="BZ81" s="3404"/>
      <c r="CA81" s="3404"/>
      <c r="CB81" s="1080">
        <f>IF(BZ81=0,0,(CA81-BZ81)/BZ81*100)</f>
        <v>0</v>
      </c>
      <c r="CC81" s="3404"/>
      <c r="CD81" s="3404"/>
      <c r="CE81" s="1080">
        <f>IF(CC81=0,0,(CD81-CC81)/CC81*100)</f>
        <v>0</v>
      </c>
      <c r="CF81" s="3404"/>
      <c r="CG81" s="3404"/>
      <c r="CH81" s="1080">
        <f>IF(CF81=0,0,(CG81-CF81)/CF81*100)</f>
        <v>0</v>
      </c>
      <c r="CI81" s="3404"/>
      <c r="CJ81" s="3404"/>
      <c r="CK81" s="1080">
        <f>IF(CI81=0,0,(CJ81-CI81)/CI81*100)</f>
        <v>0</v>
      </c>
      <c r="CL81" s="3404"/>
      <c r="CM81" s="3404"/>
      <c r="CN81" s="1080">
        <f>IF(CL81=0,0,(CM81-CL81)/CL81*100)</f>
        <v>0</v>
      </c>
      <c r="CO81" s="3404"/>
      <c r="CP81" s="3404"/>
      <c r="CQ81" s="1080">
        <f>IF(CO81=0,0,(CP81-CO81)/CO81*100)</f>
        <v>0</v>
      </c>
      <c r="CR81" s="3404"/>
      <c r="CS81" s="3404"/>
      <c r="CT81" s="1080">
        <f>IF(CR81=0,0,(CS81-CR81)/CR81*100)</f>
        <v>0</v>
      </c>
      <c r="CU81" s="3404"/>
      <c r="CV81" s="3404"/>
      <c r="CW81" s="1080">
        <f>IF(CU81=0,0,(CV81-CU81)/CU81*100)</f>
        <v>0</v>
      </c>
      <c r="CX81" s="3404"/>
      <c r="CY81" s="3404"/>
      <c r="CZ81" s="1080">
        <f>IF(CX81=0,0,(CY81-CX81)/CX81*100)</f>
        <v>0</v>
      </c>
      <c r="DA81" s="3404"/>
      <c r="DB81" s="3404"/>
      <c r="DC81" s="1080">
        <f>IF(DA81=0,0,(DB81-DA81)/DA81*100)</f>
        <v>0</v>
      </c>
      <c r="DD81" s="3404"/>
      <c r="DE81" s="3404"/>
      <c r="DF81" s="1080">
        <f>IF(DD81=0,0,(DE81-DD81)/DD81*100)</f>
        <v>0</v>
      </c>
      <c r="DG81" s="3404"/>
      <c r="DH81" s="3404"/>
      <c r="DI81" s="1080">
        <f>IF(DG81=0,0,(DH81-DG81)/DG81*100)</f>
        <v>0</v>
      </c>
      <c r="DJ81" s="3404"/>
      <c r="DK81" s="3404"/>
      <c r="DL81" s="1080">
        <f>IF(DJ81=0,0,(DK81-DJ81)/DJ81*100)</f>
        <v>0</v>
      </c>
      <c r="DM81" s="3404"/>
      <c r="DN81" s="3404"/>
      <c r="DO81" s="1080">
        <f>IF(DM81=0,0,(DN81-DM81)/DM81*100)</f>
        <v>0</v>
      </c>
      <c r="DP81" s="3404"/>
      <c r="DQ81" s="3404"/>
      <c r="DR81" s="1080">
        <f>IF(DP81=0,0,(DQ81-DP81)/DP81*100)</f>
        <v>0</v>
      </c>
      <c r="DS81" s="3404"/>
      <c r="DT81" s="3404"/>
      <c r="DU81" s="1080">
        <f>IF(DS81=0,0,(DT81-DS81)/DS81*100)</f>
        <v>0</v>
      </c>
      <c r="DV81" s="3404"/>
      <c r="DW81" s="3404"/>
      <c r="DX81" s="1080">
        <f>IF(DV81=0,0,(DW81-DV81)/DV81*100)</f>
        <v>0</v>
      </c>
      <c r="DY81" s="3404"/>
      <c r="DZ81" s="3404"/>
      <c r="EA81" s="1080">
        <f>IF(DY81=0,0,(DZ81-DY81)/DY81*100)</f>
        <v>0</v>
      </c>
      <c r="EB81" s="3404"/>
      <c r="EC81" s="3404"/>
      <c r="ED81" s="1080">
        <f>IF(EB81=0,0,(EC81-EB81)/EB81*100)</f>
        <v>0</v>
      </c>
      <c r="EE81" s="3404"/>
      <c r="EF81" s="3404"/>
      <c r="EG81" s="1080">
        <f>IF(EE81=0,0,(EF81-EE81)/EE81*100)</f>
        <v>0</v>
      </c>
      <c r="EH81" s="3404"/>
      <c r="EI81" s="3404"/>
      <c r="EJ81" s="1080">
        <f>IF(EH81=0,0,(EI81-EH81)/EH81*100)</f>
        <v>0</v>
      </c>
      <c r="EK81" s="3404"/>
      <c r="EL81" s="3404"/>
      <c r="EM81" s="1080">
        <f>IF(EK81=0,0,(EL81-EK81)/EK81*100)</f>
        <v>0</v>
      </c>
      <c r="EN81" s="3404"/>
      <c r="EO81" s="3404"/>
      <c r="EP81" s="1080">
        <f>IF(EN81=0,0,(EO81-EN81)/EN81*100)</f>
        <v>0</v>
      </c>
      <c r="EQ81" s="3404"/>
      <c r="ER81" s="3404"/>
      <c r="ES81" s="1080">
        <f>IF(EQ81=0,0,(ER81-EQ81)/EQ81*100)</f>
        <v>0</v>
      </c>
      <c r="ET81" s="3404"/>
      <c r="EU81" s="3404"/>
      <c r="EV81" s="1080">
        <f>IF(ET81=0,0,(EU81-ET81)/ET81*100)</f>
        <v>0</v>
      </c>
      <c r="EW81" s="3404"/>
      <c r="EX81" s="3404"/>
      <c r="EY81" s="1080">
        <f>IF(EW81=0,0,(EX81-EW81)/EW81*100)</f>
        <v>0</v>
      </c>
      <c r="EZ81" s="3404"/>
      <c r="FA81" s="3404"/>
      <c r="FB81" s="1080">
        <f>IF(EZ81=0,0,(FA81-EZ81)/EZ81*100)</f>
        <v>0</v>
      </c>
      <c r="FC81" s="3404"/>
      <c r="FD81" s="3404"/>
      <c r="FE81" s="1080">
        <f>IF(FC81=0,0,(FD81-FC81)/FC81*100)</f>
        <v>0</v>
      </c>
      <c r="FF81" s="3404"/>
      <c r="FG81" s="3404"/>
      <c r="FH81" s="1080">
        <f>IF(FF81=0,0,(FG81-FF81)/FF81*100)</f>
        <v>0</v>
      </c>
      <c r="FI81" s="3404"/>
      <c r="FJ81" s="3404"/>
      <c r="FK81" s="1080">
        <f>IF(FI81=0,0,(FJ81-FI81)/FI81*100)</f>
        <v>0</v>
      </c>
      <c r="FL81" s="3404"/>
      <c r="FM81" s="3404"/>
      <c r="FN81" s="1080">
        <f>IF(FL81=0,0,(FM81-FL81)/FL81*100)</f>
        <v>0</v>
      </c>
      <c r="FO81" s="3404"/>
      <c r="FP81" s="3404"/>
      <c r="FQ81" s="1080">
        <f>IF(FO81=0,0,(FP81-FO81)/FO81*100)</f>
        <v>0</v>
      </c>
      <c r="FR81" s="3404"/>
      <c r="FS81" s="3404"/>
      <c r="FT81" s="1080">
        <f>IF(FR81=0,0,(FS81-FR81)/FR81*100)</f>
        <v>0</v>
      </c>
      <c r="FU81" s="3404"/>
      <c r="FV81" s="3404"/>
      <c r="FW81" s="1080">
        <f>IF(FU81=0,0,(FV81-FU81)/FU81*100)</f>
        <v>0</v>
      </c>
      <c r="FX81" s="259"/>
      <c r="FY81" s="676"/>
      <c r="FZ81" s="1039" t="s">
        <v>1575</v>
      </c>
      <c r="GA81" s="1061"/>
      <c r="GB81" s="1061"/>
      <c r="GC81" s="697"/>
      <c r="GD81" s="697"/>
    </row>
    <row customHeight="1" ht="18.28125" hidden="1">
      <c r="A82" s="467"/>
      <c r="B82" s="907" cm="1" t="str">
        <f t="array" ref="B82:B82">B81</f>
        <v>false</v>
      </c>
      <c r="C82" s="467"/>
      <c r="D82" s="467"/>
      <c r="E82" s="822">
        <v>18.75</v>
      </c>
      <c r="F82" s="50" cm="1" t="str">
        <f t="array" ref="F82:F82">OFFSET(E82,-1,1)</f>
        <v>0</v>
      </c>
      <c r="G82" s="467"/>
      <c r="H82" s="467" t="s">
        <v>441</v>
      </c>
      <c r="I82" s="467" cm="1" t="str">
        <f t="array" ref="I82:I82">AB82</f>
        <v>0</v>
      </c>
      <c r="J82" s="467"/>
      <c r="K82" s="467"/>
      <c r="L82" s="467"/>
      <c r="M82" s="467"/>
      <c r="N82" s="467"/>
      <c r="O82" s="467"/>
      <c r="P82" s="467"/>
      <c r="Q82" s="467"/>
      <c r="R82" s="467"/>
      <c r="S82" s="467"/>
      <c r="T82" s="439">
        <f>AND(F82&gt;0,Y82&gt;0)</f>
        <v>0</v>
      </c>
      <c r="U82" s="467"/>
      <c r="V82" s="467"/>
      <c r="W82" s="467" t="s">
        <v>173</v>
      </c>
      <c r="X82" s="1534"/>
      <c r="Y82" s="467">
        <v>0</v>
      </c>
      <c r="Z82" s="1464"/>
      <c r="AA82" s="642" t="s">
        <v>174</v>
      </c>
      <c r="AB82" s="3433"/>
      <c r="AC82" s="846" t="s">
        <v>1494</v>
      </c>
      <c r="AD82" s="3409"/>
      <c r="AE82" s="3410"/>
      <c r="AF82" s="1078">
        <f>IF(AD82=0,0,(AE82-AD82)/AD82*100)</f>
        <v>0</v>
      </c>
      <c r="AG82" s="3410"/>
      <c r="AH82" s="3410"/>
      <c r="AI82" s="1078">
        <f>IF(AG82=0,0,(AH82-AG82)/AG82*100)</f>
        <v>0</v>
      </c>
      <c r="AJ82" s="3410"/>
      <c r="AK82" s="3410"/>
      <c r="AL82" s="1078">
        <f>IF(AJ82=0,0,(AK82-AJ82)/AJ82*100)</f>
        <v>0</v>
      </c>
      <c r="AM82" s="3410"/>
      <c r="AN82" s="3410"/>
      <c r="AO82" s="1078">
        <f>IF(AM82=0,0,(AN82-AM82)/AM82*100)</f>
        <v>0</v>
      </c>
      <c r="AP82" s="3410"/>
      <c r="AQ82" s="3410"/>
      <c r="AR82" s="1078">
        <f>IF(AP82=0,0,(AQ82-AP82)/AP82*100)</f>
        <v>0</v>
      </c>
      <c r="AS82" s="3410"/>
      <c r="AT82" s="3410"/>
      <c r="AU82" s="1078">
        <f>IF(AS82=0,0,(AT82-AS82)/AS82*100)</f>
        <v>0</v>
      </c>
      <c r="AV82" s="3410"/>
      <c r="AW82" s="3410"/>
      <c r="AX82" s="1078">
        <f>IF(AV82=0,0,(AW82-AV82)/AV82*100)</f>
        <v>0</v>
      </c>
      <c r="AY82" s="3410"/>
      <c r="AZ82" s="3410"/>
      <c r="BA82" s="1078">
        <f>IF(AY82=0,0,(AZ82-AY82)/AY82*100)</f>
        <v>0</v>
      </c>
      <c r="BB82" s="3410"/>
      <c r="BC82" s="3410"/>
      <c r="BD82" s="1078">
        <f>IF(BB82=0,0,(BC82-BB82)/BB82*100)</f>
        <v>0</v>
      </c>
      <c r="BE82" s="3410"/>
      <c r="BF82" s="3410"/>
      <c r="BG82" s="1078">
        <f>IF(BE82=0,0,(BF82-BE82)/BE82*100)</f>
        <v>0</v>
      </c>
      <c r="BH82" s="3410"/>
      <c r="BI82" s="3410"/>
      <c r="BJ82" s="1078">
        <f>IF(BH82=0,0,(BI82-BH82)/BH82*100)</f>
        <v>0</v>
      </c>
      <c r="BK82" s="3410"/>
      <c r="BL82" s="3410"/>
      <c r="BM82" s="1078">
        <f>IF(BK82=0,0,(BL82-BK82)/BK82*100)</f>
        <v>0</v>
      </c>
      <c r="BN82" s="3410"/>
      <c r="BO82" s="3410"/>
      <c r="BP82" s="1078">
        <f>IF(BN82=0,0,(BO82-BN82)/BN82*100)</f>
        <v>0</v>
      </c>
      <c r="BQ82" s="3410"/>
      <c r="BR82" s="3410"/>
      <c r="BS82" s="1078">
        <f>IF(BQ82=0,0,(BR82-BQ82)/BQ82*100)</f>
        <v>0</v>
      </c>
      <c r="BT82" s="3410"/>
      <c r="BU82" s="3410"/>
      <c r="BV82" s="1078">
        <f>IF(BT82=0,0,(BU82-BT82)/BT82*100)</f>
        <v>0</v>
      </c>
      <c r="BW82" s="3410"/>
      <c r="BX82" s="3410"/>
      <c r="BY82" s="1078">
        <f>IF(BW82=0,0,(BX82-BW82)/BW82*100)</f>
        <v>0</v>
      </c>
      <c r="BZ82" s="3410"/>
      <c r="CA82" s="3410"/>
      <c r="CB82" s="1078">
        <f>IF(BZ82=0,0,(CA82-BZ82)/BZ82*100)</f>
        <v>0</v>
      </c>
      <c r="CC82" s="3410"/>
      <c r="CD82" s="3410"/>
      <c r="CE82" s="1078">
        <f>IF(CC82=0,0,(CD82-CC82)/CC82*100)</f>
        <v>0</v>
      </c>
      <c r="CF82" s="3410"/>
      <c r="CG82" s="3410"/>
      <c r="CH82" s="1078">
        <f>IF(CF82=0,0,(CG82-CF82)/CF82*100)</f>
        <v>0</v>
      </c>
      <c r="CI82" s="3410"/>
      <c r="CJ82" s="3410"/>
      <c r="CK82" s="1078">
        <f>IF(CI82=0,0,(CJ82-CI82)/CI82*100)</f>
        <v>0</v>
      </c>
      <c r="CL82" s="3410"/>
      <c r="CM82" s="3410"/>
      <c r="CN82" s="1078">
        <f>IF(CL82=0,0,(CM82-CL82)/CL82*100)</f>
        <v>0</v>
      </c>
      <c r="CO82" s="3410"/>
      <c r="CP82" s="3410"/>
      <c r="CQ82" s="1078">
        <f>IF(CO82=0,0,(CP82-CO82)/CO82*100)</f>
        <v>0</v>
      </c>
      <c r="CR82" s="3410"/>
      <c r="CS82" s="3410"/>
      <c r="CT82" s="1078">
        <f>IF(CR82=0,0,(CS82-CR82)/CR82*100)</f>
        <v>0</v>
      </c>
      <c r="CU82" s="3410"/>
      <c r="CV82" s="3410"/>
      <c r="CW82" s="1078">
        <f>IF(CU82=0,0,(CV82-CU82)/CU82*100)</f>
        <v>0</v>
      </c>
      <c r="CX82" s="3410"/>
      <c r="CY82" s="3410"/>
      <c r="CZ82" s="1078">
        <f>IF(CX82=0,0,(CY82-CX82)/CX82*100)</f>
        <v>0</v>
      </c>
      <c r="DA82" s="3410"/>
      <c r="DB82" s="3410"/>
      <c r="DC82" s="1078">
        <f>IF(DA82=0,0,(DB82-DA82)/DA82*100)</f>
        <v>0</v>
      </c>
      <c r="DD82" s="3410"/>
      <c r="DE82" s="3410"/>
      <c r="DF82" s="1078">
        <f>IF(DD82=0,0,(DE82-DD82)/DD82*100)</f>
        <v>0</v>
      </c>
      <c r="DG82" s="3410"/>
      <c r="DH82" s="3410"/>
      <c r="DI82" s="1078">
        <f>IF(DG82=0,0,(DH82-DG82)/DG82*100)</f>
        <v>0</v>
      </c>
      <c r="DJ82" s="3410"/>
      <c r="DK82" s="3410"/>
      <c r="DL82" s="1078">
        <f>IF(DJ82=0,0,(DK82-DJ82)/DJ82*100)</f>
        <v>0</v>
      </c>
      <c r="DM82" s="3410"/>
      <c r="DN82" s="3410"/>
      <c r="DO82" s="1078">
        <f>IF(DM82=0,0,(DN82-DM82)/DM82*100)</f>
        <v>0</v>
      </c>
      <c r="DP82" s="3410"/>
      <c r="DQ82" s="3410"/>
      <c r="DR82" s="1078">
        <f>IF(DP82=0,0,(DQ82-DP82)/DP82*100)</f>
        <v>0</v>
      </c>
      <c r="DS82" s="3410"/>
      <c r="DT82" s="3410"/>
      <c r="DU82" s="1078">
        <f>IF(DS82=0,0,(DT82-DS82)/DS82*100)</f>
        <v>0</v>
      </c>
      <c r="DV82" s="3410"/>
      <c r="DW82" s="3410"/>
      <c r="DX82" s="1078">
        <f>IF(DV82=0,0,(DW82-DV82)/DV82*100)</f>
        <v>0</v>
      </c>
      <c r="DY82" s="3410"/>
      <c r="DZ82" s="3410"/>
      <c r="EA82" s="1078">
        <f>IF(DY82=0,0,(DZ82-DY82)/DY82*100)</f>
        <v>0</v>
      </c>
      <c r="EB82" s="3410"/>
      <c r="EC82" s="3410"/>
      <c r="ED82" s="1078">
        <f>IF(EB82=0,0,(EC82-EB82)/EB82*100)</f>
        <v>0</v>
      </c>
      <c r="EE82" s="3410"/>
      <c r="EF82" s="3410"/>
      <c r="EG82" s="1078">
        <f>IF(EE82=0,0,(EF82-EE82)/EE82*100)</f>
        <v>0</v>
      </c>
      <c r="EH82" s="3410"/>
      <c r="EI82" s="3410"/>
      <c r="EJ82" s="1078">
        <f>IF(EH82=0,0,(EI82-EH82)/EH82*100)</f>
        <v>0</v>
      </c>
      <c r="EK82" s="3410"/>
      <c r="EL82" s="3410"/>
      <c r="EM82" s="1078">
        <f>IF(EK82=0,0,(EL82-EK82)/EK82*100)</f>
        <v>0</v>
      </c>
      <c r="EN82" s="3410"/>
      <c r="EO82" s="3410"/>
      <c r="EP82" s="1078">
        <f>IF(EN82=0,0,(EO82-EN82)/EN82*100)</f>
        <v>0</v>
      </c>
      <c r="EQ82" s="3410"/>
      <c r="ER82" s="3410"/>
      <c r="ES82" s="1078">
        <f>IF(EQ82=0,0,(ER82-EQ82)/EQ82*100)</f>
        <v>0</v>
      </c>
      <c r="ET82" s="3410"/>
      <c r="EU82" s="3410"/>
      <c r="EV82" s="1078">
        <f>IF(ET82=0,0,(EU82-ET82)/ET82*100)</f>
        <v>0</v>
      </c>
      <c r="EW82" s="3410"/>
      <c r="EX82" s="3410"/>
      <c r="EY82" s="1078">
        <f>IF(EW82=0,0,(EX82-EW82)/EW82*100)</f>
        <v>0</v>
      </c>
      <c r="EZ82" s="3410"/>
      <c r="FA82" s="3410"/>
      <c r="FB82" s="1078">
        <f>IF(EZ82=0,0,(FA82-EZ82)/EZ82*100)</f>
        <v>0</v>
      </c>
      <c r="FC82" s="3410"/>
      <c r="FD82" s="3410"/>
      <c r="FE82" s="1078">
        <f>IF(FC82=0,0,(FD82-FC82)/FC82*100)</f>
        <v>0</v>
      </c>
      <c r="FF82" s="3410"/>
      <c r="FG82" s="3410"/>
      <c r="FH82" s="1078">
        <f>IF(FF82=0,0,(FG82-FF82)/FF82*100)</f>
        <v>0</v>
      </c>
      <c r="FI82" s="3410"/>
      <c r="FJ82" s="3410"/>
      <c r="FK82" s="1078">
        <f>IF(FI82=0,0,(FJ82-FI82)/FI82*100)</f>
        <v>0</v>
      </c>
      <c r="FL82" s="3410"/>
      <c r="FM82" s="3410"/>
      <c r="FN82" s="1078">
        <f>IF(FL82=0,0,(FM82-FL82)/FL82*100)</f>
        <v>0</v>
      </c>
      <c r="FO82" s="3410"/>
      <c r="FP82" s="3410"/>
      <c r="FQ82" s="1078">
        <f>IF(FO82=0,0,(FP82-FO82)/FO82*100)</f>
        <v>0</v>
      </c>
      <c r="FR82" s="3410"/>
      <c r="FS82" s="3410"/>
      <c r="FT82" s="1078">
        <f>IF(FR82=0,0,(FS82-FR82)/FR82*100)</f>
        <v>0</v>
      </c>
      <c r="FU82" s="3410"/>
      <c r="FV82" s="3410"/>
      <c r="FW82" s="1078">
        <f>IF(FU82=0,0,(FV82-FU82)/FU82*100)</f>
        <v>0</v>
      </c>
      <c r="FX82" s="259"/>
      <c r="FY82" s="676"/>
      <c r="FZ82" s="1039" t="s">
        <v>1576</v>
      </c>
      <c r="GA82" s="998" t="s">
        <v>1577</v>
      </c>
      <c r="GB82" s="998" cm="1" t="str">
        <f t="array" ref="GB82:GB82">AB82</f>
        <v>0</v>
      </c>
      <c r="GC82" s="697"/>
      <c r="GD82" s="611" t="b">
        <v>1</v>
      </c>
    </row>
    <row customHeight="1" ht="14.625" hidden="1">
      <c r="A83" s="676"/>
      <c r="B83" s="907" cm="1" t="str">
        <f t="array" ref="B83:B83">B82</f>
        <v>false</v>
      </c>
      <c r="C83" s="676"/>
      <c r="D83" s="467"/>
      <c r="E83" s="822">
        <v>15</v>
      </c>
      <c r="F83" s="50" cm="1" t="str">
        <f t="array" ref="F83:F83">OFFSET(E83,-1,1)</f>
        <v>0</v>
      </c>
      <c r="G83" s="467"/>
      <c r="H83" s="676"/>
      <c r="I83" s="64" t="s">
        <v>1578</v>
      </c>
      <c r="J83" s="676"/>
      <c r="K83" s="676"/>
      <c r="L83" s="676"/>
      <c r="M83" s="676"/>
      <c r="N83" s="676"/>
      <c r="O83" s="676"/>
      <c r="P83" s="676"/>
      <c r="Q83" s="676"/>
      <c r="R83" s="676"/>
      <c r="S83" s="676"/>
      <c r="T83" s="439">
        <f>F83&gt;0</f>
        <v>0</v>
      </c>
      <c r="U83" s="676"/>
      <c r="V83" s="676"/>
      <c r="W83" s="738" t="s">
        <v>1524</v>
      </c>
      <c r="X83" s="1534"/>
      <c r="Y83" s="676"/>
      <c r="Z83" s="1464"/>
      <c r="AA83" s="676"/>
      <c r="AB83" s="227" t="s">
        <v>177</v>
      </c>
      <c r="AC83" s="231"/>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c r="DM83" s="229"/>
      <c r="DN83" s="229"/>
      <c r="DO83" s="229"/>
      <c r="DP83" s="229"/>
      <c r="DQ83" s="229"/>
      <c r="DR83" s="229"/>
      <c r="DS83" s="229"/>
      <c r="DT83" s="229"/>
      <c r="DU83" s="229"/>
      <c r="DV83" s="229"/>
      <c r="DW83" s="229"/>
      <c r="DX83" s="229"/>
      <c r="DY83" s="229"/>
      <c r="DZ83" s="229"/>
      <c r="EA83" s="229"/>
      <c r="EB83" s="229"/>
      <c r="EC83" s="229"/>
      <c r="ED83" s="229"/>
      <c r="EE83" s="229"/>
      <c r="EF83" s="229"/>
      <c r="EG83" s="229"/>
      <c r="EH83" s="229"/>
      <c r="EI83" s="229"/>
      <c r="EJ83" s="229"/>
      <c r="EK83" s="229"/>
      <c r="EL83" s="229"/>
      <c r="EM83" s="229"/>
      <c r="EN83" s="229"/>
      <c r="EO83" s="229"/>
      <c r="EP83" s="229"/>
      <c r="EQ83" s="229"/>
      <c r="ER83" s="229"/>
      <c r="ES83" s="229"/>
      <c r="ET83" s="229"/>
      <c r="EU83" s="229"/>
      <c r="EV83" s="229"/>
      <c r="EW83" s="229"/>
      <c r="EX83" s="229"/>
      <c r="EY83" s="229"/>
      <c r="EZ83" s="229"/>
      <c r="FA83" s="229"/>
      <c r="FB83" s="229"/>
      <c r="FC83" s="229"/>
      <c r="FD83" s="229"/>
      <c r="FE83" s="229"/>
      <c r="FF83" s="229"/>
      <c r="FG83" s="229"/>
      <c r="FH83" s="229"/>
      <c r="FI83" s="229"/>
      <c r="FJ83" s="229"/>
      <c r="FK83" s="229"/>
      <c r="FL83" s="229"/>
      <c r="FM83" s="229"/>
      <c r="FN83" s="229"/>
      <c r="FO83" s="229"/>
      <c r="FP83" s="229"/>
      <c r="FQ83" s="229"/>
      <c r="FR83" s="229"/>
      <c r="FS83" s="229"/>
      <c r="FT83" s="229"/>
      <c r="FU83" s="229"/>
      <c r="FV83" s="229"/>
      <c r="FW83" s="230"/>
      <c r="FX83" s="676"/>
      <c r="FY83" s="676"/>
      <c r="FZ83" s="1061"/>
      <c r="GA83" s="1061"/>
      <c r="GB83" s="1061"/>
      <c r="GC83" s="611" t="s">
        <v>1577</v>
      </c>
      <c r="GD83" s="697"/>
    </row>
    <row customHeight="1" ht="11.2125" hidden="1">
      <c r="A84" s="64"/>
      <c r="B84" s="887"/>
      <c r="C84" s="64"/>
      <c r="D84" s="467"/>
      <c r="E84" s="822">
        <v>11.5</v>
      </c>
      <c r="F84" s="691"/>
      <c r="G84" s="467"/>
      <c r="H84" s="64"/>
      <c r="I84" s="64"/>
      <c r="J84" s="64"/>
      <c r="K84" s="64"/>
      <c r="L84" s="64"/>
      <c r="M84" s="64"/>
      <c r="N84" s="64"/>
      <c r="O84" s="64"/>
      <c r="P84" s="64"/>
      <c r="Q84" s="64"/>
      <c r="R84" s="64"/>
      <c r="S84" s="64"/>
      <c r="T84" s="439" cm="1" t="str">
        <f t="array" ref="T84:T84">T83</f>
        <v>false</v>
      </c>
      <c r="U84" s="64"/>
      <c r="V84" s="64"/>
      <c r="W84" s="738"/>
      <c r="X84" s="1534"/>
      <c r="Y84" s="64"/>
      <c r="Z84" s="1464"/>
      <c r="AA84" s="64"/>
      <c r="AB84" s="174"/>
      <c r="AC84" s="1187"/>
      <c r="AD84" s="676"/>
      <c r="AE84" s="676"/>
      <c r="AF84" s="676"/>
      <c r="AG84" s="676"/>
      <c r="AH84" s="676"/>
      <c r="AI84" s="676"/>
      <c r="AJ84" s="676"/>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676"/>
      <c r="BQ84" s="676"/>
      <c r="BR84" s="676"/>
      <c r="BS84" s="676"/>
      <c r="BT84" s="676"/>
      <c r="BU84" s="676"/>
      <c r="BV84" s="676"/>
      <c r="BW84" s="676"/>
      <c r="BX84" s="676"/>
      <c r="BY84" s="676"/>
      <c r="BZ84" s="676"/>
      <c r="CA84" s="676"/>
      <c r="CB84" s="676"/>
      <c r="CC84" s="676"/>
      <c r="CD84" s="676"/>
      <c r="CE84" s="676"/>
      <c r="CF84" s="676"/>
      <c r="CG84" s="676"/>
      <c r="CH84" s="676"/>
      <c r="CI84" s="676"/>
      <c r="CJ84" s="676"/>
      <c r="CK84" s="676"/>
      <c r="CL84" s="676"/>
      <c r="CM84" s="676"/>
      <c r="CN84" s="676"/>
      <c r="CO84" s="676"/>
      <c r="CP84" s="676"/>
      <c r="CQ84" s="676"/>
      <c r="CR84" s="676"/>
      <c r="CS84" s="676"/>
      <c r="CT84" s="676"/>
      <c r="CU84" s="676"/>
      <c r="CV84" s="676"/>
      <c r="CW84" s="676"/>
      <c r="CX84" s="676"/>
      <c r="CY84" s="676"/>
      <c r="CZ84" s="676"/>
      <c r="DA84" s="676"/>
      <c r="DB84" s="676"/>
      <c r="DC84" s="676"/>
      <c r="DD84" s="676"/>
      <c r="DE84" s="676"/>
      <c r="DF84" s="676"/>
      <c r="DG84" s="676"/>
      <c r="DH84" s="676"/>
      <c r="DI84" s="676"/>
      <c r="DJ84" s="676"/>
      <c r="DK84" s="676"/>
      <c r="DL84" s="676"/>
      <c r="DM84" s="676"/>
      <c r="DN84" s="676"/>
      <c r="DO84" s="676"/>
      <c r="DP84" s="676"/>
      <c r="DQ84" s="676"/>
      <c r="DR84" s="676"/>
      <c r="DS84" s="676"/>
      <c r="DT84" s="676"/>
      <c r="DU84" s="676"/>
      <c r="DV84" s="676"/>
      <c r="DW84" s="676"/>
      <c r="DX84" s="676"/>
      <c r="DY84" s="676"/>
      <c r="DZ84" s="676"/>
      <c r="EA84" s="676"/>
      <c r="EB84" s="676"/>
      <c r="EC84" s="676"/>
      <c r="ED84" s="676"/>
      <c r="EE84" s="676"/>
      <c r="EF84" s="676"/>
      <c r="EG84" s="676"/>
      <c r="EH84" s="676"/>
      <c r="EI84" s="676"/>
      <c r="EJ84" s="676"/>
      <c r="EK84" s="676"/>
      <c r="EL84" s="676"/>
      <c r="EM84" s="676"/>
      <c r="EN84" s="676"/>
      <c r="EO84" s="676"/>
      <c r="EP84" s="676"/>
      <c r="EQ84" s="676"/>
      <c r="ER84" s="676"/>
      <c r="ES84" s="676"/>
      <c r="ET84" s="676"/>
      <c r="EU84" s="676"/>
      <c r="EV84" s="676"/>
      <c r="EW84" s="676"/>
      <c r="EX84" s="676"/>
      <c r="EY84" s="676"/>
      <c r="EZ84" s="676"/>
      <c r="FA84" s="676"/>
      <c r="FB84" s="676"/>
      <c r="FC84" s="676"/>
      <c r="FD84" s="676"/>
      <c r="FE84" s="676"/>
      <c r="FF84" s="676"/>
      <c r="FG84" s="676"/>
      <c r="FH84" s="676"/>
      <c r="FI84" s="676"/>
      <c r="FJ84" s="676"/>
      <c r="FK84" s="676"/>
      <c r="FL84" s="676"/>
      <c r="FM84" s="676"/>
      <c r="FN84" s="676"/>
      <c r="FO84" s="676"/>
      <c r="FP84" s="676"/>
      <c r="FQ84" s="676"/>
      <c r="FR84" s="676"/>
      <c r="FS84" s="676"/>
      <c r="FT84" s="676"/>
      <c r="FU84" s="676"/>
      <c r="FV84" s="676"/>
      <c r="FW84" s="676"/>
      <c r="FX84" s="676"/>
      <c r="FY84" s="676"/>
      <c r="FZ84" s="989"/>
      <c r="GA84" s="989"/>
      <c r="GB84" s="984"/>
      <c r="GC84" s="655"/>
      <c r="GD84" s="655"/>
    </row>
    <row s="1621" customFormat="1" customHeight="1" ht="14.25">
      <c r="A85" s="467"/>
      <c r="B85" s="854"/>
      <c r="C85" s="467"/>
      <c r="D85" s="467"/>
      <c r="E85" s="822">
        <v>15</v>
      </c>
      <c r="F85" s="468" cm="1" t="str">
        <f t="array" ref="F85:F85">X85</f>
        <v>1</v>
      </c>
      <c r="G85" s="467" cm="1" t="str">
        <f t="array" ref="G85:G85">INDEX('Общие сведения'!$AK$179:$AK$222,MATCH($X85,'Общие сведения'!$Z$179:$Z$222,0))</f>
        <v>одноставочный</v>
      </c>
      <c r="H85" s="467"/>
      <c r="I85" s="467"/>
      <c r="J85" s="467"/>
      <c r="K85" s="467"/>
      <c r="L85" s="467"/>
      <c r="M85" s="467"/>
      <c r="N85" s="467"/>
      <c r="O85" s="467"/>
      <c r="P85" s="467"/>
      <c r="Q85" s="467" cm="1" t="str">
        <f t="array" ref="Q85:Q85">INDEX('Общие сведения'!$AE$179:$AE$222,MATCH($X85,'Общие сведения'!$Z$179:$Z$222,0))</f>
        <v>Водоснабжение</v>
      </c>
      <c r="R85" s="458" cm="1" t="str">
        <f t="array" ref="R85:R85">INDEX('Общие сведения'!$AK$179:$AK$222,MATCH($X85,'Общие сведения'!$Z$179:$Z$222,0))</f>
        <v>одноставочный</v>
      </c>
      <c r="S85" s="467" cm="1" t="str">
        <f t="array" ref="S85:S85">INDEX('Общие сведения'!$AN$179:$AN$222,MATCH($X85,'Общие сведения'!$Z$179:$Z$222,0))</f>
        <v>false</v>
      </c>
      <c r="T85" s="439">
        <f>X85&gt;0</f>
        <v>1</v>
      </c>
      <c r="U85" s="467"/>
      <c r="V85" s="467" cm="1" t="str">
        <f t="array" ref="V85:V85">'Корректировка НВВ'!$AB$78</f>
        <v>Тариф 1 (Водоснабжение) - тариф на техническую воду (Оказание услуг на территории: Прокопьевский муниципальный округ (ОКТМО: 32522000) - п Калачево)</v>
      </c>
      <c r="W85" s="467"/>
      <c r="X85" s="1534" t="s">
        <v>272</v>
      </c>
      <c r="Y85" s="467"/>
      <c r="Z85" s="1464"/>
      <c r="AA85" s="467"/>
      <c r="AB85" s="1570" t="s">
        <v>21</v>
      </c>
      <c r="AC85" s="1571"/>
      <c r="AD85" s="875" cm="1" t="str">
        <f t="array" ref="AD85:AD85">'Корректировка НВВ'!$AB$78</f>
        <v>Тариф 1 (Водоснабжение) - тариф на техническую воду (Оказание услуг на территории: Прокопьевский муниципальный округ (ОКТМО: 32522000) - п Калачево)</v>
      </c>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c r="EA85" s="253"/>
      <c r="EB85" s="253"/>
      <c r="EC85" s="253"/>
      <c r="ED85" s="253"/>
      <c r="EE85" s="253"/>
      <c r="EF85" s="253"/>
      <c r="EG85" s="253"/>
      <c r="EH85" s="253"/>
      <c r="EI85" s="253"/>
      <c r="EJ85" s="253"/>
      <c r="EK85" s="253"/>
      <c r="EL85" s="253"/>
      <c r="EM85" s="253"/>
      <c r="EN85" s="253"/>
      <c r="EO85" s="253"/>
      <c r="EP85" s="253"/>
      <c r="EQ85" s="253"/>
      <c r="ER85" s="253"/>
      <c r="ES85" s="253"/>
      <c r="ET85" s="253"/>
      <c r="EU85" s="253"/>
      <c r="EV85" s="253"/>
      <c r="EW85" s="253"/>
      <c r="EX85" s="253"/>
      <c r="EY85" s="253"/>
      <c r="EZ85" s="253"/>
      <c r="FA85" s="253"/>
      <c r="FB85" s="253"/>
      <c r="FC85" s="253"/>
      <c r="FD85" s="253"/>
      <c r="FE85" s="253"/>
      <c r="FF85" s="253"/>
      <c r="FG85" s="253"/>
      <c r="FH85" s="253"/>
      <c r="FI85" s="253"/>
      <c r="FJ85" s="253"/>
      <c r="FK85" s="253"/>
      <c r="FL85" s="253"/>
      <c r="FM85" s="253"/>
      <c r="FN85" s="253"/>
      <c r="FO85" s="253"/>
      <c r="FP85" s="253"/>
      <c r="FQ85" s="253"/>
      <c r="FR85" s="253"/>
      <c r="FS85" s="253"/>
      <c r="FT85" s="253"/>
      <c r="FU85" s="253"/>
      <c r="FV85" s="253"/>
      <c r="FW85" s="254"/>
      <c r="FX85" s="676"/>
      <c r="FY85" s="676"/>
      <c r="FZ85" s="1061"/>
      <c r="GA85" s="1061"/>
      <c r="GB85" s="1061"/>
      <c r="GC85" s="697"/>
      <c r="GD85" s="697"/>
    </row>
    <row s="1621" customFormat="1" customHeight="1" ht="14.25">
      <c r="A86" s="467"/>
      <c r="B86" s="854"/>
      <c r="C86" s="467"/>
      <c r="D86" s="467"/>
      <c r="E86" s="822">
        <v>15</v>
      </c>
      <c r="F86" s="50" cm="1" t="str">
        <f t="array" ref="F86:F86">OFFSET(E86,-1,1)</f>
        <v>1</v>
      </c>
      <c r="G86" s="467"/>
      <c r="H86" s="467"/>
      <c r="I86" s="467"/>
      <c r="J86" s="467"/>
      <c r="K86" s="467"/>
      <c r="L86" s="467"/>
      <c r="M86" s="467"/>
      <c r="N86" s="467"/>
      <c r="O86" s="467"/>
      <c r="P86" s="467"/>
      <c r="Q86" s="467"/>
      <c r="R86" s="458"/>
      <c r="S86" s="458"/>
      <c r="T86" s="439" cm="1" t="str">
        <f t="array" ref="T86:T86">T85</f>
        <v>true</v>
      </c>
      <c r="U86" s="467"/>
      <c r="V86" s="467"/>
      <c r="W86" s="467"/>
      <c r="X86" s="1534"/>
      <c r="Y86" s="467"/>
      <c r="Z86" s="1464"/>
      <c r="AA86" s="467"/>
      <c r="AB86" s="1422" t="str">
        <f>"Вид "&amp;IF(ISERROR(SEARCH("Водоснабжение",AD85)),"сточных вод","воды")</f>
        <v>Вид воды</v>
      </c>
      <c r="AC86" s="1424"/>
      <c r="AD86" s="875" cm="1" t="str">
        <f t="array" ref="AD86:AD86">INDEX('Общие сведения'!$AH$179:$AH$222,MATCH($X85,'Общие сведения'!$Z$179:$Z$222,0))</f>
        <v>техническая вода</v>
      </c>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c r="DM86" s="255"/>
      <c r="DN86" s="255"/>
      <c r="DO86" s="255"/>
      <c r="DP86" s="255"/>
      <c r="DQ86" s="255"/>
      <c r="DR86" s="255"/>
      <c r="DS86" s="255"/>
      <c r="DT86" s="255"/>
      <c r="DU86" s="255"/>
      <c r="DV86" s="255"/>
      <c r="DW86" s="255"/>
      <c r="DX86" s="255"/>
      <c r="DY86" s="255"/>
      <c r="DZ86" s="255"/>
      <c r="EA86" s="255"/>
      <c r="EB86" s="255"/>
      <c r="EC86" s="255"/>
      <c r="ED86" s="255"/>
      <c r="EE86" s="255"/>
      <c r="EF86" s="255"/>
      <c r="EG86" s="255"/>
      <c r="EH86" s="255"/>
      <c r="EI86" s="255"/>
      <c r="EJ86" s="255"/>
      <c r="EK86" s="255"/>
      <c r="EL86" s="255"/>
      <c r="EM86" s="255"/>
      <c r="EN86" s="255"/>
      <c r="EO86" s="255"/>
      <c r="EP86" s="255"/>
      <c r="EQ86" s="255"/>
      <c r="ER86" s="255"/>
      <c r="ES86" s="255"/>
      <c r="ET86" s="255"/>
      <c r="EU86" s="255"/>
      <c r="EV86" s="255"/>
      <c r="EW86" s="255"/>
      <c r="EX86" s="255"/>
      <c r="EY86" s="255"/>
      <c r="EZ86" s="255"/>
      <c r="FA86" s="255"/>
      <c r="FB86" s="255"/>
      <c r="FC86" s="255"/>
      <c r="FD86" s="255"/>
      <c r="FE86" s="255"/>
      <c r="FF86" s="255"/>
      <c r="FG86" s="255"/>
      <c r="FH86" s="255"/>
      <c r="FI86" s="255"/>
      <c r="FJ86" s="255"/>
      <c r="FK86" s="255"/>
      <c r="FL86" s="255"/>
      <c r="FM86" s="255"/>
      <c r="FN86" s="255"/>
      <c r="FO86" s="255"/>
      <c r="FP86" s="255"/>
      <c r="FQ86" s="255"/>
      <c r="FR86" s="255"/>
      <c r="FS86" s="255"/>
      <c r="FT86" s="255"/>
      <c r="FU86" s="255"/>
      <c r="FV86" s="255"/>
      <c r="FW86" s="256"/>
      <c r="FX86" s="676"/>
      <c r="FY86" s="676"/>
      <c r="FZ86" s="1061"/>
      <c r="GA86" s="1061"/>
      <c r="GB86" s="1061"/>
      <c r="GC86" s="697"/>
      <c r="GD86" s="697"/>
    </row>
    <row s="1621" customFormat="1" customHeight="1" ht="14.25">
      <c r="A87" s="467"/>
      <c r="B87" s="854"/>
      <c r="C87" s="467"/>
      <c r="D87" s="467"/>
      <c r="E87" s="822">
        <v>15</v>
      </c>
      <c r="F87" s="50" cm="1" t="str">
        <f t="array" ref="F87:F87">OFFSET(E87,-1,1)</f>
        <v>1</v>
      </c>
      <c r="G87" s="467"/>
      <c r="H87" s="467"/>
      <c r="I87" s="467"/>
      <c r="J87" s="467"/>
      <c r="K87" s="467"/>
      <c r="L87" s="467"/>
      <c r="M87" s="467"/>
      <c r="N87" s="467"/>
      <c r="O87" s="467"/>
      <c r="P87" s="467"/>
      <c r="Q87" s="467"/>
      <c r="R87" s="458"/>
      <c r="S87" s="458"/>
      <c r="T87" s="439" cm="1" t="str">
        <f t="array" ref="T87:T87">T86</f>
        <v>true</v>
      </c>
      <c r="U87" s="467"/>
      <c r="V87" s="467"/>
      <c r="W87" s="467"/>
      <c r="X87" s="1534"/>
      <c r="Y87" s="467"/>
      <c r="Z87" s="1464"/>
      <c r="AA87" s="467"/>
      <c r="AB87" s="1422" t="s">
        <v>1488</v>
      </c>
      <c r="AC87" s="1424"/>
      <c r="AD87" s="875" cm="1" t="str">
        <f t="array" ref="AD87:AD87">INDEX('Общие сведения'!$AI$179:$AI$222,MATCH($X85,'Общие сведения'!$Z$179:$Z$222,0))</f>
        <v>тариф на техническую воду</v>
      </c>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c r="DM87" s="255"/>
      <c r="DN87" s="255"/>
      <c r="DO87" s="255"/>
      <c r="DP87" s="255"/>
      <c r="DQ87" s="255"/>
      <c r="DR87" s="255"/>
      <c r="DS87" s="255"/>
      <c r="DT87" s="255"/>
      <c r="DU87" s="255"/>
      <c r="DV87" s="255"/>
      <c r="DW87" s="255"/>
      <c r="DX87" s="255"/>
      <c r="DY87" s="255"/>
      <c r="DZ87" s="255"/>
      <c r="EA87" s="255"/>
      <c r="EB87" s="255"/>
      <c r="EC87" s="255"/>
      <c r="ED87" s="255"/>
      <c r="EE87" s="255"/>
      <c r="EF87" s="255"/>
      <c r="EG87" s="255"/>
      <c r="EH87" s="255"/>
      <c r="EI87" s="255"/>
      <c r="EJ87" s="255"/>
      <c r="EK87" s="255"/>
      <c r="EL87" s="255"/>
      <c r="EM87" s="255"/>
      <c r="EN87" s="255"/>
      <c r="EO87" s="255"/>
      <c r="EP87" s="255"/>
      <c r="EQ87" s="255"/>
      <c r="ER87" s="255"/>
      <c r="ES87" s="255"/>
      <c r="ET87" s="255"/>
      <c r="EU87" s="255"/>
      <c r="EV87" s="255"/>
      <c r="EW87" s="255"/>
      <c r="EX87" s="255"/>
      <c r="EY87" s="255"/>
      <c r="EZ87" s="255"/>
      <c r="FA87" s="255"/>
      <c r="FB87" s="255"/>
      <c r="FC87" s="255"/>
      <c r="FD87" s="255"/>
      <c r="FE87" s="255"/>
      <c r="FF87" s="255"/>
      <c r="FG87" s="255"/>
      <c r="FH87" s="255"/>
      <c r="FI87" s="255"/>
      <c r="FJ87" s="255"/>
      <c r="FK87" s="255"/>
      <c r="FL87" s="255"/>
      <c r="FM87" s="255"/>
      <c r="FN87" s="255"/>
      <c r="FO87" s="255"/>
      <c r="FP87" s="255"/>
      <c r="FQ87" s="255"/>
      <c r="FR87" s="255"/>
      <c r="FS87" s="255"/>
      <c r="FT87" s="255"/>
      <c r="FU87" s="255"/>
      <c r="FV87" s="255"/>
      <c r="FW87" s="256"/>
      <c r="FX87" s="676"/>
      <c r="FY87" s="676"/>
      <c r="FZ87" s="1061"/>
      <c r="GA87" s="1061"/>
      <c r="GB87" s="1061"/>
      <c r="GC87" s="697"/>
      <c r="GD87" s="697"/>
    </row>
    <row s="1621" customFormat="1" customHeight="1" ht="14.25">
      <c r="A88" s="467"/>
      <c r="B88" s="854"/>
      <c r="C88" s="467"/>
      <c r="D88" s="467"/>
      <c r="E88" s="822">
        <v>15</v>
      </c>
      <c r="F88" s="50" cm="1" t="str">
        <f t="array" ref="F88:F88">OFFSET(E88,-1,1)</f>
        <v>1</v>
      </c>
      <c r="G88" s="467"/>
      <c r="H88" s="467"/>
      <c r="I88" s="467"/>
      <c r="J88" s="467"/>
      <c r="K88" s="467"/>
      <c r="L88" s="467"/>
      <c r="M88" s="467"/>
      <c r="N88" s="467"/>
      <c r="O88" s="467"/>
      <c r="P88" s="467"/>
      <c r="Q88" s="910"/>
      <c r="R88" s="467"/>
      <c r="S88" s="458"/>
      <c r="T88" s="439" cm="1" t="str">
        <f t="array" ref="T88:T88">T87</f>
        <v>true</v>
      </c>
      <c r="U88" s="467"/>
      <c r="V88" s="467"/>
      <c r="W88" s="467"/>
      <c r="X88" s="1534"/>
      <c r="Y88" s="467"/>
      <c r="Z88" s="1464"/>
      <c r="AA88" s="467"/>
      <c r="AB88" s="1422" t="s">
        <v>1489</v>
      </c>
      <c r="AC88" s="1424"/>
      <c r="AD88" s="875" cm="1" t="str">
        <f t="array" ref="AD88:AD88">INDEX('Общие сведения'!$AJ$179:$AJ$222,MATCH($X85,'Общие сведения'!$Z$179:$Z$222,0))</f>
        <v>Оказание услуг на территории: Прокопьевский муниципальный округ (ОКТМО: 32522000) - п Калачево</v>
      </c>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c r="DM88" s="255"/>
      <c r="DN88" s="255"/>
      <c r="DO88" s="255"/>
      <c r="DP88" s="255"/>
      <c r="DQ88" s="255"/>
      <c r="DR88" s="255"/>
      <c r="DS88" s="255"/>
      <c r="DT88" s="255"/>
      <c r="DU88" s="255"/>
      <c r="DV88" s="255"/>
      <c r="DW88" s="255"/>
      <c r="DX88" s="255"/>
      <c r="DY88" s="255"/>
      <c r="DZ88" s="255"/>
      <c r="EA88" s="255"/>
      <c r="EB88" s="255"/>
      <c r="EC88" s="255"/>
      <c r="ED88" s="255"/>
      <c r="EE88" s="255"/>
      <c r="EF88" s="255"/>
      <c r="EG88" s="255"/>
      <c r="EH88" s="255"/>
      <c r="EI88" s="255"/>
      <c r="EJ88" s="255"/>
      <c r="EK88" s="255"/>
      <c r="EL88" s="255"/>
      <c r="EM88" s="255"/>
      <c r="EN88" s="255"/>
      <c r="EO88" s="255"/>
      <c r="EP88" s="255"/>
      <c r="EQ88" s="255"/>
      <c r="ER88" s="255"/>
      <c r="ES88" s="255"/>
      <c r="ET88" s="255"/>
      <c r="EU88" s="255"/>
      <c r="EV88" s="255"/>
      <c r="EW88" s="255"/>
      <c r="EX88" s="255"/>
      <c r="EY88" s="255"/>
      <c r="EZ88" s="255"/>
      <c r="FA88" s="255"/>
      <c r="FB88" s="255"/>
      <c r="FC88" s="255"/>
      <c r="FD88" s="255"/>
      <c r="FE88" s="255"/>
      <c r="FF88" s="255"/>
      <c r="FG88" s="255"/>
      <c r="FH88" s="255"/>
      <c r="FI88" s="255"/>
      <c r="FJ88" s="255"/>
      <c r="FK88" s="255"/>
      <c r="FL88" s="255"/>
      <c r="FM88" s="255"/>
      <c r="FN88" s="255"/>
      <c r="FO88" s="255"/>
      <c r="FP88" s="255"/>
      <c r="FQ88" s="255"/>
      <c r="FR88" s="255"/>
      <c r="FS88" s="255"/>
      <c r="FT88" s="255"/>
      <c r="FU88" s="255"/>
      <c r="FV88" s="255"/>
      <c r="FW88" s="256"/>
      <c r="FX88" s="676"/>
      <c r="FY88" s="676"/>
      <c r="FZ88" s="1061"/>
      <c r="GA88" s="1061"/>
      <c r="GB88" s="1061"/>
      <c r="GC88" s="697"/>
      <c r="GD88" s="697"/>
    </row>
    <row s="1621" customFormat="1" customHeight="1" ht="14.25">
      <c r="A89" s="467"/>
      <c r="B89" s="907">
        <f>AND(R85="одноставочный",NOT(S85))</f>
        <v>1</v>
      </c>
      <c r="C89" s="467"/>
      <c r="D89" s="467"/>
      <c r="E89" s="822">
        <v>15</v>
      </c>
      <c r="F89" s="50" cm="1" t="str">
        <f t="array" ref="F89:F89">OFFSET(E89,-1,1)</f>
        <v>1</v>
      </c>
      <c r="G89" s="467"/>
      <c r="H89" s="467"/>
      <c r="I89" s="467"/>
      <c r="J89" s="467"/>
      <c r="K89" s="467"/>
      <c r="L89" s="467"/>
      <c r="M89" s="467"/>
      <c r="N89" s="467"/>
      <c r="O89" s="467"/>
      <c r="P89" s="467"/>
      <c r="Q89" s="467"/>
      <c r="R89" s="467"/>
      <c r="S89" s="467"/>
      <c r="T89" s="439" cm="1" t="str">
        <f t="array" ref="T89:T89">T88</f>
        <v>true</v>
      </c>
      <c r="U89" s="467"/>
      <c r="V89" s="467"/>
      <c r="W89" s="467"/>
      <c r="X89" s="1534"/>
      <c r="Y89" s="467"/>
      <c r="Z89" s="1464"/>
      <c r="AA89" s="467"/>
      <c r="AB89" s="876" t="s">
        <v>1490</v>
      </c>
      <c r="AC89" s="877"/>
      <c r="AD89" s="878"/>
      <c r="AE89" s="878"/>
      <c r="AF89" s="878"/>
      <c r="AG89" s="878"/>
      <c r="AH89" s="878"/>
      <c r="AI89" s="878"/>
      <c r="AJ89" s="878"/>
      <c r="AK89" s="878"/>
      <c r="AL89" s="878"/>
      <c r="AM89" s="878"/>
      <c r="AN89" s="878"/>
      <c r="AO89" s="878"/>
      <c r="AP89" s="878"/>
      <c r="AQ89" s="878"/>
      <c r="AR89" s="878"/>
      <c r="AS89" s="878"/>
      <c r="AT89" s="878"/>
      <c r="AU89" s="878"/>
      <c r="AV89" s="878"/>
      <c r="AW89" s="878"/>
      <c r="AX89" s="878"/>
      <c r="AY89" s="878"/>
      <c r="AZ89" s="878"/>
      <c r="BA89" s="878"/>
      <c r="BB89" s="878"/>
      <c r="BC89" s="878"/>
      <c r="BD89" s="878"/>
      <c r="BE89" s="878"/>
      <c r="BF89" s="878"/>
      <c r="BG89" s="878"/>
      <c r="BH89" s="878"/>
      <c r="BI89" s="878"/>
      <c r="BJ89" s="889"/>
      <c r="BK89" s="878"/>
      <c r="BL89" s="878"/>
      <c r="BM89" s="889"/>
      <c r="BN89" s="878"/>
      <c r="BO89" s="878"/>
      <c r="BP89" s="889"/>
      <c r="BQ89" s="878"/>
      <c r="BR89" s="878"/>
      <c r="BS89" s="889"/>
      <c r="BT89" s="878"/>
      <c r="BU89" s="878"/>
      <c r="BV89" s="889"/>
      <c r="BW89" s="878"/>
      <c r="BX89" s="878"/>
      <c r="BY89" s="889"/>
      <c r="BZ89" s="878"/>
      <c r="CA89" s="878"/>
      <c r="CB89" s="889"/>
      <c r="CC89" s="878"/>
      <c r="CD89" s="878"/>
      <c r="CE89" s="889"/>
      <c r="CF89" s="878"/>
      <c r="CG89" s="878"/>
      <c r="CH89" s="889"/>
      <c r="CI89" s="878"/>
      <c r="CJ89" s="878"/>
      <c r="CK89" s="889"/>
      <c r="CL89" s="878"/>
      <c r="CM89" s="878"/>
      <c r="CN89" s="889"/>
      <c r="CO89" s="878"/>
      <c r="CP89" s="878"/>
      <c r="CQ89" s="889"/>
      <c r="CR89" s="878"/>
      <c r="CS89" s="878"/>
      <c r="CT89" s="889"/>
      <c r="CU89" s="878"/>
      <c r="CV89" s="878"/>
      <c r="CW89" s="889"/>
      <c r="CX89" s="878"/>
      <c r="CY89" s="878"/>
      <c r="CZ89" s="889"/>
      <c r="DA89" s="878"/>
      <c r="DB89" s="878"/>
      <c r="DC89" s="889"/>
      <c r="DD89" s="878"/>
      <c r="DE89" s="878"/>
      <c r="DF89" s="258"/>
      <c r="DG89" s="257"/>
      <c r="DH89" s="257"/>
      <c r="DI89" s="258"/>
      <c r="DJ89" s="257"/>
      <c r="DK89" s="257"/>
      <c r="DL89" s="258"/>
      <c r="DM89" s="257"/>
      <c r="DN89" s="257"/>
      <c r="DO89" s="258"/>
      <c r="DP89" s="257"/>
      <c r="DQ89" s="257"/>
      <c r="DR89" s="258"/>
      <c r="DS89" s="257"/>
      <c r="DT89" s="257"/>
      <c r="DU89" s="258"/>
      <c r="DV89" s="257"/>
      <c r="DW89" s="257"/>
      <c r="DX89" s="258"/>
      <c r="DY89" s="257"/>
      <c r="DZ89" s="257"/>
      <c r="EA89" s="258"/>
      <c r="EB89" s="257"/>
      <c r="EC89" s="257"/>
      <c r="ED89" s="258"/>
      <c r="EE89" s="257"/>
      <c r="EF89" s="257"/>
      <c r="EG89" s="258"/>
      <c r="EH89" s="257"/>
      <c r="EI89" s="257"/>
      <c r="EJ89" s="258"/>
      <c r="EK89" s="257"/>
      <c r="EL89" s="257"/>
      <c r="EM89" s="258"/>
      <c r="EN89" s="257"/>
      <c r="EO89" s="257"/>
      <c r="EP89" s="258"/>
      <c r="EQ89" s="257"/>
      <c r="ER89" s="257"/>
      <c r="ES89" s="258"/>
      <c r="ET89" s="257"/>
      <c r="EU89" s="257"/>
      <c r="EV89" s="258"/>
      <c r="EW89" s="257"/>
      <c r="EX89" s="257"/>
      <c r="EY89" s="258"/>
      <c r="EZ89" s="257"/>
      <c r="FA89" s="257"/>
      <c r="FB89" s="258"/>
      <c r="FC89" s="257"/>
      <c r="FD89" s="257"/>
      <c r="FE89" s="258"/>
      <c r="FF89" s="257"/>
      <c r="FG89" s="257"/>
      <c r="FH89" s="258"/>
      <c r="FI89" s="257"/>
      <c r="FJ89" s="257"/>
      <c r="FK89" s="258"/>
      <c r="FL89" s="257"/>
      <c r="FM89" s="257"/>
      <c r="FN89" s="258"/>
      <c r="FO89" s="257"/>
      <c r="FP89" s="257"/>
      <c r="FQ89" s="258"/>
      <c r="FR89" s="257"/>
      <c r="FS89" s="257"/>
      <c r="FT89" s="258"/>
      <c r="FU89" s="257"/>
      <c r="FV89" s="257"/>
      <c r="FW89" s="258"/>
      <c r="FX89" s="676"/>
      <c r="FY89" s="676"/>
      <c r="FZ89" s="1061"/>
      <c r="GA89" s="1061"/>
      <c r="GB89" s="1061"/>
      <c r="GC89" s="697"/>
      <c r="GD89" s="697"/>
    </row>
    <row s="3437" customFormat="1" customHeight="1" ht="23.25">
      <c r="A90" s="879"/>
      <c r="B90" s="907" cm="1" t="str">
        <f t="array" ref="B90:B90">B89</f>
        <v>true</v>
      </c>
      <c r="C90" s="879"/>
      <c r="D90" s="879"/>
      <c r="E90" s="880">
        <v>24.5</v>
      </c>
      <c r="F90" s="50" cm="1" t="str">
        <f t="array" ref="F90:F90">OFFSET(E90,-1,1)</f>
        <v>1</v>
      </c>
      <c r="G90" s="467" t="s">
        <v>1491</v>
      </c>
      <c r="H90" s="467" t="s">
        <v>441</v>
      </c>
      <c r="I90" s="467" t="s">
        <v>1492</v>
      </c>
      <c r="J90" s="879"/>
      <c r="K90" s="879"/>
      <c r="L90" s="467"/>
      <c r="M90" s="879"/>
      <c r="N90" s="879"/>
      <c r="O90" s="879"/>
      <c r="P90" s="879"/>
      <c r="Q90" s="879"/>
      <c r="R90" s="879"/>
      <c r="S90" s="467"/>
      <c r="T90" s="439" cm="1" t="str">
        <f t="array" ref="T90:T90">T89</f>
        <v>true</v>
      </c>
      <c r="U90" s="879"/>
      <c r="V90" s="879"/>
      <c r="W90" s="879"/>
      <c r="X90" s="1534"/>
      <c r="Y90" s="879"/>
      <c r="Z90" s="1464"/>
      <c r="AA90" s="879"/>
      <c r="AB90" s="260" t="s">
        <v>1493</v>
      </c>
      <c r="AC90" s="261" t="s">
        <v>1494</v>
      </c>
      <c r="AD90" s="881">
        <f>IF(AND(method_reg="Метод индексации",god&lt;&gt;first_year),_xlfn.SUMIFS(INDEX('Калькуляция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(МИ)'!$AJ$25:$BC$459,,MATCH(AD$8,'Калькуляция (МИ)'!$AJ$8:$BC$8,0)),'Калькуляция (МИ)'!$F$25:$F$459,$F90,'Калькуляция (МИ)'!$G$25:$G$459,$G90))))</f>
        <v>50.56</v>
      </c>
      <c r="AE90" s="881">
        <f>IF(AND(method_reg="Метод индексации",god&lt;&gt;first_year),_xlfn.SUMIFS(INDEX('Калькуляция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(МИ)'!$AJ$25:$BC$459,,MATCH(AE$8,'Калькуляция (МИ)'!$AJ$8:$BC$8,0)),'Калькуляция (МИ)'!$F$25:$F$459,$F90,'Калькуляция (МИ)'!$G$25:$G$459,$G90))))</f>
        <v>41.52</v>
      </c>
      <c r="AF90" s="263">
        <f>IF(AD90=0,0,(AE90-AD90)/AD90*100)</f>
        <v>-17.879746835443</v>
      </c>
      <c r="AG90" s="3395">
        <f>IF(AND(method_reg="Метод индексации",god&lt;&gt;first_year),_xlfn.SUMIFS(INDEX('Калькуляция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(МИ)'!$AJ$25:$BC$459,,MATCH(AG$8,'Калькуляция (МИ)'!$AJ$8:$BC$8,0)),'Калькуляция (МИ)'!$F$25:$F$459,$F90,'Калькуляция (МИ)'!$G$25:$G$459,$G90))))</f>
        <v>0</v>
      </c>
      <c r="AH90" s="3395">
        <f>IF(AND(method_reg="Метод индексации",god&lt;&gt;first_year),_xlfn.SUMIFS(INDEX('Калькуляция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(МИ)'!$AJ$25:$BC$459,,MATCH(AH$8,'Калькуляция (МИ)'!$AJ$8:$BC$8,0)),'Калькуляция (МИ)'!$F$25:$F$459,$F90,'Калькуляция (МИ)'!$G$25:$G$459,$G90))))</f>
        <v>45.67</v>
      </c>
      <c r="AI90" s="263">
        <f>IF(AG90=0,0,(AH90-AG90)/AG90*100)</f>
        <v>0</v>
      </c>
      <c r="AJ90" s="3395">
        <f>IF(AND(method_reg="Метод индексации",god&lt;&gt;first_year),_xlfn.SUMIFS(INDEX('Калькуляция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(МИ)'!$AJ$25:$BC$459,,MATCH(AJ$8,'Калькуляция (МИ)'!$AJ$8:$BC$8,0)),'Калькуляция (МИ)'!$F$25:$F$459,$F90,'Калькуляция (МИ)'!$G$25:$G$459,$G90))))</f>
        <v>0</v>
      </c>
      <c r="AK90" s="3395">
        <f>IF(AND(method_reg="Метод индексации",god&lt;&gt;first_year),_xlfn.SUMIFS(INDEX('Калькуляция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(МИ)'!$AJ$25:$BC$459,,MATCH(AK$8,'Калькуляция (МИ)'!$AJ$8:$BC$8,0)),'Калькуляция (МИ)'!$F$25:$F$459,$F90,'Калькуляция (МИ)'!$G$25:$G$459,$G90))))</f>
        <v>0</v>
      </c>
      <c r="AL90" s="263">
        <f>IF(AJ90=0,0,(AK90-AJ90)/AJ90*100)</f>
        <v>0</v>
      </c>
      <c r="AM90" s="881">
        <f>IF(AND(method_reg="Метод индексации",god&lt;&gt;first_year),_xlfn.SUMIFS(INDEX('Калькуляция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(МИ)'!$AJ$25:$BC$459,,MATCH(AM$8,'Калькуляция (МИ)'!$AJ$8:$BC$8,0)),'Калькуляция (МИ)'!$F$25:$F$459,$F90,'Калькуляция (МИ)'!$G$25:$G$459,$G90))))</f>
        <v>0</v>
      </c>
      <c r="AN90" s="881">
        <f>IF(AND(method_reg="Метод индексации",god&lt;&gt;first_year),_xlfn.SUMIFS(INDEX('Калькуляция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(МИ)'!$AJ$25:$BC$459,,MATCH(AN$8,'Калькуляция (МИ)'!$AJ$8:$BC$8,0)),'Калькуляция (МИ)'!$F$25:$F$459,$F90,'Калькуляция (МИ)'!$G$25:$G$459,$G90))))</f>
        <v>0</v>
      </c>
      <c r="AO90" s="263">
        <f>IF(AM90=0,0,(AN90-AM90)/AM90*100)</f>
        <v>0</v>
      </c>
      <c r="AP90" s="881">
        <f>IF(AND(method_reg="Метод индексации",god&lt;&gt;first_year),_xlfn.SUMIFS(INDEX('Калькуляция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(МИ)'!$AJ$25:$BC$459,,MATCH(AP$8,'Калькуляция (МИ)'!$AJ$8:$BC$8,0)),'Калькуляция (МИ)'!$F$25:$F$459,$F90,'Калькуляция (МИ)'!$G$25:$G$459,$G90))))</f>
        <v>0</v>
      </c>
      <c r="AQ90" s="881">
        <f>IF(AND(method_reg="Метод индексации",god&lt;&gt;first_year),_xlfn.SUMIFS(INDEX('Калькуляция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(МИ)'!$AJ$25:$BC$459,,MATCH(AQ$8,'Калькуляция (МИ)'!$AJ$8:$BC$8,0)),'Калькуляция (МИ)'!$F$25:$F$459,$F90,'Калькуляция (МИ)'!$G$25:$G$459,$G90))))</f>
        <v>0</v>
      </c>
      <c r="AR90" s="263">
        <f>IF(AP90=0,0,(AQ90-AP90)/AP90*100)</f>
        <v>0</v>
      </c>
      <c r="AS90" s="881">
        <f>IF(AND(method_reg="Метод индексации",god&lt;&gt;first_year),_xlfn.SUMIFS(INDEX('Калькуляция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(МИ)'!$AJ$25:$BC$459,,MATCH(AS$8,'Калькуляция (МИ)'!$AJ$8:$BC$8,0)),'Калькуляция (МИ)'!$F$25:$F$459,$F90,'Калькуляция (МИ)'!$G$25:$G$459,$G90))))</f>
        <v>0</v>
      </c>
      <c r="AT90" s="881">
        <f>IF(AND(method_reg="Метод индексации",god&lt;&gt;first_year),_xlfn.SUMIFS(INDEX('Калькуляция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(МИ)'!$AJ$25:$BC$459,,MATCH(AT$8,'Калькуляция (МИ)'!$AJ$8:$BC$8,0)),'Калькуляция (МИ)'!$F$25:$F$459,$F90,'Калькуляция (МИ)'!$G$25:$G$459,$G90))))</f>
        <v>0</v>
      </c>
      <c r="AU90" s="263">
        <f>IF(AS90=0,0,(AT90-AS90)/AS90*100)</f>
        <v>0</v>
      </c>
      <c r="AV90" s="881">
        <f>IF(AND(method_reg="Метод индексации",god&lt;&gt;first_year),_xlfn.SUMIFS(INDEX('Калькуляция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(МИ)'!$AJ$25:$BC$459,,MATCH(AV$8,'Калькуляция (МИ)'!$AJ$8:$BC$8,0)),'Калькуляция (МИ)'!$F$25:$F$459,$F90,'Калькуляция (МИ)'!$G$25:$G$459,$G90))))</f>
        <v>0</v>
      </c>
      <c r="AW90" s="881">
        <f>IF(AND(method_reg="Метод индексации",god&lt;&gt;first_year),_xlfn.SUMIFS(INDEX('Калькуляция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(МИ)'!$AJ$25:$BC$459,,MATCH(AW$8,'Калькуляция (МИ)'!$AJ$8:$BC$8,0)),'Калькуляция (МИ)'!$F$25:$F$459,$F90,'Калькуляция (МИ)'!$G$25:$G$459,$G90))))</f>
        <v>0</v>
      </c>
      <c r="AX90" s="263">
        <f>IF(AV90=0,0,(AW90-AV90)/AV90*100)</f>
        <v>0</v>
      </c>
      <c r="AY90" s="881">
        <f>IF(AND(method_reg="Метод индексации",god&lt;&gt;first_year),_xlfn.SUMIFS(INDEX('Калькуляция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(МИ)'!$AJ$25:$BC$459,,MATCH(AY$8,'Калькуляция (МИ)'!$AJ$8:$BC$8,0)),'Калькуляция (МИ)'!$F$25:$F$459,$F90,'Калькуляция (МИ)'!$G$25:$G$459,$G90))))</f>
        <v>0</v>
      </c>
      <c r="AZ90" s="881">
        <f>IF(AND(method_reg="Метод индексации",god&lt;&gt;first_year),_xlfn.SUMIFS(INDEX('Калькуляция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(МИ)'!$AJ$25:$BC$459,,MATCH(AZ$8,'Калькуляция (МИ)'!$AJ$8:$BC$8,0)),'Калькуляция (МИ)'!$F$25:$F$459,$F90,'Калькуляция (МИ)'!$G$25:$G$459,$G90))))</f>
        <v>0</v>
      </c>
      <c r="BA90" s="263">
        <f>IF(AY90=0,0,(AZ90-AY90)/AY90*100)</f>
        <v>0</v>
      </c>
      <c r="BB90" s="881">
        <f>IF(AND(method_reg="Метод индексации",god&lt;&gt;first_year),_xlfn.SUMIFS(INDEX('Калькуляция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(МИ)'!$AJ$25:$BC$459,,MATCH(BB$8,'Калькуляция (МИ)'!$AJ$8:$BC$8,0)),'Калькуляция (МИ)'!$F$25:$F$459,$F90,'Калькуляция (МИ)'!$G$25:$G$459,$G90))))</f>
        <v>0</v>
      </c>
      <c r="BC90" s="881">
        <f>IF(AND(method_reg="Метод индексации",god&lt;&gt;first_year),_xlfn.SUMIFS(INDEX('Калькуляция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(МИ)'!$AJ$25:$BC$459,,MATCH(BC$8,'Калькуляция (МИ)'!$AJ$8:$BC$8,0)),'Калькуляция (МИ)'!$F$25:$F$459,$F90,'Калькуляция (МИ)'!$G$25:$G$459,$G90))))</f>
        <v>0</v>
      </c>
      <c r="BD90" s="263">
        <f>IF(BB90=0,0,(BC90-BB90)/BB90*100)</f>
        <v>0</v>
      </c>
      <c r="BE90" s="881">
        <f>IF(AND(method_reg="Метод индексации",god&lt;&gt;first_year),_xlfn.SUMIFS(INDEX('Калькуляция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расходов",_xlfn.SUMIFS('Калькуляция (МЭОР)'!$AJ$25:$AJ$282,'Калькуляция (МЭОР)'!$F$25:$F$282,$F90,'Калькуляция (МЭОР)'!$G$25:$G$282,$G90),IF(method_reg="Метод сравнения аналогов",_xlfn.SUMIFS('Калькуляция (МСА)'!$AE$25:$AE$84,'Калькуляция (МСА)'!$F$25:$F$84,$F90,'Калькуляция (МСА)'!$G$25:$G$84,$G90),_xlfn.SUMIFS(INDEX('Калькуляция (МИ)'!$AJ$25:$BC$459,,MATCH(BE$8,'Калькуляция (МИ)'!$AJ$8:$BC$8,0)),'Калькуляция (МИ)'!$F$25:$F$459,$F90,'Калькуляция (МИ)'!$G$25:$G$459,$G90))))</f>
        <v>0</v>
      </c>
      <c r="BF90" s="881">
        <f>IF(AND(method_reg="Метод индексации",god&lt;&gt;first_year),_xlfn.SUMIFS(INDEX('Калькуляция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расходов",_xlfn.SUMIFS('Калькуляция (МЭОР)'!$AK$25:$AK$282,'Калькуляция (МЭОР)'!$F$25:$F$282,$F90,'Калькуляция (МЭОР)'!$G$25:$G$282,$G90),IF(method_reg="Метод сравнения аналогов",_xlfn.SUMIFS('Калькуляция (МСА)'!$AF$25:$AF$84,'Калькуляция (МСА)'!$F$25:$F$84,$F90,'Калькуляция (МСА)'!$G$25:$G$84,$G90),_xlfn.SUMIFS(INDEX('Калькуляция (МИ)'!$AJ$25:$BC$459,,MATCH(BF$8,'Калькуляция (МИ)'!$AJ$8:$BC$8,0)),'Калькуляция (МИ)'!$F$25:$F$459,$F90,'Калькуляция (МИ)'!$G$25:$G$459,$G90))))</f>
        <v>0</v>
      </c>
      <c r="BG90" s="263">
        <f>IF(BE90=0,0,(BF90-BE90)/BE90*100)</f>
        <v>0</v>
      </c>
      <c r="BH90" s="881"/>
      <c r="BI90" s="881"/>
      <c r="BJ90" s="263">
        <f>IF(BH90=0,0,(BI90-BH90)/BH90*100)</f>
        <v>0</v>
      </c>
      <c r="BK90" s="881"/>
      <c r="BL90" s="881"/>
      <c r="BM90" s="263">
        <f>IF(BK90=0,0,(BL90-BK90)/BK90*100)</f>
        <v>0</v>
      </c>
      <c r="BN90" s="881"/>
      <c r="BO90" s="881"/>
      <c r="BP90" s="263">
        <f>IF(BN90=0,0,(BO90-BN90)/BN90*100)</f>
        <v>0</v>
      </c>
      <c r="BQ90" s="881"/>
      <c r="BR90" s="881"/>
      <c r="BS90" s="263">
        <f>IF(BQ90=0,0,(BR90-BQ90)/BQ90*100)</f>
        <v>0</v>
      </c>
      <c r="BT90" s="881"/>
      <c r="BU90" s="881"/>
      <c r="BV90" s="263">
        <f>IF(BT90=0,0,(BU90-BT90)/BT90*100)</f>
        <v>0</v>
      </c>
      <c r="BW90" s="881"/>
      <c r="BX90" s="881"/>
      <c r="BY90" s="263">
        <f>IF(BW90=0,0,(BX90-BW90)/BW90*100)</f>
        <v>0</v>
      </c>
      <c r="BZ90" s="881"/>
      <c r="CA90" s="881"/>
      <c r="CB90" s="263">
        <f>IF(BZ90=0,0,(CA90-BZ90)/BZ90*100)</f>
        <v>0</v>
      </c>
      <c r="CC90" s="881"/>
      <c r="CD90" s="881"/>
      <c r="CE90" s="263">
        <f>IF(CC90=0,0,(CD90-CC90)/CC90*100)</f>
        <v>0</v>
      </c>
      <c r="CF90" s="881"/>
      <c r="CG90" s="881"/>
      <c r="CH90" s="263">
        <f>IF(CF90=0,0,(CG90-CF90)/CF90*100)</f>
        <v>0</v>
      </c>
      <c r="CI90" s="881"/>
      <c r="CJ90" s="881"/>
      <c r="CK90" s="263">
        <f>IF(CI90=0,0,(CJ90-CI90)/CI90*100)</f>
        <v>0</v>
      </c>
      <c r="CL90" s="881"/>
      <c r="CM90" s="881"/>
      <c r="CN90" s="263">
        <f>IF(CL90=0,0,(CM90-CL90)/CL90*100)</f>
        <v>0</v>
      </c>
      <c r="CO90" s="881"/>
      <c r="CP90" s="881"/>
      <c r="CQ90" s="263">
        <f>IF(CO90=0,0,(CP90-CO90)/CO90*100)</f>
        <v>0</v>
      </c>
      <c r="CR90" s="881"/>
      <c r="CS90" s="881"/>
      <c r="CT90" s="263">
        <f>IF(CR90=0,0,(CS90-CR90)/CR90*100)</f>
        <v>0</v>
      </c>
      <c r="CU90" s="881"/>
      <c r="CV90" s="881"/>
      <c r="CW90" s="263">
        <f>IF(CU90=0,0,(CV90-CU90)/CU90*100)</f>
        <v>0</v>
      </c>
      <c r="CX90" s="881"/>
      <c r="CY90" s="881"/>
      <c r="CZ90" s="263">
        <f>IF(CX90=0,0,(CY90-CX90)/CX90*100)</f>
        <v>0</v>
      </c>
      <c r="DA90" s="881"/>
      <c r="DB90" s="881"/>
      <c r="DC90" s="263">
        <f>IF(DA90=0,0,(DB90-DA90)/DA90*100)</f>
        <v>0</v>
      </c>
      <c r="DD90" s="881"/>
      <c r="DE90" s="881"/>
      <c r="DF90" s="263">
        <f>IF(DD90=0,0,(DE90-DD90)/DD90*100)</f>
        <v>0</v>
      </c>
      <c r="DG90" s="262"/>
      <c r="DH90" s="262"/>
      <c r="DI90" s="263">
        <f>IF(DG90=0,0,(DH90-DG90)/DG90*100)</f>
        <v>0</v>
      </c>
      <c r="DJ90" s="262"/>
      <c r="DK90" s="262"/>
      <c r="DL90" s="263">
        <f>IF(DJ90=0,0,(DK90-DJ90)/DJ90*100)</f>
        <v>0</v>
      </c>
      <c r="DM90" s="262"/>
      <c r="DN90" s="262"/>
      <c r="DO90" s="263">
        <f>IF(DM90=0,0,(DN90-DM90)/DM90*100)</f>
        <v>0</v>
      </c>
      <c r="DP90" s="262"/>
      <c r="DQ90" s="262"/>
      <c r="DR90" s="263">
        <f>IF(DP90=0,0,(DQ90-DP90)/DP90*100)</f>
        <v>0</v>
      </c>
      <c r="DS90" s="262"/>
      <c r="DT90" s="262"/>
      <c r="DU90" s="263">
        <f>IF(DS90=0,0,(DT90-DS90)/DS90*100)</f>
        <v>0</v>
      </c>
      <c r="DV90" s="262"/>
      <c r="DW90" s="262"/>
      <c r="DX90" s="263">
        <f>IF(DV90=0,0,(DW90-DV90)/DV90*100)</f>
        <v>0</v>
      </c>
      <c r="DY90" s="262"/>
      <c r="DZ90" s="262"/>
      <c r="EA90" s="263">
        <f>IF(DY90=0,0,(DZ90-DY90)/DY90*100)</f>
        <v>0</v>
      </c>
      <c r="EB90" s="262"/>
      <c r="EC90" s="262"/>
      <c r="ED90" s="263">
        <f>IF(EB90=0,0,(EC90-EB90)/EB90*100)</f>
        <v>0</v>
      </c>
      <c r="EE90" s="262"/>
      <c r="EF90" s="262"/>
      <c r="EG90" s="263">
        <f>IF(EE90=0,0,(EF90-EE90)/EE90*100)</f>
        <v>0</v>
      </c>
      <c r="EH90" s="262"/>
      <c r="EI90" s="262"/>
      <c r="EJ90" s="263">
        <f>IF(EH90=0,0,(EI90-EH90)/EH90*100)</f>
        <v>0</v>
      </c>
      <c r="EK90" s="262"/>
      <c r="EL90" s="262"/>
      <c r="EM90" s="263">
        <f>IF(EK90=0,0,(EL90-EK90)/EK90*100)</f>
        <v>0</v>
      </c>
      <c r="EN90" s="262"/>
      <c r="EO90" s="262"/>
      <c r="EP90" s="263">
        <f>IF(EN90=0,0,(EO90-EN90)/EN90*100)</f>
        <v>0</v>
      </c>
      <c r="EQ90" s="262"/>
      <c r="ER90" s="262"/>
      <c r="ES90" s="263">
        <f>IF(EQ90=0,0,(ER90-EQ90)/EQ90*100)</f>
        <v>0</v>
      </c>
      <c r="ET90" s="262"/>
      <c r="EU90" s="262"/>
      <c r="EV90" s="263">
        <f>IF(ET90=0,0,(EU90-ET90)/ET90*100)</f>
        <v>0</v>
      </c>
      <c r="EW90" s="262"/>
      <c r="EX90" s="262"/>
      <c r="EY90" s="263">
        <f>IF(EW90=0,0,(EX90-EW90)/EW90*100)</f>
        <v>0</v>
      </c>
      <c r="EZ90" s="262"/>
      <c r="FA90" s="262"/>
      <c r="FB90" s="263">
        <f>IF(EZ90=0,0,(FA90-EZ90)/EZ90*100)</f>
        <v>0</v>
      </c>
      <c r="FC90" s="262"/>
      <c r="FD90" s="262"/>
      <c r="FE90" s="263">
        <f>IF(FC90=0,0,(FD90-FC90)/FC90*100)</f>
        <v>0</v>
      </c>
      <c r="FF90" s="262"/>
      <c r="FG90" s="262"/>
      <c r="FH90" s="263">
        <f>IF(FF90=0,0,(FG90-FF90)/FF90*100)</f>
        <v>0</v>
      </c>
      <c r="FI90" s="262"/>
      <c r="FJ90" s="262"/>
      <c r="FK90" s="263">
        <f>IF(FI90=0,0,(FJ90-FI90)/FI90*100)</f>
        <v>0</v>
      </c>
      <c r="FL90" s="262"/>
      <c r="FM90" s="262"/>
      <c r="FN90" s="263">
        <f>IF(FL90=0,0,(FM90-FL90)/FL90*100)</f>
        <v>0</v>
      </c>
      <c r="FO90" s="262"/>
      <c r="FP90" s="262"/>
      <c r="FQ90" s="263">
        <f>IF(FO90=0,0,(FP90-FO90)/FO90*100)</f>
        <v>0</v>
      </c>
      <c r="FR90" s="262"/>
      <c r="FS90" s="262"/>
      <c r="FT90" s="263">
        <f>IF(FR90=0,0,(FS90-FR90)/FR90*100)</f>
        <v>0</v>
      </c>
      <c r="FU90" s="262"/>
      <c r="FV90" s="262"/>
      <c r="FW90" s="263">
        <f>IF(FU90=0,0,(FV90-FU90)/FU90*100)</f>
        <v>0</v>
      </c>
      <c r="FX90" s="259"/>
      <c r="FY90" s="259"/>
      <c r="FZ90" s="1039" t="s">
        <v>1495</v>
      </c>
      <c r="GA90" s="1039"/>
      <c r="GB90" s="1039"/>
      <c r="GC90" s="1040"/>
      <c r="GD90" s="1040"/>
    </row>
    <row s="3440" customFormat="1" customHeight="1" ht="23.25">
      <c r="A91" s="879"/>
      <c r="B91" s="907" cm="1" t="str">
        <f t="array" ref="B91:B91">B90</f>
        <v>true</v>
      </c>
      <c r="C91" s="879"/>
      <c r="D91" s="879"/>
      <c r="E91" s="880">
        <v>24.5</v>
      </c>
      <c r="F91" s="50" cm="1" t="str">
        <f t="array" ref="F91:F91">OFFSET(E91,-1,1)</f>
        <v>1</v>
      </c>
      <c r="G91" s="467" t="s">
        <v>1496</v>
      </c>
      <c r="H91" s="467" t="s">
        <v>441</v>
      </c>
      <c r="I91" s="467" t="s">
        <v>1497</v>
      </c>
      <c r="J91" s="879"/>
      <c r="K91" s="879"/>
      <c r="L91" s="467"/>
      <c r="M91" s="879"/>
      <c r="N91" s="879"/>
      <c r="O91" s="879"/>
      <c r="P91" s="879"/>
      <c r="Q91" s="879"/>
      <c r="R91" s="879"/>
      <c r="S91" s="467"/>
      <c r="T91" s="439" cm="1" t="str">
        <f t="array" ref="T91:T91">T90</f>
        <v>true</v>
      </c>
      <c r="U91" s="879"/>
      <c r="V91" s="879"/>
      <c r="W91" s="879"/>
      <c r="X91" s="1534"/>
      <c r="Y91" s="879"/>
      <c r="Z91" s="1464"/>
      <c r="AA91" s="879"/>
      <c r="AB91" s="260" t="s">
        <v>1498</v>
      </c>
      <c r="AC91" s="261" t="s">
        <v>1494</v>
      </c>
      <c r="AD91" s="881">
        <f>IF(AND(method_reg="Метод индексации",god&lt;&gt;first_year),_xlfn.SUMIFS(INDEX('Калькуляция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(МИ)'!$AJ$25:$BC$459,,MATCH(AD$8,'Калькуляция (МИ)'!$AJ$8:$BC$8,0)),'Калькуляция (МИ)'!$F$25:$F$459,$F91,'Калькуляция (МИ)'!$G$25:$G$459,$G91))))</f>
        <v>50.5608898213</v>
      </c>
      <c r="AE91" s="881">
        <f>IF(AND(method_reg="Метод индексации",god&lt;&gt;first_year),_xlfn.SUMIFS(INDEX('Калькуляция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(МИ)'!$AJ$25:$BC$459,,MATCH(AE$8,'Калькуляция (МИ)'!$AJ$8:$BC$8,0)),'Калькуляция (МИ)'!$F$25:$F$459,$F91,'Калькуляция (МИ)'!$G$25:$G$459,$G91))))</f>
        <v>45.67</v>
      </c>
      <c r="AF91" s="263">
        <f>IF(AD91=0,0,(AE91-AD91)/AD91*100)</f>
        <v>-9.67326690369993</v>
      </c>
      <c r="AG91" s="3395">
        <f>IF(AND(method_reg="Метод индексации",god&lt;&gt;first_year),_xlfn.SUMIFS(INDEX('Калькуляция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(МИ)'!$AJ$25:$BC$459,,MATCH(AG$8,'Калькуляция (МИ)'!$AJ$8:$BC$8,0)),'Калькуляция (МИ)'!$F$25:$F$459,$F91,'Калькуляция (МИ)'!$G$25:$G$459,$G91))))</f>
        <v>0</v>
      </c>
      <c r="AH91" s="3395">
        <f>IF(AND(method_reg="Метод индексации",god&lt;&gt;first_year),_xlfn.SUMIFS(INDEX('Калькуляция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(МИ)'!$AJ$25:$BC$459,,MATCH(AH$8,'Калькуляция (МИ)'!$AJ$8:$BC$8,0)),'Калькуляция (МИ)'!$F$25:$F$459,$F91,'Калькуляция (МИ)'!$G$25:$G$459,$G91))))</f>
        <v>0</v>
      </c>
      <c r="AI91" s="263">
        <f>IF(AG91=0,0,(AH91-AG91)/AG91*100)</f>
        <v>0</v>
      </c>
      <c r="AJ91" s="3395">
        <f>IF(AND(method_reg="Метод индексации",god&lt;&gt;first_year),_xlfn.SUMIFS(INDEX('Калькуляция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(МИ)'!$AJ$25:$BC$459,,MATCH(AJ$8,'Калькуляция (МИ)'!$AJ$8:$BC$8,0)),'Калькуляция (МИ)'!$F$25:$F$459,$F91,'Калькуляция (МИ)'!$G$25:$G$459,$G91))))</f>
        <v>0</v>
      </c>
      <c r="AK91" s="3395">
        <f>IF(AND(method_reg="Метод индексации",god&lt;&gt;first_year),_xlfn.SUMIFS(INDEX('Калькуляция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(МИ)'!$AJ$25:$BC$459,,MATCH(AK$8,'Калькуляция (МИ)'!$AJ$8:$BC$8,0)),'Калькуляция (МИ)'!$F$25:$F$459,$F91,'Калькуляция (МИ)'!$G$25:$G$459,$G91))))</f>
        <v>0</v>
      </c>
      <c r="AL91" s="263">
        <f>IF(AJ91=0,0,(AK91-AJ91)/AJ91*100)</f>
        <v>0</v>
      </c>
      <c r="AM91" s="881">
        <f>IF(AND(method_reg="Метод индексации",god&lt;&gt;first_year),_xlfn.SUMIFS(INDEX('Калькуляция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(МИ)'!$AJ$25:$BC$459,,MATCH(AM$8,'Калькуляция (МИ)'!$AJ$8:$BC$8,0)),'Калькуляция (МИ)'!$F$25:$F$459,$F91,'Калькуляция (МИ)'!$G$25:$G$459,$G91))))</f>
        <v>0</v>
      </c>
      <c r="AN91" s="881">
        <f>IF(AND(method_reg="Метод индексации",god&lt;&gt;first_year),_xlfn.SUMIFS(INDEX('Калькуляция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(МИ)'!$AJ$25:$BC$459,,MATCH(AN$8,'Калькуляция (МИ)'!$AJ$8:$BC$8,0)),'Калькуляция (МИ)'!$F$25:$F$459,$F91,'Калькуляция (МИ)'!$G$25:$G$459,$G91))))</f>
        <v>0</v>
      </c>
      <c r="AO91" s="263">
        <f>IF(AM91=0,0,(AN91-AM91)/AM91*100)</f>
        <v>0</v>
      </c>
      <c r="AP91" s="881">
        <f>IF(AND(method_reg="Метод индексации",god&lt;&gt;first_year),_xlfn.SUMIFS(INDEX('Калькуляция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(МИ)'!$AJ$25:$BC$459,,MATCH(AP$8,'Калькуляция (МИ)'!$AJ$8:$BC$8,0)),'Калькуляция (МИ)'!$F$25:$F$459,$F91,'Калькуляция (МИ)'!$G$25:$G$459,$G91))))</f>
        <v>0</v>
      </c>
      <c r="AQ91" s="881">
        <f>IF(AND(method_reg="Метод индексации",god&lt;&gt;first_year),_xlfn.SUMIFS(INDEX('Калькуляция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(МИ)'!$AJ$25:$BC$459,,MATCH(AQ$8,'Калькуляция (МИ)'!$AJ$8:$BC$8,0)),'Калькуляция (МИ)'!$F$25:$F$459,$F91,'Калькуляция (МИ)'!$G$25:$G$459,$G91))))</f>
        <v>0</v>
      </c>
      <c r="AR91" s="263">
        <f>IF(AP91=0,0,(AQ91-AP91)/AP91*100)</f>
        <v>0</v>
      </c>
      <c r="AS91" s="881">
        <f>IF(AND(method_reg="Метод индексации",god&lt;&gt;first_year),_xlfn.SUMIFS(INDEX('Калькуляция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(МИ)'!$AJ$25:$BC$459,,MATCH(AS$8,'Калькуляция (МИ)'!$AJ$8:$BC$8,0)),'Калькуляция (МИ)'!$F$25:$F$459,$F91,'Калькуляция (МИ)'!$G$25:$G$459,$G91))))</f>
        <v>0</v>
      </c>
      <c r="AT91" s="881">
        <f>IF(AND(method_reg="Метод индексации",god&lt;&gt;first_year),_xlfn.SUMIFS(INDEX('Калькуляция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(МИ)'!$AJ$25:$BC$459,,MATCH(AT$8,'Калькуляция (МИ)'!$AJ$8:$BC$8,0)),'Калькуляция (МИ)'!$F$25:$F$459,$F91,'Калькуляция (МИ)'!$G$25:$G$459,$G91))))</f>
        <v>0</v>
      </c>
      <c r="AU91" s="263">
        <f>IF(AS91=0,0,(AT91-AS91)/AS91*100)</f>
        <v>0</v>
      </c>
      <c r="AV91" s="881">
        <f>IF(AND(method_reg="Метод индексации",god&lt;&gt;first_year),_xlfn.SUMIFS(INDEX('Калькуляция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(МИ)'!$AJ$25:$BC$459,,MATCH(AV$8,'Калькуляция (МИ)'!$AJ$8:$BC$8,0)),'Калькуляция (МИ)'!$F$25:$F$459,$F91,'Калькуляция (МИ)'!$G$25:$G$459,$G91))))</f>
        <v>0</v>
      </c>
      <c r="AW91" s="881">
        <f>IF(AND(method_reg="Метод индексации",god&lt;&gt;first_year),_xlfn.SUMIFS(INDEX('Калькуляция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(МИ)'!$AJ$25:$BC$459,,MATCH(AW$8,'Калькуляция (МИ)'!$AJ$8:$BC$8,0)),'Калькуляция (МИ)'!$F$25:$F$459,$F91,'Калькуляция (МИ)'!$G$25:$G$459,$G91))))</f>
        <v>0</v>
      </c>
      <c r="AX91" s="263">
        <f>IF(AV91=0,0,(AW91-AV91)/AV91*100)</f>
        <v>0</v>
      </c>
      <c r="AY91" s="881">
        <f>IF(AND(method_reg="Метод индексации",god&lt;&gt;first_year),_xlfn.SUMIFS(INDEX('Калькуляция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(МИ)'!$AJ$25:$BC$459,,MATCH(AY$8,'Калькуляция (МИ)'!$AJ$8:$BC$8,0)),'Калькуляция (МИ)'!$F$25:$F$459,$F91,'Калькуляция (МИ)'!$G$25:$G$459,$G91))))</f>
        <v>0</v>
      </c>
      <c r="AZ91" s="881">
        <f>IF(AND(method_reg="Метод индексации",god&lt;&gt;first_year),_xlfn.SUMIFS(INDEX('Калькуляция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(МИ)'!$AJ$25:$BC$459,,MATCH(AZ$8,'Калькуляция (МИ)'!$AJ$8:$BC$8,0)),'Калькуляция (МИ)'!$F$25:$F$459,$F91,'Калькуляция (МИ)'!$G$25:$G$459,$G91))))</f>
        <v>0</v>
      </c>
      <c r="BA91" s="263">
        <f>IF(AY91=0,0,(AZ91-AY91)/AY91*100)</f>
        <v>0</v>
      </c>
      <c r="BB91" s="881">
        <f>IF(AND(method_reg="Метод индексации",god&lt;&gt;first_year),_xlfn.SUMIFS(INDEX('Калькуляция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(МИ)'!$AJ$25:$BC$459,,MATCH(BB$8,'Калькуляция (МИ)'!$AJ$8:$BC$8,0)),'Калькуляция (МИ)'!$F$25:$F$459,$F91,'Калькуляция (МИ)'!$G$25:$G$459,$G91))))</f>
        <v>0</v>
      </c>
      <c r="BC91" s="881">
        <f>IF(AND(method_reg="Метод индексации",god&lt;&gt;first_year),_xlfn.SUMIFS(INDEX('Калькуляция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(МИ)'!$AJ$25:$BC$459,,MATCH(BC$8,'Калькуляция (МИ)'!$AJ$8:$BC$8,0)),'Калькуляция (МИ)'!$F$25:$F$459,$F91,'Калькуляция (МИ)'!$G$25:$G$459,$G91))))</f>
        <v>0</v>
      </c>
      <c r="BD91" s="263">
        <f>IF(BB91=0,0,(BC91-BB91)/BB91*100)</f>
        <v>0</v>
      </c>
      <c r="BE91" s="881">
        <f>IF(AND(method_reg="Метод индексации",god&lt;&gt;first_year),_xlfn.SUMIFS(INDEX('Калькуляция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расходов",_xlfn.SUMIFS('Калькуляция (МЭОР)'!$AJ$25:$AJ$282,'Калькуляция (МЭОР)'!$F$25:$F$282,$F91,'Калькуляция (МЭОР)'!$G$25:$G$282,$G91),IF(method_reg="Метод сравнения аналогов",_xlfn.SUMIFS('Калькуляция (МСА)'!$AE$25:$AE$84,'Калькуляция (МСА)'!$F$25:$F$84,$F91,'Калькуляция (МСА)'!$G$25:$G$84,$G91),_xlfn.SUMIFS(INDEX('Калькуляция (МИ)'!$AJ$25:$BC$459,,MATCH(BE$8,'Калькуляция (МИ)'!$AJ$8:$BC$8,0)),'Калькуляция (МИ)'!$F$25:$F$459,$F91,'Калькуляция (МИ)'!$G$25:$G$459,$G91))))</f>
        <v>0</v>
      </c>
      <c r="BF91" s="881">
        <f>IF(AND(method_reg="Метод индексации",god&lt;&gt;first_year),_xlfn.SUMIFS(INDEX('Калькуляция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расходов",_xlfn.SUMIFS('Калькуляция (МЭОР)'!$AK$25:$AK$282,'Калькуляция (МЭОР)'!$F$25:$F$282,$F91,'Калькуляция (МЭОР)'!$G$25:$G$282,$G91),IF(method_reg="Метод сравнения аналогов",_xlfn.SUMIFS('Калькуляция (МСА)'!$AF$25:$AF$84,'Калькуляция (МСА)'!$F$25:$F$84,$F91,'Калькуляция (МСА)'!$G$25:$G$84,$G91),_xlfn.SUMIFS(INDEX('Калькуляция (МИ)'!$AJ$25:$BC$459,,MATCH(BF$8,'Калькуляция (МИ)'!$AJ$8:$BC$8,0)),'Калькуляция (МИ)'!$F$25:$F$459,$F91,'Калькуляция (МИ)'!$G$25:$G$459,$G91))))</f>
        <v>0</v>
      </c>
      <c r="BG91" s="263">
        <f>IF(BE91=0,0,(BF91-BE91)/BE91*100)</f>
        <v>0</v>
      </c>
      <c r="BH91" s="881"/>
      <c r="BI91" s="881"/>
      <c r="BJ91" s="263">
        <f>IF(BH91=0,0,(BI91-BH91)/BH91*100)</f>
        <v>0</v>
      </c>
      <c r="BK91" s="881"/>
      <c r="BL91" s="881"/>
      <c r="BM91" s="263">
        <f>IF(BK91=0,0,(BL91-BK91)/BK91*100)</f>
        <v>0</v>
      </c>
      <c r="BN91" s="881"/>
      <c r="BO91" s="881"/>
      <c r="BP91" s="263">
        <f>IF(BN91=0,0,(BO91-BN91)/BN91*100)</f>
        <v>0</v>
      </c>
      <c r="BQ91" s="881"/>
      <c r="BR91" s="881"/>
      <c r="BS91" s="263">
        <f>IF(BQ91=0,0,(BR91-BQ91)/BQ91*100)</f>
        <v>0</v>
      </c>
      <c r="BT91" s="881"/>
      <c r="BU91" s="881"/>
      <c r="BV91" s="263">
        <f>IF(BT91=0,0,(BU91-BT91)/BT91*100)</f>
        <v>0</v>
      </c>
      <c r="BW91" s="881"/>
      <c r="BX91" s="881"/>
      <c r="BY91" s="263">
        <f>IF(BW91=0,0,(BX91-BW91)/BW91*100)</f>
        <v>0</v>
      </c>
      <c r="BZ91" s="881"/>
      <c r="CA91" s="881"/>
      <c r="CB91" s="263">
        <f>IF(BZ91=0,0,(CA91-BZ91)/BZ91*100)</f>
        <v>0</v>
      </c>
      <c r="CC91" s="881"/>
      <c r="CD91" s="881"/>
      <c r="CE91" s="263">
        <f>IF(CC91=0,0,(CD91-CC91)/CC91*100)</f>
        <v>0</v>
      </c>
      <c r="CF91" s="881"/>
      <c r="CG91" s="881"/>
      <c r="CH91" s="263">
        <f>IF(CF91=0,0,(CG91-CF91)/CF91*100)</f>
        <v>0</v>
      </c>
      <c r="CI91" s="881"/>
      <c r="CJ91" s="881"/>
      <c r="CK91" s="263">
        <f>IF(CI91=0,0,(CJ91-CI91)/CI91*100)</f>
        <v>0</v>
      </c>
      <c r="CL91" s="881"/>
      <c r="CM91" s="881"/>
      <c r="CN91" s="263">
        <f>IF(CL91=0,0,(CM91-CL91)/CL91*100)</f>
        <v>0</v>
      </c>
      <c r="CO91" s="881"/>
      <c r="CP91" s="881"/>
      <c r="CQ91" s="263">
        <f>IF(CO91=0,0,(CP91-CO91)/CO91*100)</f>
        <v>0</v>
      </c>
      <c r="CR91" s="881"/>
      <c r="CS91" s="881"/>
      <c r="CT91" s="263">
        <f>IF(CR91=0,0,(CS91-CR91)/CR91*100)</f>
        <v>0</v>
      </c>
      <c r="CU91" s="881"/>
      <c r="CV91" s="881"/>
      <c r="CW91" s="263">
        <f>IF(CU91=0,0,(CV91-CU91)/CU91*100)</f>
        <v>0</v>
      </c>
      <c r="CX91" s="881"/>
      <c r="CY91" s="881"/>
      <c r="CZ91" s="263">
        <f>IF(CX91=0,0,(CY91-CX91)/CX91*100)</f>
        <v>0</v>
      </c>
      <c r="DA91" s="881"/>
      <c r="DB91" s="881"/>
      <c r="DC91" s="263">
        <f>IF(DA91=0,0,(DB91-DA91)/DA91*100)</f>
        <v>0</v>
      </c>
      <c r="DD91" s="881"/>
      <c r="DE91" s="881"/>
      <c r="DF91" s="263">
        <f>IF(DD91=0,0,(DE91-DD91)/DD91*100)</f>
        <v>0</v>
      </c>
      <c r="DG91" s="262"/>
      <c r="DH91" s="262"/>
      <c r="DI91" s="263">
        <f>IF(DG91=0,0,(DH91-DG91)/DG91*100)</f>
        <v>0</v>
      </c>
      <c r="DJ91" s="262"/>
      <c r="DK91" s="262"/>
      <c r="DL91" s="263">
        <f>IF(DJ91=0,0,(DK91-DJ91)/DJ91*100)</f>
        <v>0</v>
      </c>
      <c r="DM91" s="262"/>
      <c r="DN91" s="262"/>
      <c r="DO91" s="263">
        <f>IF(DM91=0,0,(DN91-DM91)/DM91*100)</f>
        <v>0</v>
      </c>
      <c r="DP91" s="262"/>
      <c r="DQ91" s="262"/>
      <c r="DR91" s="263">
        <f>IF(DP91=0,0,(DQ91-DP91)/DP91*100)</f>
        <v>0</v>
      </c>
      <c r="DS91" s="262"/>
      <c r="DT91" s="262"/>
      <c r="DU91" s="263">
        <f>IF(DS91=0,0,(DT91-DS91)/DS91*100)</f>
        <v>0</v>
      </c>
      <c r="DV91" s="262"/>
      <c r="DW91" s="262"/>
      <c r="DX91" s="263">
        <f>IF(DV91=0,0,(DW91-DV91)/DV91*100)</f>
        <v>0</v>
      </c>
      <c r="DY91" s="262"/>
      <c r="DZ91" s="262"/>
      <c r="EA91" s="263">
        <f>IF(DY91=0,0,(DZ91-DY91)/DY91*100)</f>
        <v>0</v>
      </c>
      <c r="EB91" s="262"/>
      <c r="EC91" s="262"/>
      <c r="ED91" s="263">
        <f>IF(EB91=0,0,(EC91-EB91)/EB91*100)</f>
        <v>0</v>
      </c>
      <c r="EE91" s="262"/>
      <c r="EF91" s="262"/>
      <c r="EG91" s="263">
        <f>IF(EE91=0,0,(EF91-EE91)/EE91*100)</f>
        <v>0</v>
      </c>
      <c r="EH91" s="262"/>
      <c r="EI91" s="262"/>
      <c r="EJ91" s="263">
        <f>IF(EH91=0,0,(EI91-EH91)/EH91*100)</f>
        <v>0</v>
      </c>
      <c r="EK91" s="262"/>
      <c r="EL91" s="262"/>
      <c r="EM91" s="263">
        <f>IF(EK91=0,0,(EL91-EK91)/EK91*100)</f>
        <v>0</v>
      </c>
      <c r="EN91" s="262"/>
      <c r="EO91" s="262"/>
      <c r="EP91" s="263">
        <f>IF(EN91=0,0,(EO91-EN91)/EN91*100)</f>
        <v>0</v>
      </c>
      <c r="EQ91" s="262"/>
      <c r="ER91" s="262"/>
      <c r="ES91" s="263">
        <f>IF(EQ91=0,0,(ER91-EQ91)/EQ91*100)</f>
        <v>0</v>
      </c>
      <c r="ET91" s="262"/>
      <c r="EU91" s="262"/>
      <c r="EV91" s="263">
        <f>IF(ET91=0,0,(EU91-ET91)/ET91*100)</f>
        <v>0</v>
      </c>
      <c r="EW91" s="262"/>
      <c r="EX91" s="262"/>
      <c r="EY91" s="263">
        <f>IF(EW91=0,0,(EX91-EW91)/EW91*100)</f>
        <v>0</v>
      </c>
      <c r="EZ91" s="262"/>
      <c r="FA91" s="262"/>
      <c r="FB91" s="263">
        <f>IF(EZ91=0,0,(FA91-EZ91)/EZ91*100)</f>
        <v>0</v>
      </c>
      <c r="FC91" s="262"/>
      <c r="FD91" s="262"/>
      <c r="FE91" s="263">
        <f>IF(FC91=0,0,(FD91-FC91)/FC91*100)</f>
        <v>0</v>
      </c>
      <c r="FF91" s="262"/>
      <c r="FG91" s="262"/>
      <c r="FH91" s="263">
        <f>IF(FF91=0,0,(FG91-FF91)/FF91*100)</f>
        <v>0</v>
      </c>
      <c r="FI91" s="262"/>
      <c r="FJ91" s="262"/>
      <c r="FK91" s="263">
        <f>IF(FI91=0,0,(FJ91-FI91)/FI91*100)</f>
        <v>0</v>
      </c>
      <c r="FL91" s="262"/>
      <c r="FM91" s="262"/>
      <c r="FN91" s="263">
        <f>IF(FL91=0,0,(FM91-FL91)/FL91*100)</f>
        <v>0</v>
      </c>
      <c r="FO91" s="262"/>
      <c r="FP91" s="262"/>
      <c r="FQ91" s="263">
        <f>IF(FO91=0,0,(FP91-FO91)/FO91*100)</f>
        <v>0</v>
      </c>
      <c r="FR91" s="262"/>
      <c r="FS91" s="262"/>
      <c r="FT91" s="263">
        <f>IF(FR91=0,0,(FS91-FR91)/FR91*100)</f>
        <v>0</v>
      </c>
      <c r="FU91" s="262"/>
      <c r="FV91" s="262"/>
      <c r="FW91" s="263">
        <f>IF(FU91=0,0,(FV91-FU91)/FU91*100)</f>
        <v>0</v>
      </c>
      <c r="FX91" s="259"/>
      <c r="FY91" s="259"/>
      <c r="FZ91" s="1039" t="s">
        <v>1499</v>
      </c>
      <c r="GA91" s="1039"/>
      <c r="GB91" s="1039"/>
      <c r="GC91" s="1040"/>
      <c r="GD91" s="1040"/>
    </row>
    <row s="1621" customFormat="1" customHeight="1" ht="14.25">
      <c r="A92" s="467"/>
      <c r="B92" s="907" cm="1" t="str">
        <f t="array" ref="B92:B92">B91</f>
        <v>true</v>
      </c>
      <c r="C92" s="467"/>
      <c r="D92" s="467"/>
      <c r="E92" s="822">
        <v>15</v>
      </c>
      <c r="F92" s="50" cm="1" t="str">
        <f t="array" ref="F92:F92">OFFSET(E92,-1,1)</f>
        <v>1</v>
      </c>
      <c r="G92" s="467"/>
      <c r="H92" s="467" t="s">
        <v>445</v>
      </c>
      <c r="I92" s="467" t="s">
        <v>1500</v>
      </c>
      <c r="J92" s="467"/>
      <c r="K92" s="467"/>
      <c r="L92" s="467"/>
      <c r="M92" s="467"/>
      <c r="N92" s="467"/>
      <c r="O92" s="467"/>
      <c r="P92" s="467"/>
      <c r="Q92" s="467"/>
      <c r="R92" s="467"/>
      <c r="S92" s="467"/>
      <c r="T92" s="439" cm="1" t="str">
        <f t="array" ref="T92:T92">T91</f>
        <v>true</v>
      </c>
      <c r="U92" s="467"/>
      <c r="V92" s="467"/>
      <c r="W92" s="467"/>
      <c r="X92" s="1534"/>
      <c r="Y92" s="467"/>
      <c r="Z92" s="1464"/>
      <c r="AA92" s="467"/>
      <c r="AB92" s="1074" t="s">
        <v>1501</v>
      </c>
      <c r="AC92" s="846" t="s">
        <v>437</v>
      </c>
      <c r="AD92" s="1077">
        <f>IF(AD90=0,0,AD91/AD90)*100</f>
        <v>100.001759931369</v>
      </c>
      <c r="AE92" s="1077">
        <f>IF(AE90=0,0,AE91/AE90)*100</f>
        <v>109.995183044316</v>
      </c>
      <c r="AF92" s="1078"/>
      <c r="AG92" s="1077">
        <f>IF(AG90=0,0,AG91/AG90)*100</f>
        <v>0</v>
      </c>
      <c r="AH92" s="1077">
        <f>IF(AH90=0,0,AH91/AH90)*100</f>
        <v>0</v>
      </c>
      <c r="AI92" s="1078"/>
      <c r="AJ92" s="1077">
        <f>IF(AJ90=0,0,AJ91/AJ90)*100</f>
        <v>0</v>
      </c>
      <c r="AK92" s="1077">
        <f>IF(AK90=0,0,AK91/AK90)*100</f>
        <v>0</v>
      </c>
      <c r="AL92" s="1078"/>
      <c r="AM92" s="1077">
        <f>IF(AM90=0,0,AM91/AM90)*100</f>
        <v>0</v>
      </c>
      <c r="AN92" s="1077">
        <f>IF(AN90=0,0,AN91/AN90)*100</f>
        <v>0</v>
      </c>
      <c r="AO92" s="1078"/>
      <c r="AP92" s="1077">
        <f>IF(AP90=0,0,AP91/AP90)*100</f>
        <v>0</v>
      </c>
      <c r="AQ92" s="1077">
        <f>IF(AQ90=0,0,AQ91/AQ90)*100</f>
        <v>0</v>
      </c>
      <c r="AR92" s="1078"/>
      <c r="AS92" s="1077">
        <f>IF(AS90=0,0,AS91/AS90)*100</f>
        <v>0</v>
      </c>
      <c r="AT92" s="1077">
        <f>IF(AT90=0,0,AT91/AT90)*100</f>
        <v>0</v>
      </c>
      <c r="AU92" s="1078"/>
      <c r="AV92" s="1077">
        <f>IF(AV90=0,0,AV91/AV90)*100</f>
        <v>0</v>
      </c>
      <c r="AW92" s="1077">
        <f>IF(AW90=0,0,AW91/AW90)*100</f>
        <v>0</v>
      </c>
      <c r="AX92" s="1078"/>
      <c r="AY92" s="1077">
        <f>IF(AY90=0,0,AY91/AY90)*100</f>
        <v>0</v>
      </c>
      <c r="AZ92" s="1077">
        <f>IF(AZ90=0,0,AZ91/AZ90)*100</f>
        <v>0</v>
      </c>
      <c r="BA92" s="1078"/>
      <c r="BB92" s="1077">
        <f>IF(BB90=0,0,BB91/BB90)*100</f>
        <v>0</v>
      </c>
      <c r="BC92" s="1077">
        <f>IF(BC90=0,0,BC91/BC90)*100</f>
        <v>0</v>
      </c>
      <c r="BD92" s="1078"/>
      <c r="BE92" s="1077">
        <f>IF(BE90=0,0,BE91/BE90)*100</f>
        <v>0</v>
      </c>
      <c r="BF92" s="1077">
        <f>IF(BF90=0,0,BF91/BF90)*100</f>
        <v>0</v>
      </c>
      <c r="BG92" s="1078"/>
      <c r="BH92" s="1077">
        <f>IF(BH90=0,0,BH91/BH90)*100</f>
        <v>0</v>
      </c>
      <c r="BI92" s="1077">
        <f>IF(BI90=0,0,BI91/BI90)*100</f>
        <v>0</v>
      </c>
      <c r="BJ92" s="1078"/>
      <c r="BK92" s="1077">
        <f>IF(BK90=0,0,BK91/BK90)*100</f>
        <v>0</v>
      </c>
      <c r="BL92" s="1077">
        <f>IF(BL90=0,0,BL91/BL90)*100</f>
        <v>0</v>
      </c>
      <c r="BM92" s="1078"/>
      <c r="BN92" s="1077">
        <f>IF(BN90=0,0,BN91/BN90)*100</f>
        <v>0</v>
      </c>
      <c r="BO92" s="1077">
        <f>IF(BO90=0,0,BO91/BO90)*100</f>
        <v>0</v>
      </c>
      <c r="BP92" s="1078"/>
      <c r="BQ92" s="1077">
        <f>IF(BQ90=0,0,BQ91/BQ90)*100</f>
        <v>0</v>
      </c>
      <c r="BR92" s="1077">
        <f>IF(BR90=0,0,BR91/BR90)*100</f>
        <v>0</v>
      </c>
      <c r="BS92" s="1078"/>
      <c r="BT92" s="1077">
        <f>IF(BT90=0,0,BT91/BT90)*100</f>
        <v>0</v>
      </c>
      <c r="BU92" s="1077">
        <f>IF(BU90=0,0,BU91/BU90)*100</f>
        <v>0</v>
      </c>
      <c r="BV92" s="1078"/>
      <c r="BW92" s="1077">
        <f>IF(BW90=0,0,BW91/BW90)*100</f>
        <v>0</v>
      </c>
      <c r="BX92" s="1077">
        <f>IF(BX90=0,0,BX91/BX90)*100</f>
        <v>0</v>
      </c>
      <c r="BY92" s="1078"/>
      <c r="BZ92" s="1077">
        <f>IF(BZ90=0,0,BZ91/BZ90)*100</f>
        <v>0</v>
      </c>
      <c r="CA92" s="1077">
        <f>IF(CA90=0,0,CA91/CA90)*100</f>
        <v>0</v>
      </c>
      <c r="CB92" s="1078"/>
      <c r="CC92" s="1077">
        <f>IF(CC90=0,0,CC91/CC90)*100</f>
        <v>0</v>
      </c>
      <c r="CD92" s="1077">
        <f>IF(CD90=0,0,CD91/CD90)*100</f>
        <v>0</v>
      </c>
      <c r="CE92" s="1078"/>
      <c r="CF92" s="1077">
        <f>IF(CF90=0,0,CF91/CF90)*100</f>
        <v>0</v>
      </c>
      <c r="CG92" s="1077">
        <f>IF(CG90=0,0,CG91/CG90)*100</f>
        <v>0</v>
      </c>
      <c r="CH92" s="1078"/>
      <c r="CI92" s="1077">
        <f>IF(CI90=0,0,CI91/CI90)*100</f>
        <v>0</v>
      </c>
      <c r="CJ92" s="1077">
        <f>IF(CJ90=0,0,CJ91/CJ90)*100</f>
        <v>0</v>
      </c>
      <c r="CK92" s="1078"/>
      <c r="CL92" s="1077">
        <f>IF(CL90=0,0,CL91/CL90)*100</f>
        <v>0</v>
      </c>
      <c r="CM92" s="1077">
        <f>IF(CM90=0,0,CM91/CM90)*100</f>
        <v>0</v>
      </c>
      <c r="CN92" s="1078"/>
      <c r="CO92" s="1077">
        <f>IF(CO90=0,0,CO91/CO90)*100</f>
        <v>0</v>
      </c>
      <c r="CP92" s="1077">
        <f>IF(CP90=0,0,CP91/CP90)*100</f>
        <v>0</v>
      </c>
      <c r="CQ92" s="1078"/>
      <c r="CR92" s="1077">
        <f>IF(CR90=0,0,CR91/CR90)*100</f>
        <v>0</v>
      </c>
      <c r="CS92" s="1077">
        <f>IF(CS90=0,0,CS91/CS90)*100</f>
        <v>0</v>
      </c>
      <c r="CT92" s="1078"/>
      <c r="CU92" s="1077">
        <f>IF(CU90=0,0,CU91/CU90)*100</f>
        <v>0</v>
      </c>
      <c r="CV92" s="1077">
        <f>IF(CV90=0,0,CV91/CV90)*100</f>
        <v>0</v>
      </c>
      <c r="CW92" s="1078"/>
      <c r="CX92" s="1077">
        <f>IF(CX90=0,0,CX91/CX90)*100</f>
        <v>0</v>
      </c>
      <c r="CY92" s="1077">
        <f>IF(CY90=0,0,CY91/CY90)*100</f>
        <v>0</v>
      </c>
      <c r="CZ92" s="1078"/>
      <c r="DA92" s="1077">
        <f>IF(DA90=0,0,DA91/DA90)*100</f>
        <v>0</v>
      </c>
      <c r="DB92" s="1077">
        <f>IF(DB90=0,0,DB91/DB90)*100</f>
        <v>0</v>
      </c>
      <c r="DC92" s="1078"/>
      <c r="DD92" s="1077">
        <f>IF(DD90=0,0,DD91/DD90)*100</f>
        <v>0</v>
      </c>
      <c r="DE92" s="1077">
        <f>IF(DE90=0,0,DE91/DE90)*100</f>
        <v>0</v>
      </c>
      <c r="DF92" s="1078"/>
      <c r="DG92" s="1077">
        <f>IF(DG90=0,0,DG91/DG90)*100</f>
        <v>0</v>
      </c>
      <c r="DH92" s="1077">
        <f>IF(DH90=0,0,DH91/DH90)*100</f>
        <v>0</v>
      </c>
      <c r="DI92" s="1078"/>
      <c r="DJ92" s="1077">
        <f>IF(DJ90=0,0,DJ91/DJ90)*100</f>
        <v>0</v>
      </c>
      <c r="DK92" s="1077">
        <f>IF(DK90=0,0,DK91/DK90)*100</f>
        <v>0</v>
      </c>
      <c r="DL92" s="1078"/>
      <c r="DM92" s="1077">
        <f>IF(DM90=0,0,DM91/DM90)*100</f>
        <v>0</v>
      </c>
      <c r="DN92" s="1077">
        <f>IF(DN90=0,0,DN91/DN90)*100</f>
        <v>0</v>
      </c>
      <c r="DO92" s="1078"/>
      <c r="DP92" s="1077">
        <f>IF(DP90=0,0,DP91/DP90)*100</f>
        <v>0</v>
      </c>
      <c r="DQ92" s="1077">
        <f>IF(DQ90=0,0,DQ91/DQ90)*100</f>
        <v>0</v>
      </c>
      <c r="DR92" s="1078"/>
      <c r="DS92" s="1077">
        <f>IF(DS90=0,0,DS91/DS90)*100</f>
        <v>0</v>
      </c>
      <c r="DT92" s="1077">
        <f>IF(DT90=0,0,DT91/DT90)*100</f>
        <v>0</v>
      </c>
      <c r="DU92" s="1078"/>
      <c r="DV92" s="1077">
        <f>IF(DV90=0,0,DV91/DV90)*100</f>
        <v>0</v>
      </c>
      <c r="DW92" s="1077">
        <f>IF(DW90=0,0,DW91/DW90)*100</f>
        <v>0</v>
      </c>
      <c r="DX92" s="1078"/>
      <c r="DY92" s="1077">
        <f>IF(DY90=0,0,DY91/DY90)*100</f>
        <v>0</v>
      </c>
      <c r="DZ92" s="1077">
        <f>IF(DZ90=0,0,DZ91/DZ90)*100</f>
        <v>0</v>
      </c>
      <c r="EA92" s="1078"/>
      <c r="EB92" s="1077">
        <f>IF(EB90=0,0,EB91/EB90)*100</f>
        <v>0</v>
      </c>
      <c r="EC92" s="1077">
        <f>IF(EC90=0,0,EC91/EC90)*100</f>
        <v>0</v>
      </c>
      <c r="ED92" s="1078"/>
      <c r="EE92" s="1077">
        <f>IF(EE90=0,0,EE91/EE90)*100</f>
        <v>0</v>
      </c>
      <c r="EF92" s="1077">
        <f>IF(EF90=0,0,EF91/EF90)*100</f>
        <v>0</v>
      </c>
      <c r="EG92" s="1078"/>
      <c r="EH92" s="1077">
        <f>IF(EH90=0,0,EH91/EH90)*100</f>
        <v>0</v>
      </c>
      <c r="EI92" s="1077">
        <f>IF(EI90=0,0,EI91/EI90)*100</f>
        <v>0</v>
      </c>
      <c r="EJ92" s="1078"/>
      <c r="EK92" s="1077">
        <f>IF(EK90=0,0,EK91/EK90)*100</f>
        <v>0</v>
      </c>
      <c r="EL92" s="1077">
        <f>IF(EL90=0,0,EL91/EL90)*100</f>
        <v>0</v>
      </c>
      <c r="EM92" s="1078"/>
      <c r="EN92" s="1077">
        <f>IF(EN90=0,0,EN91/EN90)*100</f>
        <v>0</v>
      </c>
      <c r="EO92" s="1077">
        <f>IF(EO90=0,0,EO91/EO90)*100</f>
        <v>0</v>
      </c>
      <c r="EP92" s="1078"/>
      <c r="EQ92" s="1077">
        <f>IF(EQ90=0,0,EQ91/EQ90)*100</f>
        <v>0</v>
      </c>
      <c r="ER92" s="1077">
        <f>IF(ER90=0,0,ER91/ER90)*100</f>
        <v>0</v>
      </c>
      <c r="ES92" s="1078"/>
      <c r="ET92" s="1077">
        <f>IF(ET90=0,0,ET91/ET90)*100</f>
        <v>0</v>
      </c>
      <c r="EU92" s="1077">
        <f>IF(EU90=0,0,EU91/EU90)*100</f>
        <v>0</v>
      </c>
      <c r="EV92" s="1078"/>
      <c r="EW92" s="1077">
        <f>IF(EW90=0,0,EW91/EW90)*100</f>
        <v>0</v>
      </c>
      <c r="EX92" s="1077">
        <f>IF(EX90=0,0,EX91/EX90)*100</f>
        <v>0</v>
      </c>
      <c r="EY92" s="1078"/>
      <c r="EZ92" s="1077">
        <f>IF(EZ90=0,0,EZ91/EZ90)*100</f>
        <v>0</v>
      </c>
      <c r="FA92" s="1077">
        <f>IF(FA90=0,0,FA91/FA90)*100</f>
        <v>0</v>
      </c>
      <c r="FB92" s="1078"/>
      <c r="FC92" s="1077">
        <f>IF(FC90=0,0,FC91/FC90)*100</f>
        <v>0</v>
      </c>
      <c r="FD92" s="1077">
        <f>IF(FD90=0,0,FD91/FD90)*100</f>
        <v>0</v>
      </c>
      <c r="FE92" s="1078"/>
      <c r="FF92" s="1077">
        <f>IF(FF90=0,0,FF91/FF90)*100</f>
        <v>0</v>
      </c>
      <c r="FG92" s="1077">
        <f>IF(FG90=0,0,FG91/FG90)*100</f>
        <v>0</v>
      </c>
      <c r="FH92" s="1078"/>
      <c r="FI92" s="1077">
        <f>IF(FI90=0,0,FI91/FI90)*100</f>
        <v>0</v>
      </c>
      <c r="FJ92" s="1077">
        <f>IF(FJ90=0,0,FJ91/FJ90)*100</f>
        <v>0</v>
      </c>
      <c r="FK92" s="1078"/>
      <c r="FL92" s="1077">
        <f>IF(FL90=0,0,FL91/FL90)*100</f>
        <v>0</v>
      </c>
      <c r="FM92" s="1077">
        <f>IF(FM90=0,0,FM91/FM90)*100</f>
        <v>0</v>
      </c>
      <c r="FN92" s="1078"/>
      <c r="FO92" s="1077">
        <f>IF(FO90=0,0,FO91/FO90)*100</f>
        <v>0</v>
      </c>
      <c r="FP92" s="1077">
        <f>IF(FP90=0,0,FP91/FP90)*100</f>
        <v>0</v>
      </c>
      <c r="FQ92" s="1078"/>
      <c r="FR92" s="1077">
        <f>IF(FR90=0,0,FR91/FR90)*100</f>
        <v>0</v>
      </c>
      <c r="FS92" s="1077">
        <f>IF(FS90=0,0,FS91/FS90)*100</f>
        <v>0</v>
      </c>
      <c r="FT92" s="1078"/>
      <c r="FU92" s="1077">
        <f>IF(FU90=0,0,FU91/FU90)*100</f>
        <v>0</v>
      </c>
      <c r="FV92" s="1077">
        <f>IF(FV90=0,0,FV91/FV90)*100</f>
        <v>0</v>
      </c>
      <c r="FW92" s="1078"/>
      <c r="FX92" s="259"/>
      <c r="FY92" s="676"/>
      <c r="FZ92" s="1039" t="s">
        <v>1502</v>
      </c>
      <c r="GA92" s="1061"/>
      <c r="GB92" s="1061"/>
      <c r="GC92" s="697"/>
      <c r="GD92" s="697"/>
    </row>
    <row s="1621" customFormat="1" customHeight="1" ht="14.25">
      <c r="A93" s="467"/>
      <c r="B93" s="907" cm="1" t="str">
        <f t="array" ref="B93:B93">B92</f>
        <v>true</v>
      </c>
      <c r="C93" s="467"/>
      <c r="D93" s="467"/>
      <c r="E93" s="822">
        <v>15</v>
      </c>
      <c r="F93" s="50" cm="1" t="str">
        <f t="array" ref="F93:F93">OFFSET(E93,-1,1)</f>
        <v>1</v>
      </c>
      <c r="G93" s="73" t="s">
        <v>1503</v>
      </c>
      <c r="H93" s="467" t="s">
        <v>448</v>
      </c>
      <c r="I93" s="467" t="s">
        <v>1500</v>
      </c>
      <c r="J93" s="467"/>
      <c r="K93" s="467"/>
      <c r="L93" s="467"/>
      <c r="M93" s="467"/>
      <c r="N93" s="467"/>
      <c r="O93" s="467"/>
      <c r="P93" s="467"/>
      <c r="Q93" s="467"/>
      <c r="R93" s="467"/>
      <c r="S93" s="467"/>
      <c r="T93" s="439" cm="1" t="str">
        <f t="array" ref="T93:T93">T92</f>
        <v>true</v>
      </c>
      <c r="U93" s="467"/>
      <c r="V93" s="467"/>
      <c r="W93" s="467"/>
      <c r="X93" s="1534"/>
      <c r="Y93" s="467"/>
      <c r="Z93" s="1464"/>
      <c r="AA93" s="467"/>
      <c r="AB93" s="1074" t="s">
        <v>1504</v>
      </c>
      <c r="AC93" s="846" t="s">
        <v>512</v>
      </c>
      <c r="AD93" s="1079">
        <f>IF(AND(method_reg="Метод индексации",god&lt;&gt;first_year),_xlfn.SUMIFS(INDEX('Калькуляция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(МИ)'!$AJ$25:$BC$459,,MATCH(AD$8,'Калькуляция (МИ)'!$AJ$8:$BC$8,0)),'Калькуляция (МИ)'!$F$25:$F$459,$F93,'Калькуляция (МИ)'!$G$25:$G$459,$G93))))</f>
        <v>147.98</v>
      </c>
      <c r="AE93" s="1079">
        <f>IF(AND(method_reg="Метод индексации",god&lt;&gt;first_year),_xlfn.SUMIFS(INDEX('Калькуляция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(МИ)'!$AJ$25:$BC$459,,MATCH(AE$8,'Калькуляция (МИ)'!$AJ$8:$BC$8,0)),'Калькуляция (МИ)'!$F$25:$F$459,$F93,'Калькуляция (МИ)'!$G$25:$G$459,$G93))))</f>
        <v>163.933</v>
      </c>
      <c r="AF93" s="1080">
        <f>IF(AD93=0,0,(AE93-AD93)/AD93*100)</f>
        <v>10.7805108798486</v>
      </c>
      <c r="AG93" s="3404">
        <f>IF(AND(method_reg="Метод индексации",god&lt;&gt;first_year),_xlfn.SUMIFS(INDEX('Калькуляция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(МИ)'!$AJ$25:$BC$459,,MATCH(AG$8,'Калькуляция (МИ)'!$AJ$8:$BC$8,0)),'Калькуляция (МИ)'!$F$25:$F$459,$F93,'Калькуляция (МИ)'!$G$25:$G$459,$G93))))</f>
        <v>0</v>
      </c>
      <c r="AH93" s="3404">
        <f>IF(AND(method_reg="Метод индексации",god&lt;&gt;first_year),_xlfn.SUMIFS(INDEX('Калькуляция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(МИ)'!$AJ$25:$BC$459,,MATCH(AH$8,'Калькуляция (МИ)'!$AJ$8:$BC$8,0)),'Калькуляция (МИ)'!$F$25:$F$459,$F93,'Калькуляция (МИ)'!$G$25:$G$459,$G93))))</f>
        <v>0</v>
      </c>
      <c r="AI93" s="1080">
        <f>IF(AG93=0,0,(AH93-AG93)/AG93*100)</f>
        <v>0</v>
      </c>
      <c r="AJ93" s="3404">
        <f>IF(AND(method_reg="Метод индексации",god&lt;&gt;first_year),_xlfn.SUMIFS(INDEX('Калькуляция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(МИ)'!$AJ$25:$BC$459,,MATCH(AJ$8,'Калькуляция (МИ)'!$AJ$8:$BC$8,0)),'Калькуляция (МИ)'!$F$25:$F$459,$F93,'Калькуляция (МИ)'!$G$25:$G$459,$G93))))</f>
        <v>0</v>
      </c>
      <c r="AK93" s="3404">
        <f>IF(AND(method_reg="Метод индексации",god&lt;&gt;first_year),_xlfn.SUMIFS(INDEX('Калькуляция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(МИ)'!$AJ$25:$BC$459,,MATCH(AK$8,'Калькуляция (МИ)'!$AJ$8:$BC$8,0)),'Калькуляция (МИ)'!$F$25:$F$459,$F93,'Калькуляция (МИ)'!$G$25:$G$459,$G93))))</f>
        <v>0</v>
      </c>
      <c r="AL93" s="1080">
        <f>IF(AJ93=0,0,(AK93-AJ93)/AJ93*100)</f>
        <v>0</v>
      </c>
      <c r="AM93" s="1079">
        <f>IF(AND(method_reg="Метод индексации",god&lt;&gt;first_year),_xlfn.SUMIFS(INDEX('Калькуляция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(МИ)'!$AJ$25:$BC$459,,MATCH(AM$8,'Калькуляция (МИ)'!$AJ$8:$BC$8,0)),'Калькуляция (МИ)'!$F$25:$F$459,$F93,'Калькуляция (МИ)'!$G$25:$G$459,$G93))))</f>
        <v>0</v>
      </c>
      <c r="AN93" s="1079">
        <f>IF(AND(method_reg="Метод индексации",god&lt;&gt;first_year),_xlfn.SUMIFS(INDEX('Калькуляция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(МИ)'!$AJ$25:$BC$459,,MATCH(AN$8,'Калькуляция (МИ)'!$AJ$8:$BC$8,0)),'Калькуляция (МИ)'!$F$25:$F$459,$F93,'Калькуляция (МИ)'!$G$25:$G$459,$G93))))</f>
        <v>0</v>
      </c>
      <c r="AO93" s="1080">
        <f>IF(AM93=0,0,(AN93-AM93)/AM93*100)</f>
        <v>0</v>
      </c>
      <c r="AP93" s="1079">
        <f>IF(AND(method_reg="Метод индексации",god&lt;&gt;first_year),_xlfn.SUMIFS(INDEX('Калькуляция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(МИ)'!$AJ$25:$BC$459,,MATCH(AP$8,'Калькуляция (МИ)'!$AJ$8:$BC$8,0)),'Калькуляция (МИ)'!$F$25:$F$459,$F93,'Калькуляция (МИ)'!$G$25:$G$459,$G93))))</f>
        <v>0</v>
      </c>
      <c r="AQ93" s="1079">
        <f>IF(AND(method_reg="Метод индексации",god&lt;&gt;first_year),_xlfn.SUMIFS(INDEX('Калькуляция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(МИ)'!$AJ$25:$BC$459,,MATCH(AQ$8,'Калькуляция (МИ)'!$AJ$8:$BC$8,0)),'Калькуляция (МИ)'!$F$25:$F$459,$F93,'Калькуляция (МИ)'!$G$25:$G$459,$G93))))</f>
        <v>0</v>
      </c>
      <c r="AR93" s="1080">
        <f>IF(AP93=0,0,(AQ93-AP93)/AP93*100)</f>
        <v>0</v>
      </c>
      <c r="AS93" s="1079">
        <f>IF(AND(method_reg="Метод индексации",god&lt;&gt;first_year),_xlfn.SUMIFS(INDEX('Калькуляция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(МИ)'!$AJ$25:$BC$459,,MATCH(AS$8,'Калькуляция (МИ)'!$AJ$8:$BC$8,0)),'Калькуляция (МИ)'!$F$25:$F$459,$F93,'Калькуляция (МИ)'!$G$25:$G$459,$G93))))</f>
        <v>0</v>
      </c>
      <c r="AT93" s="1079">
        <f>IF(AND(method_reg="Метод индексации",god&lt;&gt;first_year),_xlfn.SUMIFS(INDEX('Калькуляция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(МИ)'!$AJ$25:$BC$459,,MATCH(AT$8,'Калькуляция (МИ)'!$AJ$8:$BC$8,0)),'Калькуляция (МИ)'!$F$25:$F$459,$F93,'Калькуляция (МИ)'!$G$25:$G$459,$G93))))</f>
        <v>0</v>
      </c>
      <c r="AU93" s="1080">
        <f>IF(AS93=0,0,(AT93-AS93)/AS93*100)</f>
        <v>0</v>
      </c>
      <c r="AV93" s="1079">
        <f>IF(AND(method_reg="Метод индексации",god&lt;&gt;first_year),_xlfn.SUMIFS(INDEX('Калькуляция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(МИ)'!$AJ$25:$BC$459,,MATCH(AV$8,'Калькуляция (МИ)'!$AJ$8:$BC$8,0)),'Калькуляция (МИ)'!$F$25:$F$459,$F93,'Калькуляция (МИ)'!$G$25:$G$459,$G93))))</f>
        <v>0</v>
      </c>
      <c r="AW93" s="1079">
        <f>IF(AND(method_reg="Метод индексации",god&lt;&gt;first_year),_xlfn.SUMIFS(INDEX('Калькуляция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(МИ)'!$AJ$25:$BC$459,,MATCH(AW$8,'Калькуляция (МИ)'!$AJ$8:$BC$8,0)),'Калькуляция (МИ)'!$F$25:$F$459,$F93,'Калькуляция (МИ)'!$G$25:$G$459,$G93))))</f>
        <v>0</v>
      </c>
      <c r="AX93" s="1080">
        <f>IF(AV93=0,0,(AW93-AV93)/AV93*100)</f>
        <v>0</v>
      </c>
      <c r="AY93" s="1079">
        <f>IF(AND(method_reg="Метод индексации",god&lt;&gt;first_year),_xlfn.SUMIFS(INDEX('Калькуляция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(МИ)'!$AJ$25:$BC$459,,MATCH(AY$8,'Калькуляция (МИ)'!$AJ$8:$BC$8,0)),'Калькуляция (МИ)'!$F$25:$F$459,$F93,'Калькуляция (МИ)'!$G$25:$G$459,$G93))))</f>
        <v>0</v>
      </c>
      <c r="AZ93" s="1079">
        <f>IF(AND(method_reg="Метод индексации",god&lt;&gt;first_year),_xlfn.SUMIFS(INDEX('Калькуляция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(МИ)'!$AJ$25:$BC$459,,MATCH(AZ$8,'Калькуляция (МИ)'!$AJ$8:$BC$8,0)),'Калькуляция (МИ)'!$F$25:$F$459,$F93,'Калькуляция (МИ)'!$G$25:$G$459,$G93))))</f>
        <v>0</v>
      </c>
      <c r="BA93" s="1080">
        <f>IF(AY93=0,0,(AZ93-AY93)/AY93*100)</f>
        <v>0</v>
      </c>
      <c r="BB93" s="1079">
        <f>IF(AND(method_reg="Метод индексации",god&lt;&gt;first_year),_xlfn.SUMIFS(INDEX('Калькуляция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(МИ)'!$AJ$25:$BC$459,,MATCH(BB$8,'Калькуляция (МИ)'!$AJ$8:$BC$8,0)),'Калькуляция (МИ)'!$F$25:$F$459,$F93,'Калькуляция (МИ)'!$G$25:$G$459,$G93))))</f>
        <v>0</v>
      </c>
      <c r="BC93" s="1079">
        <f>IF(AND(method_reg="Метод индексации",god&lt;&gt;first_year),_xlfn.SUMIFS(INDEX('Калькуляция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(МИ)'!$AJ$25:$BC$459,,MATCH(BC$8,'Калькуляция (МИ)'!$AJ$8:$BC$8,0)),'Калькуляция (МИ)'!$F$25:$F$459,$F93,'Калькуляция (МИ)'!$G$25:$G$459,$G93))))</f>
        <v>0</v>
      </c>
      <c r="BD93" s="1080">
        <f>IF(BB93=0,0,(BC93-BB93)/BB93*100)</f>
        <v>0</v>
      </c>
      <c r="BE93" s="1079">
        <f>IF(AND(method_reg="Метод индексации",god&lt;&gt;first_year),_xlfn.SUMIFS(INDEX('Калькуляция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расходов",_xlfn.SUMIFS('Калькуляция (МЭОР)'!$AJ$25:$AJ$282,'Калькуляция (МЭОР)'!$F$25:$F$282,$F93,'Калькуляция (МЭОР)'!$G$25:$G$282,$G93),IF(method_reg="Метод сравнения аналогов",_xlfn.SUMIFS('Калькуляция (МСА)'!$AE$25:$AE$84,'Калькуляция (МСА)'!$F$25:$F$84,$F93,'Калькуляция (МСА)'!$G$25:$G$84,$G93),_xlfn.SUMIFS(INDEX('Калькуляция (МИ)'!$AJ$25:$BC$459,,MATCH(BE$8,'Калькуляция (МИ)'!$AJ$8:$BC$8,0)),'Калькуляция (МИ)'!$F$25:$F$459,$F93,'Калькуляция (МИ)'!$G$25:$G$459,$G93))))</f>
        <v>0</v>
      </c>
      <c r="BF93" s="1079">
        <f>IF(AND(method_reg="Метод индексации",god&lt;&gt;first_year),_xlfn.SUMIFS(INDEX('Калькуляция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расходов",_xlfn.SUMIFS('Калькуляция (МЭОР)'!$AK$25:$AK$282,'Калькуляция (МЭОР)'!$F$25:$F$282,$F93,'Калькуляция (МЭОР)'!$G$25:$G$282,$G93),IF(method_reg="Метод сравнения аналогов",_xlfn.SUMIFS('Калькуляция (МСА)'!$AF$25:$AF$84,'Калькуляция (МСА)'!$F$25:$F$84,$F93,'Калькуляция (МСА)'!$G$25:$G$84,$G93),_xlfn.SUMIFS(INDEX('Калькуляция (МИ)'!$AJ$25:$BC$459,,MATCH(BF$8,'Калькуляция (МИ)'!$AJ$8:$BC$8,0)),'Калькуляция (МИ)'!$F$25:$F$459,$F93,'Калькуляция (МИ)'!$G$25:$G$459,$G93))))</f>
        <v>0</v>
      </c>
      <c r="BG93" s="1080">
        <f>IF(BE93=0,0,(BF93-BE93)/BE93*100)</f>
        <v>0</v>
      </c>
      <c r="BH93" s="1079"/>
      <c r="BI93" s="1079"/>
      <c r="BJ93" s="1080">
        <f>IF(BH93=0,0,(BI93-BH93)/BH93*100)</f>
        <v>0</v>
      </c>
      <c r="BK93" s="1079"/>
      <c r="BL93" s="1079"/>
      <c r="BM93" s="1080">
        <f>IF(BK93=0,0,(BL93-BK93)/BK93*100)</f>
        <v>0</v>
      </c>
      <c r="BN93" s="1079"/>
      <c r="BO93" s="1079"/>
      <c r="BP93" s="1080">
        <f>IF(BN93=0,0,(BO93-BN93)/BN93*100)</f>
        <v>0</v>
      </c>
      <c r="BQ93" s="1079"/>
      <c r="BR93" s="1079"/>
      <c r="BS93" s="1080">
        <f>IF(BQ93=0,0,(BR93-BQ93)/BQ93*100)</f>
        <v>0</v>
      </c>
      <c r="BT93" s="1079"/>
      <c r="BU93" s="1079"/>
      <c r="BV93" s="1080">
        <f>IF(BT93=0,0,(BU93-BT93)/BT93*100)</f>
        <v>0</v>
      </c>
      <c r="BW93" s="1079"/>
      <c r="BX93" s="1079"/>
      <c r="BY93" s="1080">
        <f>IF(BW93=0,0,(BX93-BW93)/BW93*100)</f>
        <v>0</v>
      </c>
      <c r="BZ93" s="1079"/>
      <c r="CA93" s="1079"/>
      <c r="CB93" s="1080">
        <f>IF(BZ93=0,0,(CA93-BZ93)/BZ93*100)</f>
        <v>0</v>
      </c>
      <c r="CC93" s="1079"/>
      <c r="CD93" s="1079"/>
      <c r="CE93" s="1080">
        <f>IF(CC93=0,0,(CD93-CC93)/CC93*100)</f>
        <v>0</v>
      </c>
      <c r="CF93" s="1079"/>
      <c r="CG93" s="1079"/>
      <c r="CH93" s="1080">
        <f>IF(CF93=0,0,(CG93-CF93)/CF93*100)</f>
        <v>0</v>
      </c>
      <c r="CI93" s="1079"/>
      <c r="CJ93" s="1079"/>
      <c r="CK93" s="1080">
        <f>IF(CI93=0,0,(CJ93-CI93)/CI93*100)</f>
        <v>0</v>
      </c>
      <c r="CL93" s="1079"/>
      <c r="CM93" s="1079"/>
      <c r="CN93" s="1080">
        <f>IF(CL93=0,0,(CM93-CL93)/CL93*100)</f>
        <v>0</v>
      </c>
      <c r="CO93" s="1079"/>
      <c r="CP93" s="1079"/>
      <c r="CQ93" s="1080">
        <f>IF(CO93=0,0,(CP93-CO93)/CO93*100)</f>
        <v>0</v>
      </c>
      <c r="CR93" s="1079"/>
      <c r="CS93" s="1079"/>
      <c r="CT93" s="1080">
        <f>IF(CR93=0,0,(CS93-CR93)/CR93*100)</f>
        <v>0</v>
      </c>
      <c r="CU93" s="1079"/>
      <c r="CV93" s="1079"/>
      <c r="CW93" s="1080">
        <f>IF(CU93=0,0,(CV93-CU93)/CU93*100)</f>
        <v>0</v>
      </c>
      <c r="CX93" s="1079"/>
      <c r="CY93" s="1079"/>
      <c r="CZ93" s="1080">
        <f>IF(CX93=0,0,(CY93-CX93)/CX93*100)</f>
        <v>0</v>
      </c>
      <c r="DA93" s="1079"/>
      <c r="DB93" s="1079"/>
      <c r="DC93" s="1080">
        <f>IF(DA93=0,0,(DB93-DA93)/DA93*100)</f>
        <v>0</v>
      </c>
      <c r="DD93" s="1079"/>
      <c r="DE93" s="1079"/>
      <c r="DF93" s="1080">
        <f>IF(DD93=0,0,(DE93-DD93)/DD93*100)</f>
        <v>0</v>
      </c>
      <c r="DG93" s="1079"/>
      <c r="DH93" s="1079"/>
      <c r="DI93" s="1080">
        <f>IF(DG93=0,0,(DH93-DG93)/DG93*100)</f>
        <v>0</v>
      </c>
      <c r="DJ93" s="1079"/>
      <c r="DK93" s="1079"/>
      <c r="DL93" s="1080">
        <f>IF(DJ93=0,0,(DK93-DJ93)/DJ93*100)</f>
        <v>0</v>
      </c>
      <c r="DM93" s="1079"/>
      <c r="DN93" s="1079"/>
      <c r="DO93" s="1080">
        <f>IF(DM93=0,0,(DN93-DM93)/DM93*100)</f>
        <v>0</v>
      </c>
      <c r="DP93" s="1079"/>
      <c r="DQ93" s="1079"/>
      <c r="DR93" s="1080">
        <f>IF(DP93=0,0,(DQ93-DP93)/DP93*100)</f>
        <v>0</v>
      </c>
      <c r="DS93" s="1079"/>
      <c r="DT93" s="1079"/>
      <c r="DU93" s="1080">
        <f>IF(DS93=0,0,(DT93-DS93)/DS93*100)</f>
        <v>0</v>
      </c>
      <c r="DV93" s="1079"/>
      <c r="DW93" s="1079"/>
      <c r="DX93" s="1080">
        <f>IF(DV93=0,0,(DW93-DV93)/DV93*100)</f>
        <v>0</v>
      </c>
      <c r="DY93" s="1079"/>
      <c r="DZ93" s="1079"/>
      <c r="EA93" s="1080">
        <f>IF(DY93=0,0,(DZ93-DY93)/DY93*100)</f>
        <v>0</v>
      </c>
      <c r="EB93" s="1079"/>
      <c r="EC93" s="1079"/>
      <c r="ED93" s="1080">
        <f>IF(EB93=0,0,(EC93-EB93)/EB93*100)</f>
        <v>0</v>
      </c>
      <c r="EE93" s="1079"/>
      <c r="EF93" s="1079"/>
      <c r="EG93" s="1080">
        <f>IF(EE93=0,0,(EF93-EE93)/EE93*100)</f>
        <v>0</v>
      </c>
      <c r="EH93" s="1079"/>
      <c r="EI93" s="1079"/>
      <c r="EJ93" s="1080">
        <f>IF(EH93=0,0,(EI93-EH93)/EH93*100)</f>
        <v>0</v>
      </c>
      <c r="EK93" s="1079"/>
      <c r="EL93" s="1079"/>
      <c r="EM93" s="1080">
        <f>IF(EK93=0,0,(EL93-EK93)/EK93*100)</f>
        <v>0</v>
      </c>
      <c r="EN93" s="1079"/>
      <c r="EO93" s="1079"/>
      <c r="EP93" s="1080">
        <f>IF(EN93=0,0,(EO93-EN93)/EN93*100)</f>
        <v>0</v>
      </c>
      <c r="EQ93" s="1079"/>
      <c r="ER93" s="1079"/>
      <c r="ES93" s="1080">
        <f>IF(EQ93=0,0,(ER93-EQ93)/EQ93*100)</f>
        <v>0</v>
      </c>
      <c r="ET93" s="1079"/>
      <c r="EU93" s="1079"/>
      <c r="EV93" s="1080">
        <f>IF(ET93=0,0,(EU93-ET93)/ET93*100)</f>
        <v>0</v>
      </c>
      <c r="EW93" s="1079"/>
      <c r="EX93" s="1079"/>
      <c r="EY93" s="1080">
        <f>IF(EW93=0,0,(EX93-EW93)/EW93*100)</f>
        <v>0</v>
      </c>
      <c r="EZ93" s="1079"/>
      <c r="FA93" s="1079"/>
      <c r="FB93" s="1080">
        <f>IF(EZ93=0,0,(FA93-EZ93)/EZ93*100)</f>
        <v>0</v>
      </c>
      <c r="FC93" s="1079"/>
      <c r="FD93" s="1079"/>
      <c r="FE93" s="1080">
        <f>IF(FC93=0,0,(FD93-FC93)/FC93*100)</f>
        <v>0</v>
      </c>
      <c r="FF93" s="1079"/>
      <c r="FG93" s="1079"/>
      <c r="FH93" s="1080">
        <f>IF(FF93=0,0,(FG93-FF93)/FF93*100)</f>
        <v>0</v>
      </c>
      <c r="FI93" s="1079"/>
      <c r="FJ93" s="1079"/>
      <c r="FK93" s="1080">
        <f>IF(FI93=0,0,(FJ93-FI93)/FI93*100)</f>
        <v>0</v>
      </c>
      <c r="FL93" s="1079"/>
      <c r="FM93" s="1079"/>
      <c r="FN93" s="1080">
        <f>IF(FL93=0,0,(FM93-FL93)/FL93*100)</f>
        <v>0</v>
      </c>
      <c r="FO93" s="1079"/>
      <c r="FP93" s="1079"/>
      <c r="FQ93" s="1080">
        <f>IF(FO93=0,0,(FP93-FO93)/FO93*100)</f>
        <v>0</v>
      </c>
      <c r="FR93" s="1079"/>
      <c r="FS93" s="1079"/>
      <c r="FT93" s="1080">
        <f>IF(FR93=0,0,(FS93-FR93)/FR93*100)</f>
        <v>0</v>
      </c>
      <c r="FU93" s="1079"/>
      <c r="FV93" s="1079"/>
      <c r="FW93" s="1080">
        <f>IF(FU93=0,0,(FV93-FU93)/FU93*100)</f>
        <v>0</v>
      </c>
      <c r="FX93" s="259"/>
      <c r="FY93" s="676"/>
      <c r="FZ93" s="1039" t="s">
        <v>1505</v>
      </c>
      <c r="GA93" s="1061"/>
      <c r="GB93" s="1061"/>
      <c r="GC93" s="697"/>
      <c r="GD93" s="697"/>
    </row>
    <row s="3442" customFormat="1" customHeight="1" ht="23.25">
      <c r="A94" s="879"/>
      <c r="B94" s="907" cm="1" t="str">
        <f t="array" ref="B94:B94">B93</f>
        <v>true</v>
      </c>
      <c r="C94" s="879"/>
      <c r="D94" s="879"/>
      <c r="E94" s="880">
        <v>24.5</v>
      </c>
      <c r="F94" s="50" cm="1" t="str">
        <f t="array" ref="F94:F94">OFFSET(E94,-1,1)</f>
        <v>1</v>
      </c>
      <c r="G94" s="73" t="s">
        <v>1506</v>
      </c>
      <c r="H94" s="467" t="s">
        <v>441</v>
      </c>
      <c r="I94" s="467" t="s">
        <v>1507</v>
      </c>
      <c r="J94" s="879"/>
      <c r="K94" s="879"/>
      <c r="L94" s="467"/>
      <c r="M94" s="879"/>
      <c r="N94" s="879"/>
      <c r="O94" s="879"/>
      <c r="P94" s="879"/>
      <c r="Q94" s="879"/>
      <c r="R94" s="467"/>
      <c r="S94" s="467"/>
      <c r="T94" s="439" cm="1" t="str">
        <f t="array" ref="T94:T94">T93</f>
        <v>true</v>
      </c>
      <c r="U94" s="879"/>
      <c r="V94" s="879"/>
      <c r="W94" s="879"/>
      <c r="X94" s="1534"/>
      <c r="Y94" s="879"/>
      <c r="Z94" s="1464"/>
      <c r="AA94" s="879"/>
      <c r="AB94" s="260" t="s">
        <v>1508</v>
      </c>
      <c r="AC94" s="261" t="s">
        <v>1494</v>
      </c>
      <c r="AD94" s="881">
        <f>IF(AND(method_reg="Метод индексации",god&lt;&gt;first_year),_xlfn.SUMIFS(INDEX('Калькуляция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(МИ)'!$AJ$25:$BC$459,,MATCH(AD$8,'Калькуляция (МИ)'!$AJ$8:$BC$8,0)),'Калькуляция (МИ)'!$F$25:$F$459,$F94,'Калькуляция (МИ)'!$G$25:$G$459,$G94))))</f>
        <v>0</v>
      </c>
      <c r="AE94" s="881">
        <f>IF(AND(method_reg="Метод индексации",god&lt;&gt;first_year),_xlfn.SUMIFS(INDEX('Калькуляция (МИ корр)'!$AJ$25:$BC$459,,MATCH(AE$8,'Калькуляция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(МИ)'!$AJ$25:$BC$459,,MATCH(AE$8,'Калькуляция (МИ)'!$AJ$8:$BC$8,0)),'Калькуляция (МИ)'!$F$25:$F$459,$F94,'Калькуляция (МИ)'!$G$25:$G$459,$G94))))</f>
        <v>0</v>
      </c>
      <c r="AF94" s="263">
        <f>IF(AD94=0,0,(AE94-AD94)/AD94*100)</f>
        <v>0</v>
      </c>
      <c r="AG94" s="3395">
        <f>IF(AND(method_reg="Метод индексации",god&lt;&gt;first_year),_xlfn.SUMIFS(INDEX('Калькуляция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(МИ)'!$AJ$25:$BC$459,,MATCH(AG$8,'Калькуляция (МИ)'!$AJ$8:$BC$8,0)),'Калькуляция (МИ)'!$F$25:$F$459,$F94,'Калькуляция (МИ)'!$G$25:$G$459,$G94))))</f>
        <v>0</v>
      </c>
      <c r="AH94" s="3395">
        <f>IF(AND(method_reg="Метод индексации",god&lt;&gt;first_year),_xlfn.SUMIFS(INDEX('Калькуляция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(МИ)'!$AJ$25:$BC$459,,MATCH(AH$8,'Калькуляция (МИ)'!$AJ$8:$BC$8,0)),'Калькуляция (МИ)'!$F$25:$F$459,$F94,'Калькуляция (МИ)'!$G$25:$G$459,$G94))))</f>
        <v>0</v>
      </c>
      <c r="AI94" s="263">
        <f>IF(AG94=0,0,(AH94-AG94)/AG94*100)</f>
        <v>0</v>
      </c>
      <c r="AJ94" s="3395">
        <f>IF(AND(method_reg="Метод индексации",god&lt;&gt;first_year),_xlfn.SUMIFS(INDEX('Калькуляция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(МИ)'!$AJ$25:$BC$459,,MATCH(AJ$8,'Калькуляция (МИ)'!$AJ$8:$BC$8,0)),'Калькуляция (МИ)'!$F$25:$F$459,$F94,'Калькуляция (МИ)'!$G$25:$G$459,$G94))))</f>
        <v>0</v>
      </c>
      <c r="AK94" s="3395">
        <f>IF(AND(method_reg="Метод индексации",god&lt;&gt;first_year),_xlfn.SUMIFS(INDEX('Калькуляция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(МИ)'!$AJ$25:$BC$459,,MATCH(AK$8,'Калькуляция (МИ)'!$AJ$8:$BC$8,0)),'Калькуляция (МИ)'!$F$25:$F$459,$F94,'Калькуляция (МИ)'!$G$25:$G$459,$G94))))</f>
        <v>0</v>
      </c>
      <c r="AL94" s="263">
        <f>IF(AJ94=0,0,(AK94-AJ94)/AJ94*100)</f>
        <v>0</v>
      </c>
      <c r="AM94" s="881">
        <f>IF(AND(method_reg="Метод индексации",god&lt;&gt;first_year),_xlfn.SUMIFS(INDEX('Калькуляция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(МИ)'!$AJ$25:$BC$459,,MATCH(AM$8,'Калькуляция (МИ)'!$AJ$8:$BC$8,0)),'Калькуляция (МИ)'!$F$25:$F$459,$F94,'Калькуляция (МИ)'!$G$25:$G$459,$G94))))</f>
        <v>0</v>
      </c>
      <c r="AN94" s="881">
        <f>IF(AND(method_reg="Метод индексации",god&lt;&gt;first_year),_xlfn.SUMIFS(INDEX('Калькуляция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(МИ)'!$AJ$25:$BC$459,,MATCH(AN$8,'Калькуляция (МИ)'!$AJ$8:$BC$8,0)),'Калькуляция (МИ)'!$F$25:$F$459,$F94,'Калькуляция (МИ)'!$G$25:$G$459,$G94))))</f>
        <v>0</v>
      </c>
      <c r="AO94" s="263">
        <f>IF(AM94=0,0,(AN94-AM94)/AM94*100)</f>
        <v>0</v>
      </c>
      <c r="AP94" s="881">
        <f>IF(AND(method_reg="Метод индексации",god&lt;&gt;first_year),_xlfn.SUMIFS(INDEX('Калькуляция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(МИ)'!$AJ$25:$BC$459,,MATCH(AP$8,'Калькуляция (МИ)'!$AJ$8:$BC$8,0)),'Калькуляция (МИ)'!$F$25:$F$459,$F94,'Калькуляция (МИ)'!$G$25:$G$459,$G94))))</f>
        <v>0</v>
      </c>
      <c r="AQ94" s="881">
        <f>IF(AND(method_reg="Метод индексации",god&lt;&gt;first_year),_xlfn.SUMIFS(INDEX('Калькуляция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(МИ)'!$AJ$25:$BC$459,,MATCH(AQ$8,'Калькуляция (МИ)'!$AJ$8:$BC$8,0)),'Калькуляция (МИ)'!$F$25:$F$459,$F94,'Калькуляция (МИ)'!$G$25:$G$459,$G94))))</f>
        <v>0</v>
      </c>
      <c r="AR94" s="263">
        <f>IF(AP94=0,0,(AQ94-AP94)/AP94*100)</f>
        <v>0</v>
      </c>
      <c r="AS94" s="881">
        <f>IF(AND(method_reg="Метод индексации",god&lt;&gt;first_year),_xlfn.SUMIFS(INDEX('Калькуляция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(МИ)'!$AJ$25:$BC$459,,MATCH(AS$8,'Калькуляция (МИ)'!$AJ$8:$BC$8,0)),'Калькуляция (МИ)'!$F$25:$F$459,$F94,'Калькуляция (МИ)'!$G$25:$G$459,$G94))))</f>
        <v>0</v>
      </c>
      <c r="AT94" s="881">
        <f>IF(AND(method_reg="Метод индексации",god&lt;&gt;first_year),_xlfn.SUMIFS(INDEX('Калькуляция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(МИ)'!$AJ$25:$BC$459,,MATCH(AT$8,'Калькуляция (МИ)'!$AJ$8:$BC$8,0)),'Калькуляция (МИ)'!$F$25:$F$459,$F94,'Калькуляция (МИ)'!$G$25:$G$459,$G94))))</f>
        <v>0</v>
      </c>
      <c r="AU94" s="263">
        <f>IF(AS94=0,0,(AT94-AS94)/AS94*100)</f>
        <v>0</v>
      </c>
      <c r="AV94" s="881">
        <f>IF(AND(method_reg="Метод индексации",god&lt;&gt;first_year),_xlfn.SUMIFS(INDEX('Калькуляция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(МИ)'!$AJ$25:$BC$459,,MATCH(AV$8,'Калькуляция (МИ)'!$AJ$8:$BC$8,0)),'Калькуляция (МИ)'!$F$25:$F$459,$F94,'Калькуляция (МИ)'!$G$25:$G$459,$G94))))</f>
        <v>0</v>
      </c>
      <c r="AW94" s="881">
        <f>IF(AND(method_reg="Метод индексации",god&lt;&gt;first_year),_xlfn.SUMIFS(INDEX('Калькуляция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(МИ)'!$AJ$25:$BC$459,,MATCH(AW$8,'Калькуляция (МИ)'!$AJ$8:$BC$8,0)),'Калькуляция (МИ)'!$F$25:$F$459,$F94,'Калькуляция (МИ)'!$G$25:$G$459,$G94))))</f>
        <v>0</v>
      </c>
      <c r="AX94" s="263">
        <f>IF(AV94=0,0,(AW94-AV94)/AV94*100)</f>
        <v>0</v>
      </c>
      <c r="AY94" s="881">
        <f>IF(AND(method_reg="Метод индексации",god&lt;&gt;first_year),_xlfn.SUMIFS(INDEX('Калькуляция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(МИ)'!$AJ$25:$BC$459,,MATCH(AY$8,'Калькуляция (МИ)'!$AJ$8:$BC$8,0)),'Калькуляция (МИ)'!$F$25:$F$459,$F94,'Калькуляция (МИ)'!$G$25:$G$459,$G94))))</f>
        <v>0</v>
      </c>
      <c r="AZ94" s="881">
        <f>IF(AND(method_reg="Метод индексации",god&lt;&gt;first_year),_xlfn.SUMIFS(INDEX('Калькуляция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(МИ)'!$AJ$25:$BC$459,,MATCH(AZ$8,'Калькуляция (МИ)'!$AJ$8:$BC$8,0)),'Калькуляция (МИ)'!$F$25:$F$459,$F94,'Калькуляция (МИ)'!$G$25:$G$459,$G94))))</f>
        <v>0</v>
      </c>
      <c r="BA94" s="263">
        <f>IF(AY94=0,0,(AZ94-AY94)/AY94*100)</f>
        <v>0</v>
      </c>
      <c r="BB94" s="881">
        <f>IF(AND(method_reg="Метод индексации",god&lt;&gt;first_year),_xlfn.SUMIFS(INDEX('Калькуляция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(МИ)'!$AJ$25:$BC$459,,MATCH(BB$8,'Калькуляция (МИ)'!$AJ$8:$BC$8,0)),'Калькуляция (МИ)'!$F$25:$F$459,$F94,'Калькуляция (МИ)'!$G$25:$G$459,$G94))))</f>
        <v>0</v>
      </c>
      <c r="BC94" s="881">
        <f>IF(AND(method_reg="Метод индексации",god&lt;&gt;first_year),_xlfn.SUMIFS(INDEX('Калькуляция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(МИ)'!$AJ$25:$BC$459,,MATCH(BC$8,'Калькуляция (МИ)'!$AJ$8:$BC$8,0)),'Калькуляция (МИ)'!$F$25:$F$459,$F94,'Калькуляция (МИ)'!$G$25:$G$459,$G94))))</f>
        <v>0</v>
      </c>
      <c r="BD94" s="263">
        <f>IF(BB94=0,0,(BC94-BB94)/BB94*100)</f>
        <v>0</v>
      </c>
      <c r="BE94" s="881">
        <f>IF(AND(method_reg="Метод индексации",god&lt;&gt;first_year),_xlfn.SUMIFS(INDEX('Калькуляция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расходов",_xlfn.SUMIFS('Калькуляция (МЭОР)'!$AJ$25:$AJ$282,'Калькуляция (МЭОР)'!$F$25:$F$282,$F94,'Калькуляция (МЭОР)'!$G$25:$G$282,$G94),IF(method_reg="Метод сравнения аналогов",_xlfn.SUMIFS('Калькуляция (МСА)'!$AE$25:$AE$84,'Калькуляция (МСА)'!$F$25:$F$84,$F94,'Калькуляция (МСА)'!$G$25:$G$84,$G94),_xlfn.SUMIFS(INDEX('Калькуляция (МИ)'!$AJ$25:$BC$459,,MATCH(BE$8,'Калькуляция (МИ)'!$AJ$8:$BC$8,0)),'Калькуляция (МИ)'!$F$25:$F$459,$F94,'Калькуляция (МИ)'!$G$25:$G$459,$G94))))</f>
        <v>0</v>
      </c>
      <c r="BF94" s="881">
        <f>IF(AND(method_reg="Метод индексации",god&lt;&gt;first_year),_xlfn.SUMIFS(INDEX('Калькуляция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расходов",_xlfn.SUMIFS('Калькуляция (МЭОР)'!$AK$25:$AK$282,'Калькуляция (МЭОР)'!$F$25:$F$282,$F94,'Калькуляция (МЭОР)'!$G$25:$G$282,$G94),IF(method_reg="Метод сравнения аналогов",_xlfn.SUMIFS('Калькуляция (МСА)'!$AF$25:$AF$84,'Калькуляция (МСА)'!$F$25:$F$84,$F94,'Калькуляция (МСА)'!$G$25:$G$84,$G94),_xlfn.SUMIFS(INDEX('Калькуляция (МИ)'!$AJ$25:$BC$459,,MATCH(BF$8,'Калькуляция (МИ)'!$AJ$8:$BC$8,0)),'Калькуляция (МИ)'!$F$25:$F$459,$F94,'Калькуляция (МИ)'!$G$25:$G$459,$G94))))</f>
        <v>0</v>
      </c>
      <c r="BG94" s="263">
        <f>IF(BE94=0,0,(BF94-BE94)/BE94*100)</f>
        <v>0</v>
      </c>
      <c r="BH94" s="881"/>
      <c r="BI94" s="881"/>
      <c r="BJ94" s="263">
        <f>IF(BH94=0,0,(BI94-BH94)/BH94*100)</f>
        <v>0</v>
      </c>
      <c r="BK94" s="881"/>
      <c r="BL94" s="881"/>
      <c r="BM94" s="263">
        <f>IF(BK94=0,0,(BL94-BK94)/BK94*100)</f>
        <v>0</v>
      </c>
      <c r="BN94" s="881"/>
      <c r="BO94" s="881"/>
      <c r="BP94" s="263">
        <f>IF(BN94=0,0,(BO94-BN94)/BN94*100)</f>
        <v>0</v>
      </c>
      <c r="BQ94" s="881"/>
      <c r="BR94" s="881"/>
      <c r="BS94" s="263">
        <f>IF(BQ94=0,0,(BR94-BQ94)/BQ94*100)</f>
        <v>0</v>
      </c>
      <c r="BT94" s="881"/>
      <c r="BU94" s="881"/>
      <c r="BV94" s="263">
        <f>IF(BT94=0,0,(BU94-BT94)/BT94*100)</f>
        <v>0</v>
      </c>
      <c r="BW94" s="881"/>
      <c r="BX94" s="881"/>
      <c r="BY94" s="263">
        <f>IF(BW94=0,0,(BX94-BW94)/BW94*100)</f>
        <v>0</v>
      </c>
      <c r="BZ94" s="881"/>
      <c r="CA94" s="881"/>
      <c r="CB94" s="263">
        <f>IF(BZ94=0,0,(CA94-BZ94)/BZ94*100)</f>
        <v>0</v>
      </c>
      <c r="CC94" s="881"/>
      <c r="CD94" s="881"/>
      <c r="CE94" s="263">
        <f>IF(CC94=0,0,(CD94-CC94)/CC94*100)</f>
        <v>0</v>
      </c>
      <c r="CF94" s="881"/>
      <c r="CG94" s="881"/>
      <c r="CH94" s="263">
        <f>IF(CF94=0,0,(CG94-CF94)/CF94*100)</f>
        <v>0</v>
      </c>
      <c r="CI94" s="881"/>
      <c r="CJ94" s="881"/>
      <c r="CK94" s="263">
        <f>IF(CI94=0,0,(CJ94-CI94)/CI94*100)</f>
        <v>0</v>
      </c>
      <c r="CL94" s="881"/>
      <c r="CM94" s="881"/>
      <c r="CN94" s="263">
        <f>IF(CL94=0,0,(CM94-CL94)/CL94*100)</f>
        <v>0</v>
      </c>
      <c r="CO94" s="881"/>
      <c r="CP94" s="881"/>
      <c r="CQ94" s="263">
        <f>IF(CO94=0,0,(CP94-CO94)/CO94*100)</f>
        <v>0</v>
      </c>
      <c r="CR94" s="881"/>
      <c r="CS94" s="881"/>
      <c r="CT94" s="263">
        <f>IF(CR94=0,0,(CS94-CR94)/CR94*100)</f>
        <v>0</v>
      </c>
      <c r="CU94" s="881"/>
      <c r="CV94" s="881"/>
      <c r="CW94" s="263">
        <f>IF(CU94=0,0,(CV94-CU94)/CU94*100)</f>
        <v>0</v>
      </c>
      <c r="CX94" s="881"/>
      <c r="CY94" s="881"/>
      <c r="CZ94" s="263">
        <f>IF(CX94=0,0,(CY94-CX94)/CX94*100)</f>
        <v>0</v>
      </c>
      <c r="DA94" s="881"/>
      <c r="DB94" s="881"/>
      <c r="DC94" s="263">
        <f>IF(DA94=0,0,(DB94-DA94)/DA94*100)</f>
        <v>0</v>
      </c>
      <c r="DD94" s="881"/>
      <c r="DE94" s="881"/>
      <c r="DF94" s="263">
        <f>IF(DD94=0,0,(DE94-DD94)/DD94*100)</f>
        <v>0</v>
      </c>
      <c r="DG94" s="881"/>
      <c r="DH94" s="881"/>
      <c r="DI94" s="263">
        <f>IF(DG94=0,0,(DH94-DG94)/DG94*100)</f>
        <v>0</v>
      </c>
      <c r="DJ94" s="881"/>
      <c r="DK94" s="881"/>
      <c r="DL94" s="263">
        <f>IF(DJ94=0,0,(DK94-DJ94)/DJ94*100)</f>
        <v>0</v>
      </c>
      <c r="DM94" s="881"/>
      <c r="DN94" s="881"/>
      <c r="DO94" s="263">
        <f>IF(DM94=0,0,(DN94-DM94)/DM94*100)</f>
        <v>0</v>
      </c>
      <c r="DP94" s="881"/>
      <c r="DQ94" s="881"/>
      <c r="DR94" s="263">
        <f>IF(DP94=0,0,(DQ94-DP94)/DP94*100)</f>
        <v>0</v>
      </c>
      <c r="DS94" s="881"/>
      <c r="DT94" s="881"/>
      <c r="DU94" s="263">
        <f>IF(DS94=0,0,(DT94-DS94)/DS94*100)</f>
        <v>0</v>
      </c>
      <c r="DV94" s="881"/>
      <c r="DW94" s="881"/>
      <c r="DX94" s="263">
        <f>IF(DV94=0,0,(DW94-DV94)/DV94*100)</f>
        <v>0</v>
      </c>
      <c r="DY94" s="881"/>
      <c r="DZ94" s="881"/>
      <c r="EA94" s="263">
        <f>IF(DY94=0,0,(DZ94-DY94)/DY94*100)</f>
        <v>0</v>
      </c>
      <c r="EB94" s="881"/>
      <c r="EC94" s="881"/>
      <c r="ED94" s="263">
        <f>IF(EB94=0,0,(EC94-EB94)/EB94*100)</f>
        <v>0</v>
      </c>
      <c r="EE94" s="881"/>
      <c r="EF94" s="881"/>
      <c r="EG94" s="263">
        <f>IF(EE94=0,0,(EF94-EE94)/EE94*100)</f>
        <v>0</v>
      </c>
      <c r="EH94" s="881"/>
      <c r="EI94" s="881"/>
      <c r="EJ94" s="263">
        <f>IF(EH94=0,0,(EI94-EH94)/EH94*100)</f>
        <v>0</v>
      </c>
      <c r="EK94" s="881"/>
      <c r="EL94" s="881"/>
      <c r="EM94" s="263">
        <f>IF(EK94=0,0,(EL94-EK94)/EK94*100)</f>
        <v>0</v>
      </c>
      <c r="EN94" s="881"/>
      <c r="EO94" s="881"/>
      <c r="EP94" s="263">
        <f>IF(EN94=0,0,(EO94-EN94)/EN94*100)</f>
        <v>0</v>
      </c>
      <c r="EQ94" s="881"/>
      <c r="ER94" s="881"/>
      <c r="ES94" s="263">
        <f>IF(EQ94=0,0,(ER94-EQ94)/EQ94*100)</f>
        <v>0</v>
      </c>
      <c r="ET94" s="881"/>
      <c r="EU94" s="881"/>
      <c r="EV94" s="263">
        <f>IF(ET94=0,0,(EU94-ET94)/ET94*100)</f>
        <v>0</v>
      </c>
      <c r="EW94" s="881"/>
      <c r="EX94" s="881"/>
      <c r="EY94" s="263">
        <f>IF(EW94=0,0,(EX94-EW94)/EW94*100)</f>
        <v>0</v>
      </c>
      <c r="EZ94" s="881"/>
      <c r="FA94" s="881"/>
      <c r="FB94" s="263">
        <f>IF(EZ94=0,0,(FA94-EZ94)/EZ94*100)</f>
        <v>0</v>
      </c>
      <c r="FC94" s="881"/>
      <c r="FD94" s="881"/>
      <c r="FE94" s="263">
        <f>IF(FC94=0,0,(FD94-FC94)/FC94*100)</f>
        <v>0</v>
      </c>
      <c r="FF94" s="881"/>
      <c r="FG94" s="881"/>
      <c r="FH94" s="263">
        <f>IF(FF94=0,0,(FG94-FF94)/FF94*100)</f>
        <v>0</v>
      </c>
      <c r="FI94" s="881"/>
      <c r="FJ94" s="881"/>
      <c r="FK94" s="263">
        <f>IF(FI94=0,0,(FJ94-FI94)/FI94*100)</f>
        <v>0</v>
      </c>
      <c r="FL94" s="881"/>
      <c r="FM94" s="881"/>
      <c r="FN94" s="263">
        <f>IF(FL94=0,0,(FM94-FL94)/FL94*100)</f>
        <v>0</v>
      </c>
      <c r="FO94" s="881"/>
      <c r="FP94" s="881"/>
      <c r="FQ94" s="263">
        <f>IF(FO94=0,0,(FP94-FO94)/FO94*100)</f>
        <v>0</v>
      </c>
      <c r="FR94" s="881"/>
      <c r="FS94" s="881"/>
      <c r="FT94" s="263">
        <f>IF(FR94=0,0,(FS94-FR94)/FR94*100)</f>
        <v>0</v>
      </c>
      <c r="FU94" s="881"/>
      <c r="FV94" s="881"/>
      <c r="FW94" s="263">
        <f>IF(FU94=0,0,(FV94-FU94)/FU94*100)</f>
        <v>0</v>
      </c>
      <c r="FX94" s="259"/>
      <c r="FY94" s="259"/>
      <c r="FZ94" s="1039" t="s">
        <v>1509</v>
      </c>
      <c r="GA94" s="1039"/>
      <c r="GB94" s="1039"/>
      <c r="GC94" s="1040"/>
      <c r="GD94" s="1040"/>
    </row>
    <row s="3443" customFormat="1" customHeight="1" ht="23.25">
      <c r="A95" s="879"/>
      <c r="B95" s="907" cm="1" t="str">
        <f t="array" ref="B95:B95">B94</f>
        <v>true</v>
      </c>
      <c r="C95" s="879"/>
      <c r="D95" s="879"/>
      <c r="E95" s="880">
        <v>24.5</v>
      </c>
      <c r="F95" s="50" cm="1" t="str">
        <f t="array" ref="F95:F95">OFFSET(E95,-1,1)</f>
        <v>1</v>
      </c>
      <c r="G95" s="73" t="s">
        <v>1510</v>
      </c>
      <c r="H95" s="467" t="s">
        <v>441</v>
      </c>
      <c r="I95" s="467" t="s">
        <v>1511</v>
      </c>
      <c r="J95" s="879"/>
      <c r="K95" s="879"/>
      <c r="L95" s="467"/>
      <c r="M95" s="879"/>
      <c r="N95" s="879"/>
      <c r="O95" s="879"/>
      <c r="P95" s="879"/>
      <c r="Q95" s="879"/>
      <c r="R95" s="467"/>
      <c r="S95" s="467"/>
      <c r="T95" s="439" cm="1" t="str">
        <f t="array" ref="T95:T95">T94</f>
        <v>true</v>
      </c>
      <c r="U95" s="879"/>
      <c r="V95" s="879"/>
      <c r="W95" s="879"/>
      <c r="X95" s="1534"/>
      <c r="Y95" s="879"/>
      <c r="Z95" s="1464"/>
      <c r="AA95" s="879"/>
      <c r="AB95" s="1075" t="s">
        <v>1512</v>
      </c>
      <c r="AC95" s="261" t="s">
        <v>1494</v>
      </c>
      <c r="AD95" s="881">
        <f>IF(AND(method_reg="Метод индексации",god&lt;&gt;first_year),_xlfn.SUMIFS(INDEX('Калькуляция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(МИ)'!$AJ$25:$BC$459,,MATCH(AD$8,'Калькуляция (МИ)'!$AJ$8:$BC$8,0)),'Калькуляция (МИ)'!$F$25:$F$459,$F95,'Калькуляция (МИ)'!$G$25:$G$459,$G95))))</f>
        <v>0</v>
      </c>
      <c r="AE95" s="881">
        <f>IF(AND(method_reg="Метод индексации",god&lt;&gt;first_year),_xlfn.SUMIFS(INDEX('Калькуляция (МИ корр)'!$AJ$25:$BC$459,,MATCH(AE$8,'Калькуляция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(МИ)'!$AJ$25:$BC$459,,MATCH(AE$8,'Калькуляция (МИ)'!$AJ$8:$BC$8,0)),'Калькуляция (МИ)'!$F$25:$F$459,$F95,'Калькуляция (МИ)'!$G$25:$G$459,$G95))))</f>
        <v>0</v>
      </c>
      <c r="AF95" s="263">
        <f>IF(AD95=0,0,(AE95-AD95)/AD95*100)</f>
        <v>0</v>
      </c>
      <c r="AG95" s="3395">
        <f>IF(AND(method_reg="Метод индексации",god&lt;&gt;first_year),_xlfn.SUMIFS(INDEX('Калькуляция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(МИ)'!$AJ$25:$BC$459,,MATCH(AG$8,'Калькуляция (МИ)'!$AJ$8:$BC$8,0)),'Калькуляция (МИ)'!$F$25:$F$459,$F95,'Калькуляция (МИ)'!$G$25:$G$459,$G95))))</f>
        <v>0</v>
      </c>
      <c r="AH95" s="3395">
        <f>IF(AND(method_reg="Метод индексации",god&lt;&gt;first_year),_xlfn.SUMIFS(INDEX('Калькуляция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(МИ)'!$AJ$25:$BC$459,,MATCH(AH$8,'Калькуляция (МИ)'!$AJ$8:$BC$8,0)),'Калькуляция (МИ)'!$F$25:$F$459,$F95,'Калькуляция (МИ)'!$G$25:$G$459,$G95))))</f>
        <v>0</v>
      </c>
      <c r="AI95" s="263">
        <f>IF(AG95=0,0,(AH95-AG95)/AG95*100)</f>
        <v>0</v>
      </c>
      <c r="AJ95" s="3395">
        <f>IF(AND(method_reg="Метод индексации",god&lt;&gt;first_year),_xlfn.SUMIFS(INDEX('Калькуляция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(МИ)'!$AJ$25:$BC$459,,MATCH(AJ$8,'Калькуляция (МИ)'!$AJ$8:$BC$8,0)),'Калькуляция (МИ)'!$F$25:$F$459,$F95,'Калькуляция (МИ)'!$G$25:$G$459,$G95))))</f>
        <v>0</v>
      </c>
      <c r="AK95" s="3395">
        <f>IF(AND(method_reg="Метод индексации",god&lt;&gt;first_year),_xlfn.SUMIFS(INDEX('Калькуляция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(МИ)'!$AJ$25:$BC$459,,MATCH(AK$8,'Калькуляция (МИ)'!$AJ$8:$BC$8,0)),'Калькуляция (МИ)'!$F$25:$F$459,$F95,'Калькуляция (МИ)'!$G$25:$G$459,$G95))))</f>
        <v>0</v>
      </c>
      <c r="AL95" s="263">
        <f>IF(AJ95=0,0,(AK95-AJ95)/AJ95*100)</f>
        <v>0</v>
      </c>
      <c r="AM95" s="881">
        <f>IF(AND(method_reg="Метод индексации",god&lt;&gt;first_year),_xlfn.SUMIFS(INDEX('Калькуляция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(МИ)'!$AJ$25:$BC$459,,MATCH(AM$8,'Калькуляция (МИ)'!$AJ$8:$BC$8,0)),'Калькуляция (МИ)'!$F$25:$F$459,$F95,'Калькуляция (МИ)'!$G$25:$G$459,$G95))))</f>
        <v>0</v>
      </c>
      <c r="AN95" s="881">
        <f>IF(AND(method_reg="Метод индексации",god&lt;&gt;first_year),_xlfn.SUMIFS(INDEX('Калькуляция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(МИ)'!$AJ$25:$BC$459,,MATCH(AN$8,'Калькуляция (МИ)'!$AJ$8:$BC$8,0)),'Калькуляция (МИ)'!$F$25:$F$459,$F95,'Калькуляция (МИ)'!$G$25:$G$459,$G95))))</f>
        <v>0</v>
      </c>
      <c r="AO95" s="263">
        <f>IF(AM95=0,0,(AN95-AM95)/AM95*100)</f>
        <v>0</v>
      </c>
      <c r="AP95" s="881">
        <f>IF(AND(method_reg="Метод индексации",god&lt;&gt;first_year),_xlfn.SUMIFS(INDEX('Калькуляция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(МИ)'!$AJ$25:$BC$459,,MATCH(AP$8,'Калькуляция (МИ)'!$AJ$8:$BC$8,0)),'Калькуляция (МИ)'!$F$25:$F$459,$F95,'Калькуляция (МИ)'!$G$25:$G$459,$G95))))</f>
        <v>0</v>
      </c>
      <c r="AQ95" s="881">
        <f>IF(AND(method_reg="Метод индексации",god&lt;&gt;first_year),_xlfn.SUMIFS(INDEX('Калькуляция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(МИ)'!$AJ$25:$BC$459,,MATCH(AQ$8,'Калькуляция (МИ)'!$AJ$8:$BC$8,0)),'Калькуляция (МИ)'!$F$25:$F$459,$F95,'Калькуляция (МИ)'!$G$25:$G$459,$G95))))</f>
        <v>0</v>
      </c>
      <c r="AR95" s="263">
        <f>IF(AP95=0,0,(AQ95-AP95)/AP95*100)</f>
        <v>0</v>
      </c>
      <c r="AS95" s="881">
        <f>IF(AND(method_reg="Метод индексации",god&lt;&gt;first_year),_xlfn.SUMIFS(INDEX('Калькуляция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(МИ)'!$AJ$25:$BC$459,,MATCH(AS$8,'Калькуляция (МИ)'!$AJ$8:$BC$8,0)),'Калькуляция (МИ)'!$F$25:$F$459,$F95,'Калькуляция (МИ)'!$G$25:$G$459,$G95))))</f>
        <v>0</v>
      </c>
      <c r="AT95" s="881">
        <f>IF(AND(method_reg="Метод индексации",god&lt;&gt;first_year),_xlfn.SUMIFS(INDEX('Калькуляция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(МИ)'!$AJ$25:$BC$459,,MATCH(AT$8,'Калькуляция (МИ)'!$AJ$8:$BC$8,0)),'Калькуляция (МИ)'!$F$25:$F$459,$F95,'Калькуляция (МИ)'!$G$25:$G$459,$G95))))</f>
        <v>0</v>
      </c>
      <c r="AU95" s="263">
        <f>IF(AS95=0,0,(AT95-AS95)/AS95*100)</f>
        <v>0</v>
      </c>
      <c r="AV95" s="881">
        <f>IF(AND(method_reg="Метод индексации",god&lt;&gt;first_year),_xlfn.SUMIFS(INDEX('Калькуляция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(МИ)'!$AJ$25:$BC$459,,MATCH(AV$8,'Калькуляция (МИ)'!$AJ$8:$BC$8,0)),'Калькуляция (МИ)'!$F$25:$F$459,$F95,'Калькуляция (МИ)'!$G$25:$G$459,$G95))))</f>
        <v>0</v>
      </c>
      <c r="AW95" s="881">
        <f>IF(AND(method_reg="Метод индексации",god&lt;&gt;first_year),_xlfn.SUMIFS(INDEX('Калькуляция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(МИ)'!$AJ$25:$BC$459,,MATCH(AW$8,'Калькуляция (МИ)'!$AJ$8:$BC$8,0)),'Калькуляция (МИ)'!$F$25:$F$459,$F95,'Калькуляция (МИ)'!$G$25:$G$459,$G95))))</f>
        <v>0</v>
      </c>
      <c r="AX95" s="263">
        <f>IF(AV95=0,0,(AW95-AV95)/AV95*100)</f>
        <v>0</v>
      </c>
      <c r="AY95" s="881">
        <f>IF(AND(method_reg="Метод индексации",god&lt;&gt;first_year),_xlfn.SUMIFS(INDEX('Калькуляция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(МИ)'!$AJ$25:$BC$459,,MATCH(AY$8,'Калькуляция (МИ)'!$AJ$8:$BC$8,0)),'Калькуляция (МИ)'!$F$25:$F$459,$F95,'Калькуляция (МИ)'!$G$25:$G$459,$G95))))</f>
        <v>0</v>
      </c>
      <c r="AZ95" s="881">
        <f>IF(AND(method_reg="Метод индексации",god&lt;&gt;first_year),_xlfn.SUMIFS(INDEX('Калькуляция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(МИ)'!$AJ$25:$BC$459,,MATCH(AZ$8,'Калькуляция (МИ)'!$AJ$8:$BC$8,0)),'Калькуляция (МИ)'!$F$25:$F$459,$F95,'Калькуляция (МИ)'!$G$25:$G$459,$G95))))</f>
        <v>0</v>
      </c>
      <c r="BA95" s="263">
        <f>IF(AY95=0,0,(AZ95-AY95)/AY95*100)</f>
        <v>0</v>
      </c>
      <c r="BB95" s="881">
        <f>IF(AND(method_reg="Метод индексации",god&lt;&gt;first_year),_xlfn.SUMIFS(INDEX('Калькуляция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(МИ)'!$AJ$25:$BC$459,,MATCH(BB$8,'Калькуляция (МИ)'!$AJ$8:$BC$8,0)),'Калькуляция (МИ)'!$F$25:$F$459,$F95,'Калькуляция (МИ)'!$G$25:$G$459,$G95))))</f>
        <v>0</v>
      </c>
      <c r="BC95" s="881">
        <f>IF(AND(method_reg="Метод индексации",god&lt;&gt;first_year),_xlfn.SUMIFS(INDEX('Калькуляция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(МИ)'!$AJ$25:$BC$459,,MATCH(BC$8,'Калькуляция (МИ)'!$AJ$8:$BC$8,0)),'Калькуляция (МИ)'!$F$25:$F$459,$F95,'Калькуляция (МИ)'!$G$25:$G$459,$G95))))</f>
        <v>0</v>
      </c>
      <c r="BD95" s="263">
        <f>IF(BB95=0,0,(BC95-BB95)/BB95*100)</f>
        <v>0</v>
      </c>
      <c r="BE95" s="881">
        <f>IF(AND(method_reg="Метод индексации",god&lt;&gt;first_year),_xlfn.SUMIFS(INDEX('Калькуляция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расходов",_xlfn.SUMIFS('Калькуляция (МЭОР)'!$AJ$25:$AJ$282,'Калькуляция (МЭОР)'!$F$25:$F$282,$F95,'Калькуляция (МЭОР)'!$G$25:$G$282,$G95),IF(method_reg="Метод сравнения аналогов",_xlfn.SUMIFS('Калькуляция (МСА)'!$AE$25:$AE$84,'Калькуляция (МСА)'!$F$25:$F$84,$F95,'Калькуляция (МСА)'!$G$25:$G$84,$G95),_xlfn.SUMIFS(INDEX('Калькуляция (МИ)'!$AJ$25:$BC$459,,MATCH(BE$8,'Калькуляция (МИ)'!$AJ$8:$BC$8,0)),'Калькуляция (МИ)'!$F$25:$F$459,$F95,'Калькуляция (МИ)'!$G$25:$G$459,$G95))))</f>
        <v>0</v>
      </c>
      <c r="BF95" s="881">
        <f>IF(AND(method_reg="Метод индексации",god&lt;&gt;first_year),_xlfn.SUMIFS(INDEX('Калькуляция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расходов",_xlfn.SUMIFS('Калькуляция (МЭОР)'!$AK$25:$AK$282,'Калькуляция (МЭОР)'!$F$25:$F$282,$F95,'Калькуляция (МЭОР)'!$G$25:$G$282,$G95),IF(method_reg="Метод сравнения аналогов",_xlfn.SUMIFS('Калькуляция (МСА)'!$AF$25:$AF$84,'Калькуляция (МСА)'!$F$25:$F$84,$F95,'Калькуляция (МСА)'!$G$25:$G$84,$G95),_xlfn.SUMIFS(INDEX('Калькуляция (МИ)'!$AJ$25:$BC$459,,MATCH(BF$8,'Калькуляция (МИ)'!$AJ$8:$BC$8,0)),'Калькуляция (МИ)'!$F$25:$F$459,$F95,'Калькуляция (МИ)'!$G$25:$G$459,$G95))))</f>
        <v>0</v>
      </c>
      <c r="BG95" s="263">
        <f>IF(BE95=0,0,(BF95-BE95)/BE95*100)</f>
        <v>0</v>
      </c>
      <c r="BH95" s="881"/>
      <c r="BI95" s="881"/>
      <c r="BJ95" s="263">
        <f>IF(BH95=0,0,(BI95-BH95)/BH95*100)</f>
        <v>0</v>
      </c>
      <c r="BK95" s="881"/>
      <c r="BL95" s="881"/>
      <c r="BM95" s="263">
        <f>IF(BK95=0,0,(BL95-BK95)/BK95*100)</f>
        <v>0</v>
      </c>
      <c r="BN95" s="881"/>
      <c r="BO95" s="881"/>
      <c r="BP95" s="263">
        <f>IF(BN95=0,0,(BO95-BN95)/BN95*100)</f>
        <v>0</v>
      </c>
      <c r="BQ95" s="881"/>
      <c r="BR95" s="881"/>
      <c r="BS95" s="263">
        <f>IF(BQ95=0,0,(BR95-BQ95)/BQ95*100)</f>
        <v>0</v>
      </c>
      <c r="BT95" s="881"/>
      <c r="BU95" s="881"/>
      <c r="BV95" s="263">
        <f>IF(BT95=0,0,(BU95-BT95)/BT95*100)</f>
        <v>0</v>
      </c>
      <c r="BW95" s="881"/>
      <c r="BX95" s="881"/>
      <c r="BY95" s="263">
        <f>IF(BW95=0,0,(BX95-BW95)/BW95*100)</f>
        <v>0</v>
      </c>
      <c r="BZ95" s="881"/>
      <c r="CA95" s="881"/>
      <c r="CB95" s="263">
        <f>IF(BZ95=0,0,(CA95-BZ95)/BZ95*100)</f>
        <v>0</v>
      </c>
      <c r="CC95" s="881"/>
      <c r="CD95" s="881"/>
      <c r="CE95" s="263">
        <f>IF(CC95=0,0,(CD95-CC95)/CC95*100)</f>
        <v>0</v>
      </c>
      <c r="CF95" s="881"/>
      <c r="CG95" s="881"/>
      <c r="CH95" s="263">
        <f>IF(CF95=0,0,(CG95-CF95)/CF95*100)</f>
        <v>0</v>
      </c>
      <c r="CI95" s="881"/>
      <c r="CJ95" s="881"/>
      <c r="CK95" s="263">
        <f>IF(CI95=0,0,(CJ95-CI95)/CI95*100)</f>
        <v>0</v>
      </c>
      <c r="CL95" s="881"/>
      <c r="CM95" s="881"/>
      <c r="CN95" s="263">
        <f>IF(CL95=0,0,(CM95-CL95)/CL95*100)</f>
        <v>0</v>
      </c>
      <c r="CO95" s="881"/>
      <c r="CP95" s="881"/>
      <c r="CQ95" s="263">
        <f>IF(CO95=0,0,(CP95-CO95)/CO95*100)</f>
        <v>0</v>
      </c>
      <c r="CR95" s="881"/>
      <c r="CS95" s="881"/>
      <c r="CT95" s="263">
        <f>IF(CR95=0,0,(CS95-CR95)/CR95*100)</f>
        <v>0</v>
      </c>
      <c r="CU95" s="881"/>
      <c r="CV95" s="881"/>
      <c r="CW95" s="263">
        <f>IF(CU95=0,0,(CV95-CU95)/CU95*100)</f>
        <v>0</v>
      </c>
      <c r="CX95" s="881"/>
      <c r="CY95" s="881"/>
      <c r="CZ95" s="263">
        <f>IF(CX95=0,0,(CY95-CX95)/CX95*100)</f>
        <v>0</v>
      </c>
      <c r="DA95" s="881"/>
      <c r="DB95" s="881"/>
      <c r="DC95" s="263">
        <f>IF(DA95=0,0,(DB95-DA95)/DA95*100)</f>
        <v>0</v>
      </c>
      <c r="DD95" s="881"/>
      <c r="DE95" s="881"/>
      <c r="DF95" s="263">
        <f>IF(DD95=0,0,(DE95-DD95)/DD95*100)</f>
        <v>0</v>
      </c>
      <c r="DG95" s="881"/>
      <c r="DH95" s="881"/>
      <c r="DI95" s="263">
        <f>IF(DG95=0,0,(DH95-DG95)/DG95*100)</f>
        <v>0</v>
      </c>
      <c r="DJ95" s="881"/>
      <c r="DK95" s="881"/>
      <c r="DL95" s="263">
        <f>IF(DJ95=0,0,(DK95-DJ95)/DJ95*100)</f>
        <v>0</v>
      </c>
      <c r="DM95" s="881"/>
      <c r="DN95" s="881"/>
      <c r="DO95" s="263">
        <f>IF(DM95=0,0,(DN95-DM95)/DM95*100)</f>
        <v>0</v>
      </c>
      <c r="DP95" s="881"/>
      <c r="DQ95" s="881"/>
      <c r="DR95" s="263">
        <f>IF(DP95=0,0,(DQ95-DP95)/DP95*100)</f>
        <v>0</v>
      </c>
      <c r="DS95" s="881"/>
      <c r="DT95" s="881"/>
      <c r="DU95" s="263">
        <f>IF(DS95=0,0,(DT95-DS95)/DS95*100)</f>
        <v>0</v>
      </c>
      <c r="DV95" s="881"/>
      <c r="DW95" s="881"/>
      <c r="DX95" s="263">
        <f>IF(DV95=0,0,(DW95-DV95)/DV95*100)</f>
        <v>0</v>
      </c>
      <c r="DY95" s="881"/>
      <c r="DZ95" s="881"/>
      <c r="EA95" s="263">
        <f>IF(DY95=0,0,(DZ95-DY95)/DY95*100)</f>
        <v>0</v>
      </c>
      <c r="EB95" s="881"/>
      <c r="EC95" s="881"/>
      <c r="ED95" s="263">
        <f>IF(EB95=0,0,(EC95-EB95)/EB95*100)</f>
        <v>0</v>
      </c>
      <c r="EE95" s="881"/>
      <c r="EF95" s="881"/>
      <c r="EG95" s="263">
        <f>IF(EE95=0,0,(EF95-EE95)/EE95*100)</f>
        <v>0</v>
      </c>
      <c r="EH95" s="881"/>
      <c r="EI95" s="881"/>
      <c r="EJ95" s="263">
        <f>IF(EH95=0,0,(EI95-EH95)/EH95*100)</f>
        <v>0</v>
      </c>
      <c r="EK95" s="881"/>
      <c r="EL95" s="881"/>
      <c r="EM95" s="263">
        <f>IF(EK95=0,0,(EL95-EK95)/EK95*100)</f>
        <v>0</v>
      </c>
      <c r="EN95" s="881"/>
      <c r="EO95" s="881"/>
      <c r="EP95" s="263">
        <f>IF(EN95=0,0,(EO95-EN95)/EN95*100)</f>
        <v>0</v>
      </c>
      <c r="EQ95" s="881"/>
      <c r="ER95" s="881"/>
      <c r="ES95" s="263">
        <f>IF(EQ95=0,0,(ER95-EQ95)/EQ95*100)</f>
        <v>0</v>
      </c>
      <c r="ET95" s="881"/>
      <c r="EU95" s="881"/>
      <c r="EV95" s="263">
        <f>IF(ET95=0,0,(EU95-ET95)/ET95*100)</f>
        <v>0</v>
      </c>
      <c r="EW95" s="881"/>
      <c r="EX95" s="881"/>
      <c r="EY95" s="263">
        <f>IF(EW95=0,0,(EX95-EW95)/EW95*100)</f>
        <v>0</v>
      </c>
      <c r="EZ95" s="881"/>
      <c r="FA95" s="881"/>
      <c r="FB95" s="263">
        <f>IF(EZ95=0,0,(FA95-EZ95)/EZ95*100)</f>
        <v>0</v>
      </c>
      <c r="FC95" s="881"/>
      <c r="FD95" s="881"/>
      <c r="FE95" s="263">
        <f>IF(FC95=0,0,(FD95-FC95)/FC95*100)</f>
        <v>0</v>
      </c>
      <c r="FF95" s="881"/>
      <c r="FG95" s="881"/>
      <c r="FH95" s="263">
        <f>IF(FF95=0,0,(FG95-FF95)/FF95*100)</f>
        <v>0</v>
      </c>
      <c r="FI95" s="881"/>
      <c r="FJ95" s="881"/>
      <c r="FK95" s="263">
        <f>IF(FI95=0,0,(FJ95-FI95)/FI95*100)</f>
        <v>0</v>
      </c>
      <c r="FL95" s="881"/>
      <c r="FM95" s="881"/>
      <c r="FN95" s="263">
        <f>IF(FL95=0,0,(FM95-FL95)/FL95*100)</f>
        <v>0</v>
      </c>
      <c r="FO95" s="881"/>
      <c r="FP95" s="881"/>
      <c r="FQ95" s="263">
        <f>IF(FO95=0,0,(FP95-FO95)/FO95*100)</f>
        <v>0</v>
      </c>
      <c r="FR95" s="881"/>
      <c r="FS95" s="881"/>
      <c r="FT95" s="263">
        <f>IF(FR95=0,0,(FS95-FR95)/FR95*100)</f>
        <v>0</v>
      </c>
      <c r="FU95" s="881"/>
      <c r="FV95" s="881"/>
      <c r="FW95" s="263">
        <f>IF(FU95=0,0,(FV95-FU95)/FU95*100)</f>
        <v>0</v>
      </c>
      <c r="FX95" s="259"/>
      <c r="FY95" s="259"/>
      <c r="FZ95" s="1039" t="s">
        <v>1513</v>
      </c>
      <c r="GA95" s="1039"/>
      <c r="GB95" s="1039"/>
      <c r="GC95" s="1040"/>
      <c r="GD95" s="1040"/>
    </row>
    <row s="1621" customFormat="1" customHeight="1" ht="14.25">
      <c r="A96" s="467"/>
      <c r="B96" s="907" cm="1" t="str">
        <f t="array" ref="B96:B96">B95</f>
        <v>true</v>
      </c>
      <c r="C96" s="467"/>
      <c r="D96" s="467"/>
      <c r="E96" s="822">
        <v>15</v>
      </c>
      <c r="F96" s="50" cm="1" t="str">
        <f t="array" ref="F96:F96">OFFSET(E96,-1,1)</f>
        <v>1</v>
      </c>
      <c r="G96" s="73"/>
      <c r="H96" s="467" t="s">
        <v>445</v>
      </c>
      <c r="I96" s="467" t="s">
        <v>1514</v>
      </c>
      <c r="J96" s="467"/>
      <c r="K96" s="467"/>
      <c r="L96" s="467"/>
      <c r="M96" s="467"/>
      <c r="N96" s="467"/>
      <c r="O96" s="467"/>
      <c r="P96" s="467"/>
      <c r="Q96" s="879"/>
      <c r="R96" s="467"/>
      <c r="S96" s="467"/>
      <c r="T96" s="439" cm="1" t="str">
        <f t="array" ref="T96:T96">T95</f>
        <v>true</v>
      </c>
      <c r="U96" s="467"/>
      <c r="V96" s="467"/>
      <c r="W96" s="467"/>
      <c r="X96" s="1534"/>
      <c r="Y96" s="467"/>
      <c r="Z96" s="1464"/>
      <c r="AA96" s="467"/>
      <c r="AB96" s="1074" t="s">
        <v>1501</v>
      </c>
      <c r="AC96" s="846" t="s">
        <v>437</v>
      </c>
      <c r="AD96" s="1077">
        <f>IF(AD94=0,0,AD95/AD94)*100</f>
        <v>0</v>
      </c>
      <c r="AE96" s="1077">
        <f>IF(AE94=0,0,AE95/AE94)*100</f>
        <v>0</v>
      </c>
      <c r="AF96" s="1078"/>
      <c r="AG96" s="1077">
        <f>IF(AG94=0,0,AG95/AG94)*100</f>
        <v>0</v>
      </c>
      <c r="AH96" s="1077">
        <f>IF(AH94=0,0,AH95/AH94)*100</f>
        <v>0</v>
      </c>
      <c r="AI96" s="1078"/>
      <c r="AJ96" s="1077">
        <f>IF(AJ94=0,0,AJ95/AJ94)*100</f>
        <v>0</v>
      </c>
      <c r="AK96" s="1077">
        <f>IF(AK94=0,0,AK95/AK94)*100</f>
        <v>0</v>
      </c>
      <c r="AL96" s="1078"/>
      <c r="AM96" s="1077">
        <f>IF(AM94=0,0,AM95/AM94)*100</f>
        <v>0</v>
      </c>
      <c r="AN96" s="1077">
        <f>IF(AN94=0,0,AN95/AN94)*100</f>
        <v>0</v>
      </c>
      <c r="AO96" s="1078"/>
      <c r="AP96" s="1077">
        <f>IF(AP94=0,0,AP95/AP94)*100</f>
        <v>0</v>
      </c>
      <c r="AQ96" s="1077">
        <f>IF(AQ94=0,0,AQ95/AQ94)*100</f>
        <v>0</v>
      </c>
      <c r="AR96" s="1078"/>
      <c r="AS96" s="1077">
        <f>IF(AS94=0,0,AS95/AS94)*100</f>
        <v>0</v>
      </c>
      <c r="AT96" s="1077">
        <f>IF(AT94=0,0,AT95/AT94)*100</f>
        <v>0</v>
      </c>
      <c r="AU96" s="1078"/>
      <c r="AV96" s="1077">
        <f>IF(AV94=0,0,AV95/AV94)*100</f>
        <v>0</v>
      </c>
      <c r="AW96" s="1077">
        <f>IF(AW94=0,0,AW95/AW94)*100</f>
        <v>0</v>
      </c>
      <c r="AX96" s="1078"/>
      <c r="AY96" s="1077">
        <f>IF(AY94=0,0,AY95/AY94)*100</f>
        <v>0</v>
      </c>
      <c r="AZ96" s="1077">
        <f>IF(AZ94=0,0,AZ95/AZ94)*100</f>
        <v>0</v>
      </c>
      <c r="BA96" s="1078"/>
      <c r="BB96" s="1077">
        <f>IF(BB94=0,0,BB95/BB94)*100</f>
        <v>0</v>
      </c>
      <c r="BC96" s="1077">
        <f>IF(BC94=0,0,BC95/BC94)*100</f>
        <v>0</v>
      </c>
      <c r="BD96" s="1078"/>
      <c r="BE96" s="1077">
        <f>IF(BE94=0,0,BE95/BE94)*100</f>
        <v>0</v>
      </c>
      <c r="BF96" s="1077">
        <f>IF(BF94=0,0,BF95/BF94)*100</f>
        <v>0</v>
      </c>
      <c r="BG96" s="1078"/>
      <c r="BH96" s="1077">
        <f>IF(BH94=0,0,BH95/BH94)*100</f>
        <v>0</v>
      </c>
      <c r="BI96" s="1077">
        <f>IF(BI94=0,0,BI95/BI94)*100</f>
        <v>0</v>
      </c>
      <c r="BJ96" s="1078"/>
      <c r="BK96" s="1077">
        <f>IF(BK94=0,0,BK95/BK94)*100</f>
        <v>0</v>
      </c>
      <c r="BL96" s="1077">
        <f>IF(BL94=0,0,BL95/BL94)*100</f>
        <v>0</v>
      </c>
      <c r="BM96" s="1078"/>
      <c r="BN96" s="1077">
        <f>IF(BN94=0,0,BN95/BN94)*100</f>
        <v>0</v>
      </c>
      <c r="BO96" s="1077">
        <f>IF(BO94=0,0,BO95/BO94)*100</f>
        <v>0</v>
      </c>
      <c r="BP96" s="1078"/>
      <c r="BQ96" s="1077">
        <f>IF(BQ94=0,0,BQ95/BQ94)*100</f>
        <v>0</v>
      </c>
      <c r="BR96" s="1077">
        <f>IF(BR94=0,0,BR95/BR94)*100</f>
        <v>0</v>
      </c>
      <c r="BS96" s="1078"/>
      <c r="BT96" s="1077">
        <f>IF(BT94=0,0,BT95/BT94)*100</f>
        <v>0</v>
      </c>
      <c r="BU96" s="1077">
        <f>IF(BU94=0,0,BU95/BU94)*100</f>
        <v>0</v>
      </c>
      <c r="BV96" s="1078"/>
      <c r="BW96" s="1077">
        <f>IF(BW94=0,0,BW95/BW94)*100</f>
        <v>0</v>
      </c>
      <c r="BX96" s="1077">
        <f>IF(BX94=0,0,BX95/BX94)*100</f>
        <v>0</v>
      </c>
      <c r="BY96" s="1078"/>
      <c r="BZ96" s="1077">
        <f>IF(BZ94=0,0,BZ95/BZ94)*100</f>
        <v>0</v>
      </c>
      <c r="CA96" s="1077">
        <f>IF(CA94=0,0,CA95/CA94)*100</f>
        <v>0</v>
      </c>
      <c r="CB96" s="1078"/>
      <c r="CC96" s="1077">
        <f>IF(CC94=0,0,CC95/CC94)*100</f>
        <v>0</v>
      </c>
      <c r="CD96" s="1077">
        <f>IF(CD94=0,0,CD95/CD94)*100</f>
        <v>0</v>
      </c>
      <c r="CE96" s="1078"/>
      <c r="CF96" s="1077">
        <f>IF(CF94=0,0,CF95/CF94)*100</f>
        <v>0</v>
      </c>
      <c r="CG96" s="1077">
        <f>IF(CG94=0,0,CG95/CG94)*100</f>
        <v>0</v>
      </c>
      <c r="CH96" s="1078"/>
      <c r="CI96" s="1077">
        <f>IF(CI94=0,0,CI95/CI94)*100</f>
        <v>0</v>
      </c>
      <c r="CJ96" s="1077">
        <f>IF(CJ94=0,0,CJ95/CJ94)*100</f>
        <v>0</v>
      </c>
      <c r="CK96" s="1078"/>
      <c r="CL96" s="1077">
        <f>IF(CL94=0,0,CL95/CL94)*100</f>
        <v>0</v>
      </c>
      <c r="CM96" s="1077">
        <f>IF(CM94=0,0,CM95/CM94)*100</f>
        <v>0</v>
      </c>
      <c r="CN96" s="1078"/>
      <c r="CO96" s="1077">
        <f>IF(CO94=0,0,CO95/CO94)*100</f>
        <v>0</v>
      </c>
      <c r="CP96" s="1077">
        <f>IF(CP94=0,0,CP95/CP94)*100</f>
        <v>0</v>
      </c>
      <c r="CQ96" s="1078"/>
      <c r="CR96" s="1077">
        <f>IF(CR94=0,0,CR95/CR94)*100</f>
        <v>0</v>
      </c>
      <c r="CS96" s="1077">
        <f>IF(CS94=0,0,CS95/CS94)*100</f>
        <v>0</v>
      </c>
      <c r="CT96" s="1078"/>
      <c r="CU96" s="1077">
        <f>IF(CU94=0,0,CU95/CU94)*100</f>
        <v>0</v>
      </c>
      <c r="CV96" s="1077">
        <f>IF(CV94=0,0,CV95/CV94)*100</f>
        <v>0</v>
      </c>
      <c r="CW96" s="1078"/>
      <c r="CX96" s="1077">
        <f>IF(CX94=0,0,CX95/CX94)*100</f>
        <v>0</v>
      </c>
      <c r="CY96" s="1077">
        <f>IF(CY94=0,0,CY95/CY94)*100</f>
        <v>0</v>
      </c>
      <c r="CZ96" s="1078"/>
      <c r="DA96" s="1077">
        <f>IF(DA94=0,0,DA95/DA94)*100</f>
        <v>0</v>
      </c>
      <c r="DB96" s="1077">
        <f>IF(DB94=0,0,DB95/DB94)*100</f>
        <v>0</v>
      </c>
      <c r="DC96" s="1078"/>
      <c r="DD96" s="1077">
        <f>IF(DD94=0,0,DD95/DD94)*100</f>
        <v>0</v>
      </c>
      <c r="DE96" s="1077">
        <f>IF(DE94=0,0,DE95/DE94)*100</f>
        <v>0</v>
      </c>
      <c r="DF96" s="1078"/>
      <c r="DG96" s="1077">
        <f>IF(DG94=0,0,DG95/DG94)*100</f>
        <v>0</v>
      </c>
      <c r="DH96" s="1077">
        <f>IF(DH94=0,0,DH95/DH94)*100</f>
        <v>0</v>
      </c>
      <c r="DI96" s="1078"/>
      <c r="DJ96" s="1077">
        <f>IF(DJ94=0,0,DJ95/DJ94)*100</f>
        <v>0</v>
      </c>
      <c r="DK96" s="1077">
        <f>IF(DK94=0,0,DK95/DK94)*100</f>
        <v>0</v>
      </c>
      <c r="DL96" s="1078"/>
      <c r="DM96" s="1077">
        <f>IF(DM94=0,0,DM95/DM94)*100</f>
        <v>0</v>
      </c>
      <c r="DN96" s="1077">
        <f>IF(DN94=0,0,DN95/DN94)*100</f>
        <v>0</v>
      </c>
      <c r="DO96" s="1078"/>
      <c r="DP96" s="1077">
        <f>IF(DP94=0,0,DP95/DP94)*100</f>
        <v>0</v>
      </c>
      <c r="DQ96" s="1077">
        <f>IF(DQ94=0,0,DQ95/DQ94)*100</f>
        <v>0</v>
      </c>
      <c r="DR96" s="1078"/>
      <c r="DS96" s="1077">
        <f>IF(DS94=0,0,DS95/DS94)*100</f>
        <v>0</v>
      </c>
      <c r="DT96" s="1077">
        <f>IF(DT94=0,0,DT95/DT94)*100</f>
        <v>0</v>
      </c>
      <c r="DU96" s="1078"/>
      <c r="DV96" s="1077">
        <f>IF(DV94=0,0,DV95/DV94)*100</f>
        <v>0</v>
      </c>
      <c r="DW96" s="1077">
        <f>IF(DW94=0,0,DW95/DW94)*100</f>
        <v>0</v>
      </c>
      <c r="DX96" s="1078"/>
      <c r="DY96" s="1077">
        <f>IF(DY94=0,0,DY95/DY94)*100</f>
        <v>0</v>
      </c>
      <c r="DZ96" s="1077">
        <f>IF(DZ94=0,0,DZ95/DZ94)*100</f>
        <v>0</v>
      </c>
      <c r="EA96" s="1078"/>
      <c r="EB96" s="1077">
        <f>IF(EB94=0,0,EB95/EB94)*100</f>
        <v>0</v>
      </c>
      <c r="EC96" s="1077">
        <f>IF(EC94=0,0,EC95/EC94)*100</f>
        <v>0</v>
      </c>
      <c r="ED96" s="1078"/>
      <c r="EE96" s="1077">
        <f>IF(EE94=0,0,EE95/EE94)*100</f>
        <v>0</v>
      </c>
      <c r="EF96" s="1077">
        <f>IF(EF94=0,0,EF95/EF94)*100</f>
        <v>0</v>
      </c>
      <c r="EG96" s="1078"/>
      <c r="EH96" s="1077">
        <f>IF(EH94=0,0,EH95/EH94)*100</f>
        <v>0</v>
      </c>
      <c r="EI96" s="1077">
        <f>IF(EI94=0,0,EI95/EI94)*100</f>
        <v>0</v>
      </c>
      <c r="EJ96" s="1078"/>
      <c r="EK96" s="1077">
        <f>IF(EK94=0,0,EK95/EK94)*100</f>
        <v>0</v>
      </c>
      <c r="EL96" s="1077">
        <f>IF(EL94=0,0,EL95/EL94)*100</f>
        <v>0</v>
      </c>
      <c r="EM96" s="1078"/>
      <c r="EN96" s="1077">
        <f>IF(EN94=0,0,EN95/EN94)*100</f>
        <v>0</v>
      </c>
      <c r="EO96" s="1077">
        <f>IF(EO94=0,0,EO95/EO94)*100</f>
        <v>0</v>
      </c>
      <c r="EP96" s="1078"/>
      <c r="EQ96" s="1077">
        <f>IF(EQ94=0,0,EQ95/EQ94)*100</f>
        <v>0</v>
      </c>
      <c r="ER96" s="1077">
        <f>IF(ER94=0,0,ER95/ER94)*100</f>
        <v>0</v>
      </c>
      <c r="ES96" s="1078"/>
      <c r="ET96" s="1077">
        <f>IF(ET94=0,0,ET95/ET94)*100</f>
        <v>0</v>
      </c>
      <c r="EU96" s="1077">
        <f>IF(EU94=0,0,EU95/EU94)*100</f>
        <v>0</v>
      </c>
      <c r="EV96" s="1078"/>
      <c r="EW96" s="1077">
        <f>IF(EW94=0,0,EW95/EW94)*100</f>
        <v>0</v>
      </c>
      <c r="EX96" s="1077">
        <f>IF(EX94=0,0,EX95/EX94)*100</f>
        <v>0</v>
      </c>
      <c r="EY96" s="1078"/>
      <c r="EZ96" s="1077">
        <f>IF(EZ94=0,0,EZ95/EZ94)*100</f>
        <v>0</v>
      </c>
      <c r="FA96" s="1077">
        <f>IF(FA94=0,0,FA95/FA94)*100</f>
        <v>0</v>
      </c>
      <c r="FB96" s="1078"/>
      <c r="FC96" s="1077">
        <f>IF(FC94=0,0,FC95/FC94)*100</f>
        <v>0</v>
      </c>
      <c r="FD96" s="1077">
        <f>IF(FD94=0,0,FD95/FD94)*100</f>
        <v>0</v>
      </c>
      <c r="FE96" s="1078"/>
      <c r="FF96" s="1077">
        <f>IF(FF94=0,0,FF95/FF94)*100</f>
        <v>0</v>
      </c>
      <c r="FG96" s="1077">
        <f>IF(FG94=0,0,FG95/FG94)*100</f>
        <v>0</v>
      </c>
      <c r="FH96" s="1078"/>
      <c r="FI96" s="1077">
        <f>IF(FI94=0,0,FI95/FI94)*100</f>
        <v>0</v>
      </c>
      <c r="FJ96" s="1077">
        <f>IF(FJ94=0,0,FJ95/FJ94)*100</f>
        <v>0</v>
      </c>
      <c r="FK96" s="1078"/>
      <c r="FL96" s="1077">
        <f>IF(FL94=0,0,FL95/FL94)*100</f>
        <v>0</v>
      </c>
      <c r="FM96" s="1077">
        <f>IF(FM94=0,0,FM95/FM94)*100</f>
        <v>0</v>
      </c>
      <c r="FN96" s="1078"/>
      <c r="FO96" s="1077">
        <f>IF(FO94=0,0,FO95/FO94)*100</f>
        <v>0</v>
      </c>
      <c r="FP96" s="1077">
        <f>IF(FP94=0,0,FP95/FP94)*100</f>
        <v>0</v>
      </c>
      <c r="FQ96" s="1078"/>
      <c r="FR96" s="1077">
        <f>IF(FR94=0,0,FR95/FR94)*100</f>
        <v>0</v>
      </c>
      <c r="FS96" s="1077">
        <f>IF(FS94=0,0,FS95/FS94)*100</f>
        <v>0</v>
      </c>
      <c r="FT96" s="1078"/>
      <c r="FU96" s="1077">
        <f>IF(FU94=0,0,FU95/FU94)*100</f>
        <v>0</v>
      </c>
      <c r="FV96" s="1077">
        <f>IF(FV94=0,0,FV95/FV94)*100</f>
        <v>0</v>
      </c>
      <c r="FW96" s="1078"/>
      <c r="FX96" s="259"/>
      <c r="FY96" s="676"/>
      <c r="FZ96" s="1039" t="s">
        <v>1515</v>
      </c>
      <c r="GA96" s="1061"/>
      <c r="GB96" s="1061"/>
      <c r="GC96" s="697"/>
      <c r="GD96" s="697"/>
    </row>
    <row s="1621" customFormat="1" customHeight="1" ht="14.25">
      <c r="A97" s="467"/>
      <c r="B97" s="907" cm="1" t="str">
        <f t="array" ref="B97:B97">B96</f>
        <v>true</v>
      </c>
      <c r="C97" s="467"/>
      <c r="D97" s="467"/>
      <c r="E97" s="822">
        <v>15</v>
      </c>
      <c r="F97" s="50" cm="1" t="str">
        <f t="array" ref="F97:F97">OFFSET(E97,-1,1)</f>
        <v>1</v>
      </c>
      <c r="G97" s="73" t="s">
        <v>1516</v>
      </c>
      <c r="H97" s="467" t="s">
        <v>448</v>
      </c>
      <c r="I97" s="467" t="s">
        <v>1514</v>
      </c>
      <c r="J97" s="467"/>
      <c r="K97" s="467"/>
      <c r="L97" s="467"/>
      <c r="M97" s="467"/>
      <c r="N97" s="467"/>
      <c r="O97" s="467"/>
      <c r="P97" s="467"/>
      <c r="Q97" s="879"/>
      <c r="R97" s="467"/>
      <c r="S97" s="467"/>
      <c r="T97" s="439" cm="1" t="str">
        <f t="array" ref="T97:T97">T96</f>
        <v>true</v>
      </c>
      <c r="U97" s="467"/>
      <c r="V97" s="467"/>
      <c r="W97" s="467"/>
      <c r="X97" s="1534"/>
      <c r="Y97" s="467"/>
      <c r="Z97" s="1464"/>
      <c r="AA97" s="467"/>
      <c r="AB97" s="882" t="s">
        <v>1517</v>
      </c>
      <c r="AC97" s="846" t="s">
        <v>512</v>
      </c>
      <c r="AD97" s="1079">
        <f>IF(AND(method_reg="Метод индексации",god&lt;&gt;first_year),_xlfn.SUMIFS(INDEX('Калькуляция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(МИ)'!$AJ$25:$BC$459,,MATCH(AD$8,'Калькуляция (МИ)'!$AJ$8:$BC$8,0)),'Калькуляция (МИ)'!$F$25:$F$459,$F97,'Калькуляция (МИ)'!$G$25:$G$459,$G97))))</f>
        <v>0</v>
      </c>
      <c r="AE97" s="1079">
        <f>IF(AND(method_reg="Метод индексации",god&lt;&gt;first_year),_xlfn.SUMIFS(INDEX('Калькуляция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(МИ)'!$AJ$25:$BC$459,,MATCH(AE$8,'Калькуляция (МИ)'!$AJ$8:$BC$8,0)),'Калькуляция (МИ)'!$F$25:$F$459,$F97,'Калькуляция (МИ)'!$G$25:$G$459,$G97))))</f>
        <v>0</v>
      </c>
      <c r="AF97" s="1080">
        <f>IF(AD97=0,0,(AE97-AD97)/AD97*100)</f>
        <v>0</v>
      </c>
      <c r="AG97" s="3404">
        <f>IF(AND(method_reg="Метод индексации",god&lt;&gt;first_year),_xlfn.SUMIFS(INDEX('Калькуляция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(МИ)'!$AJ$25:$BC$459,,MATCH(AG$8,'Калькуляция (МИ)'!$AJ$8:$BC$8,0)),'Калькуляция (МИ)'!$F$25:$F$459,$F97,'Калькуляция (МИ)'!$G$25:$G$459,$G97))))</f>
        <v>0</v>
      </c>
      <c r="AH97" s="3404">
        <f>IF(AND(method_reg="Метод индексации",god&lt;&gt;first_year),_xlfn.SUMIFS(INDEX('Калькуляция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(МИ)'!$AJ$25:$BC$459,,MATCH(AH$8,'Калькуляция (МИ)'!$AJ$8:$BC$8,0)),'Калькуляция (МИ)'!$F$25:$F$459,$F97,'Калькуляция (МИ)'!$G$25:$G$459,$G97))))</f>
        <v>0</v>
      </c>
      <c r="AI97" s="1080">
        <f>IF(AG97=0,0,(AH97-AG97)/AG97*100)</f>
        <v>0</v>
      </c>
      <c r="AJ97" s="3404">
        <f>IF(AND(method_reg="Метод индексации",god&lt;&gt;first_year),_xlfn.SUMIFS(INDEX('Калькуляция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(МИ)'!$AJ$25:$BC$459,,MATCH(AJ$8,'Калькуляция (МИ)'!$AJ$8:$BC$8,0)),'Калькуляция (МИ)'!$F$25:$F$459,$F97,'Калькуляция (МИ)'!$G$25:$G$459,$G97))))</f>
        <v>0</v>
      </c>
      <c r="AK97" s="3404">
        <f>IF(AND(method_reg="Метод индексации",god&lt;&gt;first_year),_xlfn.SUMIFS(INDEX('Калькуляция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(МИ)'!$AJ$25:$BC$459,,MATCH(AK$8,'Калькуляция (МИ)'!$AJ$8:$BC$8,0)),'Калькуляция (МИ)'!$F$25:$F$459,$F97,'Калькуляция (МИ)'!$G$25:$G$459,$G97))))</f>
        <v>0</v>
      </c>
      <c r="AL97" s="1080">
        <f>IF(AJ97=0,0,(AK97-AJ97)/AJ97*100)</f>
        <v>0</v>
      </c>
      <c r="AM97" s="1079">
        <f>IF(AND(method_reg="Метод индексации",god&lt;&gt;first_year),_xlfn.SUMIFS(INDEX('Калькуляция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(МИ)'!$AJ$25:$BC$459,,MATCH(AM$8,'Калькуляция (МИ)'!$AJ$8:$BC$8,0)),'Калькуляция (МИ)'!$F$25:$F$459,$F97,'Калькуляция (МИ)'!$G$25:$G$459,$G97))))</f>
        <v>0</v>
      </c>
      <c r="AN97" s="1079">
        <f>IF(AND(method_reg="Метод индексации",god&lt;&gt;first_year),_xlfn.SUMIFS(INDEX('Калькуляция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(МИ)'!$AJ$25:$BC$459,,MATCH(AN$8,'Калькуляция (МИ)'!$AJ$8:$BC$8,0)),'Калькуляция (МИ)'!$F$25:$F$459,$F97,'Калькуляция (МИ)'!$G$25:$G$459,$G97))))</f>
        <v>0</v>
      </c>
      <c r="AO97" s="1080">
        <f>IF(AM97=0,0,(AN97-AM97)/AM97*100)</f>
        <v>0</v>
      </c>
      <c r="AP97" s="1079">
        <f>IF(AND(method_reg="Метод индексации",god&lt;&gt;first_year),_xlfn.SUMIFS(INDEX('Калькуляция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(МИ)'!$AJ$25:$BC$459,,MATCH(AP$8,'Калькуляция (МИ)'!$AJ$8:$BC$8,0)),'Калькуляция (МИ)'!$F$25:$F$459,$F97,'Калькуляция (МИ)'!$G$25:$G$459,$G97))))</f>
        <v>0</v>
      </c>
      <c r="AQ97" s="1079">
        <f>IF(AND(method_reg="Метод индексации",god&lt;&gt;first_year),_xlfn.SUMIFS(INDEX('Калькуляция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(МИ)'!$AJ$25:$BC$459,,MATCH(AQ$8,'Калькуляция (МИ)'!$AJ$8:$BC$8,0)),'Калькуляция (МИ)'!$F$25:$F$459,$F97,'Калькуляция (МИ)'!$G$25:$G$459,$G97))))</f>
        <v>0</v>
      </c>
      <c r="AR97" s="1080">
        <f>IF(AP97=0,0,(AQ97-AP97)/AP97*100)</f>
        <v>0</v>
      </c>
      <c r="AS97" s="1079">
        <f>IF(AND(method_reg="Метод индексации",god&lt;&gt;first_year),_xlfn.SUMIFS(INDEX('Калькуляция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(МИ)'!$AJ$25:$BC$459,,MATCH(AS$8,'Калькуляция (МИ)'!$AJ$8:$BC$8,0)),'Калькуляция (МИ)'!$F$25:$F$459,$F97,'Калькуляция (МИ)'!$G$25:$G$459,$G97))))</f>
        <v>0</v>
      </c>
      <c r="AT97" s="1079">
        <f>IF(AND(method_reg="Метод индексации",god&lt;&gt;first_year),_xlfn.SUMIFS(INDEX('Калькуляция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(МИ)'!$AJ$25:$BC$459,,MATCH(AT$8,'Калькуляция (МИ)'!$AJ$8:$BC$8,0)),'Калькуляция (МИ)'!$F$25:$F$459,$F97,'Калькуляция (МИ)'!$G$25:$G$459,$G97))))</f>
        <v>0</v>
      </c>
      <c r="AU97" s="1080">
        <f>IF(AS97=0,0,(AT97-AS97)/AS97*100)</f>
        <v>0</v>
      </c>
      <c r="AV97" s="1079">
        <f>IF(AND(method_reg="Метод индексации",god&lt;&gt;first_year),_xlfn.SUMIFS(INDEX('Калькуляция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(МИ)'!$AJ$25:$BC$459,,MATCH(AV$8,'Калькуляция (МИ)'!$AJ$8:$BC$8,0)),'Калькуляция (МИ)'!$F$25:$F$459,$F97,'Калькуляция (МИ)'!$G$25:$G$459,$G97))))</f>
        <v>0</v>
      </c>
      <c r="AW97" s="1079">
        <f>IF(AND(method_reg="Метод индексации",god&lt;&gt;first_year),_xlfn.SUMIFS(INDEX('Калькуляция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(МИ)'!$AJ$25:$BC$459,,MATCH(AW$8,'Калькуляция (МИ)'!$AJ$8:$BC$8,0)),'Калькуляция (МИ)'!$F$25:$F$459,$F97,'Калькуляция (МИ)'!$G$25:$G$459,$G97))))</f>
        <v>0</v>
      </c>
      <c r="AX97" s="1080">
        <f>IF(AV97=0,0,(AW97-AV97)/AV97*100)</f>
        <v>0</v>
      </c>
      <c r="AY97" s="1079">
        <f>IF(AND(method_reg="Метод индексации",god&lt;&gt;first_year),_xlfn.SUMIFS(INDEX('Калькуляция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(МИ)'!$AJ$25:$BC$459,,MATCH(AY$8,'Калькуляция (МИ)'!$AJ$8:$BC$8,0)),'Калькуляция (МИ)'!$F$25:$F$459,$F97,'Калькуляция (МИ)'!$G$25:$G$459,$G97))))</f>
        <v>0</v>
      </c>
      <c r="AZ97" s="1079">
        <f>IF(AND(method_reg="Метод индексации",god&lt;&gt;first_year),_xlfn.SUMIFS(INDEX('Калькуляция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(МИ)'!$AJ$25:$BC$459,,MATCH(AZ$8,'Калькуляция (МИ)'!$AJ$8:$BC$8,0)),'Калькуляция (МИ)'!$F$25:$F$459,$F97,'Калькуляция (МИ)'!$G$25:$G$459,$G97))))</f>
        <v>0</v>
      </c>
      <c r="BA97" s="1080">
        <f>IF(AY97=0,0,(AZ97-AY97)/AY97*100)</f>
        <v>0</v>
      </c>
      <c r="BB97" s="1079">
        <f>IF(AND(method_reg="Метод индексации",god&lt;&gt;first_year),_xlfn.SUMIFS(INDEX('Калькуляция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(МИ)'!$AJ$25:$BC$459,,MATCH(BB$8,'Калькуляция (МИ)'!$AJ$8:$BC$8,0)),'Калькуляция (МИ)'!$F$25:$F$459,$F97,'Калькуляция (МИ)'!$G$25:$G$459,$G97))))</f>
        <v>0</v>
      </c>
      <c r="BC97" s="1079">
        <f>IF(AND(method_reg="Метод индексации",god&lt;&gt;first_year),_xlfn.SUMIFS(INDEX('Калькуляция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(МИ)'!$AJ$25:$BC$459,,MATCH(BC$8,'Калькуляция (МИ)'!$AJ$8:$BC$8,0)),'Калькуляция (МИ)'!$F$25:$F$459,$F97,'Калькуляция (МИ)'!$G$25:$G$459,$G97))))</f>
        <v>0</v>
      </c>
      <c r="BD97" s="1080">
        <f>IF(BB97=0,0,(BC97-BB97)/BB97*100)</f>
        <v>0</v>
      </c>
      <c r="BE97" s="1079">
        <f>IF(AND(method_reg="Метод индексации",god&lt;&gt;first_year),_xlfn.SUMIFS(INDEX('Калькуляция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расходов",_xlfn.SUMIFS('Калькуляция (МЭОР)'!$AJ$25:$AJ$282,'Калькуляция (МЭОР)'!$F$25:$F$282,$F97,'Калькуляция (МЭОР)'!$G$25:$G$282,$G97),IF(method_reg="Метод сравнения аналогов",_xlfn.SUMIFS('Калькуляция (МСА)'!$AE$25:$AE$84,'Калькуляция (МСА)'!$F$25:$F$84,$F97,'Калькуляция (МСА)'!$G$25:$G$84,$G97),_xlfn.SUMIFS(INDEX('Калькуляция (МИ)'!$AJ$25:$BC$459,,MATCH(BE$8,'Калькуляция (МИ)'!$AJ$8:$BC$8,0)),'Калькуляция (МИ)'!$F$25:$F$459,$F97,'Калькуляция (МИ)'!$G$25:$G$459,$G97))))</f>
        <v>0</v>
      </c>
      <c r="BF97" s="1079">
        <f>IF(AND(method_reg="Метод индексации",god&lt;&gt;first_year),_xlfn.SUMIFS(INDEX('Калькуляция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расходов",_xlfn.SUMIFS('Калькуляция (МЭОР)'!$AK$25:$AK$282,'Калькуляция (МЭОР)'!$F$25:$F$282,$F97,'Калькуляция (МЭОР)'!$G$25:$G$282,$G97),IF(method_reg="Метод сравнения аналогов",_xlfn.SUMIFS('Калькуляция (МСА)'!$AF$25:$AF$84,'Калькуляция (МСА)'!$F$25:$F$84,$F97,'Калькуляция (МСА)'!$G$25:$G$84,$G97),_xlfn.SUMIFS(INDEX('Калькуляция (МИ)'!$AJ$25:$BC$459,,MATCH(BF$8,'Калькуляция (МИ)'!$AJ$8:$BC$8,0)),'Калькуляция (МИ)'!$F$25:$F$459,$F97,'Калькуляция (МИ)'!$G$25:$G$459,$G97))))</f>
        <v>0</v>
      </c>
      <c r="BG97" s="1080">
        <f>IF(BE97=0,0,(BF97-BE97)/BE97*100)</f>
        <v>0</v>
      </c>
      <c r="BH97" s="1079"/>
      <c r="BI97" s="1079"/>
      <c r="BJ97" s="1080">
        <f>IF(BH97=0,0,(BI97-BH97)/BH97*100)</f>
        <v>0</v>
      </c>
      <c r="BK97" s="1079"/>
      <c r="BL97" s="1079"/>
      <c r="BM97" s="1080">
        <f>IF(BK97=0,0,(BL97-BK97)/BK97*100)</f>
        <v>0</v>
      </c>
      <c r="BN97" s="1079"/>
      <c r="BO97" s="1079"/>
      <c r="BP97" s="1080">
        <f>IF(BN97=0,0,(BO97-BN97)/BN97*100)</f>
        <v>0</v>
      </c>
      <c r="BQ97" s="1079"/>
      <c r="BR97" s="1079"/>
      <c r="BS97" s="1080">
        <f>IF(BQ97=0,0,(BR97-BQ97)/BQ97*100)</f>
        <v>0</v>
      </c>
      <c r="BT97" s="1079"/>
      <c r="BU97" s="1079"/>
      <c r="BV97" s="1080">
        <f>IF(BT97=0,0,(BU97-BT97)/BT97*100)</f>
        <v>0</v>
      </c>
      <c r="BW97" s="1079"/>
      <c r="BX97" s="1079"/>
      <c r="BY97" s="1080">
        <f>IF(BW97=0,0,(BX97-BW97)/BW97*100)</f>
        <v>0</v>
      </c>
      <c r="BZ97" s="1079"/>
      <c r="CA97" s="1079"/>
      <c r="CB97" s="1080">
        <f>IF(BZ97=0,0,(CA97-BZ97)/BZ97*100)</f>
        <v>0</v>
      </c>
      <c r="CC97" s="1079"/>
      <c r="CD97" s="1079"/>
      <c r="CE97" s="1080">
        <f>IF(CC97=0,0,(CD97-CC97)/CC97*100)</f>
        <v>0</v>
      </c>
      <c r="CF97" s="1079"/>
      <c r="CG97" s="1079"/>
      <c r="CH97" s="1080">
        <f>IF(CF97=0,0,(CG97-CF97)/CF97*100)</f>
        <v>0</v>
      </c>
      <c r="CI97" s="1079"/>
      <c r="CJ97" s="1079"/>
      <c r="CK97" s="1080">
        <f>IF(CI97=0,0,(CJ97-CI97)/CI97*100)</f>
        <v>0</v>
      </c>
      <c r="CL97" s="1079"/>
      <c r="CM97" s="1079"/>
      <c r="CN97" s="1080">
        <f>IF(CL97=0,0,(CM97-CL97)/CL97*100)</f>
        <v>0</v>
      </c>
      <c r="CO97" s="1079"/>
      <c r="CP97" s="1079"/>
      <c r="CQ97" s="1080">
        <f>IF(CO97=0,0,(CP97-CO97)/CO97*100)</f>
        <v>0</v>
      </c>
      <c r="CR97" s="1079"/>
      <c r="CS97" s="1079"/>
      <c r="CT97" s="1080">
        <f>IF(CR97=0,0,(CS97-CR97)/CR97*100)</f>
        <v>0</v>
      </c>
      <c r="CU97" s="1079"/>
      <c r="CV97" s="1079"/>
      <c r="CW97" s="1080">
        <f>IF(CU97=0,0,(CV97-CU97)/CU97*100)</f>
        <v>0</v>
      </c>
      <c r="CX97" s="1079"/>
      <c r="CY97" s="1079"/>
      <c r="CZ97" s="1080">
        <f>IF(CX97=0,0,(CY97-CX97)/CX97*100)</f>
        <v>0</v>
      </c>
      <c r="DA97" s="1079"/>
      <c r="DB97" s="1079"/>
      <c r="DC97" s="1080">
        <f>IF(DA97=0,0,(DB97-DA97)/DA97*100)</f>
        <v>0</v>
      </c>
      <c r="DD97" s="1079"/>
      <c r="DE97" s="1079"/>
      <c r="DF97" s="1080">
        <f>IF(DD97=0,0,(DE97-DD97)/DD97*100)</f>
        <v>0</v>
      </c>
      <c r="DG97" s="1079"/>
      <c r="DH97" s="1079"/>
      <c r="DI97" s="1080">
        <f>IF(DG97=0,0,(DH97-DG97)/DG97*100)</f>
        <v>0</v>
      </c>
      <c r="DJ97" s="1079"/>
      <c r="DK97" s="1079"/>
      <c r="DL97" s="1080">
        <f>IF(DJ97=0,0,(DK97-DJ97)/DJ97*100)</f>
        <v>0</v>
      </c>
      <c r="DM97" s="1079"/>
      <c r="DN97" s="1079"/>
      <c r="DO97" s="1080">
        <f>IF(DM97=0,0,(DN97-DM97)/DM97*100)</f>
        <v>0</v>
      </c>
      <c r="DP97" s="1079"/>
      <c r="DQ97" s="1079"/>
      <c r="DR97" s="1080">
        <f>IF(DP97=0,0,(DQ97-DP97)/DP97*100)</f>
        <v>0</v>
      </c>
      <c r="DS97" s="1079"/>
      <c r="DT97" s="1079"/>
      <c r="DU97" s="1080">
        <f>IF(DS97=0,0,(DT97-DS97)/DS97*100)</f>
        <v>0</v>
      </c>
      <c r="DV97" s="1079"/>
      <c r="DW97" s="1079"/>
      <c r="DX97" s="1080">
        <f>IF(DV97=0,0,(DW97-DV97)/DV97*100)</f>
        <v>0</v>
      </c>
      <c r="DY97" s="1079"/>
      <c r="DZ97" s="1079"/>
      <c r="EA97" s="1080">
        <f>IF(DY97=0,0,(DZ97-DY97)/DY97*100)</f>
        <v>0</v>
      </c>
      <c r="EB97" s="1079"/>
      <c r="EC97" s="1079"/>
      <c r="ED97" s="1080">
        <f>IF(EB97=0,0,(EC97-EB97)/EB97*100)</f>
        <v>0</v>
      </c>
      <c r="EE97" s="1079"/>
      <c r="EF97" s="1079"/>
      <c r="EG97" s="1080">
        <f>IF(EE97=0,0,(EF97-EE97)/EE97*100)</f>
        <v>0</v>
      </c>
      <c r="EH97" s="1079"/>
      <c r="EI97" s="1079"/>
      <c r="EJ97" s="1080">
        <f>IF(EH97=0,0,(EI97-EH97)/EH97*100)</f>
        <v>0</v>
      </c>
      <c r="EK97" s="1079"/>
      <c r="EL97" s="1079"/>
      <c r="EM97" s="1080">
        <f>IF(EK97=0,0,(EL97-EK97)/EK97*100)</f>
        <v>0</v>
      </c>
      <c r="EN97" s="1079"/>
      <c r="EO97" s="1079"/>
      <c r="EP97" s="1080">
        <f>IF(EN97=0,0,(EO97-EN97)/EN97*100)</f>
        <v>0</v>
      </c>
      <c r="EQ97" s="1079"/>
      <c r="ER97" s="1079"/>
      <c r="ES97" s="1080">
        <f>IF(EQ97=0,0,(ER97-EQ97)/EQ97*100)</f>
        <v>0</v>
      </c>
      <c r="ET97" s="1079"/>
      <c r="EU97" s="1079"/>
      <c r="EV97" s="1080">
        <f>IF(ET97=0,0,(EU97-ET97)/ET97*100)</f>
        <v>0</v>
      </c>
      <c r="EW97" s="1079"/>
      <c r="EX97" s="1079"/>
      <c r="EY97" s="1080">
        <f>IF(EW97=0,0,(EX97-EW97)/EW97*100)</f>
        <v>0</v>
      </c>
      <c r="EZ97" s="1079"/>
      <c r="FA97" s="1079"/>
      <c r="FB97" s="1080">
        <f>IF(EZ97=0,0,(FA97-EZ97)/EZ97*100)</f>
        <v>0</v>
      </c>
      <c r="FC97" s="1079"/>
      <c r="FD97" s="1079"/>
      <c r="FE97" s="1080">
        <f>IF(FC97=0,0,(FD97-FC97)/FC97*100)</f>
        <v>0</v>
      </c>
      <c r="FF97" s="1079"/>
      <c r="FG97" s="1079"/>
      <c r="FH97" s="1080">
        <f>IF(FF97=0,0,(FG97-FF97)/FF97*100)</f>
        <v>0</v>
      </c>
      <c r="FI97" s="1079"/>
      <c r="FJ97" s="1079"/>
      <c r="FK97" s="1080">
        <f>IF(FI97=0,0,(FJ97-FI97)/FI97*100)</f>
        <v>0</v>
      </c>
      <c r="FL97" s="1079"/>
      <c r="FM97" s="1079"/>
      <c r="FN97" s="1080">
        <f>IF(FL97=0,0,(FM97-FL97)/FL97*100)</f>
        <v>0</v>
      </c>
      <c r="FO97" s="1079"/>
      <c r="FP97" s="1079"/>
      <c r="FQ97" s="1080">
        <f>IF(FO97=0,0,(FP97-FO97)/FO97*100)</f>
        <v>0</v>
      </c>
      <c r="FR97" s="1079"/>
      <c r="FS97" s="1079"/>
      <c r="FT97" s="1080">
        <f>IF(FR97=0,0,(FS97-FR97)/FR97*100)</f>
        <v>0</v>
      </c>
      <c r="FU97" s="1079"/>
      <c r="FV97" s="1079"/>
      <c r="FW97" s="1080">
        <f>IF(FU97=0,0,(FV97-FU97)/FU97*100)</f>
        <v>0</v>
      </c>
      <c r="FX97" s="259"/>
      <c r="FY97" s="676"/>
      <c r="FZ97" s="1039" t="s">
        <v>1518</v>
      </c>
      <c r="GA97" s="1061"/>
      <c r="GB97" s="1061"/>
      <c r="GC97" s="697"/>
      <c r="GD97" s="697"/>
    </row>
    <row s="1621" customFormat="1" customHeight="1" ht="18" hidden="1">
      <c r="A98" s="467"/>
      <c r="B98" s="907" cm="1" t="str">
        <f t="array" ref="B98:B98">B97</f>
        <v>true</v>
      </c>
      <c r="C98" s="467"/>
      <c r="D98" s="467"/>
      <c r="E98" s="822">
        <v>18.75</v>
      </c>
      <c r="F98" s="50" cm="1" t="str">
        <f t="array" ref="F98:F98">OFFSET(E98,-1,1)</f>
        <v>1</v>
      </c>
      <c r="G98" s="467"/>
      <c r="H98" s="467" t="s">
        <v>441</v>
      </c>
      <c r="I98" s="467" cm="1" t="str">
        <f t="array" ref="I98:I98">AB98</f>
        <v>0</v>
      </c>
      <c r="J98" s="467"/>
      <c r="K98" s="467"/>
      <c r="L98" s="467"/>
      <c r="M98" s="467"/>
      <c r="N98" s="467"/>
      <c r="O98" s="467"/>
      <c r="P98" s="467"/>
      <c r="Q98" s="879"/>
      <c r="R98" s="467"/>
      <c r="S98" s="467"/>
      <c r="T98" s="439">
        <f>AND(F98&gt;0,Y98&gt;0)</f>
        <v>0</v>
      </c>
      <c r="U98" s="467"/>
      <c r="V98" s="467"/>
      <c r="W98" s="467" t="s">
        <v>173</v>
      </c>
      <c r="X98" s="1534"/>
      <c r="Y98" s="1534">
        <v>0</v>
      </c>
      <c r="Z98" s="1464"/>
      <c r="AA98" s="1413" t="s">
        <v>174</v>
      </c>
      <c r="AB98" s="3408"/>
      <c r="AC98" s="846" t="s">
        <v>1494</v>
      </c>
      <c r="AD98" s="3409"/>
      <c r="AE98" s="3410"/>
      <c r="AF98" s="1078">
        <f>IF(AD98=0,0,(AE98-AD98)/AD98*100)</f>
        <v>0</v>
      </c>
      <c r="AG98" s="3409"/>
      <c r="AH98" s="3410"/>
      <c r="AI98" s="1078">
        <f>IF(AG98=0,0,(AH98-AG98)/AG98*100)</f>
        <v>0</v>
      </c>
      <c r="AJ98" s="3409"/>
      <c r="AK98" s="3410"/>
      <c r="AL98" s="1078">
        <f>IF(AJ98=0,0,(AK98-AJ98)/AJ98*100)</f>
        <v>0</v>
      </c>
      <c r="AM98" s="3409"/>
      <c r="AN98" s="3410"/>
      <c r="AO98" s="1078">
        <f>IF(AM98=0,0,(AN98-AM98)/AM98*100)</f>
        <v>0</v>
      </c>
      <c r="AP98" s="3409"/>
      <c r="AQ98" s="3410"/>
      <c r="AR98" s="1078">
        <f>IF(AP98=0,0,(AQ98-AP98)/AP98*100)</f>
        <v>0</v>
      </c>
      <c r="AS98" s="3409"/>
      <c r="AT98" s="3410"/>
      <c r="AU98" s="1078">
        <f>IF(AS98=0,0,(AT98-AS98)/AS98*100)</f>
        <v>0</v>
      </c>
      <c r="AV98" s="3409"/>
      <c r="AW98" s="3410"/>
      <c r="AX98" s="1078">
        <f>IF(AV98=0,0,(AW98-AV98)/AV98*100)</f>
        <v>0</v>
      </c>
      <c r="AY98" s="3409"/>
      <c r="AZ98" s="3410"/>
      <c r="BA98" s="1078">
        <f>IF(AY98=0,0,(AZ98-AY98)/AY98*100)</f>
        <v>0</v>
      </c>
      <c r="BB98" s="3409"/>
      <c r="BC98" s="3410"/>
      <c r="BD98" s="1078">
        <f>IF(BB98=0,0,(BC98-BB98)/BB98*100)</f>
        <v>0</v>
      </c>
      <c r="BE98" s="3409"/>
      <c r="BF98" s="3410"/>
      <c r="BG98" s="1078">
        <f>IF(BE98=0,0,(BF98-BE98)/BE98*100)</f>
        <v>0</v>
      </c>
      <c r="BH98" s="3409"/>
      <c r="BI98" s="3410"/>
      <c r="BJ98" s="1078">
        <f>IF(BH98=0,0,(BI98-BH98)/BH98*100)</f>
        <v>0</v>
      </c>
      <c r="BK98" s="3409"/>
      <c r="BL98" s="3410"/>
      <c r="BM98" s="1078">
        <f>IF(BK98=0,0,(BL98-BK98)/BK98*100)</f>
        <v>0</v>
      </c>
      <c r="BN98" s="3409"/>
      <c r="BO98" s="3410"/>
      <c r="BP98" s="1078">
        <f>IF(BN98=0,0,(BO98-BN98)/BN98*100)</f>
        <v>0</v>
      </c>
      <c r="BQ98" s="3409"/>
      <c r="BR98" s="3410"/>
      <c r="BS98" s="1078">
        <f>IF(BQ98=0,0,(BR98-BQ98)/BQ98*100)</f>
        <v>0</v>
      </c>
      <c r="BT98" s="3409"/>
      <c r="BU98" s="3410"/>
      <c r="BV98" s="1078">
        <f>IF(BT98=0,0,(BU98-BT98)/BT98*100)</f>
        <v>0</v>
      </c>
      <c r="BW98" s="3409"/>
      <c r="BX98" s="3410"/>
      <c r="BY98" s="1078">
        <f>IF(BW98=0,0,(BX98-BW98)/BW98*100)</f>
        <v>0</v>
      </c>
      <c r="BZ98" s="3409"/>
      <c r="CA98" s="3410"/>
      <c r="CB98" s="1078">
        <f>IF(BZ98=0,0,(CA98-BZ98)/BZ98*100)</f>
        <v>0</v>
      </c>
      <c r="CC98" s="3409"/>
      <c r="CD98" s="3410"/>
      <c r="CE98" s="1078">
        <f>IF(CC98=0,0,(CD98-CC98)/CC98*100)</f>
        <v>0</v>
      </c>
      <c r="CF98" s="3409"/>
      <c r="CG98" s="3410"/>
      <c r="CH98" s="1078">
        <f>IF(CF98=0,0,(CG98-CF98)/CF98*100)</f>
        <v>0</v>
      </c>
      <c r="CI98" s="3409"/>
      <c r="CJ98" s="3410"/>
      <c r="CK98" s="1078">
        <f>IF(CI98=0,0,(CJ98-CI98)/CI98*100)</f>
        <v>0</v>
      </c>
      <c r="CL98" s="3409"/>
      <c r="CM98" s="3410"/>
      <c r="CN98" s="1078">
        <f>IF(CL98=0,0,(CM98-CL98)/CL98*100)</f>
        <v>0</v>
      </c>
      <c r="CO98" s="3409"/>
      <c r="CP98" s="3410"/>
      <c r="CQ98" s="1078">
        <f>IF(CO98=0,0,(CP98-CO98)/CO98*100)</f>
        <v>0</v>
      </c>
      <c r="CR98" s="3409"/>
      <c r="CS98" s="3410"/>
      <c r="CT98" s="1078">
        <f>IF(CR98=0,0,(CS98-CR98)/CR98*100)</f>
        <v>0</v>
      </c>
      <c r="CU98" s="3409"/>
      <c r="CV98" s="3410"/>
      <c r="CW98" s="1078">
        <f>IF(CU98=0,0,(CV98-CU98)/CU98*100)</f>
        <v>0</v>
      </c>
      <c r="CX98" s="3409"/>
      <c r="CY98" s="3410"/>
      <c r="CZ98" s="1078">
        <f>IF(CX98=0,0,(CY98-CX98)/CX98*100)</f>
        <v>0</v>
      </c>
      <c r="DA98" s="3409"/>
      <c r="DB98" s="3410"/>
      <c r="DC98" s="1078">
        <f>IF(DA98=0,0,(DB98-DA98)/DA98*100)</f>
        <v>0</v>
      </c>
      <c r="DD98" s="3409"/>
      <c r="DE98" s="3410"/>
      <c r="DF98" s="1078">
        <f>IF(DD98=0,0,(DE98-DD98)/DD98*100)</f>
        <v>0</v>
      </c>
      <c r="DG98" s="3409"/>
      <c r="DH98" s="3410"/>
      <c r="DI98" s="1078">
        <f>IF(DG98=0,0,(DH98-DG98)/DG98*100)</f>
        <v>0</v>
      </c>
      <c r="DJ98" s="3409"/>
      <c r="DK98" s="3410"/>
      <c r="DL98" s="1078">
        <f>IF(DJ98=0,0,(DK98-DJ98)/DJ98*100)</f>
        <v>0</v>
      </c>
      <c r="DM98" s="3409"/>
      <c r="DN98" s="3410"/>
      <c r="DO98" s="1078">
        <f>IF(DM98=0,0,(DN98-DM98)/DM98*100)</f>
        <v>0</v>
      </c>
      <c r="DP98" s="3409"/>
      <c r="DQ98" s="3410"/>
      <c r="DR98" s="1078">
        <f>IF(DP98=0,0,(DQ98-DP98)/DP98*100)</f>
        <v>0</v>
      </c>
      <c r="DS98" s="3409"/>
      <c r="DT98" s="3410"/>
      <c r="DU98" s="1078">
        <f>IF(DS98=0,0,(DT98-DS98)/DS98*100)</f>
        <v>0</v>
      </c>
      <c r="DV98" s="3409"/>
      <c r="DW98" s="3410"/>
      <c r="DX98" s="1078">
        <f>IF(DV98=0,0,(DW98-DV98)/DV98*100)</f>
        <v>0</v>
      </c>
      <c r="DY98" s="3409"/>
      <c r="DZ98" s="3410"/>
      <c r="EA98" s="1078">
        <f>IF(DY98=0,0,(DZ98-DY98)/DY98*100)</f>
        <v>0</v>
      </c>
      <c r="EB98" s="3409"/>
      <c r="EC98" s="3410"/>
      <c r="ED98" s="1078">
        <f>IF(EB98=0,0,(EC98-EB98)/EB98*100)</f>
        <v>0</v>
      </c>
      <c r="EE98" s="3409"/>
      <c r="EF98" s="3410"/>
      <c r="EG98" s="1078">
        <f>IF(EE98=0,0,(EF98-EE98)/EE98*100)</f>
        <v>0</v>
      </c>
      <c r="EH98" s="3409"/>
      <c r="EI98" s="3410"/>
      <c r="EJ98" s="1078">
        <f>IF(EH98=0,0,(EI98-EH98)/EH98*100)</f>
        <v>0</v>
      </c>
      <c r="EK98" s="3409"/>
      <c r="EL98" s="3410"/>
      <c r="EM98" s="1078">
        <f>IF(EK98=0,0,(EL98-EK98)/EK98*100)</f>
        <v>0</v>
      </c>
      <c r="EN98" s="3409"/>
      <c r="EO98" s="3410"/>
      <c r="EP98" s="1078">
        <f>IF(EN98=0,0,(EO98-EN98)/EN98*100)</f>
        <v>0</v>
      </c>
      <c r="EQ98" s="3409"/>
      <c r="ER98" s="3410"/>
      <c r="ES98" s="1078">
        <f>IF(EQ98=0,0,(ER98-EQ98)/EQ98*100)</f>
        <v>0</v>
      </c>
      <c r="ET98" s="3409"/>
      <c r="EU98" s="3410"/>
      <c r="EV98" s="1078">
        <f>IF(ET98=0,0,(EU98-ET98)/ET98*100)</f>
        <v>0</v>
      </c>
      <c r="EW98" s="3409"/>
      <c r="EX98" s="3410"/>
      <c r="EY98" s="1078">
        <f>IF(EW98=0,0,(EX98-EW98)/EW98*100)</f>
        <v>0</v>
      </c>
      <c r="EZ98" s="3409"/>
      <c r="FA98" s="3410"/>
      <c r="FB98" s="1078">
        <f>IF(EZ98=0,0,(FA98-EZ98)/EZ98*100)</f>
        <v>0</v>
      </c>
      <c r="FC98" s="3409"/>
      <c r="FD98" s="3410"/>
      <c r="FE98" s="1078">
        <f>IF(FC98=0,0,(FD98-FC98)/FC98*100)</f>
        <v>0</v>
      </c>
      <c r="FF98" s="3409"/>
      <c r="FG98" s="3410"/>
      <c r="FH98" s="1078">
        <f>IF(FF98=0,0,(FG98-FF98)/FF98*100)</f>
        <v>0</v>
      </c>
      <c r="FI98" s="3409"/>
      <c r="FJ98" s="3410"/>
      <c r="FK98" s="1078">
        <f>IF(FI98=0,0,(FJ98-FI98)/FI98*100)</f>
        <v>0</v>
      </c>
      <c r="FL98" s="3409"/>
      <c r="FM98" s="3410"/>
      <c r="FN98" s="1078">
        <f>IF(FL98=0,0,(FM98-FL98)/FL98*100)</f>
        <v>0</v>
      </c>
      <c r="FO98" s="3409"/>
      <c r="FP98" s="3410"/>
      <c r="FQ98" s="1078">
        <f>IF(FO98=0,0,(FP98-FO98)/FO98*100)</f>
        <v>0</v>
      </c>
      <c r="FR98" s="3409"/>
      <c r="FS98" s="3410"/>
      <c r="FT98" s="1078">
        <f>IF(FR98=0,0,(FS98-FR98)/FR98*100)</f>
        <v>0</v>
      </c>
      <c r="FU98" s="3409"/>
      <c r="FV98" s="3410"/>
      <c r="FW98" s="1078">
        <f>IF(FU98=0,0,(FV98-FU98)/FU98*100)</f>
        <v>0</v>
      </c>
      <c r="FX98" s="259"/>
      <c r="FY98" s="676"/>
      <c r="FZ98" s="1039" t="s">
        <v>1519</v>
      </c>
      <c r="GA98" s="998" t="s">
        <v>1520</v>
      </c>
      <c r="GB98" s="998" cm="1" t="str">
        <f t="array" ref="GB98:GB98">AB98</f>
        <v>0</v>
      </c>
      <c r="GC98" s="697"/>
      <c r="GD98" s="611" t="b">
        <v>1</v>
      </c>
    </row>
    <row s="1621" customFormat="1" customHeight="1" ht="14.25" hidden="1">
      <c r="A99" s="467"/>
      <c r="B99" s="907" cm="1" t="str">
        <f t="array" ref="B99:B99">B98</f>
        <v>true</v>
      </c>
      <c r="C99" s="467"/>
      <c r="D99" s="467"/>
      <c r="E99" s="822">
        <v>15</v>
      </c>
      <c r="F99" s="50" cm="1" t="str">
        <f t="array" ref="F99:F99">OFFSET(E99,-1,1)</f>
        <v>1</v>
      </c>
      <c r="G99" s="467"/>
      <c r="H99" s="467" t="s">
        <v>448</v>
      </c>
      <c r="I99" s="467" cm="1" t="str">
        <f t="array" ref="I99:I99">I98</f>
        <v>0</v>
      </c>
      <c r="J99" s="467"/>
      <c r="K99" s="467"/>
      <c r="L99" s="467"/>
      <c r="M99" s="467"/>
      <c r="N99" s="467"/>
      <c r="O99" s="467"/>
      <c r="P99" s="467"/>
      <c r="Q99" s="879"/>
      <c r="R99" s="467"/>
      <c r="S99" s="467"/>
      <c r="T99" s="439" cm="1" t="str">
        <f t="array" ref="T99:T99">T98</f>
        <v>false</v>
      </c>
      <c r="U99" s="467"/>
      <c r="V99" s="467"/>
      <c r="W99" s="467"/>
      <c r="X99" s="1534"/>
      <c r="Y99" s="1534"/>
      <c r="Z99" s="1464"/>
      <c r="AA99" s="1413"/>
      <c r="AB99" s="882" t="s">
        <v>1521</v>
      </c>
      <c r="AC99" s="267" t="s">
        <v>512</v>
      </c>
      <c r="AD99" s="3404"/>
      <c r="AE99" s="3404"/>
      <c r="AF99" s="1080">
        <f>IF(AD99=0,0,(AE99-AD99)/AD99*100)</f>
        <v>0</v>
      </c>
      <c r="AG99" s="3404"/>
      <c r="AH99" s="3404"/>
      <c r="AI99" s="1080">
        <f>IF(AG99=0,0,(AH99-AG99)/AG99*100)</f>
        <v>0</v>
      </c>
      <c r="AJ99" s="3404"/>
      <c r="AK99" s="3404"/>
      <c r="AL99" s="1080">
        <f>IF(AJ99=0,0,(AK99-AJ99)/AJ99*100)</f>
        <v>0</v>
      </c>
      <c r="AM99" s="3404"/>
      <c r="AN99" s="3404"/>
      <c r="AO99" s="1080">
        <f>IF(AM99=0,0,(AN99-AM99)/AM99*100)</f>
        <v>0</v>
      </c>
      <c r="AP99" s="3404"/>
      <c r="AQ99" s="3404"/>
      <c r="AR99" s="1080">
        <f>IF(AP99=0,0,(AQ99-AP99)/AP99*100)</f>
        <v>0</v>
      </c>
      <c r="AS99" s="3404"/>
      <c r="AT99" s="3404"/>
      <c r="AU99" s="1080">
        <f>IF(AS99=0,0,(AT99-AS99)/AS99*100)</f>
        <v>0</v>
      </c>
      <c r="AV99" s="3404"/>
      <c r="AW99" s="3404"/>
      <c r="AX99" s="1080">
        <f>IF(AV99=0,0,(AW99-AV99)/AV99*100)</f>
        <v>0</v>
      </c>
      <c r="AY99" s="3404"/>
      <c r="AZ99" s="3404"/>
      <c r="BA99" s="1080">
        <f>IF(AY99=0,0,(AZ99-AY99)/AY99*100)</f>
        <v>0</v>
      </c>
      <c r="BB99" s="3404"/>
      <c r="BC99" s="3404"/>
      <c r="BD99" s="1080">
        <f>IF(BB99=0,0,(BC99-BB99)/BB99*100)</f>
        <v>0</v>
      </c>
      <c r="BE99" s="3404"/>
      <c r="BF99" s="3404"/>
      <c r="BG99" s="1080">
        <f>IF(BE99=0,0,(BF99-BE99)/BE99*100)</f>
        <v>0</v>
      </c>
      <c r="BH99" s="3404"/>
      <c r="BI99" s="3404"/>
      <c r="BJ99" s="1080">
        <f>IF(BH99=0,0,(BI99-BH99)/BH99*100)</f>
        <v>0</v>
      </c>
      <c r="BK99" s="3404"/>
      <c r="BL99" s="3404"/>
      <c r="BM99" s="1080">
        <f>IF(BK99=0,0,(BL99-BK99)/BK99*100)</f>
        <v>0</v>
      </c>
      <c r="BN99" s="3404"/>
      <c r="BO99" s="3404"/>
      <c r="BP99" s="1080">
        <f>IF(BN99=0,0,(BO99-BN99)/BN99*100)</f>
        <v>0</v>
      </c>
      <c r="BQ99" s="3404"/>
      <c r="BR99" s="3404"/>
      <c r="BS99" s="1080">
        <f>IF(BQ99=0,0,(BR99-BQ99)/BQ99*100)</f>
        <v>0</v>
      </c>
      <c r="BT99" s="3404"/>
      <c r="BU99" s="3404"/>
      <c r="BV99" s="1080">
        <f>IF(BT99=0,0,(BU99-BT99)/BT99*100)</f>
        <v>0</v>
      </c>
      <c r="BW99" s="3404"/>
      <c r="BX99" s="3404"/>
      <c r="BY99" s="1080">
        <f>IF(BW99=0,0,(BX99-BW99)/BW99*100)</f>
        <v>0</v>
      </c>
      <c r="BZ99" s="3404"/>
      <c r="CA99" s="3404"/>
      <c r="CB99" s="1080">
        <f>IF(BZ99=0,0,(CA99-BZ99)/BZ99*100)</f>
        <v>0</v>
      </c>
      <c r="CC99" s="3404"/>
      <c r="CD99" s="3404"/>
      <c r="CE99" s="1080">
        <f>IF(CC99=0,0,(CD99-CC99)/CC99*100)</f>
        <v>0</v>
      </c>
      <c r="CF99" s="3404"/>
      <c r="CG99" s="3404"/>
      <c r="CH99" s="1080">
        <f>IF(CF99=0,0,(CG99-CF99)/CF99*100)</f>
        <v>0</v>
      </c>
      <c r="CI99" s="3404"/>
      <c r="CJ99" s="3404"/>
      <c r="CK99" s="1080">
        <f>IF(CI99=0,0,(CJ99-CI99)/CI99*100)</f>
        <v>0</v>
      </c>
      <c r="CL99" s="3404"/>
      <c r="CM99" s="3404"/>
      <c r="CN99" s="1080">
        <f>IF(CL99=0,0,(CM99-CL99)/CL99*100)</f>
        <v>0</v>
      </c>
      <c r="CO99" s="3404"/>
      <c r="CP99" s="3404"/>
      <c r="CQ99" s="1080">
        <f>IF(CO99=0,0,(CP99-CO99)/CO99*100)</f>
        <v>0</v>
      </c>
      <c r="CR99" s="3404"/>
      <c r="CS99" s="3404"/>
      <c r="CT99" s="1080">
        <f>IF(CR99=0,0,(CS99-CR99)/CR99*100)</f>
        <v>0</v>
      </c>
      <c r="CU99" s="3404"/>
      <c r="CV99" s="3404"/>
      <c r="CW99" s="1080">
        <f>IF(CU99=0,0,(CV99-CU99)/CU99*100)</f>
        <v>0</v>
      </c>
      <c r="CX99" s="3404"/>
      <c r="CY99" s="3404"/>
      <c r="CZ99" s="1080">
        <f>IF(CX99=0,0,(CY99-CX99)/CX99*100)</f>
        <v>0</v>
      </c>
      <c r="DA99" s="3404"/>
      <c r="DB99" s="3404"/>
      <c r="DC99" s="1080">
        <f>IF(DA99=0,0,(DB99-DA99)/DA99*100)</f>
        <v>0</v>
      </c>
      <c r="DD99" s="3404"/>
      <c r="DE99" s="3404"/>
      <c r="DF99" s="1080">
        <f>IF(DD99=0,0,(DE99-DD99)/DD99*100)</f>
        <v>0</v>
      </c>
      <c r="DG99" s="3404"/>
      <c r="DH99" s="3404"/>
      <c r="DI99" s="1080">
        <f>IF(DG99=0,0,(DH99-DG99)/DG99*100)</f>
        <v>0</v>
      </c>
      <c r="DJ99" s="3404"/>
      <c r="DK99" s="3404"/>
      <c r="DL99" s="1080">
        <f>IF(DJ99=0,0,(DK99-DJ99)/DJ99*100)</f>
        <v>0</v>
      </c>
      <c r="DM99" s="3404"/>
      <c r="DN99" s="3404"/>
      <c r="DO99" s="1080">
        <f>IF(DM99=0,0,(DN99-DM99)/DM99*100)</f>
        <v>0</v>
      </c>
      <c r="DP99" s="3404"/>
      <c r="DQ99" s="3404"/>
      <c r="DR99" s="1080">
        <f>IF(DP99=0,0,(DQ99-DP99)/DP99*100)</f>
        <v>0</v>
      </c>
      <c r="DS99" s="3404"/>
      <c r="DT99" s="3404"/>
      <c r="DU99" s="1080">
        <f>IF(DS99=0,0,(DT99-DS99)/DS99*100)</f>
        <v>0</v>
      </c>
      <c r="DV99" s="3404"/>
      <c r="DW99" s="3404"/>
      <c r="DX99" s="1080">
        <f>IF(DV99=0,0,(DW99-DV99)/DV99*100)</f>
        <v>0</v>
      </c>
      <c r="DY99" s="3404"/>
      <c r="DZ99" s="3404"/>
      <c r="EA99" s="1080">
        <f>IF(DY99=0,0,(DZ99-DY99)/DY99*100)</f>
        <v>0</v>
      </c>
      <c r="EB99" s="3404"/>
      <c r="EC99" s="3404"/>
      <c r="ED99" s="1080">
        <f>IF(EB99=0,0,(EC99-EB99)/EB99*100)</f>
        <v>0</v>
      </c>
      <c r="EE99" s="3404"/>
      <c r="EF99" s="3404"/>
      <c r="EG99" s="1080">
        <f>IF(EE99=0,0,(EF99-EE99)/EE99*100)</f>
        <v>0</v>
      </c>
      <c r="EH99" s="3404"/>
      <c r="EI99" s="3404"/>
      <c r="EJ99" s="1080">
        <f>IF(EH99=0,0,(EI99-EH99)/EH99*100)</f>
        <v>0</v>
      </c>
      <c r="EK99" s="3404"/>
      <c r="EL99" s="3404"/>
      <c r="EM99" s="1080">
        <f>IF(EK99=0,0,(EL99-EK99)/EK99*100)</f>
        <v>0</v>
      </c>
      <c r="EN99" s="3404"/>
      <c r="EO99" s="3404"/>
      <c r="EP99" s="1080">
        <f>IF(EN99=0,0,(EO99-EN99)/EN99*100)</f>
        <v>0</v>
      </c>
      <c r="EQ99" s="3404"/>
      <c r="ER99" s="3404"/>
      <c r="ES99" s="1080">
        <f>IF(EQ99=0,0,(ER99-EQ99)/EQ99*100)</f>
        <v>0</v>
      </c>
      <c r="ET99" s="3404"/>
      <c r="EU99" s="3404"/>
      <c r="EV99" s="1080">
        <f>IF(ET99=0,0,(EU99-ET99)/ET99*100)</f>
        <v>0</v>
      </c>
      <c r="EW99" s="3404"/>
      <c r="EX99" s="3404"/>
      <c r="EY99" s="1080">
        <f>IF(EW99=0,0,(EX99-EW99)/EW99*100)</f>
        <v>0</v>
      </c>
      <c r="EZ99" s="3404"/>
      <c r="FA99" s="3404"/>
      <c r="FB99" s="1080">
        <f>IF(EZ99=0,0,(FA99-EZ99)/EZ99*100)</f>
        <v>0</v>
      </c>
      <c r="FC99" s="3404"/>
      <c r="FD99" s="3404"/>
      <c r="FE99" s="1080">
        <f>IF(FC99=0,0,(FD99-FC99)/FC99*100)</f>
        <v>0</v>
      </c>
      <c r="FF99" s="3404"/>
      <c r="FG99" s="3404"/>
      <c r="FH99" s="1080">
        <f>IF(FF99=0,0,(FG99-FF99)/FF99*100)</f>
        <v>0</v>
      </c>
      <c r="FI99" s="3404"/>
      <c r="FJ99" s="3404"/>
      <c r="FK99" s="1080">
        <f>IF(FI99=0,0,(FJ99-FI99)/FI99*100)</f>
        <v>0</v>
      </c>
      <c r="FL99" s="3404"/>
      <c r="FM99" s="3404"/>
      <c r="FN99" s="1080">
        <f>IF(FL99=0,0,(FM99-FL99)/FL99*100)</f>
        <v>0</v>
      </c>
      <c r="FO99" s="3404"/>
      <c r="FP99" s="3404"/>
      <c r="FQ99" s="1080">
        <f>IF(FO99=0,0,(FP99-FO99)/FO99*100)</f>
        <v>0</v>
      </c>
      <c r="FR99" s="3404"/>
      <c r="FS99" s="3404"/>
      <c r="FT99" s="1080">
        <f>IF(FR99=0,0,(FS99-FR99)/FR99*100)</f>
        <v>0</v>
      </c>
      <c r="FU99" s="3404"/>
      <c r="FV99" s="3404"/>
      <c r="FW99" s="1080">
        <f>IF(FU99=0,0,(FV99-FU99)/FU99*100)</f>
        <v>0</v>
      </c>
      <c r="FX99" s="259"/>
      <c r="FY99" s="676"/>
      <c r="FZ99" s="1039" t="s">
        <v>1522</v>
      </c>
      <c r="GA99" s="998" t="s">
        <v>1520</v>
      </c>
      <c r="GB99" s="998" cm="1" t="str">
        <f t="array" ref="GB99:GB99">GB98</f>
        <v>0</v>
      </c>
      <c r="GC99" s="697"/>
      <c r="GD99" s="697"/>
    </row>
    <row s="1621" customFormat="1" customHeight="1" ht="14.25">
      <c r="A100" s="467"/>
      <c r="B100" s="907" cm="1" t="str">
        <f t="array" ref="B100:B100">B99</f>
        <v>true</v>
      </c>
      <c r="C100" s="467"/>
      <c r="D100" s="467"/>
      <c r="E100" s="822">
        <v>15</v>
      </c>
      <c r="F100" s="50" cm="1" t="str">
        <f t="array" ref="F100:F100">OFFSET(E100,-1,1)</f>
        <v>1</v>
      </c>
      <c r="G100" s="467"/>
      <c r="H100" s="467"/>
      <c r="I100" s="64" t="s">
        <v>1523</v>
      </c>
      <c r="J100" s="467"/>
      <c r="K100" s="467"/>
      <c r="L100" s="467"/>
      <c r="M100" s="467"/>
      <c r="N100" s="467"/>
      <c r="O100" s="467"/>
      <c r="P100" s="467"/>
      <c r="Q100" s="467"/>
      <c r="R100" s="51"/>
      <c r="S100" s="467"/>
      <c r="T100" s="439">
        <f>F100&gt;0</f>
        <v>1</v>
      </c>
      <c r="U100" s="467"/>
      <c r="V100" s="676"/>
      <c r="W100" s="738" t="s">
        <v>1524</v>
      </c>
      <c r="X100" s="1534"/>
      <c r="Y100" s="676"/>
      <c r="Z100" s="1464"/>
      <c r="AA100" s="676"/>
      <c r="AB100" s="227" t="s">
        <v>177</v>
      </c>
      <c r="AC100" s="231"/>
      <c r="AD100" s="1083"/>
      <c r="AE100" s="1083"/>
      <c r="AF100" s="1083"/>
      <c r="AG100" s="1083"/>
      <c r="AH100" s="1083"/>
      <c r="AI100" s="1083"/>
      <c r="AJ100" s="1083"/>
      <c r="AK100" s="1083"/>
      <c r="AL100" s="1083"/>
      <c r="AM100" s="1083"/>
      <c r="AN100" s="1083"/>
      <c r="AO100" s="1083"/>
      <c r="AP100" s="1083"/>
      <c r="AQ100" s="1083"/>
      <c r="AR100" s="1083"/>
      <c r="AS100" s="1083"/>
      <c r="AT100" s="1083"/>
      <c r="AU100" s="1083"/>
      <c r="AV100" s="1083"/>
      <c r="AW100" s="1083"/>
      <c r="AX100" s="1083"/>
      <c r="AY100" s="1083"/>
      <c r="AZ100" s="1083"/>
      <c r="BA100" s="1083"/>
      <c r="BB100" s="1083"/>
      <c r="BC100" s="1083"/>
      <c r="BD100" s="1083"/>
      <c r="BE100" s="1083"/>
      <c r="BF100" s="1083"/>
      <c r="BG100" s="1083"/>
      <c r="BH100" s="1083"/>
      <c r="BI100" s="1083"/>
      <c r="BJ100" s="1083"/>
      <c r="BK100" s="1083"/>
      <c r="BL100" s="1083"/>
      <c r="BM100" s="1083"/>
      <c r="BN100" s="1083"/>
      <c r="BO100" s="1083"/>
      <c r="BP100" s="1083"/>
      <c r="BQ100" s="1083"/>
      <c r="BR100" s="1083"/>
      <c r="BS100" s="1083"/>
      <c r="BT100" s="1083"/>
      <c r="BU100" s="1083"/>
      <c r="BV100" s="1083"/>
      <c r="BW100" s="1083"/>
      <c r="BX100" s="1083"/>
      <c r="BY100" s="1083"/>
      <c r="BZ100" s="1083"/>
      <c r="CA100" s="1083"/>
      <c r="CB100" s="1083"/>
      <c r="CC100" s="1083"/>
      <c r="CD100" s="1083"/>
      <c r="CE100" s="1083"/>
      <c r="CF100" s="1083"/>
      <c r="CG100" s="1083"/>
      <c r="CH100" s="1083"/>
      <c r="CI100" s="1083"/>
      <c r="CJ100" s="1083"/>
      <c r="CK100" s="1083"/>
      <c r="CL100" s="1083"/>
      <c r="CM100" s="1083"/>
      <c r="CN100" s="1083"/>
      <c r="CO100" s="1083"/>
      <c r="CP100" s="1083"/>
      <c r="CQ100" s="1083"/>
      <c r="CR100" s="1083"/>
      <c r="CS100" s="1083"/>
      <c r="CT100" s="1083"/>
      <c r="CU100" s="1083"/>
      <c r="CV100" s="1083"/>
      <c r="CW100" s="1083"/>
      <c r="CX100" s="1083"/>
      <c r="CY100" s="1083"/>
      <c r="CZ100" s="1083"/>
      <c r="DA100" s="1083"/>
      <c r="DB100" s="1083"/>
      <c r="DC100" s="1083"/>
      <c r="DD100" s="1083"/>
      <c r="DE100" s="1083"/>
      <c r="DF100" s="1083"/>
      <c r="DG100" s="1083"/>
      <c r="DH100" s="1083"/>
      <c r="DI100" s="1083"/>
      <c r="DJ100" s="1083"/>
      <c r="DK100" s="1083"/>
      <c r="DL100" s="1083"/>
      <c r="DM100" s="1083"/>
      <c r="DN100" s="1083"/>
      <c r="DO100" s="1083"/>
      <c r="DP100" s="1083"/>
      <c r="DQ100" s="1083"/>
      <c r="DR100" s="1083"/>
      <c r="DS100" s="1083"/>
      <c r="DT100" s="1083"/>
      <c r="DU100" s="1083"/>
      <c r="DV100" s="1083"/>
      <c r="DW100" s="1083"/>
      <c r="DX100" s="1083"/>
      <c r="DY100" s="1083"/>
      <c r="DZ100" s="1083"/>
      <c r="EA100" s="1083"/>
      <c r="EB100" s="1083"/>
      <c r="EC100" s="1083"/>
      <c r="ED100" s="1083"/>
      <c r="EE100" s="1083"/>
      <c r="EF100" s="1083"/>
      <c r="EG100" s="1083"/>
      <c r="EH100" s="1083"/>
      <c r="EI100" s="1083"/>
      <c r="EJ100" s="1083"/>
      <c r="EK100" s="1083"/>
      <c r="EL100" s="1083"/>
      <c r="EM100" s="1083"/>
      <c r="EN100" s="1083"/>
      <c r="EO100" s="1083"/>
      <c r="EP100" s="1083"/>
      <c r="EQ100" s="1083"/>
      <c r="ER100" s="1083"/>
      <c r="ES100" s="1083"/>
      <c r="ET100" s="1083"/>
      <c r="EU100" s="1083"/>
      <c r="EV100" s="1083"/>
      <c r="EW100" s="1083"/>
      <c r="EX100" s="1083"/>
      <c r="EY100" s="1083"/>
      <c r="EZ100" s="1083"/>
      <c r="FA100" s="1083"/>
      <c r="FB100" s="1083"/>
      <c r="FC100" s="1083"/>
      <c r="FD100" s="1083"/>
      <c r="FE100" s="1083"/>
      <c r="FF100" s="1083"/>
      <c r="FG100" s="1083"/>
      <c r="FH100" s="1083"/>
      <c r="FI100" s="1083"/>
      <c r="FJ100" s="1083"/>
      <c r="FK100" s="1083"/>
      <c r="FL100" s="1083"/>
      <c r="FM100" s="1083"/>
      <c r="FN100" s="1083"/>
      <c r="FO100" s="1083"/>
      <c r="FP100" s="1083"/>
      <c r="FQ100" s="1083"/>
      <c r="FR100" s="1083"/>
      <c r="FS100" s="1083"/>
      <c r="FT100" s="1083"/>
      <c r="FU100" s="1083"/>
      <c r="FV100" s="1083"/>
      <c r="FW100" s="1084"/>
      <c r="FX100" s="676"/>
      <c r="FY100" s="676"/>
      <c r="FZ100" s="1039" t="s">
        <v>222</v>
      </c>
      <c r="GA100" s="1061"/>
      <c r="GB100" s="1061"/>
      <c r="GC100" s="611" t="s">
        <v>1520</v>
      </c>
      <c r="GD100" s="697"/>
    </row>
    <row s="1621" customFormat="1" customHeight="1" ht="14.25" hidden="1">
      <c r="A101" s="467"/>
      <c r="B101" s="907">
        <f>AND(R85="двухставочный",NOT(S85))</f>
        <v>0</v>
      </c>
      <c r="C101" s="467"/>
      <c r="D101" s="467"/>
      <c r="E101" s="822">
        <v>15</v>
      </c>
      <c r="F101" s="50" cm="1" t="str">
        <f t="array" ref="F101:F101">OFFSET(E101,-1,1)</f>
        <v>1</v>
      </c>
      <c r="G101" s="467"/>
      <c r="H101" s="467"/>
      <c r="I101" s="467"/>
      <c r="J101" s="467"/>
      <c r="K101" s="467"/>
      <c r="L101" s="467"/>
      <c r="M101" s="467"/>
      <c r="N101" s="467"/>
      <c r="O101" s="467"/>
      <c r="P101" s="467"/>
      <c r="Q101" s="467"/>
      <c r="R101" s="51"/>
      <c r="S101" s="467"/>
      <c r="T101" s="439" cm="1" t="str">
        <f t="array" ref="T101:T101">T100</f>
        <v>true</v>
      </c>
      <c r="U101" s="467"/>
      <c r="V101" s="467"/>
      <c r="W101" s="467"/>
      <c r="X101" s="1534"/>
      <c r="Y101" s="467"/>
      <c r="Z101" s="1464"/>
      <c r="AA101" s="467"/>
      <c r="AB101" s="876" t="s">
        <v>1525</v>
      </c>
      <c r="AC101" s="877"/>
      <c r="AD101" s="1085"/>
      <c r="AE101" s="1085"/>
      <c r="AF101" s="1085"/>
      <c r="AG101" s="1085"/>
      <c r="AH101" s="1085"/>
      <c r="AI101" s="1085"/>
      <c r="AJ101" s="1085"/>
      <c r="AK101" s="1085"/>
      <c r="AL101" s="1085"/>
      <c r="AM101" s="1085"/>
      <c r="AN101" s="1085"/>
      <c r="AO101" s="1085"/>
      <c r="AP101" s="1085"/>
      <c r="AQ101" s="1085"/>
      <c r="AR101" s="1085"/>
      <c r="AS101" s="1085"/>
      <c r="AT101" s="1085"/>
      <c r="AU101" s="1085"/>
      <c r="AV101" s="1085"/>
      <c r="AW101" s="1085"/>
      <c r="AX101" s="1085"/>
      <c r="AY101" s="1085"/>
      <c r="AZ101" s="1085"/>
      <c r="BA101" s="1085"/>
      <c r="BB101" s="1085"/>
      <c r="BC101" s="1085"/>
      <c r="BD101" s="1085"/>
      <c r="BE101" s="1085"/>
      <c r="BF101" s="1085"/>
      <c r="BG101" s="1085"/>
      <c r="BH101" s="1085"/>
      <c r="BI101" s="1085"/>
      <c r="BJ101" s="1085"/>
      <c r="BK101" s="1085"/>
      <c r="BL101" s="1085"/>
      <c r="BM101" s="1085"/>
      <c r="BN101" s="1085"/>
      <c r="BO101" s="1085"/>
      <c r="BP101" s="1085"/>
      <c r="BQ101" s="1085"/>
      <c r="BR101" s="1085"/>
      <c r="BS101" s="1085"/>
      <c r="BT101" s="1085"/>
      <c r="BU101" s="1085"/>
      <c r="BV101" s="1085"/>
      <c r="BW101" s="1085"/>
      <c r="BX101" s="1085"/>
      <c r="BY101" s="1085"/>
      <c r="BZ101" s="1085"/>
      <c r="CA101" s="1085"/>
      <c r="CB101" s="1085"/>
      <c r="CC101" s="1085"/>
      <c r="CD101" s="1085"/>
      <c r="CE101" s="1085"/>
      <c r="CF101" s="1085"/>
      <c r="CG101" s="1085"/>
      <c r="CH101" s="1085"/>
      <c r="CI101" s="1085"/>
      <c r="CJ101" s="1085"/>
      <c r="CK101" s="1085"/>
      <c r="CL101" s="1085"/>
      <c r="CM101" s="1085"/>
      <c r="CN101" s="1085"/>
      <c r="CO101" s="1085"/>
      <c r="CP101" s="1085"/>
      <c r="CQ101" s="1085"/>
      <c r="CR101" s="1085"/>
      <c r="CS101" s="1085"/>
      <c r="CT101" s="1085"/>
      <c r="CU101" s="1085"/>
      <c r="CV101" s="1085"/>
      <c r="CW101" s="1085"/>
      <c r="CX101" s="1085"/>
      <c r="CY101" s="1085"/>
      <c r="CZ101" s="1085"/>
      <c r="DA101" s="1085"/>
      <c r="DB101" s="1085"/>
      <c r="DC101" s="1085"/>
      <c r="DD101" s="1085"/>
      <c r="DE101" s="1085"/>
      <c r="DF101" s="1085"/>
      <c r="DG101" s="1085"/>
      <c r="DH101" s="1085"/>
      <c r="DI101" s="1085"/>
      <c r="DJ101" s="1085"/>
      <c r="DK101" s="1085"/>
      <c r="DL101" s="1085"/>
      <c r="DM101" s="1085"/>
      <c r="DN101" s="1085"/>
      <c r="DO101" s="1085"/>
      <c r="DP101" s="1085"/>
      <c r="DQ101" s="1085"/>
      <c r="DR101" s="1085"/>
      <c r="DS101" s="1085"/>
      <c r="DT101" s="1085"/>
      <c r="DU101" s="1085"/>
      <c r="DV101" s="1085"/>
      <c r="DW101" s="1085"/>
      <c r="DX101" s="1085"/>
      <c r="DY101" s="1085"/>
      <c r="DZ101" s="1085"/>
      <c r="EA101" s="1085"/>
      <c r="EB101" s="1085"/>
      <c r="EC101" s="1085"/>
      <c r="ED101" s="1085"/>
      <c r="EE101" s="1085"/>
      <c r="EF101" s="1085"/>
      <c r="EG101" s="1085"/>
      <c r="EH101" s="1085"/>
      <c r="EI101" s="1085"/>
      <c r="EJ101" s="1085"/>
      <c r="EK101" s="1085"/>
      <c r="EL101" s="1085"/>
      <c r="EM101" s="1085"/>
      <c r="EN101" s="1085"/>
      <c r="EO101" s="1085"/>
      <c r="EP101" s="1085"/>
      <c r="EQ101" s="1085"/>
      <c r="ER101" s="1085"/>
      <c r="ES101" s="1085"/>
      <c r="ET101" s="1085"/>
      <c r="EU101" s="1085"/>
      <c r="EV101" s="1085"/>
      <c r="EW101" s="1085"/>
      <c r="EX101" s="1085"/>
      <c r="EY101" s="1085"/>
      <c r="EZ101" s="1085"/>
      <c r="FA101" s="1085"/>
      <c r="FB101" s="1085"/>
      <c r="FC101" s="1085"/>
      <c r="FD101" s="1085"/>
      <c r="FE101" s="1085"/>
      <c r="FF101" s="1085"/>
      <c r="FG101" s="1085"/>
      <c r="FH101" s="1085"/>
      <c r="FI101" s="1085"/>
      <c r="FJ101" s="1085"/>
      <c r="FK101" s="1085"/>
      <c r="FL101" s="1085"/>
      <c r="FM101" s="1085"/>
      <c r="FN101" s="1085"/>
      <c r="FO101" s="1085"/>
      <c r="FP101" s="1085"/>
      <c r="FQ101" s="1085"/>
      <c r="FR101" s="1085"/>
      <c r="FS101" s="1085"/>
      <c r="FT101" s="1085"/>
      <c r="FU101" s="1085"/>
      <c r="FV101" s="1085"/>
      <c r="FW101" s="1086"/>
      <c r="FX101" s="676"/>
      <c r="FY101" s="676"/>
      <c r="FZ101" s="1039" t="s">
        <v>222</v>
      </c>
      <c r="GA101" s="1061"/>
      <c r="GB101" s="1061"/>
      <c r="GC101" s="697"/>
      <c r="GD101" s="697"/>
    </row>
    <row s="1621" customFormat="1" customHeight="1" ht="23.25" hidden="1">
      <c r="A102" s="467"/>
      <c r="B102" s="907" cm="1" t="str">
        <f t="array" ref="B102:B102">B101</f>
        <v>false</v>
      </c>
      <c r="C102" s="467"/>
      <c r="D102" s="467"/>
      <c r="E102" s="822">
        <v>24.5</v>
      </c>
      <c r="F102" s="50" cm="1" t="str">
        <f t="array" ref="F102:F102">OFFSET(E102,-1,1)</f>
        <v>1</v>
      </c>
      <c r="G102" s="467"/>
      <c r="H102" s="467"/>
      <c r="I102" s="467"/>
      <c r="J102" s="467"/>
      <c r="K102" s="467"/>
      <c r="L102" s="467"/>
      <c r="M102" s="467"/>
      <c r="N102" s="467"/>
      <c r="O102" s="467"/>
      <c r="P102" s="467"/>
      <c r="Q102" s="467"/>
      <c r="R102" s="467"/>
      <c r="S102" s="467"/>
      <c r="T102" s="439" cm="1" t="str">
        <f t="array" ref="T102:T102">T101</f>
        <v>true</v>
      </c>
      <c r="U102" s="467"/>
      <c r="V102" s="467"/>
      <c r="W102" s="467"/>
      <c r="X102" s="1534"/>
      <c r="Y102" s="467"/>
      <c r="Z102" s="1464"/>
      <c r="AA102" s="467"/>
      <c r="AB102" s="260" t="s">
        <v>1526</v>
      </c>
      <c r="AC102" s="885"/>
      <c r="AD102" s="1087"/>
      <c r="AE102" s="1087"/>
      <c r="AF102" s="1087"/>
      <c r="AG102" s="1087"/>
      <c r="AH102" s="1087"/>
      <c r="AI102" s="1087"/>
      <c r="AJ102" s="1087"/>
      <c r="AK102" s="1087"/>
      <c r="AL102" s="1087"/>
      <c r="AM102" s="1087"/>
      <c r="AN102" s="1087"/>
      <c r="AO102" s="1087"/>
      <c r="AP102" s="1087"/>
      <c r="AQ102" s="1087"/>
      <c r="AR102" s="1087"/>
      <c r="AS102" s="1087"/>
      <c r="AT102" s="1087"/>
      <c r="AU102" s="1087"/>
      <c r="AV102" s="1087"/>
      <c r="AW102" s="1087"/>
      <c r="AX102" s="1087"/>
      <c r="AY102" s="1087"/>
      <c r="AZ102" s="1087"/>
      <c r="BA102" s="1087"/>
      <c r="BB102" s="1087"/>
      <c r="BC102" s="1087"/>
      <c r="BD102" s="1087"/>
      <c r="BE102" s="1087"/>
      <c r="BF102" s="1087"/>
      <c r="BG102" s="1087"/>
      <c r="BH102" s="1087"/>
      <c r="BI102" s="1087"/>
      <c r="BJ102" s="1087"/>
      <c r="BK102" s="1087"/>
      <c r="BL102" s="1087"/>
      <c r="BM102" s="1087"/>
      <c r="BN102" s="1087"/>
      <c r="BO102" s="1087"/>
      <c r="BP102" s="1087"/>
      <c r="BQ102" s="1087"/>
      <c r="BR102" s="1087"/>
      <c r="BS102" s="1087"/>
      <c r="BT102" s="1087"/>
      <c r="BU102" s="1087"/>
      <c r="BV102" s="1087"/>
      <c r="BW102" s="1087"/>
      <c r="BX102" s="1087"/>
      <c r="BY102" s="1087"/>
      <c r="BZ102" s="1087"/>
      <c r="CA102" s="1087"/>
      <c r="CB102" s="1087"/>
      <c r="CC102" s="1087"/>
      <c r="CD102" s="1087"/>
      <c r="CE102" s="1087"/>
      <c r="CF102" s="1087"/>
      <c r="CG102" s="1087"/>
      <c r="CH102" s="1087"/>
      <c r="CI102" s="1087"/>
      <c r="CJ102" s="1087"/>
      <c r="CK102" s="1087"/>
      <c r="CL102" s="1087"/>
      <c r="CM102" s="1087"/>
      <c r="CN102" s="1087"/>
      <c r="CO102" s="1087"/>
      <c r="CP102" s="1087"/>
      <c r="CQ102" s="1087"/>
      <c r="CR102" s="1087"/>
      <c r="CS102" s="1087"/>
      <c r="CT102" s="1087"/>
      <c r="CU102" s="1087"/>
      <c r="CV102" s="1087"/>
      <c r="CW102" s="1087"/>
      <c r="CX102" s="1087"/>
      <c r="CY102" s="1087"/>
      <c r="CZ102" s="1087"/>
      <c r="DA102" s="1087"/>
      <c r="DB102" s="1087"/>
      <c r="DC102" s="1087"/>
      <c r="DD102" s="1087"/>
      <c r="DE102" s="1087"/>
      <c r="DF102" s="1087"/>
      <c r="DG102" s="1087"/>
      <c r="DH102" s="1087"/>
      <c r="DI102" s="1087"/>
      <c r="DJ102" s="1087"/>
      <c r="DK102" s="1087"/>
      <c r="DL102" s="1087"/>
      <c r="DM102" s="1087"/>
      <c r="DN102" s="1087"/>
      <c r="DO102" s="1087"/>
      <c r="DP102" s="1087"/>
      <c r="DQ102" s="1087"/>
      <c r="DR102" s="1087"/>
      <c r="DS102" s="1087"/>
      <c r="DT102" s="1087"/>
      <c r="DU102" s="1087"/>
      <c r="DV102" s="1087"/>
      <c r="DW102" s="1087"/>
      <c r="DX102" s="1087"/>
      <c r="DY102" s="1087"/>
      <c r="DZ102" s="1087"/>
      <c r="EA102" s="1087"/>
      <c r="EB102" s="1087"/>
      <c r="EC102" s="1087"/>
      <c r="ED102" s="1087"/>
      <c r="EE102" s="1087"/>
      <c r="EF102" s="1087"/>
      <c r="EG102" s="1087"/>
      <c r="EH102" s="1087"/>
      <c r="EI102" s="1087"/>
      <c r="EJ102" s="1087"/>
      <c r="EK102" s="1087"/>
      <c r="EL102" s="1087"/>
      <c r="EM102" s="1087"/>
      <c r="EN102" s="1087"/>
      <c r="EO102" s="1087"/>
      <c r="EP102" s="1087"/>
      <c r="EQ102" s="1087"/>
      <c r="ER102" s="1087"/>
      <c r="ES102" s="1087"/>
      <c r="ET102" s="1087"/>
      <c r="EU102" s="1087"/>
      <c r="EV102" s="1087"/>
      <c r="EW102" s="1087"/>
      <c r="EX102" s="1087"/>
      <c r="EY102" s="1087"/>
      <c r="EZ102" s="1087"/>
      <c r="FA102" s="1087"/>
      <c r="FB102" s="1087"/>
      <c r="FC102" s="1087"/>
      <c r="FD102" s="1087"/>
      <c r="FE102" s="1087"/>
      <c r="FF102" s="1087"/>
      <c r="FG102" s="1087"/>
      <c r="FH102" s="1087"/>
      <c r="FI102" s="1087"/>
      <c r="FJ102" s="1087"/>
      <c r="FK102" s="1087"/>
      <c r="FL102" s="1087"/>
      <c r="FM102" s="1087"/>
      <c r="FN102" s="1087"/>
      <c r="FO102" s="1087"/>
      <c r="FP102" s="1087"/>
      <c r="FQ102" s="1087"/>
      <c r="FR102" s="1087"/>
      <c r="FS102" s="1087"/>
      <c r="FT102" s="1087"/>
      <c r="FU102" s="1087"/>
      <c r="FV102" s="1087"/>
      <c r="FW102" s="1088"/>
      <c r="FX102" s="676"/>
      <c r="FY102" s="676"/>
      <c r="FZ102" s="1039" t="s">
        <v>222</v>
      </c>
      <c r="GA102" s="1061"/>
      <c r="GB102" s="1061"/>
      <c r="GC102" s="697"/>
      <c r="GD102" s="697"/>
    </row>
    <row s="1621" customFormat="1" customHeight="1" ht="14.25" hidden="1">
      <c r="A103" s="467"/>
      <c r="B103" s="907" cm="1" t="str">
        <f t="array" ref="B103:B103">B102</f>
        <v>false</v>
      </c>
      <c r="C103" s="467"/>
      <c r="D103" s="467"/>
      <c r="E103" s="822">
        <v>15</v>
      </c>
      <c r="F103" s="50" cm="1" t="str">
        <f t="array" ref="F103:F103">OFFSET(E103,-1,1)</f>
        <v>1</v>
      </c>
      <c r="G103" s="467"/>
      <c r="H103" s="467" t="s">
        <v>1445</v>
      </c>
      <c r="I103" s="467" t="s">
        <v>1492</v>
      </c>
      <c r="J103" s="467"/>
      <c r="K103" s="467"/>
      <c r="L103" s="467"/>
      <c r="M103" s="467"/>
      <c r="N103" s="467"/>
      <c r="O103" s="467"/>
      <c r="P103" s="467"/>
      <c r="Q103" s="467"/>
      <c r="R103" s="467"/>
      <c r="S103" s="467"/>
      <c r="T103" s="439" cm="1" t="str">
        <f t="array" ref="T103:T103">T102</f>
        <v>true</v>
      </c>
      <c r="U103" s="467"/>
      <c r="V103" s="467"/>
      <c r="W103" s="467"/>
      <c r="X103" s="1534"/>
      <c r="Y103" s="467"/>
      <c r="Z103" s="1464"/>
      <c r="AA103" s="467"/>
      <c r="AB103" s="886" t="s">
        <v>1527</v>
      </c>
      <c r="AC103" s="846" t="s">
        <v>1494</v>
      </c>
      <c r="AD103" s="3409">
        <f>IF(AD105=0,0,(AD104*AD105+AD106*AD107*IF(god=2026,9,6))/AD105)</f>
        <v>0</v>
      </c>
      <c r="AE103" s="3409">
        <f>IF(AE105=0,0,(AE104*AE105+AE106*AE107*IF(god=2026,9,6))/AE105)</f>
        <v>0</v>
      </c>
      <c r="AF103" s="1078">
        <f>IF(AD103=0,0,(AE103-AD103)/AD103*100)</f>
        <v>0</v>
      </c>
      <c r="AG103" s="3409">
        <f>IF(AG105=0,0,(AG104*AG105+AG106*AG107*IF(god=2025,9,6))/AG105)</f>
        <v>0</v>
      </c>
      <c r="AH103" s="3409">
        <f>IF(AH105=0,0,(AH104*AH105+AH106*AH107*IF(god=2025,9,6))/AH105)</f>
        <v>0</v>
      </c>
      <c r="AI103" s="1078">
        <f>IF(AG103=0,0,(AH103-AG103)/AG103*100)</f>
        <v>0</v>
      </c>
      <c r="AJ103" s="3409">
        <f>IF(AJ105=0,0,(AJ104*AJ105+AJ106*AJ107*6)/AJ105)</f>
        <v>0</v>
      </c>
      <c r="AK103" s="3409">
        <f>IF(AK105=0,0,(AK104*AK105+AK106*AK107*6)/AK105)</f>
        <v>0</v>
      </c>
      <c r="AL103" s="1078">
        <f>IF(AJ103=0,0,(AK103-AJ103)/AJ103*100)</f>
        <v>0</v>
      </c>
      <c r="AM103" s="3409">
        <f>IF(AM105=0,0,(AM104*AM105+AM106*AM107*6)/AM105)</f>
        <v>0</v>
      </c>
      <c r="AN103" s="3409">
        <f>IF(AN105=0,0,(AN104*AN105+AN106*AN107*6)/AN105)</f>
        <v>0</v>
      </c>
      <c r="AO103" s="1078">
        <f>IF(AM103=0,0,(AN103-AM103)/AM103*100)</f>
        <v>0</v>
      </c>
      <c r="AP103" s="3409">
        <f>IF(AP105=0,0,(AP104*AP105+AP106*AP107*6)/AP105)</f>
        <v>0</v>
      </c>
      <c r="AQ103" s="3409">
        <f>IF(AQ105=0,0,(AQ104*AQ105+AQ106*AQ107*6)/AQ105)</f>
        <v>0</v>
      </c>
      <c r="AR103" s="1078">
        <f>IF(AP103=0,0,(AQ103-AP103)/AP103*100)</f>
        <v>0</v>
      </c>
      <c r="AS103" s="3409">
        <f>IF(AS105=0,0,(AS104*AS105+AS106*AS107*6)/AS105)</f>
        <v>0</v>
      </c>
      <c r="AT103" s="3409">
        <f>IF(AT105=0,0,(AT104*AT105+AT106*AT107*6)/AT105)</f>
        <v>0</v>
      </c>
      <c r="AU103" s="1078">
        <f>IF(AS103=0,0,(AT103-AS103)/AS103*100)</f>
        <v>0</v>
      </c>
      <c r="AV103" s="3409">
        <f>IF(AV105=0,0,(AV104*AV105+AV106*AV107*6)/AV105)</f>
        <v>0</v>
      </c>
      <c r="AW103" s="3409">
        <f>IF(AW105=0,0,(AW104*AW105+AW106*AW107*6)/AW105)</f>
        <v>0</v>
      </c>
      <c r="AX103" s="1078">
        <f>IF(AV103=0,0,(AW103-AV103)/AV103*100)</f>
        <v>0</v>
      </c>
      <c r="AY103" s="3409">
        <f>IF(AY105=0,0,(AY104*AY105+AY106*AY107*6)/AY105)</f>
        <v>0</v>
      </c>
      <c r="AZ103" s="3409">
        <f>IF(AZ105=0,0,(AZ104*AZ105+AZ106*AZ107*6)/AZ105)</f>
        <v>0</v>
      </c>
      <c r="BA103" s="1078">
        <f>IF(AY103=0,0,(AZ103-AY103)/AY103*100)</f>
        <v>0</v>
      </c>
      <c r="BB103" s="3409">
        <f>IF(BB105=0,0,(BB104*BB105+BB106*BB107*6)/BB105)</f>
        <v>0</v>
      </c>
      <c r="BC103" s="3409">
        <f>IF(BC105=0,0,(BC104*BC105+BC106*BC107*6)/BC105)</f>
        <v>0</v>
      </c>
      <c r="BD103" s="1078">
        <f>IF(BB103=0,0,(BC103-BB103)/BB103*100)</f>
        <v>0</v>
      </c>
      <c r="BE103" s="3409">
        <f>IF(BE105=0,0,(BE104*BE105+BE106*BE107*6)/BE105)</f>
        <v>0</v>
      </c>
      <c r="BF103" s="3409">
        <f>IF(BF105=0,0,(BF104*BF105+BF106*BF107*6)/BF105)</f>
        <v>0</v>
      </c>
      <c r="BG103" s="1078">
        <f>IF(BE103=0,0,(BF103-BE103)/BE103*100)</f>
        <v>0</v>
      </c>
      <c r="BH103" s="3409">
        <f>IF(BH105=0,0,(BH104*BH105+BH106*BH107*6)/BH105)</f>
        <v>0</v>
      </c>
      <c r="BI103" s="3409">
        <f>IF(BI105=0,0,(BI104*BI105+BI106*BI107*6)/BI105)</f>
        <v>0</v>
      </c>
      <c r="BJ103" s="1078">
        <f>IF(BH103=0,0,(BI103-BH103)/BH103*100)</f>
        <v>0</v>
      </c>
      <c r="BK103" s="3409">
        <f>IF(BK105=0,0,(BK104*BK105+BK106*BK107*6)/BK105)</f>
        <v>0</v>
      </c>
      <c r="BL103" s="3409">
        <f>IF(BL105=0,0,(BL104*BL105+BL106*BL107*6)/BL105)</f>
        <v>0</v>
      </c>
      <c r="BM103" s="1078">
        <f>IF(BK103=0,0,(BL103-BK103)/BK103*100)</f>
        <v>0</v>
      </c>
      <c r="BN103" s="3409">
        <f>IF(BN105=0,0,(BN104*BN105+BN106*BN107*6)/BN105)</f>
        <v>0</v>
      </c>
      <c r="BO103" s="3409">
        <f>IF(BO105=0,0,(BO104*BO105+BO106*BO107*6)/BO105)</f>
        <v>0</v>
      </c>
      <c r="BP103" s="1078">
        <f>IF(BN103=0,0,(BO103-BN103)/BN103*100)</f>
        <v>0</v>
      </c>
      <c r="BQ103" s="3409">
        <f>IF(BQ105=0,0,(BQ104*BQ105+BQ106*BQ107*6)/BQ105)</f>
        <v>0</v>
      </c>
      <c r="BR103" s="3409">
        <f>IF(BR105=0,0,(BR104*BR105+BR106*BR107*6)/BR105)</f>
        <v>0</v>
      </c>
      <c r="BS103" s="1078">
        <f>IF(BQ103=0,0,(BR103-BQ103)/BQ103*100)</f>
        <v>0</v>
      </c>
      <c r="BT103" s="3409">
        <f>IF(BT105=0,0,(BT104*BT105+BT106*BT107*6)/BT105)</f>
        <v>0</v>
      </c>
      <c r="BU103" s="3409">
        <f>IF(BU105=0,0,(BU104*BU105+BU106*BU107*6)/BU105)</f>
        <v>0</v>
      </c>
      <c r="BV103" s="1078">
        <f>IF(BT103=0,0,(BU103-BT103)/BT103*100)</f>
        <v>0</v>
      </c>
      <c r="BW103" s="3409">
        <f>IF(BW105=0,0,(BW104*BW105+BW106*BW107*6)/BW105)</f>
        <v>0</v>
      </c>
      <c r="BX103" s="3409">
        <f>IF(BX105=0,0,(BX104*BX105+BX106*BX107*6)/BX105)</f>
        <v>0</v>
      </c>
      <c r="BY103" s="1078">
        <f>IF(BW103=0,0,(BX103-BW103)/BW103*100)</f>
        <v>0</v>
      </c>
      <c r="BZ103" s="3409">
        <f>IF(BZ105=0,0,(BZ104*BZ105+BZ106*BZ107*6)/BZ105)</f>
        <v>0</v>
      </c>
      <c r="CA103" s="3409">
        <f>IF(CA105=0,0,(CA104*CA105+CA106*CA107*6)/CA105)</f>
        <v>0</v>
      </c>
      <c r="CB103" s="1078">
        <f>IF(BZ103=0,0,(CA103-BZ103)/BZ103*100)</f>
        <v>0</v>
      </c>
      <c r="CC103" s="3409">
        <f>IF(CC105=0,0,(CC104*CC105+CC106*CC107*6)/CC105)</f>
        <v>0</v>
      </c>
      <c r="CD103" s="3409">
        <f>IF(CD105=0,0,(CD104*CD105+CD106*CD107*6)/CD105)</f>
        <v>0</v>
      </c>
      <c r="CE103" s="1078">
        <f>IF(CC103=0,0,(CD103-CC103)/CC103*100)</f>
        <v>0</v>
      </c>
      <c r="CF103" s="3409">
        <f>IF(CF105=0,0,(CF104*CF105+CF106*CF107*6)/CF105)</f>
        <v>0</v>
      </c>
      <c r="CG103" s="3409">
        <f>IF(CG105=0,0,(CG104*CG105+CG106*CG107*6)/CG105)</f>
        <v>0</v>
      </c>
      <c r="CH103" s="1078">
        <f>IF(CF103=0,0,(CG103-CF103)/CF103*100)</f>
        <v>0</v>
      </c>
      <c r="CI103" s="3409">
        <f>IF(CI105=0,0,(CI104*CI105+CI106*CI107*6)/CI105)</f>
        <v>0</v>
      </c>
      <c r="CJ103" s="3409">
        <f>IF(CJ105=0,0,(CJ104*CJ105+CJ106*CJ107*6)/CJ105)</f>
        <v>0</v>
      </c>
      <c r="CK103" s="1078">
        <f>IF(CI103=0,0,(CJ103-CI103)/CI103*100)</f>
        <v>0</v>
      </c>
      <c r="CL103" s="3409">
        <f>IF(CL105=0,0,(CL104*CL105+CL106*CL107*6)/CL105)</f>
        <v>0</v>
      </c>
      <c r="CM103" s="3409">
        <f>IF(CM105=0,0,(CM104*CM105+CM106*CM107*6)/CM105)</f>
        <v>0</v>
      </c>
      <c r="CN103" s="1078">
        <f>IF(CL103=0,0,(CM103-CL103)/CL103*100)</f>
        <v>0</v>
      </c>
      <c r="CO103" s="3409">
        <f>IF(CO105=0,0,(CO104*CO105+CO106*CO107*6)/CO105)</f>
        <v>0</v>
      </c>
      <c r="CP103" s="3409">
        <f>IF(CP105=0,0,(CP104*CP105+CP106*CP107*6)/CP105)</f>
        <v>0</v>
      </c>
      <c r="CQ103" s="1078">
        <f>IF(CO103=0,0,(CP103-CO103)/CO103*100)</f>
        <v>0</v>
      </c>
      <c r="CR103" s="3409">
        <f>IF(CR105=0,0,(CR104*CR105+CR106*CR107*6)/CR105)</f>
        <v>0</v>
      </c>
      <c r="CS103" s="3409">
        <f>IF(CS105=0,0,(CS104*CS105+CS106*CS107*6)/CS105)</f>
        <v>0</v>
      </c>
      <c r="CT103" s="1078">
        <f>IF(CR103=0,0,(CS103-CR103)/CR103*100)</f>
        <v>0</v>
      </c>
      <c r="CU103" s="3409">
        <f>IF(CU105=0,0,(CU104*CU105+CU106*CU107*6)/CU105)</f>
        <v>0</v>
      </c>
      <c r="CV103" s="3409">
        <f>IF(CV105=0,0,(CV104*CV105+CV106*CV107*6)/CV105)</f>
        <v>0</v>
      </c>
      <c r="CW103" s="1078">
        <f>IF(CU103=0,0,(CV103-CU103)/CU103*100)</f>
        <v>0</v>
      </c>
      <c r="CX103" s="3409">
        <f>IF(CX105=0,0,(CX104*CX105+CX106*CX107*6)/CX105)</f>
        <v>0</v>
      </c>
      <c r="CY103" s="3409">
        <f>IF(CY105=0,0,(CY104*CY105+CY106*CY107*6)/CY105)</f>
        <v>0</v>
      </c>
      <c r="CZ103" s="1078">
        <f>IF(CX103=0,0,(CY103-CX103)/CX103*100)</f>
        <v>0</v>
      </c>
      <c r="DA103" s="3409">
        <f>IF(DA105=0,0,(DA104*DA105+DA106*DA107*6)/DA105)</f>
        <v>0</v>
      </c>
      <c r="DB103" s="3409">
        <f>IF(DB105=0,0,(DB104*DB105+DB106*DB107*6)/DB105)</f>
        <v>0</v>
      </c>
      <c r="DC103" s="1078">
        <f>IF(DA103=0,0,(DB103-DA103)/DA103*100)</f>
        <v>0</v>
      </c>
      <c r="DD103" s="3409">
        <f>IF(DD105=0,0,(DD104*DD105+DD106*DD107*6)/DD105)</f>
        <v>0</v>
      </c>
      <c r="DE103" s="3409">
        <f>IF(DE105=0,0,(DE104*DE105+DE106*DE107*6)/DE105)</f>
        <v>0</v>
      </c>
      <c r="DF103" s="1078">
        <f>IF(DD103=0,0,(DE103-DD103)/DD103*100)</f>
        <v>0</v>
      </c>
      <c r="DG103" s="3409">
        <f>IF(DG105=0,0,(DG104*DG105+DG106*DG107*6)/DG105)</f>
        <v>0</v>
      </c>
      <c r="DH103" s="3409">
        <f>IF(DH105=0,0,(DH104*DH105+DH106*DH107*6)/DH105)</f>
        <v>0</v>
      </c>
      <c r="DI103" s="1078">
        <f>IF(DG103=0,0,(DH103-DG103)/DG103*100)</f>
        <v>0</v>
      </c>
      <c r="DJ103" s="3409">
        <f>IF(DJ105=0,0,(DJ104*DJ105+DJ106*DJ107*6)/DJ105)</f>
        <v>0</v>
      </c>
      <c r="DK103" s="3409">
        <f>IF(DK105=0,0,(DK104*DK105+DK106*DK107*6)/DK105)</f>
        <v>0</v>
      </c>
      <c r="DL103" s="1078">
        <f>IF(DJ103=0,0,(DK103-DJ103)/DJ103*100)</f>
        <v>0</v>
      </c>
      <c r="DM103" s="3409">
        <f>IF(DM105=0,0,(DM104*DM105+DM106*DM107*6)/DM105)</f>
        <v>0</v>
      </c>
      <c r="DN103" s="3409">
        <f>IF(DN105=0,0,(DN104*DN105+DN106*DN107*6)/DN105)</f>
        <v>0</v>
      </c>
      <c r="DO103" s="1078">
        <f>IF(DM103=0,0,(DN103-DM103)/DM103*100)</f>
        <v>0</v>
      </c>
      <c r="DP103" s="3409">
        <f>IF(DP105=0,0,(DP104*DP105+DP106*DP107*6)/DP105)</f>
        <v>0</v>
      </c>
      <c r="DQ103" s="3409">
        <f>IF(DQ105=0,0,(DQ104*DQ105+DQ106*DQ107*6)/DQ105)</f>
        <v>0</v>
      </c>
      <c r="DR103" s="1078">
        <f>IF(DP103=0,0,(DQ103-DP103)/DP103*100)</f>
        <v>0</v>
      </c>
      <c r="DS103" s="3409">
        <f>IF(DS105=0,0,(DS104*DS105+DS106*DS107*6)/DS105)</f>
        <v>0</v>
      </c>
      <c r="DT103" s="3409">
        <f>IF(DT105=0,0,(DT104*DT105+DT106*DT107*6)/DT105)</f>
        <v>0</v>
      </c>
      <c r="DU103" s="1078">
        <f>IF(DS103=0,0,(DT103-DS103)/DS103*100)</f>
        <v>0</v>
      </c>
      <c r="DV103" s="3409">
        <f>IF(DV105=0,0,(DV104*DV105+DV106*DV107*6)/DV105)</f>
        <v>0</v>
      </c>
      <c r="DW103" s="3409">
        <f>IF(DW105=0,0,(DW104*DW105+DW106*DW107*6)/DW105)</f>
        <v>0</v>
      </c>
      <c r="DX103" s="1078">
        <f>IF(DV103=0,0,(DW103-DV103)/DV103*100)</f>
        <v>0</v>
      </c>
      <c r="DY103" s="3409">
        <f>IF(DY105=0,0,(DY104*DY105+DY106*DY107*6)/DY105)</f>
        <v>0</v>
      </c>
      <c r="DZ103" s="3409">
        <f>IF(DZ105=0,0,(DZ104*DZ105+DZ106*DZ107*6)/DZ105)</f>
        <v>0</v>
      </c>
      <c r="EA103" s="1078">
        <f>IF(DY103=0,0,(DZ103-DY103)/DY103*100)</f>
        <v>0</v>
      </c>
      <c r="EB103" s="3409">
        <f>IF(EB105=0,0,(EB104*EB105+EB106*EB107*6)/EB105)</f>
        <v>0</v>
      </c>
      <c r="EC103" s="3409">
        <f>IF(EC105=0,0,(EC104*EC105+EC106*EC107*6)/EC105)</f>
        <v>0</v>
      </c>
      <c r="ED103" s="1078">
        <f>IF(EB103=0,0,(EC103-EB103)/EB103*100)</f>
        <v>0</v>
      </c>
      <c r="EE103" s="3409">
        <f>IF(EE105=0,0,(EE104*EE105+EE106*EE107*6)/EE105)</f>
        <v>0</v>
      </c>
      <c r="EF103" s="3409">
        <f>IF(EF105=0,0,(EF104*EF105+EF106*EF107*6)/EF105)</f>
        <v>0</v>
      </c>
      <c r="EG103" s="1078">
        <f>IF(EE103=0,0,(EF103-EE103)/EE103*100)</f>
        <v>0</v>
      </c>
      <c r="EH103" s="3409">
        <f>IF(EH105=0,0,(EH104*EH105+EH106*EH107*6)/EH105)</f>
        <v>0</v>
      </c>
      <c r="EI103" s="3409">
        <f>IF(EI105=0,0,(EI104*EI105+EI106*EI107*6)/EI105)</f>
        <v>0</v>
      </c>
      <c r="EJ103" s="1078">
        <f>IF(EH103=0,0,(EI103-EH103)/EH103*100)</f>
        <v>0</v>
      </c>
      <c r="EK103" s="3409">
        <f>IF(EK105=0,0,(EK104*EK105+EK106*EK107*6)/EK105)</f>
        <v>0</v>
      </c>
      <c r="EL103" s="3409">
        <f>IF(EL105=0,0,(EL104*EL105+EL106*EL107*6)/EL105)</f>
        <v>0</v>
      </c>
      <c r="EM103" s="1078">
        <f>IF(EK103=0,0,(EL103-EK103)/EK103*100)</f>
        <v>0</v>
      </c>
      <c r="EN103" s="3409">
        <f>IF(EN105=0,0,(EN104*EN105+EN106*EN107*6)/EN105)</f>
        <v>0</v>
      </c>
      <c r="EO103" s="3409">
        <f>IF(EO105=0,0,(EO104*EO105+EO106*EO107*6)/EO105)</f>
        <v>0</v>
      </c>
      <c r="EP103" s="1078">
        <f>IF(EN103=0,0,(EO103-EN103)/EN103*100)</f>
        <v>0</v>
      </c>
      <c r="EQ103" s="3409">
        <f>IF(EQ105=0,0,(EQ104*EQ105+EQ106*EQ107*6)/EQ105)</f>
        <v>0</v>
      </c>
      <c r="ER103" s="3409">
        <f>IF(ER105=0,0,(ER104*ER105+ER106*ER107*6)/ER105)</f>
        <v>0</v>
      </c>
      <c r="ES103" s="1078">
        <f>IF(EQ103=0,0,(ER103-EQ103)/EQ103*100)</f>
        <v>0</v>
      </c>
      <c r="ET103" s="3409">
        <f>IF(ET105=0,0,(ET104*ET105+ET106*ET107*6)/ET105)</f>
        <v>0</v>
      </c>
      <c r="EU103" s="3409">
        <f>IF(EU105=0,0,(EU104*EU105+EU106*EU107*6)/EU105)</f>
        <v>0</v>
      </c>
      <c r="EV103" s="1078">
        <f>IF(ET103=0,0,(EU103-ET103)/ET103*100)</f>
        <v>0</v>
      </c>
      <c r="EW103" s="3409">
        <f>IF(EW105=0,0,(EW104*EW105+EW106*EW107*6)/EW105)</f>
        <v>0</v>
      </c>
      <c r="EX103" s="3409">
        <f>IF(EX105=0,0,(EX104*EX105+EX106*EX107*6)/EX105)</f>
        <v>0</v>
      </c>
      <c r="EY103" s="1078">
        <f>IF(EW103=0,0,(EX103-EW103)/EW103*100)</f>
        <v>0</v>
      </c>
      <c r="EZ103" s="3409">
        <f>IF(EZ105=0,0,(EZ104*EZ105+EZ106*EZ107*6)/EZ105)</f>
        <v>0</v>
      </c>
      <c r="FA103" s="3409">
        <f>IF(FA105=0,0,(FA104*FA105+FA106*FA107*6)/FA105)</f>
        <v>0</v>
      </c>
      <c r="FB103" s="1078">
        <f>IF(EZ103=0,0,(FA103-EZ103)/EZ103*100)</f>
        <v>0</v>
      </c>
      <c r="FC103" s="3409">
        <f>IF(FC105=0,0,(FC104*FC105+FC106*FC107*6)/FC105)</f>
        <v>0</v>
      </c>
      <c r="FD103" s="3409">
        <f>IF(FD105=0,0,(FD104*FD105+FD106*FD107*6)/FD105)</f>
        <v>0</v>
      </c>
      <c r="FE103" s="1078">
        <f>IF(FC103=0,0,(FD103-FC103)/FC103*100)</f>
        <v>0</v>
      </c>
      <c r="FF103" s="3409">
        <f>IF(FF105=0,0,(FF104*FF105+FF106*FF107*6)/FF105)</f>
        <v>0</v>
      </c>
      <c r="FG103" s="3409">
        <f>IF(FG105=0,0,(FG104*FG105+FG106*FG107*6)/FG105)</f>
        <v>0</v>
      </c>
      <c r="FH103" s="1078">
        <f>IF(FF103=0,0,(FG103-FF103)/FF103*100)</f>
        <v>0</v>
      </c>
      <c r="FI103" s="3409">
        <f>IF(FI105=0,0,(FI104*FI105+FI106*FI107*6)/FI105)</f>
        <v>0</v>
      </c>
      <c r="FJ103" s="3409">
        <f>IF(FJ105=0,0,(FJ104*FJ105+FJ106*FJ107*6)/FJ105)</f>
        <v>0</v>
      </c>
      <c r="FK103" s="1078">
        <f>IF(FI103=0,0,(FJ103-FI103)/FI103*100)</f>
        <v>0</v>
      </c>
      <c r="FL103" s="3409">
        <f>IF(FL105=0,0,(FL104*FL105+FL106*FL107*6)/FL105)</f>
        <v>0</v>
      </c>
      <c r="FM103" s="3409">
        <f>IF(FM105=0,0,(FM104*FM105+FM106*FM107*6)/FM105)</f>
        <v>0</v>
      </c>
      <c r="FN103" s="1078">
        <f>IF(FL103=0,0,(FM103-FL103)/FL103*100)</f>
        <v>0</v>
      </c>
      <c r="FO103" s="3409">
        <f>IF(FO105=0,0,(FO104*FO105+FO106*FO107*6)/FO105)</f>
        <v>0</v>
      </c>
      <c r="FP103" s="3409">
        <f>IF(FP105=0,0,(FP104*FP105+FP106*FP107*6)/FP105)</f>
        <v>0</v>
      </c>
      <c r="FQ103" s="1078">
        <f>IF(FO103=0,0,(FP103-FO103)/FO103*100)</f>
        <v>0</v>
      </c>
      <c r="FR103" s="3409">
        <f>IF(FR105=0,0,(FR104*FR105+FR106*FR107*6)/FR105)</f>
        <v>0</v>
      </c>
      <c r="FS103" s="3409">
        <f>IF(FS105=0,0,(FS104*FS105+FS106*FS107*6)/FS105)</f>
        <v>0</v>
      </c>
      <c r="FT103" s="1078">
        <f>IF(FR103=0,0,(FS103-FR103)/FR103*100)</f>
        <v>0</v>
      </c>
      <c r="FU103" s="3409">
        <f>IF(FU105=0,0,(FU104*FU105+FU106*FU107*6)/FU105)</f>
        <v>0</v>
      </c>
      <c r="FV103" s="3409">
        <f>IF(FV105=0,0,(FV104*FV105+FV106*FV107*6)/FV105)</f>
        <v>0</v>
      </c>
      <c r="FW103" s="1078">
        <f>IF(FU103=0,0,(FV103-FU103)/FU103*100)</f>
        <v>0</v>
      </c>
      <c r="FX103" s="676"/>
      <c r="FY103" s="676"/>
      <c r="FZ103" s="1039" t="s">
        <v>1528</v>
      </c>
      <c r="GA103" s="1061"/>
      <c r="GB103" s="1061"/>
      <c r="GC103" s="697"/>
      <c r="GD103" s="697"/>
    </row>
    <row s="1621" customFormat="1" customHeight="1" ht="14.25" hidden="1">
      <c r="A104" s="467"/>
      <c r="B104" s="907" cm="1" t="str">
        <f t="array" ref="B104:B104">B103</f>
        <v>false</v>
      </c>
      <c r="C104" s="467"/>
      <c r="D104" s="467"/>
      <c r="E104" s="822">
        <v>15</v>
      </c>
      <c r="F104" s="50" cm="1" t="str">
        <f t="array" ref="F104:F104">OFFSET(E104,-1,1)</f>
        <v>1</v>
      </c>
      <c r="G104" s="467"/>
      <c r="H104" s="467" t="s">
        <v>1449</v>
      </c>
      <c r="I104" s="467" t="s">
        <v>1492</v>
      </c>
      <c r="J104" s="467"/>
      <c r="K104" s="467"/>
      <c r="L104" s="467"/>
      <c r="M104" s="467"/>
      <c r="N104" s="467"/>
      <c r="O104" s="467"/>
      <c r="P104" s="467"/>
      <c r="Q104" s="467"/>
      <c r="R104" s="467"/>
      <c r="S104" s="467"/>
      <c r="T104" s="439" cm="1" t="str">
        <f t="array" ref="T104:T104">T103</f>
        <v>true</v>
      </c>
      <c r="U104" s="467"/>
      <c r="V104" s="467"/>
      <c r="W104" s="467"/>
      <c r="X104" s="1534"/>
      <c r="Y104" s="467"/>
      <c r="Z104" s="1464"/>
      <c r="AA104" s="467"/>
      <c r="AB104"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846" t="s">
        <v>1494</v>
      </c>
      <c r="AD104" s="3409"/>
      <c r="AE104" s="3409"/>
      <c r="AF104" s="1078">
        <f>IF(AD104=0,0,(AE104-AD104)/AD104*100)</f>
        <v>0</v>
      </c>
      <c r="AG104" s="3409"/>
      <c r="AH104" s="3409"/>
      <c r="AI104" s="1078">
        <f>IF(AG104=0,0,(AH104-AG104)/AG104*100)</f>
        <v>0</v>
      </c>
      <c r="AJ104" s="3409"/>
      <c r="AK104" s="3409"/>
      <c r="AL104" s="1078">
        <f>IF(AJ104=0,0,(AK104-AJ104)/AJ104*100)</f>
        <v>0</v>
      </c>
      <c r="AM104" s="3409"/>
      <c r="AN104" s="3409"/>
      <c r="AO104" s="1078">
        <f>IF(AM104=0,0,(AN104-AM104)/AM104*100)</f>
        <v>0</v>
      </c>
      <c r="AP104" s="3409"/>
      <c r="AQ104" s="3409"/>
      <c r="AR104" s="1078">
        <f>IF(AP104=0,0,(AQ104-AP104)/AP104*100)</f>
        <v>0</v>
      </c>
      <c r="AS104" s="3409"/>
      <c r="AT104" s="3409"/>
      <c r="AU104" s="1078">
        <f>IF(AS104=0,0,(AT104-AS104)/AS104*100)</f>
        <v>0</v>
      </c>
      <c r="AV104" s="3409"/>
      <c r="AW104" s="3409"/>
      <c r="AX104" s="1078">
        <f>IF(AV104=0,0,(AW104-AV104)/AV104*100)</f>
        <v>0</v>
      </c>
      <c r="AY104" s="3409"/>
      <c r="AZ104" s="3409"/>
      <c r="BA104" s="1078">
        <f>IF(AY104=0,0,(AZ104-AY104)/AY104*100)</f>
        <v>0</v>
      </c>
      <c r="BB104" s="3409"/>
      <c r="BC104" s="3409"/>
      <c r="BD104" s="1078">
        <f>IF(BB104=0,0,(BC104-BB104)/BB104*100)</f>
        <v>0</v>
      </c>
      <c r="BE104" s="3409"/>
      <c r="BF104" s="3409"/>
      <c r="BG104" s="1078">
        <f>IF(BE104=0,0,(BF104-BE104)/BE104*100)</f>
        <v>0</v>
      </c>
      <c r="BH104" s="3409"/>
      <c r="BI104" s="3409"/>
      <c r="BJ104" s="1078">
        <f>IF(BH104=0,0,(BI104-BH104)/BH104*100)</f>
        <v>0</v>
      </c>
      <c r="BK104" s="3409"/>
      <c r="BL104" s="3409"/>
      <c r="BM104" s="1078">
        <f>IF(BK104=0,0,(BL104-BK104)/BK104*100)</f>
        <v>0</v>
      </c>
      <c r="BN104" s="3409"/>
      <c r="BO104" s="3409"/>
      <c r="BP104" s="1078">
        <f>IF(BN104=0,0,(BO104-BN104)/BN104*100)</f>
        <v>0</v>
      </c>
      <c r="BQ104" s="3409"/>
      <c r="BR104" s="3409"/>
      <c r="BS104" s="1078">
        <f>IF(BQ104=0,0,(BR104-BQ104)/BQ104*100)</f>
        <v>0</v>
      </c>
      <c r="BT104" s="3409"/>
      <c r="BU104" s="3409"/>
      <c r="BV104" s="1078">
        <f>IF(BT104=0,0,(BU104-BT104)/BT104*100)</f>
        <v>0</v>
      </c>
      <c r="BW104" s="3409"/>
      <c r="BX104" s="3409"/>
      <c r="BY104" s="1078">
        <f>IF(BW104=0,0,(BX104-BW104)/BW104*100)</f>
        <v>0</v>
      </c>
      <c r="BZ104" s="3409"/>
      <c r="CA104" s="3409"/>
      <c r="CB104" s="1078">
        <f>IF(BZ104=0,0,(CA104-BZ104)/BZ104*100)</f>
        <v>0</v>
      </c>
      <c r="CC104" s="3409"/>
      <c r="CD104" s="3409"/>
      <c r="CE104" s="1078">
        <f>IF(CC104=0,0,(CD104-CC104)/CC104*100)</f>
        <v>0</v>
      </c>
      <c r="CF104" s="3409"/>
      <c r="CG104" s="3409"/>
      <c r="CH104" s="1078">
        <f>IF(CF104=0,0,(CG104-CF104)/CF104*100)</f>
        <v>0</v>
      </c>
      <c r="CI104" s="3409"/>
      <c r="CJ104" s="3409"/>
      <c r="CK104" s="1078">
        <f>IF(CI104=0,0,(CJ104-CI104)/CI104*100)</f>
        <v>0</v>
      </c>
      <c r="CL104" s="3409"/>
      <c r="CM104" s="3409"/>
      <c r="CN104" s="1078">
        <f>IF(CL104=0,0,(CM104-CL104)/CL104*100)</f>
        <v>0</v>
      </c>
      <c r="CO104" s="3409"/>
      <c r="CP104" s="3409"/>
      <c r="CQ104" s="1078">
        <f>IF(CO104=0,0,(CP104-CO104)/CO104*100)</f>
        <v>0</v>
      </c>
      <c r="CR104" s="3409"/>
      <c r="CS104" s="3409"/>
      <c r="CT104" s="1078">
        <f>IF(CR104=0,0,(CS104-CR104)/CR104*100)</f>
        <v>0</v>
      </c>
      <c r="CU104" s="3409"/>
      <c r="CV104" s="3409"/>
      <c r="CW104" s="1078">
        <f>IF(CU104=0,0,(CV104-CU104)/CU104*100)</f>
        <v>0</v>
      </c>
      <c r="CX104" s="3409"/>
      <c r="CY104" s="3409"/>
      <c r="CZ104" s="1078">
        <f>IF(CX104=0,0,(CY104-CX104)/CX104*100)</f>
        <v>0</v>
      </c>
      <c r="DA104" s="3409"/>
      <c r="DB104" s="3409"/>
      <c r="DC104" s="1078">
        <f>IF(DA104=0,0,(DB104-DA104)/DA104*100)</f>
        <v>0</v>
      </c>
      <c r="DD104" s="3409"/>
      <c r="DE104" s="3409"/>
      <c r="DF104" s="1078">
        <f>IF(DD104=0,0,(DE104-DD104)/DD104*100)</f>
        <v>0</v>
      </c>
      <c r="DG104" s="3409"/>
      <c r="DH104" s="3409"/>
      <c r="DI104" s="1078">
        <f>IF(DG104=0,0,(DH104-DG104)/DG104*100)</f>
        <v>0</v>
      </c>
      <c r="DJ104" s="3409"/>
      <c r="DK104" s="3409"/>
      <c r="DL104" s="1078">
        <f>IF(DJ104=0,0,(DK104-DJ104)/DJ104*100)</f>
        <v>0</v>
      </c>
      <c r="DM104" s="3409"/>
      <c r="DN104" s="3409"/>
      <c r="DO104" s="1078">
        <f>IF(DM104=0,0,(DN104-DM104)/DM104*100)</f>
        <v>0</v>
      </c>
      <c r="DP104" s="3409"/>
      <c r="DQ104" s="3409"/>
      <c r="DR104" s="1078">
        <f>IF(DP104=0,0,(DQ104-DP104)/DP104*100)</f>
        <v>0</v>
      </c>
      <c r="DS104" s="3409"/>
      <c r="DT104" s="3409"/>
      <c r="DU104" s="1078">
        <f>IF(DS104=0,0,(DT104-DS104)/DS104*100)</f>
        <v>0</v>
      </c>
      <c r="DV104" s="3409"/>
      <c r="DW104" s="3409"/>
      <c r="DX104" s="1078">
        <f>IF(DV104=0,0,(DW104-DV104)/DV104*100)</f>
        <v>0</v>
      </c>
      <c r="DY104" s="3409"/>
      <c r="DZ104" s="3409"/>
      <c r="EA104" s="1078">
        <f>IF(DY104=0,0,(DZ104-DY104)/DY104*100)</f>
        <v>0</v>
      </c>
      <c r="EB104" s="3409"/>
      <c r="EC104" s="3409"/>
      <c r="ED104" s="1078">
        <f>IF(EB104=0,0,(EC104-EB104)/EB104*100)</f>
        <v>0</v>
      </c>
      <c r="EE104" s="3409"/>
      <c r="EF104" s="3409"/>
      <c r="EG104" s="1078">
        <f>IF(EE104=0,0,(EF104-EE104)/EE104*100)</f>
        <v>0</v>
      </c>
      <c r="EH104" s="3409"/>
      <c r="EI104" s="3409"/>
      <c r="EJ104" s="1078">
        <f>IF(EH104=0,0,(EI104-EH104)/EH104*100)</f>
        <v>0</v>
      </c>
      <c r="EK104" s="3409"/>
      <c r="EL104" s="3409"/>
      <c r="EM104" s="1078">
        <f>IF(EK104=0,0,(EL104-EK104)/EK104*100)</f>
        <v>0</v>
      </c>
      <c r="EN104" s="3409"/>
      <c r="EO104" s="3409"/>
      <c r="EP104" s="1078">
        <f>IF(EN104=0,0,(EO104-EN104)/EN104*100)</f>
        <v>0</v>
      </c>
      <c r="EQ104" s="3409"/>
      <c r="ER104" s="3409"/>
      <c r="ES104" s="1078">
        <f>IF(EQ104=0,0,(ER104-EQ104)/EQ104*100)</f>
        <v>0</v>
      </c>
      <c r="ET104" s="3409"/>
      <c r="EU104" s="3409"/>
      <c r="EV104" s="1078">
        <f>IF(ET104=0,0,(EU104-ET104)/ET104*100)</f>
        <v>0</v>
      </c>
      <c r="EW104" s="3409"/>
      <c r="EX104" s="3409"/>
      <c r="EY104" s="1078">
        <f>IF(EW104=0,0,(EX104-EW104)/EW104*100)</f>
        <v>0</v>
      </c>
      <c r="EZ104" s="3409"/>
      <c r="FA104" s="3409"/>
      <c r="FB104" s="1078">
        <f>IF(EZ104=0,0,(FA104-EZ104)/EZ104*100)</f>
        <v>0</v>
      </c>
      <c r="FC104" s="3409"/>
      <c r="FD104" s="3409"/>
      <c r="FE104" s="1078">
        <f>IF(FC104=0,0,(FD104-FC104)/FC104*100)</f>
        <v>0</v>
      </c>
      <c r="FF104" s="3409"/>
      <c r="FG104" s="3409"/>
      <c r="FH104" s="1078">
        <f>IF(FF104=0,0,(FG104-FF104)/FF104*100)</f>
        <v>0</v>
      </c>
      <c r="FI104" s="3409"/>
      <c r="FJ104" s="3409"/>
      <c r="FK104" s="1078">
        <f>IF(FI104=0,0,(FJ104-FI104)/FI104*100)</f>
        <v>0</v>
      </c>
      <c r="FL104" s="3409"/>
      <c r="FM104" s="3409"/>
      <c r="FN104" s="1078">
        <f>IF(FL104=0,0,(FM104-FL104)/FL104*100)</f>
        <v>0</v>
      </c>
      <c r="FO104" s="3409"/>
      <c r="FP104" s="3409"/>
      <c r="FQ104" s="1078">
        <f>IF(FO104=0,0,(FP104-FO104)/FO104*100)</f>
        <v>0</v>
      </c>
      <c r="FR104" s="3409"/>
      <c r="FS104" s="3409"/>
      <c r="FT104" s="1078">
        <f>IF(FR104=0,0,(FS104-FR104)/FR104*100)</f>
        <v>0</v>
      </c>
      <c r="FU104" s="3409"/>
      <c r="FV104" s="3409"/>
      <c r="FW104" s="1078">
        <f>IF(FU104=0,0,(FV104-FU104)/FU104*100)</f>
        <v>0</v>
      </c>
      <c r="FX104" s="676"/>
      <c r="FY104" s="676"/>
      <c r="FZ104" s="1039" t="s">
        <v>1529</v>
      </c>
      <c r="GA104" s="1061"/>
      <c r="GB104" s="1061"/>
      <c r="GC104" s="697"/>
      <c r="GD104" s="697"/>
    </row>
    <row s="1621" customFormat="1" customHeight="1" ht="14.25" hidden="1">
      <c r="A105" s="467"/>
      <c r="B105" s="907" cm="1" t="str">
        <f t="array" ref="B105:B105">B104</f>
        <v>false</v>
      </c>
      <c r="C105" s="467"/>
      <c r="D105" s="467"/>
      <c r="E105" s="822">
        <v>15</v>
      </c>
      <c r="F105" s="50" cm="1" t="str">
        <f t="array" ref="F105:F105">OFFSET(E105,-1,1)</f>
        <v>1</v>
      </c>
      <c r="G105" s="73" t="s">
        <v>1530</v>
      </c>
      <c r="H105" s="467" t="s">
        <v>1531</v>
      </c>
      <c r="I105" s="467" t="s">
        <v>1492</v>
      </c>
      <c r="J105" s="467"/>
      <c r="K105" s="467"/>
      <c r="L105" s="467"/>
      <c r="M105" s="467"/>
      <c r="N105" s="467"/>
      <c r="O105" s="467"/>
      <c r="P105" s="467"/>
      <c r="Q105" s="467"/>
      <c r="R105" s="467"/>
      <c r="S105" s="467"/>
      <c r="T105" s="439" cm="1" t="str">
        <f t="array" ref="T105:T105">T104</f>
        <v>true</v>
      </c>
      <c r="U105" s="467"/>
      <c r="V105" s="467"/>
      <c r="W105" s="467"/>
      <c r="X105" s="1534"/>
      <c r="Y105" s="467"/>
      <c r="Z105" s="1464"/>
      <c r="AA105" s="467"/>
      <c r="AB105" s="886" t="str">
        <f>"объём "&amp;IF(Q85="Водоснабжение","потребления холодной воды","водоотведения")</f>
        <v>объём потребления холодной воды</v>
      </c>
      <c r="AC105" s="846" t="s">
        <v>512</v>
      </c>
      <c r="AD105" s="3404">
        <f>IF(AND(method_reg="Метод индексации",god&lt;&gt;first_year),_xlfn.SUMIFS(INDEX('Калькуляция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(МИ)'!$AJ$25:$BC$459,,MATCH(AD$8,'Калькуляция (МИ)'!$AJ$8:$BC$8,0)),'Калькуляция (МИ)'!$F$25:$F$459,$F105,'Калькуляция (МИ)'!$G$25:$G$459,$G105))))</f>
        <v>73.99</v>
      </c>
      <c r="AE105" s="3404">
        <f>IF(AND(method_reg="Метод индексации",god&lt;&gt;first_year),_xlfn.SUMIFS(INDEX('Калькуляция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(МИ)'!$AJ$25:$BC$459,,MATCH(AE$8,'Калькуляция (МИ)'!$AJ$8:$BC$8,0)),'Калькуляция (МИ)'!$F$25:$F$459,$F105,'Калькуляция (МИ)'!$G$25:$G$459,$G105))))</f>
        <v>122.95</v>
      </c>
      <c r="AF105" s="1080">
        <f>IF(AD105=0,0,(AE105-AD105)/AD105*100)</f>
        <v>66.1711042032707</v>
      </c>
      <c r="AG105" s="3404">
        <f>IF(AND(method_reg="Метод индексации",god&lt;&gt;first_year),_xlfn.SUMIFS(INDEX('Калькуляция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(МИ)'!$AJ$25:$BC$459,,MATCH(AG$8,'Калькуляция (МИ)'!$AJ$8:$BC$8,0)),'Калькуляция (МИ)'!$F$25:$F$459,$F105,'Калькуляция (МИ)'!$G$25:$G$459,$G105))))</f>
        <v>0</v>
      </c>
      <c r="AH105" s="3404">
        <f>IF(AND(method_reg="Метод индексации",god&lt;&gt;first_year),_xlfn.SUMIFS(INDEX('Калькуляция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(МИ)'!$AJ$25:$BC$459,,MATCH(AH$8,'Калькуляция (МИ)'!$AJ$8:$BC$8,0)),'Калькуляция (МИ)'!$F$25:$F$459,$F105,'Калькуляция (МИ)'!$G$25:$G$459,$G105))))</f>
        <v>0</v>
      </c>
      <c r="AI105" s="1080">
        <f>IF(AG105=0,0,(AH105-AG105)/AG105*100)</f>
        <v>0</v>
      </c>
      <c r="AJ105" s="3404">
        <f>IF(AND(method_reg="Метод индексации",god&lt;&gt;first_year),_xlfn.SUMIFS(INDEX('Калькуляция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(МИ)'!$AJ$25:$BC$459,,MATCH(AJ$8,'Калькуляция (МИ)'!$AJ$8:$BC$8,0)),'Калькуляция (МИ)'!$F$25:$F$459,$F105,'Калькуляция (МИ)'!$G$25:$G$459,$G105))))</f>
        <v>0</v>
      </c>
      <c r="AK105" s="3404">
        <f>IF(AND(method_reg="Метод индексации",god&lt;&gt;first_year),_xlfn.SUMIFS(INDEX('Калькуляция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(МИ)'!$AJ$25:$BC$459,,MATCH(AK$8,'Калькуляция (МИ)'!$AJ$8:$BC$8,0)),'Калькуляция (МИ)'!$F$25:$F$459,$F105,'Калькуляция (МИ)'!$G$25:$G$459,$G105))))</f>
        <v>0</v>
      </c>
      <c r="AL105" s="1080">
        <f>IF(AJ105=0,0,(AK105-AJ105)/AJ105*100)</f>
        <v>0</v>
      </c>
      <c r="AM105" s="3404">
        <f>IF(AND(method_reg="Метод индексации",god&lt;&gt;first_year),_xlfn.SUMIFS(INDEX('Калькуляция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(МИ)'!$AJ$25:$BC$459,,MATCH(AM$8,'Калькуляция (МИ)'!$AJ$8:$BC$8,0)),'Калькуляция (МИ)'!$F$25:$F$459,$F105,'Калькуляция (МИ)'!$G$25:$G$459,$G105))))</f>
        <v>0</v>
      </c>
      <c r="AN105" s="3404">
        <f>IF(AND(method_reg="Метод индексации",god&lt;&gt;first_year),_xlfn.SUMIFS(INDEX('Калькуляция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(МИ)'!$AJ$25:$BC$459,,MATCH(AN$8,'Калькуляция (МИ)'!$AJ$8:$BC$8,0)),'Калькуляция (МИ)'!$F$25:$F$459,$F105,'Калькуляция (МИ)'!$G$25:$G$459,$G105))))</f>
        <v>0</v>
      </c>
      <c r="AO105" s="1080">
        <f>IF(AM105=0,0,(AN105-AM105)/AM105*100)</f>
        <v>0</v>
      </c>
      <c r="AP105" s="3404">
        <f>IF(AND(method_reg="Метод индексации",god&lt;&gt;first_year),_xlfn.SUMIFS(INDEX('Калькуляция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(МИ)'!$AJ$25:$BC$459,,MATCH(AP$8,'Калькуляция (МИ)'!$AJ$8:$BC$8,0)),'Калькуляция (МИ)'!$F$25:$F$459,$F105,'Калькуляция (МИ)'!$G$25:$G$459,$G105))))</f>
        <v>0</v>
      </c>
      <c r="AQ105" s="3404">
        <f>IF(AND(method_reg="Метод индексации",god&lt;&gt;first_year),_xlfn.SUMIFS(INDEX('Калькуляция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(МИ)'!$AJ$25:$BC$459,,MATCH(AQ$8,'Калькуляция (МИ)'!$AJ$8:$BC$8,0)),'Калькуляция (МИ)'!$F$25:$F$459,$F105,'Калькуляция (МИ)'!$G$25:$G$459,$G105))))</f>
        <v>0</v>
      </c>
      <c r="AR105" s="1080">
        <f>IF(AP105=0,0,(AQ105-AP105)/AP105*100)</f>
        <v>0</v>
      </c>
      <c r="AS105" s="3404">
        <f>IF(AND(method_reg="Метод индексации",god&lt;&gt;first_year),_xlfn.SUMIFS(INDEX('Калькуляция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(МИ)'!$AJ$25:$BC$459,,MATCH(AS$8,'Калькуляция (МИ)'!$AJ$8:$BC$8,0)),'Калькуляция (МИ)'!$F$25:$F$459,$F105,'Калькуляция (МИ)'!$G$25:$G$459,$G105))))</f>
        <v>0</v>
      </c>
      <c r="AT105" s="3404">
        <f>IF(AND(method_reg="Метод индексации",god&lt;&gt;first_year),_xlfn.SUMIFS(INDEX('Калькуляция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(МИ)'!$AJ$25:$BC$459,,MATCH(AT$8,'Калькуляция (МИ)'!$AJ$8:$BC$8,0)),'Калькуляция (МИ)'!$F$25:$F$459,$F105,'Калькуляция (МИ)'!$G$25:$G$459,$G105))))</f>
        <v>0</v>
      </c>
      <c r="AU105" s="1080">
        <f>IF(AS105=0,0,(AT105-AS105)/AS105*100)</f>
        <v>0</v>
      </c>
      <c r="AV105" s="3404">
        <f>IF(AND(method_reg="Метод индексации",god&lt;&gt;first_year),_xlfn.SUMIFS(INDEX('Калькуляция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(МИ)'!$AJ$25:$BC$459,,MATCH(AV$8,'Калькуляция (МИ)'!$AJ$8:$BC$8,0)),'Калькуляция (МИ)'!$F$25:$F$459,$F105,'Калькуляция (МИ)'!$G$25:$G$459,$G105))))</f>
        <v>0</v>
      </c>
      <c r="AW105" s="3404">
        <f>IF(AND(method_reg="Метод индексации",god&lt;&gt;first_year),_xlfn.SUMIFS(INDEX('Калькуляция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(МИ)'!$AJ$25:$BC$459,,MATCH(AW$8,'Калькуляция (МИ)'!$AJ$8:$BC$8,0)),'Калькуляция (МИ)'!$F$25:$F$459,$F105,'Калькуляция (МИ)'!$G$25:$G$459,$G105))))</f>
        <v>0</v>
      </c>
      <c r="AX105" s="1080">
        <f>IF(AV105=0,0,(AW105-AV105)/AV105*100)</f>
        <v>0</v>
      </c>
      <c r="AY105" s="3404">
        <f>IF(AND(method_reg="Метод индексации",god&lt;&gt;first_year),_xlfn.SUMIFS(INDEX('Калькуляция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(МИ)'!$AJ$25:$BC$459,,MATCH(AY$8,'Калькуляция (МИ)'!$AJ$8:$BC$8,0)),'Калькуляция (МИ)'!$F$25:$F$459,$F105,'Калькуляция (МИ)'!$G$25:$G$459,$G105))))</f>
        <v>0</v>
      </c>
      <c r="AZ105" s="3404">
        <f>IF(AND(method_reg="Метод индексации",god&lt;&gt;first_year),_xlfn.SUMIFS(INDEX('Калькуляция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(МИ)'!$AJ$25:$BC$459,,MATCH(AZ$8,'Калькуляция (МИ)'!$AJ$8:$BC$8,0)),'Калькуляция (МИ)'!$F$25:$F$459,$F105,'Калькуляция (МИ)'!$G$25:$G$459,$G105))))</f>
        <v>0</v>
      </c>
      <c r="BA105" s="1080">
        <f>IF(AY105=0,0,(AZ105-AY105)/AY105*100)</f>
        <v>0</v>
      </c>
      <c r="BB105" s="3404">
        <f>IF(AND(method_reg="Метод индексации",god&lt;&gt;first_year),_xlfn.SUMIFS(INDEX('Калькуляция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(МИ)'!$AJ$25:$BC$459,,MATCH(BB$8,'Калькуляция (МИ)'!$AJ$8:$BC$8,0)),'Калькуляция (МИ)'!$F$25:$F$459,$F105,'Калькуляция (МИ)'!$G$25:$G$459,$G105))))</f>
        <v>0</v>
      </c>
      <c r="BC105" s="3404">
        <f>IF(AND(method_reg="Метод индексации",god&lt;&gt;first_year),_xlfn.SUMIFS(INDEX('Калькуляция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(МИ)'!$AJ$25:$BC$459,,MATCH(BC$8,'Калькуляция (МИ)'!$AJ$8:$BC$8,0)),'Калькуляция (МИ)'!$F$25:$F$459,$F105,'Калькуляция (МИ)'!$G$25:$G$459,$G105))))</f>
        <v>0</v>
      </c>
      <c r="BD105" s="1080">
        <f>IF(BB105=0,0,(BC105-BB105)/BB105*100)</f>
        <v>0</v>
      </c>
      <c r="BE105" s="3404">
        <f>IF(AND(method_reg="Метод индексации",god&lt;&gt;first_year),_xlfn.SUMIFS(INDEX('Калькуляция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расходов",_xlfn.SUMIFS('Калькуляция (МЭОР)'!$AJ$25:$AJ$282,'Калькуляция (МЭОР)'!$F$25:$F$282,$F105,'Калькуляция (МЭОР)'!$G$25:$G$282,$G105),IF(method_reg="Метод сравнения аналогов",_xlfn.SUMIFS('Калькуляция (МСА)'!$AE$25:$AE$84,'Калькуляция (МСА)'!$F$25:$F$84,$F105,'Калькуляция (МСА)'!$G$25:$G$84,$G105),_xlfn.SUMIFS(INDEX('Калькуляция (МИ)'!$AJ$25:$BC$459,,MATCH(BE$8,'Калькуляция (МИ)'!$AJ$8:$BC$8,0)),'Калькуляция (МИ)'!$F$25:$F$459,$F105,'Калькуляция (МИ)'!$G$25:$G$459,$G105))))</f>
        <v>0</v>
      </c>
      <c r="BF105" s="3404">
        <f>IF(AND(method_reg="Метод индексации",god&lt;&gt;first_year),_xlfn.SUMIFS(INDEX('Калькуляция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расходов",_xlfn.SUMIFS('Калькуляция (МЭОР)'!$AK$25:$AK$282,'Калькуляция (МЭОР)'!$F$25:$F$282,$F105,'Калькуляция (МЭОР)'!$G$25:$G$282,$G105),IF(method_reg="Метод сравнения аналогов",_xlfn.SUMIFS('Калькуляция (МСА)'!$AF$25:$AF$84,'Калькуляция (МСА)'!$F$25:$F$84,$F105,'Калькуляция (МСА)'!$G$25:$G$84,$G105),_xlfn.SUMIFS(INDEX('Калькуляция (МИ)'!$AJ$25:$BC$459,,MATCH(BF$8,'Калькуляция (МИ)'!$AJ$8:$BC$8,0)),'Калькуляция (МИ)'!$F$25:$F$459,$F105,'Калькуляция (МИ)'!$G$25:$G$459,$G105))))</f>
        <v>0</v>
      </c>
      <c r="BG105" s="1080">
        <f>IF(BE105=0,0,(BF105-BE105)/BE105*100)</f>
        <v>0</v>
      </c>
      <c r="BH105" s="3404"/>
      <c r="BI105" s="3404"/>
      <c r="BJ105" s="1080">
        <f>IF(BH105=0,0,(BI105-BH105)/BH105*100)</f>
        <v>0</v>
      </c>
      <c r="BK105" s="3404"/>
      <c r="BL105" s="3404"/>
      <c r="BM105" s="1080">
        <f>IF(BK105=0,0,(BL105-BK105)/BK105*100)</f>
        <v>0</v>
      </c>
      <c r="BN105" s="3404"/>
      <c r="BO105" s="3404"/>
      <c r="BP105" s="1080">
        <f>IF(BN105=0,0,(BO105-BN105)/BN105*100)</f>
        <v>0</v>
      </c>
      <c r="BQ105" s="3404"/>
      <c r="BR105" s="3404"/>
      <c r="BS105" s="1080">
        <f>IF(BQ105=0,0,(BR105-BQ105)/BQ105*100)</f>
        <v>0</v>
      </c>
      <c r="BT105" s="3404"/>
      <c r="BU105" s="3404"/>
      <c r="BV105" s="1080">
        <f>IF(BT105=0,0,(BU105-BT105)/BT105*100)</f>
        <v>0</v>
      </c>
      <c r="BW105" s="3404"/>
      <c r="BX105" s="3404"/>
      <c r="BY105" s="1080">
        <f>IF(BW105=0,0,(BX105-BW105)/BW105*100)</f>
        <v>0</v>
      </c>
      <c r="BZ105" s="3404"/>
      <c r="CA105" s="3404"/>
      <c r="CB105" s="1080">
        <f>IF(BZ105=0,0,(CA105-BZ105)/BZ105*100)</f>
        <v>0</v>
      </c>
      <c r="CC105" s="3404"/>
      <c r="CD105" s="3404"/>
      <c r="CE105" s="1080">
        <f>IF(CC105=0,0,(CD105-CC105)/CC105*100)</f>
        <v>0</v>
      </c>
      <c r="CF105" s="3404"/>
      <c r="CG105" s="3404"/>
      <c r="CH105" s="1080">
        <f>IF(CF105=0,0,(CG105-CF105)/CF105*100)</f>
        <v>0</v>
      </c>
      <c r="CI105" s="3404"/>
      <c r="CJ105" s="3404"/>
      <c r="CK105" s="1080">
        <f>IF(CI105=0,0,(CJ105-CI105)/CI105*100)</f>
        <v>0</v>
      </c>
      <c r="CL105" s="3404"/>
      <c r="CM105" s="3404"/>
      <c r="CN105" s="1080">
        <f>IF(CL105=0,0,(CM105-CL105)/CL105*100)</f>
        <v>0</v>
      </c>
      <c r="CO105" s="3404"/>
      <c r="CP105" s="3404"/>
      <c r="CQ105" s="1080">
        <f>IF(CO105=0,0,(CP105-CO105)/CO105*100)</f>
        <v>0</v>
      </c>
      <c r="CR105" s="3404"/>
      <c r="CS105" s="3404"/>
      <c r="CT105" s="1080">
        <f>IF(CR105=0,0,(CS105-CR105)/CR105*100)</f>
        <v>0</v>
      </c>
      <c r="CU105" s="3404"/>
      <c r="CV105" s="3404"/>
      <c r="CW105" s="1080">
        <f>IF(CU105=0,0,(CV105-CU105)/CU105*100)</f>
        <v>0</v>
      </c>
      <c r="CX105" s="3404"/>
      <c r="CY105" s="3404"/>
      <c r="CZ105" s="1080">
        <f>IF(CX105=0,0,(CY105-CX105)/CX105*100)</f>
        <v>0</v>
      </c>
      <c r="DA105" s="3404"/>
      <c r="DB105" s="3404"/>
      <c r="DC105" s="1080">
        <f>IF(DA105=0,0,(DB105-DA105)/DA105*100)</f>
        <v>0</v>
      </c>
      <c r="DD105" s="3404"/>
      <c r="DE105" s="3404"/>
      <c r="DF105" s="1080">
        <f>IF(DD105=0,0,(DE105-DD105)/DD105*100)</f>
        <v>0</v>
      </c>
      <c r="DG105" s="3404"/>
      <c r="DH105" s="3404"/>
      <c r="DI105" s="1080">
        <f>IF(DG105=0,0,(DH105-DG105)/DG105*100)</f>
        <v>0</v>
      </c>
      <c r="DJ105" s="3404"/>
      <c r="DK105" s="3404"/>
      <c r="DL105" s="1080">
        <f>IF(DJ105=0,0,(DK105-DJ105)/DJ105*100)</f>
        <v>0</v>
      </c>
      <c r="DM105" s="3404"/>
      <c r="DN105" s="3404"/>
      <c r="DO105" s="1080">
        <f>IF(DM105=0,0,(DN105-DM105)/DM105*100)</f>
        <v>0</v>
      </c>
      <c r="DP105" s="3404"/>
      <c r="DQ105" s="3404"/>
      <c r="DR105" s="1080">
        <f>IF(DP105=0,0,(DQ105-DP105)/DP105*100)</f>
        <v>0</v>
      </c>
      <c r="DS105" s="3404"/>
      <c r="DT105" s="3404"/>
      <c r="DU105" s="1080">
        <f>IF(DS105=0,0,(DT105-DS105)/DS105*100)</f>
        <v>0</v>
      </c>
      <c r="DV105" s="3404"/>
      <c r="DW105" s="3404"/>
      <c r="DX105" s="1080">
        <f>IF(DV105=0,0,(DW105-DV105)/DV105*100)</f>
        <v>0</v>
      </c>
      <c r="DY105" s="3404"/>
      <c r="DZ105" s="3404"/>
      <c r="EA105" s="1080">
        <f>IF(DY105=0,0,(DZ105-DY105)/DY105*100)</f>
        <v>0</v>
      </c>
      <c r="EB105" s="3404"/>
      <c r="EC105" s="3404"/>
      <c r="ED105" s="1080">
        <f>IF(EB105=0,0,(EC105-EB105)/EB105*100)</f>
        <v>0</v>
      </c>
      <c r="EE105" s="3404"/>
      <c r="EF105" s="3404"/>
      <c r="EG105" s="1080">
        <f>IF(EE105=0,0,(EF105-EE105)/EE105*100)</f>
        <v>0</v>
      </c>
      <c r="EH105" s="3404"/>
      <c r="EI105" s="3404"/>
      <c r="EJ105" s="1080">
        <f>IF(EH105=0,0,(EI105-EH105)/EH105*100)</f>
        <v>0</v>
      </c>
      <c r="EK105" s="3404"/>
      <c r="EL105" s="3404"/>
      <c r="EM105" s="1080">
        <f>IF(EK105=0,0,(EL105-EK105)/EK105*100)</f>
        <v>0</v>
      </c>
      <c r="EN105" s="3404"/>
      <c r="EO105" s="3404"/>
      <c r="EP105" s="1080">
        <f>IF(EN105=0,0,(EO105-EN105)/EN105*100)</f>
        <v>0</v>
      </c>
      <c r="EQ105" s="3404"/>
      <c r="ER105" s="3404"/>
      <c r="ES105" s="1080">
        <f>IF(EQ105=0,0,(ER105-EQ105)/EQ105*100)</f>
        <v>0</v>
      </c>
      <c r="ET105" s="3404"/>
      <c r="EU105" s="3404"/>
      <c r="EV105" s="1080">
        <f>IF(ET105=0,0,(EU105-ET105)/ET105*100)</f>
        <v>0</v>
      </c>
      <c r="EW105" s="3404"/>
      <c r="EX105" s="3404"/>
      <c r="EY105" s="1080">
        <f>IF(EW105=0,0,(EX105-EW105)/EW105*100)</f>
        <v>0</v>
      </c>
      <c r="EZ105" s="3404"/>
      <c r="FA105" s="3404"/>
      <c r="FB105" s="1080">
        <f>IF(EZ105=0,0,(FA105-EZ105)/EZ105*100)</f>
        <v>0</v>
      </c>
      <c r="FC105" s="3404"/>
      <c r="FD105" s="3404"/>
      <c r="FE105" s="1080">
        <f>IF(FC105=0,0,(FD105-FC105)/FC105*100)</f>
        <v>0</v>
      </c>
      <c r="FF105" s="3404"/>
      <c r="FG105" s="3404"/>
      <c r="FH105" s="1080">
        <f>IF(FF105=0,0,(FG105-FF105)/FF105*100)</f>
        <v>0</v>
      </c>
      <c r="FI105" s="3404"/>
      <c r="FJ105" s="3404"/>
      <c r="FK105" s="1080">
        <f>IF(FI105=0,0,(FJ105-FI105)/FI105*100)</f>
        <v>0</v>
      </c>
      <c r="FL105" s="3404"/>
      <c r="FM105" s="3404"/>
      <c r="FN105" s="1080">
        <f>IF(FL105=0,0,(FM105-FL105)/FL105*100)</f>
        <v>0</v>
      </c>
      <c r="FO105" s="3404"/>
      <c r="FP105" s="3404"/>
      <c r="FQ105" s="1080">
        <f>IF(FO105=0,0,(FP105-FO105)/FO105*100)</f>
        <v>0</v>
      </c>
      <c r="FR105" s="3404"/>
      <c r="FS105" s="3404"/>
      <c r="FT105" s="1080">
        <f>IF(FR105=0,0,(FS105-FR105)/FR105*100)</f>
        <v>0</v>
      </c>
      <c r="FU105" s="3404"/>
      <c r="FV105" s="3404"/>
      <c r="FW105" s="1080">
        <f>IF(FU105=0,0,(FV105-FU105)/FU105*100)</f>
        <v>0</v>
      </c>
      <c r="FX105" s="676"/>
      <c r="FY105" s="676"/>
      <c r="FZ105" s="1039" t="s">
        <v>1532</v>
      </c>
      <c r="GA105" s="1061"/>
      <c r="GB105" s="1061"/>
      <c r="GC105" s="697"/>
      <c r="GD105" s="697"/>
    </row>
    <row s="1621" customFormat="1" customHeight="1" ht="24" hidden="1">
      <c r="A106" s="467"/>
      <c r="B106" s="907" cm="1" t="str">
        <f t="array" ref="B106:B106">B105</f>
        <v>false</v>
      </c>
      <c r="C106" s="467"/>
      <c r="D106" s="467"/>
      <c r="E106" s="822">
        <v>24.75</v>
      </c>
      <c r="F106" s="50" cm="1" t="str">
        <f t="array" ref="F106:F106">OFFSET(E106,-1,1)</f>
        <v>1</v>
      </c>
      <c r="G106" s="467"/>
      <c r="H106" s="467" t="s">
        <v>1533</v>
      </c>
      <c r="I106" s="467" t="s">
        <v>1492</v>
      </c>
      <c r="J106" s="467"/>
      <c r="K106" s="467"/>
      <c r="L106" s="467"/>
      <c r="M106" s="467"/>
      <c r="N106" s="467"/>
      <c r="O106" s="467"/>
      <c r="P106" s="467"/>
      <c r="Q106" s="467"/>
      <c r="R106" s="467"/>
      <c r="S106" s="467"/>
      <c r="T106" s="439" cm="1" t="str">
        <f t="array" ref="T106:T106">T105</f>
        <v>true</v>
      </c>
      <c r="U106" s="467"/>
      <c r="V106" s="467"/>
      <c r="W106" s="467"/>
      <c r="X106" s="1534"/>
      <c r="Y106" s="467"/>
      <c r="Z106" s="1464"/>
      <c r="AA106" s="467"/>
      <c r="AB106"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846" t="s">
        <v>1534</v>
      </c>
      <c r="AD106" s="3409"/>
      <c r="AE106" s="3409"/>
      <c r="AF106" s="1078">
        <f>IF(AD106=0,0,(AE106-AD106)/AD106*100)</f>
        <v>0</v>
      </c>
      <c r="AG106" s="3409"/>
      <c r="AH106" s="3409"/>
      <c r="AI106" s="1078">
        <f>IF(AG106=0,0,(AH106-AG106)/AG106*100)</f>
        <v>0</v>
      </c>
      <c r="AJ106" s="3409"/>
      <c r="AK106" s="3409"/>
      <c r="AL106" s="1078">
        <f>IF(AJ106=0,0,(AK106-AJ106)/AJ106*100)</f>
        <v>0</v>
      </c>
      <c r="AM106" s="3409"/>
      <c r="AN106" s="3409"/>
      <c r="AO106" s="1078">
        <f>IF(AM106=0,0,(AN106-AM106)/AM106*100)</f>
        <v>0</v>
      </c>
      <c r="AP106" s="3409"/>
      <c r="AQ106" s="3409"/>
      <c r="AR106" s="1078">
        <f>IF(AP106=0,0,(AQ106-AP106)/AP106*100)</f>
        <v>0</v>
      </c>
      <c r="AS106" s="3409"/>
      <c r="AT106" s="3409"/>
      <c r="AU106" s="1078">
        <f>IF(AS106=0,0,(AT106-AS106)/AS106*100)</f>
        <v>0</v>
      </c>
      <c r="AV106" s="3409"/>
      <c r="AW106" s="3409"/>
      <c r="AX106" s="1078">
        <f>IF(AV106=0,0,(AW106-AV106)/AV106*100)</f>
        <v>0</v>
      </c>
      <c r="AY106" s="3409"/>
      <c r="AZ106" s="3409"/>
      <c r="BA106" s="1078">
        <f>IF(AY106=0,0,(AZ106-AY106)/AY106*100)</f>
        <v>0</v>
      </c>
      <c r="BB106" s="3409"/>
      <c r="BC106" s="3409"/>
      <c r="BD106" s="1078">
        <f>IF(BB106=0,0,(BC106-BB106)/BB106*100)</f>
        <v>0</v>
      </c>
      <c r="BE106" s="3409"/>
      <c r="BF106" s="3409"/>
      <c r="BG106" s="1078">
        <f>IF(BE106=0,0,(BF106-BE106)/BE106*100)</f>
        <v>0</v>
      </c>
      <c r="BH106" s="3409"/>
      <c r="BI106" s="3409"/>
      <c r="BJ106" s="1078">
        <f>IF(BH106=0,0,(BI106-BH106)/BH106*100)</f>
        <v>0</v>
      </c>
      <c r="BK106" s="3409"/>
      <c r="BL106" s="3409"/>
      <c r="BM106" s="1078">
        <f>IF(BK106=0,0,(BL106-BK106)/BK106*100)</f>
        <v>0</v>
      </c>
      <c r="BN106" s="3409"/>
      <c r="BO106" s="3409"/>
      <c r="BP106" s="1078">
        <f>IF(BN106=0,0,(BO106-BN106)/BN106*100)</f>
        <v>0</v>
      </c>
      <c r="BQ106" s="3409"/>
      <c r="BR106" s="3409"/>
      <c r="BS106" s="1078">
        <f>IF(BQ106=0,0,(BR106-BQ106)/BQ106*100)</f>
        <v>0</v>
      </c>
      <c r="BT106" s="3409"/>
      <c r="BU106" s="3409"/>
      <c r="BV106" s="1078">
        <f>IF(BT106=0,0,(BU106-BT106)/BT106*100)</f>
        <v>0</v>
      </c>
      <c r="BW106" s="3409"/>
      <c r="BX106" s="3409"/>
      <c r="BY106" s="1078">
        <f>IF(BW106=0,0,(BX106-BW106)/BW106*100)</f>
        <v>0</v>
      </c>
      <c r="BZ106" s="3409"/>
      <c r="CA106" s="3409"/>
      <c r="CB106" s="1078">
        <f>IF(BZ106=0,0,(CA106-BZ106)/BZ106*100)</f>
        <v>0</v>
      </c>
      <c r="CC106" s="3409"/>
      <c r="CD106" s="3409"/>
      <c r="CE106" s="1078">
        <f>IF(CC106=0,0,(CD106-CC106)/CC106*100)</f>
        <v>0</v>
      </c>
      <c r="CF106" s="3409"/>
      <c r="CG106" s="3409"/>
      <c r="CH106" s="1078">
        <f>IF(CF106=0,0,(CG106-CF106)/CF106*100)</f>
        <v>0</v>
      </c>
      <c r="CI106" s="3409"/>
      <c r="CJ106" s="3409"/>
      <c r="CK106" s="1078">
        <f>IF(CI106=0,0,(CJ106-CI106)/CI106*100)</f>
        <v>0</v>
      </c>
      <c r="CL106" s="3409"/>
      <c r="CM106" s="3409"/>
      <c r="CN106" s="1078">
        <f>IF(CL106=0,0,(CM106-CL106)/CL106*100)</f>
        <v>0</v>
      </c>
      <c r="CO106" s="3409"/>
      <c r="CP106" s="3409"/>
      <c r="CQ106" s="1078">
        <f>IF(CO106=0,0,(CP106-CO106)/CO106*100)</f>
        <v>0</v>
      </c>
      <c r="CR106" s="3409"/>
      <c r="CS106" s="3409"/>
      <c r="CT106" s="1078">
        <f>IF(CR106=0,0,(CS106-CR106)/CR106*100)</f>
        <v>0</v>
      </c>
      <c r="CU106" s="3409"/>
      <c r="CV106" s="3409"/>
      <c r="CW106" s="1078">
        <f>IF(CU106=0,0,(CV106-CU106)/CU106*100)</f>
        <v>0</v>
      </c>
      <c r="CX106" s="3409"/>
      <c r="CY106" s="3409"/>
      <c r="CZ106" s="1078">
        <f>IF(CX106=0,0,(CY106-CX106)/CX106*100)</f>
        <v>0</v>
      </c>
      <c r="DA106" s="3409"/>
      <c r="DB106" s="3409"/>
      <c r="DC106" s="1078">
        <f>IF(DA106=0,0,(DB106-DA106)/DA106*100)</f>
        <v>0</v>
      </c>
      <c r="DD106" s="3409"/>
      <c r="DE106" s="3409"/>
      <c r="DF106" s="1078">
        <f>IF(DD106=0,0,(DE106-DD106)/DD106*100)</f>
        <v>0</v>
      </c>
      <c r="DG106" s="3409"/>
      <c r="DH106" s="3409"/>
      <c r="DI106" s="1078">
        <f>IF(DG106=0,0,(DH106-DG106)/DG106*100)</f>
        <v>0</v>
      </c>
      <c r="DJ106" s="3409"/>
      <c r="DK106" s="3409"/>
      <c r="DL106" s="1078">
        <f>IF(DJ106=0,0,(DK106-DJ106)/DJ106*100)</f>
        <v>0</v>
      </c>
      <c r="DM106" s="3409"/>
      <c r="DN106" s="3409"/>
      <c r="DO106" s="1078">
        <f>IF(DM106=0,0,(DN106-DM106)/DM106*100)</f>
        <v>0</v>
      </c>
      <c r="DP106" s="3409"/>
      <c r="DQ106" s="3409"/>
      <c r="DR106" s="1078">
        <f>IF(DP106=0,0,(DQ106-DP106)/DP106*100)</f>
        <v>0</v>
      </c>
      <c r="DS106" s="3409"/>
      <c r="DT106" s="3409"/>
      <c r="DU106" s="1078">
        <f>IF(DS106=0,0,(DT106-DS106)/DS106*100)</f>
        <v>0</v>
      </c>
      <c r="DV106" s="3409"/>
      <c r="DW106" s="3409"/>
      <c r="DX106" s="1078">
        <f>IF(DV106=0,0,(DW106-DV106)/DV106*100)</f>
        <v>0</v>
      </c>
      <c r="DY106" s="3409"/>
      <c r="DZ106" s="3409"/>
      <c r="EA106" s="1078">
        <f>IF(DY106=0,0,(DZ106-DY106)/DY106*100)</f>
        <v>0</v>
      </c>
      <c r="EB106" s="3409"/>
      <c r="EC106" s="3409"/>
      <c r="ED106" s="1078">
        <f>IF(EB106=0,0,(EC106-EB106)/EB106*100)</f>
        <v>0</v>
      </c>
      <c r="EE106" s="3409"/>
      <c r="EF106" s="3409"/>
      <c r="EG106" s="1078">
        <f>IF(EE106=0,0,(EF106-EE106)/EE106*100)</f>
        <v>0</v>
      </c>
      <c r="EH106" s="3409"/>
      <c r="EI106" s="3409"/>
      <c r="EJ106" s="1078">
        <f>IF(EH106=0,0,(EI106-EH106)/EH106*100)</f>
        <v>0</v>
      </c>
      <c r="EK106" s="3409"/>
      <c r="EL106" s="3409"/>
      <c r="EM106" s="1078">
        <f>IF(EK106=0,0,(EL106-EK106)/EK106*100)</f>
        <v>0</v>
      </c>
      <c r="EN106" s="3409"/>
      <c r="EO106" s="3409"/>
      <c r="EP106" s="1078">
        <f>IF(EN106=0,0,(EO106-EN106)/EN106*100)</f>
        <v>0</v>
      </c>
      <c r="EQ106" s="3409"/>
      <c r="ER106" s="3409"/>
      <c r="ES106" s="1078">
        <f>IF(EQ106=0,0,(ER106-EQ106)/EQ106*100)</f>
        <v>0</v>
      </c>
      <c r="ET106" s="3409"/>
      <c r="EU106" s="3409"/>
      <c r="EV106" s="1078">
        <f>IF(ET106=0,0,(EU106-ET106)/ET106*100)</f>
        <v>0</v>
      </c>
      <c r="EW106" s="3409"/>
      <c r="EX106" s="3409"/>
      <c r="EY106" s="1078">
        <f>IF(EW106=0,0,(EX106-EW106)/EW106*100)</f>
        <v>0</v>
      </c>
      <c r="EZ106" s="3409"/>
      <c r="FA106" s="3409"/>
      <c r="FB106" s="1078">
        <f>IF(EZ106=0,0,(FA106-EZ106)/EZ106*100)</f>
        <v>0</v>
      </c>
      <c r="FC106" s="3409"/>
      <c r="FD106" s="3409"/>
      <c r="FE106" s="1078">
        <f>IF(FC106=0,0,(FD106-FC106)/FC106*100)</f>
        <v>0</v>
      </c>
      <c r="FF106" s="3409"/>
      <c r="FG106" s="3409"/>
      <c r="FH106" s="1078">
        <f>IF(FF106=0,0,(FG106-FF106)/FF106*100)</f>
        <v>0</v>
      </c>
      <c r="FI106" s="3409"/>
      <c r="FJ106" s="3409"/>
      <c r="FK106" s="1078">
        <f>IF(FI106=0,0,(FJ106-FI106)/FI106*100)</f>
        <v>0</v>
      </c>
      <c r="FL106" s="3409"/>
      <c r="FM106" s="3409"/>
      <c r="FN106" s="1078">
        <f>IF(FL106=0,0,(FM106-FL106)/FL106*100)</f>
        <v>0</v>
      </c>
      <c r="FO106" s="3409"/>
      <c r="FP106" s="3409"/>
      <c r="FQ106" s="1078">
        <f>IF(FO106=0,0,(FP106-FO106)/FO106*100)</f>
        <v>0</v>
      </c>
      <c r="FR106" s="3409"/>
      <c r="FS106" s="3409"/>
      <c r="FT106" s="1078">
        <f>IF(FR106=0,0,(FS106-FR106)/FR106*100)</f>
        <v>0</v>
      </c>
      <c r="FU106" s="3409"/>
      <c r="FV106" s="3409"/>
      <c r="FW106" s="1078">
        <f>IF(FU106=0,0,(FV106-FU106)/FU106*100)</f>
        <v>0</v>
      </c>
      <c r="FX106" s="676"/>
      <c r="FY106" s="676"/>
      <c r="FZ106" s="1039" t="s">
        <v>1535</v>
      </c>
      <c r="GA106" s="1061"/>
      <c r="GB106" s="1061"/>
      <c r="GC106" s="697"/>
      <c r="GD106" s="697"/>
    </row>
    <row s="1621" customFormat="1" customHeight="1" ht="14.25" hidden="1">
      <c r="A107" s="467"/>
      <c r="B107" s="907" cm="1" t="str">
        <f t="array" ref="B107:B107">B106</f>
        <v>false</v>
      </c>
      <c r="C107" s="467"/>
      <c r="D107" s="467"/>
      <c r="E107" s="822">
        <v>15</v>
      </c>
      <c r="F107" s="50" cm="1" t="str">
        <f t="array" ref="F107:F107">OFFSET(E107,-1,1)</f>
        <v>1</v>
      </c>
      <c r="G107" s="467"/>
      <c r="H107" s="467" t="s">
        <v>1536</v>
      </c>
      <c r="I107" s="467" t="s">
        <v>1492</v>
      </c>
      <c r="J107" s="467"/>
      <c r="K107" s="467"/>
      <c r="L107" s="467"/>
      <c r="M107" s="467"/>
      <c r="N107" s="467"/>
      <c r="O107" s="467"/>
      <c r="P107" s="467"/>
      <c r="Q107" s="467"/>
      <c r="R107" s="467"/>
      <c r="S107" s="467"/>
      <c r="T107" s="439" cm="1" t="str">
        <f t="array" ref="T107:T107">T106</f>
        <v>true</v>
      </c>
      <c r="U107" s="467"/>
      <c r="V107" s="467"/>
      <c r="W107" s="467"/>
      <c r="X107" s="1534"/>
      <c r="Y107" s="467"/>
      <c r="Z107" s="1464"/>
      <c r="AA107" s="467"/>
      <c r="AB107" s="886" t="s">
        <v>1537</v>
      </c>
      <c r="AC107" s="846" t="s">
        <v>1538</v>
      </c>
      <c r="AD107" s="3409"/>
      <c r="AE107" s="3409"/>
      <c r="AF107" s="1078">
        <f>IF(AD107=0,0,(AE107-AD107)/AD107*100)</f>
        <v>0</v>
      </c>
      <c r="AG107" s="3409"/>
      <c r="AH107" s="3409"/>
      <c r="AI107" s="1078">
        <f>IF(AG107=0,0,(AH107-AG107)/AG107*100)</f>
        <v>0</v>
      </c>
      <c r="AJ107" s="3409"/>
      <c r="AK107" s="3409"/>
      <c r="AL107" s="1078">
        <f>IF(AJ107=0,0,(AK107-AJ107)/AJ107*100)</f>
        <v>0</v>
      </c>
      <c r="AM107" s="3409"/>
      <c r="AN107" s="3409"/>
      <c r="AO107" s="1078">
        <f>IF(AM107=0,0,(AN107-AM107)/AM107*100)</f>
        <v>0</v>
      </c>
      <c r="AP107" s="3409"/>
      <c r="AQ107" s="3409"/>
      <c r="AR107" s="1078">
        <f>IF(AP107=0,0,(AQ107-AP107)/AP107*100)</f>
        <v>0</v>
      </c>
      <c r="AS107" s="3409"/>
      <c r="AT107" s="3409"/>
      <c r="AU107" s="1078">
        <f>IF(AS107=0,0,(AT107-AS107)/AS107*100)</f>
        <v>0</v>
      </c>
      <c r="AV107" s="3409"/>
      <c r="AW107" s="3409"/>
      <c r="AX107" s="1078">
        <f>IF(AV107=0,0,(AW107-AV107)/AV107*100)</f>
        <v>0</v>
      </c>
      <c r="AY107" s="3409"/>
      <c r="AZ107" s="3409"/>
      <c r="BA107" s="1078">
        <f>IF(AY107=0,0,(AZ107-AY107)/AY107*100)</f>
        <v>0</v>
      </c>
      <c r="BB107" s="3409"/>
      <c r="BC107" s="3409"/>
      <c r="BD107" s="1078">
        <f>IF(BB107=0,0,(BC107-BB107)/BB107*100)</f>
        <v>0</v>
      </c>
      <c r="BE107" s="3409"/>
      <c r="BF107" s="3409"/>
      <c r="BG107" s="1078">
        <f>IF(BE107=0,0,(BF107-BE107)/BE107*100)</f>
        <v>0</v>
      </c>
      <c r="BH107" s="3409"/>
      <c r="BI107" s="3409"/>
      <c r="BJ107" s="1078">
        <f>IF(BH107=0,0,(BI107-BH107)/BH107*100)</f>
        <v>0</v>
      </c>
      <c r="BK107" s="3409"/>
      <c r="BL107" s="3409"/>
      <c r="BM107" s="1078">
        <f>IF(BK107=0,0,(BL107-BK107)/BK107*100)</f>
        <v>0</v>
      </c>
      <c r="BN107" s="3409"/>
      <c r="BO107" s="3409"/>
      <c r="BP107" s="1078">
        <f>IF(BN107=0,0,(BO107-BN107)/BN107*100)</f>
        <v>0</v>
      </c>
      <c r="BQ107" s="3409"/>
      <c r="BR107" s="3409"/>
      <c r="BS107" s="1078">
        <f>IF(BQ107=0,0,(BR107-BQ107)/BQ107*100)</f>
        <v>0</v>
      </c>
      <c r="BT107" s="3409"/>
      <c r="BU107" s="3409"/>
      <c r="BV107" s="1078">
        <f>IF(BT107=0,0,(BU107-BT107)/BT107*100)</f>
        <v>0</v>
      </c>
      <c r="BW107" s="3409"/>
      <c r="BX107" s="3409"/>
      <c r="BY107" s="1078">
        <f>IF(BW107=0,0,(BX107-BW107)/BW107*100)</f>
        <v>0</v>
      </c>
      <c r="BZ107" s="3409"/>
      <c r="CA107" s="3409"/>
      <c r="CB107" s="1078">
        <f>IF(BZ107=0,0,(CA107-BZ107)/BZ107*100)</f>
        <v>0</v>
      </c>
      <c r="CC107" s="3409"/>
      <c r="CD107" s="3409"/>
      <c r="CE107" s="1078">
        <f>IF(CC107=0,0,(CD107-CC107)/CC107*100)</f>
        <v>0</v>
      </c>
      <c r="CF107" s="3409"/>
      <c r="CG107" s="3409"/>
      <c r="CH107" s="1078">
        <f>IF(CF107=0,0,(CG107-CF107)/CF107*100)</f>
        <v>0</v>
      </c>
      <c r="CI107" s="3409"/>
      <c r="CJ107" s="3409"/>
      <c r="CK107" s="1078">
        <f>IF(CI107=0,0,(CJ107-CI107)/CI107*100)</f>
        <v>0</v>
      </c>
      <c r="CL107" s="3409"/>
      <c r="CM107" s="3409"/>
      <c r="CN107" s="1078">
        <f>IF(CL107=0,0,(CM107-CL107)/CL107*100)</f>
        <v>0</v>
      </c>
      <c r="CO107" s="3409"/>
      <c r="CP107" s="3409"/>
      <c r="CQ107" s="1078">
        <f>IF(CO107=0,0,(CP107-CO107)/CO107*100)</f>
        <v>0</v>
      </c>
      <c r="CR107" s="3409"/>
      <c r="CS107" s="3409"/>
      <c r="CT107" s="1078">
        <f>IF(CR107=0,0,(CS107-CR107)/CR107*100)</f>
        <v>0</v>
      </c>
      <c r="CU107" s="3409"/>
      <c r="CV107" s="3409"/>
      <c r="CW107" s="1078">
        <f>IF(CU107=0,0,(CV107-CU107)/CU107*100)</f>
        <v>0</v>
      </c>
      <c r="CX107" s="3409"/>
      <c r="CY107" s="3409"/>
      <c r="CZ107" s="1078">
        <f>IF(CX107=0,0,(CY107-CX107)/CX107*100)</f>
        <v>0</v>
      </c>
      <c r="DA107" s="3409"/>
      <c r="DB107" s="3409"/>
      <c r="DC107" s="1078">
        <f>IF(DA107=0,0,(DB107-DA107)/DA107*100)</f>
        <v>0</v>
      </c>
      <c r="DD107" s="3409"/>
      <c r="DE107" s="3409"/>
      <c r="DF107" s="1078">
        <f>IF(DD107=0,0,(DE107-DD107)/DD107*100)</f>
        <v>0</v>
      </c>
      <c r="DG107" s="3409"/>
      <c r="DH107" s="3409"/>
      <c r="DI107" s="1078">
        <f>IF(DG107=0,0,(DH107-DG107)/DG107*100)</f>
        <v>0</v>
      </c>
      <c r="DJ107" s="3409"/>
      <c r="DK107" s="3409"/>
      <c r="DL107" s="1078">
        <f>IF(DJ107=0,0,(DK107-DJ107)/DJ107*100)</f>
        <v>0</v>
      </c>
      <c r="DM107" s="3409"/>
      <c r="DN107" s="3409"/>
      <c r="DO107" s="1078">
        <f>IF(DM107=0,0,(DN107-DM107)/DM107*100)</f>
        <v>0</v>
      </c>
      <c r="DP107" s="3409"/>
      <c r="DQ107" s="3409"/>
      <c r="DR107" s="1078">
        <f>IF(DP107=0,0,(DQ107-DP107)/DP107*100)</f>
        <v>0</v>
      </c>
      <c r="DS107" s="3409"/>
      <c r="DT107" s="3409"/>
      <c r="DU107" s="1078">
        <f>IF(DS107=0,0,(DT107-DS107)/DS107*100)</f>
        <v>0</v>
      </c>
      <c r="DV107" s="3409"/>
      <c r="DW107" s="3409"/>
      <c r="DX107" s="1078">
        <f>IF(DV107=0,0,(DW107-DV107)/DV107*100)</f>
        <v>0</v>
      </c>
      <c r="DY107" s="3409"/>
      <c r="DZ107" s="3409"/>
      <c r="EA107" s="1078">
        <f>IF(DY107=0,0,(DZ107-DY107)/DY107*100)</f>
        <v>0</v>
      </c>
      <c r="EB107" s="3409"/>
      <c r="EC107" s="3409"/>
      <c r="ED107" s="1078">
        <f>IF(EB107=0,0,(EC107-EB107)/EB107*100)</f>
        <v>0</v>
      </c>
      <c r="EE107" s="3409"/>
      <c r="EF107" s="3409"/>
      <c r="EG107" s="1078">
        <f>IF(EE107=0,0,(EF107-EE107)/EE107*100)</f>
        <v>0</v>
      </c>
      <c r="EH107" s="3409"/>
      <c r="EI107" s="3409"/>
      <c r="EJ107" s="1078">
        <f>IF(EH107=0,0,(EI107-EH107)/EH107*100)</f>
        <v>0</v>
      </c>
      <c r="EK107" s="3409"/>
      <c r="EL107" s="3409"/>
      <c r="EM107" s="1078">
        <f>IF(EK107=0,0,(EL107-EK107)/EK107*100)</f>
        <v>0</v>
      </c>
      <c r="EN107" s="3409"/>
      <c r="EO107" s="3409"/>
      <c r="EP107" s="1078">
        <f>IF(EN107=0,0,(EO107-EN107)/EN107*100)</f>
        <v>0</v>
      </c>
      <c r="EQ107" s="3409"/>
      <c r="ER107" s="3409"/>
      <c r="ES107" s="1078">
        <f>IF(EQ107=0,0,(ER107-EQ107)/EQ107*100)</f>
        <v>0</v>
      </c>
      <c r="ET107" s="3409"/>
      <c r="EU107" s="3409"/>
      <c r="EV107" s="1078">
        <f>IF(ET107=0,0,(EU107-ET107)/ET107*100)</f>
        <v>0</v>
      </c>
      <c r="EW107" s="3409"/>
      <c r="EX107" s="3409"/>
      <c r="EY107" s="1078">
        <f>IF(EW107=0,0,(EX107-EW107)/EW107*100)</f>
        <v>0</v>
      </c>
      <c r="EZ107" s="3409"/>
      <c r="FA107" s="3409"/>
      <c r="FB107" s="1078">
        <f>IF(EZ107=0,0,(FA107-EZ107)/EZ107*100)</f>
        <v>0</v>
      </c>
      <c r="FC107" s="3409"/>
      <c r="FD107" s="3409"/>
      <c r="FE107" s="1078">
        <f>IF(FC107=0,0,(FD107-FC107)/FC107*100)</f>
        <v>0</v>
      </c>
      <c r="FF107" s="3409"/>
      <c r="FG107" s="3409"/>
      <c r="FH107" s="1078">
        <f>IF(FF107=0,0,(FG107-FF107)/FF107*100)</f>
        <v>0</v>
      </c>
      <c r="FI107" s="3409"/>
      <c r="FJ107" s="3409"/>
      <c r="FK107" s="1078">
        <f>IF(FI107=0,0,(FJ107-FI107)/FI107*100)</f>
        <v>0</v>
      </c>
      <c r="FL107" s="3409"/>
      <c r="FM107" s="3409"/>
      <c r="FN107" s="1078">
        <f>IF(FL107=0,0,(FM107-FL107)/FL107*100)</f>
        <v>0</v>
      </c>
      <c r="FO107" s="3409"/>
      <c r="FP107" s="3409"/>
      <c r="FQ107" s="1078">
        <f>IF(FO107=0,0,(FP107-FO107)/FO107*100)</f>
        <v>0</v>
      </c>
      <c r="FR107" s="3409"/>
      <c r="FS107" s="3409"/>
      <c r="FT107" s="1078">
        <f>IF(FR107=0,0,(FS107-FR107)/FR107*100)</f>
        <v>0</v>
      </c>
      <c r="FU107" s="3409"/>
      <c r="FV107" s="3409"/>
      <c r="FW107" s="1078">
        <f>IF(FU107=0,0,(FV107-FU107)/FU107*100)</f>
        <v>0</v>
      </c>
      <c r="FX107" s="676"/>
      <c r="FY107" s="676"/>
      <c r="FZ107" s="1039" t="s">
        <v>1539</v>
      </c>
      <c r="GA107" s="1061"/>
      <c r="GB107" s="1061"/>
      <c r="GC107" s="697"/>
      <c r="GD107" s="697"/>
    </row>
    <row s="1621" customFormat="1" customHeight="1" ht="23.25" hidden="1">
      <c r="A108" s="467"/>
      <c r="B108" s="907" cm="1" t="str">
        <f t="array" ref="B108:B108">B107</f>
        <v>false</v>
      </c>
      <c r="C108" s="467"/>
      <c r="D108" s="467"/>
      <c r="E108" s="822">
        <v>24.5</v>
      </c>
      <c r="F108" s="50" cm="1" t="str">
        <f t="array" ref="F108:F108">OFFSET(E108,-1,1)</f>
        <v>1</v>
      </c>
      <c r="G108" s="467"/>
      <c r="H108" s="467"/>
      <c r="I108" s="467"/>
      <c r="J108" s="467"/>
      <c r="K108" s="467"/>
      <c r="L108" s="467"/>
      <c r="M108" s="467"/>
      <c r="N108" s="467"/>
      <c r="O108" s="467"/>
      <c r="P108" s="467"/>
      <c r="Q108" s="467"/>
      <c r="R108" s="467"/>
      <c r="S108" s="467"/>
      <c r="T108" s="439" cm="1" t="str">
        <f t="array" ref="T108:T108">T107</f>
        <v>true</v>
      </c>
      <c r="U108" s="467"/>
      <c r="V108" s="467"/>
      <c r="W108" s="467"/>
      <c r="X108" s="1534"/>
      <c r="Y108" s="467"/>
      <c r="Z108" s="1464"/>
      <c r="AA108" s="467"/>
      <c r="AB108" s="260" t="s">
        <v>1540</v>
      </c>
      <c r="AC108" s="885"/>
      <c r="AD108" s="1087"/>
      <c r="AE108" s="1087"/>
      <c r="AF108" s="1087"/>
      <c r="AG108" s="1087"/>
      <c r="AH108" s="1087"/>
      <c r="AI108" s="1087"/>
      <c r="AJ108" s="1087"/>
      <c r="AK108" s="1087"/>
      <c r="AL108" s="1087"/>
      <c r="AM108" s="1087"/>
      <c r="AN108" s="1087"/>
      <c r="AO108" s="1087"/>
      <c r="AP108" s="1087"/>
      <c r="AQ108" s="1087"/>
      <c r="AR108" s="1087"/>
      <c r="AS108" s="1087"/>
      <c r="AT108" s="1087"/>
      <c r="AU108" s="1087"/>
      <c r="AV108" s="1087"/>
      <c r="AW108" s="1087"/>
      <c r="AX108" s="1087"/>
      <c r="AY108" s="1087"/>
      <c r="AZ108" s="1087"/>
      <c r="BA108" s="1087"/>
      <c r="BB108" s="1087"/>
      <c r="BC108" s="1087"/>
      <c r="BD108" s="1087"/>
      <c r="BE108" s="1087"/>
      <c r="BF108" s="1087"/>
      <c r="BG108" s="1087"/>
      <c r="BH108" s="1087"/>
      <c r="BI108" s="1087"/>
      <c r="BJ108" s="1087"/>
      <c r="BK108" s="1087"/>
      <c r="BL108" s="1087"/>
      <c r="BM108" s="1087"/>
      <c r="BN108" s="1087"/>
      <c r="BO108" s="1087"/>
      <c r="BP108" s="1087"/>
      <c r="BQ108" s="1087"/>
      <c r="BR108" s="1087"/>
      <c r="BS108" s="1087"/>
      <c r="BT108" s="1087"/>
      <c r="BU108" s="1087"/>
      <c r="BV108" s="1087"/>
      <c r="BW108" s="1087"/>
      <c r="BX108" s="1087"/>
      <c r="BY108" s="1087"/>
      <c r="BZ108" s="1087"/>
      <c r="CA108" s="1087"/>
      <c r="CB108" s="1087"/>
      <c r="CC108" s="1087"/>
      <c r="CD108" s="1087"/>
      <c r="CE108" s="1087"/>
      <c r="CF108" s="1087"/>
      <c r="CG108" s="1087"/>
      <c r="CH108" s="1087"/>
      <c r="CI108" s="1087"/>
      <c r="CJ108" s="1087"/>
      <c r="CK108" s="1087"/>
      <c r="CL108" s="1087"/>
      <c r="CM108" s="1087"/>
      <c r="CN108" s="1087"/>
      <c r="CO108" s="1087"/>
      <c r="CP108" s="1087"/>
      <c r="CQ108" s="1087"/>
      <c r="CR108" s="1087"/>
      <c r="CS108" s="1087"/>
      <c r="CT108" s="1087"/>
      <c r="CU108" s="1087"/>
      <c r="CV108" s="1087"/>
      <c r="CW108" s="1087"/>
      <c r="CX108" s="1087"/>
      <c r="CY108" s="1087"/>
      <c r="CZ108" s="1087"/>
      <c r="DA108" s="1087"/>
      <c r="DB108" s="1087"/>
      <c r="DC108" s="1087"/>
      <c r="DD108" s="1087"/>
      <c r="DE108" s="1087"/>
      <c r="DF108" s="1087"/>
      <c r="DG108" s="1087"/>
      <c r="DH108" s="1087"/>
      <c r="DI108" s="1087"/>
      <c r="DJ108" s="1087"/>
      <c r="DK108" s="1087"/>
      <c r="DL108" s="1087"/>
      <c r="DM108" s="1087"/>
      <c r="DN108" s="1087"/>
      <c r="DO108" s="1087"/>
      <c r="DP108" s="1087"/>
      <c r="DQ108" s="1087"/>
      <c r="DR108" s="1087"/>
      <c r="DS108" s="1087"/>
      <c r="DT108" s="1087"/>
      <c r="DU108" s="1087"/>
      <c r="DV108" s="1087"/>
      <c r="DW108" s="1087"/>
      <c r="DX108" s="1087"/>
      <c r="DY108" s="1087"/>
      <c r="DZ108" s="1087"/>
      <c r="EA108" s="1087"/>
      <c r="EB108" s="1087"/>
      <c r="EC108" s="1087"/>
      <c r="ED108" s="1087"/>
      <c r="EE108" s="1087"/>
      <c r="EF108" s="1087"/>
      <c r="EG108" s="1087"/>
      <c r="EH108" s="1087"/>
      <c r="EI108" s="1087"/>
      <c r="EJ108" s="1087"/>
      <c r="EK108" s="1087"/>
      <c r="EL108" s="1087"/>
      <c r="EM108" s="1087"/>
      <c r="EN108" s="1087"/>
      <c r="EO108" s="1087"/>
      <c r="EP108" s="1087"/>
      <c r="EQ108" s="1087"/>
      <c r="ER108" s="1087"/>
      <c r="ES108" s="1087"/>
      <c r="ET108" s="1087"/>
      <c r="EU108" s="1087"/>
      <c r="EV108" s="1087"/>
      <c r="EW108" s="1087"/>
      <c r="EX108" s="1087"/>
      <c r="EY108" s="1087"/>
      <c r="EZ108" s="1087"/>
      <c r="FA108" s="1087"/>
      <c r="FB108" s="1087"/>
      <c r="FC108" s="1087"/>
      <c r="FD108" s="1087"/>
      <c r="FE108" s="1087"/>
      <c r="FF108" s="1087"/>
      <c r="FG108" s="1087"/>
      <c r="FH108" s="1087"/>
      <c r="FI108" s="1087"/>
      <c r="FJ108" s="1087"/>
      <c r="FK108" s="1087"/>
      <c r="FL108" s="1087"/>
      <c r="FM108" s="1087"/>
      <c r="FN108" s="1087"/>
      <c r="FO108" s="1087"/>
      <c r="FP108" s="1087"/>
      <c r="FQ108" s="1087"/>
      <c r="FR108" s="1087"/>
      <c r="FS108" s="1087"/>
      <c r="FT108" s="1087"/>
      <c r="FU108" s="1087"/>
      <c r="FV108" s="1087"/>
      <c r="FW108" s="1088"/>
      <c r="FX108" s="676"/>
      <c r="FY108" s="676"/>
      <c r="FZ108" s="1039"/>
      <c r="GA108" s="1061"/>
      <c r="GB108" s="1061"/>
      <c r="GC108" s="697"/>
      <c r="GD108" s="697"/>
    </row>
    <row s="1621" customFormat="1" customHeight="1" ht="14.25" hidden="1">
      <c r="A109" s="467"/>
      <c r="B109" s="907" cm="1" t="str">
        <f t="array" ref="B109:B109">B108</f>
        <v>false</v>
      </c>
      <c r="C109" s="467"/>
      <c r="D109" s="467"/>
      <c r="E109" s="822">
        <v>15</v>
      </c>
      <c r="F109" s="50" cm="1" t="str">
        <f t="array" ref="F109:F109">OFFSET(E109,-1,1)</f>
        <v>1</v>
      </c>
      <c r="G109" s="467"/>
      <c r="H109" s="467" t="s">
        <v>1445</v>
      </c>
      <c r="I109" s="467" t="s">
        <v>1497</v>
      </c>
      <c r="J109" s="467"/>
      <c r="K109" s="467"/>
      <c r="L109" s="467"/>
      <c r="M109" s="467"/>
      <c r="N109" s="467"/>
      <c r="O109" s="467"/>
      <c r="P109" s="467"/>
      <c r="Q109" s="467"/>
      <c r="R109" s="467"/>
      <c r="S109" s="467"/>
      <c r="T109" s="439" cm="1" t="str">
        <f t="array" ref="T109:T109">T108</f>
        <v>true</v>
      </c>
      <c r="U109" s="467"/>
      <c r="V109" s="467"/>
      <c r="W109" s="467"/>
      <c r="X109" s="1534"/>
      <c r="Y109" s="467"/>
      <c r="Z109" s="1464"/>
      <c r="AA109" s="467"/>
      <c r="AB109" s="1076" t="s">
        <v>1527</v>
      </c>
      <c r="AC109" s="846" t="s">
        <v>1494</v>
      </c>
      <c r="AD109" s="3409">
        <f>IF(AD111=0,0,(AD110*AD111+AD112*AD113*IF(god=2026,3,6))/AD111)</f>
        <v>0</v>
      </c>
      <c r="AE109" s="3409">
        <f>IF(AE111=0,0,(AE110*AE111+AE112*AE113*IF(god=2026,3,6))/AE111)</f>
        <v>0</v>
      </c>
      <c r="AF109" s="1078">
        <f>IF(AD109=0,0,(AE109-AD109)/AD109*100)</f>
        <v>0</v>
      </c>
      <c r="AG109" s="3409">
        <f>IF(AG111=0,0,(AG110*AG111+AG112*AG113*IF(god=2025,3,6))/AG111)</f>
        <v>0</v>
      </c>
      <c r="AH109" s="3409">
        <f>IF(AH111=0,0,(AH110*AH111+AH112*AH113*IF(god=2025,3,6))/AH111)</f>
        <v>0</v>
      </c>
      <c r="AI109" s="1078">
        <f>IF(AG109=0,0,(AH109-AG109)/AG109*100)</f>
        <v>0</v>
      </c>
      <c r="AJ109" s="3409">
        <f>IF(AJ111=0,0,(AJ110*AJ111+AJ112*AJ113*6)/AJ111)</f>
        <v>0</v>
      </c>
      <c r="AK109" s="3409">
        <f>IF(AK111=0,0,(AK110*AK111+AK112*AK113*6)/AK111)</f>
        <v>0</v>
      </c>
      <c r="AL109" s="1078">
        <f>IF(AJ109=0,0,(AK109-AJ109)/AJ109*100)</f>
        <v>0</v>
      </c>
      <c r="AM109" s="3409">
        <f>IF(AM111=0,0,(AM110*AM111+AM112*AM113*6)/AM111)</f>
        <v>0</v>
      </c>
      <c r="AN109" s="3409">
        <f>IF(AN111=0,0,(AN110*AN111+AN112*AN113*6)/AN111)</f>
        <v>0</v>
      </c>
      <c r="AO109" s="1078">
        <f>IF(AM109=0,0,(AN109-AM109)/AM109*100)</f>
        <v>0</v>
      </c>
      <c r="AP109" s="3409">
        <f>IF(AP111=0,0,(AP110*AP111+AP112*AP113*6)/AP111)</f>
        <v>0</v>
      </c>
      <c r="AQ109" s="3409">
        <f>IF(AQ111=0,0,(AQ110*AQ111+AQ112*AQ113*6)/AQ111)</f>
        <v>0</v>
      </c>
      <c r="AR109" s="1078">
        <f>IF(AP109=0,0,(AQ109-AP109)/AP109*100)</f>
        <v>0</v>
      </c>
      <c r="AS109" s="3409">
        <f>IF(AS111=0,0,(AS110*AS111+AS112*AS113*6)/AS111)</f>
        <v>0</v>
      </c>
      <c r="AT109" s="3409">
        <f>IF(AT111=0,0,(AT110*AT111+AT112*AT113*6)/AT111)</f>
        <v>0</v>
      </c>
      <c r="AU109" s="1078">
        <f>IF(AS109=0,0,(AT109-AS109)/AS109*100)</f>
        <v>0</v>
      </c>
      <c r="AV109" s="3409">
        <f>IF(AV111=0,0,(AV110*AV111+AV112*AV113*6)/AV111)</f>
        <v>0</v>
      </c>
      <c r="AW109" s="3409">
        <f>IF(AW111=0,0,(AW110*AW111+AW112*AW113*6)/AW111)</f>
        <v>0</v>
      </c>
      <c r="AX109" s="1078">
        <f>IF(AV109=0,0,(AW109-AV109)/AV109*100)</f>
        <v>0</v>
      </c>
      <c r="AY109" s="3409">
        <f>IF(AY111=0,0,(AY110*AY111+AY112*AY113*6)/AY111)</f>
        <v>0</v>
      </c>
      <c r="AZ109" s="3409">
        <f>IF(AZ111=0,0,(AZ110*AZ111+AZ112*AZ113*6)/AZ111)</f>
        <v>0</v>
      </c>
      <c r="BA109" s="1078">
        <f>IF(AY109=0,0,(AZ109-AY109)/AY109*100)</f>
        <v>0</v>
      </c>
      <c r="BB109" s="3409">
        <f>IF(BB111=0,0,(BB110*BB111+BB112*BB113*6)/BB111)</f>
        <v>0</v>
      </c>
      <c r="BC109" s="3409">
        <f>IF(BC111=0,0,(BC110*BC111+BC112*BC113*6)/BC111)</f>
        <v>0</v>
      </c>
      <c r="BD109" s="1078">
        <f>IF(BB109=0,0,(BC109-BB109)/BB109*100)</f>
        <v>0</v>
      </c>
      <c r="BE109" s="3409">
        <f>IF(BE111=0,0,(BE110*BE111+BE112*BE113*6)/BE111)</f>
        <v>0</v>
      </c>
      <c r="BF109" s="3409">
        <f>IF(BF111=0,0,(BF110*BF111+BF112*BF113*6)/BF111)</f>
        <v>0</v>
      </c>
      <c r="BG109" s="1078">
        <f>IF(BE109=0,0,(BF109-BE109)/BE109*100)</f>
        <v>0</v>
      </c>
      <c r="BH109" s="3409">
        <f>IF(BH111=0,0,(BH110*BH111+BH112*BH113*6)/BH111)</f>
        <v>0</v>
      </c>
      <c r="BI109" s="3409">
        <f>IF(BI111=0,0,(BI110*BI111+BI112*BI113*6)/BI111)</f>
        <v>0</v>
      </c>
      <c r="BJ109" s="1078">
        <f>IF(BH109=0,0,(BI109-BH109)/BH109*100)</f>
        <v>0</v>
      </c>
      <c r="BK109" s="3409">
        <f>IF(BK111=0,0,(BK110*BK111+BK112*BK113*6)/BK111)</f>
        <v>0</v>
      </c>
      <c r="BL109" s="3409">
        <f>IF(BL111=0,0,(BL110*BL111+BL112*BL113*6)/BL111)</f>
        <v>0</v>
      </c>
      <c r="BM109" s="1078">
        <f>IF(BK109=0,0,(BL109-BK109)/BK109*100)</f>
        <v>0</v>
      </c>
      <c r="BN109" s="3409">
        <f>IF(BN111=0,0,(BN110*BN111+BN112*BN113*6)/BN111)</f>
        <v>0</v>
      </c>
      <c r="BO109" s="3409">
        <f>IF(BO111=0,0,(BO110*BO111+BO112*BO113*6)/BO111)</f>
        <v>0</v>
      </c>
      <c r="BP109" s="1078">
        <f>IF(BN109=0,0,(BO109-BN109)/BN109*100)</f>
        <v>0</v>
      </c>
      <c r="BQ109" s="3409">
        <f>IF(BQ111=0,0,(BQ110*BQ111+BQ112*BQ113*6)/BQ111)</f>
        <v>0</v>
      </c>
      <c r="BR109" s="3409">
        <f>IF(BR111=0,0,(BR110*BR111+BR112*BR113*6)/BR111)</f>
        <v>0</v>
      </c>
      <c r="BS109" s="1078">
        <f>IF(BQ109=0,0,(BR109-BQ109)/BQ109*100)</f>
        <v>0</v>
      </c>
      <c r="BT109" s="3409">
        <f>IF(BT111=0,0,(BT110*BT111+BT112*BT113*6)/BT111)</f>
        <v>0</v>
      </c>
      <c r="BU109" s="3409">
        <f>IF(BU111=0,0,(BU110*BU111+BU112*BU113*6)/BU111)</f>
        <v>0</v>
      </c>
      <c r="BV109" s="1078">
        <f>IF(BT109=0,0,(BU109-BT109)/BT109*100)</f>
        <v>0</v>
      </c>
      <c r="BW109" s="3409">
        <f>IF(BW111=0,0,(BW110*BW111+BW112*BW113*6)/BW111)</f>
        <v>0</v>
      </c>
      <c r="BX109" s="3409">
        <f>IF(BX111=0,0,(BX110*BX111+BX112*BX113*6)/BX111)</f>
        <v>0</v>
      </c>
      <c r="BY109" s="1078">
        <f>IF(BW109=0,0,(BX109-BW109)/BW109*100)</f>
        <v>0</v>
      </c>
      <c r="BZ109" s="3409">
        <f>IF(BZ111=0,0,(BZ110*BZ111+BZ112*BZ113*6)/BZ111)</f>
        <v>0</v>
      </c>
      <c r="CA109" s="3409">
        <f>IF(CA111=0,0,(CA110*CA111+CA112*CA113*6)/CA111)</f>
        <v>0</v>
      </c>
      <c r="CB109" s="1078">
        <f>IF(BZ109=0,0,(CA109-BZ109)/BZ109*100)</f>
        <v>0</v>
      </c>
      <c r="CC109" s="3409">
        <f>IF(CC111=0,0,(CC110*CC111+CC112*CC113*6)/CC111)</f>
        <v>0</v>
      </c>
      <c r="CD109" s="3409">
        <f>IF(CD111=0,0,(CD110*CD111+CD112*CD113*6)/CD111)</f>
        <v>0</v>
      </c>
      <c r="CE109" s="1078">
        <f>IF(CC109=0,0,(CD109-CC109)/CC109*100)</f>
        <v>0</v>
      </c>
      <c r="CF109" s="3409">
        <f>IF(CF111=0,0,(CF110*CF111+CF112*CF113*6)/CF111)</f>
        <v>0</v>
      </c>
      <c r="CG109" s="3409">
        <f>IF(CG111=0,0,(CG110*CG111+CG112*CG113*6)/CG111)</f>
        <v>0</v>
      </c>
      <c r="CH109" s="1078">
        <f>IF(CF109=0,0,(CG109-CF109)/CF109*100)</f>
        <v>0</v>
      </c>
      <c r="CI109" s="3409">
        <f>IF(CI111=0,0,(CI110*CI111+CI112*CI113*6)/CI111)</f>
        <v>0</v>
      </c>
      <c r="CJ109" s="3409">
        <f>IF(CJ111=0,0,(CJ110*CJ111+CJ112*CJ113*6)/CJ111)</f>
        <v>0</v>
      </c>
      <c r="CK109" s="1078">
        <f>IF(CI109=0,0,(CJ109-CI109)/CI109*100)</f>
        <v>0</v>
      </c>
      <c r="CL109" s="3409">
        <f>IF(CL111=0,0,(CL110*CL111+CL112*CL113*6)/CL111)</f>
        <v>0</v>
      </c>
      <c r="CM109" s="3409">
        <f>IF(CM111=0,0,(CM110*CM111+CM112*CM113*6)/CM111)</f>
        <v>0</v>
      </c>
      <c r="CN109" s="1078">
        <f>IF(CL109=0,0,(CM109-CL109)/CL109*100)</f>
        <v>0</v>
      </c>
      <c r="CO109" s="3409">
        <f>IF(CO111=0,0,(CO110*CO111+CO112*CO113*6)/CO111)</f>
        <v>0</v>
      </c>
      <c r="CP109" s="3409">
        <f>IF(CP111=0,0,(CP110*CP111+CP112*CP113*6)/CP111)</f>
        <v>0</v>
      </c>
      <c r="CQ109" s="1078">
        <f>IF(CO109=0,0,(CP109-CO109)/CO109*100)</f>
        <v>0</v>
      </c>
      <c r="CR109" s="3409">
        <f>IF(CR111=0,0,(CR110*CR111+CR112*CR113*6)/CR111)</f>
        <v>0</v>
      </c>
      <c r="CS109" s="3409">
        <f>IF(CS111=0,0,(CS110*CS111+CS112*CS113*6)/CS111)</f>
        <v>0</v>
      </c>
      <c r="CT109" s="1078">
        <f>IF(CR109=0,0,(CS109-CR109)/CR109*100)</f>
        <v>0</v>
      </c>
      <c r="CU109" s="3409">
        <f>IF(CU111=0,0,(CU110*CU111+CU112*CU113*6)/CU111)</f>
        <v>0</v>
      </c>
      <c r="CV109" s="3409">
        <f>IF(CV111=0,0,(CV110*CV111+CV112*CV113*6)/CV111)</f>
        <v>0</v>
      </c>
      <c r="CW109" s="1078">
        <f>IF(CU109=0,0,(CV109-CU109)/CU109*100)</f>
        <v>0</v>
      </c>
      <c r="CX109" s="3409">
        <f>IF(CX111=0,0,(CX110*CX111+CX112*CX113*6)/CX111)</f>
        <v>0</v>
      </c>
      <c r="CY109" s="3409">
        <f>IF(CY111=0,0,(CY110*CY111+CY112*CY113*6)/CY111)</f>
        <v>0</v>
      </c>
      <c r="CZ109" s="1078">
        <f>IF(CX109=0,0,(CY109-CX109)/CX109*100)</f>
        <v>0</v>
      </c>
      <c r="DA109" s="3409">
        <f>IF(DA111=0,0,(DA110*DA111+DA112*DA113*6)/DA111)</f>
        <v>0</v>
      </c>
      <c r="DB109" s="3409">
        <f>IF(DB111=0,0,(DB110*DB111+DB112*DB113*6)/DB111)</f>
        <v>0</v>
      </c>
      <c r="DC109" s="1078">
        <f>IF(DA109=0,0,(DB109-DA109)/DA109*100)</f>
        <v>0</v>
      </c>
      <c r="DD109" s="3409">
        <f>IF(DD111=0,0,(DD110*DD111+DD112*DD113*6)/DD111)</f>
        <v>0</v>
      </c>
      <c r="DE109" s="3409">
        <f>IF(DE111=0,0,(DE110*DE111+DE112*DE113*6)/DE111)</f>
        <v>0</v>
      </c>
      <c r="DF109" s="1078">
        <f>IF(DD109=0,0,(DE109-DD109)/DD109*100)</f>
        <v>0</v>
      </c>
      <c r="DG109" s="3409">
        <f>IF(DG111=0,0,(DG110*DG111+DG112*DG113*6)/DG111)</f>
        <v>0</v>
      </c>
      <c r="DH109" s="3409">
        <f>IF(DH111=0,0,(DH110*DH111+DH112*DH113*6)/DH111)</f>
        <v>0</v>
      </c>
      <c r="DI109" s="1078">
        <f>IF(DG109=0,0,(DH109-DG109)/DG109*100)</f>
        <v>0</v>
      </c>
      <c r="DJ109" s="3409">
        <f>IF(DJ111=0,0,(DJ110*DJ111+DJ112*DJ113*6)/DJ111)</f>
        <v>0</v>
      </c>
      <c r="DK109" s="3409">
        <f>IF(DK111=0,0,(DK110*DK111+DK112*DK113*6)/DK111)</f>
        <v>0</v>
      </c>
      <c r="DL109" s="1078">
        <f>IF(DJ109=0,0,(DK109-DJ109)/DJ109*100)</f>
        <v>0</v>
      </c>
      <c r="DM109" s="3409">
        <f>IF(DM111=0,0,(DM110*DM111+DM112*DM113*6)/DM111)</f>
        <v>0</v>
      </c>
      <c r="DN109" s="3409">
        <f>IF(DN111=0,0,(DN110*DN111+DN112*DN113*6)/DN111)</f>
        <v>0</v>
      </c>
      <c r="DO109" s="1078">
        <f>IF(DM109=0,0,(DN109-DM109)/DM109*100)</f>
        <v>0</v>
      </c>
      <c r="DP109" s="3409">
        <f>IF(DP111=0,0,(DP110*DP111+DP112*DP113*6)/DP111)</f>
        <v>0</v>
      </c>
      <c r="DQ109" s="3409">
        <f>IF(DQ111=0,0,(DQ110*DQ111+DQ112*DQ113*6)/DQ111)</f>
        <v>0</v>
      </c>
      <c r="DR109" s="1078">
        <f>IF(DP109=0,0,(DQ109-DP109)/DP109*100)</f>
        <v>0</v>
      </c>
      <c r="DS109" s="3409">
        <f>IF(DS111=0,0,(DS110*DS111+DS112*DS113*6)/DS111)</f>
        <v>0</v>
      </c>
      <c r="DT109" s="3409">
        <f>IF(DT111=0,0,(DT110*DT111+DT112*DT113*6)/DT111)</f>
        <v>0</v>
      </c>
      <c r="DU109" s="1078">
        <f>IF(DS109=0,0,(DT109-DS109)/DS109*100)</f>
        <v>0</v>
      </c>
      <c r="DV109" s="3409">
        <f>IF(DV111=0,0,(DV110*DV111+DV112*DV113*6)/DV111)</f>
        <v>0</v>
      </c>
      <c r="DW109" s="3409">
        <f>IF(DW111=0,0,(DW110*DW111+DW112*DW113*6)/DW111)</f>
        <v>0</v>
      </c>
      <c r="DX109" s="1078">
        <f>IF(DV109=0,0,(DW109-DV109)/DV109*100)</f>
        <v>0</v>
      </c>
      <c r="DY109" s="3409">
        <f>IF(DY111=0,0,(DY110*DY111+DY112*DY113*6)/DY111)</f>
        <v>0</v>
      </c>
      <c r="DZ109" s="3409">
        <f>IF(DZ111=0,0,(DZ110*DZ111+DZ112*DZ113*6)/DZ111)</f>
        <v>0</v>
      </c>
      <c r="EA109" s="1078">
        <f>IF(DY109=0,0,(DZ109-DY109)/DY109*100)</f>
        <v>0</v>
      </c>
      <c r="EB109" s="3409">
        <f>IF(EB111=0,0,(EB110*EB111+EB112*EB113*6)/EB111)</f>
        <v>0</v>
      </c>
      <c r="EC109" s="3409">
        <f>IF(EC111=0,0,(EC110*EC111+EC112*EC113*6)/EC111)</f>
        <v>0</v>
      </c>
      <c r="ED109" s="1078">
        <f>IF(EB109=0,0,(EC109-EB109)/EB109*100)</f>
        <v>0</v>
      </c>
      <c r="EE109" s="3409">
        <f>IF(EE111=0,0,(EE110*EE111+EE112*EE113*6)/EE111)</f>
        <v>0</v>
      </c>
      <c r="EF109" s="3409">
        <f>IF(EF111=0,0,(EF110*EF111+EF112*EF113*6)/EF111)</f>
        <v>0</v>
      </c>
      <c r="EG109" s="1078">
        <f>IF(EE109=0,0,(EF109-EE109)/EE109*100)</f>
        <v>0</v>
      </c>
      <c r="EH109" s="3409">
        <f>IF(EH111=0,0,(EH110*EH111+EH112*EH113*6)/EH111)</f>
        <v>0</v>
      </c>
      <c r="EI109" s="3409">
        <f>IF(EI111=0,0,(EI110*EI111+EI112*EI113*6)/EI111)</f>
        <v>0</v>
      </c>
      <c r="EJ109" s="1078">
        <f>IF(EH109=0,0,(EI109-EH109)/EH109*100)</f>
        <v>0</v>
      </c>
      <c r="EK109" s="3409">
        <f>IF(EK111=0,0,(EK110*EK111+EK112*EK113*6)/EK111)</f>
        <v>0</v>
      </c>
      <c r="EL109" s="3409">
        <f>IF(EL111=0,0,(EL110*EL111+EL112*EL113*6)/EL111)</f>
        <v>0</v>
      </c>
      <c r="EM109" s="1078">
        <f>IF(EK109=0,0,(EL109-EK109)/EK109*100)</f>
        <v>0</v>
      </c>
      <c r="EN109" s="3409">
        <f>IF(EN111=0,0,(EN110*EN111+EN112*EN113*6)/EN111)</f>
        <v>0</v>
      </c>
      <c r="EO109" s="3409">
        <f>IF(EO111=0,0,(EO110*EO111+EO112*EO113*6)/EO111)</f>
        <v>0</v>
      </c>
      <c r="EP109" s="1078">
        <f>IF(EN109=0,0,(EO109-EN109)/EN109*100)</f>
        <v>0</v>
      </c>
      <c r="EQ109" s="3409">
        <f>IF(EQ111=0,0,(EQ110*EQ111+EQ112*EQ113*6)/EQ111)</f>
        <v>0</v>
      </c>
      <c r="ER109" s="3409">
        <f>IF(ER111=0,0,(ER110*ER111+ER112*ER113*6)/ER111)</f>
        <v>0</v>
      </c>
      <c r="ES109" s="1078">
        <f>IF(EQ109=0,0,(ER109-EQ109)/EQ109*100)</f>
        <v>0</v>
      </c>
      <c r="ET109" s="3409">
        <f>IF(ET111=0,0,(ET110*ET111+ET112*ET113*6)/ET111)</f>
        <v>0</v>
      </c>
      <c r="EU109" s="3409">
        <f>IF(EU111=0,0,(EU110*EU111+EU112*EU113*6)/EU111)</f>
        <v>0</v>
      </c>
      <c r="EV109" s="1078">
        <f>IF(ET109=0,0,(EU109-ET109)/ET109*100)</f>
        <v>0</v>
      </c>
      <c r="EW109" s="3409">
        <f>IF(EW111=0,0,(EW110*EW111+EW112*EW113*6)/EW111)</f>
        <v>0</v>
      </c>
      <c r="EX109" s="3409">
        <f>IF(EX111=0,0,(EX110*EX111+EX112*EX113*6)/EX111)</f>
        <v>0</v>
      </c>
      <c r="EY109" s="1078">
        <f>IF(EW109=0,0,(EX109-EW109)/EW109*100)</f>
        <v>0</v>
      </c>
      <c r="EZ109" s="3409">
        <f>IF(EZ111=0,0,(EZ110*EZ111+EZ112*EZ113*6)/EZ111)</f>
        <v>0</v>
      </c>
      <c r="FA109" s="3409">
        <f>IF(FA111=0,0,(FA110*FA111+FA112*FA113*6)/FA111)</f>
        <v>0</v>
      </c>
      <c r="FB109" s="1078">
        <f>IF(EZ109=0,0,(FA109-EZ109)/EZ109*100)</f>
        <v>0</v>
      </c>
      <c r="FC109" s="3409">
        <f>IF(FC111=0,0,(FC110*FC111+FC112*FC113*6)/FC111)</f>
        <v>0</v>
      </c>
      <c r="FD109" s="3409">
        <f>IF(FD111=0,0,(FD110*FD111+FD112*FD113*6)/FD111)</f>
        <v>0</v>
      </c>
      <c r="FE109" s="1078">
        <f>IF(FC109=0,0,(FD109-FC109)/FC109*100)</f>
        <v>0</v>
      </c>
      <c r="FF109" s="3409">
        <f>IF(FF111=0,0,(FF110*FF111+FF112*FF113*6)/FF111)</f>
        <v>0</v>
      </c>
      <c r="FG109" s="3409">
        <f>IF(FG111=0,0,(FG110*FG111+FG112*FG113*6)/FG111)</f>
        <v>0</v>
      </c>
      <c r="FH109" s="1078">
        <f>IF(FF109=0,0,(FG109-FF109)/FF109*100)</f>
        <v>0</v>
      </c>
      <c r="FI109" s="3409">
        <f>IF(FI111=0,0,(FI110*FI111+FI112*FI113*6)/FI111)</f>
        <v>0</v>
      </c>
      <c r="FJ109" s="3409">
        <f>IF(FJ111=0,0,(FJ110*FJ111+FJ112*FJ113*6)/FJ111)</f>
        <v>0</v>
      </c>
      <c r="FK109" s="1078">
        <f>IF(FI109=0,0,(FJ109-FI109)/FI109*100)</f>
        <v>0</v>
      </c>
      <c r="FL109" s="3409">
        <f>IF(FL111=0,0,(FL110*FL111+FL112*FL113*6)/FL111)</f>
        <v>0</v>
      </c>
      <c r="FM109" s="3409">
        <f>IF(FM111=0,0,(FM110*FM111+FM112*FM113*6)/FM111)</f>
        <v>0</v>
      </c>
      <c r="FN109" s="1078">
        <f>IF(FL109=0,0,(FM109-FL109)/FL109*100)</f>
        <v>0</v>
      </c>
      <c r="FO109" s="3409">
        <f>IF(FO111=0,0,(FO110*FO111+FO112*FO113*6)/FO111)</f>
        <v>0</v>
      </c>
      <c r="FP109" s="3409">
        <f>IF(FP111=0,0,(FP110*FP111+FP112*FP113*6)/FP111)</f>
        <v>0</v>
      </c>
      <c r="FQ109" s="1078">
        <f>IF(FO109=0,0,(FP109-FO109)/FO109*100)</f>
        <v>0</v>
      </c>
      <c r="FR109" s="3409">
        <f>IF(FR111=0,0,(FR110*FR111+FR112*FR113*6)/FR111)</f>
        <v>0</v>
      </c>
      <c r="FS109" s="3409">
        <f>IF(FS111=0,0,(FS110*FS111+FS112*FS113*6)/FS111)</f>
        <v>0</v>
      </c>
      <c r="FT109" s="1078">
        <f>IF(FR109=0,0,(FS109-FR109)/FR109*100)</f>
        <v>0</v>
      </c>
      <c r="FU109" s="3409">
        <f>IF(FU111=0,0,(FU110*FU111+FU112*FU113*6)/FU111)</f>
        <v>0</v>
      </c>
      <c r="FV109" s="3409">
        <f>IF(FV111=0,0,(FV110*FV111+FV112*FV113*6)/FV111)</f>
        <v>0</v>
      </c>
      <c r="FW109" s="1078">
        <f>IF(FU109=0,0,(FV109-FU109)/FU109*100)</f>
        <v>0</v>
      </c>
      <c r="FX109" s="676"/>
      <c r="FY109" s="676"/>
      <c r="FZ109" s="1039" t="s">
        <v>1541</v>
      </c>
      <c r="GA109" s="1061"/>
      <c r="GB109" s="1061"/>
      <c r="GC109" s="697"/>
      <c r="GD109" s="697"/>
    </row>
    <row s="1621" customFormat="1" customHeight="1" ht="14.25" hidden="1">
      <c r="A110" s="467"/>
      <c r="B110" s="907" cm="1" t="str">
        <f t="array" ref="B110:B110">B109</f>
        <v>false</v>
      </c>
      <c r="C110" s="467"/>
      <c r="D110" s="467"/>
      <c r="E110" s="822">
        <v>15</v>
      </c>
      <c r="F110" s="50" cm="1" t="str">
        <f t="array" ref="F110:F110">OFFSET(E110,-1,1)</f>
        <v>1</v>
      </c>
      <c r="G110" s="467"/>
      <c r="H110" s="467" t="s">
        <v>1449</v>
      </c>
      <c r="I110" s="467" t="s">
        <v>1497</v>
      </c>
      <c r="J110" s="467"/>
      <c r="K110" s="467"/>
      <c r="L110" s="467"/>
      <c r="M110" s="467"/>
      <c r="N110" s="467"/>
      <c r="O110" s="467"/>
      <c r="P110" s="467"/>
      <c r="Q110" s="467"/>
      <c r="R110" s="467"/>
      <c r="S110" s="467"/>
      <c r="T110" s="439" cm="1" t="str">
        <f t="array" ref="T110:T110">T109</f>
        <v>true</v>
      </c>
      <c r="U110" s="467"/>
      <c r="V110" s="467"/>
      <c r="W110" s="467"/>
      <c r="X110" s="1534"/>
      <c r="Y110" s="467"/>
      <c r="Z110" s="1464"/>
      <c r="AA110" s="467"/>
      <c r="AB110" s="107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846" t="s">
        <v>1494</v>
      </c>
      <c r="AD110" s="3409"/>
      <c r="AE110" s="3409"/>
      <c r="AF110" s="1078">
        <f>IF(AD110=0,0,(AE110-AD110)/AD110*100)</f>
        <v>0</v>
      </c>
      <c r="AG110" s="3409"/>
      <c r="AH110" s="3409"/>
      <c r="AI110" s="1078">
        <f>IF(AG110=0,0,(AH110-AG110)/AG110*100)</f>
        <v>0</v>
      </c>
      <c r="AJ110" s="3409"/>
      <c r="AK110" s="3409"/>
      <c r="AL110" s="1078">
        <f>IF(AJ110=0,0,(AK110-AJ110)/AJ110*100)</f>
        <v>0</v>
      </c>
      <c r="AM110" s="3409"/>
      <c r="AN110" s="3409"/>
      <c r="AO110" s="1078">
        <f>IF(AM110=0,0,(AN110-AM110)/AM110*100)</f>
        <v>0</v>
      </c>
      <c r="AP110" s="3409"/>
      <c r="AQ110" s="3409"/>
      <c r="AR110" s="1078">
        <f>IF(AP110=0,0,(AQ110-AP110)/AP110*100)</f>
        <v>0</v>
      </c>
      <c r="AS110" s="3409"/>
      <c r="AT110" s="3409"/>
      <c r="AU110" s="1078">
        <f>IF(AS110=0,0,(AT110-AS110)/AS110*100)</f>
        <v>0</v>
      </c>
      <c r="AV110" s="3409"/>
      <c r="AW110" s="3409"/>
      <c r="AX110" s="1078">
        <f>IF(AV110=0,0,(AW110-AV110)/AV110*100)</f>
        <v>0</v>
      </c>
      <c r="AY110" s="3409"/>
      <c r="AZ110" s="3409"/>
      <c r="BA110" s="1078">
        <f>IF(AY110=0,0,(AZ110-AY110)/AY110*100)</f>
        <v>0</v>
      </c>
      <c r="BB110" s="3409"/>
      <c r="BC110" s="3409"/>
      <c r="BD110" s="1078">
        <f>IF(BB110=0,0,(BC110-BB110)/BB110*100)</f>
        <v>0</v>
      </c>
      <c r="BE110" s="3409"/>
      <c r="BF110" s="3409"/>
      <c r="BG110" s="1078">
        <f>IF(BE110=0,0,(BF110-BE110)/BE110*100)</f>
        <v>0</v>
      </c>
      <c r="BH110" s="3409"/>
      <c r="BI110" s="3409"/>
      <c r="BJ110" s="1078">
        <f>IF(BH110=0,0,(BI110-BH110)/BH110*100)</f>
        <v>0</v>
      </c>
      <c r="BK110" s="3409"/>
      <c r="BL110" s="3409"/>
      <c r="BM110" s="1078">
        <f>IF(BK110=0,0,(BL110-BK110)/BK110*100)</f>
        <v>0</v>
      </c>
      <c r="BN110" s="3409"/>
      <c r="BO110" s="3409"/>
      <c r="BP110" s="1078">
        <f>IF(BN110=0,0,(BO110-BN110)/BN110*100)</f>
        <v>0</v>
      </c>
      <c r="BQ110" s="3409"/>
      <c r="BR110" s="3409"/>
      <c r="BS110" s="1078">
        <f>IF(BQ110=0,0,(BR110-BQ110)/BQ110*100)</f>
        <v>0</v>
      </c>
      <c r="BT110" s="3409"/>
      <c r="BU110" s="3409"/>
      <c r="BV110" s="1078">
        <f>IF(BT110=0,0,(BU110-BT110)/BT110*100)</f>
        <v>0</v>
      </c>
      <c r="BW110" s="3409"/>
      <c r="BX110" s="3409"/>
      <c r="BY110" s="1078">
        <f>IF(BW110=0,0,(BX110-BW110)/BW110*100)</f>
        <v>0</v>
      </c>
      <c r="BZ110" s="3409"/>
      <c r="CA110" s="3409"/>
      <c r="CB110" s="1078">
        <f>IF(BZ110=0,0,(CA110-BZ110)/BZ110*100)</f>
        <v>0</v>
      </c>
      <c r="CC110" s="3409"/>
      <c r="CD110" s="3409"/>
      <c r="CE110" s="1078">
        <f>IF(CC110=0,0,(CD110-CC110)/CC110*100)</f>
        <v>0</v>
      </c>
      <c r="CF110" s="3409"/>
      <c r="CG110" s="3409"/>
      <c r="CH110" s="1078">
        <f>IF(CF110=0,0,(CG110-CF110)/CF110*100)</f>
        <v>0</v>
      </c>
      <c r="CI110" s="3409"/>
      <c r="CJ110" s="3409"/>
      <c r="CK110" s="1078">
        <f>IF(CI110=0,0,(CJ110-CI110)/CI110*100)</f>
        <v>0</v>
      </c>
      <c r="CL110" s="3409"/>
      <c r="CM110" s="3409"/>
      <c r="CN110" s="1078">
        <f>IF(CL110=0,0,(CM110-CL110)/CL110*100)</f>
        <v>0</v>
      </c>
      <c r="CO110" s="3409"/>
      <c r="CP110" s="3409"/>
      <c r="CQ110" s="1078">
        <f>IF(CO110=0,0,(CP110-CO110)/CO110*100)</f>
        <v>0</v>
      </c>
      <c r="CR110" s="3409"/>
      <c r="CS110" s="3409"/>
      <c r="CT110" s="1078">
        <f>IF(CR110=0,0,(CS110-CR110)/CR110*100)</f>
        <v>0</v>
      </c>
      <c r="CU110" s="3409"/>
      <c r="CV110" s="3409"/>
      <c r="CW110" s="1078">
        <f>IF(CU110=0,0,(CV110-CU110)/CU110*100)</f>
        <v>0</v>
      </c>
      <c r="CX110" s="3409"/>
      <c r="CY110" s="3409"/>
      <c r="CZ110" s="1078">
        <f>IF(CX110=0,0,(CY110-CX110)/CX110*100)</f>
        <v>0</v>
      </c>
      <c r="DA110" s="3409"/>
      <c r="DB110" s="3409"/>
      <c r="DC110" s="1078">
        <f>IF(DA110=0,0,(DB110-DA110)/DA110*100)</f>
        <v>0</v>
      </c>
      <c r="DD110" s="3409"/>
      <c r="DE110" s="3409"/>
      <c r="DF110" s="1078">
        <f>IF(DD110=0,0,(DE110-DD110)/DD110*100)</f>
        <v>0</v>
      </c>
      <c r="DG110" s="3409"/>
      <c r="DH110" s="3409"/>
      <c r="DI110" s="1078">
        <f>IF(DG110=0,0,(DH110-DG110)/DG110*100)</f>
        <v>0</v>
      </c>
      <c r="DJ110" s="3409"/>
      <c r="DK110" s="3409"/>
      <c r="DL110" s="1078">
        <f>IF(DJ110=0,0,(DK110-DJ110)/DJ110*100)</f>
        <v>0</v>
      </c>
      <c r="DM110" s="3409"/>
      <c r="DN110" s="3409"/>
      <c r="DO110" s="1078">
        <f>IF(DM110=0,0,(DN110-DM110)/DM110*100)</f>
        <v>0</v>
      </c>
      <c r="DP110" s="3409"/>
      <c r="DQ110" s="3409"/>
      <c r="DR110" s="1078">
        <f>IF(DP110=0,0,(DQ110-DP110)/DP110*100)</f>
        <v>0</v>
      </c>
      <c r="DS110" s="3409"/>
      <c r="DT110" s="3409"/>
      <c r="DU110" s="1078">
        <f>IF(DS110=0,0,(DT110-DS110)/DS110*100)</f>
        <v>0</v>
      </c>
      <c r="DV110" s="3409"/>
      <c r="DW110" s="3409"/>
      <c r="DX110" s="1078">
        <f>IF(DV110=0,0,(DW110-DV110)/DV110*100)</f>
        <v>0</v>
      </c>
      <c r="DY110" s="3409"/>
      <c r="DZ110" s="3409"/>
      <c r="EA110" s="1078">
        <f>IF(DY110=0,0,(DZ110-DY110)/DY110*100)</f>
        <v>0</v>
      </c>
      <c r="EB110" s="3409"/>
      <c r="EC110" s="3409"/>
      <c r="ED110" s="1078">
        <f>IF(EB110=0,0,(EC110-EB110)/EB110*100)</f>
        <v>0</v>
      </c>
      <c r="EE110" s="3409"/>
      <c r="EF110" s="3409"/>
      <c r="EG110" s="1078">
        <f>IF(EE110=0,0,(EF110-EE110)/EE110*100)</f>
        <v>0</v>
      </c>
      <c r="EH110" s="3409"/>
      <c r="EI110" s="3409"/>
      <c r="EJ110" s="1078">
        <f>IF(EH110=0,0,(EI110-EH110)/EH110*100)</f>
        <v>0</v>
      </c>
      <c r="EK110" s="3409"/>
      <c r="EL110" s="3409"/>
      <c r="EM110" s="1078">
        <f>IF(EK110=0,0,(EL110-EK110)/EK110*100)</f>
        <v>0</v>
      </c>
      <c r="EN110" s="3409"/>
      <c r="EO110" s="3409"/>
      <c r="EP110" s="1078">
        <f>IF(EN110=0,0,(EO110-EN110)/EN110*100)</f>
        <v>0</v>
      </c>
      <c r="EQ110" s="3409"/>
      <c r="ER110" s="3409"/>
      <c r="ES110" s="1078">
        <f>IF(EQ110=0,0,(ER110-EQ110)/EQ110*100)</f>
        <v>0</v>
      </c>
      <c r="ET110" s="3409"/>
      <c r="EU110" s="3409"/>
      <c r="EV110" s="1078">
        <f>IF(ET110=0,0,(EU110-ET110)/ET110*100)</f>
        <v>0</v>
      </c>
      <c r="EW110" s="3409"/>
      <c r="EX110" s="3409"/>
      <c r="EY110" s="1078">
        <f>IF(EW110=0,0,(EX110-EW110)/EW110*100)</f>
        <v>0</v>
      </c>
      <c r="EZ110" s="3409"/>
      <c r="FA110" s="3409"/>
      <c r="FB110" s="1078">
        <f>IF(EZ110=0,0,(FA110-EZ110)/EZ110*100)</f>
        <v>0</v>
      </c>
      <c r="FC110" s="3409"/>
      <c r="FD110" s="3409"/>
      <c r="FE110" s="1078">
        <f>IF(FC110=0,0,(FD110-FC110)/FC110*100)</f>
        <v>0</v>
      </c>
      <c r="FF110" s="3409"/>
      <c r="FG110" s="3409"/>
      <c r="FH110" s="1078">
        <f>IF(FF110=0,0,(FG110-FF110)/FF110*100)</f>
        <v>0</v>
      </c>
      <c r="FI110" s="3409"/>
      <c r="FJ110" s="3409"/>
      <c r="FK110" s="1078">
        <f>IF(FI110=0,0,(FJ110-FI110)/FI110*100)</f>
        <v>0</v>
      </c>
      <c r="FL110" s="3409"/>
      <c r="FM110" s="3409"/>
      <c r="FN110" s="1078">
        <f>IF(FL110=0,0,(FM110-FL110)/FL110*100)</f>
        <v>0</v>
      </c>
      <c r="FO110" s="3409"/>
      <c r="FP110" s="3409"/>
      <c r="FQ110" s="1078">
        <f>IF(FO110=0,0,(FP110-FO110)/FO110*100)</f>
        <v>0</v>
      </c>
      <c r="FR110" s="3409"/>
      <c r="FS110" s="3409"/>
      <c r="FT110" s="1078">
        <f>IF(FR110=0,0,(FS110-FR110)/FR110*100)</f>
        <v>0</v>
      </c>
      <c r="FU110" s="3409"/>
      <c r="FV110" s="3409"/>
      <c r="FW110" s="1078">
        <f>IF(FU110=0,0,(FV110-FU110)/FU110*100)</f>
        <v>0</v>
      </c>
      <c r="FX110" s="676"/>
      <c r="FY110" s="676"/>
      <c r="FZ110" s="1039" t="s">
        <v>1542</v>
      </c>
      <c r="GA110" s="1061"/>
      <c r="GB110" s="1061"/>
      <c r="GC110" s="697"/>
      <c r="GD110" s="697"/>
    </row>
    <row s="1621" customFormat="1" customHeight="1" ht="14.25" hidden="1">
      <c r="A111" s="467"/>
      <c r="B111" s="907" cm="1" t="str">
        <f t="array" ref="B111:B111">B110</f>
        <v>false</v>
      </c>
      <c r="C111" s="467"/>
      <c r="D111" s="467"/>
      <c r="E111" s="822">
        <v>15</v>
      </c>
      <c r="F111" s="50" cm="1" t="str">
        <f t="array" ref="F111:F111">OFFSET(E111,-1,1)</f>
        <v>1</v>
      </c>
      <c r="G111" s="73" t="s">
        <v>1543</v>
      </c>
      <c r="H111" s="467" t="s">
        <v>1531</v>
      </c>
      <c r="I111" s="467" t="s">
        <v>1497</v>
      </c>
      <c r="J111" s="467"/>
      <c r="K111" s="467"/>
      <c r="L111" s="467"/>
      <c r="M111" s="467"/>
      <c r="N111" s="467"/>
      <c r="O111" s="467"/>
      <c r="P111" s="467"/>
      <c r="Q111" s="467"/>
      <c r="R111" s="467"/>
      <c r="S111" s="467"/>
      <c r="T111" s="439" cm="1" t="str">
        <f t="array" ref="T111:T111">T110</f>
        <v>true</v>
      </c>
      <c r="U111" s="467"/>
      <c r="V111" s="467"/>
      <c r="W111" s="467"/>
      <c r="X111" s="1534"/>
      <c r="Y111" s="467"/>
      <c r="Z111" s="1464"/>
      <c r="AA111" s="467"/>
      <c r="AB111" s="1076" t="str">
        <f>"объём "&amp;IF(Q85="Водоснабжение","потребления холодной воды","водоотведения")</f>
        <v>объём потребления холодной воды</v>
      </c>
      <c r="AC111" s="846" t="s">
        <v>512</v>
      </c>
      <c r="AD111" s="3404">
        <f>IF(AND(method_reg="Метод индексации",god&lt;&gt;first_year),_xlfn.SUMIFS(INDEX('Калькуляция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(МИ)'!$AJ$25:$BC$459,,MATCH(AD$8,'Калькуляция (МИ)'!$AJ$8:$BC$8,0)),'Калькуляция (МИ)'!$F$25:$F$459,$F111,'Калькуляция (МИ)'!$G$25:$G$459,$G111))))</f>
        <v>73.99</v>
      </c>
      <c r="AE111" s="3404">
        <f>IF(AND(method_reg="Метод индексации",god&lt;&gt;first_year),_xlfn.SUMIFS(INDEX('Калькуляция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(МИ)'!$AJ$25:$BC$459,,MATCH(AE$8,'Калькуляция (МИ)'!$AJ$8:$BC$8,0)),'Калькуляция (МИ)'!$F$25:$F$459,$F111,'Калькуляция (МИ)'!$G$25:$G$459,$G111))))</f>
        <v>40.983</v>
      </c>
      <c r="AF111" s="1080">
        <f>IF(AD111=0,0,(AE111-AD111)/AD111*100)</f>
        <v>-44.6100824435735</v>
      </c>
      <c r="AG111" s="3404">
        <f>IF(AND(method_reg="Метод индексации",god&lt;&gt;first_year),_xlfn.SUMIFS(INDEX('Калькуляция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(МИ)'!$AJ$25:$BC$459,,MATCH(AG$8,'Калькуляция (МИ)'!$AJ$8:$BC$8,0)),'Калькуляция (МИ)'!$F$25:$F$459,$F111,'Калькуляция (МИ)'!$G$25:$G$459,$G111))))</f>
        <v>0</v>
      </c>
      <c r="AH111" s="3404">
        <f>IF(AND(method_reg="Метод индексации",god&lt;&gt;first_year),_xlfn.SUMIFS(INDEX('Калькуляция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(МИ)'!$AJ$25:$BC$459,,MATCH(AH$8,'Калькуляция (МИ)'!$AJ$8:$BC$8,0)),'Калькуляция (МИ)'!$F$25:$F$459,$F111,'Калькуляция (МИ)'!$G$25:$G$459,$G111))))</f>
        <v>0</v>
      </c>
      <c r="AI111" s="1080">
        <f>IF(AG111=0,0,(AH111-AG111)/AG111*100)</f>
        <v>0</v>
      </c>
      <c r="AJ111" s="3404">
        <f>IF(AND(method_reg="Метод индексации",god&lt;&gt;first_year),_xlfn.SUMIFS(INDEX('Калькуляция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(МИ)'!$AJ$25:$BC$459,,MATCH(AJ$8,'Калькуляция (МИ)'!$AJ$8:$BC$8,0)),'Калькуляция (МИ)'!$F$25:$F$459,$F111,'Калькуляция (МИ)'!$G$25:$G$459,$G111))))</f>
        <v>0</v>
      </c>
      <c r="AK111" s="3404">
        <f>IF(AND(method_reg="Метод индексации",god&lt;&gt;first_year),_xlfn.SUMIFS(INDEX('Калькуляция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(МИ)'!$AJ$25:$BC$459,,MATCH(AK$8,'Калькуляция (МИ)'!$AJ$8:$BC$8,0)),'Калькуляция (МИ)'!$F$25:$F$459,$F111,'Калькуляция (МИ)'!$G$25:$G$459,$G111))))</f>
        <v>0</v>
      </c>
      <c r="AL111" s="1080">
        <f>IF(AJ111=0,0,(AK111-AJ111)/AJ111*100)</f>
        <v>0</v>
      </c>
      <c r="AM111" s="3404">
        <f>IF(AND(method_reg="Метод индексации",god&lt;&gt;first_year),_xlfn.SUMIFS(INDEX('Калькуляция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(МИ)'!$AJ$25:$BC$459,,MATCH(AM$8,'Калькуляция (МИ)'!$AJ$8:$BC$8,0)),'Калькуляция (МИ)'!$F$25:$F$459,$F111,'Калькуляция (МИ)'!$G$25:$G$459,$G111))))</f>
        <v>0</v>
      </c>
      <c r="AN111" s="3404">
        <f>IF(AND(method_reg="Метод индексации",god&lt;&gt;first_year),_xlfn.SUMIFS(INDEX('Калькуляция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(МИ)'!$AJ$25:$BC$459,,MATCH(AN$8,'Калькуляция (МИ)'!$AJ$8:$BC$8,0)),'Калькуляция (МИ)'!$F$25:$F$459,$F111,'Калькуляция (МИ)'!$G$25:$G$459,$G111))))</f>
        <v>0</v>
      </c>
      <c r="AO111" s="1080">
        <f>IF(AM111=0,0,(AN111-AM111)/AM111*100)</f>
        <v>0</v>
      </c>
      <c r="AP111" s="3404">
        <f>IF(AND(method_reg="Метод индексации",god&lt;&gt;first_year),_xlfn.SUMIFS(INDEX('Калькуляция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(МИ)'!$AJ$25:$BC$459,,MATCH(AP$8,'Калькуляция (МИ)'!$AJ$8:$BC$8,0)),'Калькуляция (МИ)'!$F$25:$F$459,$F111,'Калькуляция (МИ)'!$G$25:$G$459,$G111))))</f>
        <v>0</v>
      </c>
      <c r="AQ111" s="3404">
        <f>IF(AND(method_reg="Метод индексации",god&lt;&gt;first_year),_xlfn.SUMIFS(INDEX('Калькуляция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(МИ)'!$AJ$25:$BC$459,,MATCH(AQ$8,'Калькуляция (МИ)'!$AJ$8:$BC$8,0)),'Калькуляция (МИ)'!$F$25:$F$459,$F111,'Калькуляция (МИ)'!$G$25:$G$459,$G111))))</f>
        <v>0</v>
      </c>
      <c r="AR111" s="1080">
        <f>IF(AP111=0,0,(AQ111-AP111)/AP111*100)</f>
        <v>0</v>
      </c>
      <c r="AS111" s="3404">
        <f>IF(AND(method_reg="Метод индексации",god&lt;&gt;first_year),_xlfn.SUMIFS(INDEX('Калькуляция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(МИ)'!$AJ$25:$BC$459,,MATCH(AS$8,'Калькуляция (МИ)'!$AJ$8:$BC$8,0)),'Калькуляция (МИ)'!$F$25:$F$459,$F111,'Калькуляция (МИ)'!$G$25:$G$459,$G111))))</f>
        <v>0</v>
      </c>
      <c r="AT111" s="3404">
        <f>IF(AND(method_reg="Метод индексации",god&lt;&gt;first_year),_xlfn.SUMIFS(INDEX('Калькуляция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(МИ)'!$AJ$25:$BC$459,,MATCH(AT$8,'Калькуляция (МИ)'!$AJ$8:$BC$8,0)),'Калькуляция (МИ)'!$F$25:$F$459,$F111,'Калькуляция (МИ)'!$G$25:$G$459,$G111))))</f>
        <v>0</v>
      </c>
      <c r="AU111" s="1080">
        <f>IF(AS111=0,0,(AT111-AS111)/AS111*100)</f>
        <v>0</v>
      </c>
      <c r="AV111" s="3404">
        <f>IF(AND(method_reg="Метод индексации",god&lt;&gt;first_year),_xlfn.SUMIFS(INDEX('Калькуляция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(МИ)'!$AJ$25:$BC$459,,MATCH(AV$8,'Калькуляция (МИ)'!$AJ$8:$BC$8,0)),'Калькуляция (МИ)'!$F$25:$F$459,$F111,'Калькуляция (МИ)'!$G$25:$G$459,$G111))))</f>
        <v>0</v>
      </c>
      <c r="AW111" s="3404">
        <f>IF(AND(method_reg="Метод индексации",god&lt;&gt;first_year),_xlfn.SUMIFS(INDEX('Калькуляция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(МИ)'!$AJ$25:$BC$459,,MATCH(AW$8,'Калькуляция (МИ)'!$AJ$8:$BC$8,0)),'Калькуляция (МИ)'!$F$25:$F$459,$F111,'Калькуляция (МИ)'!$G$25:$G$459,$G111))))</f>
        <v>0</v>
      </c>
      <c r="AX111" s="1080">
        <f>IF(AV111=0,0,(AW111-AV111)/AV111*100)</f>
        <v>0</v>
      </c>
      <c r="AY111" s="3404">
        <f>IF(AND(method_reg="Метод индексации",god&lt;&gt;first_year),_xlfn.SUMIFS(INDEX('Калькуляция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(МИ)'!$AJ$25:$BC$459,,MATCH(AY$8,'Калькуляция (МИ)'!$AJ$8:$BC$8,0)),'Калькуляция (МИ)'!$F$25:$F$459,$F111,'Калькуляция (МИ)'!$G$25:$G$459,$G111))))</f>
        <v>0</v>
      </c>
      <c r="AZ111" s="3404">
        <f>IF(AND(method_reg="Метод индексации",god&lt;&gt;first_year),_xlfn.SUMIFS(INDEX('Калькуляция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(МИ)'!$AJ$25:$BC$459,,MATCH(AZ$8,'Калькуляция (МИ)'!$AJ$8:$BC$8,0)),'Калькуляция (МИ)'!$F$25:$F$459,$F111,'Калькуляция (МИ)'!$G$25:$G$459,$G111))))</f>
        <v>0</v>
      </c>
      <c r="BA111" s="1080">
        <f>IF(AY111=0,0,(AZ111-AY111)/AY111*100)</f>
        <v>0</v>
      </c>
      <c r="BB111" s="3404">
        <f>IF(AND(method_reg="Метод индексации",god&lt;&gt;first_year),_xlfn.SUMIFS(INDEX('Калькуляция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(МИ)'!$AJ$25:$BC$459,,MATCH(BB$8,'Калькуляция (МИ)'!$AJ$8:$BC$8,0)),'Калькуляция (МИ)'!$F$25:$F$459,$F111,'Калькуляция (МИ)'!$G$25:$G$459,$G111))))</f>
        <v>0</v>
      </c>
      <c r="BC111" s="3404">
        <f>IF(AND(method_reg="Метод индексации",god&lt;&gt;first_year),_xlfn.SUMIFS(INDEX('Калькуляция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(МИ)'!$AJ$25:$BC$459,,MATCH(BC$8,'Калькуляция (МИ)'!$AJ$8:$BC$8,0)),'Калькуляция (МИ)'!$F$25:$F$459,$F111,'Калькуляция (МИ)'!$G$25:$G$459,$G111))))</f>
        <v>0</v>
      </c>
      <c r="BD111" s="1080">
        <f>IF(BB111=0,0,(BC111-BB111)/BB111*100)</f>
        <v>0</v>
      </c>
      <c r="BE111" s="3404">
        <f>IF(AND(method_reg="Метод индексации",god&lt;&gt;first_year),_xlfn.SUMIFS(INDEX('Калькуляция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расходов",_xlfn.SUMIFS('Калькуляция (МЭОР)'!$AJ$25:$AJ$282,'Калькуляция (МЭОР)'!$F$25:$F$282,$F111,'Калькуляция (МЭОР)'!$G$25:$G$282,$G111),IF(method_reg="Метод сравнения аналогов",_xlfn.SUMIFS('Калькуляция (МСА)'!$AE$25:$AE$84,'Калькуляция (МСА)'!$F$25:$F$84,$F111,'Калькуляция (МСА)'!$G$25:$G$84,$G111),_xlfn.SUMIFS(INDEX('Калькуляция (МИ)'!$AJ$25:$BC$459,,MATCH(BE$8,'Калькуляция (МИ)'!$AJ$8:$BC$8,0)),'Калькуляция (МИ)'!$F$25:$F$459,$F111,'Калькуляция (МИ)'!$G$25:$G$459,$G111))))</f>
        <v>0</v>
      </c>
      <c r="BF111" s="3404">
        <f>IF(AND(method_reg="Метод индексации",god&lt;&gt;first_year),_xlfn.SUMIFS(INDEX('Калькуляция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расходов",_xlfn.SUMIFS('Калькуляция (МЭОР)'!$AK$25:$AK$282,'Калькуляция (МЭОР)'!$F$25:$F$282,$F111,'Калькуляция (МЭОР)'!$G$25:$G$282,$G111),IF(method_reg="Метод сравнения аналогов",_xlfn.SUMIFS('Калькуляция (МСА)'!$AF$25:$AF$84,'Калькуляция (МСА)'!$F$25:$F$84,$F111,'Калькуляция (МСА)'!$G$25:$G$84,$G111),_xlfn.SUMIFS(INDEX('Калькуляция (МИ)'!$AJ$25:$BC$459,,MATCH(BF$8,'Калькуляция (МИ)'!$AJ$8:$BC$8,0)),'Калькуляция (МИ)'!$F$25:$F$459,$F111,'Калькуляция (МИ)'!$G$25:$G$459,$G111))))</f>
        <v>0</v>
      </c>
      <c r="BG111" s="1089">
        <f>IF(BE111=0,0,(BF111-BE111)/BE111*100)</f>
        <v>0</v>
      </c>
      <c r="BH111" s="3404"/>
      <c r="BI111" s="3404"/>
      <c r="BJ111" s="1089">
        <f>IF(BH111=0,0,(BI111-BH111)/BH111*100)</f>
        <v>0</v>
      </c>
      <c r="BK111" s="3404"/>
      <c r="BL111" s="3404"/>
      <c r="BM111" s="1089">
        <f>IF(BK111=0,0,(BL111-BK111)/BK111*100)</f>
        <v>0</v>
      </c>
      <c r="BN111" s="3404"/>
      <c r="BO111" s="3404"/>
      <c r="BP111" s="1089">
        <f>IF(BN111=0,0,(BO111-BN111)/BN111*100)</f>
        <v>0</v>
      </c>
      <c r="BQ111" s="3404"/>
      <c r="BR111" s="3404"/>
      <c r="BS111" s="1089">
        <f>IF(BQ111=0,0,(BR111-BQ111)/BQ111*100)</f>
        <v>0</v>
      </c>
      <c r="BT111" s="3404"/>
      <c r="BU111" s="3404"/>
      <c r="BV111" s="1089">
        <f>IF(BT111=0,0,(BU111-BT111)/BT111*100)</f>
        <v>0</v>
      </c>
      <c r="BW111" s="3404"/>
      <c r="BX111" s="3404"/>
      <c r="BY111" s="1089">
        <f>IF(BW111=0,0,(BX111-BW111)/BW111*100)</f>
        <v>0</v>
      </c>
      <c r="BZ111" s="3404"/>
      <c r="CA111" s="3404"/>
      <c r="CB111" s="1089">
        <f>IF(BZ111=0,0,(CA111-BZ111)/BZ111*100)</f>
        <v>0</v>
      </c>
      <c r="CC111" s="3404"/>
      <c r="CD111" s="3404"/>
      <c r="CE111" s="1089">
        <f>IF(CC111=0,0,(CD111-CC111)/CC111*100)</f>
        <v>0</v>
      </c>
      <c r="CF111" s="3404"/>
      <c r="CG111" s="3404"/>
      <c r="CH111" s="1089">
        <f>IF(CF111=0,0,(CG111-CF111)/CF111*100)</f>
        <v>0</v>
      </c>
      <c r="CI111" s="3404"/>
      <c r="CJ111" s="3404"/>
      <c r="CK111" s="1089">
        <f>IF(CI111=0,0,(CJ111-CI111)/CI111*100)</f>
        <v>0</v>
      </c>
      <c r="CL111" s="3404"/>
      <c r="CM111" s="3404"/>
      <c r="CN111" s="1089">
        <f>IF(CL111=0,0,(CM111-CL111)/CL111*100)</f>
        <v>0</v>
      </c>
      <c r="CO111" s="3404"/>
      <c r="CP111" s="3404"/>
      <c r="CQ111" s="1089">
        <f>IF(CO111=0,0,(CP111-CO111)/CO111*100)</f>
        <v>0</v>
      </c>
      <c r="CR111" s="3404"/>
      <c r="CS111" s="3404"/>
      <c r="CT111" s="1089">
        <f>IF(CR111=0,0,(CS111-CR111)/CR111*100)</f>
        <v>0</v>
      </c>
      <c r="CU111" s="3404"/>
      <c r="CV111" s="3404"/>
      <c r="CW111" s="1089">
        <f>IF(CU111=0,0,(CV111-CU111)/CU111*100)</f>
        <v>0</v>
      </c>
      <c r="CX111" s="3404"/>
      <c r="CY111" s="3404"/>
      <c r="CZ111" s="1089">
        <f>IF(CX111=0,0,(CY111-CX111)/CX111*100)</f>
        <v>0</v>
      </c>
      <c r="DA111" s="3404"/>
      <c r="DB111" s="3404"/>
      <c r="DC111" s="1089">
        <f>IF(DA111=0,0,(DB111-DA111)/DA111*100)</f>
        <v>0</v>
      </c>
      <c r="DD111" s="3404"/>
      <c r="DE111" s="3404"/>
      <c r="DF111" s="1089">
        <f>IF(DD111=0,0,(DE111-DD111)/DD111*100)</f>
        <v>0</v>
      </c>
      <c r="DG111" s="3404"/>
      <c r="DH111" s="3404"/>
      <c r="DI111" s="1089">
        <f>IF(DG111=0,0,(DH111-DG111)/DG111*100)</f>
        <v>0</v>
      </c>
      <c r="DJ111" s="3404"/>
      <c r="DK111" s="3404"/>
      <c r="DL111" s="1089">
        <f>IF(DJ111=0,0,(DK111-DJ111)/DJ111*100)</f>
        <v>0</v>
      </c>
      <c r="DM111" s="3404"/>
      <c r="DN111" s="3404"/>
      <c r="DO111" s="1089">
        <f>IF(DM111=0,0,(DN111-DM111)/DM111*100)</f>
        <v>0</v>
      </c>
      <c r="DP111" s="3404"/>
      <c r="DQ111" s="3404"/>
      <c r="DR111" s="1089">
        <f>IF(DP111=0,0,(DQ111-DP111)/DP111*100)</f>
        <v>0</v>
      </c>
      <c r="DS111" s="3404"/>
      <c r="DT111" s="3404"/>
      <c r="DU111" s="1089">
        <f>IF(DS111=0,0,(DT111-DS111)/DS111*100)</f>
        <v>0</v>
      </c>
      <c r="DV111" s="3404"/>
      <c r="DW111" s="3404"/>
      <c r="DX111" s="1089">
        <f>IF(DV111=0,0,(DW111-DV111)/DV111*100)</f>
        <v>0</v>
      </c>
      <c r="DY111" s="3404"/>
      <c r="DZ111" s="3404"/>
      <c r="EA111" s="1089">
        <f>IF(DY111=0,0,(DZ111-DY111)/DY111*100)</f>
        <v>0</v>
      </c>
      <c r="EB111" s="3404"/>
      <c r="EC111" s="3404"/>
      <c r="ED111" s="1089">
        <f>IF(EB111=0,0,(EC111-EB111)/EB111*100)</f>
        <v>0</v>
      </c>
      <c r="EE111" s="3404"/>
      <c r="EF111" s="3404"/>
      <c r="EG111" s="1089">
        <f>IF(EE111=0,0,(EF111-EE111)/EE111*100)</f>
        <v>0</v>
      </c>
      <c r="EH111" s="3404"/>
      <c r="EI111" s="3404"/>
      <c r="EJ111" s="1089">
        <f>IF(EH111=0,0,(EI111-EH111)/EH111*100)</f>
        <v>0</v>
      </c>
      <c r="EK111" s="3404"/>
      <c r="EL111" s="3404"/>
      <c r="EM111" s="1089">
        <f>IF(EK111=0,0,(EL111-EK111)/EK111*100)</f>
        <v>0</v>
      </c>
      <c r="EN111" s="3404"/>
      <c r="EO111" s="3404"/>
      <c r="EP111" s="1089">
        <f>IF(EN111=0,0,(EO111-EN111)/EN111*100)</f>
        <v>0</v>
      </c>
      <c r="EQ111" s="3404"/>
      <c r="ER111" s="3404"/>
      <c r="ES111" s="1089">
        <f>IF(EQ111=0,0,(ER111-EQ111)/EQ111*100)</f>
        <v>0</v>
      </c>
      <c r="ET111" s="3404"/>
      <c r="EU111" s="3404"/>
      <c r="EV111" s="1089">
        <f>IF(ET111=0,0,(EU111-ET111)/ET111*100)</f>
        <v>0</v>
      </c>
      <c r="EW111" s="3404"/>
      <c r="EX111" s="3404"/>
      <c r="EY111" s="1089">
        <f>IF(EW111=0,0,(EX111-EW111)/EW111*100)</f>
        <v>0</v>
      </c>
      <c r="EZ111" s="3404"/>
      <c r="FA111" s="3404"/>
      <c r="FB111" s="1089">
        <f>IF(EZ111=0,0,(FA111-EZ111)/EZ111*100)</f>
        <v>0</v>
      </c>
      <c r="FC111" s="3404"/>
      <c r="FD111" s="3404"/>
      <c r="FE111" s="1089">
        <f>IF(FC111=0,0,(FD111-FC111)/FC111*100)</f>
        <v>0</v>
      </c>
      <c r="FF111" s="3404"/>
      <c r="FG111" s="3404"/>
      <c r="FH111" s="1089">
        <f>IF(FF111=0,0,(FG111-FF111)/FF111*100)</f>
        <v>0</v>
      </c>
      <c r="FI111" s="3404"/>
      <c r="FJ111" s="3404"/>
      <c r="FK111" s="1089">
        <f>IF(FI111=0,0,(FJ111-FI111)/FI111*100)</f>
        <v>0</v>
      </c>
      <c r="FL111" s="3404"/>
      <c r="FM111" s="3404"/>
      <c r="FN111" s="1089">
        <f>IF(FL111=0,0,(FM111-FL111)/FL111*100)</f>
        <v>0</v>
      </c>
      <c r="FO111" s="3404"/>
      <c r="FP111" s="3404"/>
      <c r="FQ111" s="1089">
        <f>IF(FO111=0,0,(FP111-FO111)/FO111*100)</f>
        <v>0</v>
      </c>
      <c r="FR111" s="3404"/>
      <c r="FS111" s="3404"/>
      <c r="FT111" s="1089">
        <f>IF(FR111=0,0,(FS111-FR111)/FR111*100)</f>
        <v>0</v>
      </c>
      <c r="FU111" s="3404"/>
      <c r="FV111" s="3404"/>
      <c r="FW111" s="1089">
        <f>IF(FU111=0,0,(FV111-FU111)/FU111*100)</f>
        <v>0</v>
      </c>
      <c r="FX111" s="676"/>
      <c r="FY111" s="676"/>
      <c r="FZ111" s="1039" t="s">
        <v>1544</v>
      </c>
      <c r="GA111" s="1061"/>
      <c r="GB111" s="1061"/>
      <c r="GC111" s="697"/>
      <c r="GD111" s="697"/>
    </row>
    <row s="1621" customFormat="1" customHeight="1" ht="21.75" hidden="1">
      <c r="A112" s="467"/>
      <c r="B112" s="907" cm="1" t="str">
        <f t="array" ref="B112:B112">B111</f>
        <v>false</v>
      </c>
      <c r="C112" s="467"/>
      <c r="D112" s="467"/>
      <c r="E112" s="822">
        <v>22.5</v>
      </c>
      <c r="F112" s="50" cm="1" t="str">
        <f t="array" ref="F112:F112">OFFSET(E112,-1,1)</f>
        <v>1</v>
      </c>
      <c r="G112" s="467"/>
      <c r="H112" s="467" t="s">
        <v>1533</v>
      </c>
      <c r="I112" s="467" t="s">
        <v>1497</v>
      </c>
      <c r="J112" s="467"/>
      <c r="K112" s="467"/>
      <c r="L112" s="467"/>
      <c r="M112" s="467"/>
      <c r="N112" s="467"/>
      <c r="O112" s="467"/>
      <c r="P112" s="467"/>
      <c r="Q112" s="467"/>
      <c r="R112" s="467"/>
      <c r="S112" s="467"/>
      <c r="T112" s="439" cm="1" t="str">
        <f t="array" ref="T112:T112">T111</f>
        <v>true</v>
      </c>
      <c r="U112" s="467"/>
      <c r="V112" s="467"/>
      <c r="W112" s="467"/>
      <c r="X112" s="1534"/>
      <c r="Y112" s="467"/>
      <c r="Z112" s="1464"/>
      <c r="AA112" s="467"/>
      <c r="AB112" s="107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846" t="s">
        <v>1534</v>
      </c>
      <c r="AD112" s="3409"/>
      <c r="AE112" s="3409"/>
      <c r="AF112" s="1078">
        <f>IF(AD112=0,0,(AE112-AD112)/AD112*100)</f>
        <v>0</v>
      </c>
      <c r="AG112" s="3409"/>
      <c r="AH112" s="3409"/>
      <c r="AI112" s="1078">
        <f>IF(AG112=0,0,(AH112-AG112)/AG112*100)</f>
        <v>0</v>
      </c>
      <c r="AJ112" s="3409"/>
      <c r="AK112" s="3409"/>
      <c r="AL112" s="1078">
        <f>IF(AJ112=0,0,(AK112-AJ112)/AJ112*100)</f>
        <v>0</v>
      </c>
      <c r="AM112" s="3409"/>
      <c r="AN112" s="3409"/>
      <c r="AO112" s="1078">
        <f>IF(AM112=0,0,(AN112-AM112)/AM112*100)</f>
        <v>0</v>
      </c>
      <c r="AP112" s="3409"/>
      <c r="AQ112" s="3409"/>
      <c r="AR112" s="1078">
        <f>IF(AP112=0,0,(AQ112-AP112)/AP112*100)</f>
        <v>0</v>
      </c>
      <c r="AS112" s="3409"/>
      <c r="AT112" s="3409"/>
      <c r="AU112" s="1078">
        <f>IF(AS112=0,0,(AT112-AS112)/AS112*100)</f>
        <v>0</v>
      </c>
      <c r="AV112" s="3409"/>
      <c r="AW112" s="3409"/>
      <c r="AX112" s="1078">
        <f>IF(AV112=0,0,(AW112-AV112)/AV112*100)</f>
        <v>0</v>
      </c>
      <c r="AY112" s="3409"/>
      <c r="AZ112" s="3409"/>
      <c r="BA112" s="1078">
        <f>IF(AY112=0,0,(AZ112-AY112)/AY112*100)</f>
        <v>0</v>
      </c>
      <c r="BB112" s="3409"/>
      <c r="BC112" s="3409"/>
      <c r="BD112" s="1078">
        <f>IF(BB112=0,0,(BC112-BB112)/BB112*100)</f>
        <v>0</v>
      </c>
      <c r="BE112" s="3409"/>
      <c r="BF112" s="3409"/>
      <c r="BG112" s="1078">
        <f>IF(BE112=0,0,(BF112-BE112)/BE112*100)</f>
        <v>0</v>
      </c>
      <c r="BH112" s="3409"/>
      <c r="BI112" s="3409"/>
      <c r="BJ112" s="1078">
        <f>IF(BH112=0,0,(BI112-BH112)/BH112*100)</f>
        <v>0</v>
      </c>
      <c r="BK112" s="3409"/>
      <c r="BL112" s="3409"/>
      <c r="BM112" s="1078">
        <f>IF(BK112=0,0,(BL112-BK112)/BK112*100)</f>
        <v>0</v>
      </c>
      <c r="BN112" s="3409"/>
      <c r="BO112" s="3409"/>
      <c r="BP112" s="1078">
        <f>IF(BN112=0,0,(BO112-BN112)/BN112*100)</f>
        <v>0</v>
      </c>
      <c r="BQ112" s="3409"/>
      <c r="BR112" s="3409"/>
      <c r="BS112" s="1078">
        <f>IF(BQ112=0,0,(BR112-BQ112)/BQ112*100)</f>
        <v>0</v>
      </c>
      <c r="BT112" s="3409"/>
      <c r="BU112" s="3409"/>
      <c r="BV112" s="1078">
        <f>IF(BT112=0,0,(BU112-BT112)/BT112*100)</f>
        <v>0</v>
      </c>
      <c r="BW112" s="3409"/>
      <c r="BX112" s="3409"/>
      <c r="BY112" s="1078">
        <f>IF(BW112=0,0,(BX112-BW112)/BW112*100)</f>
        <v>0</v>
      </c>
      <c r="BZ112" s="3409"/>
      <c r="CA112" s="3409"/>
      <c r="CB112" s="1078">
        <f>IF(BZ112=0,0,(CA112-BZ112)/BZ112*100)</f>
        <v>0</v>
      </c>
      <c r="CC112" s="3409"/>
      <c r="CD112" s="3409"/>
      <c r="CE112" s="1078">
        <f>IF(CC112=0,0,(CD112-CC112)/CC112*100)</f>
        <v>0</v>
      </c>
      <c r="CF112" s="3409"/>
      <c r="CG112" s="3409"/>
      <c r="CH112" s="1078">
        <f>IF(CF112=0,0,(CG112-CF112)/CF112*100)</f>
        <v>0</v>
      </c>
      <c r="CI112" s="3409"/>
      <c r="CJ112" s="3409"/>
      <c r="CK112" s="1078">
        <f>IF(CI112=0,0,(CJ112-CI112)/CI112*100)</f>
        <v>0</v>
      </c>
      <c r="CL112" s="3409"/>
      <c r="CM112" s="3409"/>
      <c r="CN112" s="1078">
        <f>IF(CL112=0,0,(CM112-CL112)/CL112*100)</f>
        <v>0</v>
      </c>
      <c r="CO112" s="3409"/>
      <c r="CP112" s="3409"/>
      <c r="CQ112" s="1078">
        <f>IF(CO112=0,0,(CP112-CO112)/CO112*100)</f>
        <v>0</v>
      </c>
      <c r="CR112" s="3409"/>
      <c r="CS112" s="3409"/>
      <c r="CT112" s="1078">
        <f>IF(CR112=0,0,(CS112-CR112)/CR112*100)</f>
        <v>0</v>
      </c>
      <c r="CU112" s="3409"/>
      <c r="CV112" s="3409"/>
      <c r="CW112" s="1078">
        <f>IF(CU112=0,0,(CV112-CU112)/CU112*100)</f>
        <v>0</v>
      </c>
      <c r="CX112" s="3409"/>
      <c r="CY112" s="3409"/>
      <c r="CZ112" s="1078">
        <f>IF(CX112=0,0,(CY112-CX112)/CX112*100)</f>
        <v>0</v>
      </c>
      <c r="DA112" s="3409"/>
      <c r="DB112" s="3409"/>
      <c r="DC112" s="1078">
        <f>IF(DA112=0,0,(DB112-DA112)/DA112*100)</f>
        <v>0</v>
      </c>
      <c r="DD112" s="3409"/>
      <c r="DE112" s="3409"/>
      <c r="DF112" s="1078">
        <f>IF(DD112=0,0,(DE112-DD112)/DD112*100)</f>
        <v>0</v>
      </c>
      <c r="DG112" s="3409"/>
      <c r="DH112" s="3409"/>
      <c r="DI112" s="1078">
        <f>IF(DG112=0,0,(DH112-DG112)/DG112*100)</f>
        <v>0</v>
      </c>
      <c r="DJ112" s="3409"/>
      <c r="DK112" s="3409"/>
      <c r="DL112" s="1078">
        <f>IF(DJ112=0,0,(DK112-DJ112)/DJ112*100)</f>
        <v>0</v>
      </c>
      <c r="DM112" s="3409"/>
      <c r="DN112" s="3409"/>
      <c r="DO112" s="1078">
        <f>IF(DM112=0,0,(DN112-DM112)/DM112*100)</f>
        <v>0</v>
      </c>
      <c r="DP112" s="3409"/>
      <c r="DQ112" s="3409"/>
      <c r="DR112" s="1078">
        <f>IF(DP112=0,0,(DQ112-DP112)/DP112*100)</f>
        <v>0</v>
      </c>
      <c r="DS112" s="3409"/>
      <c r="DT112" s="3409"/>
      <c r="DU112" s="1078">
        <f>IF(DS112=0,0,(DT112-DS112)/DS112*100)</f>
        <v>0</v>
      </c>
      <c r="DV112" s="3409"/>
      <c r="DW112" s="3409"/>
      <c r="DX112" s="1078">
        <f>IF(DV112=0,0,(DW112-DV112)/DV112*100)</f>
        <v>0</v>
      </c>
      <c r="DY112" s="3409"/>
      <c r="DZ112" s="3409"/>
      <c r="EA112" s="1078">
        <f>IF(DY112=0,0,(DZ112-DY112)/DY112*100)</f>
        <v>0</v>
      </c>
      <c r="EB112" s="3409"/>
      <c r="EC112" s="3409"/>
      <c r="ED112" s="1078">
        <f>IF(EB112=0,0,(EC112-EB112)/EB112*100)</f>
        <v>0</v>
      </c>
      <c r="EE112" s="3409"/>
      <c r="EF112" s="3409"/>
      <c r="EG112" s="1078">
        <f>IF(EE112=0,0,(EF112-EE112)/EE112*100)</f>
        <v>0</v>
      </c>
      <c r="EH112" s="3409"/>
      <c r="EI112" s="3409"/>
      <c r="EJ112" s="1078">
        <f>IF(EH112=0,0,(EI112-EH112)/EH112*100)</f>
        <v>0</v>
      </c>
      <c r="EK112" s="3409"/>
      <c r="EL112" s="3409"/>
      <c r="EM112" s="1078">
        <f>IF(EK112=0,0,(EL112-EK112)/EK112*100)</f>
        <v>0</v>
      </c>
      <c r="EN112" s="3409"/>
      <c r="EO112" s="3409"/>
      <c r="EP112" s="1078">
        <f>IF(EN112=0,0,(EO112-EN112)/EN112*100)</f>
        <v>0</v>
      </c>
      <c r="EQ112" s="3409"/>
      <c r="ER112" s="3409"/>
      <c r="ES112" s="1078">
        <f>IF(EQ112=0,0,(ER112-EQ112)/EQ112*100)</f>
        <v>0</v>
      </c>
      <c r="ET112" s="3409"/>
      <c r="EU112" s="3409"/>
      <c r="EV112" s="1078">
        <f>IF(ET112=0,0,(EU112-ET112)/ET112*100)</f>
        <v>0</v>
      </c>
      <c r="EW112" s="3409"/>
      <c r="EX112" s="3409"/>
      <c r="EY112" s="1078">
        <f>IF(EW112=0,0,(EX112-EW112)/EW112*100)</f>
        <v>0</v>
      </c>
      <c r="EZ112" s="3409"/>
      <c r="FA112" s="3409"/>
      <c r="FB112" s="1078">
        <f>IF(EZ112=0,0,(FA112-EZ112)/EZ112*100)</f>
        <v>0</v>
      </c>
      <c r="FC112" s="3409"/>
      <c r="FD112" s="3409"/>
      <c r="FE112" s="1078">
        <f>IF(FC112=0,0,(FD112-FC112)/FC112*100)</f>
        <v>0</v>
      </c>
      <c r="FF112" s="3409"/>
      <c r="FG112" s="3409"/>
      <c r="FH112" s="1078">
        <f>IF(FF112=0,0,(FG112-FF112)/FF112*100)</f>
        <v>0</v>
      </c>
      <c r="FI112" s="3409"/>
      <c r="FJ112" s="3409"/>
      <c r="FK112" s="1078">
        <f>IF(FI112=0,0,(FJ112-FI112)/FI112*100)</f>
        <v>0</v>
      </c>
      <c r="FL112" s="3409"/>
      <c r="FM112" s="3409"/>
      <c r="FN112" s="1078">
        <f>IF(FL112=0,0,(FM112-FL112)/FL112*100)</f>
        <v>0</v>
      </c>
      <c r="FO112" s="3409"/>
      <c r="FP112" s="3409"/>
      <c r="FQ112" s="1078">
        <f>IF(FO112=0,0,(FP112-FO112)/FO112*100)</f>
        <v>0</v>
      </c>
      <c r="FR112" s="3409"/>
      <c r="FS112" s="3409"/>
      <c r="FT112" s="1078">
        <f>IF(FR112=0,0,(FS112-FR112)/FR112*100)</f>
        <v>0</v>
      </c>
      <c r="FU112" s="3409"/>
      <c r="FV112" s="3409"/>
      <c r="FW112" s="1078">
        <f>IF(FU112=0,0,(FV112-FU112)/FU112*100)</f>
        <v>0</v>
      </c>
      <c r="FX112" s="676"/>
      <c r="FY112" s="676"/>
      <c r="FZ112" s="1039" t="s">
        <v>1545</v>
      </c>
      <c r="GA112" s="1061"/>
      <c r="GB112" s="1061"/>
      <c r="GC112" s="697"/>
      <c r="GD112" s="697"/>
    </row>
    <row s="1621" customFormat="1" customHeight="1" ht="14.25" hidden="1">
      <c r="A113" s="467"/>
      <c r="B113" s="907" cm="1" t="str">
        <f t="array" ref="B113:B113">B112</f>
        <v>false</v>
      </c>
      <c r="C113" s="467"/>
      <c r="D113" s="467"/>
      <c r="E113" s="822">
        <v>15</v>
      </c>
      <c r="F113" s="50" cm="1" t="str">
        <f t="array" ref="F113:F113">OFFSET(E113,-1,1)</f>
        <v>1</v>
      </c>
      <c r="G113" s="467"/>
      <c r="H113" s="467" t="s">
        <v>1536</v>
      </c>
      <c r="I113" s="467" t="s">
        <v>1497</v>
      </c>
      <c r="J113" s="467"/>
      <c r="K113" s="467"/>
      <c r="L113" s="467"/>
      <c r="M113" s="467"/>
      <c r="N113" s="467"/>
      <c r="O113" s="467"/>
      <c r="P113" s="467"/>
      <c r="Q113" s="467"/>
      <c r="R113" s="467"/>
      <c r="S113" s="467"/>
      <c r="T113" s="439" cm="1" t="str">
        <f t="array" ref="T113:T113">T112</f>
        <v>true</v>
      </c>
      <c r="U113" s="467"/>
      <c r="V113" s="467"/>
      <c r="W113" s="467"/>
      <c r="X113" s="1534"/>
      <c r="Y113" s="467"/>
      <c r="Z113" s="1464"/>
      <c r="AA113" s="467"/>
      <c r="AB113" s="1076" t="s">
        <v>1537</v>
      </c>
      <c r="AC113" s="846" t="s">
        <v>1538</v>
      </c>
      <c r="AD113" s="3409"/>
      <c r="AE113" s="3409"/>
      <c r="AF113" s="1078">
        <f>IF(AD113=0,0,(AE113-AD113)/AD113*100)</f>
        <v>0</v>
      </c>
      <c r="AG113" s="3409"/>
      <c r="AH113" s="3409"/>
      <c r="AI113" s="1078">
        <f>IF(AG113=0,0,(AH113-AG113)/AG113*100)</f>
        <v>0</v>
      </c>
      <c r="AJ113" s="3409"/>
      <c r="AK113" s="3409"/>
      <c r="AL113" s="1078">
        <f>IF(AJ113=0,0,(AK113-AJ113)/AJ113*100)</f>
        <v>0</v>
      </c>
      <c r="AM113" s="3409"/>
      <c r="AN113" s="3409"/>
      <c r="AO113" s="1078">
        <f>IF(AM113=0,0,(AN113-AM113)/AM113*100)</f>
        <v>0</v>
      </c>
      <c r="AP113" s="3409"/>
      <c r="AQ113" s="3409"/>
      <c r="AR113" s="1078">
        <f>IF(AP113=0,0,(AQ113-AP113)/AP113*100)</f>
        <v>0</v>
      </c>
      <c r="AS113" s="3409"/>
      <c r="AT113" s="3409"/>
      <c r="AU113" s="1078">
        <f>IF(AS113=0,0,(AT113-AS113)/AS113*100)</f>
        <v>0</v>
      </c>
      <c r="AV113" s="3409"/>
      <c r="AW113" s="3409"/>
      <c r="AX113" s="1078">
        <f>IF(AV113=0,0,(AW113-AV113)/AV113*100)</f>
        <v>0</v>
      </c>
      <c r="AY113" s="3409"/>
      <c r="AZ113" s="3409"/>
      <c r="BA113" s="1078">
        <f>IF(AY113=0,0,(AZ113-AY113)/AY113*100)</f>
        <v>0</v>
      </c>
      <c r="BB113" s="3409"/>
      <c r="BC113" s="3409"/>
      <c r="BD113" s="1078">
        <f>IF(BB113=0,0,(BC113-BB113)/BB113*100)</f>
        <v>0</v>
      </c>
      <c r="BE113" s="3409"/>
      <c r="BF113" s="3409"/>
      <c r="BG113" s="1078">
        <f>IF(BE113=0,0,(BF113-BE113)/BE113*100)</f>
        <v>0</v>
      </c>
      <c r="BH113" s="3409"/>
      <c r="BI113" s="3409"/>
      <c r="BJ113" s="1078">
        <f>IF(BH113=0,0,(BI113-BH113)/BH113*100)</f>
        <v>0</v>
      </c>
      <c r="BK113" s="3409"/>
      <c r="BL113" s="3409"/>
      <c r="BM113" s="1078">
        <f>IF(BK113=0,0,(BL113-BK113)/BK113*100)</f>
        <v>0</v>
      </c>
      <c r="BN113" s="3409"/>
      <c r="BO113" s="3409"/>
      <c r="BP113" s="1078">
        <f>IF(BN113=0,0,(BO113-BN113)/BN113*100)</f>
        <v>0</v>
      </c>
      <c r="BQ113" s="3409"/>
      <c r="BR113" s="3409"/>
      <c r="BS113" s="1078">
        <f>IF(BQ113=0,0,(BR113-BQ113)/BQ113*100)</f>
        <v>0</v>
      </c>
      <c r="BT113" s="3409"/>
      <c r="BU113" s="3409"/>
      <c r="BV113" s="1078">
        <f>IF(BT113=0,0,(BU113-BT113)/BT113*100)</f>
        <v>0</v>
      </c>
      <c r="BW113" s="3409"/>
      <c r="BX113" s="3409"/>
      <c r="BY113" s="1078">
        <f>IF(BW113=0,0,(BX113-BW113)/BW113*100)</f>
        <v>0</v>
      </c>
      <c r="BZ113" s="3409"/>
      <c r="CA113" s="3409"/>
      <c r="CB113" s="1078">
        <f>IF(BZ113=0,0,(CA113-BZ113)/BZ113*100)</f>
        <v>0</v>
      </c>
      <c r="CC113" s="3409"/>
      <c r="CD113" s="3409"/>
      <c r="CE113" s="1078">
        <f>IF(CC113=0,0,(CD113-CC113)/CC113*100)</f>
        <v>0</v>
      </c>
      <c r="CF113" s="3409"/>
      <c r="CG113" s="3409"/>
      <c r="CH113" s="1078">
        <f>IF(CF113=0,0,(CG113-CF113)/CF113*100)</f>
        <v>0</v>
      </c>
      <c r="CI113" s="3409"/>
      <c r="CJ113" s="3409"/>
      <c r="CK113" s="1078">
        <f>IF(CI113=0,0,(CJ113-CI113)/CI113*100)</f>
        <v>0</v>
      </c>
      <c r="CL113" s="3409"/>
      <c r="CM113" s="3409"/>
      <c r="CN113" s="1078">
        <f>IF(CL113=0,0,(CM113-CL113)/CL113*100)</f>
        <v>0</v>
      </c>
      <c r="CO113" s="3409"/>
      <c r="CP113" s="3409"/>
      <c r="CQ113" s="1078">
        <f>IF(CO113=0,0,(CP113-CO113)/CO113*100)</f>
        <v>0</v>
      </c>
      <c r="CR113" s="3409"/>
      <c r="CS113" s="3409"/>
      <c r="CT113" s="1078">
        <f>IF(CR113=0,0,(CS113-CR113)/CR113*100)</f>
        <v>0</v>
      </c>
      <c r="CU113" s="3409"/>
      <c r="CV113" s="3409"/>
      <c r="CW113" s="1078">
        <f>IF(CU113=0,0,(CV113-CU113)/CU113*100)</f>
        <v>0</v>
      </c>
      <c r="CX113" s="3409"/>
      <c r="CY113" s="3409"/>
      <c r="CZ113" s="1078">
        <f>IF(CX113=0,0,(CY113-CX113)/CX113*100)</f>
        <v>0</v>
      </c>
      <c r="DA113" s="3409"/>
      <c r="DB113" s="3409"/>
      <c r="DC113" s="1078">
        <f>IF(DA113=0,0,(DB113-DA113)/DA113*100)</f>
        <v>0</v>
      </c>
      <c r="DD113" s="3409"/>
      <c r="DE113" s="3409"/>
      <c r="DF113" s="1078">
        <f>IF(DD113=0,0,(DE113-DD113)/DD113*100)</f>
        <v>0</v>
      </c>
      <c r="DG113" s="3409"/>
      <c r="DH113" s="3409"/>
      <c r="DI113" s="1078">
        <f>IF(DG113=0,0,(DH113-DG113)/DG113*100)</f>
        <v>0</v>
      </c>
      <c r="DJ113" s="3409"/>
      <c r="DK113" s="3409"/>
      <c r="DL113" s="1078">
        <f>IF(DJ113=0,0,(DK113-DJ113)/DJ113*100)</f>
        <v>0</v>
      </c>
      <c r="DM113" s="3409"/>
      <c r="DN113" s="3409"/>
      <c r="DO113" s="1078">
        <f>IF(DM113=0,0,(DN113-DM113)/DM113*100)</f>
        <v>0</v>
      </c>
      <c r="DP113" s="3409"/>
      <c r="DQ113" s="3409"/>
      <c r="DR113" s="1078">
        <f>IF(DP113=0,0,(DQ113-DP113)/DP113*100)</f>
        <v>0</v>
      </c>
      <c r="DS113" s="3409"/>
      <c r="DT113" s="3409"/>
      <c r="DU113" s="1078">
        <f>IF(DS113=0,0,(DT113-DS113)/DS113*100)</f>
        <v>0</v>
      </c>
      <c r="DV113" s="3409"/>
      <c r="DW113" s="3409"/>
      <c r="DX113" s="1078">
        <f>IF(DV113=0,0,(DW113-DV113)/DV113*100)</f>
        <v>0</v>
      </c>
      <c r="DY113" s="3409"/>
      <c r="DZ113" s="3409"/>
      <c r="EA113" s="1078">
        <f>IF(DY113=0,0,(DZ113-DY113)/DY113*100)</f>
        <v>0</v>
      </c>
      <c r="EB113" s="3409"/>
      <c r="EC113" s="3409"/>
      <c r="ED113" s="1078">
        <f>IF(EB113=0,0,(EC113-EB113)/EB113*100)</f>
        <v>0</v>
      </c>
      <c r="EE113" s="3409"/>
      <c r="EF113" s="3409"/>
      <c r="EG113" s="1078">
        <f>IF(EE113=0,0,(EF113-EE113)/EE113*100)</f>
        <v>0</v>
      </c>
      <c r="EH113" s="3409"/>
      <c r="EI113" s="3409"/>
      <c r="EJ113" s="1078">
        <f>IF(EH113=0,0,(EI113-EH113)/EH113*100)</f>
        <v>0</v>
      </c>
      <c r="EK113" s="3409"/>
      <c r="EL113" s="3409"/>
      <c r="EM113" s="1078">
        <f>IF(EK113=0,0,(EL113-EK113)/EK113*100)</f>
        <v>0</v>
      </c>
      <c r="EN113" s="3409"/>
      <c r="EO113" s="3409"/>
      <c r="EP113" s="1078">
        <f>IF(EN113=0,0,(EO113-EN113)/EN113*100)</f>
        <v>0</v>
      </c>
      <c r="EQ113" s="3409"/>
      <c r="ER113" s="3409"/>
      <c r="ES113" s="1078">
        <f>IF(EQ113=0,0,(ER113-EQ113)/EQ113*100)</f>
        <v>0</v>
      </c>
      <c r="ET113" s="3409"/>
      <c r="EU113" s="3409"/>
      <c r="EV113" s="1078">
        <f>IF(ET113=0,0,(EU113-ET113)/ET113*100)</f>
        <v>0</v>
      </c>
      <c r="EW113" s="3409"/>
      <c r="EX113" s="3409"/>
      <c r="EY113" s="1078">
        <f>IF(EW113=0,0,(EX113-EW113)/EW113*100)</f>
        <v>0</v>
      </c>
      <c r="EZ113" s="3409"/>
      <c r="FA113" s="3409"/>
      <c r="FB113" s="1078">
        <f>IF(EZ113=0,0,(FA113-EZ113)/EZ113*100)</f>
        <v>0</v>
      </c>
      <c r="FC113" s="3409"/>
      <c r="FD113" s="3409"/>
      <c r="FE113" s="1078">
        <f>IF(FC113=0,0,(FD113-FC113)/FC113*100)</f>
        <v>0</v>
      </c>
      <c r="FF113" s="3409"/>
      <c r="FG113" s="3409"/>
      <c r="FH113" s="1078">
        <f>IF(FF113=0,0,(FG113-FF113)/FF113*100)</f>
        <v>0</v>
      </c>
      <c r="FI113" s="3409"/>
      <c r="FJ113" s="3409"/>
      <c r="FK113" s="1078">
        <f>IF(FI113=0,0,(FJ113-FI113)/FI113*100)</f>
        <v>0</v>
      </c>
      <c r="FL113" s="3409"/>
      <c r="FM113" s="3409"/>
      <c r="FN113" s="1078">
        <f>IF(FL113=0,0,(FM113-FL113)/FL113*100)</f>
        <v>0</v>
      </c>
      <c r="FO113" s="3409"/>
      <c r="FP113" s="3409"/>
      <c r="FQ113" s="1078">
        <f>IF(FO113=0,0,(FP113-FO113)/FO113*100)</f>
        <v>0</v>
      </c>
      <c r="FR113" s="3409"/>
      <c r="FS113" s="3409"/>
      <c r="FT113" s="1078">
        <f>IF(FR113=0,0,(FS113-FR113)/FR113*100)</f>
        <v>0</v>
      </c>
      <c r="FU113" s="3409"/>
      <c r="FV113" s="3409"/>
      <c r="FW113" s="1078">
        <f>IF(FU113=0,0,(FV113-FU113)/FU113*100)</f>
        <v>0</v>
      </c>
      <c r="FX113" s="676"/>
      <c r="FY113" s="676"/>
      <c r="FZ113" s="1039" t="s">
        <v>1546</v>
      </c>
      <c r="GA113" s="1061"/>
      <c r="GB113" s="1061"/>
      <c r="GC113" s="697"/>
      <c r="GD113" s="697"/>
    </row>
    <row s="1621" customFormat="1" customHeight="1" ht="23.25" hidden="1">
      <c r="A114" s="467"/>
      <c r="B114" s="907" cm="1" t="str">
        <f t="array" ref="B114:B114">B113</f>
        <v>false</v>
      </c>
      <c r="C114" s="467"/>
      <c r="D114" s="467"/>
      <c r="E114" s="822">
        <v>24.5</v>
      </c>
      <c r="F114" s="50" cm="1" t="str">
        <f t="array" ref="F114:F114">OFFSET(E114,-1,1)</f>
        <v>1</v>
      </c>
      <c r="G114" s="467"/>
      <c r="H114" s="467"/>
      <c r="I114" s="467"/>
      <c r="J114" s="467"/>
      <c r="K114" s="467"/>
      <c r="L114" s="467"/>
      <c r="M114" s="467"/>
      <c r="N114" s="467"/>
      <c r="O114" s="467"/>
      <c r="P114" s="467"/>
      <c r="Q114" s="467"/>
      <c r="R114" s="467"/>
      <c r="S114" s="467"/>
      <c r="T114" s="439" cm="1" t="str">
        <f t="array" ref="T114:T114">T113</f>
        <v>true</v>
      </c>
      <c r="U114" s="467"/>
      <c r="V114" s="467"/>
      <c r="W114" s="467"/>
      <c r="X114" s="1534"/>
      <c r="Y114" s="467"/>
      <c r="Z114" s="1464"/>
      <c r="AA114" s="467"/>
      <c r="AB114" s="260" t="s">
        <v>1547</v>
      </c>
      <c r="AC114" s="885"/>
      <c r="AD114" s="1087"/>
      <c r="AE114" s="1087"/>
      <c r="AF114" s="1087"/>
      <c r="AG114" s="1087"/>
      <c r="AH114" s="1087"/>
      <c r="AI114" s="1087"/>
      <c r="AJ114" s="1087"/>
      <c r="AK114" s="1087"/>
      <c r="AL114" s="1087"/>
      <c r="AM114" s="1087"/>
      <c r="AN114" s="1087"/>
      <c r="AO114" s="1087"/>
      <c r="AP114" s="1087"/>
      <c r="AQ114" s="1087"/>
      <c r="AR114" s="1087"/>
      <c r="AS114" s="1087"/>
      <c r="AT114" s="1087"/>
      <c r="AU114" s="1087"/>
      <c r="AV114" s="1087"/>
      <c r="AW114" s="1087"/>
      <c r="AX114" s="1087"/>
      <c r="AY114" s="1087"/>
      <c r="AZ114" s="1087"/>
      <c r="BA114" s="1087"/>
      <c r="BB114" s="1087"/>
      <c r="BC114" s="1087"/>
      <c r="BD114" s="1087"/>
      <c r="BE114" s="1087"/>
      <c r="BF114" s="1087"/>
      <c r="BG114" s="1087"/>
      <c r="BH114" s="1087"/>
      <c r="BI114" s="1087"/>
      <c r="BJ114" s="1087"/>
      <c r="BK114" s="1087"/>
      <c r="BL114" s="1087"/>
      <c r="BM114" s="1087"/>
      <c r="BN114" s="1087"/>
      <c r="BO114" s="1087"/>
      <c r="BP114" s="1087"/>
      <c r="BQ114" s="1087"/>
      <c r="BR114" s="1087"/>
      <c r="BS114" s="1087"/>
      <c r="BT114" s="1087"/>
      <c r="BU114" s="1087"/>
      <c r="BV114" s="1087"/>
      <c r="BW114" s="1087"/>
      <c r="BX114" s="1087"/>
      <c r="BY114" s="1087"/>
      <c r="BZ114" s="1087"/>
      <c r="CA114" s="1087"/>
      <c r="CB114" s="1087"/>
      <c r="CC114" s="1087"/>
      <c r="CD114" s="1087"/>
      <c r="CE114" s="1087"/>
      <c r="CF114" s="1087"/>
      <c r="CG114" s="1087"/>
      <c r="CH114" s="1087"/>
      <c r="CI114" s="1087"/>
      <c r="CJ114" s="1087"/>
      <c r="CK114" s="1087"/>
      <c r="CL114" s="1087"/>
      <c r="CM114" s="1087"/>
      <c r="CN114" s="1087"/>
      <c r="CO114" s="1087"/>
      <c r="CP114" s="1087"/>
      <c r="CQ114" s="1087"/>
      <c r="CR114" s="1087"/>
      <c r="CS114" s="1087"/>
      <c r="CT114" s="1087"/>
      <c r="CU114" s="1087"/>
      <c r="CV114" s="1087"/>
      <c r="CW114" s="1087"/>
      <c r="CX114" s="1087"/>
      <c r="CY114" s="1087"/>
      <c r="CZ114" s="1087"/>
      <c r="DA114" s="1087"/>
      <c r="DB114" s="1087"/>
      <c r="DC114" s="1087"/>
      <c r="DD114" s="1087"/>
      <c r="DE114" s="1087"/>
      <c r="DF114" s="1087"/>
      <c r="DG114" s="1087"/>
      <c r="DH114" s="1087"/>
      <c r="DI114" s="1087"/>
      <c r="DJ114" s="1087"/>
      <c r="DK114" s="1087"/>
      <c r="DL114" s="1087"/>
      <c r="DM114" s="1087"/>
      <c r="DN114" s="1087"/>
      <c r="DO114" s="1087"/>
      <c r="DP114" s="1087"/>
      <c r="DQ114" s="1087"/>
      <c r="DR114" s="1087"/>
      <c r="DS114" s="1087"/>
      <c r="DT114" s="1087"/>
      <c r="DU114" s="1087"/>
      <c r="DV114" s="1087"/>
      <c r="DW114" s="1087"/>
      <c r="DX114" s="1087"/>
      <c r="DY114" s="1087"/>
      <c r="DZ114" s="1087"/>
      <c r="EA114" s="1087"/>
      <c r="EB114" s="1087"/>
      <c r="EC114" s="1087"/>
      <c r="ED114" s="1087"/>
      <c r="EE114" s="1087"/>
      <c r="EF114" s="1087"/>
      <c r="EG114" s="1087"/>
      <c r="EH114" s="1087"/>
      <c r="EI114" s="1087"/>
      <c r="EJ114" s="1087"/>
      <c r="EK114" s="1087"/>
      <c r="EL114" s="1087"/>
      <c r="EM114" s="1087"/>
      <c r="EN114" s="1087"/>
      <c r="EO114" s="1087"/>
      <c r="EP114" s="1087"/>
      <c r="EQ114" s="1087"/>
      <c r="ER114" s="1087"/>
      <c r="ES114" s="1087"/>
      <c r="ET114" s="1087"/>
      <c r="EU114" s="1087"/>
      <c r="EV114" s="1087"/>
      <c r="EW114" s="1087"/>
      <c r="EX114" s="1087"/>
      <c r="EY114" s="1087"/>
      <c r="EZ114" s="1087"/>
      <c r="FA114" s="1087"/>
      <c r="FB114" s="1087"/>
      <c r="FC114" s="1087"/>
      <c r="FD114" s="1087"/>
      <c r="FE114" s="1087"/>
      <c r="FF114" s="1087"/>
      <c r="FG114" s="1087"/>
      <c r="FH114" s="1087"/>
      <c r="FI114" s="1087"/>
      <c r="FJ114" s="1087"/>
      <c r="FK114" s="1087"/>
      <c r="FL114" s="1087"/>
      <c r="FM114" s="1087"/>
      <c r="FN114" s="1087"/>
      <c r="FO114" s="1087"/>
      <c r="FP114" s="1087"/>
      <c r="FQ114" s="1087"/>
      <c r="FR114" s="1087"/>
      <c r="FS114" s="1087"/>
      <c r="FT114" s="1087"/>
      <c r="FU114" s="1087"/>
      <c r="FV114" s="1087"/>
      <c r="FW114" s="1088"/>
      <c r="FX114" s="676"/>
      <c r="FY114" s="676"/>
      <c r="FZ114" s="1039"/>
      <c r="GA114" s="1061"/>
      <c r="GB114" s="1061"/>
      <c r="GC114" s="697"/>
      <c r="GD114" s="697"/>
    </row>
    <row s="1621" customFormat="1" customHeight="1" ht="14.25" hidden="1">
      <c r="A115" s="467"/>
      <c r="B115" s="907" cm="1" t="str">
        <f t="array" ref="B115:B115">B114</f>
        <v>false</v>
      </c>
      <c r="C115" s="467"/>
      <c r="D115" s="467"/>
      <c r="E115" s="822">
        <v>15</v>
      </c>
      <c r="F115" s="50" cm="1" t="str">
        <f t="array" ref="F115:F115">OFFSET(E115,-1,1)</f>
        <v>1</v>
      </c>
      <c r="G115" s="467"/>
      <c r="H115" s="467" t="s">
        <v>1445</v>
      </c>
      <c r="I115" s="467" t="s">
        <v>1507</v>
      </c>
      <c r="J115" s="467"/>
      <c r="K115" s="467"/>
      <c r="L115" s="467"/>
      <c r="M115" s="467"/>
      <c r="N115" s="467"/>
      <c r="O115" s="467"/>
      <c r="P115" s="467"/>
      <c r="Q115" s="467"/>
      <c r="R115" s="467"/>
      <c r="S115" s="467"/>
      <c r="T115" s="439" cm="1" t="str">
        <f t="array" ref="T115:T115">T114</f>
        <v>true</v>
      </c>
      <c r="U115" s="467"/>
      <c r="V115" s="467"/>
      <c r="W115" s="467"/>
      <c r="X115" s="1534"/>
      <c r="Y115" s="467"/>
      <c r="Z115" s="1464"/>
      <c r="AA115" s="467"/>
      <c r="AB115" s="1076" t="s">
        <v>1527</v>
      </c>
      <c r="AC115" s="846" t="s">
        <v>1494</v>
      </c>
      <c r="AD115" s="3409">
        <f>IF(AD117=0,0,(AD116*AD117+AD118*AD119*IF(god=2026,9,6))/AD117)</f>
        <v>0</v>
      </c>
      <c r="AE115" s="3409">
        <f>IF(AE117=0,0,(AE116*AE117+AE118*AE119*IF(god=2026,9,6))/AE117)</f>
        <v>0</v>
      </c>
      <c r="AF115" s="1078">
        <f>IF(AD115=0,0,(AE115-AD115)/AD115*100)</f>
        <v>0</v>
      </c>
      <c r="AG115" s="3409">
        <f>IF(AG117=0,0,(AG116*AG117+AG118*AG119*IF(god=2025,9,6))/AG117)</f>
        <v>0</v>
      </c>
      <c r="AH115" s="3409">
        <f>IF(AH117=0,0,(AH116*AH117+AH118*AH119*IF(god=2025,9,6))/AH117)</f>
        <v>0</v>
      </c>
      <c r="AI115" s="1078">
        <f>IF(AG115=0,0,(AH115-AG115)/AG115*100)</f>
        <v>0</v>
      </c>
      <c r="AJ115" s="3409">
        <f>IF(AJ117=0,0,(AJ116*AJ117+AJ118*AJ119*6)/AJ117)</f>
        <v>0</v>
      </c>
      <c r="AK115" s="3409">
        <f>IF(AK117=0,0,(AK116*AK117+AK118*AK119*6)/AK117)</f>
        <v>0</v>
      </c>
      <c r="AL115" s="1078">
        <f>IF(AJ115=0,0,(AK115-AJ115)/AJ115*100)</f>
        <v>0</v>
      </c>
      <c r="AM115" s="3409">
        <f>IF(AM117=0,0,(AM116*AM117+AM118*AM119*6)/AM117)</f>
        <v>0</v>
      </c>
      <c r="AN115" s="3409">
        <f>IF(AN117=0,0,(AN116*AN117+AN118*AN119*6)/AN117)</f>
        <v>0</v>
      </c>
      <c r="AO115" s="1078">
        <f>IF(AM115=0,0,(AN115-AM115)/AM115*100)</f>
        <v>0</v>
      </c>
      <c r="AP115" s="3409">
        <f>IF(AP117=0,0,(AP116*AP117+AP118*AP119*6)/AP117)</f>
        <v>0</v>
      </c>
      <c r="AQ115" s="3409">
        <f>IF(AQ117=0,0,(AQ116*AQ117+AQ118*AQ119*6)/AQ117)</f>
        <v>0</v>
      </c>
      <c r="AR115" s="1078">
        <f>IF(AP115=0,0,(AQ115-AP115)/AP115*100)</f>
        <v>0</v>
      </c>
      <c r="AS115" s="3409">
        <f>IF(AS117=0,0,(AS116*AS117+AS118*AS119*6)/AS117)</f>
        <v>0</v>
      </c>
      <c r="AT115" s="3409">
        <f>IF(AT117=0,0,(AT116*AT117+AT118*AT119*6)/AT117)</f>
        <v>0</v>
      </c>
      <c r="AU115" s="1078">
        <f>IF(AS115=0,0,(AT115-AS115)/AS115*100)</f>
        <v>0</v>
      </c>
      <c r="AV115" s="3409">
        <f>IF(AV117=0,0,(AV116*AV117+AV118*AV119*6)/AV117)</f>
        <v>0</v>
      </c>
      <c r="AW115" s="3409">
        <f>IF(AW117=0,0,(AW116*AW117+AW118*AW119*6)/AW117)</f>
        <v>0</v>
      </c>
      <c r="AX115" s="1078">
        <f>IF(AV115=0,0,(AW115-AV115)/AV115*100)</f>
        <v>0</v>
      </c>
      <c r="AY115" s="3409">
        <f>IF(AY117=0,0,(AY116*AY117+AY118*AY119*6)/AY117)</f>
        <v>0</v>
      </c>
      <c r="AZ115" s="3409">
        <f>IF(AZ117=0,0,(AZ116*AZ117+AZ118*AZ119*6)/AZ117)</f>
        <v>0</v>
      </c>
      <c r="BA115" s="1078">
        <f>IF(AY115=0,0,(AZ115-AY115)/AY115*100)</f>
        <v>0</v>
      </c>
      <c r="BB115" s="3409">
        <f>IF(BB117=0,0,(BB116*BB117+BB118*BB119*6)/BB117)</f>
        <v>0</v>
      </c>
      <c r="BC115" s="3409">
        <f>IF(BC117=0,0,(BC116*BC117+BC118*BC119*6)/BC117)</f>
        <v>0</v>
      </c>
      <c r="BD115" s="1078">
        <f>IF(BB115=0,0,(BC115-BB115)/BB115*100)</f>
        <v>0</v>
      </c>
      <c r="BE115" s="3409">
        <f>IF(BE117=0,0,(BE116*BE117+BE118*BE119*6)/BE117)</f>
        <v>0</v>
      </c>
      <c r="BF115" s="3409">
        <f>IF(BF117=0,0,(BF116*BF117+BF118*BF119*6)/BF117)</f>
        <v>0</v>
      </c>
      <c r="BG115" s="1078">
        <f>IF(BE115=0,0,(BF115-BE115)/BE115*100)</f>
        <v>0</v>
      </c>
      <c r="BH115" s="3409">
        <f>IF(BH117=0,0,(BH116*BH117+BH118*BH119*6)/BH117)</f>
        <v>0</v>
      </c>
      <c r="BI115" s="3409">
        <f>IF(BI117=0,0,(BI116*BI117+BI118*BI119*6)/BI117)</f>
        <v>0</v>
      </c>
      <c r="BJ115" s="1078">
        <f>IF(BH115=0,0,(BI115-BH115)/BH115*100)</f>
        <v>0</v>
      </c>
      <c r="BK115" s="3409">
        <f>IF(BK117=0,0,(BK116*BK117+BK118*BK119*6)/BK117)</f>
        <v>0</v>
      </c>
      <c r="BL115" s="3409">
        <f>IF(BL117=0,0,(BL116*BL117+BL118*BL119*6)/BL117)</f>
        <v>0</v>
      </c>
      <c r="BM115" s="1078">
        <f>IF(BK115=0,0,(BL115-BK115)/BK115*100)</f>
        <v>0</v>
      </c>
      <c r="BN115" s="3409">
        <f>IF(BN117=0,0,(BN116*BN117+BN118*BN119*6)/BN117)</f>
        <v>0</v>
      </c>
      <c r="BO115" s="3409">
        <f>IF(BO117=0,0,(BO116*BO117+BO118*BO119*6)/BO117)</f>
        <v>0</v>
      </c>
      <c r="BP115" s="1078">
        <f>IF(BN115=0,0,(BO115-BN115)/BN115*100)</f>
        <v>0</v>
      </c>
      <c r="BQ115" s="3409">
        <f>IF(BQ117=0,0,(BQ116*BQ117+BQ118*BQ119*6)/BQ117)</f>
        <v>0</v>
      </c>
      <c r="BR115" s="3409">
        <f>IF(BR117=0,0,(BR116*BR117+BR118*BR119*6)/BR117)</f>
        <v>0</v>
      </c>
      <c r="BS115" s="1078">
        <f>IF(BQ115=0,0,(BR115-BQ115)/BQ115*100)</f>
        <v>0</v>
      </c>
      <c r="BT115" s="3409">
        <f>IF(BT117=0,0,(BT116*BT117+BT118*BT119*6)/BT117)</f>
        <v>0</v>
      </c>
      <c r="BU115" s="3409">
        <f>IF(BU117=0,0,(BU116*BU117+BU118*BU119*6)/BU117)</f>
        <v>0</v>
      </c>
      <c r="BV115" s="1078">
        <f>IF(BT115=0,0,(BU115-BT115)/BT115*100)</f>
        <v>0</v>
      </c>
      <c r="BW115" s="3409">
        <f>IF(BW117=0,0,(BW116*BW117+BW118*BW119*6)/BW117)</f>
        <v>0</v>
      </c>
      <c r="BX115" s="3409">
        <f>IF(BX117=0,0,(BX116*BX117+BX118*BX119*6)/BX117)</f>
        <v>0</v>
      </c>
      <c r="BY115" s="1078">
        <f>IF(BW115=0,0,(BX115-BW115)/BW115*100)</f>
        <v>0</v>
      </c>
      <c r="BZ115" s="3409">
        <f>IF(BZ117=0,0,(BZ116*BZ117+BZ118*BZ119*6)/BZ117)</f>
        <v>0</v>
      </c>
      <c r="CA115" s="3409">
        <f>IF(CA117=0,0,(CA116*CA117+CA118*CA119*6)/CA117)</f>
        <v>0</v>
      </c>
      <c r="CB115" s="1078">
        <f>IF(BZ115=0,0,(CA115-BZ115)/BZ115*100)</f>
        <v>0</v>
      </c>
      <c r="CC115" s="3409">
        <f>IF(CC117=0,0,(CC116*CC117+CC118*CC119*6)/CC117)</f>
        <v>0</v>
      </c>
      <c r="CD115" s="3409">
        <f>IF(CD117=0,0,(CD116*CD117+CD118*CD119*6)/CD117)</f>
        <v>0</v>
      </c>
      <c r="CE115" s="1078">
        <f>IF(CC115=0,0,(CD115-CC115)/CC115*100)</f>
        <v>0</v>
      </c>
      <c r="CF115" s="3409">
        <f>IF(CF117=0,0,(CF116*CF117+CF118*CF119*6)/CF117)</f>
        <v>0</v>
      </c>
      <c r="CG115" s="3409">
        <f>IF(CG117=0,0,(CG116*CG117+CG118*CG119*6)/CG117)</f>
        <v>0</v>
      </c>
      <c r="CH115" s="1078">
        <f>IF(CF115=0,0,(CG115-CF115)/CF115*100)</f>
        <v>0</v>
      </c>
      <c r="CI115" s="3409">
        <f>IF(CI117=0,0,(CI116*CI117+CI118*CI119*6)/CI117)</f>
        <v>0</v>
      </c>
      <c r="CJ115" s="3409">
        <f>IF(CJ117=0,0,(CJ116*CJ117+CJ118*CJ119*6)/CJ117)</f>
        <v>0</v>
      </c>
      <c r="CK115" s="1078">
        <f>IF(CI115=0,0,(CJ115-CI115)/CI115*100)</f>
        <v>0</v>
      </c>
      <c r="CL115" s="3409">
        <f>IF(CL117=0,0,(CL116*CL117+CL118*CL119*6)/CL117)</f>
        <v>0</v>
      </c>
      <c r="CM115" s="3409">
        <f>IF(CM117=0,0,(CM116*CM117+CM118*CM119*6)/CM117)</f>
        <v>0</v>
      </c>
      <c r="CN115" s="1078">
        <f>IF(CL115=0,0,(CM115-CL115)/CL115*100)</f>
        <v>0</v>
      </c>
      <c r="CO115" s="3409">
        <f>IF(CO117=0,0,(CO116*CO117+CO118*CO119*6)/CO117)</f>
        <v>0</v>
      </c>
      <c r="CP115" s="3409">
        <f>IF(CP117=0,0,(CP116*CP117+CP118*CP119*6)/CP117)</f>
        <v>0</v>
      </c>
      <c r="CQ115" s="1078">
        <f>IF(CO115=0,0,(CP115-CO115)/CO115*100)</f>
        <v>0</v>
      </c>
      <c r="CR115" s="3409">
        <f>IF(CR117=0,0,(CR116*CR117+CR118*CR119*6)/CR117)</f>
        <v>0</v>
      </c>
      <c r="CS115" s="3409">
        <f>IF(CS117=0,0,(CS116*CS117+CS118*CS119*6)/CS117)</f>
        <v>0</v>
      </c>
      <c r="CT115" s="1078">
        <f>IF(CR115=0,0,(CS115-CR115)/CR115*100)</f>
        <v>0</v>
      </c>
      <c r="CU115" s="3409">
        <f>IF(CU117=0,0,(CU116*CU117+CU118*CU119*6)/CU117)</f>
        <v>0</v>
      </c>
      <c r="CV115" s="3409">
        <f>IF(CV117=0,0,(CV116*CV117+CV118*CV119*6)/CV117)</f>
        <v>0</v>
      </c>
      <c r="CW115" s="1078">
        <f>IF(CU115=0,0,(CV115-CU115)/CU115*100)</f>
        <v>0</v>
      </c>
      <c r="CX115" s="3409">
        <f>IF(CX117=0,0,(CX116*CX117+CX118*CX119*6)/CX117)</f>
        <v>0</v>
      </c>
      <c r="CY115" s="3409">
        <f>IF(CY117=0,0,(CY116*CY117+CY118*CY119*6)/CY117)</f>
        <v>0</v>
      </c>
      <c r="CZ115" s="1078">
        <f>IF(CX115=0,0,(CY115-CX115)/CX115*100)</f>
        <v>0</v>
      </c>
      <c r="DA115" s="3409">
        <f>IF(DA117=0,0,(DA116*DA117+DA118*DA119*6)/DA117)</f>
        <v>0</v>
      </c>
      <c r="DB115" s="3409">
        <f>IF(DB117=0,0,(DB116*DB117+DB118*DB119*6)/DB117)</f>
        <v>0</v>
      </c>
      <c r="DC115" s="1078">
        <f>IF(DA115=0,0,(DB115-DA115)/DA115*100)</f>
        <v>0</v>
      </c>
      <c r="DD115" s="3409">
        <f>IF(DD117=0,0,(DD116*DD117+DD118*DD119*6)/DD117)</f>
        <v>0</v>
      </c>
      <c r="DE115" s="3409">
        <f>IF(DE117=0,0,(DE116*DE117+DE118*DE119*6)/DE117)</f>
        <v>0</v>
      </c>
      <c r="DF115" s="1078">
        <f>IF(DD115=0,0,(DE115-DD115)/DD115*100)</f>
        <v>0</v>
      </c>
      <c r="DG115" s="3409">
        <f>IF(DG117=0,0,(DG116*DG117+DG118*DG119*6)/DG117)</f>
        <v>0</v>
      </c>
      <c r="DH115" s="3409">
        <f>IF(DH117=0,0,(DH116*DH117+DH118*DH119*6)/DH117)</f>
        <v>0</v>
      </c>
      <c r="DI115" s="1078">
        <f>IF(DG115=0,0,(DH115-DG115)/DG115*100)</f>
        <v>0</v>
      </c>
      <c r="DJ115" s="3409">
        <f>IF(DJ117=0,0,(DJ116*DJ117+DJ118*DJ119*6)/DJ117)</f>
        <v>0</v>
      </c>
      <c r="DK115" s="3409">
        <f>IF(DK117=0,0,(DK116*DK117+DK118*DK119*6)/DK117)</f>
        <v>0</v>
      </c>
      <c r="DL115" s="1078">
        <f>IF(DJ115=0,0,(DK115-DJ115)/DJ115*100)</f>
        <v>0</v>
      </c>
      <c r="DM115" s="3409">
        <f>IF(DM117=0,0,(DM116*DM117+DM118*DM119*6)/DM117)</f>
        <v>0</v>
      </c>
      <c r="DN115" s="3409">
        <f>IF(DN117=0,0,(DN116*DN117+DN118*DN119*6)/DN117)</f>
        <v>0</v>
      </c>
      <c r="DO115" s="1078">
        <f>IF(DM115=0,0,(DN115-DM115)/DM115*100)</f>
        <v>0</v>
      </c>
      <c r="DP115" s="3409">
        <f>IF(DP117=0,0,(DP116*DP117+DP118*DP119*6)/DP117)</f>
        <v>0</v>
      </c>
      <c r="DQ115" s="3409">
        <f>IF(DQ117=0,0,(DQ116*DQ117+DQ118*DQ119*6)/DQ117)</f>
        <v>0</v>
      </c>
      <c r="DR115" s="1078">
        <f>IF(DP115=0,0,(DQ115-DP115)/DP115*100)</f>
        <v>0</v>
      </c>
      <c r="DS115" s="3409">
        <f>IF(DS117=0,0,(DS116*DS117+DS118*DS119*6)/DS117)</f>
        <v>0</v>
      </c>
      <c r="DT115" s="3409">
        <f>IF(DT117=0,0,(DT116*DT117+DT118*DT119*6)/DT117)</f>
        <v>0</v>
      </c>
      <c r="DU115" s="1078">
        <f>IF(DS115=0,0,(DT115-DS115)/DS115*100)</f>
        <v>0</v>
      </c>
      <c r="DV115" s="3409">
        <f>IF(DV117=0,0,(DV116*DV117+DV118*DV119*6)/DV117)</f>
        <v>0</v>
      </c>
      <c r="DW115" s="3409">
        <f>IF(DW117=0,0,(DW116*DW117+DW118*DW119*6)/DW117)</f>
        <v>0</v>
      </c>
      <c r="DX115" s="1078">
        <f>IF(DV115=0,0,(DW115-DV115)/DV115*100)</f>
        <v>0</v>
      </c>
      <c r="DY115" s="3409">
        <f>IF(DY117=0,0,(DY116*DY117+DY118*DY119*6)/DY117)</f>
        <v>0</v>
      </c>
      <c r="DZ115" s="3409">
        <f>IF(DZ117=0,0,(DZ116*DZ117+DZ118*DZ119*6)/DZ117)</f>
        <v>0</v>
      </c>
      <c r="EA115" s="1078">
        <f>IF(DY115=0,0,(DZ115-DY115)/DY115*100)</f>
        <v>0</v>
      </c>
      <c r="EB115" s="3409">
        <f>IF(EB117=0,0,(EB116*EB117+EB118*EB119*6)/EB117)</f>
        <v>0</v>
      </c>
      <c r="EC115" s="3409">
        <f>IF(EC117=0,0,(EC116*EC117+EC118*EC119*6)/EC117)</f>
        <v>0</v>
      </c>
      <c r="ED115" s="1078">
        <f>IF(EB115=0,0,(EC115-EB115)/EB115*100)</f>
        <v>0</v>
      </c>
      <c r="EE115" s="3409">
        <f>IF(EE117=0,0,(EE116*EE117+EE118*EE119*6)/EE117)</f>
        <v>0</v>
      </c>
      <c r="EF115" s="3409">
        <f>IF(EF117=0,0,(EF116*EF117+EF118*EF119*6)/EF117)</f>
        <v>0</v>
      </c>
      <c r="EG115" s="1078">
        <f>IF(EE115=0,0,(EF115-EE115)/EE115*100)</f>
        <v>0</v>
      </c>
      <c r="EH115" s="3409">
        <f>IF(EH117=0,0,(EH116*EH117+EH118*EH119*6)/EH117)</f>
        <v>0</v>
      </c>
      <c r="EI115" s="3409">
        <f>IF(EI117=0,0,(EI116*EI117+EI118*EI119*6)/EI117)</f>
        <v>0</v>
      </c>
      <c r="EJ115" s="1078">
        <f>IF(EH115=0,0,(EI115-EH115)/EH115*100)</f>
        <v>0</v>
      </c>
      <c r="EK115" s="3409">
        <f>IF(EK117=0,0,(EK116*EK117+EK118*EK119*6)/EK117)</f>
        <v>0</v>
      </c>
      <c r="EL115" s="3409">
        <f>IF(EL117=0,0,(EL116*EL117+EL118*EL119*6)/EL117)</f>
        <v>0</v>
      </c>
      <c r="EM115" s="1078">
        <f>IF(EK115=0,0,(EL115-EK115)/EK115*100)</f>
        <v>0</v>
      </c>
      <c r="EN115" s="3409">
        <f>IF(EN117=0,0,(EN116*EN117+EN118*EN119*6)/EN117)</f>
        <v>0</v>
      </c>
      <c r="EO115" s="3409">
        <f>IF(EO117=0,0,(EO116*EO117+EO118*EO119*6)/EO117)</f>
        <v>0</v>
      </c>
      <c r="EP115" s="1078">
        <f>IF(EN115=0,0,(EO115-EN115)/EN115*100)</f>
        <v>0</v>
      </c>
      <c r="EQ115" s="3409">
        <f>IF(EQ117=0,0,(EQ116*EQ117+EQ118*EQ119*6)/EQ117)</f>
        <v>0</v>
      </c>
      <c r="ER115" s="3409">
        <f>IF(ER117=0,0,(ER116*ER117+ER118*ER119*6)/ER117)</f>
        <v>0</v>
      </c>
      <c r="ES115" s="1078">
        <f>IF(EQ115=0,0,(ER115-EQ115)/EQ115*100)</f>
        <v>0</v>
      </c>
      <c r="ET115" s="3409">
        <f>IF(ET117=0,0,(ET116*ET117+ET118*ET119*6)/ET117)</f>
        <v>0</v>
      </c>
      <c r="EU115" s="3409">
        <f>IF(EU117=0,0,(EU116*EU117+EU118*EU119*6)/EU117)</f>
        <v>0</v>
      </c>
      <c r="EV115" s="1078">
        <f>IF(ET115=0,0,(EU115-ET115)/ET115*100)</f>
        <v>0</v>
      </c>
      <c r="EW115" s="3409">
        <f>IF(EW117=0,0,(EW116*EW117+EW118*EW119*6)/EW117)</f>
        <v>0</v>
      </c>
      <c r="EX115" s="3409">
        <f>IF(EX117=0,0,(EX116*EX117+EX118*EX119*6)/EX117)</f>
        <v>0</v>
      </c>
      <c r="EY115" s="1078">
        <f>IF(EW115=0,0,(EX115-EW115)/EW115*100)</f>
        <v>0</v>
      </c>
      <c r="EZ115" s="3409">
        <f>IF(EZ117=0,0,(EZ116*EZ117+EZ118*EZ119*6)/EZ117)</f>
        <v>0</v>
      </c>
      <c r="FA115" s="3409">
        <f>IF(FA117=0,0,(FA116*FA117+FA118*FA119*6)/FA117)</f>
        <v>0</v>
      </c>
      <c r="FB115" s="1078">
        <f>IF(EZ115=0,0,(FA115-EZ115)/EZ115*100)</f>
        <v>0</v>
      </c>
      <c r="FC115" s="3409">
        <f>IF(FC117=0,0,(FC116*FC117+FC118*FC119*6)/FC117)</f>
        <v>0</v>
      </c>
      <c r="FD115" s="3409">
        <f>IF(FD117=0,0,(FD116*FD117+FD118*FD119*6)/FD117)</f>
        <v>0</v>
      </c>
      <c r="FE115" s="1078">
        <f>IF(FC115=0,0,(FD115-FC115)/FC115*100)</f>
        <v>0</v>
      </c>
      <c r="FF115" s="3409">
        <f>IF(FF117=0,0,(FF116*FF117+FF118*FF119*6)/FF117)</f>
        <v>0</v>
      </c>
      <c r="FG115" s="3409">
        <f>IF(FG117=0,0,(FG116*FG117+FG118*FG119*6)/FG117)</f>
        <v>0</v>
      </c>
      <c r="FH115" s="1078">
        <f>IF(FF115=0,0,(FG115-FF115)/FF115*100)</f>
        <v>0</v>
      </c>
      <c r="FI115" s="3409">
        <f>IF(FI117=0,0,(FI116*FI117+FI118*FI119*6)/FI117)</f>
        <v>0</v>
      </c>
      <c r="FJ115" s="3409">
        <f>IF(FJ117=0,0,(FJ116*FJ117+FJ118*FJ119*6)/FJ117)</f>
        <v>0</v>
      </c>
      <c r="FK115" s="1078">
        <f>IF(FI115=0,0,(FJ115-FI115)/FI115*100)</f>
        <v>0</v>
      </c>
      <c r="FL115" s="3409">
        <f>IF(FL117=0,0,(FL116*FL117+FL118*FL119*6)/FL117)</f>
        <v>0</v>
      </c>
      <c r="FM115" s="3409">
        <f>IF(FM117=0,0,(FM116*FM117+FM118*FM119*6)/FM117)</f>
        <v>0</v>
      </c>
      <c r="FN115" s="1078">
        <f>IF(FL115=0,0,(FM115-FL115)/FL115*100)</f>
        <v>0</v>
      </c>
      <c r="FO115" s="3409">
        <f>IF(FO117=0,0,(FO116*FO117+FO118*FO119*6)/FO117)</f>
        <v>0</v>
      </c>
      <c r="FP115" s="3409">
        <f>IF(FP117=0,0,(FP116*FP117+FP118*FP119*6)/FP117)</f>
        <v>0</v>
      </c>
      <c r="FQ115" s="1078">
        <f>IF(FO115=0,0,(FP115-FO115)/FO115*100)</f>
        <v>0</v>
      </c>
      <c r="FR115" s="3409">
        <f>IF(FR117=0,0,(FR116*FR117+FR118*FR119*6)/FR117)</f>
        <v>0</v>
      </c>
      <c r="FS115" s="3409">
        <f>IF(FS117=0,0,(FS116*FS117+FS118*FS119*6)/FS117)</f>
        <v>0</v>
      </c>
      <c r="FT115" s="1078">
        <f>IF(FR115=0,0,(FS115-FR115)/FR115*100)</f>
        <v>0</v>
      </c>
      <c r="FU115" s="3409">
        <f>IF(FU117=0,0,(FU116*FU117+FU118*FU119*6)/FU117)</f>
        <v>0</v>
      </c>
      <c r="FV115" s="3409">
        <f>IF(FV117=0,0,(FV116*FV117+FV118*FV119*6)/FV117)</f>
        <v>0</v>
      </c>
      <c r="FW115" s="1078">
        <f>IF(FU115=0,0,(FV115-FU115)/FU115*100)</f>
        <v>0</v>
      </c>
      <c r="FX115" s="676"/>
      <c r="FY115" s="676"/>
      <c r="FZ115" s="1039" t="s">
        <v>1548</v>
      </c>
      <c r="GA115" s="1061"/>
      <c r="GB115" s="1061"/>
      <c r="GC115" s="697"/>
      <c r="GD115" s="697"/>
    </row>
    <row s="1621" customFormat="1" customHeight="1" ht="14.25" hidden="1">
      <c r="A116" s="467"/>
      <c r="B116" s="907" cm="1" t="str">
        <f t="array" ref="B116:B116">B115</f>
        <v>false</v>
      </c>
      <c r="C116" s="467"/>
      <c r="D116" s="467"/>
      <c r="E116" s="822">
        <v>15</v>
      </c>
      <c r="F116" s="50" cm="1" t="str">
        <f t="array" ref="F116:F116">OFFSET(E116,-1,1)</f>
        <v>1</v>
      </c>
      <c r="G116" s="467"/>
      <c r="H116" s="467" t="s">
        <v>1449</v>
      </c>
      <c r="I116" s="467" t="s">
        <v>1507</v>
      </c>
      <c r="J116" s="467"/>
      <c r="K116" s="467"/>
      <c r="L116" s="467"/>
      <c r="M116" s="467"/>
      <c r="N116" s="467"/>
      <c r="O116" s="467"/>
      <c r="P116" s="467"/>
      <c r="Q116" s="467"/>
      <c r="R116" s="467"/>
      <c r="S116" s="467"/>
      <c r="T116" s="439" cm="1" t="str">
        <f t="array" ref="T116:T116">T115</f>
        <v>true</v>
      </c>
      <c r="U116" s="467"/>
      <c r="V116" s="467"/>
      <c r="W116" s="467"/>
      <c r="X116" s="1534"/>
      <c r="Y116" s="467"/>
      <c r="Z116" s="1464"/>
      <c r="AA116" s="467"/>
      <c r="AB116" s="107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846" t="s">
        <v>1494</v>
      </c>
      <c r="AD116" s="3409"/>
      <c r="AE116" s="3409"/>
      <c r="AF116" s="1078">
        <f>IF(AD116=0,0,(AE116-AD116)/AD116*100)</f>
        <v>0</v>
      </c>
      <c r="AG116" s="3409"/>
      <c r="AH116" s="3409"/>
      <c r="AI116" s="1078">
        <f>IF(AG116=0,0,(AH116-AG116)/AG116*100)</f>
        <v>0</v>
      </c>
      <c r="AJ116" s="3409"/>
      <c r="AK116" s="3409"/>
      <c r="AL116" s="1078">
        <f>IF(AJ116=0,0,(AK116-AJ116)/AJ116*100)</f>
        <v>0</v>
      </c>
      <c r="AM116" s="3409"/>
      <c r="AN116" s="3409"/>
      <c r="AO116" s="1078">
        <f>IF(AM116=0,0,(AN116-AM116)/AM116*100)</f>
        <v>0</v>
      </c>
      <c r="AP116" s="3409"/>
      <c r="AQ116" s="3409"/>
      <c r="AR116" s="1078">
        <f>IF(AP116=0,0,(AQ116-AP116)/AP116*100)</f>
        <v>0</v>
      </c>
      <c r="AS116" s="3409"/>
      <c r="AT116" s="3409"/>
      <c r="AU116" s="1078">
        <f>IF(AS116=0,0,(AT116-AS116)/AS116*100)</f>
        <v>0</v>
      </c>
      <c r="AV116" s="3409"/>
      <c r="AW116" s="3409"/>
      <c r="AX116" s="1078">
        <f>IF(AV116=0,0,(AW116-AV116)/AV116*100)</f>
        <v>0</v>
      </c>
      <c r="AY116" s="3409"/>
      <c r="AZ116" s="3409"/>
      <c r="BA116" s="1078">
        <f>IF(AY116=0,0,(AZ116-AY116)/AY116*100)</f>
        <v>0</v>
      </c>
      <c r="BB116" s="3409"/>
      <c r="BC116" s="3409"/>
      <c r="BD116" s="1078">
        <f>IF(BB116=0,0,(BC116-BB116)/BB116*100)</f>
        <v>0</v>
      </c>
      <c r="BE116" s="3409"/>
      <c r="BF116" s="3409"/>
      <c r="BG116" s="1078">
        <f>IF(BE116=0,0,(BF116-BE116)/BE116*100)</f>
        <v>0</v>
      </c>
      <c r="BH116" s="3409"/>
      <c r="BI116" s="3409"/>
      <c r="BJ116" s="1078">
        <f>IF(BH116=0,0,(BI116-BH116)/BH116*100)</f>
        <v>0</v>
      </c>
      <c r="BK116" s="3409"/>
      <c r="BL116" s="3409"/>
      <c r="BM116" s="1078">
        <f>IF(BK116=0,0,(BL116-BK116)/BK116*100)</f>
        <v>0</v>
      </c>
      <c r="BN116" s="3409"/>
      <c r="BO116" s="3409"/>
      <c r="BP116" s="1078">
        <f>IF(BN116=0,0,(BO116-BN116)/BN116*100)</f>
        <v>0</v>
      </c>
      <c r="BQ116" s="3409"/>
      <c r="BR116" s="3409"/>
      <c r="BS116" s="1078">
        <f>IF(BQ116=0,0,(BR116-BQ116)/BQ116*100)</f>
        <v>0</v>
      </c>
      <c r="BT116" s="3409"/>
      <c r="BU116" s="3409"/>
      <c r="BV116" s="1078">
        <f>IF(BT116=0,0,(BU116-BT116)/BT116*100)</f>
        <v>0</v>
      </c>
      <c r="BW116" s="3409"/>
      <c r="BX116" s="3409"/>
      <c r="BY116" s="1078">
        <f>IF(BW116=0,0,(BX116-BW116)/BW116*100)</f>
        <v>0</v>
      </c>
      <c r="BZ116" s="3409"/>
      <c r="CA116" s="3409"/>
      <c r="CB116" s="1078">
        <f>IF(BZ116=0,0,(CA116-BZ116)/BZ116*100)</f>
        <v>0</v>
      </c>
      <c r="CC116" s="3409"/>
      <c r="CD116" s="3409"/>
      <c r="CE116" s="1078">
        <f>IF(CC116=0,0,(CD116-CC116)/CC116*100)</f>
        <v>0</v>
      </c>
      <c r="CF116" s="3409"/>
      <c r="CG116" s="3409"/>
      <c r="CH116" s="1078">
        <f>IF(CF116=0,0,(CG116-CF116)/CF116*100)</f>
        <v>0</v>
      </c>
      <c r="CI116" s="3409"/>
      <c r="CJ116" s="3409"/>
      <c r="CK116" s="1078">
        <f>IF(CI116=0,0,(CJ116-CI116)/CI116*100)</f>
        <v>0</v>
      </c>
      <c r="CL116" s="3409"/>
      <c r="CM116" s="3409"/>
      <c r="CN116" s="1078">
        <f>IF(CL116=0,0,(CM116-CL116)/CL116*100)</f>
        <v>0</v>
      </c>
      <c r="CO116" s="3409"/>
      <c r="CP116" s="3409"/>
      <c r="CQ116" s="1078">
        <f>IF(CO116=0,0,(CP116-CO116)/CO116*100)</f>
        <v>0</v>
      </c>
      <c r="CR116" s="3409"/>
      <c r="CS116" s="3409"/>
      <c r="CT116" s="1078">
        <f>IF(CR116=0,0,(CS116-CR116)/CR116*100)</f>
        <v>0</v>
      </c>
      <c r="CU116" s="3409"/>
      <c r="CV116" s="3409"/>
      <c r="CW116" s="1078">
        <f>IF(CU116=0,0,(CV116-CU116)/CU116*100)</f>
        <v>0</v>
      </c>
      <c r="CX116" s="3409"/>
      <c r="CY116" s="3409"/>
      <c r="CZ116" s="1078">
        <f>IF(CX116=0,0,(CY116-CX116)/CX116*100)</f>
        <v>0</v>
      </c>
      <c r="DA116" s="3409"/>
      <c r="DB116" s="3409"/>
      <c r="DC116" s="1078">
        <f>IF(DA116=0,0,(DB116-DA116)/DA116*100)</f>
        <v>0</v>
      </c>
      <c r="DD116" s="3409"/>
      <c r="DE116" s="3409"/>
      <c r="DF116" s="1078">
        <f>IF(DD116=0,0,(DE116-DD116)/DD116*100)</f>
        <v>0</v>
      </c>
      <c r="DG116" s="3409"/>
      <c r="DH116" s="3409"/>
      <c r="DI116" s="1078">
        <f>IF(DG116=0,0,(DH116-DG116)/DG116*100)</f>
        <v>0</v>
      </c>
      <c r="DJ116" s="3409"/>
      <c r="DK116" s="3409"/>
      <c r="DL116" s="1078">
        <f>IF(DJ116=0,0,(DK116-DJ116)/DJ116*100)</f>
        <v>0</v>
      </c>
      <c r="DM116" s="3409"/>
      <c r="DN116" s="3409"/>
      <c r="DO116" s="1078">
        <f>IF(DM116=0,0,(DN116-DM116)/DM116*100)</f>
        <v>0</v>
      </c>
      <c r="DP116" s="3409"/>
      <c r="DQ116" s="3409"/>
      <c r="DR116" s="1078">
        <f>IF(DP116=0,0,(DQ116-DP116)/DP116*100)</f>
        <v>0</v>
      </c>
      <c r="DS116" s="3409"/>
      <c r="DT116" s="3409"/>
      <c r="DU116" s="1078">
        <f>IF(DS116=0,0,(DT116-DS116)/DS116*100)</f>
        <v>0</v>
      </c>
      <c r="DV116" s="3409"/>
      <c r="DW116" s="3409"/>
      <c r="DX116" s="1078">
        <f>IF(DV116=0,0,(DW116-DV116)/DV116*100)</f>
        <v>0</v>
      </c>
      <c r="DY116" s="3409"/>
      <c r="DZ116" s="3409"/>
      <c r="EA116" s="1078">
        <f>IF(DY116=0,0,(DZ116-DY116)/DY116*100)</f>
        <v>0</v>
      </c>
      <c r="EB116" s="3409"/>
      <c r="EC116" s="3409"/>
      <c r="ED116" s="1078">
        <f>IF(EB116=0,0,(EC116-EB116)/EB116*100)</f>
        <v>0</v>
      </c>
      <c r="EE116" s="3409"/>
      <c r="EF116" s="3409"/>
      <c r="EG116" s="1078">
        <f>IF(EE116=0,0,(EF116-EE116)/EE116*100)</f>
        <v>0</v>
      </c>
      <c r="EH116" s="3409"/>
      <c r="EI116" s="3409"/>
      <c r="EJ116" s="1078">
        <f>IF(EH116=0,0,(EI116-EH116)/EH116*100)</f>
        <v>0</v>
      </c>
      <c r="EK116" s="3409"/>
      <c r="EL116" s="3409"/>
      <c r="EM116" s="1078">
        <f>IF(EK116=0,0,(EL116-EK116)/EK116*100)</f>
        <v>0</v>
      </c>
      <c r="EN116" s="3409"/>
      <c r="EO116" s="3409"/>
      <c r="EP116" s="1078">
        <f>IF(EN116=0,0,(EO116-EN116)/EN116*100)</f>
        <v>0</v>
      </c>
      <c r="EQ116" s="3409"/>
      <c r="ER116" s="3409"/>
      <c r="ES116" s="1078">
        <f>IF(EQ116=0,0,(ER116-EQ116)/EQ116*100)</f>
        <v>0</v>
      </c>
      <c r="ET116" s="3409"/>
      <c r="EU116" s="3409"/>
      <c r="EV116" s="1078">
        <f>IF(ET116=0,0,(EU116-ET116)/ET116*100)</f>
        <v>0</v>
      </c>
      <c r="EW116" s="3409"/>
      <c r="EX116" s="3409"/>
      <c r="EY116" s="1078">
        <f>IF(EW116=0,0,(EX116-EW116)/EW116*100)</f>
        <v>0</v>
      </c>
      <c r="EZ116" s="3409"/>
      <c r="FA116" s="3409"/>
      <c r="FB116" s="1078">
        <f>IF(EZ116=0,0,(FA116-EZ116)/EZ116*100)</f>
        <v>0</v>
      </c>
      <c r="FC116" s="3409"/>
      <c r="FD116" s="3409"/>
      <c r="FE116" s="1078">
        <f>IF(FC116=0,0,(FD116-FC116)/FC116*100)</f>
        <v>0</v>
      </c>
      <c r="FF116" s="3409"/>
      <c r="FG116" s="3409"/>
      <c r="FH116" s="1078">
        <f>IF(FF116=0,0,(FG116-FF116)/FF116*100)</f>
        <v>0</v>
      </c>
      <c r="FI116" s="3409"/>
      <c r="FJ116" s="3409"/>
      <c r="FK116" s="1078">
        <f>IF(FI116=0,0,(FJ116-FI116)/FI116*100)</f>
        <v>0</v>
      </c>
      <c r="FL116" s="3409"/>
      <c r="FM116" s="3409"/>
      <c r="FN116" s="1078">
        <f>IF(FL116=0,0,(FM116-FL116)/FL116*100)</f>
        <v>0</v>
      </c>
      <c r="FO116" s="3409"/>
      <c r="FP116" s="3409"/>
      <c r="FQ116" s="1078">
        <f>IF(FO116=0,0,(FP116-FO116)/FO116*100)</f>
        <v>0</v>
      </c>
      <c r="FR116" s="3409"/>
      <c r="FS116" s="3409"/>
      <c r="FT116" s="1078">
        <f>IF(FR116=0,0,(FS116-FR116)/FR116*100)</f>
        <v>0</v>
      </c>
      <c r="FU116" s="3409"/>
      <c r="FV116" s="3409"/>
      <c r="FW116" s="1078">
        <f>IF(FU116=0,0,(FV116-FU116)/FU116*100)</f>
        <v>0</v>
      </c>
      <c r="FX116" s="676"/>
      <c r="FY116" s="676"/>
      <c r="FZ116" s="1039" t="s">
        <v>1549</v>
      </c>
      <c r="GA116" s="1061"/>
      <c r="GB116" s="1061"/>
      <c r="GC116" s="697"/>
      <c r="GD116" s="697"/>
    </row>
    <row s="1621" customFormat="1" customHeight="1" ht="14.25" hidden="1">
      <c r="A117" s="467"/>
      <c r="B117" s="907" cm="1" t="str">
        <f t="array" ref="B117:B117">B116</f>
        <v>false</v>
      </c>
      <c r="C117" s="467"/>
      <c r="D117" s="467"/>
      <c r="E117" s="822">
        <v>15</v>
      </c>
      <c r="F117" s="50" cm="1" t="str">
        <f t="array" ref="F117:F117">OFFSET(E117,-1,1)</f>
        <v>1</v>
      </c>
      <c r="G117" s="73" t="s">
        <v>1550</v>
      </c>
      <c r="H117" s="467" t="s">
        <v>1531</v>
      </c>
      <c r="I117" s="467" t="s">
        <v>1507</v>
      </c>
      <c r="J117" s="467"/>
      <c r="K117" s="467"/>
      <c r="L117" s="467"/>
      <c r="M117" s="467"/>
      <c r="N117" s="467"/>
      <c r="O117" s="467"/>
      <c r="P117" s="467"/>
      <c r="Q117" s="467"/>
      <c r="R117" s="467"/>
      <c r="S117" s="467"/>
      <c r="T117" s="439" cm="1" t="str">
        <f t="array" ref="T117:T117">T116</f>
        <v>true</v>
      </c>
      <c r="U117" s="467"/>
      <c r="V117" s="467"/>
      <c r="W117" s="467"/>
      <c r="X117" s="1534"/>
      <c r="Y117" s="467"/>
      <c r="Z117" s="1464"/>
      <c r="AA117" s="467"/>
      <c r="AB117" s="1076" t="str">
        <f>"объём "&amp;IF(Q85="Водоснабжение","потребления холодной воды","водоотведения")</f>
        <v>объём потребления холодной воды</v>
      </c>
      <c r="AC117" s="846" t="s">
        <v>512</v>
      </c>
      <c r="AD117" s="3404">
        <f>IF(AND(method_reg="Метод индексации",god&lt;&gt;first_year),_xlfn.SUMIFS(INDEX('Калькуляция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(МИ)'!$AJ$25:$BC$459,,MATCH(AD$8,'Калькуляция (МИ)'!$AJ$8:$BC$8,0)),'Калькуляция (МИ)'!$F$25:$F$459,$F117,'Калькуляция (МИ)'!$G$25:$G$459,$G117))))</f>
        <v>0</v>
      </c>
      <c r="AE117" s="3404">
        <f>IF(AND(method_reg="Метод индексации",god&lt;&gt;first_year),_xlfn.SUMIFS(INDEX('Калькуляция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(МИ)'!$AJ$25:$BC$459,,MATCH(AE$8,'Калькуляция (МИ)'!$AJ$8:$BC$8,0)),'Калькуляция (МИ)'!$F$25:$F$459,$F117,'Калькуляция (МИ)'!$G$25:$G$459,$G117))))</f>
        <v>0</v>
      </c>
      <c r="AF117" s="1080">
        <f>IF(AD117=0,0,(AE117-AD117)/AD117*100)</f>
        <v>0</v>
      </c>
      <c r="AG117" s="3404">
        <f>IF(AND(method_reg="Метод индексации",god&lt;&gt;first_year),_xlfn.SUMIFS(INDEX('Калькуляция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(МИ)'!$AJ$25:$BC$459,,MATCH(AG$8,'Калькуляция (МИ)'!$AJ$8:$BC$8,0)),'Калькуляция (МИ)'!$F$25:$F$459,$F117,'Калькуляция (МИ)'!$G$25:$G$459,$G117))))</f>
        <v>0</v>
      </c>
      <c r="AH117" s="3404">
        <f>IF(AND(method_reg="Метод индексации",god&lt;&gt;first_year),_xlfn.SUMIFS(INDEX('Калькуляция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(МИ)'!$AJ$25:$BC$459,,MATCH(AH$8,'Калькуляция (МИ)'!$AJ$8:$BC$8,0)),'Калькуляция (МИ)'!$F$25:$F$459,$F117,'Калькуляция (МИ)'!$G$25:$G$459,$G117))))</f>
        <v>0</v>
      </c>
      <c r="AI117" s="1080">
        <f>IF(AG117=0,0,(AH117-AG117)/AG117*100)</f>
        <v>0</v>
      </c>
      <c r="AJ117" s="3404">
        <f>IF(AND(method_reg="Метод индексации",god&lt;&gt;first_year),_xlfn.SUMIFS(INDEX('Калькуляция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(МИ)'!$AJ$25:$BC$459,,MATCH(AJ$8,'Калькуляция (МИ)'!$AJ$8:$BC$8,0)),'Калькуляция (МИ)'!$F$25:$F$459,$F117,'Калькуляция (МИ)'!$G$25:$G$459,$G117))))</f>
        <v>0</v>
      </c>
      <c r="AK117" s="3404">
        <f>IF(AND(method_reg="Метод индексации",god&lt;&gt;first_year),_xlfn.SUMIFS(INDEX('Калькуляция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(МИ)'!$AJ$25:$BC$459,,MATCH(AK$8,'Калькуляция (МИ)'!$AJ$8:$BC$8,0)),'Калькуляция (МИ)'!$F$25:$F$459,$F117,'Калькуляция (МИ)'!$G$25:$G$459,$G117))))</f>
        <v>0</v>
      </c>
      <c r="AL117" s="1080">
        <f>IF(AJ117=0,0,(AK117-AJ117)/AJ117*100)</f>
        <v>0</v>
      </c>
      <c r="AM117" s="3404">
        <f>IF(AND(method_reg="Метод индексации",god&lt;&gt;first_year),_xlfn.SUMIFS(INDEX('Калькуляция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(МИ)'!$AJ$25:$BC$459,,MATCH(AM$8,'Калькуляция (МИ)'!$AJ$8:$BC$8,0)),'Калькуляция (МИ)'!$F$25:$F$459,$F117,'Калькуляция (МИ)'!$G$25:$G$459,$G117))))</f>
        <v>0</v>
      </c>
      <c r="AN117" s="3404">
        <f>IF(AND(method_reg="Метод индексации",god&lt;&gt;first_year),_xlfn.SUMIFS(INDEX('Калькуляция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(МИ)'!$AJ$25:$BC$459,,MATCH(AN$8,'Калькуляция (МИ)'!$AJ$8:$BC$8,0)),'Калькуляция (МИ)'!$F$25:$F$459,$F117,'Калькуляция (МИ)'!$G$25:$G$459,$G117))))</f>
        <v>0</v>
      </c>
      <c r="AO117" s="1080">
        <f>IF(AM117=0,0,(AN117-AM117)/AM117*100)</f>
        <v>0</v>
      </c>
      <c r="AP117" s="3404">
        <f>IF(AND(method_reg="Метод индексации",god&lt;&gt;first_year),_xlfn.SUMIFS(INDEX('Калькуляция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(МИ)'!$AJ$25:$BC$459,,MATCH(AP$8,'Калькуляция (МИ)'!$AJ$8:$BC$8,0)),'Калькуляция (МИ)'!$F$25:$F$459,$F117,'Калькуляция (МИ)'!$G$25:$G$459,$G117))))</f>
        <v>0</v>
      </c>
      <c r="AQ117" s="3404">
        <f>IF(AND(method_reg="Метод индексации",god&lt;&gt;first_year),_xlfn.SUMIFS(INDEX('Калькуляция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(МИ)'!$AJ$25:$BC$459,,MATCH(AQ$8,'Калькуляция (МИ)'!$AJ$8:$BC$8,0)),'Калькуляция (МИ)'!$F$25:$F$459,$F117,'Калькуляция (МИ)'!$G$25:$G$459,$G117))))</f>
        <v>0</v>
      </c>
      <c r="AR117" s="1080">
        <f>IF(AP117=0,0,(AQ117-AP117)/AP117*100)</f>
        <v>0</v>
      </c>
      <c r="AS117" s="3404">
        <f>IF(AND(method_reg="Метод индексации",god&lt;&gt;first_year),_xlfn.SUMIFS(INDEX('Калькуляция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(МИ)'!$AJ$25:$BC$459,,MATCH(AS$8,'Калькуляция (МИ)'!$AJ$8:$BC$8,0)),'Калькуляция (МИ)'!$F$25:$F$459,$F117,'Калькуляция (МИ)'!$G$25:$G$459,$G117))))</f>
        <v>0</v>
      </c>
      <c r="AT117" s="3404">
        <f>IF(AND(method_reg="Метод индексации",god&lt;&gt;first_year),_xlfn.SUMIFS(INDEX('Калькуляция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(МИ)'!$AJ$25:$BC$459,,MATCH(AT$8,'Калькуляция (МИ)'!$AJ$8:$BC$8,0)),'Калькуляция (МИ)'!$F$25:$F$459,$F117,'Калькуляция (МИ)'!$G$25:$G$459,$G117))))</f>
        <v>0</v>
      </c>
      <c r="AU117" s="1080">
        <f>IF(AS117=0,0,(AT117-AS117)/AS117*100)</f>
        <v>0</v>
      </c>
      <c r="AV117" s="3404">
        <f>IF(AND(method_reg="Метод индексации",god&lt;&gt;first_year),_xlfn.SUMIFS(INDEX('Калькуляция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(МИ)'!$AJ$25:$BC$459,,MATCH(AV$8,'Калькуляция (МИ)'!$AJ$8:$BC$8,0)),'Калькуляция (МИ)'!$F$25:$F$459,$F117,'Калькуляция (МИ)'!$G$25:$G$459,$G117))))</f>
        <v>0</v>
      </c>
      <c r="AW117" s="3404">
        <f>IF(AND(method_reg="Метод индексации",god&lt;&gt;first_year),_xlfn.SUMIFS(INDEX('Калькуляция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(МИ)'!$AJ$25:$BC$459,,MATCH(AW$8,'Калькуляция (МИ)'!$AJ$8:$BC$8,0)),'Калькуляция (МИ)'!$F$25:$F$459,$F117,'Калькуляция (МИ)'!$G$25:$G$459,$G117))))</f>
        <v>0</v>
      </c>
      <c r="AX117" s="1080">
        <f>IF(AV117=0,0,(AW117-AV117)/AV117*100)</f>
        <v>0</v>
      </c>
      <c r="AY117" s="3404">
        <f>IF(AND(method_reg="Метод индексации",god&lt;&gt;first_year),_xlfn.SUMIFS(INDEX('Калькуляция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(МИ)'!$AJ$25:$BC$459,,MATCH(AY$8,'Калькуляция (МИ)'!$AJ$8:$BC$8,0)),'Калькуляция (МИ)'!$F$25:$F$459,$F117,'Калькуляция (МИ)'!$G$25:$G$459,$G117))))</f>
        <v>0</v>
      </c>
      <c r="AZ117" s="3404">
        <f>IF(AND(method_reg="Метод индексации",god&lt;&gt;first_year),_xlfn.SUMIFS(INDEX('Калькуляция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(МИ)'!$AJ$25:$BC$459,,MATCH(AZ$8,'Калькуляция (МИ)'!$AJ$8:$BC$8,0)),'Калькуляция (МИ)'!$F$25:$F$459,$F117,'Калькуляция (МИ)'!$G$25:$G$459,$G117))))</f>
        <v>0</v>
      </c>
      <c r="BA117" s="1080">
        <f>IF(AY117=0,0,(AZ117-AY117)/AY117*100)</f>
        <v>0</v>
      </c>
      <c r="BB117" s="3404">
        <f>IF(AND(method_reg="Метод индексации",god&lt;&gt;first_year),_xlfn.SUMIFS(INDEX('Калькуляция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(МИ)'!$AJ$25:$BC$459,,MATCH(BB$8,'Калькуляция (МИ)'!$AJ$8:$BC$8,0)),'Калькуляция (МИ)'!$F$25:$F$459,$F117,'Калькуляция (МИ)'!$G$25:$G$459,$G117))))</f>
        <v>0</v>
      </c>
      <c r="BC117" s="3404">
        <f>IF(AND(method_reg="Метод индексации",god&lt;&gt;first_year),_xlfn.SUMIFS(INDEX('Калькуляция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(МИ)'!$AJ$25:$BC$459,,MATCH(BC$8,'Калькуляция (МИ)'!$AJ$8:$BC$8,0)),'Калькуляция (МИ)'!$F$25:$F$459,$F117,'Калькуляция (МИ)'!$G$25:$G$459,$G117))))</f>
        <v>0</v>
      </c>
      <c r="BD117" s="1080">
        <f>IF(BB117=0,0,(BC117-BB117)/BB117*100)</f>
        <v>0</v>
      </c>
      <c r="BE117" s="3404">
        <f>IF(AND(method_reg="Метод индексации",god&lt;&gt;first_year),_xlfn.SUMIFS(INDEX('Калькуляция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расходов",_xlfn.SUMIFS('Калькуляция (МЭОР)'!$AJ$25:$AJ$282,'Калькуляция (МЭОР)'!$F$25:$F$282,$F117,'Калькуляция (МЭОР)'!$G$25:$G$282,$G117),IF(method_reg="Метод сравнения аналогов",_xlfn.SUMIFS('Калькуляция (МСА)'!$AE$25:$AE$84,'Калькуляция (МСА)'!$F$25:$F$84,$F117,'Калькуляция (МСА)'!$G$25:$G$84,$G117),_xlfn.SUMIFS(INDEX('Калькуляция (МИ)'!$AJ$25:$BC$459,,MATCH(BE$8,'Калькуляция (МИ)'!$AJ$8:$BC$8,0)),'Калькуляция (МИ)'!$F$25:$F$459,$F117,'Калькуляция (МИ)'!$G$25:$G$459,$G117))))</f>
        <v>0</v>
      </c>
      <c r="BF117" s="3404">
        <f>IF(AND(method_reg="Метод индексации",god&lt;&gt;first_year),_xlfn.SUMIFS(INDEX('Калькуляция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расходов",_xlfn.SUMIFS('Калькуляция (МЭОР)'!$AK$25:$AK$282,'Калькуляция (МЭОР)'!$F$25:$F$282,$F117,'Калькуляция (МЭОР)'!$G$25:$G$282,$G117),IF(method_reg="Метод сравнения аналогов",_xlfn.SUMIFS('Калькуляция (МСА)'!$AF$25:$AF$84,'Калькуляция (МСА)'!$F$25:$F$84,$F117,'Калькуляция (МСА)'!$G$25:$G$84,$G117),_xlfn.SUMIFS(INDEX('Калькуляция (МИ)'!$AJ$25:$BC$459,,MATCH(BF$8,'Калькуляция (МИ)'!$AJ$8:$BC$8,0)),'Калькуляция (МИ)'!$F$25:$F$459,$F117,'Калькуляция (МИ)'!$G$25:$G$459,$G117))))</f>
        <v>0</v>
      </c>
      <c r="BG117" s="1080">
        <f>IF(BE117=0,0,(BF117-BE117)/BE117*100)</f>
        <v>0</v>
      </c>
      <c r="BH117" s="3404"/>
      <c r="BI117" s="3404"/>
      <c r="BJ117" s="1080">
        <f>IF(BH117=0,0,(BI117-BH117)/BH117*100)</f>
        <v>0</v>
      </c>
      <c r="BK117" s="3404"/>
      <c r="BL117" s="3404"/>
      <c r="BM117" s="1080">
        <f>IF(BK117=0,0,(BL117-BK117)/BK117*100)</f>
        <v>0</v>
      </c>
      <c r="BN117" s="3404"/>
      <c r="BO117" s="3404"/>
      <c r="BP117" s="1080">
        <f>IF(BN117=0,0,(BO117-BN117)/BN117*100)</f>
        <v>0</v>
      </c>
      <c r="BQ117" s="3404"/>
      <c r="BR117" s="3404"/>
      <c r="BS117" s="1080">
        <f>IF(BQ117=0,0,(BR117-BQ117)/BQ117*100)</f>
        <v>0</v>
      </c>
      <c r="BT117" s="3404"/>
      <c r="BU117" s="3404"/>
      <c r="BV117" s="1080">
        <f>IF(BT117=0,0,(BU117-BT117)/BT117*100)</f>
        <v>0</v>
      </c>
      <c r="BW117" s="3404"/>
      <c r="BX117" s="3404"/>
      <c r="BY117" s="1080">
        <f>IF(BW117=0,0,(BX117-BW117)/BW117*100)</f>
        <v>0</v>
      </c>
      <c r="BZ117" s="3404"/>
      <c r="CA117" s="3404"/>
      <c r="CB117" s="1080">
        <f>IF(BZ117=0,0,(CA117-BZ117)/BZ117*100)</f>
        <v>0</v>
      </c>
      <c r="CC117" s="3404"/>
      <c r="CD117" s="3404"/>
      <c r="CE117" s="1080">
        <f>IF(CC117=0,0,(CD117-CC117)/CC117*100)</f>
        <v>0</v>
      </c>
      <c r="CF117" s="3404"/>
      <c r="CG117" s="3404"/>
      <c r="CH117" s="1080">
        <f>IF(CF117=0,0,(CG117-CF117)/CF117*100)</f>
        <v>0</v>
      </c>
      <c r="CI117" s="3404"/>
      <c r="CJ117" s="3404"/>
      <c r="CK117" s="1080">
        <f>IF(CI117=0,0,(CJ117-CI117)/CI117*100)</f>
        <v>0</v>
      </c>
      <c r="CL117" s="3404"/>
      <c r="CM117" s="3404"/>
      <c r="CN117" s="1080">
        <f>IF(CL117=0,0,(CM117-CL117)/CL117*100)</f>
        <v>0</v>
      </c>
      <c r="CO117" s="3404"/>
      <c r="CP117" s="3404"/>
      <c r="CQ117" s="1080">
        <f>IF(CO117=0,0,(CP117-CO117)/CO117*100)</f>
        <v>0</v>
      </c>
      <c r="CR117" s="3404"/>
      <c r="CS117" s="3404"/>
      <c r="CT117" s="1080">
        <f>IF(CR117=0,0,(CS117-CR117)/CR117*100)</f>
        <v>0</v>
      </c>
      <c r="CU117" s="3404"/>
      <c r="CV117" s="3404"/>
      <c r="CW117" s="1080">
        <f>IF(CU117=0,0,(CV117-CU117)/CU117*100)</f>
        <v>0</v>
      </c>
      <c r="CX117" s="3404"/>
      <c r="CY117" s="3404"/>
      <c r="CZ117" s="1080">
        <f>IF(CX117=0,0,(CY117-CX117)/CX117*100)</f>
        <v>0</v>
      </c>
      <c r="DA117" s="3404"/>
      <c r="DB117" s="3404"/>
      <c r="DC117" s="1080">
        <f>IF(DA117=0,0,(DB117-DA117)/DA117*100)</f>
        <v>0</v>
      </c>
      <c r="DD117" s="3404"/>
      <c r="DE117" s="3404"/>
      <c r="DF117" s="1080">
        <f>IF(DD117=0,0,(DE117-DD117)/DD117*100)</f>
        <v>0</v>
      </c>
      <c r="DG117" s="3404"/>
      <c r="DH117" s="3404"/>
      <c r="DI117" s="1080">
        <f>IF(DG117=0,0,(DH117-DG117)/DG117*100)</f>
        <v>0</v>
      </c>
      <c r="DJ117" s="3404"/>
      <c r="DK117" s="3404"/>
      <c r="DL117" s="1080">
        <f>IF(DJ117=0,0,(DK117-DJ117)/DJ117*100)</f>
        <v>0</v>
      </c>
      <c r="DM117" s="3404"/>
      <c r="DN117" s="3404"/>
      <c r="DO117" s="1080">
        <f>IF(DM117=0,0,(DN117-DM117)/DM117*100)</f>
        <v>0</v>
      </c>
      <c r="DP117" s="3404"/>
      <c r="DQ117" s="3404"/>
      <c r="DR117" s="1080">
        <f>IF(DP117=0,0,(DQ117-DP117)/DP117*100)</f>
        <v>0</v>
      </c>
      <c r="DS117" s="3404"/>
      <c r="DT117" s="3404"/>
      <c r="DU117" s="1080">
        <f>IF(DS117=0,0,(DT117-DS117)/DS117*100)</f>
        <v>0</v>
      </c>
      <c r="DV117" s="3404"/>
      <c r="DW117" s="3404"/>
      <c r="DX117" s="1080">
        <f>IF(DV117=0,0,(DW117-DV117)/DV117*100)</f>
        <v>0</v>
      </c>
      <c r="DY117" s="3404"/>
      <c r="DZ117" s="3404"/>
      <c r="EA117" s="1080">
        <f>IF(DY117=0,0,(DZ117-DY117)/DY117*100)</f>
        <v>0</v>
      </c>
      <c r="EB117" s="3404"/>
      <c r="EC117" s="3404"/>
      <c r="ED117" s="1080">
        <f>IF(EB117=0,0,(EC117-EB117)/EB117*100)</f>
        <v>0</v>
      </c>
      <c r="EE117" s="3404"/>
      <c r="EF117" s="3404"/>
      <c r="EG117" s="1080">
        <f>IF(EE117=0,0,(EF117-EE117)/EE117*100)</f>
        <v>0</v>
      </c>
      <c r="EH117" s="3404"/>
      <c r="EI117" s="3404"/>
      <c r="EJ117" s="1080">
        <f>IF(EH117=0,0,(EI117-EH117)/EH117*100)</f>
        <v>0</v>
      </c>
      <c r="EK117" s="3404"/>
      <c r="EL117" s="3404"/>
      <c r="EM117" s="1080">
        <f>IF(EK117=0,0,(EL117-EK117)/EK117*100)</f>
        <v>0</v>
      </c>
      <c r="EN117" s="3404"/>
      <c r="EO117" s="3404"/>
      <c r="EP117" s="1080">
        <f>IF(EN117=0,0,(EO117-EN117)/EN117*100)</f>
        <v>0</v>
      </c>
      <c r="EQ117" s="3404"/>
      <c r="ER117" s="3404"/>
      <c r="ES117" s="1080">
        <f>IF(EQ117=0,0,(ER117-EQ117)/EQ117*100)</f>
        <v>0</v>
      </c>
      <c r="ET117" s="3404"/>
      <c r="EU117" s="3404"/>
      <c r="EV117" s="1080">
        <f>IF(ET117=0,0,(EU117-ET117)/ET117*100)</f>
        <v>0</v>
      </c>
      <c r="EW117" s="3404"/>
      <c r="EX117" s="3404"/>
      <c r="EY117" s="1080">
        <f>IF(EW117=0,0,(EX117-EW117)/EW117*100)</f>
        <v>0</v>
      </c>
      <c r="EZ117" s="3404"/>
      <c r="FA117" s="3404"/>
      <c r="FB117" s="1080">
        <f>IF(EZ117=0,0,(FA117-EZ117)/EZ117*100)</f>
        <v>0</v>
      </c>
      <c r="FC117" s="3404"/>
      <c r="FD117" s="3404"/>
      <c r="FE117" s="1080">
        <f>IF(FC117=0,0,(FD117-FC117)/FC117*100)</f>
        <v>0</v>
      </c>
      <c r="FF117" s="3404"/>
      <c r="FG117" s="3404"/>
      <c r="FH117" s="1080">
        <f>IF(FF117=0,0,(FG117-FF117)/FF117*100)</f>
        <v>0</v>
      </c>
      <c r="FI117" s="3404"/>
      <c r="FJ117" s="3404"/>
      <c r="FK117" s="1080">
        <f>IF(FI117=0,0,(FJ117-FI117)/FI117*100)</f>
        <v>0</v>
      </c>
      <c r="FL117" s="3404"/>
      <c r="FM117" s="3404"/>
      <c r="FN117" s="1080">
        <f>IF(FL117=0,0,(FM117-FL117)/FL117*100)</f>
        <v>0</v>
      </c>
      <c r="FO117" s="3404"/>
      <c r="FP117" s="3404"/>
      <c r="FQ117" s="1080">
        <f>IF(FO117=0,0,(FP117-FO117)/FO117*100)</f>
        <v>0</v>
      </c>
      <c r="FR117" s="3404"/>
      <c r="FS117" s="3404"/>
      <c r="FT117" s="1080">
        <f>IF(FR117=0,0,(FS117-FR117)/FR117*100)</f>
        <v>0</v>
      </c>
      <c r="FU117" s="3404"/>
      <c r="FV117" s="3404"/>
      <c r="FW117" s="1080">
        <f>IF(FU117=0,0,(FV117-FU117)/FU117*100)</f>
        <v>0</v>
      </c>
      <c r="FX117" s="676"/>
      <c r="FY117" s="676"/>
      <c r="FZ117" s="1039" t="s">
        <v>1551</v>
      </c>
      <c r="GA117" s="1061"/>
      <c r="GB117" s="1061"/>
      <c r="GC117" s="697"/>
      <c r="GD117" s="697"/>
    </row>
    <row s="1621" customFormat="1" customHeight="1" ht="21.75" hidden="1">
      <c r="A118" s="467"/>
      <c r="B118" s="907" cm="1" t="str">
        <f t="array" ref="B118:B118">B117</f>
        <v>false</v>
      </c>
      <c r="C118" s="467"/>
      <c r="D118" s="467"/>
      <c r="E118" s="822">
        <v>22.5</v>
      </c>
      <c r="F118" s="50" cm="1" t="str">
        <f t="array" ref="F118:F118">OFFSET(E118,-1,1)</f>
        <v>1</v>
      </c>
      <c r="G118" s="467"/>
      <c r="H118" s="467" t="s">
        <v>1533</v>
      </c>
      <c r="I118" s="467" t="s">
        <v>1507</v>
      </c>
      <c r="J118" s="467"/>
      <c r="K118" s="467"/>
      <c r="L118" s="467"/>
      <c r="M118" s="467"/>
      <c r="N118" s="467"/>
      <c r="O118" s="467"/>
      <c r="P118" s="467"/>
      <c r="Q118" s="467"/>
      <c r="R118" s="467"/>
      <c r="S118" s="467"/>
      <c r="T118" s="439" cm="1" t="str">
        <f t="array" ref="T118:T118">T117</f>
        <v>true</v>
      </c>
      <c r="U118" s="467"/>
      <c r="V118" s="467"/>
      <c r="W118" s="467"/>
      <c r="X118" s="1534"/>
      <c r="Y118" s="467"/>
      <c r="Z118" s="1464"/>
      <c r="AA118" s="467"/>
      <c r="AB118" s="107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846" t="s">
        <v>1534</v>
      </c>
      <c r="AD118" s="3409"/>
      <c r="AE118" s="3409"/>
      <c r="AF118" s="1078">
        <f>IF(AD118=0,0,(AE118-AD118)/AD118*100)</f>
        <v>0</v>
      </c>
      <c r="AG118" s="3409"/>
      <c r="AH118" s="3409"/>
      <c r="AI118" s="1078">
        <f>IF(AG118=0,0,(AH118-AG118)/AG118*100)</f>
        <v>0</v>
      </c>
      <c r="AJ118" s="3409"/>
      <c r="AK118" s="3409"/>
      <c r="AL118" s="1078">
        <f>IF(AJ118=0,0,(AK118-AJ118)/AJ118*100)</f>
        <v>0</v>
      </c>
      <c r="AM118" s="3409"/>
      <c r="AN118" s="3409"/>
      <c r="AO118" s="1078">
        <f>IF(AM118=0,0,(AN118-AM118)/AM118*100)</f>
        <v>0</v>
      </c>
      <c r="AP118" s="3409"/>
      <c r="AQ118" s="3409"/>
      <c r="AR118" s="1078">
        <f>IF(AP118=0,0,(AQ118-AP118)/AP118*100)</f>
        <v>0</v>
      </c>
      <c r="AS118" s="3409"/>
      <c r="AT118" s="3409"/>
      <c r="AU118" s="1078">
        <f>IF(AS118=0,0,(AT118-AS118)/AS118*100)</f>
        <v>0</v>
      </c>
      <c r="AV118" s="3409"/>
      <c r="AW118" s="3409"/>
      <c r="AX118" s="1078">
        <f>IF(AV118=0,0,(AW118-AV118)/AV118*100)</f>
        <v>0</v>
      </c>
      <c r="AY118" s="3409"/>
      <c r="AZ118" s="3409"/>
      <c r="BA118" s="1078">
        <f>IF(AY118=0,0,(AZ118-AY118)/AY118*100)</f>
        <v>0</v>
      </c>
      <c r="BB118" s="3409"/>
      <c r="BC118" s="3409"/>
      <c r="BD118" s="1078">
        <f>IF(BB118=0,0,(BC118-BB118)/BB118*100)</f>
        <v>0</v>
      </c>
      <c r="BE118" s="3409"/>
      <c r="BF118" s="3409"/>
      <c r="BG118" s="1078">
        <f>IF(BE118=0,0,(BF118-BE118)/BE118*100)</f>
        <v>0</v>
      </c>
      <c r="BH118" s="3409"/>
      <c r="BI118" s="3409"/>
      <c r="BJ118" s="1078">
        <f>IF(BH118=0,0,(BI118-BH118)/BH118*100)</f>
        <v>0</v>
      </c>
      <c r="BK118" s="3409"/>
      <c r="BL118" s="3409"/>
      <c r="BM118" s="1078">
        <f>IF(BK118=0,0,(BL118-BK118)/BK118*100)</f>
        <v>0</v>
      </c>
      <c r="BN118" s="3409"/>
      <c r="BO118" s="3409"/>
      <c r="BP118" s="1078">
        <f>IF(BN118=0,0,(BO118-BN118)/BN118*100)</f>
        <v>0</v>
      </c>
      <c r="BQ118" s="3409"/>
      <c r="BR118" s="3409"/>
      <c r="BS118" s="1078">
        <f>IF(BQ118=0,0,(BR118-BQ118)/BQ118*100)</f>
        <v>0</v>
      </c>
      <c r="BT118" s="3409"/>
      <c r="BU118" s="3409"/>
      <c r="BV118" s="1078">
        <f>IF(BT118=0,0,(BU118-BT118)/BT118*100)</f>
        <v>0</v>
      </c>
      <c r="BW118" s="3409"/>
      <c r="BX118" s="3409"/>
      <c r="BY118" s="1078">
        <f>IF(BW118=0,0,(BX118-BW118)/BW118*100)</f>
        <v>0</v>
      </c>
      <c r="BZ118" s="3409"/>
      <c r="CA118" s="3409"/>
      <c r="CB118" s="1078">
        <f>IF(BZ118=0,0,(CA118-BZ118)/BZ118*100)</f>
        <v>0</v>
      </c>
      <c r="CC118" s="3409"/>
      <c r="CD118" s="3409"/>
      <c r="CE118" s="1078">
        <f>IF(CC118=0,0,(CD118-CC118)/CC118*100)</f>
        <v>0</v>
      </c>
      <c r="CF118" s="3409"/>
      <c r="CG118" s="3409"/>
      <c r="CH118" s="1078">
        <f>IF(CF118=0,0,(CG118-CF118)/CF118*100)</f>
        <v>0</v>
      </c>
      <c r="CI118" s="3409"/>
      <c r="CJ118" s="3409"/>
      <c r="CK118" s="1078">
        <f>IF(CI118=0,0,(CJ118-CI118)/CI118*100)</f>
        <v>0</v>
      </c>
      <c r="CL118" s="3409"/>
      <c r="CM118" s="3409"/>
      <c r="CN118" s="1078">
        <f>IF(CL118=0,0,(CM118-CL118)/CL118*100)</f>
        <v>0</v>
      </c>
      <c r="CO118" s="3409"/>
      <c r="CP118" s="3409"/>
      <c r="CQ118" s="1078">
        <f>IF(CO118=0,0,(CP118-CO118)/CO118*100)</f>
        <v>0</v>
      </c>
      <c r="CR118" s="3409"/>
      <c r="CS118" s="3409"/>
      <c r="CT118" s="1078">
        <f>IF(CR118=0,0,(CS118-CR118)/CR118*100)</f>
        <v>0</v>
      </c>
      <c r="CU118" s="3409"/>
      <c r="CV118" s="3409"/>
      <c r="CW118" s="1078">
        <f>IF(CU118=0,0,(CV118-CU118)/CU118*100)</f>
        <v>0</v>
      </c>
      <c r="CX118" s="3409"/>
      <c r="CY118" s="3409"/>
      <c r="CZ118" s="1078">
        <f>IF(CX118=0,0,(CY118-CX118)/CX118*100)</f>
        <v>0</v>
      </c>
      <c r="DA118" s="3409"/>
      <c r="DB118" s="3409"/>
      <c r="DC118" s="1078">
        <f>IF(DA118=0,0,(DB118-DA118)/DA118*100)</f>
        <v>0</v>
      </c>
      <c r="DD118" s="3409"/>
      <c r="DE118" s="3409"/>
      <c r="DF118" s="1078">
        <f>IF(DD118=0,0,(DE118-DD118)/DD118*100)</f>
        <v>0</v>
      </c>
      <c r="DG118" s="3409"/>
      <c r="DH118" s="3409"/>
      <c r="DI118" s="1078">
        <f>IF(DG118=0,0,(DH118-DG118)/DG118*100)</f>
        <v>0</v>
      </c>
      <c r="DJ118" s="3409"/>
      <c r="DK118" s="3409"/>
      <c r="DL118" s="1078">
        <f>IF(DJ118=0,0,(DK118-DJ118)/DJ118*100)</f>
        <v>0</v>
      </c>
      <c r="DM118" s="3409"/>
      <c r="DN118" s="3409"/>
      <c r="DO118" s="1078">
        <f>IF(DM118=0,0,(DN118-DM118)/DM118*100)</f>
        <v>0</v>
      </c>
      <c r="DP118" s="3409"/>
      <c r="DQ118" s="3409"/>
      <c r="DR118" s="1078">
        <f>IF(DP118=0,0,(DQ118-DP118)/DP118*100)</f>
        <v>0</v>
      </c>
      <c r="DS118" s="3409"/>
      <c r="DT118" s="3409"/>
      <c r="DU118" s="1078">
        <f>IF(DS118=0,0,(DT118-DS118)/DS118*100)</f>
        <v>0</v>
      </c>
      <c r="DV118" s="3409"/>
      <c r="DW118" s="3409"/>
      <c r="DX118" s="1078">
        <f>IF(DV118=0,0,(DW118-DV118)/DV118*100)</f>
        <v>0</v>
      </c>
      <c r="DY118" s="3409"/>
      <c r="DZ118" s="3409"/>
      <c r="EA118" s="1078">
        <f>IF(DY118=0,0,(DZ118-DY118)/DY118*100)</f>
        <v>0</v>
      </c>
      <c r="EB118" s="3409"/>
      <c r="EC118" s="3409"/>
      <c r="ED118" s="1078">
        <f>IF(EB118=0,0,(EC118-EB118)/EB118*100)</f>
        <v>0</v>
      </c>
      <c r="EE118" s="3409"/>
      <c r="EF118" s="3409"/>
      <c r="EG118" s="1078">
        <f>IF(EE118=0,0,(EF118-EE118)/EE118*100)</f>
        <v>0</v>
      </c>
      <c r="EH118" s="3409"/>
      <c r="EI118" s="3409"/>
      <c r="EJ118" s="1078">
        <f>IF(EH118=0,0,(EI118-EH118)/EH118*100)</f>
        <v>0</v>
      </c>
      <c r="EK118" s="3409"/>
      <c r="EL118" s="3409"/>
      <c r="EM118" s="1078">
        <f>IF(EK118=0,0,(EL118-EK118)/EK118*100)</f>
        <v>0</v>
      </c>
      <c r="EN118" s="3409"/>
      <c r="EO118" s="3409"/>
      <c r="EP118" s="1078">
        <f>IF(EN118=0,0,(EO118-EN118)/EN118*100)</f>
        <v>0</v>
      </c>
      <c r="EQ118" s="3409"/>
      <c r="ER118" s="3409"/>
      <c r="ES118" s="1078">
        <f>IF(EQ118=0,0,(ER118-EQ118)/EQ118*100)</f>
        <v>0</v>
      </c>
      <c r="ET118" s="3409"/>
      <c r="EU118" s="3409"/>
      <c r="EV118" s="1078">
        <f>IF(ET118=0,0,(EU118-ET118)/ET118*100)</f>
        <v>0</v>
      </c>
      <c r="EW118" s="3409"/>
      <c r="EX118" s="3409"/>
      <c r="EY118" s="1078">
        <f>IF(EW118=0,0,(EX118-EW118)/EW118*100)</f>
        <v>0</v>
      </c>
      <c r="EZ118" s="3409"/>
      <c r="FA118" s="3409"/>
      <c r="FB118" s="1078">
        <f>IF(EZ118=0,0,(FA118-EZ118)/EZ118*100)</f>
        <v>0</v>
      </c>
      <c r="FC118" s="3409"/>
      <c r="FD118" s="3409"/>
      <c r="FE118" s="1078">
        <f>IF(FC118=0,0,(FD118-FC118)/FC118*100)</f>
        <v>0</v>
      </c>
      <c r="FF118" s="3409"/>
      <c r="FG118" s="3409"/>
      <c r="FH118" s="1078">
        <f>IF(FF118=0,0,(FG118-FF118)/FF118*100)</f>
        <v>0</v>
      </c>
      <c r="FI118" s="3409"/>
      <c r="FJ118" s="3409"/>
      <c r="FK118" s="1078">
        <f>IF(FI118=0,0,(FJ118-FI118)/FI118*100)</f>
        <v>0</v>
      </c>
      <c r="FL118" s="3409"/>
      <c r="FM118" s="3409"/>
      <c r="FN118" s="1078">
        <f>IF(FL118=0,0,(FM118-FL118)/FL118*100)</f>
        <v>0</v>
      </c>
      <c r="FO118" s="3409"/>
      <c r="FP118" s="3409"/>
      <c r="FQ118" s="1078">
        <f>IF(FO118=0,0,(FP118-FO118)/FO118*100)</f>
        <v>0</v>
      </c>
      <c r="FR118" s="3409"/>
      <c r="FS118" s="3409"/>
      <c r="FT118" s="1078">
        <f>IF(FR118=0,0,(FS118-FR118)/FR118*100)</f>
        <v>0</v>
      </c>
      <c r="FU118" s="3409"/>
      <c r="FV118" s="3409"/>
      <c r="FW118" s="1078">
        <f>IF(FU118=0,0,(FV118-FU118)/FU118*100)</f>
        <v>0</v>
      </c>
      <c r="FX118" s="676"/>
      <c r="FY118" s="676"/>
      <c r="FZ118" s="1039" t="s">
        <v>1552</v>
      </c>
      <c r="GA118" s="1061"/>
      <c r="GB118" s="1061"/>
      <c r="GC118" s="697"/>
      <c r="GD118" s="697"/>
    </row>
    <row s="1621" customFormat="1" customHeight="1" ht="14.25" hidden="1">
      <c r="A119" s="467"/>
      <c r="B119" s="907" cm="1" t="str">
        <f t="array" ref="B119:B119">B118</f>
        <v>false</v>
      </c>
      <c r="C119" s="467"/>
      <c r="D119" s="467"/>
      <c r="E119" s="822">
        <v>15</v>
      </c>
      <c r="F119" s="50" cm="1" t="str">
        <f t="array" ref="F119:F119">OFFSET(E119,-1,1)</f>
        <v>1</v>
      </c>
      <c r="G119" s="467"/>
      <c r="H119" s="467" t="s">
        <v>1536</v>
      </c>
      <c r="I119" s="467" t="s">
        <v>1507</v>
      </c>
      <c r="J119" s="467"/>
      <c r="K119" s="467"/>
      <c r="L119" s="467"/>
      <c r="M119" s="467"/>
      <c r="N119" s="467"/>
      <c r="O119" s="467"/>
      <c r="P119" s="467"/>
      <c r="Q119" s="467"/>
      <c r="R119" s="467"/>
      <c r="S119" s="467"/>
      <c r="T119" s="439" cm="1" t="str">
        <f t="array" ref="T119:T119">T118</f>
        <v>true</v>
      </c>
      <c r="U119" s="467"/>
      <c r="V119" s="467"/>
      <c r="W119" s="467"/>
      <c r="X119" s="1534"/>
      <c r="Y119" s="467"/>
      <c r="Z119" s="1464"/>
      <c r="AA119" s="467"/>
      <c r="AB119" s="1076" t="s">
        <v>1537</v>
      </c>
      <c r="AC119" s="846" t="s">
        <v>1538</v>
      </c>
      <c r="AD119" s="3409"/>
      <c r="AE119" s="3409"/>
      <c r="AF119" s="1078">
        <f>IF(AD119=0,0,(AE119-AD119)/AD119*100)</f>
        <v>0</v>
      </c>
      <c r="AG119" s="3409"/>
      <c r="AH119" s="3409"/>
      <c r="AI119" s="1078">
        <f>IF(AG119=0,0,(AH119-AG119)/AG119*100)</f>
        <v>0</v>
      </c>
      <c r="AJ119" s="3409"/>
      <c r="AK119" s="3409"/>
      <c r="AL119" s="1078">
        <f>IF(AJ119=0,0,(AK119-AJ119)/AJ119*100)</f>
        <v>0</v>
      </c>
      <c r="AM119" s="3409"/>
      <c r="AN119" s="3409"/>
      <c r="AO119" s="1078">
        <f>IF(AM119=0,0,(AN119-AM119)/AM119*100)</f>
        <v>0</v>
      </c>
      <c r="AP119" s="3409"/>
      <c r="AQ119" s="3409"/>
      <c r="AR119" s="1078">
        <f>IF(AP119=0,0,(AQ119-AP119)/AP119*100)</f>
        <v>0</v>
      </c>
      <c r="AS119" s="3409"/>
      <c r="AT119" s="3409"/>
      <c r="AU119" s="1078">
        <f>IF(AS119=0,0,(AT119-AS119)/AS119*100)</f>
        <v>0</v>
      </c>
      <c r="AV119" s="3409"/>
      <c r="AW119" s="3409"/>
      <c r="AX119" s="1078">
        <f>IF(AV119=0,0,(AW119-AV119)/AV119*100)</f>
        <v>0</v>
      </c>
      <c r="AY119" s="3409"/>
      <c r="AZ119" s="3409"/>
      <c r="BA119" s="1078">
        <f>IF(AY119=0,0,(AZ119-AY119)/AY119*100)</f>
        <v>0</v>
      </c>
      <c r="BB119" s="3409"/>
      <c r="BC119" s="3409"/>
      <c r="BD119" s="1078">
        <f>IF(BB119=0,0,(BC119-BB119)/BB119*100)</f>
        <v>0</v>
      </c>
      <c r="BE119" s="3409"/>
      <c r="BF119" s="3409"/>
      <c r="BG119" s="1078">
        <f>IF(BE119=0,0,(BF119-BE119)/BE119*100)</f>
        <v>0</v>
      </c>
      <c r="BH119" s="3409"/>
      <c r="BI119" s="3409"/>
      <c r="BJ119" s="1078">
        <f>IF(BH119=0,0,(BI119-BH119)/BH119*100)</f>
        <v>0</v>
      </c>
      <c r="BK119" s="3409"/>
      <c r="BL119" s="3409"/>
      <c r="BM119" s="1078">
        <f>IF(BK119=0,0,(BL119-BK119)/BK119*100)</f>
        <v>0</v>
      </c>
      <c r="BN119" s="3409"/>
      <c r="BO119" s="3409"/>
      <c r="BP119" s="1078">
        <f>IF(BN119=0,0,(BO119-BN119)/BN119*100)</f>
        <v>0</v>
      </c>
      <c r="BQ119" s="3409"/>
      <c r="BR119" s="3409"/>
      <c r="BS119" s="1078">
        <f>IF(BQ119=0,0,(BR119-BQ119)/BQ119*100)</f>
        <v>0</v>
      </c>
      <c r="BT119" s="3409"/>
      <c r="BU119" s="3409"/>
      <c r="BV119" s="1078">
        <f>IF(BT119=0,0,(BU119-BT119)/BT119*100)</f>
        <v>0</v>
      </c>
      <c r="BW119" s="3409"/>
      <c r="BX119" s="3409"/>
      <c r="BY119" s="1078">
        <f>IF(BW119=0,0,(BX119-BW119)/BW119*100)</f>
        <v>0</v>
      </c>
      <c r="BZ119" s="3409"/>
      <c r="CA119" s="3409"/>
      <c r="CB119" s="1078">
        <f>IF(BZ119=0,0,(CA119-BZ119)/BZ119*100)</f>
        <v>0</v>
      </c>
      <c r="CC119" s="3409"/>
      <c r="CD119" s="3409"/>
      <c r="CE119" s="1078">
        <f>IF(CC119=0,0,(CD119-CC119)/CC119*100)</f>
        <v>0</v>
      </c>
      <c r="CF119" s="3409"/>
      <c r="CG119" s="3409"/>
      <c r="CH119" s="1078">
        <f>IF(CF119=0,0,(CG119-CF119)/CF119*100)</f>
        <v>0</v>
      </c>
      <c r="CI119" s="3409"/>
      <c r="CJ119" s="3409"/>
      <c r="CK119" s="1078">
        <f>IF(CI119=0,0,(CJ119-CI119)/CI119*100)</f>
        <v>0</v>
      </c>
      <c r="CL119" s="3409"/>
      <c r="CM119" s="3409"/>
      <c r="CN119" s="1078">
        <f>IF(CL119=0,0,(CM119-CL119)/CL119*100)</f>
        <v>0</v>
      </c>
      <c r="CO119" s="3409"/>
      <c r="CP119" s="3409"/>
      <c r="CQ119" s="1078">
        <f>IF(CO119=0,0,(CP119-CO119)/CO119*100)</f>
        <v>0</v>
      </c>
      <c r="CR119" s="3409"/>
      <c r="CS119" s="3409"/>
      <c r="CT119" s="1078">
        <f>IF(CR119=0,0,(CS119-CR119)/CR119*100)</f>
        <v>0</v>
      </c>
      <c r="CU119" s="3409"/>
      <c r="CV119" s="3409"/>
      <c r="CW119" s="1078">
        <f>IF(CU119=0,0,(CV119-CU119)/CU119*100)</f>
        <v>0</v>
      </c>
      <c r="CX119" s="3409"/>
      <c r="CY119" s="3409"/>
      <c r="CZ119" s="1078">
        <f>IF(CX119=0,0,(CY119-CX119)/CX119*100)</f>
        <v>0</v>
      </c>
      <c r="DA119" s="3409"/>
      <c r="DB119" s="3409"/>
      <c r="DC119" s="1078">
        <f>IF(DA119=0,0,(DB119-DA119)/DA119*100)</f>
        <v>0</v>
      </c>
      <c r="DD119" s="3409"/>
      <c r="DE119" s="3409"/>
      <c r="DF119" s="1078">
        <f>IF(DD119=0,0,(DE119-DD119)/DD119*100)</f>
        <v>0</v>
      </c>
      <c r="DG119" s="3409"/>
      <c r="DH119" s="3409"/>
      <c r="DI119" s="1078">
        <f>IF(DG119=0,0,(DH119-DG119)/DG119*100)</f>
        <v>0</v>
      </c>
      <c r="DJ119" s="3409"/>
      <c r="DK119" s="3409"/>
      <c r="DL119" s="1078">
        <f>IF(DJ119=0,0,(DK119-DJ119)/DJ119*100)</f>
        <v>0</v>
      </c>
      <c r="DM119" s="3409"/>
      <c r="DN119" s="3409"/>
      <c r="DO119" s="1078">
        <f>IF(DM119=0,0,(DN119-DM119)/DM119*100)</f>
        <v>0</v>
      </c>
      <c r="DP119" s="3409"/>
      <c r="DQ119" s="3409"/>
      <c r="DR119" s="1078">
        <f>IF(DP119=0,0,(DQ119-DP119)/DP119*100)</f>
        <v>0</v>
      </c>
      <c r="DS119" s="3409"/>
      <c r="DT119" s="3409"/>
      <c r="DU119" s="1078">
        <f>IF(DS119=0,0,(DT119-DS119)/DS119*100)</f>
        <v>0</v>
      </c>
      <c r="DV119" s="3409"/>
      <c r="DW119" s="3409"/>
      <c r="DX119" s="1078">
        <f>IF(DV119=0,0,(DW119-DV119)/DV119*100)</f>
        <v>0</v>
      </c>
      <c r="DY119" s="3409"/>
      <c r="DZ119" s="3409"/>
      <c r="EA119" s="1078">
        <f>IF(DY119=0,0,(DZ119-DY119)/DY119*100)</f>
        <v>0</v>
      </c>
      <c r="EB119" s="3409"/>
      <c r="EC119" s="3409"/>
      <c r="ED119" s="1078">
        <f>IF(EB119=0,0,(EC119-EB119)/EB119*100)</f>
        <v>0</v>
      </c>
      <c r="EE119" s="3409"/>
      <c r="EF119" s="3409"/>
      <c r="EG119" s="1078">
        <f>IF(EE119=0,0,(EF119-EE119)/EE119*100)</f>
        <v>0</v>
      </c>
      <c r="EH119" s="3409"/>
      <c r="EI119" s="3409"/>
      <c r="EJ119" s="1078">
        <f>IF(EH119=0,0,(EI119-EH119)/EH119*100)</f>
        <v>0</v>
      </c>
      <c r="EK119" s="3409"/>
      <c r="EL119" s="3409"/>
      <c r="EM119" s="1078">
        <f>IF(EK119=0,0,(EL119-EK119)/EK119*100)</f>
        <v>0</v>
      </c>
      <c r="EN119" s="3409"/>
      <c r="EO119" s="3409"/>
      <c r="EP119" s="1078">
        <f>IF(EN119=0,0,(EO119-EN119)/EN119*100)</f>
        <v>0</v>
      </c>
      <c r="EQ119" s="3409"/>
      <c r="ER119" s="3409"/>
      <c r="ES119" s="1078">
        <f>IF(EQ119=0,0,(ER119-EQ119)/EQ119*100)</f>
        <v>0</v>
      </c>
      <c r="ET119" s="3409"/>
      <c r="EU119" s="3409"/>
      <c r="EV119" s="1078">
        <f>IF(ET119=0,0,(EU119-ET119)/ET119*100)</f>
        <v>0</v>
      </c>
      <c r="EW119" s="3409"/>
      <c r="EX119" s="3409"/>
      <c r="EY119" s="1078">
        <f>IF(EW119=0,0,(EX119-EW119)/EW119*100)</f>
        <v>0</v>
      </c>
      <c r="EZ119" s="3409"/>
      <c r="FA119" s="3409"/>
      <c r="FB119" s="1078">
        <f>IF(EZ119=0,0,(FA119-EZ119)/EZ119*100)</f>
        <v>0</v>
      </c>
      <c r="FC119" s="3409"/>
      <c r="FD119" s="3409"/>
      <c r="FE119" s="1078">
        <f>IF(FC119=0,0,(FD119-FC119)/FC119*100)</f>
        <v>0</v>
      </c>
      <c r="FF119" s="3409"/>
      <c r="FG119" s="3409"/>
      <c r="FH119" s="1078">
        <f>IF(FF119=0,0,(FG119-FF119)/FF119*100)</f>
        <v>0</v>
      </c>
      <c r="FI119" s="3409"/>
      <c r="FJ119" s="3409"/>
      <c r="FK119" s="1078">
        <f>IF(FI119=0,0,(FJ119-FI119)/FI119*100)</f>
        <v>0</v>
      </c>
      <c r="FL119" s="3409"/>
      <c r="FM119" s="3409"/>
      <c r="FN119" s="1078">
        <f>IF(FL119=0,0,(FM119-FL119)/FL119*100)</f>
        <v>0</v>
      </c>
      <c r="FO119" s="3409"/>
      <c r="FP119" s="3409"/>
      <c r="FQ119" s="1078">
        <f>IF(FO119=0,0,(FP119-FO119)/FO119*100)</f>
        <v>0</v>
      </c>
      <c r="FR119" s="3409"/>
      <c r="FS119" s="3409"/>
      <c r="FT119" s="1078">
        <f>IF(FR119=0,0,(FS119-FR119)/FR119*100)</f>
        <v>0</v>
      </c>
      <c r="FU119" s="3409"/>
      <c r="FV119" s="3409"/>
      <c r="FW119" s="1078">
        <f>IF(FU119=0,0,(FV119-FU119)/FU119*100)</f>
        <v>0</v>
      </c>
      <c r="FX119" s="676"/>
      <c r="FY119" s="676"/>
      <c r="FZ119" s="1039" t="s">
        <v>1553</v>
      </c>
      <c r="GA119" s="1061"/>
      <c r="GB119" s="1061"/>
      <c r="GC119" s="697"/>
      <c r="GD119" s="697"/>
    </row>
    <row s="1621" customFormat="1" customHeight="1" ht="23.25" hidden="1">
      <c r="A120" s="467"/>
      <c r="B120" s="907" cm="1" t="str">
        <f t="array" ref="B120:B120">B119</f>
        <v>false</v>
      </c>
      <c r="C120" s="467"/>
      <c r="D120" s="467"/>
      <c r="E120" s="822">
        <v>24.5</v>
      </c>
      <c r="F120" s="50" cm="1" t="str">
        <f t="array" ref="F120:F120">OFFSET(E120,-1,1)</f>
        <v>1</v>
      </c>
      <c r="G120" s="467"/>
      <c r="H120" s="467"/>
      <c r="I120" s="467"/>
      <c r="J120" s="467"/>
      <c r="K120" s="467"/>
      <c r="L120" s="467"/>
      <c r="M120" s="467"/>
      <c r="N120" s="467"/>
      <c r="O120" s="467"/>
      <c r="P120" s="467"/>
      <c r="Q120" s="467"/>
      <c r="R120" s="467"/>
      <c r="S120" s="467"/>
      <c r="T120" s="439" cm="1" t="str">
        <f t="array" ref="T120:T120">T119</f>
        <v>true</v>
      </c>
      <c r="U120" s="467"/>
      <c r="V120" s="467"/>
      <c r="W120" s="467"/>
      <c r="X120" s="1534"/>
      <c r="Y120" s="467"/>
      <c r="Z120" s="1464"/>
      <c r="AA120" s="467"/>
      <c r="AB120" s="260" t="s">
        <v>1554</v>
      </c>
      <c r="AC120" s="885"/>
      <c r="AD120" s="1087"/>
      <c r="AE120" s="1087"/>
      <c r="AF120" s="1087"/>
      <c r="AG120" s="1087"/>
      <c r="AH120" s="1087"/>
      <c r="AI120" s="1087"/>
      <c r="AJ120" s="1087"/>
      <c r="AK120" s="1087"/>
      <c r="AL120" s="1087"/>
      <c r="AM120" s="1087"/>
      <c r="AN120" s="1087"/>
      <c r="AO120" s="1087"/>
      <c r="AP120" s="1087"/>
      <c r="AQ120" s="1087"/>
      <c r="AR120" s="1087"/>
      <c r="AS120" s="1087"/>
      <c r="AT120" s="1087"/>
      <c r="AU120" s="1087"/>
      <c r="AV120" s="1087"/>
      <c r="AW120" s="1087"/>
      <c r="AX120" s="1087"/>
      <c r="AY120" s="1087"/>
      <c r="AZ120" s="1087"/>
      <c r="BA120" s="1087"/>
      <c r="BB120" s="1087"/>
      <c r="BC120" s="1087"/>
      <c r="BD120" s="1087"/>
      <c r="BE120" s="1087"/>
      <c r="BF120" s="1087"/>
      <c r="BG120" s="1087"/>
      <c r="BH120" s="1087"/>
      <c r="BI120" s="1087"/>
      <c r="BJ120" s="1087"/>
      <c r="BK120" s="1087"/>
      <c r="BL120" s="1087"/>
      <c r="BM120" s="1087"/>
      <c r="BN120" s="1087"/>
      <c r="BO120" s="1087"/>
      <c r="BP120" s="1087"/>
      <c r="BQ120" s="1087"/>
      <c r="BR120" s="1087"/>
      <c r="BS120" s="1087"/>
      <c r="BT120" s="1087"/>
      <c r="BU120" s="1087"/>
      <c r="BV120" s="1087"/>
      <c r="BW120" s="1087"/>
      <c r="BX120" s="1087"/>
      <c r="BY120" s="1087"/>
      <c r="BZ120" s="1087"/>
      <c r="CA120" s="1087"/>
      <c r="CB120" s="1087"/>
      <c r="CC120" s="1087"/>
      <c r="CD120" s="1087"/>
      <c r="CE120" s="1087"/>
      <c r="CF120" s="1087"/>
      <c r="CG120" s="1087"/>
      <c r="CH120" s="1087"/>
      <c r="CI120" s="1087"/>
      <c r="CJ120" s="1087"/>
      <c r="CK120" s="1087"/>
      <c r="CL120" s="1087"/>
      <c r="CM120" s="1087"/>
      <c r="CN120" s="1087"/>
      <c r="CO120" s="1087"/>
      <c r="CP120" s="1087"/>
      <c r="CQ120" s="1087"/>
      <c r="CR120" s="1087"/>
      <c r="CS120" s="1087"/>
      <c r="CT120" s="1087"/>
      <c r="CU120" s="1087"/>
      <c r="CV120" s="1087"/>
      <c r="CW120" s="1087"/>
      <c r="CX120" s="1087"/>
      <c r="CY120" s="1087"/>
      <c r="CZ120" s="1087"/>
      <c r="DA120" s="1087"/>
      <c r="DB120" s="1087"/>
      <c r="DC120" s="1087"/>
      <c r="DD120" s="1087"/>
      <c r="DE120" s="1087"/>
      <c r="DF120" s="1087"/>
      <c r="DG120" s="1087"/>
      <c r="DH120" s="1087"/>
      <c r="DI120" s="1087"/>
      <c r="DJ120" s="1087"/>
      <c r="DK120" s="1087"/>
      <c r="DL120" s="1087"/>
      <c r="DM120" s="1087"/>
      <c r="DN120" s="1087"/>
      <c r="DO120" s="1087"/>
      <c r="DP120" s="1087"/>
      <c r="DQ120" s="1087"/>
      <c r="DR120" s="1087"/>
      <c r="DS120" s="1087"/>
      <c r="DT120" s="1087"/>
      <c r="DU120" s="1087"/>
      <c r="DV120" s="1087"/>
      <c r="DW120" s="1087"/>
      <c r="DX120" s="1087"/>
      <c r="DY120" s="1087"/>
      <c r="DZ120" s="1087"/>
      <c r="EA120" s="1087"/>
      <c r="EB120" s="1087"/>
      <c r="EC120" s="1087"/>
      <c r="ED120" s="1087"/>
      <c r="EE120" s="1087"/>
      <c r="EF120" s="1087"/>
      <c r="EG120" s="1087"/>
      <c r="EH120" s="1087"/>
      <c r="EI120" s="1087"/>
      <c r="EJ120" s="1087"/>
      <c r="EK120" s="1087"/>
      <c r="EL120" s="1087"/>
      <c r="EM120" s="1087"/>
      <c r="EN120" s="1087"/>
      <c r="EO120" s="1087"/>
      <c r="EP120" s="1087"/>
      <c r="EQ120" s="1087"/>
      <c r="ER120" s="1087"/>
      <c r="ES120" s="1087"/>
      <c r="ET120" s="1087"/>
      <c r="EU120" s="1087"/>
      <c r="EV120" s="1087"/>
      <c r="EW120" s="1087"/>
      <c r="EX120" s="1087"/>
      <c r="EY120" s="1087"/>
      <c r="EZ120" s="1087"/>
      <c r="FA120" s="1087"/>
      <c r="FB120" s="1087"/>
      <c r="FC120" s="1087"/>
      <c r="FD120" s="1087"/>
      <c r="FE120" s="1087"/>
      <c r="FF120" s="1087"/>
      <c r="FG120" s="1087"/>
      <c r="FH120" s="1087"/>
      <c r="FI120" s="1087"/>
      <c r="FJ120" s="1087"/>
      <c r="FK120" s="1087"/>
      <c r="FL120" s="1087"/>
      <c r="FM120" s="1087"/>
      <c r="FN120" s="1087"/>
      <c r="FO120" s="1087"/>
      <c r="FP120" s="1087"/>
      <c r="FQ120" s="1087"/>
      <c r="FR120" s="1087"/>
      <c r="FS120" s="1087"/>
      <c r="FT120" s="1087"/>
      <c r="FU120" s="1087"/>
      <c r="FV120" s="1087"/>
      <c r="FW120" s="1088"/>
      <c r="FX120" s="676"/>
      <c r="FY120" s="676"/>
      <c r="FZ120" s="1039"/>
      <c r="GA120" s="1061"/>
      <c r="GB120" s="1061"/>
      <c r="GC120" s="697"/>
      <c r="GD120" s="697"/>
    </row>
    <row s="1621" customFormat="1" customHeight="1" ht="14.25" hidden="1">
      <c r="A121" s="467"/>
      <c r="B121" s="907" cm="1" t="str">
        <f t="array" ref="B121:B121">B120</f>
        <v>false</v>
      </c>
      <c r="C121" s="467"/>
      <c r="D121" s="467"/>
      <c r="E121" s="822">
        <v>15</v>
      </c>
      <c r="F121" s="50" cm="1" t="str">
        <f t="array" ref="F121:F121">OFFSET(E121,-1,1)</f>
        <v>1</v>
      </c>
      <c r="G121" s="467"/>
      <c r="H121" s="467" t="s">
        <v>1445</v>
      </c>
      <c r="I121" s="467" t="s">
        <v>1511</v>
      </c>
      <c r="J121" s="467"/>
      <c r="K121" s="467"/>
      <c r="L121" s="467"/>
      <c r="M121" s="467"/>
      <c r="N121" s="467"/>
      <c r="O121" s="467"/>
      <c r="P121" s="467"/>
      <c r="Q121" s="467"/>
      <c r="R121" s="467"/>
      <c r="S121" s="467"/>
      <c r="T121" s="439" cm="1" t="str">
        <f t="array" ref="T121:T121">T120</f>
        <v>true</v>
      </c>
      <c r="U121" s="467"/>
      <c r="V121" s="467"/>
      <c r="W121" s="467"/>
      <c r="X121" s="1534"/>
      <c r="Y121" s="467"/>
      <c r="Z121" s="1464"/>
      <c r="AA121" s="467"/>
      <c r="AB121" s="1076" t="s">
        <v>1527</v>
      </c>
      <c r="AC121" s="846" t="s">
        <v>1494</v>
      </c>
      <c r="AD121" s="3409">
        <f>IF(AD123=0,0,(AD122*AD123+AD124*AD125*IF(god=2026,3,6))/AD123)</f>
        <v>0</v>
      </c>
      <c r="AE121" s="3409">
        <f>IF(AE123=0,0,(AE122*AE123+AE124*AE125*IF(god=2026,3,6))/AE123)</f>
        <v>0</v>
      </c>
      <c r="AF121" s="1078">
        <f>IF(AD121=0,0,(AE121-AD121)/AD121*100)</f>
        <v>0</v>
      </c>
      <c r="AG121" s="3409">
        <f>IF(AG123=0,0,(AG122*AG123+AG124*AG125*IF(god=2025,3,6))/AG123)</f>
        <v>0</v>
      </c>
      <c r="AH121" s="3409">
        <f>IF(AH123=0,0,(AH122*AH123+AH124*AH125*IF(god=2025,3,6))/AH123)</f>
        <v>0</v>
      </c>
      <c r="AI121" s="1078">
        <f>IF(AG121=0,0,(AH121-AG121)/AG121*100)</f>
        <v>0</v>
      </c>
      <c r="AJ121" s="3409">
        <f>IF(AJ123=0,0,(AJ122*AJ123+AJ124*AJ125*6)/AJ123)</f>
        <v>0</v>
      </c>
      <c r="AK121" s="3409">
        <f>IF(AK123=0,0,(AK122*AK123+AK124*AK125*6)/AK123)</f>
        <v>0</v>
      </c>
      <c r="AL121" s="1078">
        <f>IF(AJ121=0,0,(AK121-AJ121)/AJ121*100)</f>
        <v>0</v>
      </c>
      <c r="AM121" s="3409">
        <f>IF(AM123=0,0,(AM122*AM123+AM124*AM125*6)/AM123)</f>
        <v>0</v>
      </c>
      <c r="AN121" s="3409">
        <f>IF(AN123=0,0,(AN122*AN123+AN124*AN125*6)/AN123)</f>
        <v>0</v>
      </c>
      <c r="AO121" s="1078">
        <f>IF(AM121=0,0,(AN121-AM121)/AM121*100)</f>
        <v>0</v>
      </c>
      <c r="AP121" s="3409">
        <f>IF(AP123=0,0,(AP122*AP123+AP124*AP125*6)/AP123)</f>
        <v>0</v>
      </c>
      <c r="AQ121" s="3409">
        <f>IF(AQ123=0,0,(AQ122*AQ123+AQ124*AQ125*6)/AQ123)</f>
        <v>0</v>
      </c>
      <c r="AR121" s="1078">
        <f>IF(AP121=0,0,(AQ121-AP121)/AP121*100)</f>
        <v>0</v>
      </c>
      <c r="AS121" s="3409">
        <f>IF(AS123=0,0,(AS122*AS123+AS124*AS125*6)/AS123)</f>
        <v>0</v>
      </c>
      <c r="AT121" s="3409">
        <f>IF(AT123=0,0,(AT122*AT123+AT124*AT125*6)/AT123)</f>
        <v>0</v>
      </c>
      <c r="AU121" s="1078">
        <f>IF(AS121=0,0,(AT121-AS121)/AS121*100)</f>
        <v>0</v>
      </c>
      <c r="AV121" s="3409">
        <f>IF(AV123=0,0,(AV122*AV123+AV124*AV125*6)/AV123)</f>
        <v>0</v>
      </c>
      <c r="AW121" s="3409">
        <f>IF(AW123=0,0,(AW122*AW123+AW124*AW125*6)/AW123)</f>
        <v>0</v>
      </c>
      <c r="AX121" s="1078">
        <f>IF(AV121=0,0,(AW121-AV121)/AV121*100)</f>
        <v>0</v>
      </c>
      <c r="AY121" s="3409">
        <f>IF(AY123=0,0,(AY122*AY123+AY124*AY125*6)/AY123)</f>
        <v>0</v>
      </c>
      <c r="AZ121" s="3409">
        <f>IF(AZ123=0,0,(AZ122*AZ123+AZ124*AZ125*6)/AZ123)</f>
        <v>0</v>
      </c>
      <c r="BA121" s="1078">
        <f>IF(AY121=0,0,(AZ121-AY121)/AY121*100)</f>
        <v>0</v>
      </c>
      <c r="BB121" s="3409">
        <f>IF(BB123=0,0,(BB122*BB123+BB124*BB125*6)/BB123)</f>
        <v>0</v>
      </c>
      <c r="BC121" s="3409">
        <f>IF(BC123=0,0,(BC122*BC123+BC124*BC125*6)/BC123)</f>
        <v>0</v>
      </c>
      <c r="BD121" s="1078">
        <f>IF(BB121=0,0,(BC121-BB121)/BB121*100)</f>
        <v>0</v>
      </c>
      <c r="BE121" s="3409">
        <f>IF(BE123=0,0,(BE122*BE123+BE124*BE125*6)/BE123)</f>
        <v>0</v>
      </c>
      <c r="BF121" s="3409">
        <f>IF(BF123=0,0,(BF122*BF123+BF124*BF125*6)/BF123)</f>
        <v>0</v>
      </c>
      <c r="BG121" s="1078">
        <f>IF(BE121=0,0,(BF121-BE121)/BE121*100)</f>
        <v>0</v>
      </c>
      <c r="BH121" s="3409">
        <f>IF(BH123=0,0,(BH122*BH123+BH124*BH125*6)/BH123)</f>
        <v>0</v>
      </c>
      <c r="BI121" s="3409">
        <f>IF(BI123=0,0,(BI122*BI123+BI124*BI125*6)/BI123)</f>
        <v>0</v>
      </c>
      <c r="BJ121" s="1078">
        <f>IF(BH121=0,0,(BI121-BH121)/BH121*100)</f>
        <v>0</v>
      </c>
      <c r="BK121" s="3409">
        <f>IF(BK123=0,0,(BK122*BK123+BK124*BK125*6)/BK123)</f>
        <v>0</v>
      </c>
      <c r="BL121" s="3409">
        <f>IF(BL123=0,0,(BL122*BL123+BL124*BL125*6)/BL123)</f>
        <v>0</v>
      </c>
      <c r="BM121" s="1078">
        <f>IF(BK121=0,0,(BL121-BK121)/BK121*100)</f>
        <v>0</v>
      </c>
      <c r="BN121" s="3409">
        <f>IF(BN123=0,0,(BN122*BN123+BN124*BN125*6)/BN123)</f>
        <v>0</v>
      </c>
      <c r="BO121" s="3409">
        <f>IF(BO123=0,0,(BO122*BO123+BO124*BO125*6)/BO123)</f>
        <v>0</v>
      </c>
      <c r="BP121" s="1078">
        <f>IF(BN121=0,0,(BO121-BN121)/BN121*100)</f>
        <v>0</v>
      </c>
      <c r="BQ121" s="3409">
        <f>IF(BQ123=0,0,(BQ122*BQ123+BQ124*BQ125*6)/BQ123)</f>
        <v>0</v>
      </c>
      <c r="BR121" s="3409">
        <f>IF(BR123=0,0,(BR122*BR123+BR124*BR125*6)/BR123)</f>
        <v>0</v>
      </c>
      <c r="BS121" s="1078">
        <f>IF(BQ121=0,0,(BR121-BQ121)/BQ121*100)</f>
        <v>0</v>
      </c>
      <c r="BT121" s="3409">
        <f>IF(BT123=0,0,(BT122*BT123+BT124*BT125*6)/BT123)</f>
        <v>0</v>
      </c>
      <c r="BU121" s="3409">
        <f>IF(BU123=0,0,(BU122*BU123+BU124*BU125*6)/BU123)</f>
        <v>0</v>
      </c>
      <c r="BV121" s="1078">
        <f>IF(BT121=0,0,(BU121-BT121)/BT121*100)</f>
        <v>0</v>
      </c>
      <c r="BW121" s="3409">
        <f>IF(BW123=0,0,(BW122*BW123+BW124*BW125*6)/BW123)</f>
        <v>0</v>
      </c>
      <c r="BX121" s="3409">
        <f>IF(BX123=0,0,(BX122*BX123+BX124*BX125*6)/BX123)</f>
        <v>0</v>
      </c>
      <c r="BY121" s="1078">
        <f>IF(BW121=0,0,(BX121-BW121)/BW121*100)</f>
        <v>0</v>
      </c>
      <c r="BZ121" s="3409">
        <f>IF(BZ123=0,0,(BZ122*BZ123+BZ124*BZ125*6)/BZ123)</f>
        <v>0</v>
      </c>
      <c r="CA121" s="3409">
        <f>IF(CA123=0,0,(CA122*CA123+CA124*CA125*6)/CA123)</f>
        <v>0</v>
      </c>
      <c r="CB121" s="1078">
        <f>IF(BZ121=0,0,(CA121-BZ121)/BZ121*100)</f>
        <v>0</v>
      </c>
      <c r="CC121" s="3409">
        <f>IF(CC123=0,0,(CC122*CC123+CC124*CC125*6)/CC123)</f>
        <v>0</v>
      </c>
      <c r="CD121" s="3409">
        <f>IF(CD123=0,0,(CD122*CD123+CD124*CD125*6)/CD123)</f>
        <v>0</v>
      </c>
      <c r="CE121" s="1078">
        <f>IF(CC121=0,0,(CD121-CC121)/CC121*100)</f>
        <v>0</v>
      </c>
      <c r="CF121" s="3409">
        <f>IF(CF123=0,0,(CF122*CF123+CF124*CF125*6)/CF123)</f>
        <v>0</v>
      </c>
      <c r="CG121" s="3409">
        <f>IF(CG123=0,0,(CG122*CG123+CG124*CG125*6)/CG123)</f>
        <v>0</v>
      </c>
      <c r="CH121" s="1078">
        <f>IF(CF121=0,0,(CG121-CF121)/CF121*100)</f>
        <v>0</v>
      </c>
      <c r="CI121" s="3409">
        <f>IF(CI123=0,0,(CI122*CI123+CI124*CI125*6)/CI123)</f>
        <v>0</v>
      </c>
      <c r="CJ121" s="3409">
        <f>IF(CJ123=0,0,(CJ122*CJ123+CJ124*CJ125*6)/CJ123)</f>
        <v>0</v>
      </c>
      <c r="CK121" s="1078">
        <f>IF(CI121=0,0,(CJ121-CI121)/CI121*100)</f>
        <v>0</v>
      </c>
      <c r="CL121" s="3409">
        <f>IF(CL123=0,0,(CL122*CL123+CL124*CL125*6)/CL123)</f>
        <v>0</v>
      </c>
      <c r="CM121" s="3409">
        <f>IF(CM123=0,0,(CM122*CM123+CM124*CM125*6)/CM123)</f>
        <v>0</v>
      </c>
      <c r="CN121" s="1078">
        <f>IF(CL121=0,0,(CM121-CL121)/CL121*100)</f>
        <v>0</v>
      </c>
      <c r="CO121" s="3409">
        <f>IF(CO123=0,0,(CO122*CO123+CO124*CO125*6)/CO123)</f>
        <v>0</v>
      </c>
      <c r="CP121" s="3409">
        <f>IF(CP123=0,0,(CP122*CP123+CP124*CP125*6)/CP123)</f>
        <v>0</v>
      </c>
      <c r="CQ121" s="1078">
        <f>IF(CO121=0,0,(CP121-CO121)/CO121*100)</f>
        <v>0</v>
      </c>
      <c r="CR121" s="3409">
        <f>IF(CR123=0,0,(CR122*CR123+CR124*CR125*6)/CR123)</f>
        <v>0</v>
      </c>
      <c r="CS121" s="3409">
        <f>IF(CS123=0,0,(CS122*CS123+CS124*CS125*6)/CS123)</f>
        <v>0</v>
      </c>
      <c r="CT121" s="1078">
        <f>IF(CR121=0,0,(CS121-CR121)/CR121*100)</f>
        <v>0</v>
      </c>
      <c r="CU121" s="3409">
        <f>IF(CU123=0,0,(CU122*CU123+CU124*CU125*6)/CU123)</f>
        <v>0</v>
      </c>
      <c r="CV121" s="3409">
        <f>IF(CV123=0,0,(CV122*CV123+CV124*CV125*6)/CV123)</f>
        <v>0</v>
      </c>
      <c r="CW121" s="1078">
        <f>IF(CU121=0,0,(CV121-CU121)/CU121*100)</f>
        <v>0</v>
      </c>
      <c r="CX121" s="3409">
        <f>IF(CX123=0,0,(CX122*CX123+CX124*CX125*6)/CX123)</f>
        <v>0</v>
      </c>
      <c r="CY121" s="3409">
        <f>IF(CY123=0,0,(CY122*CY123+CY124*CY125*6)/CY123)</f>
        <v>0</v>
      </c>
      <c r="CZ121" s="1078">
        <f>IF(CX121=0,0,(CY121-CX121)/CX121*100)</f>
        <v>0</v>
      </c>
      <c r="DA121" s="3409">
        <f>IF(DA123=0,0,(DA122*DA123+DA124*DA125*6)/DA123)</f>
        <v>0</v>
      </c>
      <c r="DB121" s="3409">
        <f>IF(DB123=0,0,(DB122*DB123+DB124*DB125*6)/DB123)</f>
        <v>0</v>
      </c>
      <c r="DC121" s="1078">
        <f>IF(DA121=0,0,(DB121-DA121)/DA121*100)</f>
        <v>0</v>
      </c>
      <c r="DD121" s="3409">
        <f>IF(DD123=0,0,(DD122*DD123+DD124*DD125*6)/DD123)</f>
        <v>0</v>
      </c>
      <c r="DE121" s="3409">
        <f>IF(DE123=0,0,(DE122*DE123+DE124*DE125*6)/DE123)</f>
        <v>0</v>
      </c>
      <c r="DF121" s="1078">
        <f>IF(DD121=0,0,(DE121-DD121)/DD121*100)</f>
        <v>0</v>
      </c>
      <c r="DG121" s="3409">
        <f>IF(DG123=0,0,(DG122*DG123+DG124*DG125*6)/DG123)</f>
        <v>0</v>
      </c>
      <c r="DH121" s="3409">
        <f>IF(DH123=0,0,(DH122*DH123+DH124*DH125*6)/DH123)</f>
        <v>0</v>
      </c>
      <c r="DI121" s="1078">
        <f>IF(DG121=0,0,(DH121-DG121)/DG121*100)</f>
        <v>0</v>
      </c>
      <c r="DJ121" s="3409">
        <f>IF(DJ123=0,0,(DJ122*DJ123+DJ124*DJ125*6)/DJ123)</f>
        <v>0</v>
      </c>
      <c r="DK121" s="3409">
        <f>IF(DK123=0,0,(DK122*DK123+DK124*DK125*6)/DK123)</f>
        <v>0</v>
      </c>
      <c r="DL121" s="1078">
        <f>IF(DJ121=0,0,(DK121-DJ121)/DJ121*100)</f>
        <v>0</v>
      </c>
      <c r="DM121" s="3409">
        <f>IF(DM123=0,0,(DM122*DM123+DM124*DM125*6)/DM123)</f>
        <v>0</v>
      </c>
      <c r="DN121" s="3409">
        <f>IF(DN123=0,0,(DN122*DN123+DN124*DN125*6)/DN123)</f>
        <v>0</v>
      </c>
      <c r="DO121" s="1078">
        <f>IF(DM121=0,0,(DN121-DM121)/DM121*100)</f>
        <v>0</v>
      </c>
      <c r="DP121" s="3409">
        <f>IF(DP123=0,0,(DP122*DP123+DP124*DP125*6)/DP123)</f>
        <v>0</v>
      </c>
      <c r="DQ121" s="3409">
        <f>IF(DQ123=0,0,(DQ122*DQ123+DQ124*DQ125*6)/DQ123)</f>
        <v>0</v>
      </c>
      <c r="DR121" s="1078">
        <f>IF(DP121=0,0,(DQ121-DP121)/DP121*100)</f>
        <v>0</v>
      </c>
      <c r="DS121" s="3409">
        <f>IF(DS123=0,0,(DS122*DS123+DS124*DS125*6)/DS123)</f>
        <v>0</v>
      </c>
      <c r="DT121" s="3409">
        <f>IF(DT123=0,0,(DT122*DT123+DT124*DT125*6)/DT123)</f>
        <v>0</v>
      </c>
      <c r="DU121" s="1078">
        <f>IF(DS121=0,0,(DT121-DS121)/DS121*100)</f>
        <v>0</v>
      </c>
      <c r="DV121" s="3409">
        <f>IF(DV123=0,0,(DV122*DV123+DV124*DV125*6)/DV123)</f>
        <v>0</v>
      </c>
      <c r="DW121" s="3409">
        <f>IF(DW123=0,0,(DW122*DW123+DW124*DW125*6)/DW123)</f>
        <v>0</v>
      </c>
      <c r="DX121" s="1078">
        <f>IF(DV121=0,0,(DW121-DV121)/DV121*100)</f>
        <v>0</v>
      </c>
      <c r="DY121" s="3409">
        <f>IF(DY123=0,0,(DY122*DY123+DY124*DY125*6)/DY123)</f>
        <v>0</v>
      </c>
      <c r="DZ121" s="3409">
        <f>IF(DZ123=0,0,(DZ122*DZ123+DZ124*DZ125*6)/DZ123)</f>
        <v>0</v>
      </c>
      <c r="EA121" s="1078">
        <f>IF(DY121=0,0,(DZ121-DY121)/DY121*100)</f>
        <v>0</v>
      </c>
      <c r="EB121" s="3409">
        <f>IF(EB123=0,0,(EB122*EB123+EB124*EB125*6)/EB123)</f>
        <v>0</v>
      </c>
      <c r="EC121" s="3409">
        <f>IF(EC123=0,0,(EC122*EC123+EC124*EC125*6)/EC123)</f>
        <v>0</v>
      </c>
      <c r="ED121" s="1078">
        <f>IF(EB121=0,0,(EC121-EB121)/EB121*100)</f>
        <v>0</v>
      </c>
      <c r="EE121" s="3409">
        <f>IF(EE123=0,0,(EE122*EE123+EE124*EE125*6)/EE123)</f>
        <v>0</v>
      </c>
      <c r="EF121" s="3409">
        <f>IF(EF123=0,0,(EF122*EF123+EF124*EF125*6)/EF123)</f>
        <v>0</v>
      </c>
      <c r="EG121" s="1078">
        <f>IF(EE121=0,0,(EF121-EE121)/EE121*100)</f>
        <v>0</v>
      </c>
      <c r="EH121" s="3409">
        <f>IF(EH123=0,0,(EH122*EH123+EH124*EH125*6)/EH123)</f>
        <v>0</v>
      </c>
      <c r="EI121" s="3409">
        <f>IF(EI123=0,0,(EI122*EI123+EI124*EI125*6)/EI123)</f>
        <v>0</v>
      </c>
      <c r="EJ121" s="1078">
        <f>IF(EH121=0,0,(EI121-EH121)/EH121*100)</f>
        <v>0</v>
      </c>
      <c r="EK121" s="3409">
        <f>IF(EK123=0,0,(EK122*EK123+EK124*EK125*6)/EK123)</f>
        <v>0</v>
      </c>
      <c r="EL121" s="3409">
        <f>IF(EL123=0,0,(EL122*EL123+EL124*EL125*6)/EL123)</f>
        <v>0</v>
      </c>
      <c r="EM121" s="1078">
        <f>IF(EK121=0,0,(EL121-EK121)/EK121*100)</f>
        <v>0</v>
      </c>
      <c r="EN121" s="3409">
        <f>IF(EN123=0,0,(EN122*EN123+EN124*EN125*6)/EN123)</f>
        <v>0</v>
      </c>
      <c r="EO121" s="3409">
        <f>IF(EO123=0,0,(EO122*EO123+EO124*EO125*6)/EO123)</f>
        <v>0</v>
      </c>
      <c r="EP121" s="1078">
        <f>IF(EN121=0,0,(EO121-EN121)/EN121*100)</f>
        <v>0</v>
      </c>
      <c r="EQ121" s="3409">
        <f>IF(EQ123=0,0,(EQ122*EQ123+EQ124*EQ125*6)/EQ123)</f>
        <v>0</v>
      </c>
      <c r="ER121" s="3409">
        <f>IF(ER123=0,0,(ER122*ER123+ER124*ER125*6)/ER123)</f>
        <v>0</v>
      </c>
      <c r="ES121" s="1078">
        <f>IF(EQ121=0,0,(ER121-EQ121)/EQ121*100)</f>
        <v>0</v>
      </c>
      <c r="ET121" s="3409">
        <f>IF(ET123=0,0,(ET122*ET123+ET124*ET125*6)/ET123)</f>
        <v>0</v>
      </c>
      <c r="EU121" s="3409">
        <f>IF(EU123=0,0,(EU122*EU123+EU124*EU125*6)/EU123)</f>
        <v>0</v>
      </c>
      <c r="EV121" s="1078">
        <f>IF(ET121=0,0,(EU121-ET121)/ET121*100)</f>
        <v>0</v>
      </c>
      <c r="EW121" s="3409">
        <f>IF(EW123=0,0,(EW122*EW123+EW124*EW125*6)/EW123)</f>
        <v>0</v>
      </c>
      <c r="EX121" s="3409">
        <f>IF(EX123=0,0,(EX122*EX123+EX124*EX125*6)/EX123)</f>
        <v>0</v>
      </c>
      <c r="EY121" s="1078">
        <f>IF(EW121=0,0,(EX121-EW121)/EW121*100)</f>
        <v>0</v>
      </c>
      <c r="EZ121" s="3409">
        <f>IF(EZ123=0,0,(EZ122*EZ123+EZ124*EZ125*6)/EZ123)</f>
        <v>0</v>
      </c>
      <c r="FA121" s="3409">
        <f>IF(FA123=0,0,(FA122*FA123+FA124*FA125*6)/FA123)</f>
        <v>0</v>
      </c>
      <c r="FB121" s="1078">
        <f>IF(EZ121=0,0,(FA121-EZ121)/EZ121*100)</f>
        <v>0</v>
      </c>
      <c r="FC121" s="3409">
        <f>IF(FC123=0,0,(FC122*FC123+FC124*FC125*6)/FC123)</f>
        <v>0</v>
      </c>
      <c r="FD121" s="3409">
        <f>IF(FD123=0,0,(FD122*FD123+FD124*FD125*6)/FD123)</f>
        <v>0</v>
      </c>
      <c r="FE121" s="1078">
        <f>IF(FC121=0,0,(FD121-FC121)/FC121*100)</f>
        <v>0</v>
      </c>
      <c r="FF121" s="3409">
        <f>IF(FF123=0,0,(FF122*FF123+FF124*FF125*6)/FF123)</f>
        <v>0</v>
      </c>
      <c r="FG121" s="3409">
        <f>IF(FG123=0,0,(FG122*FG123+FG124*FG125*6)/FG123)</f>
        <v>0</v>
      </c>
      <c r="FH121" s="1078">
        <f>IF(FF121=0,0,(FG121-FF121)/FF121*100)</f>
        <v>0</v>
      </c>
      <c r="FI121" s="3409">
        <f>IF(FI123=0,0,(FI122*FI123+FI124*FI125*6)/FI123)</f>
        <v>0</v>
      </c>
      <c r="FJ121" s="3409">
        <f>IF(FJ123=0,0,(FJ122*FJ123+FJ124*FJ125*6)/FJ123)</f>
        <v>0</v>
      </c>
      <c r="FK121" s="1078">
        <f>IF(FI121=0,0,(FJ121-FI121)/FI121*100)</f>
        <v>0</v>
      </c>
      <c r="FL121" s="3409">
        <f>IF(FL123=0,0,(FL122*FL123+FL124*FL125*6)/FL123)</f>
        <v>0</v>
      </c>
      <c r="FM121" s="3409">
        <f>IF(FM123=0,0,(FM122*FM123+FM124*FM125*6)/FM123)</f>
        <v>0</v>
      </c>
      <c r="FN121" s="1078">
        <f>IF(FL121=0,0,(FM121-FL121)/FL121*100)</f>
        <v>0</v>
      </c>
      <c r="FO121" s="3409">
        <f>IF(FO123=0,0,(FO122*FO123+FO124*FO125*6)/FO123)</f>
        <v>0</v>
      </c>
      <c r="FP121" s="3409">
        <f>IF(FP123=0,0,(FP122*FP123+FP124*FP125*6)/FP123)</f>
        <v>0</v>
      </c>
      <c r="FQ121" s="1078">
        <f>IF(FO121=0,0,(FP121-FO121)/FO121*100)</f>
        <v>0</v>
      </c>
      <c r="FR121" s="3409">
        <f>IF(FR123=0,0,(FR122*FR123+FR124*FR125*6)/FR123)</f>
        <v>0</v>
      </c>
      <c r="FS121" s="3409">
        <f>IF(FS123=0,0,(FS122*FS123+FS124*FS125*6)/FS123)</f>
        <v>0</v>
      </c>
      <c r="FT121" s="1078">
        <f>IF(FR121=0,0,(FS121-FR121)/FR121*100)</f>
        <v>0</v>
      </c>
      <c r="FU121" s="3409">
        <f>IF(FU123=0,0,(FU122*FU123+FU124*FU125*6)/FU123)</f>
        <v>0</v>
      </c>
      <c r="FV121" s="3409">
        <f>IF(FV123=0,0,(FV122*FV123+FV124*FV125*6)/FV123)</f>
        <v>0</v>
      </c>
      <c r="FW121" s="1078">
        <f>IF(FU121=0,0,(FV121-FU121)/FU121*100)</f>
        <v>0</v>
      </c>
      <c r="FX121" s="676"/>
      <c r="FY121" s="676"/>
      <c r="FZ121" s="1039" t="s">
        <v>1555</v>
      </c>
      <c r="GA121" s="1061"/>
      <c r="GB121" s="1061"/>
      <c r="GC121" s="697"/>
      <c r="GD121" s="697"/>
    </row>
    <row s="1621" customFormat="1" customHeight="1" ht="14.25" hidden="1">
      <c r="A122" s="467"/>
      <c r="B122" s="907" cm="1" t="str">
        <f t="array" ref="B122:B122">B121</f>
        <v>false</v>
      </c>
      <c r="C122" s="467"/>
      <c r="D122" s="467"/>
      <c r="E122" s="822">
        <v>15</v>
      </c>
      <c r="F122" s="50" cm="1" t="str">
        <f t="array" ref="F122:F122">OFFSET(E122,-1,1)</f>
        <v>1</v>
      </c>
      <c r="G122" s="467"/>
      <c r="H122" s="467" t="s">
        <v>1449</v>
      </c>
      <c r="I122" s="467" t="s">
        <v>1511</v>
      </c>
      <c r="J122" s="467"/>
      <c r="K122" s="467"/>
      <c r="L122" s="467"/>
      <c r="M122" s="467"/>
      <c r="N122" s="467"/>
      <c r="O122" s="467"/>
      <c r="P122" s="467"/>
      <c r="Q122" s="467"/>
      <c r="R122" s="467"/>
      <c r="S122" s="467"/>
      <c r="T122" s="439" cm="1" t="str">
        <f t="array" ref="T122:T122">T121</f>
        <v>true</v>
      </c>
      <c r="U122" s="467"/>
      <c r="V122" s="467"/>
      <c r="W122" s="467"/>
      <c r="X122" s="1534"/>
      <c r="Y122" s="467"/>
      <c r="Z122" s="1464"/>
      <c r="AA122" s="467"/>
      <c r="AB122"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846" t="s">
        <v>1494</v>
      </c>
      <c r="AD122" s="3409"/>
      <c r="AE122" s="3409"/>
      <c r="AF122" s="1078">
        <f>IF(AD122=0,0,(AE122-AD122)/AD122*100)</f>
        <v>0</v>
      </c>
      <c r="AG122" s="3409"/>
      <c r="AH122" s="3409"/>
      <c r="AI122" s="1078">
        <f>IF(AG122=0,0,(AH122-AG122)/AG122*100)</f>
        <v>0</v>
      </c>
      <c r="AJ122" s="3409"/>
      <c r="AK122" s="3409"/>
      <c r="AL122" s="1078">
        <f>IF(AJ122=0,0,(AK122-AJ122)/AJ122*100)</f>
        <v>0</v>
      </c>
      <c r="AM122" s="3409"/>
      <c r="AN122" s="3409"/>
      <c r="AO122" s="1078">
        <f>IF(AM122=0,0,(AN122-AM122)/AM122*100)</f>
        <v>0</v>
      </c>
      <c r="AP122" s="3409"/>
      <c r="AQ122" s="3409"/>
      <c r="AR122" s="1078">
        <f>IF(AP122=0,0,(AQ122-AP122)/AP122*100)</f>
        <v>0</v>
      </c>
      <c r="AS122" s="3409"/>
      <c r="AT122" s="3409"/>
      <c r="AU122" s="1078">
        <f>IF(AS122=0,0,(AT122-AS122)/AS122*100)</f>
        <v>0</v>
      </c>
      <c r="AV122" s="3409"/>
      <c r="AW122" s="3409"/>
      <c r="AX122" s="1078">
        <f>IF(AV122=0,0,(AW122-AV122)/AV122*100)</f>
        <v>0</v>
      </c>
      <c r="AY122" s="3409"/>
      <c r="AZ122" s="3409"/>
      <c r="BA122" s="1078">
        <f>IF(AY122=0,0,(AZ122-AY122)/AY122*100)</f>
        <v>0</v>
      </c>
      <c r="BB122" s="3409"/>
      <c r="BC122" s="3409"/>
      <c r="BD122" s="1078">
        <f>IF(BB122=0,0,(BC122-BB122)/BB122*100)</f>
        <v>0</v>
      </c>
      <c r="BE122" s="3409"/>
      <c r="BF122" s="3409"/>
      <c r="BG122" s="1078">
        <f>IF(BE122=0,0,(BF122-BE122)/BE122*100)</f>
        <v>0</v>
      </c>
      <c r="BH122" s="3409"/>
      <c r="BI122" s="3409"/>
      <c r="BJ122" s="1078">
        <f>IF(BH122=0,0,(BI122-BH122)/BH122*100)</f>
        <v>0</v>
      </c>
      <c r="BK122" s="3409"/>
      <c r="BL122" s="3409"/>
      <c r="BM122" s="1078">
        <f>IF(BK122=0,0,(BL122-BK122)/BK122*100)</f>
        <v>0</v>
      </c>
      <c r="BN122" s="3409"/>
      <c r="BO122" s="3409"/>
      <c r="BP122" s="1078">
        <f>IF(BN122=0,0,(BO122-BN122)/BN122*100)</f>
        <v>0</v>
      </c>
      <c r="BQ122" s="3409"/>
      <c r="BR122" s="3409"/>
      <c r="BS122" s="1078">
        <f>IF(BQ122=0,0,(BR122-BQ122)/BQ122*100)</f>
        <v>0</v>
      </c>
      <c r="BT122" s="3409"/>
      <c r="BU122" s="3409"/>
      <c r="BV122" s="1078">
        <f>IF(BT122=0,0,(BU122-BT122)/BT122*100)</f>
        <v>0</v>
      </c>
      <c r="BW122" s="3409"/>
      <c r="BX122" s="3409"/>
      <c r="BY122" s="1078">
        <f>IF(BW122=0,0,(BX122-BW122)/BW122*100)</f>
        <v>0</v>
      </c>
      <c r="BZ122" s="3409"/>
      <c r="CA122" s="3409"/>
      <c r="CB122" s="1078">
        <f>IF(BZ122=0,0,(CA122-BZ122)/BZ122*100)</f>
        <v>0</v>
      </c>
      <c r="CC122" s="3409"/>
      <c r="CD122" s="3409"/>
      <c r="CE122" s="1078">
        <f>IF(CC122=0,0,(CD122-CC122)/CC122*100)</f>
        <v>0</v>
      </c>
      <c r="CF122" s="3409"/>
      <c r="CG122" s="3409"/>
      <c r="CH122" s="1078">
        <f>IF(CF122=0,0,(CG122-CF122)/CF122*100)</f>
        <v>0</v>
      </c>
      <c r="CI122" s="3409"/>
      <c r="CJ122" s="3409"/>
      <c r="CK122" s="1078">
        <f>IF(CI122=0,0,(CJ122-CI122)/CI122*100)</f>
        <v>0</v>
      </c>
      <c r="CL122" s="3409"/>
      <c r="CM122" s="3409"/>
      <c r="CN122" s="1078">
        <f>IF(CL122=0,0,(CM122-CL122)/CL122*100)</f>
        <v>0</v>
      </c>
      <c r="CO122" s="3409"/>
      <c r="CP122" s="3409"/>
      <c r="CQ122" s="1078">
        <f>IF(CO122=0,0,(CP122-CO122)/CO122*100)</f>
        <v>0</v>
      </c>
      <c r="CR122" s="3409"/>
      <c r="CS122" s="3409"/>
      <c r="CT122" s="1078">
        <f>IF(CR122=0,0,(CS122-CR122)/CR122*100)</f>
        <v>0</v>
      </c>
      <c r="CU122" s="3409"/>
      <c r="CV122" s="3409"/>
      <c r="CW122" s="1078">
        <f>IF(CU122=0,0,(CV122-CU122)/CU122*100)</f>
        <v>0</v>
      </c>
      <c r="CX122" s="3409"/>
      <c r="CY122" s="3409"/>
      <c r="CZ122" s="1078">
        <f>IF(CX122=0,0,(CY122-CX122)/CX122*100)</f>
        <v>0</v>
      </c>
      <c r="DA122" s="3409"/>
      <c r="DB122" s="3409"/>
      <c r="DC122" s="1078">
        <f>IF(DA122=0,0,(DB122-DA122)/DA122*100)</f>
        <v>0</v>
      </c>
      <c r="DD122" s="3409"/>
      <c r="DE122" s="3409"/>
      <c r="DF122" s="1078">
        <f>IF(DD122=0,0,(DE122-DD122)/DD122*100)</f>
        <v>0</v>
      </c>
      <c r="DG122" s="3409"/>
      <c r="DH122" s="3409"/>
      <c r="DI122" s="1078">
        <f>IF(DG122=0,0,(DH122-DG122)/DG122*100)</f>
        <v>0</v>
      </c>
      <c r="DJ122" s="3409"/>
      <c r="DK122" s="3409"/>
      <c r="DL122" s="1078">
        <f>IF(DJ122=0,0,(DK122-DJ122)/DJ122*100)</f>
        <v>0</v>
      </c>
      <c r="DM122" s="3409"/>
      <c r="DN122" s="3409"/>
      <c r="DO122" s="1078">
        <f>IF(DM122=0,0,(DN122-DM122)/DM122*100)</f>
        <v>0</v>
      </c>
      <c r="DP122" s="3409"/>
      <c r="DQ122" s="3409"/>
      <c r="DR122" s="1078">
        <f>IF(DP122=0,0,(DQ122-DP122)/DP122*100)</f>
        <v>0</v>
      </c>
      <c r="DS122" s="3409"/>
      <c r="DT122" s="3409"/>
      <c r="DU122" s="1078">
        <f>IF(DS122=0,0,(DT122-DS122)/DS122*100)</f>
        <v>0</v>
      </c>
      <c r="DV122" s="3409"/>
      <c r="DW122" s="3409"/>
      <c r="DX122" s="1078">
        <f>IF(DV122=0,0,(DW122-DV122)/DV122*100)</f>
        <v>0</v>
      </c>
      <c r="DY122" s="3409"/>
      <c r="DZ122" s="3409"/>
      <c r="EA122" s="1078">
        <f>IF(DY122=0,0,(DZ122-DY122)/DY122*100)</f>
        <v>0</v>
      </c>
      <c r="EB122" s="3409"/>
      <c r="EC122" s="3409"/>
      <c r="ED122" s="1078">
        <f>IF(EB122=0,0,(EC122-EB122)/EB122*100)</f>
        <v>0</v>
      </c>
      <c r="EE122" s="3409"/>
      <c r="EF122" s="3409"/>
      <c r="EG122" s="1078">
        <f>IF(EE122=0,0,(EF122-EE122)/EE122*100)</f>
        <v>0</v>
      </c>
      <c r="EH122" s="3409"/>
      <c r="EI122" s="3409"/>
      <c r="EJ122" s="1078">
        <f>IF(EH122=0,0,(EI122-EH122)/EH122*100)</f>
        <v>0</v>
      </c>
      <c r="EK122" s="3409"/>
      <c r="EL122" s="3409"/>
      <c r="EM122" s="1078">
        <f>IF(EK122=0,0,(EL122-EK122)/EK122*100)</f>
        <v>0</v>
      </c>
      <c r="EN122" s="3409"/>
      <c r="EO122" s="3409"/>
      <c r="EP122" s="1078">
        <f>IF(EN122=0,0,(EO122-EN122)/EN122*100)</f>
        <v>0</v>
      </c>
      <c r="EQ122" s="3409"/>
      <c r="ER122" s="3409"/>
      <c r="ES122" s="1078">
        <f>IF(EQ122=0,0,(ER122-EQ122)/EQ122*100)</f>
        <v>0</v>
      </c>
      <c r="ET122" s="3409"/>
      <c r="EU122" s="3409"/>
      <c r="EV122" s="1078">
        <f>IF(ET122=0,0,(EU122-ET122)/ET122*100)</f>
        <v>0</v>
      </c>
      <c r="EW122" s="3409"/>
      <c r="EX122" s="3409"/>
      <c r="EY122" s="1078">
        <f>IF(EW122=0,0,(EX122-EW122)/EW122*100)</f>
        <v>0</v>
      </c>
      <c r="EZ122" s="3409"/>
      <c r="FA122" s="3409"/>
      <c r="FB122" s="1078">
        <f>IF(EZ122=0,0,(FA122-EZ122)/EZ122*100)</f>
        <v>0</v>
      </c>
      <c r="FC122" s="3409"/>
      <c r="FD122" s="3409"/>
      <c r="FE122" s="1078">
        <f>IF(FC122=0,0,(FD122-FC122)/FC122*100)</f>
        <v>0</v>
      </c>
      <c r="FF122" s="3409"/>
      <c r="FG122" s="3409"/>
      <c r="FH122" s="1078">
        <f>IF(FF122=0,0,(FG122-FF122)/FF122*100)</f>
        <v>0</v>
      </c>
      <c r="FI122" s="3409"/>
      <c r="FJ122" s="3409"/>
      <c r="FK122" s="1078">
        <f>IF(FI122=0,0,(FJ122-FI122)/FI122*100)</f>
        <v>0</v>
      </c>
      <c r="FL122" s="3409"/>
      <c r="FM122" s="3409"/>
      <c r="FN122" s="1078">
        <f>IF(FL122=0,0,(FM122-FL122)/FL122*100)</f>
        <v>0</v>
      </c>
      <c r="FO122" s="3409"/>
      <c r="FP122" s="3409"/>
      <c r="FQ122" s="1078">
        <f>IF(FO122=0,0,(FP122-FO122)/FO122*100)</f>
        <v>0</v>
      </c>
      <c r="FR122" s="3409"/>
      <c r="FS122" s="3409"/>
      <c r="FT122" s="1078">
        <f>IF(FR122=0,0,(FS122-FR122)/FR122*100)</f>
        <v>0</v>
      </c>
      <c r="FU122" s="3409"/>
      <c r="FV122" s="3409"/>
      <c r="FW122" s="1078">
        <f>IF(FU122=0,0,(FV122-FU122)/FU122*100)</f>
        <v>0</v>
      </c>
      <c r="FX122" s="676"/>
      <c r="FY122" s="676"/>
      <c r="FZ122" s="1039" t="s">
        <v>1556</v>
      </c>
      <c r="GA122" s="1061"/>
      <c r="GB122" s="1061"/>
      <c r="GC122" s="697"/>
      <c r="GD122" s="697"/>
    </row>
    <row s="1621" customFormat="1" customHeight="1" ht="14.25" hidden="1">
      <c r="A123" s="467"/>
      <c r="B123" s="907" cm="1" t="str">
        <f t="array" ref="B123:B123">B122</f>
        <v>false</v>
      </c>
      <c r="C123" s="467"/>
      <c r="D123" s="467"/>
      <c r="E123" s="822">
        <v>15</v>
      </c>
      <c r="F123" s="50" cm="1" t="str">
        <f t="array" ref="F123:F123">OFFSET(E123,-1,1)</f>
        <v>1</v>
      </c>
      <c r="G123" s="73" t="s">
        <v>1557</v>
      </c>
      <c r="H123" s="467" t="s">
        <v>1531</v>
      </c>
      <c r="I123" s="467" t="s">
        <v>1511</v>
      </c>
      <c r="J123" s="467"/>
      <c r="K123" s="467"/>
      <c r="L123" s="467"/>
      <c r="M123" s="467"/>
      <c r="N123" s="467"/>
      <c r="O123" s="467"/>
      <c r="P123" s="467"/>
      <c r="Q123" s="467"/>
      <c r="R123" s="467"/>
      <c r="S123" s="467"/>
      <c r="T123" s="439" cm="1" t="str">
        <f t="array" ref="T123:T123">T122</f>
        <v>true</v>
      </c>
      <c r="U123" s="467"/>
      <c r="V123" s="467"/>
      <c r="W123" s="467"/>
      <c r="X123" s="1534"/>
      <c r="Y123" s="467"/>
      <c r="Z123" s="1464"/>
      <c r="AA123" s="467"/>
      <c r="AB123" s="886" t="str">
        <f>"объём "&amp;IF(Q85="Водоснабжение","потребления холодной воды","водоотведения")</f>
        <v>объём потребления холодной воды</v>
      </c>
      <c r="AC123" s="846" t="s">
        <v>512</v>
      </c>
      <c r="AD123" s="3404">
        <f>IF(AND(method_reg="Метод индексации",god&lt;&gt;first_year),_xlfn.SUMIFS(INDEX('Калькуляция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(МИ)'!$AJ$25:$BC$459,,MATCH(AD$8,'Калькуляция (МИ)'!$AJ$8:$BC$8,0)),'Калькуляция (МИ)'!$F$25:$F$459,$F123,'Калькуляция (МИ)'!$G$25:$G$459,$G123))))</f>
        <v>0</v>
      </c>
      <c r="AE123" s="3404">
        <f>IF(AND(method_reg="Метод индексации",god&lt;&gt;first_year),_xlfn.SUMIFS(INDEX('Калькуляция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(МИ)'!$AJ$25:$BC$459,,MATCH(AE$8,'Калькуляция (МИ)'!$AJ$8:$BC$8,0)),'Калькуляция (МИ)'!$F$25:$F$459,$F123,'Калькуляция (МИ)'!$G$25:$G$459,$G123))))</f>
        <v>0</v>
      </c>
      <c r="AF123" s="1080">
        <f>IF(AD123=0,0,(AE123-AD123)/AD123*100)</f>
        <v>0</v>
      </c>
      <c r="AG123" s="3404">
        <f>IF(AND(method_reg="Метод индексации",god&lt;&gt;first_year),_xlfn.SUMIFS(INDEX('Калькуляция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(МИ)'!$AJ$25:$BC$459,,MATCH(AG$8,'Калькуляция (МИ)'!$AJ$8:$BC$8,0)),'Калькуляция (МИ)'!$F$25:$F$459,$F123,'Калькуляция (МИ)'!$G$25:$G$459,$G123))))</f>
        <v>0</v>
      </c>
      <c r="AH123" s="3404">
        <f>IF(AND(method_reg="Метод индексации",god&lt;&gt;first_year),_xlfn.SUMIFS(INDEX('Калькуляция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(МИ)'!$AJ$25:$BC$459,,MATCH(AH$8,'Калькуляция (МИ)'!$AJ$8:$BC$8,0)),'Калькуляция (МИ)'!$F$25:$F$459,$F123,'Калькуляция (МИ)'!$G$25:$G$459,$G123))))</f>
        <v>0</v>
      </c>
      <c r="AI123" s="1080">
        <f>IF(AG123=0,0,(AH123-AG123)/AG123*100)</f>
        <v>0</v>
      </c>
      <c r="AJ123" s="3404">
        <f>IF(AND(method_reg="Метод индексации",god&lt;&gt;first_year),_xlfn.SUMIFS(INDEX('Калькуляция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(МИ)'!$AJ$25:$BC$459,,MATCH(AJ$8,'Калькуляция (МИ)'!$AJ$8:$BC$8,0)),'Калькуляция (МИ)'!$F$25:$F$459,$F123,'Калькуляция (МИ)'!$G$25:$G$459,$G123))))</f>
        <v>0</v>
      </c>
      <c r="AK123" s="3404">
        <f>IF(AND(method_reg="Метод индексации",god&lt;&gt;first_year),_xlfn.SUMIFS(INDEX('Калькуляция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(МИ)'!$AJ$25:$BC$459,,MATCH(AK$8,'Калькуляция (МИ)'!$AJ$8:$BC$8,0)),'Калькуляция (МИ)'!$F$25:$F$459,$F123,'Калькуляция (МИ)'!$G$25:$G$459,$G123))))</f>
        <v>0</v>
      </c>
      <c r="AL123" s="1080">
        <f>IF(AJ123=0,0,(AK123-AJ123)/AJ123*100)</f>
        <v>0</v>
      </c>
      <c r="AM123" s="3404">
        <f>IF(AND(method_reg="Метод индексации",god&lt;&gt;first_year),_xlfn.SUMIFS(INDEX('Калькуляция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(МИ)'!$AJ$25:$BC$459,,MATCH(AM$8,'Калькуляция (МИ)'!$AJ$8:$BC$8,0)),'Калькуляция (МИ)'!$F$25:$F$459,$F123,'Калькуляция (МИ)'!$G$25:$G$459,$G123))))</f>
        <v>0</v>
      </c>
      <c r="AN123" s="3404">
        <f>IF(AND(method_reg="Метод индексации",god&lt;&gt;first_year),_xlfn.SUMIFS(INDEX('Калькуляция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(МИ)'!$AJ$25:$BC$459,,MATCH(AN$8,'Калькуляция (МИ)'!$AJ$8:$BC$8,0)),'Калькуляция (МИ)'!$F$25:$F$459,$F123,'Калькуляция (МИ)'!$G$25:$G$459,$G123))))</f>
        <v>0</v>
      </c>
      <c r="AO123" s="1080">
        <f>IF(AM123=0,0,(AN123-AM123)/AM123*100)</f>
        <v>0</v>
      </c>
      <c r="AP123" s="3404">
        <f>IF(AND(method_reg="Метод индексации",god&lt;&gt;first_year),_xlfn.SUMIFS(INDEX('Калькуляция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(МИ)'!$AJ$25:$BC$459,,MATCH(AP$8,'Калькуляция (МИ)'!$AJ$8:$BC$8,0)),'Калькуляция (МИ)'!$F$25:$F$459,$F123,'Калькуляция (МИ)'!$G$25:$G$459,$G123))))</f>
        <v>0</v>
      </c>
      <c r="AQ123" s="3404">
        <f>IF(AND(method_reg="Метод индексации",god&lt;&gt;first_year),_xlfn.SUMIFS(INDEX('Калькуляция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(МИ)'!$AJ$25:$BC$459,,MATCH(AQ$8,'Калькуляция (МИ)'!$AJ$8:$BC$8,0)),'Калькуляция (МИ)'!$F$25:$F$459,$F123,'Калькуляция (МИ)'!$G$25:$G$459,$G123))))</f>
        <v>0</v>
      </c>
      <c r="AR123" s="1080">
        <f>IF(AP123=0,0,(AQ123-AP123)/AP123*100)</f>
        <v>0</v>
      </c>
      <c r="AS123" s="3404">
        <f>IF(AND(method_reg="Метод индексации",god&lt;&gt;first_year),_xlfn.SUMIFS(INDEX('Калькуляция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(МИ)'!$AJ$25:$BC$459,,MATCH(AS$8,'Калькуляция (МИ)'!$AJ$8:$BC$8,0)),'Калькуляция (МИ)'!$F$25:$F$459,$F123,'Калькуляция (МИ)'!$G$25:$G$459,$G123))))</f>
        <v>0</v>
      </c>
      <c r="AT123" s="3404">
        <f>IF(AND(method_reg="Метод индексации",god&lt;&gt;first_year),_xlfn.SUMIFS(INDEX('Калькуляция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(МИ)'!$AJ$25:$BC$459,,MATCH(AT$8,'Калькуляция (МИ)'!$AJ$8:$BC$8,0)),'Калькуляция (МИ)'!$F$25:$F$459,$F123,'Калькуляция (МИ)'!$G$25:$G$459,$G123))))</f>
        <v>0</v>
      </c>
      <c r="AU123" s="1080">
        <f>IF(AS123=0,0,(AT123-AS123)/AS123*100)</f>
        <v>0</v>
      </c>
      <c r="AV123" s="3404">
        <f>IF(AND(method_reg="Метод индексации",god&lt;&gt;first_year),_xlfn.SUMIFS(INDEX('Калькуляция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(МИ)'!$AJ$25:$BC$459,,MATCH(AV$8,'Калькуляция (МИ)'!$AJ$8:$BC$8,0)),'Калькуляция (МИ)'!$F$25:$F$459,$F123,'Калькуляция (МИ)'!$G$25:$G$459,$G123))))</f>
        <v>0</v>
      </c>
      <c r="AW123" s="3404">
        <f>IF(AND(method_reg="Метод индексации",god&lt;&gt;first_year),_xlfn.SUMIFS(INDEX('Калькуляция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(МИ)'!$AJ$25:$BC$459,,MATCH(AW$8,'Калькуляция (МИ)'!$AJ$8:$BC$8,0)),'Калькуляция (МИ)'!$F$25:$F$459,$F123,'Калькуляция (МИ)'!$G$25:$G$459,$G123))))</f>
        <v>0</v>
      </c>
      <c r="AX123" s="1080">
        <f>IF(AV123=0,0,(AW123-AV123)/AV123*100)</f>
        <v>0</v>
      </c>
      <c r="AY123" s="3404">
        <f>IF(AND(method_reg="Метод индексации",god&lt;&gt;first_year),_xlfn.SUMIFS(INDEX('Калькуляция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(МИ)'!$AJ$25:$BC$459,,MATCH(AY$8,'Калькуляция (МИ)'!$AJ$8:$BC$8,0)),'Калькуляция (МИ)'!$F$25:$F$459,$F123,'Калькуляция (МИ)'!$G$25:$G$459,$G123))))</f>
        <v>0</v>
      </c>
      <c r="AZ123" s="3404">
        <f>IF(AND(method_reg="Метод индексации",god&lt;&gt;first_year),_xlfn.SUMIFS(INDEX('Калькуляция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(МИ)'!$AJ$25:$BC$459,,MATCH(AZ$8,'Калькуляция (МИ)'!$AJ$8:$BC$8,0)),'Калькуляция (МИ)'!$F$25:$F$459,$F123,'Калькуляция (МИ)'!$G$25:$G$459,$G123))))</f>
        <v>0</v>
      </c>
      <c r="BA123" s="1080">
        <f>IF(AY123=0,0,(AZ123-AY123)/AY123*100)</f>
        <v>0</v>
      </c>
      <c r="BB123" s="3404">
        <f>IF(AND(method_reg="Метод индексации",god&lt;&gt;first_year),_xlfn.SUMIFS(INDEX('Калькуляция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(МИ)'!$AJ$25:$BC$459,,MATCH(BB$8,'Калькуляция (МИ)'!$AJ$8:$BC$8,0)),'Калькуляция (МИ)'!$F$25:$F$459,$F123,'Калькуляция (МИ)'!$G$25:$G$459,$G123))))</f>
        <v>0</v>
      </c>
      <c r="BC123" s="3404">
        <f>IF(AND(method_reg="Метод индексации",god&lt;&gt;first_year),_xlfn.SUMIFS(INDEX('Калькуляция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(МИ)'!$AJ$25:$BC$459,,MATCH(BC$8,'Калькуляция (МИ)'!$AJ$8:$BC$8,0)),'Калькуляция (МИ)'!$F$25:$F$459,$F123,'Калькуляция (МИ)'!$G$25:$G$459,$G123))))</f>
        <v>0</v>
      </c>
      <c r="BD123" s="1080">
        <f>IF(BB123=0,0,(BC123-BB123)/BB123*100)</f>
        <v>0</v>
      </c>
      <c r="BE123" s="3404">
        <f>IF(AND(method_reg="Метод индексации",god&lt;&gt;first_year),_xlfn.SUMIFS(INDEX('Калькуляция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расходов",_xlfn.SUMIFS('Калькуляция (МЭОР)'!$AJ$25:$AJ$282,'Калькуляция (МЭОР)'!$F$25:$F$282,$F123,'Калькуляция (МЭОР)'!$G$25:$G$282,$G123),IF(method_reg="Метод сравнения аналогов",_xlfn.SUMIFS('Калькуляция (МСА)'!$AE$25:$AE$84,'Калькуляция (МСА)'!$F$25:$F$84,$F123,'Калькуляция (МСА)'!$G$25:$G$84,$G123),_xlfn.SUMIFS(INDEX('Калькуляция (МИ)'!$AJ$25:$BC$459,,MATCH(BE$8,'Калькуляция (МИ)'!$AJ$8:$BC$8,0)),'Калькуляция (МИ)'!$F$25:$F$459,$F123,'Калькуляция (МИ)'!$G$25:$G$459,$G123))))</f>
        <v>0</v>
      </c>
      <c r="BF123" s="3404">
        <f>IF(AND(method_reg="Метод индексации",god&lt;&gt;first_year),_xlfn.SUMIFS(INDEX('Калькуляция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расходов",_xlfn.SUMIFS('Калькуляция (МЭОР)'!$AK$25:$AK$282,'Калькуляция (МЭОР)'!$F$25:$F$282,$F123,'Калькуляция (МЭОР)'!$G$25:$G$282,$G123),IF(method_reg="Метод сравнения аналогов",_xlfn.SUMIFS('Калькуляция (МСА)'!$AF$25:$AF$84,'Калькуляция (МСА)'!$F$25:$F$84,$F123,'Калькуляция (МСА)'!$G$25:$G$84,$G123),_xlfn.SUMIFS(INDEX('Калькуляция (МИ)'!$AJ$25:$BC$459,,MATCH(BF$8,'Калькуляция (МИ)'!$AJ$8:$BC$8,0)),'Калькуляция (МИ)'!$F$25:$F$459,$F123,'Калькуляция (МИ)'!$G$25:$G$459,$G123))))</f>
        <v>0</v>
      </c>
      <c r="BG123" s="1080">
        <f>IF(BE123=0,0,(BF123-BE123)/BE123*100)</f>
        <v>0</v>
      </c>
      <c r="BH123" s="3404"/>
      <c r="BI123" s="3404"/>
      <c r="BJ123" s="1080">
        <f>IF(BH123=0,0,(BI123-BH123)/BH123*100)</f>
        <v>0</v>
      </c>
      <c r="BK123" s="3404"/>
      <c r="BL123" s="3404"/>
      <c r="BM123" s="1080">
        <f>IF(BK123=0,0,(BL123-BK123)/BK123*100)</f>
        <v>0</v>
      </c>
      <c r="BN123" s="3404"/>
      <c r="BO123" s="3404"/>
      <c r="BP123" s="1080">
        <f>IF(BN123=0,0,(BO123-BN123)/BN123*100)</f>
        <v>0</v>
      </c>
      <c r="BQ123" s="3404"/>
      <c r="BR123" s="3404"/>
      <c r="BS123" s="1080">
        <f>IF(BQ123=0,0,(BR123-BQ123)/BQ123*100)</f>
        <v>0</v>
      </c>
      <c r="BT123" s="3404"/>
      <c r="BU123" s="3404"/>
      <c r="BV123" s="1080">
        <f>IF(BT123=0,0,(BU123-BT123)/BT123*100)</f>
        <v>0</v>
      </c>
      <c r="BW123" s="3404"/>
      <c r="BX123" s="3404"/>
      <c r="BY123" s="1080">
        <f>IF(BW123=0,0,(BX123-BW123)/BW123*100)</f>
        <v>0</v>
      </c>
      <c r="BZ123" s="3404"/>
      <c r="CA123" s="3404"/>
      <c r="CB123" s="1080">
        <f>IF(BZ123=0,0,(CA123-BZ123)/BZ123*100)</f>
        <v>0</v>
      </c>
      <c r="CC123" s="3404"/>
      <c r="CD123" s="3404"/>
      <c r="CE123" s="1080">
        <f>IF(CC123=0,0,(CD123-CC123)/CC123*100)</f>
        <v>0</v>
      </c>
      <c r="CF123" s="3404"/>
      <c r="CG123" s="3404"/>
      <c r="CH123" s="1080">
        <f>IF(CF123=0,0,(CG123-CF123)/CF123*100)</f>
        <v>0</v>
      </c>
      <c r="CI123" s="3404"/>
      <c r="CJ123" s="3404"/>
      <c r="CK123" s="1080">
        <f>IF(CI123=0,0,(CJ123-CI123)/CI123*100)</f>
        <v>0</v>
      </c>
      <c r="CL123" s="3404"/>
      <c r="CM123" s="3404"/>
      <c r="CN123" s="1080">
        <f>IF(CL123=0,0,(CM123-CL123)/CL123*100)</f>
        <v>0</v>
      </c>
      <c r="CO123" s="3404"/>
      <c r="CP123" s="3404"/>
      <c r="CQ123" s="1080">
        <f>IF(CO123=0,0,(CP123-CO123)/CO123*100)</f>
        <v>0</v>
      </c>
      <c r="CR123" s="3404"/>
      <c r="CS123" s="3404"/>
      <c r="CT123" s="1080">
        <f>IF(CR123=0,0,(CS123-CR123)/CR123*100)</f>
        <v>0</v>
      </c>
      <c r="CU123" s="3404"/>
      <c r="CV123" s="3404"/>
      <c r="CW123" s="1080">
        <f>IF(CU123=0,0,(CV123-CU123)/CU123*100)</f>
        <v>0</v>
      </c>
      <c r="CX123" s="3404"/>
      <c r="CY123" s="3404"/>
      <c r="CZ123" s="1080">
        <f>IF(CX123=0,0,(CY123-CX123)/CX123*100)</f>
        <v>0</v>
      </c>
      <c r="DA123" s="3404"/>
      <c r="DB123" s="3404"/>
      <c r="DC123" s="1080">
        <f>IF(DA123=0,0,(DB123-DA123)/DA123*100)</f>
        <v>0</v>
      </c>
      <c r="DD123" s="3404"/>
      <c r="DE123" s="3404"/>
      <c r="DF123" s="1080">
        <f>IF(DD123=0,0,(DE123-DD123)/DD123*100)</f>
        <v>0</v>
      </c>
      <c r="DG123" s="3404"/>
      <c r="DH123" s="3404"/>
      <c r="DI123" s="1080">
        <f>IF(DG123=0,0,(DH123-DG123)/DG123*100)</f>
        <v>0</v>
      </c>
      <c r="DJ123" s="3404"/>
      <c r="DK123" s="3404"/>
      <c r="DL123" s="1080">
        <f>IF(DJ123=0,0,(DK123-DJ123)/DJ123*100)</f>
        <v>0</v>
      </c>
      <c r="DM123" s="3404"/>
      <c r="DN123" s="3404"/>
      <c r="DO123" s="1080">
        <f>IF(DM123=0,0,(DN123-DM123)/DM123*100)</f>
        <v>0</v>
      </c>
      <c r="DP123" s="3404"/>
      <c r="DQ123" s="3404"/>
      <c r="DR123" s="1080">
        <f>IF(DP123=0,0,(DQ123-DP123)/DP123*100)</f>
        <v>0</v>
      </c>
      <c r="DS123" s="3404"/>
      <c r="DT123" s="3404"/>
      <c r="DU123" s="1080">
        <f>IF(DS123=0,0,(DT123-DS123)/DS123*100)</f>
        <v>0</v>
      </c>
      <c r="DV123" s="3404"/>
      <c r="DW123" s="3404"/>
      <c r="DX123" s="1080">
        <f>IF(DV123=0,0,(DW123-DV123)/DV123*100)</f>
        <v>0</v>
      </c>
      <c r="DY123" s="3404"/>
      <c r="DZ123" s="3404"/>
      <c r="EA123" s="1080">
        <f>IF(DY123=0,0,(DZ123-DY123)/DY123*100)</f>
        <v>0</v>
      </c>
      <c r="EB123" s="3404"/>
      <c r="EC123" s="3404"/>
      <c r="ED123" s="1080">
        <f>IF(EB123=0,0,(EC123-EB123)/EB123*100)</f>
        <v>0</v>
      </c>
      <c r="EE123" s="3404"/>
      <c r="EF123" s="3404"/>
      <c r="EG123" s="1080">
        <f>IF(EE123=0,0,(EF123-EE123)/EE123*100)</f>
        <v>0</v>
      </c>
      <c r="EH123" s="3404"/>
      <c r="EI123" s="3404"/>
      <c r="EJ123" s="1080">
        <f>IF(EH123=0,0,(EI123-EH123)/EH123*100)</f>
        <v>0</v>
      </c>
      <c r="EK123" s="3404"/>
      <c r="EL123" s="3404"/>
      <c r="EM123" s="1080">
        <f>IF(EK123=0,0,(EL123-EK123)/EK123*100)</f>
        <v>0</v>
      </c>
      <c r="EN123" s="3404"/>
      <c r="EO123" s="3404"/>
      <c r="EP123" s="1080">
        <f>IF(EN123=0,0,(EO123-EN123)/EN123*100)</f>
        <v>0</v>
      </c>
      <c r="EQ123" s="3404"/>
      <c r="ER123" s="3404"/>
      <c r="ES123" s="1080">
        <f>IF(EQ123=0,0,(ER123-EQ123)/EQ123*100)</f>
        <v>0</v>
      </c>
      <c r="ET123" s="3404"/>
      <c r="EU123" s="3404"/>
      <c r="EV123" s="1080">
        <f>IF(ET123=0,0,(EU123-ET123)/ET123*100)</f>
        <v>0</v>
      </c>
      <c r="EW123" s="3404"/>
      <c r="EX123" s="3404"/>
      <c r="EY123" s="1080">
        <f>IF(EW123=0,0,(EX123-EW123)/EW123*100)</f>
        <v>0</v>
      </c>
      <c r="EZ123" s="3404"/>
      <c r="FA123" s="3404"/>
      <c r="FB123" s="1080">
        <f>IF(EZ123=0,0,(FA123-EZ123)/EZ123*100)</f>
        <v>0</v>
      </c>
      <c r="FC123" s="3404"/>
      <c r="FD123" s="3404"/>
      <c r="FE123" s="1080">
        <f>IF(FC123=0,0,(FD123-FC123)/FC123*100)</f>
        <v>0</v>
      </c>
      <c r="FF123" s="3404"/>
      <c r="FG123" s="3404"/>
      <c r="FH123" s="1080">
        <f>IF(FF123=0,0,(FG123-FF123)/FF123*100)</f>
        <v>0</v>
      </c>
      <c r="FI123" s="3404"/>
      <c r="FJ123" s="3404"/>
      <c r="FK123" s="1080">
        <f>IF(FI123=0,0,(FJ123-FI123)/FI123*100)</f>
        <v>0</v>
      </c>
      <c r="FL123" s="3404"/>
      <c r="FM123" s="3404"/>
      <c r="FN123" s="1080">
        <f>IF(FL123=0,0,(FM123-FL123)/FL123*100)</f>
        <v>0</v>
      </c>
      <c r="FO123" s="3404"/>
      <c r="FP123" s="3404"/>
      <c r="FQ123" s="1080">
        <f>IF(FO123=0,0,(FP123-FO123)/FO123*100)</f>
        <v>0</v>
      </c>
      <c r="FR123" s="3404"/>
      <c r="FS123" s="3404"/>
      <c r="FT123" s="1080">
        <f>IF(FR123=0,0,(FS123-FR123)/FR123*100)</f>
        <v>0</v>
      </c>
      <c r="FU123" s="3404"/>
      <c r="FV123" s="3404"/>
      <c r="FW123" s="1080">
        <f>IF(FU123=0,0,(FV123-FU123)/FU123*100)</f>
        <v>0</v>
      </c>
      <c r="FX123" s="676"/>
      <c r="FY123" s="676"/>
      <c r="FZ123" s="1039" t="s">
        <v>1558</v>
      </c>
      <c r="GA123" s="1061"/>
      <c r="GB123" s="1061"/>
      <c r="GC123" s="697"/>
      <c r="GD123" s="697"/>
    </row>
    <row s="1621" customFormat="1" customHeight="1" ht="21.75" hidden="1">
      <c r="A124" s="467"/>
      <c r="B124" s="907" cm="1" t="str">
        <f t="array" ref="B124:B124">B123</f>
        <v>false</v>
      </c>
      <c r="C124" s="467"/>
      <c r="D124" s="467"/>
      <c r="E124" s="822">
        <v>22.5</v>
      </c>
      <c r="F124" s="50" cm="1" t="str">
        <f t="array" ref="F124:F124">OFFSET(E124,-1,1)</f>
        <v>1</v>
      </c>
      <c r="G124" s="467"/>
      <c r="H124" s="467" t="s">
        <v>1533</v>
      </c>
      <c r="I124" s="467" t="s">
        <v>1511</v>
      </c>
      <c r="J124" s="467"/>
      <c r="K124" s="467"/>
      <c r="L124" s="467"/>
      <c r="M124" s="467"/>
      <c r="N124" s="467"/>
      <c r="O124" s="467"/>
      <c r="P124" s="467"/>
      <c r="Q124" s="467"/>
      <c r="R124" s="467"/>
      <c r="S124" s="467"/>
      <c r="T124" s="439" cm="1" t="str">
        <f t="array" ref="T124:T124">T123</f>
        <v>true</v>
      </c>
      <c r="U124" s="467"/>
      <c r="V124" s="467"/>
      <c r="W124" s="467"/>
      <c r="X124" s="1534"/>
      <c r="Y124" s="467"/>
      <c r="Z124" s="1464"/>
      <c r="AA124" s="467"/>
      <c r="AB124"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846" t="s">
        <v>1534</v>
      </c>
      <c r="AD124" s="3409"/>
      <c r="AE124" s="3409"/>
      <c r="AF124" s="1078">
        <f>IF(AD124=0,0,(AE124-AD124)/AD124*100)</f>
        <v>0</v>
      </c>
      <c r="AG124" s="3409"/>
      <c r="AH124" s="3409"/>
      <c r="AI124" s="1078">
        <f>IF(AG124=0,0,(AH124-AG124)/AG124*100)</f>
        <v>0</v>
      </c>
      <c r="AJ124" s="3409"/>
      <c r="AK124" s="3409"/>
      <c r="AL124" s="1078">
        <f>IF(AJ124=0,0,(AK124-AJ124)/AJ124*100)</f>
        <v>0</v>
      </c>
      <c r="AM124" s="3409"/>
      <c r="AN124" s="3409"/>
      <c r="AO124" s="1078">
        <f>IF(AM124=0,0,(AN124-AM124)/AM124*100)</f>
        <v>0</v>
      </c>
      <c r="AP124" s="3409"/>
      <c r="AQ124" s="3409"/>
      <c r="AR124" s="1078">
        <f>IF(AP124=0,0,(AQ124-AP124)/AP124*100)</f>
        <v>0</v>
      </c>
      <c r="AS124" s="3409"/>
      <c r="AT124" s="3409"/>
      <c r="AU124" s="1078">
        <f>IF(AS124=0,0,(AT124-AS124)/AS124*100)</f>
        <v>0</v>
      </c>
      <c r="AV124" s="3409"/>
      <c r="AW124" s="3409"/>
      <c r="AX124" s="1078">
        <f>IF(AV124=0,0,(AW124-AV124)/AV124*100)</f>
        <v>0</v>
      </c>
      <c r="AY124" s="3409"/>
      <c r="AZ124" s="3409"/>
      <c r="BA124" s="1078">
        <f>IF(AY124=0,0,(AZ124-AY124)/AY124*100)</f>
        <v>0</v>
      </c>
      <c r="BB124" s="3409"/>
      <c r="BC124" s="3409"/>
      <c r="BD124" s="1078">
        <f>IF(BB124=0,0,(BC124-BB124)/BB124*100)</f>
        <v>0</v>
      </c>
      <c r="BE124" s="3409"/>
      <c r="BF124" s="3409"/>
      <c r="BG124" s="1078">
        <f>IF(BE124=0,0,(BF124-BE124)/BE124*100)</f>
        <v>0</v>
      </c>
      <c r="BH124" s="3409"/>
      <c r="BI124" s="3409"/>
      <c r="BJ124" s="1078">
        <f>IF(BH124=0,0,(BI124-BH124)/BH124*100)</f>
        <v>0</v>
      </c>
      <c r="BK124" s="3409"/>
      <c r="BL124" s="3409"/>
      <c r="BM124" s="1078">
        <f>IF(BK124=0,0,(BL124-BK124)/BK124*100)</f>
        <v>0</v>
      </c>
      <c r="BN124" s="3409"/>
      <c r="BO124" s="3409"/>
      <c r="BP124" s="1078">
        <f>IF(BN124=0,0,(BO124-BN124)/BN124*100)</f>
        <v>0</v>
      </c>
      <c r="BQ124" s="3409"/>
      <c r="BR124" s="3409"/>
      <c r="BS124" s="1078">
        <f>IF(BQ124=0,0,(BR124-BQ124)/BQ124*100)</f>
        <v>0</v>
      </c>
      <c r="BT124" s="3409"/>
      <c r="BU124" s="3409"/>
      <c r="BV124" s="1078">
        <f>IF(BT124=0,0,(BU124-BT124)/BT124*100)</f>
        <v>0</v>
      </c>
      <c r="BW124" s="3409"/>
      <c r="BX124" s="3409"/>
      <c r="BY124" s="1078">
        <f>IF(BW124=0,0,(BX124-BW124)/BW124*100)</f>
        <v>0</v>
      </c>
      <c r="BZ124" s="3409"/>
      <c r="CA124" s="3409"/>
      <c r="CB124" s="1078">
        <f>IF(BZ124=0,0,(CA124-BZ124)/BZ124*100)</f>
        <v>0</v>
      </c>
      <c r="CC124" s="3409"/>
      <c r="CD124" s="3409"/>
      <c r="CE124" s="1078">
        <f>IF(CC124=0,0,(CD124-CC124)/CC124*100)</f>
        <v>0</v>
      </c>
      <c r="CF124" s="3409"/>
      <c r="CG124" s="3409"/>
      <c r="CH124" s="1078">
        <f>IF(CF124=0,0,(CG124-CF124)/CF124*100)</f>
        <v>0</v>
      </c>
      <c r="CI124" s="3409"/>
      <c r="CJ124" s="3409"/>
      <c r="CK124" s="1078">
        <f>IF(CI124=0,0,(CJ124-CI124)/CI124*100)</f>
        <v>0</v>
      </c>
      <c r="CL124" s="3409"/>
      <c r="CM124" s="3409"/>
      <c r="CN124" s="1078">
        <f>IF(CL124=0,0,(CM124-CL124)/CL124*100)</f>
        <v>0</v>
      </c>
      <c r="CO124" s="3409"/>
      <c r="CP124" s="3409"/>
      <c r="CQ124" s="1078">
        <f>IF(CO124=0,0,(CP124-CO124)/CO124*100)</f>
        <v>0</v>
      </c>
      <c r="CR124" s="3409"/>
      <c r="CS124" s="3409"/>
      <c r="CT124" s="1078">
        <f>IF(CR124=0,0,(CS124-CR124)/CR124*100)</f>
        <v>0</v>
      </c>
      <c r="CU124" s="3409"/>
      <c r="CV124" s="3409"/>
      <c r="CW124" s="1078">
        <f>IF(CU124=0,0,(CV124-CU124)/CU124*100)</f>
        <v>0</v>
      </c>
      <c r="CX124" s="3409"/>
      <c r="CY124" s="3409"/>
      <c r="CZ124" s="1078">
        <f>IF(CX124=0,0,(CY124-CX124)/CX124*100)</f>
        <v>0</v>
      </c>
      <c r="DA124" s="3409"/>
      <c r="DB124" s="3409"/>
      <c r="DC124" s="1078">
        <f>IF(DA124=0,0,(DB124-DA124)/DA124*100)</f>
        <v>0</v>
      </c>
      <c r="DD124" s="3409"/>
      <c r="DE124" s="3409"/>
      <c r="DF124" s="1078">
        <f>IF(DD124=0,0,(DE124-DD124)/DD124*100)</f>
        <v>0</v>
      </c>
      <c r="DG124" s="3409"/>
      <c r="DH124" s="3409"/>
      <c r="DI124" s="1078">
        <f>IF(DG124=0,0,(DH124-DG124)/DG124*100)</f>
        <v>0</v>
      </c>
      <c r="DJ124" s="3409"/>
      <c r="DK124" s="3409"/>
      <c r="DL124" s="1078">
        <f>IF(DJ124=0,0,(DK124-DJ124)/DJ124*100)</f>
        <v>0</v>
      </c>
      <c r="DM124" s="3409"/>
      <c r="DN124" s="3409"/>
      <c r="DO124" s="1078">
        <f>IF(DM124=0,0,(DN124-DM124)/DM124*100)</f>
        <v>0</v>
      </c>
      <c r="DP124" s="3409"/>
      <c r="DQ124" s="3409"/>
      <c r="DR124" s="1078">
        <f>IF(DP124=0,0,(DQ124-DP124)/DP124*100)</f>
        <v>0</v>
      </c>
      <c r="DS124" s="3409"/>
      <c r="DT124" s="3409"/>
      <c r="DU124" s="1078">
        <f>IF(DS124=0,0,(DT124-DS124)/DS124*100)</f>
        <v>0</v>
      </c>
      <c r="DV124" s="3409"/>
      <c r="DW124" s="3409"/>
      <c r="DX124" s="1078">
        <f>IF(DV124=0,0,(DW124-DV124)/DV124*100)</f>
        <v>0</v>
      </c>
      <c r="DY124" s="3409"/>
      <c r="DZ124" s="3409"/>
      <c r="EA124" s="1078">
        <f>IF(DY124=0,0,(DZ124-DY124)/DY124*100)</f>
        <v>0</v>
      </c>
      <c r="EB124" s="3409"/>
      <c r="EC124" s="3409"/>
      <c r="ED124" s="1078">
        <f>IF(EB124=0,0,(EC124-EB124)/EB124*100)</f>
        <v>0</v>
      </c>
      <c r="EE124" s="3409"/>
      <c r="EF124" s="3409"/>
      <c r="EG124" s="1078">
        <f>IF(EE124=0,0,(EF124-EE124)/EE124*100)</f>
        <v>0</v>
      </c>
      <c r="EH124" s="3409"/>
      <c r="EI124" s="3409"/>
      <c r="EJ124" s="1078">
        <f>IF(EH124=0,0,(EI124-EH124)/EH124*100)</f>
        <v>0</v>
      </c>
      <c r="EK124" s="3409"/>
      <c r="EL124" s="3409"/>
      <c r="EM124" s="1078">
        <f>IF(EK124=0,0,(EL124-EK124)/EK124*100)</f>
        <v>0</v>
      </c>
      <c r="EN124" s="3409"/>
      <c r="EO124" s="3409"/>
      <c r="EP124" s="1078">
        <f>IF(EN124=0,0,(EO124-EN124)/EN124*100)</f>
        <v>0</v>
      </c>
      <c r="EQ124" s="3409"/>
      <c r="ER124" s="3409"/>
      <c r="ES124" s="1078">
        <f>IF(EQ124=0,0,(ER124-EQ124)/EQ124*100)</f>
        <v>0</v>
      </c>
      <c r="ET124" s="3409"/>
      <c r="EU124" s="3409"/>
      <c r="EV124" s="1078">
        <f>IF(ET124=0,0,(EU124-ET124)/ET124*100)</f>
        <v>0</v>
      </c>
      <c r="EW124" s="3409"/>
      <c r="EX124" s="3409"/>
      <c r="EY124" s="1078">
        <f>IF(EW124=0,0,(EX124-EW124)/EW124*100)</f>
        <v>0</v>
      </c>
      <c r="EZ124" s="3409"/>
      <c r="FA124" s="3409"/>
      <c r="FB124" s="1078">
        <f>IF(EZ124=0,0,(FA124-EZ124)/EZ124*100)</f>
        <v>0</v>
      </c>
      <c r="FC124" s="3409"/>
      <c r="FD124" s="3409"/>
      <c r="FE124" s="1078">
        <f>IF(FC124=0,0,(FD124-FC124)/FC124*100)</f>
        <v>0</v>
      </c>
      <c r="FF124" s="3409"/>
      <c r="FG124" s="3409"/>
      <c r="FH124" s="1078">
        <f>IF(FF124=0,0,(FG124-FF124)/FF124*100)</f>
        <v>0</v>
      </c>
      <c r="FI124" s="3409"/>
      <c r="FJ124" s="3409"/>
      <c r="FK124" s="1078">
        <f>IF(FI124=0,0,(FJ124-FI124)/FI124*100)</f>
        <v>0</v>
      </c>
      <c r="FL124" s="3409"/>
      <c r="FM124" s="3409"/>
      <c r="FN124" s="1078">
        <f>IF(FL124=0,0,(FM124-FL124)/FL124*100)</f>
        <v>0</v>
      </c>
      <c r="FO124" s="3409"/>
      <c r="FP124" s="3409"/>
      <c r="FQ124" s="1078">
        <f>IF(FO124=0,0,(FP124-FO124)/FO124*100)</f>
        <v>0</v>
      </c>
      <c r="FR124" s="3409"/>
      <c r="FS124" s="3409"/>
      <c r="FT124" s="1078">
        <f>IF(FR124=0,0,(FS124-FR124)/FR124*100)</f>
        <v>0</v>
      </c>
      <c r="FU124" s="3409"/>
      <c r="FV124" s="3409"/>
      <c r="FW124" s="1078">
        <f>IF(FU124=0,0,(FV124-FU124)/FU124*100)</f>
        <v>0</v>
      </c>
      <c r="FX124" s="676"/>
      <c r="FY124" s="676"/>
      <c r="FZ124" s="1039" t="s">
        <v>1559</v>
      </c>
      <c r="GA124" s="1061"/>
      <c r="GB124" s="1061"/>
      <c r="GC124" s="697"/>
      <c r="GD124" s="697"/>
    </row>
    <row s="1621" customFormat="1" customHeight="1" ht="14.25" hidden="1">
      <c r="A125" s="467"/>
      <c r="B125" s="907" cm="1" t="str">
        <f t="array" ref="B125:B125">B124</f>
        <v>false</v>
      </c>
      <c r="C125" s="467"/>
      <c r="D125" s="467"/>
      <c r="E125" s="822">
        <v>15</v>
      </c>
      <c r="F125" s="50" cm="1" t="str">
        <f t="array" ref="F125:F125">OFFSET(E125,-1,1)</f>
        <v>1</v>
      </c>
      <c r="G125" s="467"/>
      <c r="H125" s="467" t="s">
        <v>1536</v>
      </c>
      <c r="I125" s="467" t="s">
        <v>1511</v>
      </c>
      <c r="J125" s="467"/>
      <c r="K125" s="467"/>
      <c r="L125" s="467"/>
      <c r="M125" s="467"/>
      <c r="N125" s="467"/>
      <c r="O125" s="467"/>
      <c r="P125" s="467"/>
      <c r="Q125" s="467"/>
      <c r="R125" s="467"/>
      <c r="S125" s="467"/>
      <c r="T125" s="439" cm="1" t="str">
        <f t="array" ref="T125:T125">T124</f>
        <v>true</v>
      </c>
      <c r="U125" s="467"/>
      <c r="V125" s="467"/>
      <c r="W125" s="467"/>
      <c r="X125" s="1534"/>
      <c r="Y125" s="467"/>
      <c r="Z125" s="1464"/>
      <c r="AA125" s="467"/>
      <c r="AB125" s="886" t="s">
        <v>1537</v>
      </c>
      <c r="AC125" s="846" t="s">
        <v>1538</v>
      </c>
      <c r="AD125" s="3409"/>
      <c r="AE125" s="3409"/>
      <c r="AF125" s="1078">
        <f>IF(AD125=0,0,(AE125-AD125)/AD125*100)</f>
        <v>0</v>
      </c>
      <c r="AG125" s="3409"/>
      <c r="AH125" s="3409"/>
      <c r="AI125" s="1078">
        <f>IF(AG125=0,0,(AH125-AG125)/AG125*100)</f>
        <v>0</v>
      </c>
      <c r="AJ125" s="3409"/>
      <c r="AK125" s="3409"/>
      <c r="AL125" s="1078">
        <f>IF(AJ125=0,0,(AK125-AJ125)/AJ125*100)</f>
        <v>0</v>
      </c>
      <c r="AM125" s="3409"/>
      <c r="AN125" s="3409"/>
      <c r="AO125" s="1078">
        <f>IF(AM125=0,0,(AN125-AM125)/AM125*100)</f>
        <v>0</v>
      </c>
      <c r="AP125" s="3409"/>
      <c r="AQ125" s="3409"/>
      <c r="AR125" s="1078">
        <f>IF(AP125=0,0,(AQ125-AP125)/AP125*100)</f>
        <v>0</v>
      </c>
      <c r="AS125" s="3409"/>
      <c r="AT125" s="3409"/>
      <c r="AU125" s="1078">
        <f>IF(AS125=0,0,(AT125-AS125)/AS125*100)</f>
        <v>0</v>
      </c>
      <c r="AV125" s="3409"/>
      <c r="AW125" s="3409"/>
      <c r="AX125" s="1078">
        <f>IF(AV125=0,0,(AW125-AV125)/AV125*100)</f>
        <v>0</v>
      </c>
      <c r="AY125" s="3409"/>
      <c r="AZ125" s="3409"/>
      <c r="BA125" s="1078">
        <f>IF(AY125=0,0,(AZ125-AY125)/AY125*100)</f>
        <v>0</v>
      </c>
      <c r="BB125" s="3409"/>
      <c r="BC125" s="3409"/>
      <c r="BD125" s="1078">
        <f>IF(BB125=0,0,(BC125-BB125)/BB125*100)</f>
        <v>0</v>
      </c>
      <c r="BE125" s="3409"/>
      <c r="BF125" s="3409"/>
      <c r="BG125" s="1078">
        <f>IF(BE125=0,0,(BF125-BE125)/BE125*100)</f>
        <v>0</v>
      </c>
      <c r="BH125" s="3409"/>
      <c r="BI125" s="3409"/>
      <c r="BJ125" s="1078">
        <f>IF(BH125=0,0,(BI125-BH125)/BH125*100)</f>
        <v>0</v>
      </c>
      <c r="BK125" s="3409"/>
      <c r="BL125" s="3409"/>
      <c r="BM125" s="1078">
        <f>IF(BK125=0,0,(BL125-BK125)/BK125*100)</f>
        <v>0</v>
      </c>
      <c r="BN125" s="3409"/>
      <c r="BO125" s="3409"/>
      <c r="BP125" s="1078">
        <f>IF(BN125=0,0,(BO125-BN125)/BN125*100)</f>
        <v>0</v>
      </c>
      <c r="BQ125" s="3409"/>
      <c r="BR125" s="3409"/>
      <c r="BS125" s="1078">
        <f>IF(BQ125=0,0,(BR125-BQ125)/BQ125*100)</f>
        <v>0</v>
      </c>
      <c r="BT125" s="3409"/>
      <c r="BU125" s="3409"/>
      <c r="BV125" s="1078">
        <f>IF(BT125=0,0,(BU125-BT125)/BT125*100)</f>
        <v>0</v>
      </c>
      <c r="BW125" s="3409"/>
      <c r="BX125" s="3409"/>
      <c r="BY125" s="1078">
        <f>IF(BW125=0,0,(BX125-BW125)/BW125*100)</f>
        <v>0</v>
      </c>
      <c r="BZ125" s="3409"/>
      <c r="CA125" s="3409"/>
      <c r="CB125" s="1078">
        <f>IF(BZ125=0,0,(CA125-BZ125)/BZ125*100)</f>
        <v>0</v>
      </c>
      <c r="CC125" s="3409"/>
      <c r="CD125" s="3409"/>
      <c r="CE125" s="1078">
        <f>IF(CC125=0,0,(CD125-CC125)/CC125*100)</f>
        <v>0</v>
      </c>
      <c r="CF125" s="3409"/>
      <c r="CG125" s="3409"/>
      <c r="CH125" s="1078">
        <f>IF(CF125=0,0,(CG125-CF125)/CF125*100)</f>
        <v>0</v>
      </c>
      <c r="CI125" s="3409"/>
      <c r="CJ125" s="3409"/>
      <c r="CK125" s="1078">
        <f>IF(CI125=0,0,(CJ125-CI125)/CI125*100)</f>
        <v>0</v>
      </c>
      <c r="CL125" s="3409"/>
      <c r="CM125" s="3409"/>
      <c r="CN125" s="1078">
        <f>IF(CL125=0,0,(CM125-CL125)/CL125*100)</f>
        <v>0</v>
      </c>
      <c r="CO125" s="3409"/>
      <c r="CP125" s="3409"/>
      <c r="CQ125" s="1078">
        <f>IF(CO125=0,0,(CP125-CO125)/CO125*100)</f>
        <v>0</v>
      </c>
      <c r="CR125" s="3409"/>
      <c r="CS125" s="3409"/>
      <c r="CT125" s="1078">
        <f>IF(CR125=0,0,(CS125-CR125)/CR125*100)</f>
        <v>0</v>
      </c>
      <c r="CU125" s="3409"/>
      <c r="CV125" s="3409"/>
      <c r="CW125" s="1078">
        <f>IF(CU125=0,0,(CV125-CU125)/CU125*100)</f>
        <v>0</v>
      </c>
      <c r="CX125" s="3409"/>
      <c r="CY125" s="3409"/>
      <c r="CZ125" s="1078">
        <f>IF(CX125=0,0,(CY125-CX125)/CX125*100)</f>
        <v>0</v>
      </c>
      <c r="DA125" s="3409"/>
      <c r="DB125" s="3409"/>
      <c r="DC125" s="1078">
        <f>IF(DA125=0,0,(DB125-DA125)/DA125*100)</f>
        <v>0</v>
      </c>
      <c r="DD125" s="3409"/>
      <c r="DE125" s="3409"/>
      <c r="DF125" s="1078">
        <f>IF(DD125=0,0,(DE125-DD125)/DD125*100)</f>
        <v>0</v>
      </c>
      <c r="DG125" s="3409"/>
      <c r="DH125" s="3409"/>
      <c r="DI125" s="1078">
        <f>IF(DG125=0,0,(DH125-DG125)/DG125*100)</f>
        <v>0</v>
      </c>
      <c r="DJ125" s="3409"/>
      <c r="DK125" s="3409"/>
      <c r="DL125" s="1078">
        <f>IF(DJ125=0,0,(DK125-DJ125)/DJ125*100)</f>
        <v>0</v>
      </c>
      <c r="DM125" s="3409"/>
      <c r="DN125" s="3409"/>
      <c r="DO125" s="1078">
        <f>IF(DM125=0,0,(DN125-DM125)/DM125*100)</f>
        <v>0</v>
      </c>
      <c r="DP125" s="3409"/>
      <c r="DQ125" s="3409"/>
      <c r="DR125" s="1078">
        <f>IF(DP125=0,0,(DQ125-DP125)/DP125*100)</f>
        <v>0</v>
      </c>
      <c r="DS125" s="3409"/>
      <c r="DT125" s="3409"/>
      <c r="DU125" s="1078">
        <f>IF(DS125=0,0,(DT125-DS125)/DS125*100)</f>
        <v>0</v>
      </c>
      <c r="DV125" s="3409"/>
      <c r="DW125" s="3409"/>
      <c r="DX125" s="1078">
        <f>IF(DV125=0,0,(DW125-DV125)/DV125*100)</f>
        <v>0</v>
      </c>
      <c r="DY125" s="3409"/>
      <c r="DZ125" s="3409"/>
      <c r="EA125" s="1078">
        <f>IF(DY125=0,0,(DZ125-DY125)/DY125*100)</f>
        <v>0</v>
      </c>
      <c r="EB125" s="3409"/>
      <c r="EC125" s="3409"/>
      <c r="ED125" s="1078">
        <f>IF(EB125=0,0,(EC125-EB125)/EB125*100)</f>
        <v>0</v>
      </c>
      <c r="EE125" s="3409"/>
      <c r="EF125" s="3409"/>
      <c r="EG125" s="1078">
        <f>IF(EE125=0,0,(EF125-EE125)/EE125*100)</f>
        <v>0</v>
      </c>
      <c r="EH125" s="3409"/>
      <c r="EI125" s="3409"/>
      <c r="EJ125" s="1078">
        <f>IF(EH125=0,0,(EI125-EH125)/EH125*100)</f>
        <v>0</v>
      </c>
      <c r="EK125" s="3409"/>
      <c r="EL125" s="3409"/>
      <c r="EM125" s="1078">
        <f>IF(EK125=0,0,(EL125-EK125)/EK125*100)</f>
        <v>0</v>
      </c>
      <c r="EN125" s="3409"/>
      <c r="EO125" s="3409"/>
      <c r="EP125" s="1078">
        <f>IF(EN125=0,0,(EO125-EN125)/EN125*100)</f>
        <v>0</v>
      </c>
      <c r="EQ125" s="3409"/>
      <c r="ER125" s="3409"/>
      <c r="ES125" s="1078">
        <f>IF(EQ125=0,0,(ER125-EQ125)/EQ125*100)</f>
        <v>0</v>
      </c>
      <c r="ET125" s="3409"/>
      <c r="EU125" s="3409"/>
      <c r="EV125" s="1078">
        <f>IF(ET125=0,0,(EU125-ET125)/ET125*100)</f>
        <v>0</v>
      </c>
      <c r="EW125" s="3409"/>
      <c r="EX125" s="3409"/>
      <c r="EY125" s="1078">
        <f>IF(EW125=0,0,(EX125-EW125)/EW125*100)</f>
        <v>0</v>
      </c>
      <c r="EZ125" s="3409"/>
      <c r="FA125" s="3409"/>
      <c r="FB125" s="1078">
        <f>IF(EZ125=0,0,(FA125-EZ125)/EZ125*100)</f>
        <v>0</v>
      </c>
      <c r="FC125" s="3409"/>
      <c r="FD125" s="3409"/>
      <c r="FE125" s="1078">
        <f>IF(FC125=0,0,(FD125-FC125)/FC125*100)</f>
        <v>0</v>
      </c>
      <c r="FF125" s="3409"/>
      <c r="FG125" s="3409"/>
      <c r="FH125" s="1078">
        <f>IF(FF125=0,0,(FG125-FF125)/FF125*100)</f>
        <v>0</v>
      </c>
      <c r="FI125" s="3409"/>
      <c r="FJ125" s="3409"/>
      <c r="FK125" s="1078">
        <f>IF(FI125=0,0,(FJ125-FI125)/FI125*100)</f>
        <v>0</v>
      </c>
      <c r="FL125" s="3409"/>
      <c r="FM125" s="3409"/>
      <c r="FN125" s="1078">
        <f>IF(FL125=0,0,(FM125-FL125)/FL125*100)</f>
        <v>0</v>
      </c>
      <c r="FO125" s="3409"/>
      <c r="FP125" s="3409"/>
      <c r="FQ125" s="1078">
        <f>IF(FO125=0,0,(FP125-FO125)/FO125*100)</f>
        <v>0</v>
      </c>
      <c r="FR125" s="3409"/>
      <c r="FS125" s="3409"/>
      <c r="FT125" s="1078">
        <f>IF(FR125=0,0,(FS125-FR125)/FR125*100)</f>
        <v>0</v>
      </c>
      <c r="FU125" s="3409"/>
      <c r="FV125" s="3409"/>
      <c r="FW125" s="1078">
        <f>IF(FU125=0,0,(FV125-FU125)/FU125*100)</f>
        <v>0</v>
      </c>
      <c r="FX125" s="676"/>
      <c r="FY125" s="676"/>
      <c r="FZ125" s="1039" t="s">
        <v>1560</v>
      </c>
      <c r="GA125" s="1061"/>
      <c r="GB125" s="1061"/>
      <c r="GC125" s="697"/>
      <c r="GD125" s="697"/>
    </row>
    <row s="1621" customFormat="1" customHeight="1" ht="18" hidden="1">
      <c r="A126" s="467"/>
      <c r="B126" s="907" cm="1" t="str">
        <f t="array" ref="B126:B126">B125</f>
        <v>false</v>
      </c>
      <c r="C126" s="467"/>
      <c r="D126" s="467"/>
      <c r="E126" s="822">
        <v>18.75</v>
      </c>
      <c r="F126" s="50" cm="1" t="str">
        <f t="array" ref="F126:F126">OFFSET(E126,-1,1)</f>
        <v>1</v>
      </c>
      <c r="G126" s="467"/>
      <c r="H126" s="467"/>
      <c r="I126" s="467"/>
      <c r="J126" s="467"/>
      <c r="K126" s="467"/>
      <c r="L126" s="467"/>
      <c r="M126" s="467"/>
      <c r="N126" s="467"/>
      <c r="O126" s="467"/>
      <c r="P126" s="467"/>
      <c r="Q126" s="467"/>
      <c r="R126" s="467"/>
      <c r="S126" s="467"/>
      <c r="T126" s="439">
        <f>AND(F126&gt;0,Y126&gt;0)</f>
        <v>0</v>
      </c>
      <c r="U126" s="467"/>
      <c r="V126" s="467"/>
      <c r="W126" s="467" t="s">
        <v>173</v>
      </c>
      <c r="X126" s="1534"/>
      <c r="Y126" s="1534">
        <v>0</v>
      </c>
      <c r="Z126" s="1464"/>
      <c r="AA126" s="1413" t="s">
        <v>174</v>
      </c>
      <c r="AB126" s="3408"/>
      <c r="AC126" s="847"/>
      <c r="AD126" s="1090"/>
      <c r="AE126" s="1091"/>
      <c r="AF126" s="1091"/>
      <c r="AG126" s="1090"/>
      <c r="AH126" s="1091"/>
      <c r="AI126" s="1091"/>
      <c r="AJ126" s="1090"/>
      <c r="AK126" s="1091"/>
      <c r="AL126" s="1091"/>
      <c r="AM126" s="1090"/>
      <c r="AN126" s="1091"/>
      <c r="AO126" s="1091"/>
      <c r="AP126" s="1090"/>
      <c r="AQ126" s="1091"/>
      <c r="AR126" s="1091"/>
      <c r="AS126" s="1090"/>
      <c r="AT126" s="1091"/>
      <c r="AU126" s="1091"/>
      <c r="AV126" s="1090"/>
      <c r="AW126" s="1091"/>
      <c r="AX126" s="1091"/>
      <c r="AY126" s="1090"/>
      <c r="AZ126" s="1091"/>
      <c r="BA126" s="1091"/>
      <c r="BB126" s="1090"/>
      <c r="BC126" s="1091"/>
      <c r="BD126" s="1091"/>
      <c r="BE126" s="1090"/>
      <c r="BF126" s="1091"/>
      <c r="BG126" s="1091"/>
      <c r="BH126" s="1090"/>
      <c r="BI126" s="1091"/>
      <c r="BJ126" s="1091"/>
      <c r="BK126" s="1090"/>
      <c r="BL126" s="1091"/>
      <c r="BM126" s="1091"/>
      <c r="BN126" s="1090"/>
      <c r="BO126" s="1091"/>
      <c r="BP126" s="1091"/>
      <c r="BQ126" s="1090"/>
      <c r="BR126" s="1091"/>
      <c r="BS126" s="1091"/>
      <c r="BT126" s="1090"/>
      <c r="BU126" s="1091"/>
      <c r="BV126" s="1091"/>
      <c r="BW126" s="1090"/>
      <c r="BX126" s="1091"/>
      <c r="BY126" s="1091"/>
      <c r="BZ126" s="1090"/>
      <c r="CA126" s="1091"/>
      <c r="CB126" s="1091"/>
      <c r="CC126" s="1090"/>
      <c r="CD126" s="1091"/>
      <c r="CE126" s="1091"/>
      <c r="CF126" s="1090"/>
      <c r="CG126" s="1091"/>
      <c r="CH126" s="1091"/>
      <c r="CI126" s="1090"/>
      <c r="CJ126" s="1091"/>
      <c r="CK126" s="1091"/>
      <c r="CL126" s="1090"/>
      <c r="CM126" s="1091"/>
      <c r="CN126" s="1091"/>
      <c r="CO126" s="1090"/>
      <c r="CP126" s="1091"/>
      <c r="CQ126" s="1091"/>
      <c r="CR126" s="1090"/>
      <c r="CS126" s="1091"/>
      <c r="CT126" s="1091"/>
      <c r="CU126" s="1090"/>
      <c r="CV126" s="1091"/>
      <c r="CW126" s="1091"/>
      <c r="CX126" s="1090"/>
      <c r="CY126" s="1091"/>
      <c r="CZ126" s="1091"/>
      <c r="DA126" s="1090"/>
      <c r="DB126" s="1091"/>
      <c r="DC126" s="1091"/>
      <c r="DD126" s="1090"/>
      <c r="DE126" s="1091"/>
      <c r="DF126" s="1091"/>
      <c r="DG126" s="1090"/>
      <c r="DH126" s="1091"/>
      <c r="DI126" s="1091"/>
      <c r="DJ126" s="1090"/>
      <c r="DK126" s="1091"/>
      <c r="DL126" s="1091"/>
      <c r="DM126" s="1090"/>
      <c r="DN126" s="1091"/>
      <c r="DO126" s="1091"/>
      <c r="DP126" s="1090"/>
      <c r="DQ126" s="1091"/>
      <c r="DR126" s="1091"/>
      <c r="DS126" s="1090"/>
      <c r="DT126" s="1091"/>
      <c r="DU126" s="1091"/>
      <c r="DV126" s="1090"/>
      <c r="DW126" s="1091"/>
      <c r="DX126" s="1091"/>
      <c r="DY126" s="1090"/>
      <c r="DZ126" s="1091"/>
      <c r="EA126" s="1091"/>
      <c r="EB126" s="1090"/>
      <c r="EC126" s="1091"/>
      <c r="ED126" s="1091"/>
      <c r="EE126" s="1090"/>
      <c r="EF126" s="1091"/>
      <c r="EG126" s="1091"/>
      <c r="EH126" s="1090"/>
      <c r="EI126" s="1091"/>
      <c r="EJ126" s="1091"/>
      <c r="EK126" s="1090"/>
      <c r="EL126" s="1091"/>
      <c r="EM126" s="1091"/>
      <c r="EN126" s="1090"/>
      <c r="EO126" s="1091"/>
      <c r="EP126" s="1091"/>
      <c r="EQ126" s="1090"/>
      <c r="ER126" s="1091"/>
      <c r="ES126" s="1091"/>
      <c r="ET126" s="1090"/>
      <c r="EU126" s="1091"/>
      <c r="EV126" s="1091"/>
      <c r="EW126" s="1090"/>
      <c r="EX126" s="1091"/>
      <c r="EY126" s="1091"/>
      <c r="EZ126" s="1090"/>
      <c r="FA126" s="1091"/>
      <c r="FB126" s="1091"/>
      <c r="FC126" s="1090"/>
      <c r="FD126" s="1091"/>
      <c r="FE126" s="1091"/>
      <c r="FF126" s="1090"/>
      <c r="FG126" s="1091"/>
      <c r="FH126" s="1091"/>
      <c r="FI126" s="1090"/>
      <c r="FJ126" s="1091"/>
      <c r="FK126" s="1091"/>
      <c r="FL126" s="1090"/>
      <c r="FM126" s="1091"/>
      <c r="FN126" s="1091"/>
      <c r="FO126" s="1090"/>
      <c r="FP126" s="1091"/>
      <c r="FQ126" s="1091"/>
      <c r="FR126" s="1090"/>
      <c r="FS126" s="1091"/>
      <c r="FT126" s="1091"/>
      <c r="FU126" s="1090"/>
      <c r="FV126" s="1091"/>
      <c r="FW126" s="1092"/>
      <c r="FX126" s="676"/>
      <c r="FY126" s="676"/>
      <c r="FZ126" s="1039"/>
      <c r="GA126" s="1061"/>
      <c r="GB126" s="1061"/>
      <c r="GC126" s="697"/>
      <c r="GD126" s="611" t="b">
        <v>1</v>
      </c>
    </row>
    <row s="1621" customFormat="1" customHeight="1" ht="14.25" hidden="1">
      <c r="A127" s="467"/>
      <c r="B127" s="907" cm="1" t="str">
        <f t="array" ref="B127:B127">B126</f>
        <v>false</v>
      </c>
      <c r="C127" s="467"/>
      <c r="D127" s="467"/>
      <c r="E127" s="822">
        <v>15</v>
      </c>
      <c r="F127" s="50" cm="1" t="str">
        <f t="array" ref="F127:F127">OFFSET(E127,-1,1)</f>
        <v>1</v>
      </c>
      <c r="G127" s="467"/>
      <c r="H127" s="467" t="s">
        <v>1445</v>
      </c>
      <c r="I127" s="467" cm="1" t="str">
        <f t="array" ref="I127:I127">AB126</f>
        <v>0</v>
      </c>
      <c r="J127" s="467"/>
      <c r="K127" s="467"/>
      <c r="L127" s="467"/>
      <c r="M127" s="467"/>
      <c r="N127" s="467"/>
      <c r="O127" s="467"/>
      <c r="P127" s="467"/>
      <c r="Q127" s="467"/>
      <c r="R127" s="467"/>
      <c r="S127" s="467"/>
      <c r="T127" s="439" cm="1" t="str">
        <f t="array" ref="T127:T127">T126</f>
        <v>false</v>
      </c>
      <c r="U127" s="467"/>
      <c r="V127" s="467"/>
      <c r="W127" s="467"/>
      <c r="X127" s="1534"/>
      <c r="Y127" s="1534"/>
      <c r="Z127" s="1464"/>
      <c r="AA127" s="1413"/>
      <c r="AB127" s="886" t="s">
        <v>1527</v>
      </c>
      <c r="AC127" s="846" t="s">
        <v>1494</v>
      </c>
      <c r="AD127" s="3409">
        <f>IF(AD129=0,0,(AD128*AD129+AD130*AD131*IF(god=2026,3,6))/AD129)</f>
        <v>0</v>
      </c>
      <c r="AE127" s="3409">
        <f>IF(AE129=0,0,(AE128*AE129+AE130*AE131*IF(god=2026,3,6))/AE129)</f>
        <v>0</v>
      </c>
      <c r="AF127" s="1078">
        <f>IF(AD127=0,0,(AE127-AD127)/AD127*100)</f>
        <v>0</v>
      </c>
      <c r="AG127" s="3409">
        <f>IF(AG129=0,0,(AG128*AG129+AG130*AG131*IF(god=2025,3,6))/AG129)</f>
        <v>0</v>
      </c>
      <c r="AH127" s="3409">
        <f>IF(AH129=0,0,(AH128*AH129+AH130*AH131*IF(god=2025,3,6))/AH129)</f>
        <v>0</v>
      </c>
      <c r="AI127" s="1078">
        <f>IF(AG127=0,0,(AH127-AG127)/AG127*100)</f>
        <v>0</v>
      </c>
      <c r="AJ127" s="3409">
        <f>IF(AJ129=0,0,(AJ128*AJ129+AJ130*AJ131*6)/AJ129)</f>
        <v>0</v>
      </c>
      <c r="AK127" s="3409">
        <f>IF(AK129=0,0,(AK128*AK129+AK130*AK131*6)/AK129)</f>
        <v>0</v>
      </c>
      <c r="AL127" s="1078">
        <f>IF(AJ127=0,0,(AK127-AJ127)/AJ127*100)</f>
        <v>0</v>
      </c>
      <c r="AM127" s="3409">
        <f>IF(AM129=0,0,(AM128*AM129+AM130*AM131*6)/AM129)</f>
        <v>0</v>
      </c>
      <c r="AN127" s="3409">
        <f>IF(AN129=0,0,(AN128*AN129+AN130*AN131*6)/AN129)</f>
        <v>0</v>
      </c>
      <c r="AO127" s="1078">
        <f>IF(AM127=0,0,(AN127-AM127)/AM127*100)</f>
        <v>0</v>
      </c>
      <c r="AP127" s="3409">
        <f>IF(AP129=0,0,(AP128*AP129+AP130*AP131*6)/AP129)</f>
        <v>0</v>
      </c>
      <c r="AQ127" s="3409">
        <f>IF(AQ129=0,0,(AQ128*AQ129+AQ130*AQ131*6)/AQ129)</f>
        <v>0</v>
      </c>
      <c r="AR127" s="1078">
        <f>IF(AP127=0,0,(AQ127-AP127)/AP127*100)</f>
        <v>0</v>
      </c>
      <c r="AS127" s="3409">
        <f>IF(AS129=0,0,(AS128*AS129+AS130*AS131*6)/AS129)</f>
        <v>0</v>
      </c>
      <c r="AT127" s="3409">
        <f>IF(AT129=0,0,(AT128*AT129+AT130*AT131*6)/AT129)</f>
        <v>0</v>
      </c>
      <c r="AU127" s="1078">
        <f>IF(AS127=0,0,(AT127-AS127)/AS127*100)</f>
        <v>0</v>
      </c>
      <c r="AV127" s="3409">
        <f>IF(AV129=0,0,(AV128*AV129+AV130*AV131*6)/AV129)</f>
        <v>0</v>
      </c>
      <c r="AW127" s="3409">
        <f>IF(AW129=0,0,(AW128*AW129+AW130*AW131*6)/AW129)</f>
        <v>0</v>
      </c>
      <c r="AX127" s="1078">
        <f>IF(AV127=0,0,(AW127-AV127)/AV127*100)</f>
        <v>0</v>
      </c>
      <c r="AY127" s="3409">
        <f>IF(AY129=0,0,(AY128*AY129+AY130*AY131*6)/AY129)</f>
        <v>0</v>
      </c>
      <c r="AZ127" s="3409">
        <f>IF(AZ129=0,0,(AZ128*AZ129+AZ130*AZ131*6)/AZ129)</f>
        <v>0</v>
      </c>
      <c r="BA127" s="1078">
        <f>IF(AY127=0,0,(AZ127-AY127)/AY127*100)</f>
        <v>0</v>
      </c>
      <c r="BB127" s="3409">
        <f>IF(BB129=0,0,(BB128*BB129+BB130*BB131*6)/BB129)</f>
        <v>0</v>
      </c>
      <c r="BC127" s="3409">
        <f>IF(BC129=0,0,(BC128*BC129+BC130*BC131*6)/BC129)</f>
        <v>0</v>
      </c>
      <c r="BD127" s="1078">
        <f>IF(BB127=0,0,(BC127-BB127)/BB127*100)</f>
        <v>0</v>
      </c>
      <c r="BE127" s="3409">
        <f>IF(BE129=0,0,(BE128*BE129+BE130*BE131*6)/BE129)</f>
        <v>0</v>
      </c>
      <c r="BF127" s="3409">
        <f>IF(BF129=0,0,(BF128*BF129+BF130*BF131*6)/BF129)</f>
        <v>0</v>
      </c>
      <c r="BG127" s="1078">
        <f>IF(BE127=0,0,(BF127-BE127)/BE127*100)</f>
        <v>0</v>
      </c>
      <c r="BH127" s="3409">
        <f>IF(BH129=0,0,(BH128*BH129+BH130*BH131*6)/BH129)</f>
        <v>0</v>
      </c>
      <c r="BI127" s="3409">
        <f>IF(BI129=0,0,(BI128*BI129+BI130*BI131*6)/BI129)</f>
        <v>0</v>
      </c>
      <c r="BJ127" s="1078">
        <f>IF(BH127=0,0,(BI127-BH127)/BH127*100)</f>
        <v>0</v>
      </c>
      <c r="BK127" s="3409">
        <f>IF(BK129=0,0,(BK128*BK129+BK130*BK131*6)/BK129)</f>
        <v>0</v>
      </c>
      <c r="BL127" s="3409">
        <f>IF(BL129=0,0,(BL128*BL129+BL130*BL131*6)/BL129)</f>
        <v>0</v>
      </c>
      <c r="BM127" s="1078">
        <f>IF(BK127=0,0,(BL127-BK127)/BK127*100)</f>
        <v>0</v>
      </c>
      <c r="BN127" s="3409">
        <f>IF(BN129=0,0,(BN128*BN129+BN130*BN131*6)/BN129)</f>
        <v>0</v>
      </c>
      <c r="BO127" s="3409">
        <f>IF(BO129=0,0,(BO128*BO129+BO130*BO131*6)/BO129)</f>
        <v>0</v>
      </c>
      <c r="BP127" s="1078">
        <f>IF(BN127=0,0,(BO127-BN127)/BN127*100)</f>
        <v>0</v>
      </c>
      <c r="BQ127" s="3409">
        <f>IF(BQ129=0,0,(BQ128*BQ129+BQ130*BQ131*6)/BQ129)</f>
        <v>0</v>
      </c>
      <c r="BR127" s="3409">
        <f>IF(BR129=0,0,(BR128*BR129+BR130*BR131*6)/BR129)</f>
        <v>0</v>
      </c>
      <c r="BS127" s="1078">
        <f>IF(BQ127=0,0,(BR127-BQ127)/BQ127*100)</f>
        <v>0</v>
      </c>
      <c r="BT127" s="3409">
        <f>IF(BT129=0,0,(BT128*BT129+BT130*BT131*6)/BT129)</f>
        <v>0</v>
      </c>
      <c r="BU127" s="3409">
        <f>IF(BU129=0,0,(BU128*BU129+BU130*BU131*6)/BU129)</f>
        <v>0</v>
      </c>
      <c r="BV127" s="1078">
        <f>IF(BT127=0,0,(BU127-BT127)/BT127*100)</f>
        <v>0</v>
      </c>
      <c r="BW127" s="3409">
        <f>IF(BW129=0,0,(BW128*BW129+BW130*BW131*6)/BW129)</f>
        <v>0</v>
      </c>
      <c r="BX127" s="3409">
        <f>IF(BX129=0,0,(BX128*BX129+BX130*BX131*6)/BX129)</f>
        <v>0</v>
      </c>
      <c r="BY127" s="1078">
        <f>IF(BW127=0,0,(BX127-BW127)/BW127*100)</f>
        <v>0</v>
      </c>
      <c r="BZ127" s="3409">
        <f>IF(BZ129=0,0,(BZ128*BZ129+BZ130*BZ131*6)/BZ129)</f>
        <v>0</v>
      </c>
      <c r="CA127" s="3409">
        <f>IF(CA129=0,0,(CA128*CA129+CA130*CA131*6)/CA129)</f>
        <v>0</v>
      </c>
      <c r="CB127" s="1078">
        <f>IF(BZ127=0,0,(CA127-BZ127)/BZ127*100)</f>
        <v>0</v>
      </c>
      <c r="CC127" s="3409">
        <f>IF(CC129=0,0,(CC128*CC129+CC130*CC131*6)/CC129)</f>
        <v>0</v>
      </c>
      <c r="CD127" s="3409">
        <f>IF(CD129=0,0,(CD128*CD129+CD130*CD131*6)/CD129)</f>
        <v>0</v>
      </c>
      <c r="CE127" s="1078">
        <f>IF(CC127=0,0,(CD127-CC127)/CC127*100)</f>
        <v>0</v>
      </c>
      <c r="CF127" s="3409">
        <f>IF(CF129=0,0,(CF128*CF129+CF130*CF131*6)/CF129)</f>
        <v>0</v>
      </c>
      <c r="CG127" s="3409">
        <f>IF(CG129=0,0,(CG128*CG129+CG130*CG131*6)/CG129)</f>
        <v>0</v>
      </c>
      <c r="CH127" s="1078">
        <f>IF(CF127=0,0,(CG127-CF127)/CF127*100)</f>
        <v>0</v>
      </c>
      <c r="CI127" s="3409">
        <f>IF(CI129=0,0,(CI128*CI129+CI130*CI131*6)/CI129)</f>
        <v>0</v>
      </c>
      <c r="CJ127" s="3409">
        <f>IF(CJ129=0,0,(CJ128*CJ129+CJ130*CJ131*6)/CJ129)</f>
        <v>0</v>
      </c>
      <c r="CK127" s="1078">
        <f>IF(CI127=0,0,(CJ127-CI127)/CI127*100)</f>
        <v>0</v>
      </c>
      <c r="CL127" s="3409">
        <f>IF(CL129=0,0,(CL128*CL129+CL130*CL131*6)/CL129)</f>
        <v>0</v>
      </c>
      <c r="CM127" s="3409">
        <f>IF(CM129=0,0,(CM128*CM129+CM130*CM131*6)/CM129)</f>
        <v>0</v>
      </c>
      <c r="CN127" s="1078">
        <f>IF(CL127=0,0,(CM127-CL127)/CL127*100)</f>
        <v>0</v>
      </c>
      <c r="CO127" s="3409">
        <f>IF(CO129=0,0,(CO128*CO129+CO130*CO131*6)/CO129)</f>
        <v>0</v>
      </c>
      <c r="CP127" s="3409">
        <f>IF(CP129=0,0,(CP128*CP129+CP130*CP131*6)/CP129)</f>
        <v>0</v>
      </c>
      <c r="CQ127" s="1078">
        <f>IF(CO127=0,0,(CP127-CO127)/CO127*100)</f>
        <v>0</v>
      </c>
      <c r="CR127" s="3409">
        <f>IF(CR129=0,0,(CR128*CR129+CR130*CR131*6)/CR129)</f>
        <v>0</v>
      </c>
      <c r="CS127" s="3409">
        <f>IF(CS129=0,0,(CS128*CS129+CS130*CS131*6)/CS129)</f>
        <v>0</v>
      </c>
      <c r="CT127" s="1078">
        <f>IF(CR127=0,0,(CS127-CR127)/CR127*100)</f>
        <v>0</v>
      </c>
      <c r="CU127" s="3409">
        <f>IF(CU129=0,0,(CU128*CU129+CU130*CU131*6)/CU129)</f>
        <v>0</v>
      </c>
      <c r="CV127" s="3409">
        <f>IF(CV129=0,0,(CV128*CV129+CV130*CV131*6)/CV129)</f>
        <v>0</v>
      </c>
      <c r="CW127" s="1078">
        <f>IF(CU127=0,0,(CV127-CU127)/CU127*100)</f>
        <v>0</v>
      </c>
      <c r="CX127" s="3409">
        <f>IF(CX129=0,0,(CX128*CX129+CX130*CX131*6)/CX129)</f>
        <v>0</v>
      </c>
      <c r="CY127" s="3409">
        <f>IF(CY129=0,0,(CY128*CY129+CY130*CY131*6)/CY129)</f>
        <v>0</v>
      </c>
      <c r="CZ127" s="1078">
        <f>IF(CX127=0,0,(CY127-CX127)/CX127*100)</f>
        <v>0</v>
      </c>
      <c r="DA127" s="3409">
        <f>IF(DA129=0,0,(DA128*DA129+DA130*DA131*6)/DA129)</f>
        <v>0</v>
      </c>
      <c r="DB127" s="3409">
        <f>IF(DB129=0,0,(DB128*DB129+DB130*DB131*6)/DB129)</f>
        <v>0</v>
      </c>
      <c r="DC127" s="1078">
        <f>IF(DA127=0,0,(DB127-DA127)/DA127*100)</f>
        <v>0</v>
      </c>
      <c r="DD127" s="3409">
        <f>IF(DD129=0,0,(DD128*DD129+DD130*DD131*6)/DD129)</f>
        <v>0</v>
      </c>
      <c r="DE127" s="3409">
        <f>IF(DE129=0,0,(DE128*DE129+DE130*DE131*6)/DE129)</f>
        <v>0</v>
      </c>
      <c r="DF127" s="1078">
        <f>IF(DD127=0,0,(DE127-DD127)/DD127*100)</f>
        <v>0</v>
      </c>
      <c r="DG127" s="3409">
        <f>IF(DG129=0,0,(DG128*DG129+DG130*DG131*6)/DG129)</f>
        <v>0</v>
      </c>
      <c r="DH127" s="3409">
        <f>IF(DH129=0,0,(DH128*DH129+DH130*DH131*6)/DH129)</f>
        <v>0</v>
      </c>
      <c r="DI127" s="1078">
        <f>IF(DG127=0,0,(DH127-DG127)/DG127*100)</f>
        <v>0</v>
      </c>
      <c r="DJ127" s="3409">
        <f>IF(DJ129=0,0,(DJ128*DJ129+DJ130*DJ131*6)/DJ129)</f>
        <v>0</v>
      </c>
      <c r="DK127" s="3409">
        <f>IF(DK129=0,0,(DK128*DK129+DK130*DK131*6)/DK129)</f>
        <v>0</v>
      </c>
      <c r="DL127" s="1078">
        <f>IF(DJ127=0,0,(DK127-DJ127)/DJ127*100)</f>
        <v>0</v>
      </c>
      <c r="DM127" s="3409">
        <f>IF(DM129=0,0,(DM128*DM129+DM130*DM131*6)/DM129)</f>
        <v>0</v>
      </c>
      <c r="DN127" s="3409">
        <f>IF(DN129=0,0,(DN128*DN129+DN130*DN131*6)/DN129)</f>
        <v>0</v>
      </c>
      <c r="DO127" s="1078">
        <f>IF(DM127=0,0,(DN127-DM127)/DM127*100)</f>
        <v>0</v>
      </c>
      <c r="DP127" s="3409">
        <f>IF(DP129=0,0,(DP128*DP129+DP130*DP131*6)/DP129)</f>
        <v>0</v>
      </c>
      <c r="DQ127" s="3409">
        <f>IF(DQ129=0,0,(DQ128*DQ129+DQ130*DQ131*6)/DQ129)</f>
        <v>0</v>
      </c>
      <c r="DR127" s="1078">
        <f>IF(DP127=0,0,(DQ127-DP127)/DP127*100)</f>
        <v>0</v>
      </c>
      <c r="DS127" s="3409">
        <f>IF(DS129=0,0,(DS128*DS129+DS130*DS131*6)/DS129)</f>
        <v>0</v>
      </c>
      <c r="DT127" s="3409">
        <f>IF(DT129=0,0,(DT128*DT129+DT130*DT131*6)/DT129)</f>
        <v>0</v>
      </c>
      <c r="DU127" s="1078">
        <f>IF(DS127=0,0,(DT127-DS127)/DS127*100)</f>
        <v>0</v>
      </c>
      <c r="DV127" s="3409">
        <f>IF(DV129=0,0,(DV128*DV129+DV130*DV131*6)/DV129)</f>
        <v>0</v>
      </c>
      <c r="DW127" s="3409">
        <f>IF(DW129=0,0,(DW128*DW129+DW130*DW131*6)/DW129)</f>
        <v>0</v>
      </c>
      <c r="DX127" s="1078">
        <f>IF(DV127=0,0,(DW127-DV127)/DV127*100)</f>
        <v>0</v>
      </c>
      <c r="DY127" s="3409">
        <f>IF(DY129=0,0,(DY128*DY129+DY130*DY131*6)/DY129)</f>
        <v>0</v>
      </c>
      <c r="DZ127" s="3409">
        <f>IF(DZ129=0,0,(DZ128*DZ129+DZ130*DZ131*6)/DZ129)</f>
        <v>0</v>
      </c>
      <c r="EA127" s="1078">
        <f>IF(DY127=0,0,(DZ127-DY127)/DY127*100)</f>
        <v>0</v>
      </c>
      <c r="EB127" s="3409">
        <f>IF(EB129=0,0,(EB128*EB129+EB130*EB131*6)/EB129)</f>
        <v>0</v>
      </c>
      <c r="EC127" s="3409">
        <f>IF(EC129=0,0,(EC128*EC129+EC130*EC131*6)/EC129)</f>
        <v>0</v>
      </c>
      <c r="ED127" s="1078">
        <f>IF(EB127=0,0,(EC127-EB127)/EB127*100)</f>
        <v>0</v>
      </c>
      <c r="EE127" s="3409">
        <f>IF(EE129=0,0,(EE128*EE129+EE130*EE131*6)/EE129)</f>
        <v>0</v>
      </c>
      <c r="EF127" s="3409">
        <f>IF(EF129=0,0,(EF128*EF129+EF130*EF131*6)/EF129)</f>
        <v>0</v>
      </c>
      <c r="EG127" s="1078">
        <f>IF(EE127=0,0,(EF127-EE127)/EE127*100)</f>
        <v>0</v>
      </c>
      <c r="EH127" s="3409">
        <f>IF(EH129=0,0,(EH128*EH129+EH130*EH131*6)/EH129)</f>
        <v>0</v>
      </c>
      <c r="EI127" s="3409">
        <f>IF(EI129=0,0,(EI128*EI129+EI130*EI131*6)/EI129)</f>
        <v>0</v>
      </c>
      <c r="EJ127" s="1078">
        <f>IF(EH127=0,0,(EI127-EH127)/EH127*100)</f>
        <v>0</v>
      </c>
      <c r="EK127" s="3409">
        <f>IF(EK129=0,0,(EK128*EK129+EK130*EK131*6)/EK129)</f>
        <v>0</v>
      </c>
      <c r="EL127" s="3409">
        <f>IF(EL129=0,0,(EL128*EL129+EL130*EL131*6)/EL129)</f>
        <v>0</v>
      </c>
      <c r="EM127" s="1078">
        <f>IF(EK127=0,0,(EL127-EK127)/EK127*100)</f>
        <v>0</v>
      </c>
      <c r="EN127" s="3409">
        <f>IF(EN129=0,0,(EN128*EN129+EN130*EN131*6)/EN129)</f>
        <v>0</v>
      </c>
      <c r="EO127" s="3409">
        <f>IF(EO129=0,0,(EO128*EO129+EO130*EO131*6)/EO129)</f>
        <v>0</v>
      </c>
      <c r="EP127" s="1078">
        <f>IF(EN127=0,0,(EO127-EN127)/EN127*100)</f>
        <v>0</v>
      </c>
      <c r="EQ127" s="3409">
        <f>IF(EQ129=0,0,(EQ128*EQ129+EQ130*EQ131*6)/EQ129)</f>
        <v>0</v>
      </c>
      <c r="ER127" s="3409">
        <f>IF(ER129=0,0,(ER128*ER129+ER130*ER131*6)/ER129)</f>
        <v>0</v>
      </c>
      <c r="ES127" s="1078">
        <f>IF(EQ127=0,0,(ER127-EQ127)/EQ127*100)</f>
        <v>0</v>
      </c>
      <c r="ET127" s="3409">
        <f>IF(ET129=0,0,(ET128*ET129+ET130*ET131*6)/ET129)</f>
        <v>0</v>
      </c>
      <c r="EU127" s="3409">
        <f>IF(EU129=0,0,(EU128*EU129+EU130*EU131*6)/EU129)</f>
        <v>0</v>
      </c>
      <c r="EV127" s="1078">
        <f>IF(ET127=0,0,(EU127-ET127)/ET127*100)</f>
        <v>0</v>
      </c>
      <c r="EW127" s="3409">
        <f>IF(EW129=0,0,(EW128*EW129+EW130*EW131*6)/EW129)</f>
        <v>0</v>
      </c>
      <c r="EX127" s="3409">
        <f>IF(EX129=0,0,(EX128*EX129+EX130*EX131*6)/EX129)</f>
        <v>0</v>
      </c>
      <c r="EY127" s="1078">
        <f>IF(EW127=0,0,(EX127-EW127)/EW127*100)</f>
        <v>0</v>
      </c>
      <c r="EZ127" s="3409">
        <f>IF(EZ129=0,0,(EZ128*EZ129+EZ130*EZ131*6)/EZ129)</f>
        <v>0</v>
      </c>
      <c r="FA127" s="3409">
        <f>IF(FA129=0,0,(FA128*FA129+FA130*FA131*6)/FA129)</f>
        <v>0</v>
      </c>
      <c r="FB127" s="1078">
        <f>IF(EZ127=0,0,(FA127-EZ127)/EZ127*100)</f>
        <v>0</v>
      </c>
      <c r="FC127" s="3409">
        <f>IF(FC129=0,0,(FC128*FC129+FC130*FC131*6)/FC129)</f>
        <v>0</v>
      </c>
      <c r="FD127" s="3409">
        <f>IF(FD129=0,0,(FD128*FD129+FD130*FD131*6)/FD129)</f>
        <v>0</v>
      </c>
      <c r="FE127" s="1078">
        <f>IF(FC127=0,0,(FD127-FC127)/FC127*100)</f>
        <v>0</v>
      </c>
      <c r="FF127" s="3409">
        <f>IF(FF129=0,0,(FF128*FF129+FF130*FF131*6)/FF129)</f>
        <v>0</v>
      </c>
      <c r="FG127" s="3409">
        <f>IF(FG129=0,0,(FG128*FG129+FG130*FG131*6)/FG129)</f>
        <v>0</v>
      </c>
      <c r="FH127" s="1078">
        <f>IF(FF127=0,0,(FG127-FF127)/FF127*100)</f>
        <v>0</v>
      </c>
      <c r="FI127" s="3409">
        <f>IF(FI129=0,0,(FI128*FI129+FI130*FI131*6)/FI129)</f>
        <v>0</v>
      </c>
      <c r="FJ127" s="3409">
        <f>IF(FJ129=0,0,(FJ128*FJ129+FJ130*FJ131*6)/FJ129)</f>
        <v>0</v>
      </c>
      <c r="FK127" s="1078">
        <f>IF(FI127=0,0,(FJ127-FI127)/FI127*100)</f>
        <v>0</v>
      </c>
      <c r="FL127" s="3409">
        <f>IF(FL129=0,0,(FL128*FL129+FL130*FL131*6)/FL129)</f>
        <v>0</v>
      </c>
      <c r="FM127" s="3409">
        <f>IF(FM129=0,0,(FM128*FM129+FM130*FM131*6)/FM129)</f>
        <v>0</v>
      </c>
      <c r="FN127" s="1078">
        <f>IF(FL127=0,0,(FM127-FL127)/FL127*100)</f>
        <v>0</v>
      </c>
      <c r="FO127" s="3409">
        <f>IF(FO129=0,0,(FO128*FO129+FO130*FO131*6)/FO129)</f>
        <v>0</v>
      </c>
      <c r="FP127" s="3409">
        <f>IF(FP129=0,0,(FP128*FP129+FP130*FP131*6)/FP129)</f>
        <v>0</v>
      </c>
      <c r="FQ127" s="1078">
        <f>IF(FO127=0,0,(FP127-FO127)/FO127*100)</f>
        <v>0</v>
      </c>
      <c r="FR127" s="3409">
        <f>IF(FR129=0,0,(FR128*FR129+FR130*FR131*6)/FR129)</f>
        <v>0</v>
      </c>
      <c r="FS127" s="3409">
        <f>IF(FS129=0,0,(FS128*FS129+FS130*FS131*6)/FS129)</f>
        <v>0</v>
      </c>
      <c r="FT127" s="1078">
        <f>IF(FR127=0,0,(FS127-FR127)/FR127*100)</f>
        <v>0</v>
      </c>
      <c r="FU127" s="3409">
        <f>IF(FU129=0,0,(FU128*FU129+FU130*FU131*6)/FU129)</f>
        <v>0</v>
      </c>
      <c r="FV127" s="3409">
        <f>IF(FV129=0,0,(FV128*FV129+FV130*FV131*6)/FV129)</f>
        <v>0</v>
      </c>
      <c r="FW127" s="1078">
        <f>IF(FU127=0,0,(FV127-FU127)/FU127*100)</f>
        <v>0</v>
      </c>
      <c r="FX127" s="676"/>
      <c r="FY127" s="676"/>
      <c r="FZ127" s="1039" t="s">
        <v>1561</v>
      </c>
      <c r="GA127" s="998" t="s">
        <v>813</v>
      </c>
      <c r="GB127" s="1041" cm="1" t="str">
        <f t="array" ref="GB127:GB127">AB126</f>
        <v>0</v>
      </c>
      <c r="GC127" s="697"/>
      <c r="GD127" s="697"/>
    </row>
    <row s="1621" customFormat="1" customHeight="1" ht="14.25" hidden="1">
      <c r="A128" s="467"/>
      <c r="B128" s="907" cm="1" t="str">
        <f t="array" ref="B128:B128">B127</f>
        <v>false</v>
      </c>
      <c r="C128" s="467"/>
      <c r="D128" s="467"/>
      <c r="E128" s="822">
        <v>15</v>
      </c>
      <c r="F128" s="50" cm="1" t="str">
        <f t="array" ref="F128:F128">OFFSET(E128,-1,1)</f>
        <v>1</v>
      </c>
      <c r="G128" s="467"/>
      <c r="H128" s="467" t="s">
        <v>1449</v>
      </c>
      <c r="I128" s="467" cm="1" t="str">
        <f t="array" ref="I128:I128">I127</f>
        <v>0</v>
      </c>
      <c r="J128" s="467"/>
      <c r="K128" s="467"/>
      <c r="L128" s="467"/>
      <c r="M128" s="467"/>
      <c r="N128" s="467"/>
      <c r="O128" s="467"/>
      <c r="P128" s="467"/>
      <c r="Q128" s="467"/>
      <c r="R128" s="467"/>
      <c r="S128" s="467"/>
      <c r="T128" s="439" cm="1" t="str">
        <f t="array" ref="T128:T128">T127</f>
        <v>false</v>
      </c>
      <c r="U128" s="467"/>
      <c r="V128" s="467"/>
      <c r="W128" s="467"/>
      <c r="X128" s="1534"/>
      <c r="Y128" s="1534"/>
      <c r="Z128" s="1464"/>
      <c r="AA128" s="1413"/>
      <c r="AB128"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846" t="s">
        <v>1494</v>
      </c>
      <c r="AD128" s="3409"/>
      <c r="AE128" s="3409"/>
      <c r="AF128" s="1078">
        <f>IF(AD128=0,0,(AE128-AD128)/AD128*100)</f>
        <v>0</v>
      </c>
      <c r="AG128" s="3409"/>
      <c r="AH128" s="3409"/>
      <c r="AI128" s="1078">
        <f>IF(AG128=0,0,(AH128-AG128)/AG128*100)</f>
        <v>0</v>
      </c>
      <c r="AJ128" s="3409"/>
      <c r="AK128" s="3409"/>
      <c r="AL128" s="1078">
        <f>IF(AJ128=0,0,(AK128-AJ128)/AJ128*100)</f>
        <v>0</v>
      </c>
      <c r="AM128" s="3409"/>
      <c r="AN128" s="3409"/>
      <c r="AO128" s="1078">
        <f>IF(AM128=0,0,(AN128-AM128)/AM128*100)</f>
        <v>0</v>
      </c>
      <c r="AP128" s="3409"/>
      <c r="AQ128" s="3409"/>
      <c r="AR128" s="1078">
        <f>IF(AP128=0,0,(AQ128-AP128)/AP128*100)</f>
        <v>0</v>
      </c>
      <c r="AS128" s="3409"/>
      <c r="AT128" s="3409"/>
      <c r="AU128" s="1078">
        <f>IF(AS128=0,0,(AT128-AS128)/AS128*100)</f>
        <v>0</v>
      </c>
      <c r="AV128" s="3409"/>
      <c r="AW128" s="3409"/>
      <c r="AX128" s="1078">
        <f>IF(AV128=0,0,(AW128-AV128)/AV128*100)</f>
        <v>0</v>
      </c>
      <c r="AY128" s="3409"/>
      <c r="AZ128" s="3409"/>
      <c r="BA128" s="1078">
        <f>IF(AY128=0,0,(AZ128-AY128)/AY128*100)</f>
        <v>0</v>
      </c>
      <c r="BB128" s="3409"/>
      <c r="BC128" s="3409"/>
      <c r="BD128" s="1078">
        <f>IF(BB128=0,0,(BC128-BB128)/BB128*100)</f>
        <v>0</v>
      </c>
      <c r="BE128" s="3409"/>
      <c r="BF128" s="3409"/>
      <c r="BG128" s="1078">
        <f>IF(BE128=0,0,(BF128-BE128)/BE128*100)</f>
        <v>0</v>
      </c>
      <c r="BH128" s="3409"/>
      <c r="BI128" s="3409"/>
      <c r="BJ128" s="1078">
        <f>IF(BH128=0,0,(BI128-BH128)/BH128*100)</f>
        <v>0</v>
      </c>
      <c r="BK128" s="3409"/>
      <c r="BL128" s="3409"/>
      <c r="BM128" s="1078">
        <f>IF(BK128=0,0,(BL128-BK128)/BK128*100)</f>
        <v>0</v>
      </c>
      <c r="BN128" s="3409"/>
      <c r="BO128" s="3409"/>
      <c r="BP128" s="1078">
        <f>IF(BN128=0,0,(BO128-BN128)/BN128*100)</f>
        <v>0</v>
      </c>
      <c r="BQ128" s="3409"/>
      <c r="BR128" s="3409"/>
      <c r="BS128" s="1078">
        <f>IF(BQ128=0,0,(BR128-BQ128)/BQ128*100)</f>
        <v>0</v>
      </c>
      <c r="BT128" s="3409"/>
      <c r="BU128" s="3409"/>
      <c r="BV128" s="1078">
        <f>IF(BT128=0,0,(BU128-BT128)/BT128*100)</f>
        <v>0</v>
      </c>
      <c r="BW128" s="3409"/>
      <c r="BX128" s="3409"/>
      <c r="BY128" s="1078">
        <f>IF(BW128=0,0,(BX128-BW128)/BW128*100)</f>
        <v>0</v>
      </c>
      <c r="BZ128" s="3409"/>
      <c r="CA128" s="3409"/>
      <c r="CB128" s="1078">
        <f>IF(BZ128=0,0,(CA128-BZ128)/BZ128*100)</f>
        <v>0</v>
      </c>
      <c r="CC128" s="3409"/>
      <c r="CD128" s="3409"/>
      <c r="CE128" s="1078">
        <f>IF(CC128=0,0,(CD128-CC128)/CC128*100)</f>
        <v>0</v>
      </c>
      <c r="CF128" s="3409"/>
      <c r="CG128" s="3409"/>
      <c r="CH128" s="1078">
        <f>IF(CF128=0,0,(CG128-CF128)/CF128*100)</f>
        <v>0</v>
      </c>
      <c r="CI128" s="3409"/>
      <c r="CJ128" s="3409"/>
      <c r="CK128" s="1078">
        <f>IF(CI128=0,0,(CJ128-CI128)/CI128*100)</f>
        <v>0</v>
      </c>
      <c r="CL128" s="3409"/>
      <c r="CM128" s="3409"/>
      <c r="CN128" s="1078">
        <f>IF(CL128=0,0,(CM128-CL128)/CL128*100)</f>
        <v>0</v>
      </c>
      <c r="CO128" s="3409"/>
      <c r="CP128" s="3409"/>
      <c r="CQ128" s="1078">
        <f>IF(CO128=0,0,(CP128-CO128)/CO128*100)</f>
        <v>0</v>
      </c>
      <c r="CR128" s="3409"/>
      <c r="CS128" s="3409"/>
      <c r="CT128" s="1078">
        <f>IF(CR128=0,0,(CS128-CR128)/CR128*100)</f>
        <v>0</v>
      </c>
      <c r="CU128" s="3409"/>
      <c r="CV128" s="3409"/>
      <c r="CW128" s="1078">
        <f>IF(CU128=0,0,(CV128-CU128)/CU128*100)</f>
        <v>0</v>
      </c>
      <c r="CX128" s="3409"/>
      <c r="CY128" s="3409"/>
      <c r="CZ128" s="1078">
        <f>IF(CX128=0,0,(CY128-CX128)/CX128*100)</f>
        <v>0</v>
      </c>
      <c r="DA128" s="3409"/>
      <c r="DB128" s="3409"/>
      <c r="DC128" s="1078">
        <f>IF(DA128=0,0,(DB128-DA128)/DA128*100)</f>
        <v>0</v>
      </c>
      <c r="DD128" s="3409"/>
      <c r="DE128" s="3409"/>
      <c r="DF128" s="1078">
        <f>IF(DD128=0,0,(DE128-DD128)/DD128*100)</f>
        <v>0</v>
      </c>
      <c r="DG128" s="3409"/>
      <c r="DH128" s="3409"/>
      <c r="DI128" s="1078">
        <f>IF(DG128=0,0,(DH128-DG128)/DG128*100)</f>
        <v>0</v>
      </c>
      <c r="DJ128" s="3409"/>
      <c r="DK128" s="3409"/>
      <c r="DL128" s="1078">
        <f>IF(DJ128=0,0,(DK128-DJ128)/DJ128*100)</f>
        <v>0</v>
      </c>
      <c r="DM128" s="3409"/>
      <c r="DN128" s="3409"/>
      <c r="DO128" s="1078">
        <f>IF(DM128=0,0,(DN128-DM128)/DM128*100)</f>
        <v>0</v>
      </c>
      <c r="DP128" s="3409"/>
      <c r="DQ128" s="3409"/>
      <c r="DR128" s="1078">
        <f>IF(DP128=0,0,(DQ128-DP128)/DP128*100)</f>
        <v>0</v>
      </c>
      <c r="DS128" s="3409"/>
      <c r="DT128" s="3409"/>
      <c r="DU128" s="1078">
        <f>IF(DS128=0,0,(DT128-DS128)/DS128*100)</f>
        <v>0</v>
      </c>
      <c r="DV128" s="3409"/>
      <c r="DW128" s="3409"/>
      <c r="DX128" s="1078">
        <f>IF(DV128=0,0,(DW128-DV128)/DV128*100)</f>
        <v>0</v>
      </c>
      <c r="DY128" s="3409"/>
      <c r="DZ128" s="3409"/>
      <c r="EA128" s="1078">
        <f>IF(DY128=0,0,(DZ128-DY128)/DY128*100)</f>
        <v>0</v>
      </c>
      <c r="EB128" s="3409"/>
      <c r="EC128" s="3409"/>
      <c r="ED128" s="1078">
        <f>IF(EB128=0,0,(EC128-EB128)/EB128*100)</f>
        <v>0</v>
      </c>
      <c r="EE128" s="3409"/>
      <c r="EF128" s="3409"/>
      <c r="EG128" s="1078">
        <f>IF(EE128=0,0,(EF128-EE128)/EE128*100)</f>
        <v>0</v>
      </c>
      <c r="EH128" s="3409"/>
      <c r="EI128" s="3409"/>
      <c r="EJ128" s="1078">
        <f>IF(EH128=0,0,(EI128-EH128)/EH128*100)</f>
        <v>0</v>
      </c>
      <c r="EK128" s="3409"/>
      <c r="EL128" s="3409"/>
      <c r="EM128" s="1078">
        <f>IF(EK128=0,0,(EL128-EK128)/EK128*100)</f>
        <v>0</v>
      </c>
      <c r="EN128" s="3409"/>
      <c r="EO128" s="3409"/>
      <c r="EP128" s="1078">
        <f>IF(EN128=0,0,(EO128-EN128)/EN128*100)</f>
        <v>0</v>
      </c>
      <c r="EQ128" s="3409"/>
      <c r="ER128" s="3409"/>
      <c r="ES128" s="1078">
        <f>IF(EQ128=0,0,(ER128-EQ128)/EQ128*100)</f>
        <v>0</v>
      </c>
      <c r="ET128" s="3409"/>
      <c r="EU128" s="3409"/>
      <c r="EV128" s="1078">
        <f>IF(ET128=0,0,(EU128-ET128)/ET128*100)</f>
        <v>0</v>
      </c>
      <c r="EW128" s="3409"/>
      <c r="EX128" s="3409"/>
      <c r="EY128" s="1078">
        <f>IF(EW128=0,0,(EX128-EW128)/EW128*100)</f>
        <v>0</v>
      </c>
      <c r="EZ128" s="3409"/>
      <c r="FA128" s="3409"/>
      <c r="FB128" s="1078">
        <f>IF(EZ128=0,0,(FA128-EZ128)/EZ128*100)</f>
        <v>0</v>
      </c>
      <c r="FC128" s="3409"/>
      <c r="FD128" s="3409"/>
      <c r="FE128" s="1078">
        <f>IF(FC128=0,0,(FD128-FC128)/FC128*100)</f>
        <v>0</v>
      </c>
      <c r="FF128" s="3409"/>
      <c r="FG128" s="3409"/>
      <c r="FH128" s="1078">
        <f>IF(FF128=0,0,(FG128-FF128)/FF128*100)</f>
        <v>0</v>
      </c>
      <c r="FI128" s="3409"/>
      <c r="FJ128" s="3409"/>
      <c r="FK128" s="1078">
        <f>IF(FI128=0,0,(FJ128-FI128)/FI128*100)</f>
        <v>0</v>
      </c>
      <c r="FL128" s="3409"/>
      <c r="FM128" s="3409"/>
      <c r="FN128" s="1078">
        <f>IF(FL128=0,0,(FM128-FL128)/FL128*100)</f>
        <v>0</v>
      </c>
      <c r="FO128" s="3409"/>
      <c r="FP128" s="3409"/>
      <c r="FQ128" s="1078">
        <f>IF(FO128=0,0,(FP128-FO128)/FO128*100)</f>
        <v>0</v>
      </c>
      <c r="FR128" s="3409"/>
      <c r="FS128" s="3409"/>
      <c r="FT128" s="1078">
        <f>IF(FR128=0,0,(FS128-FR128)/FR128*100)</f>
        <v>0</v>
      </c>
      <c r="FU128" s="3409"/>
      <c r="FV128" s="3409"/>
      <c r="FW128" s="1078">
        <f>IF(FU128=0,0,(FV128-FU128)/FU128*100)</f>
        <v>0</v>
      </c>
      <c r="FX128" s="676"/>
      <c r="FY128" s="676"/>
      <c r="FZ128" s="1039" t="s">
        <v>1562</v>
      </c>
      <c r="GA128" s="998" t="s">
        <v>813</v>
      </c>
      <c r="GB128" s="998" cm="1" t="str">
        <f t="array" ref="GB128:GB128">GB127</f>
        <v>0</v>
      </c>
      <c r="GC128" s="697"/>
      <c r="GD128" s="697"/>
    </row>
    <row s="1621" customFormat="1" customHeight="1" ht="14.25" hidden="1">
      <c r="A129" s="467"/>
      <c r="B129" s="907" cm="1" t="str">
        <f t="array" ref="B129:B129">B128</f>
        <v>false</v>
      </c>
      <c r="C129" s="467"/>
      <c r="D129" s="467"/>
      <c r="E129" s="822">
        <v>15</v>
      </c>
      <c r="F129" s="50" cm="1" t="str">
        <f t="array" ref="F129:F129">OFFSET(E129,-1,1)</f>
        <v>1</v>
      </c>
      <c r="G129" s="467"/>
      <c r="H129" s="467" t="s">
        <v>1531</v>
      </c>
      <c r="I129" s="467" cm="1" t="str">
        <f t="array" ref="I129:I129">I128</f>
        <v>0</v>
      </c>
      <c r="J129" s="467"/>
      <c r="K129" s="467"/>
      <c r="L129" s="467"/>
      <c r="M129" s="467"/>
      <c r="N129" s="467"/>
      <c r="O129" s="467"/>
      <c r="P129" s="467"/>
      <c r="Q129" s="467"/>
      <c r="R129" s="467"/>
      <c r="S129" s="467"/>
      <c r="T129" s="439" cm="1" t="str">
        <f t="array" ref="T129:T129">T128</f>
        <v>false</v>
      </c>
      <c r="U129" s="467"/>
      <c r="V129" s="467"/>
      <c r="W129" s="467"/>
      <c r="X129" s="1534"/>
      <c r="Y129" s="1534"/>
      <c r="Z129" s="1464"/>
      <c r="AA129" s="1413"/>
      <c r="AB129" s="886" t="str">
        <f>"объём "&amp;IF(Q85="Водоснабжение","потребления холодной воды","водоотведения")</f>
        <v>объём потребления холодной воды</v>
      </c>
      <c r="AC129" s="846" t="s">
        <v>512</v>
      </c>
      <c r="AD129" s="3404"/>
      <c r="AE129" s="3404"/>
      <c r="AF129" s="1080">
        <f>IF(AD129=0,0,(AE129-AD129)/AD129*100)</f>
        <v>0</v>
      </c>
      <c r="AG129" s="3404"/>
      <c r="AH129" s="3404"/>
      <c r="AI129" s="1080">
        <f>IF(AG129=0,0,(AH129-AG129)/AG129*100)</f>
        <v>0</v>
      </c>
      <c r="AJ129" s="3404"/>
      <c r="AK129" s="3404"/>
      <c r="AL129" s="1080">
        <f>IF(AJ129=0,0,(AK129-AJ129)/AJ129*100)</f>
        <v>0</v>
      </c>
      <c r="AM129" s="3404"/>
      <c r="AN129" s="3404"/>
      <c r="AO129" s="1080">
        <f>IF(AM129=0,0,(AN129-AM129)/AM129*100)</f>
        <v>0</v>
      </c>
      <c r="AP129" s="3404"/>
      <c r="AQ129" s="3404"/>
      <c r="AR129" s="1080">
        <f>IF(AP129=0,0,(AQ129-AP129)/AP129*100)</f>
        <v>0</v>
      </c>
      <c r="AS129" s="3404"/>
      <c r="AT129" s="3404"/>
      <c r="AU129" s="1080">
        <f>IF(AS129=0,0,(AT129-AS129)/AS129*100)</f>
        <v>0</v>
      </c>
      <c r="AV129" s="3404"/>
      <c r="AW129" s="3404"/>
      <c r="AX129" s="1080">
        <f>IF(AV129=0,0,(AW129-AV129)/AV129*100)</f>
        <v>0</v>
      </c>
      <c r="AY129" s="3404"/>
      <c r="AZ129" s="3404"/>
      <c r="BA129" s="1080">
        <f>IF(AY129=0,0,(AZ129-AY129)/AY129*100)</f>
        <v>0</v>
      </c>
      <c r="BB129" s="3404"/>
      <c r="BC129" s="3404"/>
      <c r="BD129" s="1080">
        <f>IF(BB129=0,0,(BC129-BB129)/BB129*100)</f>
        <v>0</v>
      </c>
      <c r="BE129" s="3404"/>
      <c r="BF129" s="3404"/>
      <c r="BG129" s="1080">
        <f>IF(BE129=0,0,(BF129-BE129)/BE129*100)</f>
        <v>0</v>
      </c>
      <c r="BH129" s="3404"/>
      <c r="BI129" s="3404"/>
      <c r="BJ129" s="1080">
        <f>IF(BH129=0,0,(BI129-BH129)/BH129*100)</f>
        <v>0</v>
      </c>
      <c r="BK129" s="3404"/>
      <c r="BL129" s="3404"/>
      <c r="BM129" s="1080">
        <f>IF(BK129=0,0,(BL129-BK129)/BK129*100)</f>
        <v>0</v>
      </c>
      <c r="BN129" s="3404"/>
      <c r="BO129" s="3404"/>
      <c r="BP129" s="1080">
        <f>IF(BN129=0,0,(BO129-BN129)/BN129*100)</f>
        <v>0</v>
      </c>
      <c r="BQ129" s="3404"/>
      <c r="BR129" s="3404"/>
      <c r="BS129" s="1080">
        <f>IF(BQ129=0,0,(BR129-BQ129)/BQ129*100)</f>
        <v>0</v>
      </c>
      <c r="BT129" s="3404"/>
      <c r="BU129" s="3404"/>
      <c r="BV129" s="1080">
        <f>IF(BT129=0,0,(BU129-BT129)/BT129*100)</f>
        <v>0</v>
      </c>
      <c r="BW129" s="3404"/>
      <c r="BX129" s="3404"/>
      <c r="BY129" s="1080">
        <f>IF(BW129=0,0,(BX129-BW129)/BW129*100)</f>
        <v>0</v>
      </c>
      <c r="BZ129" s="3404"/>
      <c r="CA129" s="3404"/>
      <c r="CB129" s="1080">
        <f>IF(BZ129=0,0,(CA129-BZ129)/BZ129*100)</f>
        <v>0</v>
      </c>
      <c r="CC129" s="3404"/>
      <c r="CD129" s="3404"/>
      <c r="CE129" s="1080">
        <f>IF(CC129=0,0,(CD129-CC129)/CC129*100)</f>
        <v>0</v>
      </c>
      <c r="CF129" s="3404"/>
      <c r="CG129" s="3404"/>
      <c r="CH129" s="1080">
        <f>IF(CF129=0,0,(CG129-CF129)/CF129*100)</f>
        <v>0</v>
      </c>
      <c r="CI129" s="3404"/>
      <c r="CJ129" s="3404"/>
      <c r="CK129" s="1080">
        <f>IF(CI129=0,0,(CJ129-CI129)/CI129*100)</f>
        <v>0</v>
      </c>
      <c r="CL129" s="3404"/>
      <c r="CM129" s="3404"/>
      <c r="CN129" s="1080">
        <f>IF(CL129=0,0,(CM129-CL129)/CL129*100)</f>
        <v>0</v>
      </c>
      <c r="CO129" s="3404"/>
      <c r="CP129" s="3404"/>
      <c r="CQ129" s="1080">
        <f>IF(CO129=0,0,(CP129-CO129)/CO129*100)</f>
        <v>0</v>
      </c>
      <c r="CR129" s="3404"/>
      <c r="CS129" s="3404"/>
      <c r="CT129" s="1080">
        <f>IF(CR129=0,0,(CS129-CR129)/CR129*100)</f>
        <v>0</v>
      </c>
      <c r="CU129" s="3404"/>
      <c r="CV129" s="3404"/>
      <c r="CW129" s="1080">
        <f>IF(CU129=0,0,(CV129-CU129)/CU129*100)</f>
        <v>0</v>
      </c>
      <c r="CX129" s="3404"/>
      <c r="CY129" s="3404"/>
      <c r="CZ129" s="1080">
        <f>IF(CX129=0,0,(CY129-CX129)/CX129*100)</f>
        <v>0</v>
      </c>
      <c r="DA129" s="3404"/>
      <c r="DB129" s="3404"/>
      <c r="DC129" s="1080">
        <f>IF(DA129=0,0,(DB129-DA129)/DA129*100)</f>
        <v>0</v>
      </c>
      <c r="DD129" s="3404"/>
      <c r="DE129" s="3404"/>
      <c r="DF129" s="1080">
        <f>IF(DD129=0,0,(DE129-DD129)/DD129*100)</f>
        <v>0</v>
      </c>
      <c r="DG129" s="3404"/>
      <c r="DH129" s="3404"/>
      <c r="DI129" s="1080">
        <f>IF(DG129=0,0,(DH129-DG129)/DG129*100)</f>
        <v>0</v>
      </c>
      <c r="DJ129" s="3404"/>
      <c r="DK129" s="3404"/>
      <c r="DL129" s="1080">
        <f>IF(DJ129=0,0,(DK129-DJ129)/DJ129*100)</f>
        <v>0</v>
      </c>
      <c r="DM129" s="3404"/>
      <c r="DN129" s="3404"/>
      <c r="DO129" s="1080">
        <f>IF(DM129=0,0,(DN129-DM129)/DM129*100)</f>
        <v>0</v>
      </c>
      <c r="DP129" s="3404"/>
      <c r="DQ129" s="3404"/>
      <c r="DR129" s="1080">
        <f>IF(DP129=0,0,(DQ129-DP129)/DP129*100)</f>
        <v>0</v>
      </c>
      <c r="DS129" s="3404"/>
      <c r="DT129" s="3404"/>
      <c r="DU129" s="1080">
        <f>IF(DS129=0,0,(DT129-DS129)/DS129*100)</f>
        <v>0</v>
      </c>
      <c r="DV129" s="3404"/>
      <c r="DW129" s="3404"/>
      <c r="DX129" s="1080">
        <f>IF(DV129=0,0,(DW129-DV129)/DV129*100)</f>
        <v>0</v>
      </c>
      <c r="DY129" s="3404"/>
      <c r="DZ129" s="3404"/>
      <c r="EA129" s="1080">
        <f>IF(DY129=0,0,(DZ129-DY129)/DY129*100)</f>
        <v>0</v>
      </c>
      <c r="EB129" s="3404"/>
      <c r="EC129" s="3404"/>
      <c r="ED129" s="1080">
        <f>IF(EB129=0,0,(EC129-EB129)/EB129*100)</f>
        <v>0</v>
      </c>
      <c r="EE129" s="3404"/>
      <c r="EF129" s="3404"/>
      <c r="EG129" s="1080">
        <f>IF(EE129=0,0,(EF129-EE129)/EE129*100)</f>
        <v>0</v>
      </c>
      <c r="EH129" s="3404"/>
      <c r="EI129" s="3404"/>
      <c r="EJ129" s="1080">
        <f>IF(EH129=0,0,(EI129-EH129)/EH129*100)</f>
        <v>0</v>
      </c>
      <c r="EK129" s="3404"/>
      <c r="EL129" s="3404"/>
      <c r="EM129" s="1080">
        <f>IF(EK129=0,0,(EL129-EK129)/EK129*100)</f>
        <v>0</v>
      </c>
      <c r="EN129" s="3404"/>
      <c r="EO129" s="3404"/>
      <c r="EP129" s="1080">
        <f>IF(EN129=0,0,(EO129-EN129)/EN129*100)</f>
        <v>0</v>
      </c>
      <c r="EQ129" s="3404"/>
      <c r="ER129" s="3404"/>
      <c r="ES129" s="1080">
        <f>IF(EQ129=0,0,(ER129-EQ129)/EQ129*100)</f>
        <v>0</v>
      </c>
      <c r="ET129" s="3404"/>
      <c r="EU129" s="3404"/>
      <c r="EV129" s="1080">
        <f>IF(ET129=0,0,(EU129-ET129)/ET129*100)</f>
        <v>0</v>
      </c>
      <c r="EW129" s="3404"/>
      <c r="EX129" s="3404"/>
      <c r="EY129" s="1080">
        <f>IF(EW129=0,0,(EX129-EW129)/EW129*100)</f>
        <v>0</v>
      </c>
      <c r="EZ129" s="3404"/>
      <c r="FA129" s="3404"/>
      <c r="FB129" s="1080">
        <f>IF(EZ129=0,0,(FA129-EZ129)/EZ129*100)</f>
        <v>0</v>
      </c>
      <c r="FC129" s="3404"/>
      <c r="FD129" s="3404"/>
      <c r="FE129" s="1080">
        <f>IF(FC129=0,0,(FD129-FC129)/FC129*100)</f>
        <v>0</v>
      </c>
      <c r="FF129" s="3404"/>
      <c r="FG129" s="3404"/>
      <c r="FH129" s="1080">
        <f>IF(FF129=0,0,(FG129-FF129)/FF129*100)</f>
        <v>0</v>
      </c>
      <c r="FI129" s="3404"/>
      <c r="FJ129" s="3404"/>
      <c r="FK129" s="1080">
        <f>IF(FI129=0,0,(FJ129-FI129)/FI129*100)</f>
        <v>0</v>
      </c>
      <c r="FL129" s="3404"/>
      <c r="FM129" s="3404"/>
      <c r="FN129" s="1080">
        <f>IF(FL129=0,0,(FM129-FL129)/FL129*100)</f>
        <v>0</v>
      </c>
      <c r="FO129" s="3404"/>
      <c r="FP129" s="3404"/>
      <c r="FQ129" s="1080">
        <f>IF(FO129=0,0,(FP129-FO129)/FO129*100)</f>
        <v>0</v>
      </c>
      <c r="FR129" s="3404"/>
      <c r="FS129" s="3404"/>
      <c r="FT129" s="1080">
        <f>IF(FR129=0,0,(FS129-FR129)/FR129*100)</f>
        <v>0</v>
      </c>
      <c r="FU129" s="3404"/>
      <c r="FV129" s="3404"/>
      <c r="FW129" s="1080">
        <f>IF(FU129=0,0,(FV129-FU129)/FU129*100)</f>
        <v>0</v>
      </c>
      <c r="FX129" s="676"/>
      <c r="FY129" s="676"/>
      <c r="FZ129" s="1039" t="s">
        <v>1563</v>
      </c>
      <c r="GA129" s="998" t="s">
        <v>813</v>
      </c>
      <c r="GB129" s="998" cm="1" t="str">
        <f t="array" ref="GB129:GB129">GB128</f>
        <v>0</v>
      </c>
      <c r="GC129" s="697"/>
      <c r="GD129" s="697"/>
    </row>
    <row s="1621" customFormat="1" customHeight="1" ht="21.75" hidden="1">
      <c r="A130" s="467"/>
      <c r="B130" s="907" cm="1" t="str">
        <f t="array" ref="B130:B130">B129</f>
        <v>false</v>
      </c>
      <c r="C130" s="467"/>
      <c r="D130" s="467"/>
      <c r="E130" s="822">
        <v>22.5</v>
      </c>
      <c r="F130" s="50" cm="1" t="str">
        <f t="array" ref="F130:F130">OFFSET(E130,-1,1)</f>
        <v>1</v>
      </c>
      <c r="G130" s="467"/>
      <c r="H130" s="467" t="s">
        <v>1533</v>
      </c>
      <c r="I130" s="467" cm="1" t="str">
        <f t="array" ref="I130:I130">I129</f>
        <v>0</v>
      </c>
      <c r="J130" s="467"/>
      <c r="K130" s="467"/>
      <c r="L130" s="467"/>
      <c r="M130" s="467"/>
      <c r="N130" s="467"/>
      <c r="O130" s="467"/>
      <c r="P130" s="467"/>
      <c r="Q130" s="467"/>
      <c r="R130" s="467"/>
      <c r="S130" s="467"/>
      <c r="T130" s="439" cm="1" t="str">
        <f t="array" ref="T130:T130">T129</f>
        <v>false</v>
      </c>
      <c r="U130" s="467"/>
      <c r="V130" s="467"/>
      <c r="W130" s="467"/>
      <c r="X130" s="1534"/>
      <c r="Y130" s="1534"/>
      <c r="Z130" s="1464"/>
      <c r="AA130" s="1413"/>
      <c r="AB130"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846" t="s">
        <v>1534</v>
      </c>
      <c r="AD130" s="3409"/>
      <c r="AE130" s="3409"/>
      <c r="AF130" s="1078">
        <f>IF(AD130=0,0,(AE130-AD130)/AD130*100)</f>
        <v>0</v>
      </c>
      <c r="AG130" s="3409"/>
      <c r="AH130" s="3409"/>
      <c r="AI130" s="1078">
        <f>IF(AG130=0,0,(AH130-AG130)/AG130*100)</f>
        <v>0</v>
      </c>
      <c r="AJ130" s="3409"/>
      <c r="AK130" s="3409"/>
      <c r="AL130" s="1078">
        <f>IF(AJ130=0,0,(AK130-AJ130)/AJ130*100)</f>
        <v>0</v>
      </c>
      <c r="AM130" s="3409"/>
      <c r="AN130" s="3409"/>
      <c r="AO130" s="1078">
        <f>IF(AM130=0,0,(AN130-AM130)/AM130*100)</f>
        <v>0</v>
      </c>
      <c r="AP130" s="3409"/>
      <c r="AQ130" s="3409"/>
      <c r="AR130" s="1078">
        <f>IF(AP130=0,0,(AQ130-AP130)/AP130*100)</f>
        <v>0</v>
      </c>
      <c r="AS130" s="3409"/>
      <c r="AT130" s="3409"/>
      <c r="AU130" s="1078">
        <f>IF(AS130=0,0,(AT130-AS130)/AS130*100)</f>
        <v>0</v>
      </c>
      <c r="AV130" s="3409"/>
      <c r="AW130" s="3409"/>
      <c r="AX130" s="1078">
        <f>IF(AV130=0,0,(AW130-AV130)/AV130*100)</f>
        <v>0</v>
      </c>
      <c r="AY130" s="3409"/>
      <c r="AZ130" s="3409"/>
      <c r="BA130" s="1078">
        <f>IF(AY130=0,0,(AZ130-AY130)/AY130*100)</f>
        <v>0</v>
      </c>
      <c r="BB130" s="3409"/>
      <c r="BC130" s="3409"/>
      <c r="BD130" s="1078">
        <f>IF(BB130=0,0,(BC130-BB130)/BB130*100)</f>
        <v>0</v>
      </c>
      <c r="BE130" s="3409"/>
      <c r="BF130" s="3409"/>
      <c r="BG130" s="1078">
        <f>IF(BE130=0,0,(BF130-BE130)/BE130*100)</f>
        <v>0</v>
      </c>
      <c r="BH130" s="3409"/>
      <c r="BI130" s="3409"/>
      <c r="BJ130" s="1078">
        <f>IF(BH130=0,0,(BI130-BH130)/BH130*100)</f>
        <v>0</v>
      </c>
      <c r="BK130" s="3409"/>
      <c r="BL130" s="3409"/>
      <c r="BM130" s="1078">
        <f>IF(BK130=0,0,(BL130-BK130)/BK130*100)</f>
        <v>0</v>
      </c>
      <c r="BN130" s="3409"/>
      <c r="BO130" s="3409"/>
      <c r="BP130" s="1078">
        <f>IF(BN130=0,0,(BO130-BN130)/BN130*100)</f>
        <v>0</v>
      </c>
      <c r="BQ130" s="3409"/>
      <c r="BR130" s="3409"/>
      <c r="BS130" s="1078">
        <f>IF(BQ130=0,0,(BR130-BQ130)/BQ130*100)</f>
        <v>0</v>
      </c>
      <c r="BT130" s="3409"/>
      <c r="BU130" s="3409"/>
      <c r="BV130" s="1078">
        <f>IF(BT130=0,0,(BU130-BT130)/BT130*100)</f>
        <v>0</v>
      </c>
      <c r="BW130" s="3409"/>
      <c r="BX130" s="3409"/>
      <c r="BY130" s="1078">
        <f>IF(BW130=0,0,(BX130-BW130)/BW130*100)</f>
        <v>0</v>
      </c>
      <c r="BZ130" s="3409"/>
      <c r="CA130" s="3409"/>
      <c r="CB130" s="1078">
        <f>IF(BZ130=0,0,(CA130-BZ130)/BZ130*100)</f>
        <v>0</v>
      </c>
      <c r="CC130" s="3409"/>
      <c r="CD130" s="3409"/>
      <c r="CE130" s="1078">
        <f>IF(CC130=0,0,(CD130-CC130)/CC130*100)</f>
        <v>0</v>
      </c>
      <c r="CF130" s="3409"/>
      <c r="CG130" s="3409"/>
      <c r="CH130" s="1078">
        <f>IF(CF130=0,0,(CG130-CF130)/CF130*100)</f>
        <v>0</v>
      </c>
      <c r="CI130" s="3409"/>
      <c r="CJ130" s="3409"/>
      <c r="CK130" s="1078">
        <f>IF(CI130=0,0,(CJ130-CI130)/CI130*100)</f>
        <v>0</v>
      </c>
      <c r="CL130" s="3409"/>
      <c r="CM130" s="3409"/>
      <c r="CN130" s="1078">
        <f>IF(CL130=0,0,(CM130-CL130)/CL130*100)</f>
        <v>0</v>
      </c>
      <c r="CO130" s="3409"/>
      <c r="CP130" s="3409"/>
      <c r="CQ130" s="1078">
        <f>IF(CO130=0,0,(CP130-CO130)/CO130*100)</f>
        <v>0</v>
      </c>
      <c r="CR130" s="3409"/>
      <c r="CS130" s="3409"/>
      <c r="CT130" s="1078">
        <f>IF(CR130=0,0,(CS130-CR130)/CR130*100)</f>
        <v>0</v>
      </c>
      <c r="CU130" s="3409"/>
      <c r="CV130" s="3409"/>
      <c r="CW130" s="1078">
        <f>IF(CU130=0,0,(CV130-CU130)/CU130*100)</f>
        <v>0</v>
      </c>
      <c r="CX130" s="3409"/>
      <c r="CY130" s="3409"/>
      <c r="CZ130" s="1078">
        <f>IF(CX130=0,0,(CY130-CX130)/CX130*100)</f>
        <v>0</v>
      </c>
      <c r="DA130" s="3409"/>
      <c r="DB130" s="3409"/>
      <c r="DC130" s="1078">
        <f>IF(DA130=0,0,(DB130-DA130)/DA130*100)</f>
        <v>0</v>
      </c>
      <c r="DD130" s="3409"/>
      <c r="DE130" s="3409"/>
      <c r="DF130" s="1078">
        <f>IF(DD130=0,0,(DE130-DD130)/DD130*100)</f>
        <v>0</v>
      </c>
      <c r="DG130" s="3409"/>
      <c r="DH130" s="3409"/>
      <c r="DI130" s="1078">
        <f>IF(DG130=0,0,(DH130-DG130)/DG130*100)</f>
        <v>0</v>
      </c>
      <c r="DJ130" s="3409"/>
      <c r="DK130" s="3409"/>
      <c r="DL130" s="1078">
        <f>IF(DJ130=0,0,(DK130-DJ130)/DJ130*100)</f>
        <v>0</v>
      </c>
      <c r="DM130" s="3409"/>
      <c r="DN130" s="3409"/>
      <c r="DO130" s="1078">
        <f>IF(DM130=0,0,(DN130-DM130)/DM130*100)</f>
        <v>0</v>
      </c>
      <c r="DP130" s="3409"/>
      <c r="DQ130" s="3409"/>
      <c r="DR130" s="1078">
        <f>IF(DP130=0,0,(DQ130-DP130)/DP130*100)</f>
        <v>0</v>
      </c>
      <c r="DS130" s="3409"/>
      <c r="DT130" s="3409"/>
      <c r="DU130" s="1078">
        <f>IF(DS130=0,0,(DT130-DS130)/DS130*100)</f>
        <v>0</v>
      </c>
      <c r="DV130" s="3409"/>
      <c r="DW130" s="3409"/>
      <c r="DX130" s="1078">
        <f>IF(DV130=0,0,(DW130-DV130)/DV130*100)</f>
        <v>0</v>
      </c>
      <c r="DY130" s="3409"/>
      <c r="DZ130" s="3409"/>
      <c r="EA130" s="1078">
        <f>IF(DY130=0,0,(DZ130-DY130)/DY130*100)</f>
        <v>0</v>
      </c>
      <c r="EB130" s="3409"/>
      <c r="EC130" s="3409"/>
      <c r="ED130" s="1078">
        <f>IF(EB130=0,0,(EC130-EB130)/EB130*100)</f>
        <v>0</v>
      </c>
      <c r="EE130" s="3409"/>
      <c r="EF130" s="3409"/>
      <c r="EG130" s="1078">
        <f>IF(EE130=0,0,(EF130-EE130)/EE130*100)</f>
        <v>0</v>
      </c>
      <c r="EH130" s="3409"/>
      <c r="EI130" s="3409"/>
      <c r="EJ130" s="1078">
        <f>IF(EH130=0,0,(EI130-EH130)/EH130*100)</f>
        <v>0</v>
      </c>
      <c r="EK130" s="3409"/>
      <c r="EL130" s="3409"/>
      <c r="EM130" s="1078">
        <f>IF(EK130=0,0,(EL130-EK130)/EK130*100)</f>
        <v>0</v>
      </c>
      <c r="EN130" s="3409"/>
      <c r="EO130" s="3409"/>
      <c r="EP130" s="1078">
        <f>IF(EN130=0,0,(EO130-EN130)/EN130*100)</f>
        <v>0</v>
      </c>
      <c r="EQ130" s="3409"/>
      <c r="ER130" s="3409"/>
      <c r="ES130" s="1078">
        <f>IF(EQ130=0,0,(ER130-EQ130)/EQ130*100)</f>
        <v>0</v>
      </c>
      <c r="ET130" s="3409"/>
      <c r="EU130" s="3409"/>
      <c r="EV130" s="1078">
        <f>IF(ET130=0,0,(EU130-ET130)/ET130*100)</f>
        <v>0</v>
      </c>
      <c r="EW130" s="3409"/>
      <c r="EX130" s="3409"/>
      <c r="EY130" s="1078">
        <f>IF(EW130=0,0,(EX130-EW130)/EW130*100)</f>
        <v>0</v>
      </c>
      <c r="EZ130" s="3409"/>
      <c r="FA130" s="3409"/>
      <c r="FB130" s="1078">
        <f>IF(EZ130=0,0,(FA130-EZ130)/EZ130*100)</f>
        <v>0</v>
      </c>
      <c r="FC130" s="3409"/>
      <c r="FD130" s="3409"/>
      <c r="FE130" s="1078">
        <f>IF(FC130=0,0,(FD130-FC130)/FC130*100)</f>
        <v>0</v>
      </c>
      <c r="FF130" s="3409"/>
      <c r="FG130" s="3409"/>
      <c r="FH130" s="1078">
        <f>IF(FF130=0,0,(FG130-FF130)/FF130*100)</f>
        <v>0</v>
      </c>
      <c r="FI130" s="3409"/>
      <c r="FJ130" s="3409"/>
      <c r="FK130" s="1078">
        <f>IF(FI130=0,0,(FJ130-FI130)/FI130*100)</f>
        <v>0</v>
      </c>
      <c r="FL130" s="3409"/>
      <c r="FM130" s="3409"/>
      <c r="FN130" s="1078">
        <f>IF(FL130=0,0,(FM130-FL130)/FL130*100)</f>
        <v>0</v>
      </c>
      <c r="FO130" s="3409"/>
      <c r="FP130" s="3409"/>
      <c r="FQ130" s="1078">
        <f>IF(FO130=0,0,(FP130-FO130)/FO130*100)</f>
        <v>0</v>
      </c>
      <c r="FR130" s="3409"/>
      <c r="FS130" s="3409"/>
      <c r="FT130" s="1078">
        <f>IF(FR130=0,0,(FS130-FR130)/FR130*100)</f>
        <v>0</v>
      </c>
      <c r="FU130" s="3409"/>
      <c r="FV130" s="3409"/>
      <c r="FW130" s="1078">
        <f>IF(FU130=0,0,(FV130-FU130)/FU130*100)</f>
        <v>0</v>
      </c>
      <c r="FX130" s="676"/>
      <c r="FY130" s="676"/>
      <c r="FZ130" s="1039" t="s">
        <v>1564</v>
      </c>
      <c r="GA130" s="998" t="s">
        <v>813</v>
      </c>
      <c r="GB130" s="998" cm="1" t="str">
        <f t="array" ref="GB130:GB130">GB129</f>
        <v>0</v>
      </c>
      <c r="GC130" s="697"/>
      <c r="GD130" s="697"/>
    </row>
    <row s="1621" customFormat="1" customHeight="1" ht="14.25" hidden="1">
      <c r="A131" s="467"/>
      <c r="B131" s="907" cm="1" t="str">
        <f t="array" ref="B131:B131">B130</f>
        <v>false</v>
      </c>
      <c r="C131" s="467"/>
      <c r="D131" s="467"/>
      <c r="E131" s="822">
        <v>15</v>
      </c>
      <c r="F131" s="50" cm="1" t="str">
        <f t="array" ref="F131:F131">OFFSET(E131,-1,1)</f>
        <v>1</v>
      </c>
      <c r="G131" s="467"/>
      <c r="H131" s="467" t="s">
        <v>1536</v>
      </c>
      <c r="I131" s="467" cm="1" t="str">
        <f t="array" ref="I131:I131">I130</f>
        <v>0</v>
      </c>
      <c r="J131" s="467"/>
      <c r="K131" s="467"/>
      <c r="L131" s="467"/>
      <c r="M131" s="467"/>
      <c r="N131" s="467"/>
      <c r="O131" s="467"/>
      <c r="P131" s="467"/>
      <c r="Q131" s="467"/>
      <c r="R131" s="467"/>
      <c r="S131" s="467"/>
      <c r="T131" s="439" cm="1" t="str">
        <f t="array" ref="T131:T131">T130</f>
        <v>false</v>
      </c>
      <c r="U131" s="467"/>
      <c r="V131" s="467"/>
      <c r="W131" s="467"/>
      <c r="X131" s="1534"/>
      <c r="Y131" s="1534"/>
      <c r="Z131" s="1464"/>
      <c r="AA131" s="1413"/>
      <c r="AB131" s="886" t="s">
        <v>1537</v>
      </c>
      <c r="AC131" s="846" t="s">
        <v>1538</v>
      </c>
      <c r="AD131" s="3409"/>
      <c r="AE131" s="3409"/>
      <c r="AF131" s="1078">
        <f>IF(AD131=0,0,(AE131-AD131)/AD131*100)</f>
        <v>0</v>
      </c>
      <c r="AG131" s="3409"/>
      <c r="AH131" s="3409"/>
      <c r="AI131" s="1078">
        <f>IF(AG131=0,0,(AH131-AG131)/AG131*100)</f>
        <v>0</v>
      </c>
      <c r="AJ131" s="3409"/>
      <c r="AK131" s="3409"/>
      <c r="AL131" s="1078">
        <f>IF(AJ131=0,0,(AK131-AJ131)/AJ131*100)</f>
        <v>0</v>
      </c>
      <c r="AM131" s="3409"/>
      <c r="AN131" s="3409"/>
      <c r="AO131" s="1078">
        <f>IF(AM131=0,0,(AN131-AM131)/AM131*100)</f>
        <v>0</v>
      </c>
      <c r="AP131" s="3409"/>
      <c r="AQ131" s="3409"/>
      <c r="AR131" s="1078">
        <f>IF(AP131=0,0,(AQ131-AP131)/AP131*100)</f>
        <v>0</v>
      </c>
      <c r="AS131" s="3409"/>
      <c r="AT131" s="3409"/>
      <c r="AU131" s="1078">
        <f>IF(AS131=0,0,(AT131-AS131)/AS131*100)</f>
        <v>0</v>
      </c>
      <c r="AV131" s="3409"/>
      <c r="AW131" s="3409"/>
      <c r="AX131" s="1078">
        <f>IF(AV131=0,0,(AW131-AV131)/AV131*100)</f>
        <v>0</v>
      </c>
      <c r="AY131" s="3409"/>
      <c r="AZ131" s="3409"/>
      <c r="BA131" s="1078">
        <f>IF(AY131=0,0,(AZ131-AY131)/AY131*100)</f>
        <v>0</v>
      </c>
      <c r="BB131" s="3409"/>
      <c r="BC131" s="3409"/>
      <c r="BD131" s="1078">
        <f>IF(BB131=0,0,(BC131-BB131)/BB131*100)</f>
        <v>0</v>
      </c>
      <c r="BE131" s="3409"/>
      <c r="BF131" s="3409"/>
      <c r="BG131" s="1078">
        <f>IF(BE131=0,0,(BF131-BE131)/BE131*100)</f>
        <v>0</v>
      </c>
      <c r="BH131" s="3409"/>
      <c r="BI131" s="3409"/>
      <c r="BJ131" s="1078">
        <f>IF(BH131=0,0,(BI131-BH131)/BH131*100)</f>
        <v>0</v>
      </c>
      <c r="BK131" s="3409"/>
      <c r="BL131" s="3409"/>
      <c r="BM131" s="1078">
        <f>IF(BK131=0,0,(BL131-BK131)/BK131*100)</f>
        <v>0</v>
      </c>
      <c r="BN131" s="3409"/>
      <c r="BO131" s="3409"/>
      <c r="BP131" s="1078">
        <f>IF(BN131=0,0,(BO131-BN131)/BN131*100)</f>
        <v>0</v>
      </c>
      <c r="BQ131" s="3409"/>
      <c r="BR131" s="3409"/>
      <c r="BS131" s="1078">
        <f>IF(BQ131=0,0,(BR131-BQ131)/BQ131*100)</f>
        <v>0</v>
      </c>
      <c r="BT131" s="3409"/>
      <c r="BU131" s="3409"/>
      <c r="BV131" s="1078">
        <f>IF(BT131=0,0,(BU131-BT131)/BT131*100)</f>
        <v>0</v>
      </c>
      <c r="BW131" s="3409"/>
      <c r="BX131" s="3409"/>
      <c r="BY131" s="1078">
        <f>IF(BW131=0,0,(BX131-BW131)/BW131*100)</f>
        <v>0</v>
      </c>
      <c r="BZ131" s="3409"/>
      <c r="CA131" s="3409"/>
      <c r="CB131" s="1078">
        <f>IF(BZ131=0,0,(CA131-BZ131)/BZ131*100)</f>
        <v>0</v>
      </c>
      <c r="CC131" s="3409"/>
      <c r="CD131" s="3409"/>
      <c r="CE131" s="1078">
        <f>IF(CC131=0,0,(CD131-CC131)/CC131*100)</f>
        <v>0</v>
      </c>
      <c r="CF131" s="3409"/>
      <c r="CG131" s="3409"/>
      <c r="CH131" s="1078">
        <f>IF(CF131=0,0,(CG131-CF131)/CF131*100)</f>
        <v>0</v>
      </c>
      <c r="CI131" s="3409"/>
      <c r="CJ131" s="3409"/>
      <c r="CK131" s="1078">
        <f>IF(CI131=0,0,(CJ131-CI131)/CI131*100)</f>
        <v>0</v>
      </c>
      <c r="CL131" s="3409"/>
      <c r="CM131" s="3409"/>
      <c r="CN131" s="1078">
        <f>IF(CL131=0,0,(CM131-CL131)/CL131*100)</f>
        <v>0</v>
      </c>
      <c r="CO131" s="3409"/>
      <c r="CP131" s="3409"/>
      <c r="CQ131" s="1078">
        <f>IF(CO131=0,0,(CP131-CO131)/CO131*100)</f>
        <v>0</v>
      </c>
      <c r="CR131" s="3409"/>
      <c r="CS131" s="3409"/>
      <c r="CT131" s="1078">
        <f>IF(CR131=0,0,(CS131-CR131)/CR131*100)</f>
        <v>0</v>
      </c>
      <c r="CU131" s="3409"/>
      <c r="CV131" s="3409"/>
      <c r="CW131" s="1078">
        <f>IF(CU131=0,0,(CV131-CU131)/CU131*100)</f>
        <v>0</v>
      </c>
      <c r="CX131" s="3409"/>
      <c r="CY131" s="3409"/>
      <c r="CZ131" s="1078">
        <f>IF(CX131=0,0,(CY131-CX131)/CX131*100)</f>
        <v>0</v>
      </c>
      <c r="DA131" s="3409"/>
      <c r="DB131" s="3409"/>
      <c r="DC131" s="1078">
        <f>IF(DA131=0,0,(DB131-DA131)/DA131*100)</f>
        <v>0</v>
      </c>
      <c r="DD131" s="3409"/>
      <c r="DE131" s="3409"/>
      <c r="DF131" s="1078">
        <f>IF(DD131=0,0,(DE131-DD131)/DD131*100)</f>
        <v>0</v>
      </c>
      <c r="DG131" s="3409"/>
      <c r="DH131" s="3409"/>
      <c r="DI131" s="1078">
        <f>IF(DG131=0,0,(DH131-DG131)/DG131*100)</f>
        <v>0</v>
      </c>
      <c r="DJ131" s="3409"/>
      <c r="DK131" s="3409"/>
      <c r="DL131" s="1078">
        <f>IF(DJ131=0,0,(DK131-DJ131)/DJ131*100)</f>
        <v>0</v>
      </c>
      <c r="DM131" s="3409"/>
      <c r="DN131" s="3409"/>
      <c r="DO131" s="1078">
        <f>IF(DM131=0,0,(DN131-DM131)/DM131*100)</f>
        <v>0</v>
      </c>
      <c r="DP131" s="3409"/>
      <c r="DQ131" s="3409"/>
      <c r="DR131" s="1078">
        <f>IF(DP131=0,0,(DQ131-DP131)/DP131*100)</f>
        <v>0</v>
      </c>
      <c r="DS131" s="3409"/>
      <c r="DT131" s="3409"/>
      <c r="DU131" s="1078">
        <f>IF(DS131=0,0,(DT131-DS131)/DS131*100)</f>
        <v>0</v>
      </c>
      <c r="DV131" s="3409"/>
      <c r="DW131" s="3409"/>
      <c r="DX131" s="1078">
        <f>IF(DV131=0,0,(DW131-DV131)/DV131*100)</f>
        <v>0</v>
      </c>
      <c r="DY131" s="3409"/>
      <c r="DZ131" s="3409"/>
      <c r="EA131" s="1078">
        <f>IF(DY131=0,0,(DZ131-DY131)/DY131*100)</f>
        <v>0</v>
      </c>
      <c r="EB131" s="3409"/>
      <c r="EC131" s="3409"/>
      <c r="ED131" s="1078">
        <f>IF(EB131=0,0,(EC131-EB131)/EB131*100)</f>
        <v>0</v>
      </c>
      <c r="EE131" s="3409"/>
      <c r="EF131" s="3409"/>
      <c r="EG131" s="1078">
        <f>IF(EE131=0,0,(EF131-EE131)/EE131*100)</f>
        <v>0</v>
      </c>
      <c r="EH131" s="3409"/>
      <c r="EI131" s="3409"/>
      <c r="EJ131" s="1078">
        <f>IF(EH131=0,0,(EI131-EH131)/EH131*100)</f>
        <v>0</v>
      </c>
      <c r="EK131" s="3409"/>
      <c r="EL131" s="3409"/>
      <c r="EM131" s="1078">
        <f>IF(EK131=0,0,(EL131-EK131)/EK131*100)</f>
        <v>0</v>
      </c>
      <c r="EN131" s="3409"/>
      <c r="EO131" s="3409"/>
      <c r="EP131" s="1078">
        <f>IF(EN131=0,0,(EO131-EN131)/EN131*100)</f>
        <v>0</v>
      </c>
      <c r="EQ131" s="3409"/>
      <c r="ER131" s="3409"/>
      <c r="ES131" s="1078">
        <f>IF(EQ131=0,0,(ER131-EQ131)/EQ131*100)</f>
        <v>0</v>
      </c>
      <c r="ET131" s="3409"/>
      <c r="EU131" s="3409"/>
      <c r="EV131" s="1078">
        <f>IF(ET131=0,0,(EU131-ET131)/ET131*100)</f>
        <v>0</v>
      </c>
      <c r="EW131" s="3409"/>
      <c r="EX131" s="3409"/>
      <c r="EY131" s="1078">
        <f>IF(EW131=0,0,(EX131-EW131)/EW131*100)</f>
        <v>0</v>
      </c>
      <c r="EZ131" s="3409"/>
      <c r="FA131" s="3409"/>
      <c r="FB131" s="1078">
        <f>IF(EZ131=0,0,(FA131-EZ131)/EZ131*100)</f>
        <v>0</v>
      </c>
      <c r="FC131" s="3409"/>
      <c r="FD131" s="3409"/>
      <c r="FE131" s="1078">
        <f>IF(FC131=0,0,(FD131-FC131)/FC131*100)</f>
        <v>0</v>
      </c>
      <c r="FF131" s="3409"/>
      <c r="FG131" s="3409"/>
      <c r="FH131" s="1078">
        <f>IF(FF131=0,0,(FG131-FF131)/FF131*100)</f>
        <v>0</v>
      </c>
      <c r="FI131" s="3409"/>
      <c r="FJ131" s="3409"/>
      <c r="FK131" s="1078">
        <f>IF(FI131=0,0,(FJ131-FI131)/FI131*100)</f>
        <v>0</v>
      </c>
      <c r="FL131" s="3409"/>
      <c r="FM131" s="3409"/>
      <c r="FN131" s="1078">
        <f>IF(FL131=0,0,(FM131-FL131)/FL131*100)</f>
        <v>0</v>
      </c>
      <c r="FO131" s="3409"/>
      <c r="FP131" s="3409"/>
      <c r="FQ131" s="1078">
        <f>IF(FO131=0,0,(FP131-FO131)/FO131*100)</f>
        <v>0</v>
      </c>
      <c r="FR131" s="3409"/>
      <c r="FS131" s="3409"/>
      <c r="FT131" s="1078">
        <f>IF(FR131=0,0,(FS131-FR131)/FR131*100)</f>
        <v>0</v>
      </c>
      <c r="FU131" s="3409"/>
      <c r="FV131" s="3409"/>
      <c r="FW131" s="1078">
        <f>IF(FU131=0,0,(FV131-FU131)/FU131*100)</f>
        <v>0</v>
      </c>
      <c r="FX131" s="676"/>
      <c r="FY131" s="676"/>
      <c r="FZ131" s="1039" t="s">
        <v>1565</v>
      </c>
      <c r="GA131" s="998" t="s">
        <v>813</v>
      </c>
      <c r="GB131" s="998" cm="1" t="str">
        <f t="array" ref="GB131:GB131">GB130</f>
        <v>0</v>
      </c>
      <c r="GC131" s="697"/>
      <c r="GD131" s="697"/>
    </row>
    <row s="1621" customFormat="1" customHeight="1" ht="14.25" hidden="1">
      <c r="A132" s="467"/>
      <c r="B132" s="907" cm="1" t="str">
        <f t="array" ref="B132:B132">B131</f>
        <v>false</v>
      </c>
      <c r="C132" s="467"/>
      <c r="D132" s="467"/>
      <c r="E132" s="822">
        <v>15</v>
      </c>
      <c r="F132" s="50" cm="1" t="str">
        <f t="array" ref="F132:F132">OFFSET(E132,-1,1)</f>
        <v>1</v>
      </c>
      <c r="G132" s="467"/>
      <c r="H132" s="467"/>
      <c r="I132" s="64" t="s">
        <v>1566</v>
      </c>
      <c r="J132" s="467"/>
      <c r="K132" s="467"/>
      <c r="L132" s="467"/>
      <c r="M132" s="467"/>
      <c r="N132" s="467"/>
      <c r="O132" s="467"/>
      <c r="P132" s="467"/>
      <c r="Q132" s="467"/>
      <c r="R132" s="467"/>
      <c r="S132" s="467"/>
      <c r="T132" s="439">
        <f>F132&gt;0</f>
        <v>1</v>
      </c>
      <c r="U132" s="467"/>
      <c r="V132" s="676"/>
      <c r="W132" s="738" t="s">
        <v>1524</v>
      </c>
      <c r="X132" s="1534"/>
      <c r="Y132" s="676"/>
      <c r="Z132" s="1464"/>
      <c r="AA132" s="676"/>
      <c r="AB132" s="227" t="s">
        <v>177</v>
      </c>
      <c r="AC132" s="231"/>
      <c r="AD132" s="1083"/>
      <c r="AE132" s="1083"/>
      <c r="AF132" s="1083"/>
      <c r="AG132" s="1083"/>
      <c r="AH132" s="1083"/>
      <c r="AI132" s="1083"/>
      <c r="AJ132" s="1083"/>
      <c r="AK132" s="1083"/>
      <c r="AL132" s="1083"/>
      <c r="AM132" s="1083"/>
      <c r="AN132" s="1083"/>
      <c r="AO132" s="1083"/>
      <c r="AP132" s="1083"/>
      <c r="AQ132" s="1083"/>
      <c r="AR132" s="1083"/>
      <c r="AS132" s="1083"/>
      <c r="AT132" s="1083"/>
      <c r="AU132" s="1083"/>
      <c r="AV132" s="1083"/>
      <c r="AW132" s="1083"/>
      <c r="AX132" s="1083"/>
      <c r="AY132" s="1083"/>
      <c r="AZ132" s="1083"/>
      <c r="BA132" s="1083"/>
      <c r="BB132" s="1083"/>
      <c r="BC132" s="1083"/>
      <c r="BD132" s="1083"/>
      <c r="BE132" s="1083"/>
      <c r="BF132" s="1083"/>
      <c r="BG132" s="1083"/>
      <c r="BH132" s="1083"/>
      <c r="BI132" s="1083"/>
      <c r="BJ132" s="1083"/>
      <c r="BK132" s="1083"/>
      <c r="BL132" s="1083"/>
      <c r="BM132" s="1083"/>
      <c r="BN132" s="1083"/>
      <c r="BO132" s="1083"/>
      <c r="BP132" s="1083"/>
      <c r="BQ132" s="1083"/>
      <c r="BR132" s="1083"/>
      <c r="BS132" s="1083"/>
      <c r="BT132" s="1083"/>
      <c r="BU132" s="1083"/>
      <c r="BV132" s="1083"/>
      <c r="BW132" s="1083"/>
      <c r="BX132" s="1083"/>
      <c r="BY132" s="1083"/>
      <c r="BZ132" s="1083"/>
      <c r="CA132" s="1083"/>
      <c r="CB132" s="1083"/>
      <c r="CC132" s="1083"/>
      <c r="CD132" s="1083"/>
      <c r="CE132" s="1083"/>
      <c r="CF132" s="1083"/>
      <c r="CG132" s="1083"/>
      <c r="CH132" s="1083"/>
      <c r="CI132" s="1083"/>
      <c r="CJ132" s="1083"/>
      <c r="CK132" s="1083"/>
      <c r="CL132" s="1083"/>
      <c r="CM132" s="1083"/>
      <c r="CN132" s="1083"/>
      <c r="CO132" s="1083"/>
      <c r="CP132" s="1083"/>
      <c r="CQ132" s="1083"/>
      <c r="CR132" s="1083"/>
      <c r="CS132" s="1083"/>
      <c r="CT132" s="1083"/>
      <c r="CU132" s="1083"/>
      <c r="CV132" s="1083"/>
      <c r="CW132" s="1083"/>
      <c r="CX132" s="1083"/>
      <c r="CY132" s="1083"/>
      <c r="CZ132" s="1083"/>
      <c r="DA132" s="1083"/>
      <c r="DB132" s="1083"/>
      <c r="DC132" s="1083"/>
      <c r="DD132" s="1083"/>
      <c r="DE132" s="1083"/>
      <c r="DF132" s="1083"/>
      <c r="DG132" s="1083"/>
      <c r="DH132" s="1083"/>
      <c r="DI132" s="1083"/>
      <c r="DJ132" s="1083"/>
      <c r="DK132" s="1083"/>
      <c r="DL132" s="1083"/>
      <c r="DM132" s="1083"/>
      <c r="DN132" s="1083"/>
      <c r="DO132" s="1083"/>
      <c r="DP132" s="1083"/>
      <c r="DQ132" s="1083"/>
      <c r="DR132" s="1083"/>
      <c r="DS132" s="1083"/>
      <c r="DT132" s="1083"/>
      <c r="DU132" s="1083"/>
      <c r="DV132" s="1083"/>
      <c r="DW132" s="1083"/>
      <c r="DX132" s="1083"/>
      <c r="DY132" s="1083"/>
      <c r="DZ132" s="1083"/>
      <c r="EA132" s="1083"/>
      <c r="EB132" s="1083"/>
      <c r="EC132" s="1083"/>
      <c r="ED132" s="1083"/>
      <c r="EE132" s="1083"/>
      <c r="EF132" s="1083"/>
      <c r="EG132" s="1083"/>
      <c r="EH132" s="1083"/>
      <c r="EI132" s="1083"/>
      <c r="EJ132" s="1083"/>
      <c r="EK132" s="1083"/>
      <c r="EL132" s="1083"/>
      <c r="EM132" s="1083"/>
      <c r="EN132" s="1083"/>
      <c r="EO132" s="1083"/>
      <c r="EP132" s="1083"/>
      <c r="EQ132" s="1083"/>
      <c r="ER132" s="1083"/>
      <c r="ES132" s="1083"/>
      <c r="ET132" s="1083"/>
      <c r="EU132" s="1083"/>
      <c r="EV132" s="1083"/>
      <c r="EW132" s="1083"/>
      <c r="EX132" s="1083"/>
      <c r="EY132" s="1083"/>
      <c r="EZ132" s="1083"/>
      <c r="FA132" s="1083"/>
      <c r="FB132" s="1083"/>
      <c r="FC132" s="1083"/>
      <c r="FD132" s="1083"/>
      <c r="FE132" s="1083"/>
      <c r="FF132" s="1083"/>
      <c r="FG132" s="1083"/>
      <c r="FH132" s="1083"/>
      <c r="FI132" s="1083"/>
      <c r="FJ132" s="1083"/>
      <c r="FK132" s="1083"/>
      <c r="FL132" s="1083"/>
      <c r="FM132" s="1083"/>
      <c r="FN132" s="1083"/>
      <c r="FO132" s="1083"/>
      <c r="FP132" s="1083"/>
      <c r="FQ132" s="1083"/>
      <c r="FR132" s="1083"/>
      <c r="FS132" s="1083"/>
      <c r="FT132" s="1083"/>
      <c r="FU132" s="1083"/>
      <c r="FV132" s="1083"/>
      <c r="FW132" s="1084"/>
      <c r="FX132" s="676"/>
      <c r="FY132" s="676"/>
      <c r="FZ132" s="1039" t="s">
        <v>222</v>
      </c>
      <c r="GA132" s="1061"/>
      <c r="GB132" s="1061"/>
      <c r="GC132" s="611" t="s">
        <v>813</v>
      </c>
      <c r="GD132" s="697"/>
    </row>
    <row s="1621" customFormat="1" customHeight="1" ht="11.25" hidden="1">
      <c r="A133" s="456"/>
      <c r="B133" s="907"/>
      <c r="C133" s="456"/>
      <c r="D133" s="456"/>
      <c r="E133" s="848">
        <v>0</v>
      </c>
      <c r="F133" s="1202" cm="1" t="str">
        <f t="array" ref="F133:F133">OFFSET(E133,-1,1)</f>
        <v>1</v>
      </c>
      <c r="G133" s="456"/>
      <c r="H133" s="456"/>
      <c r="I133" s="456"/>
      <c r="J133" s="456"/>
      <c r="K133" s="456"/>
      <c r="L133" s="456"/>
      <c r="M133" s="456"/>
      <c r="N133" s="456"/>
      <c r="O133" s="456"/>
      <c r="P133" s="456"/>
      <c r="Q133" s="456"/>
      <c r="R133" s="456"/>
      <c r="S133" s="456"/>
      <c r="T133" s="439" t="b">
        <v>0</v>
      </c>
      <c r="U133" s="456"/>
      <c r="V133" s="456"/>
      <c r="W133" s="456"/>
      <c r="X133" s="1534"/>
      <c r="Y133" s="456"/>
      <c r="Z133" s="1464"/>
      <c r="AA133" s="456"/>
      <c r="AB133" s="0"/>
      <c r="AC133" s="456"/>
      <c r="AD133" s="1093"/>
      <c r="AE133" s="1093"/>
      <c r="AF133" s="1093"/>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1621"/>
      <c r="FY133" s="1621"/>
      <c r="FZ133" s="1039" t="s">
        <v>222</v>
      </c>
      <c r="GA133" s="1002"/>
      <c r="GB133" s="1042"/>
      <c r="GC133" s="666"/>
      <c r="GD133" s="666"/>
    </row>
    <row s="3748" customFormat="1" customHeight="1" ht="23.25" hidden="1">
      <c r="A134" s="879"/>
      <c r="B134" s="907" cm="1" t="str">
        <f t="array" ref="B134:B134">S85</f>
        <v>false</v>
      </c>
      <c r="C134" s="879"/>
      <c r="D134" s="879"/>
      <c r="E134" s="822">
        <v>24.5</v>
      </c>
      <c r="F134" s="50" cm="1" t="str">
        <f t="array" ref="F134:F134">OFFSET(E134,-1,1)</f>
        <v>1</v>
      </c>
      <c r="G134" s="73" t="s">
        <v>1491</v>
      </c>
      <c r="H134" s="467" t="s">
        <v>441</v>
      </c>
      <c r="I134" s="467" t="s">
        <v>1567</v>
      </c>
      <c r="J134" s="879"/>
      <c r="K134" s="879"/>
      <c r="L134" s="879"/>
      <c r="M134" s="879"/>
      <c r="N134" s="879"/>
      <c r="O134" s="879"/>
      <c r="P134" s="879"/>
      <c r="Q134" s="879"/>
      <c r="R134" s="879"/>
      <c r="S134" s="467"/>
      <c r="T134" s="439" cm="1" t="str">
        <f t="array" ref="T134:T134">T132</f>
        <v>true</v>
      </c>
      <c r="U134" s="879"/>
      <c r="V134" s="879"/>
      <c r="W134" s="879"/>
      <c r="X134" s="1534"/>
      <c r="Y134" s="879"/>
      <c r="Z134" s="1464"/>
      <c r="AA134" s="879"/>
      <c r="AB134" s="186" t="s">
        <v>1568</v>
      </c>
      <c r="AC134" s="201" t="s">
        <v>1494</v>
      </c>
      <c r="AD134" s="3429">
        <f>IF(AND(method_reg="Метод индексации",god&lt;&gt;first_year),_xlfn.SUMIFS(INDEX('Калькуляция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(МИ)'!$AJ$25:$BC$459,,MATCH(AD$8,'Калькуляция (МИ)'!$AJ$8:$BC$8,0)),'Калькуляция (МИ)'!$F$25:$F$459,$F134,'Калькуляция (МИ)'!$G$25:$G$459,$G134))))</f>
        <v>50.56</v>
      </c>
      <c r="AE134" s="3429">
        <f>IF(AND(method_reg="Метод индексации",god&lt;&gt;first_year),_xlfn.SUMIFS(INDEX('Калькуляция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(МИ)'!$AJ$25:$BC$459,,MATCH(AE$8,'Калькуляция (МИ)'!$AJ$8:$BC$8,0)),'Калькуляция (МИ)'!$F$25:$F$459,$F134,'Калькуляция (МИ)'!$G$25:$G$459,$G134))))</f>
        <v>41.52</v>
      </c>
      <c r="AF134" s="263">
        <f>IF(AD134=0,0,(AE134-AD134)/AD134*100)</f>
        <v>-17.879746835443</v>
      </c>
      <c r="AG134" s="3429">
        <f>IF(AND(method_reg="Метод индексации",god&lt;&gt;first_year),_xlfn.SUMIFS(INDEX('Калькуляция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(МИ)'!$AJ$25:$BC$459,,MATCH(AG$8,'Калькуляция (МИ)'!$AJ$8:$BC$8,0)),'Калькуляция (МИ)'!$F$25:$F$459,$F134,'Калькуляция (МИ)'!$G$25:$G$459,$G134))))</f>
        <v>0</v>
      </c>
      <c r="AH134" s="3429">
        <f>IF(AND(method_reg="Метод индексации",god&lt;&gt;first_year),_xlfn.SUMIFS(INDEX('Калькуляция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(МИ)'!$AJ$25:$BC$459,,MATCH(AH$8,'Калькуляция (МИ)'!$AJ$8:$BC$8,0)),'Калькуляция (МИ)'!$F$25:$F$459,$F134,'Калькуляция (МИ)'!$G$25:$G$459,$G134))))</f>
        <v>45.67</v>
      </c>
      <c r="AI134" s="263">
        <f>IF(AG134=0,0,(AH134-AG134)/AG134*100)</f>
        <v>0</v>
      </c>
      <c r="AJ134" s="3429">
        <f>IF(AND(method_reg="Метод индексации",god&lt;&gt;first_year),_xlfn.SUMIFS(INDEX('Калькуляция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(МИ)'!$AJ$25:$BC$459,,MATCH(AJ$8,'Калькуляция (МИ)'!$AJ$8:$BC$8,0)),'Калькуляция (МИ)'!$F$25:$F$459,$F134,'Калькуляция (МИ)'!$G$25:$G$459,$G134))))</f>
        <v>0</v>
      </c>
      <c r="AK134" s="3429">
        <f>IF(AND(method_reg="Метод индексации",god&lt;&gt;first_year),_xlfn.SUMIFS(INDEX('Калькуляция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(МИ)'!$AJ$25:$BC$459,,MATCH(AK$8,'Калькуляция (МИ)'!$AJ$8:$BC$8,0)),'Калькуляция (МИ)'!$F$25:$F$459,$F134,'Калькуляция (МИ)'!$G$25:$G$459,$G134))))</f>
        <v>0</v>
      </c>
      <c r="AL134" s="263">
        <f>IF(AJ134=0,0,(AK134-AJ134)/AJ134*100)</f>
        <v>0</v>
      </c>
      <c r="AM134" s="3429">
        <f>IF(AND(method_reg="Метод индексации",god&lt;&gt;first_year),_xlfn.SUMIFS(INDEX('Калькуляция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(МИ)'!$AJ$25:$BC$459,,MATCH(AM$8,'Калькуляция (МИ)'!$AJ$8:$BC$8,0)),'Калькуляция (МИ)'!$F$25:$F$459,$F134,'Калькуляция (МИ)'!$G$25:$G$459,$G134))))</f>
        <v>0</v>
      </c>
      <c r="AN134" s="3429">
        <f>IF(AND(method_reg="Метод индексации",god&lt;&gt;first_year),_xlfn.SUMIFS(INDEX('Калькуляция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(МИ)'!$AJ$25:$BC$459,,MATCH(AN$8,'Калькуляция (МИ)'!$AJ$8:$BC$8,0)),'Калькуляция (МИ)'!$F$25:$F$459,$F134,'Калькуляция (МИ)'!$G$25:$G$459,$G134))))</f>
        <v>0</v>
      </c>
      <c r="AO134" s="263">
        <f>IF(AM134=0,0,(AN134-AM134)/AM134*100)</f>
        <v>0</v>
      </c>
      <c r="AP134" s="3429">
        <f>IF(AND(method_reg="Метод индексации",god&lt;&gt;first_year),_xlfn.SUMIFS(INDEX('Калькуляция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(МИ)'!$AJ$25:$BC$459,,MATCH(AP$8,'Калькуляция (МИ)'!$AJ$8:$BC$8,0)),'Калькуляция (МИ)'!$F$25:$F$459,$F134,'Калькуляция (МИ)'!$G$25:$G$459,$G134))))</f>
        <v>0</v>
      </c>
      <c r="AQ134" s="3429">
        <f>IF(AND(method_reg="Метод индексации",god&lt;&gt;first_year),_xlfn.SUMIFS(INDEX('Калькуляция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(МИ)'!$AJ$25:$BC$459,,MATCH(AQ$8,'Калькуляция (МИ)'!$AJ$8:$BC$8,0)),'Калькуляция (МИ)'!$F$25:$F$459,$F134,'Калькуляция (МИ)'!$G$25:$G$459,$G134))))</f>
        <v>0</v>
      </c>
      <c r="AR134" s="263">
        <f>IF(AP134=0,0,(AQ134-AP134)/AP134*100)</f>
        <v>0</v>
      </c>
      <c r="AS134" s="3429">
        <f>IF(AND(method_reg="Метод индексации",god&lt;&gt;first_year),_xlfn.SUMIFS(INDEX('Калькуляция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(МИ)'!$AJ$25:$BC$459,,MATCH(AS$8,'Калькуляция (МИ)'!$AJ$8:$BC$8,0)),'Калькуляция (МИ)'!$F$25:$F$459,$F134,'Калькуляция (МИ)'!$G$25:$G$459,$G134))))</f>
        <v>0</v>
      </c>
      <c r="AT134" s="3429">
        <f>IF(AND(method_reg="Метод индексации",god&lt;&gt;first_year),_xlfn.SUMIFS(INDEX('Калькуляция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(МИ)'!$AJ$25:$BC$459,,MATCH(AT$8,'Калькуляция (МИ)'!$AJ$8:$BC$8,0)),'Калькуляция (МИ)'!$F$25:$F$459,$F134,'Калькуляция (МИ)'!$G$25:$G$459,$G134))))</f>
        <v>0</v>
      </c>
      <c r="AU134" s="263">
        <f>IF(AS134=0,0,(AT134-AS134)/AS134*100)</f>
        <v>0</v>
      </c>
      <c r="AV134" s="3429">
        <f>IF(AND(method_reg="Метод индексации",god&lt;&gt;first_year),_xlfn.SUMIFS(INDEX('Калькуляция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(МИ)'!$AJ$25:$BC$459,,MATCH(AV$8,'Калькуляция (МИ)'!$AJ$8:$BC$8,0)),'Калькуляция (МИ)'!$F$25:$F$459,$F134,'Калькуляция (МИ)'!$G$25:$G$459,$G134))))</f>
        <v>0</v>
      </c>
      <c r="AW134" s="3429">
        <f>IF(AND(method_reg="Метод индексации",god&lt;&gt;first_year),_xlfn.SUMIFS(INDEX('Калькуляция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(МИ)'!$AJ$25:$BC$459,,MATCH(AW$8,'Калькуляция (МИ)'!$AJ$8:$BC$8,0)),'Калькуляция (МИ)'!$F$25:$F$459,$F134,'Калькуляция (МИ)'!$G$25:$G$459,$G134))))</f>
        <v>0</v>
      </c>
      <c r="AX134" s="263">
        <f>IF(AV134=0,0,(AW134-AV134)/AV134*100)</f>
        <v>0</v>
      </c>
      <c r="AY134" s="3429">
        <f>IF(AND(method_reg="Метод индексации",god&lt;&gt;first_year),_xlfn.SUMIFS(INDEX('Калькуляция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(МИ)'!$AJ$25:$BC$459,,MATCH(AY$8,'Калькуляция (МИ)'!$AJ$8:$BC$8,0)),'Калькуляция (МИ)'!$F$25:$F$459,$F134,'Калькуляция (МИ)'!$G$25:$G$459,$G134))))</f>
        <v>0</v>
      </c>
      <c r="AZ134" s="3429">
        <f>IF(AND(method_reg="Метод индексации",god&lt;&gt;first_year),_xlfn.SUMIFS(INDEX('Калькуляция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(МИ)'!$AJ$25:$BC$459,,MATCH(AZ$8,'Калькуляция (МИ)'!$AJ$8:$BC$8,0)),'Калькуляция (МИ)'!$F$25:$F$459,$F134,'Калькуляция (МИ)'!$G$25:$G$459,$G134))))</f>
        <v>0</v>
      </c>
      <c r="BA134" s="263">
        <f>IF(AY134=0,0,(AZ134-AY134)/AY134*100)</f>
        <v>0</v>
      </c>
      <c r="BB134" s="3429">
        <f>IF(AND(method_reg="Метод индексации",god&lt;&gt;first_year),_xlfn.SUMIFS(INDEX('Калькуляция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(МИ)'!$AJ$25:$BC$459,,MATCH(BB$8,'Калькуляция (МИ)'!$AJ$8:$BC$8,0)),'Калькуляция (МИ)'!$F$25:$F$459,$F134,'Калькуляция (МИ)'!$G$25:$G$459,$G134))))</f>
        <v>0</v>
      </c>
      <c r="BC134" s="3429">
        <f>IF(AND(method_reg="Метод индексации",god&lt;&gt;first_year),_xlfn.SUMIFS(INDEX('Калькуляция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(МИ)'!$AJ$25:$BC$459,,MATCH(BC$8,'Калькуляция (МИ)'!$AJ$8:$BC$8,0)),'Калькуляция (МИ)'!$F$25:$F$459,$F134,'Калькуляция (МИ)'!$G$25:$G$459,$G134))))</f>
        <v>0</v>
      </c>
      <c r="BD134" s="263">
        <f>IF(BB134=0,0,(BC134-BB134)/BB134*100)</f>
        <v>0</v>
      </c>
      <c r="BE134" s="3429">
        <f>IF(AND(method_reg="Метод индексации",god&lt;&gt;first_year),_xlfn.SUMIFS(INDEX('Калькуляция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расходов",_xlfn.SUMIFS('Калькуляция (МЭОР)'!$AJ$25:$AJ$282,'Калькуляция (МЭОР)'!$F$25:$F$282,$F134,'Калькуляция (МЭОР)'!$G$25:$G$282,$G134),IF(method_reg="Метод сравнения аналогов",_xlfn.SUMIFS('Калькуляция (МСА)'!$AE$25:$AE$84,'Калькуляция (МСА)'!$F$25:$F$84,$F134,'Калькуляция (МСА)'!$G$25:$G$84,$G134),_xlfn.SUMIFS(INDEX('Калькуляция (МИ)'!$AJ$25:$BC$459,,MATCH(BE$8,'Калькуляция (МИ)'!$AJ$8:$BC$8,0)),'Калькуляция (МИ)'!$F$25:$F$459,$F134,'Калькуляция (МИ)'!$G$25:$G$459,$G134))))</f>
        <v>0</v>
      </c>
      <c r="BF134" s="3429">
        <f>IF(AND(method_reg="Метод индексации",god&lt;&gt;first_year),_xlfn.SUMIFS(INDEX('Калькуляция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расходов",_xlfn.SUMIFS('Калькуляция (МЭОР)'!$AK$25:$AK$282,'Калькуляция (МЭОР)'!$F$25:$F$282,$F134,'Калькуляция (МЭОР)'!$G$25:$G$282,$G134),IF(method_reg="Метод сравнения аналогов",_xlfn.SUMIFS('Калькуляция (МСА)'!$AF$25:$AF$84,'Калькуляция (МСА)'!$F$25:$F$84,$F134,'Калькуляция (МСА)'!$G$25:$G$84,$G134),_xlfn.SUMIFS(INDEX('Калькуляция (МИ)'!$AJ$25:$BC$459,,MATCH(BF$8,'Калькуляция (МИ)'!$AJ$8:$BC$8,0)),'Калькуляция (МИ)'!$F$25:$F$459,$F134,'Калькуляция (МИ)'!$G$25:$G$459,$G134))))</f>
        <v>0</v>
      </c>
      <c r="BG134" s="263">
        <f>IF(BE134=0,0,(BF134-BE134)/BE134*100)</f>
        <v>0</v>
      </c>
      <c r="BH134" s="3429"/>
      <c r="BI134" s="3429"/>
      <c r="BJ134" s="263">
        <f>IF(BH134=0,0,(BI134-BH134)/BH134*100)</f>
        <v>0</v>
      </c>
      <c r="BK134" s="3429"/>
      <c r="BL134" s="3429"/>
      <c r="BM134" s="263">
        <f>IF(BK134=0,0,(BL134-BK134)/BK134*100)</f>
        <v>0</v>
      </c>
      <c r="BN134" s="3429"/>
      <c r="BO134" s="3429"/>
      <c r="BP134" s="263">
        <f>IF(BN134=0,0,(BO134-BN134)/BN134*100)</f>
        <v>0</v>
      </c>
      <c r="BQ134" s="3429"/>
      <c r="BR134" s="3429"/>
      <c r="BS134" s="263">
        <f>IF(BQ134=0,0,(BR134-BQ134)/BQ134*100)</f>
        <v>0</v>
      </c>
      <c r="BT134" s="3429"/>
      <c r="BU134" s="3429"/>
      <c r="BV134" s="263">
        <f>IF(BT134=0,0,(BU134-BT134)/BT134*100)</f>
        <v>0</v>
      </c>
      <c r="BW134" s="3429"/>
      <c r="BX134" s="3429"/>
      <c r="BY134" s="263">
        <f>IF(BW134=0,0,(BX134-BW134)/BW134*100)</f>
        <v>0</v>
      </c>
      <c r="BZ134" s="3429"/>
      <c r="CA134" s="3429"/>
      <c r="CB134" s="263">
        <f>IF(BZ134=0,0,(CA134-BZ134)/BZ134*100)</f>
        <v>0</v>
      </c>
      <c r="CC134" s="3429"/>
      <c r="CD134" s="3429"/>
      <c r="CE134" s="263">
        <f>IF(CC134=0,0,(CD134-CC134)/CC134*100)</f>
        <v>0</v>
      </c>
      <c r="CF134" s="3429"/>
      <c r="CG134" s="3429"/>
      <c r="CH134" s="263">
        <f>IF(CF134=0,0,(CG134-CF134)/CF134*100)</f>
        <v>0</v>
      </c>
      <c r="CI134" s="3429"/>
      <c r="CJ134" s="3429"/>
      <c r="CK134" s="263">
        <f>IF(CI134=0,0,(CJ134-CI134)/CI134*100)</f>
        <v>0</v>
      </c>
      <c r="CL134" s="3429"/>
      <c r="CM134" s="3429"/>
      <c r="CN134" s="263">
        <f>IF(CL134=0,0,(CM134-CL134)/CL134*100)</f>
        <v>0</v>
      </c>
      <c r="CO134" s="3429"/>
      <c r="CP134" s="3429"/>
      <c r="CQ134" s="263">
        <f>IF(CO134=0,0,(CP134-CO134)/CO134*100)</f>
        <v>0</v>
      </c>
      <c r="CR134" s="3429"/>
      <c r="CS134" s="3429"/>
      <c r="CT134" s="263">
        <f>IF(CR134=0,0,(CS134-CR134)/CR134*100)</f>
        <v>0</v>
      </c>
      <c r="CU134" s="3429"/>
      <c r="CV134" s="3429"/>
      <c r="CW134" s="263">
        <f>IF(CU134=0,0,(CV134-CU134)/CU134*100)</f>
        <v>0</v>
      </c>
      <c r="CX134" s="3429"/>
      <c r="CY134" s="3429"/>
      <c r="CZ134" s="263">
        <f>IF(CX134=0,0,(CY134-CX134)/CX134*100)</f>
        <v>0</v>
      </c>
      <c r="DA134" s="3429"/>
      <c r="DB134" s="3429"/>
      <c r="DC134" s="263">
        <f>IF(DA134=0,0,(DB134-DA134)/DA134*100)</f>
        <v>0</v>
      </c>
      <c r="DD134" s="3429"/>
      <c r="DE134" s="3429"/>
      <c r="DF134" s="263">
        <f>IF(DD134=0,0,(DE134-DD134)/DD134*100)</f>
        <v>0</v>
      </c>
      <c r="DG134" s="3429"/>
      <c r="DH134" s="3429"/>
      <c r="DI134" s="263">
        <f>IF(DG134=0,0,(DH134-DG134)/DG134*100)</f>
        <v>0</v>
      </c>
      <c r="DJ134" s="3429"/>
      <c r="DK134" s="3429"/>
      <c r="DL134" s="263">
        <f>IF(DJ134=0,0,(DK134-DJ134)/DJ134*100)</f>
        <v>0</v>
      </c>
      <c r="DM134" s="3429"/>
      <c r="DN134" s="3429"/>
      <c r="DO134" s="263">
        <f>IF(DM134=0,0,(DN134-DM134)/DM134*100)</f>
        <v>0</v>
      </c>
      <c r="DP134" s="3429"/>
      <c r="DQ134" s="3429"/>
      <c r="DR134" s="263">
        <f>IF(DP134=0,0,(DQ134-DP134)/DP134*100)</f>
        <v>0</v>
      </c>
      <c r="DS134" s="3429"/>
      <c r="DT134" s="3429"/>
      <c r="DU134" s="263">
        <f>IF(DS134=0,0,(DT134-DS134)/DS134*100)</f>
        <v>0</v>
      </c>
      <c r="DV134" s="3429"/>
      <c r="DW134" s="3429"/>
      <c r="DX134" s="263">
        <f>IF(DV134=0,0,(DW134-DV134)/DV134*100)</f>
        <v>0</v>
      </c>
      <c r="DY134" s="3429"/>
      <c r="DZ134" s="3429"/>
      <c r="EA134" s="263">
        <f>IF(DY134=0,0,(DZ134-DY134)/DY134*100)</f>
        <v>0</v>
      </c>
      <c r="EB134" s="3429"/>
      <c r="EC134" s="3429"/>
      <c r="ED134" s="263">
        <f>IF(EB134=0,0,(EC134-EB134)/EB134*100)</f>
        <v>0</v>
      </c>
      <c r="EE134" s="3429"/>
      <c r="EF134" s="3429"/>
      <c r="EG134" s="263">
        <f>IF(EE134=0,0,(EF134-EE134)/EE134*100)</f>
        <v>0</v>
      </c>
      <c r="EH134" s="3429"/>
      <c r="EI134" s="3429"/>
      <c r="EJ134" s="263">
        <f>IF(EH134=0,0,(EI134-EH134)/EH134*100)</f>
        <v>0</v>
      </c>
      <c r="EK134" s="3429"/>
      <c r="EL134" s="3429"/>
      <c r="EM134" s="263">
        <f>IF(EK134=0,0,(EL134-EK134)/EK134*100)</f>
        <v>0</v>
      </c>
      <c r="EN134" s="3429"/>
      <c r="EO134" s="3429"/>
      <c r="EP134" s="263">
        <f>IF(EN134=0,0,(EO134-EN134)/EN134*100)</f>
        <v>0</v>
      </c>
      <c r="EQ134" s="3429"/>
      <c r="ER134" s="3429"/>
      <c r="ES134" s="263">
        <f>IF(EQ134=0,0,(ER134-EQ134)/EQ134*100)</f>
        <v>0</v>
      </c>
      <c r="ET134" s="3429"/>
      <c r="EU134" s="3429"/>
      <c r="EV134" s="263">
        <f>IF(ET134=0,0,(EU134-ET134)/ET134*100)</f>
        <v>0</v>
      </c>
      <c r="EW134" s="3429"/>
      <c r="EX134" s="3429"/>
      <c r="EY134" s="263">
        <f>IF(EW134=0,0,(EX134-EW134)/EW134*100)</f>
        <v>0</v>
      </c>
      <c r="EZ134" s="3429"/>
      <c r="FA134" s="3429"/>
      <c r="FB134" s="263">
        <f>IF(EZ134=0,0,(FA134-EZ134)/EZ134*100)</f>
        <v>0</v>
      </c>
      <c r="FC134" s="3429"/>
      <c r="FD134" s="3429"/>
      <c r="FE134" s="263">
        <f>IF(FC134=0,0,(FD134-FC134)/FC134*100)</f>
        <v>0</v>
      </c>
      <c r="FF134" s="3429"/>
      <c r="FG134" s="3429"/>
      <c r="FH134" s="263">
        <f>IF(FF134=0,0,(FG134-FF134)/FF134*100)</f>
        <v>0</v>
      </c>
      <c r="FI134" s="3429"/>
      <c r="FJ134" s="3429"/>
      <c r="FK134" s="263">
        <f>IF(FI134=0,0,(FJ134-FI134)/FI134*100)</f>
        <v>0</v>
      </c>
      <c r="FL134" s="3429"/>
      <c r="FM134" s="3429"/>
      <c r="FN134" s="263">
        <f>IF(FL134=0,0,(FM134-FL134)/FL134*100)</f>
        <v>0</v>
      </c>
      <c r="FO134" s="3429"/>
      <c r="FP134" s="3429"/>
      <c r="FQ134" s="263">
        <f>IF(FO134=0,0,(FP134-FO134)/FO134*100)</f>
        <v>0</v>
      </c>
      <c r="FR134" s="3429"/>
      <c r="FS134" s="3429"/>
      <c r="FT134" s="263">
        <f>IF(FR134=0,0,(FS134-FR134)/FR134*100)</f>
        <v>0</v>
      </c>
      <c r="FU134" s="3429"/>
      <c r="FV134" s="3429"/>
      <c r="FW134" s="263">
        <f>IF(FU134=0,0,(FV134-FU134)/FU134*100)</f>
        <v>0</v>
      </c>
      <c r="FX134" s="259"/>
      <c r="FY134" s="259"/>
      <c r="FZ134" s="1039" t="s">
        <v>1569</v>
      </c>
      <c r="GA134" s="1039"/>
      <c r="GB134" s="1039"/>
      <c r="GC134" s="1040"/>
      <c r="GD134" s="1040"/>
    </row>
    <row s="3749" customFormat="1" customHeight="1" ht="23.25" hidden="1">
      <c r="A135" s="879"/>
      <c r="B135" s="907" cm="1" t="str">
        <f t="array" ref="B135:B135">B134</f>
        <v>false</v>
      </c>
      <c r="C135" s="879"/>
      <c r="D135" s="879"/>
      <c r="E135" s="822">
        <v>24.5</v>
      </c>
      <c r="F135" s="50" cm="1" t="str">
        <f t="array" ref="F135:F135">OFFSET(E135,-1,1)</f>
        <v>1</v>
      </c>
      <c r="G135" s="73" t="s">
        <v>1496</v>
      </c>
      <c r="H135" s="467" t="s">
        <v>441</v>
      </c>
      <c r="I135" s="467" t="s">
        <v>1570</v>
      </c>
      <c r="J135" s="879"/>
      <c r="K135" s="879"/>
      <c r="L135" s="879"/>
      <c r="M135" s="879"/>
      <c r="N135" s="879"/>
      <c r="O135" s="879"/>
      <c r="P135" s="879"/>
      <c r="Q135" s="879"/>
      <c r="R135" s="879"/>
      <c r="S135" s="467"/>
      <c r="T135" s="439" cm="1" t="str">
        <f t="array" ref="T135:T135">T134</f>
        <v>true</v>
      </c>
      <c r="U135" s="879"/>
      <c r="V135" s="879"/>
      <c r="W135" s="879"/>
      <c r="X135" s="1534"/>
      <c r="Y135" s="879"/>
      <c r="Z135" s="1464"/>
      <c r="AA135" s="879"/>
      <c r="AB135" s="186" t="s">
        <v>1571</v>
      </c>
      <c r="AC135" s="201" t="s">
        <v>1494</v>
      </c>
      <c r="AD135" s="3429">
        <f>IF(AND(method_reg="Метод индексации",god&lt;&gt;first_year),_xlfn.SUMIFS(INDEX('Калькуляция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(МИ)'!$AJ$25:$BC$459,,MATCH(AD$8,'Калькуляция (МИ)'!$AJ$8:$BC$8,0)),'Калькуляция (МИ)'!$F$25:$F$459,$F135,'Калькуляция (МИ)'!$G$25:$G$459,$G135))))</f>
        <v>50.5608898213</v>
      </c>
      <c r="AE135" s="3429">
        <f>IF(AND(method_reg="Метод индексации",god&lt;&gt;first_year),_xlfn.SUMIFS(INDEX('Калькуляция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(МИ)'!$AJ$25:$BC$459,,MATCH(AE$8,'Калькуляция (МИ)'!$AJ$8:$BC$8,0)),'Калькуляция (МИ)'!$F$25:$F$459,$F135,'Калькуляция (МИ)'!$G$25:$G$459,$G135))))</f>
        <v>45.67</v>
      </c>
      <c r="AF135" s="263">
        <f>IF(AD135=0,0,(AE135-AD135)/AD135*100)</f>
        <v>-9.67326690369993</v>
      </c>
      <c r="AG135" s="3429">
        <f>IF(AND(method_reg="Метод индексации",god&lt;&gt;first_year),_xlfn.SUMIFS(INDEX('Калькуляция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(МИ)'!$AJ$25:$BC$459,,MATCH(AG$8,'Калькуляция (МИ)'!$AJ$8:$BC$8,0)),'Калькуляция (МИ)'!$F$25:$F$459,$F135,'Калькуляция (МИ)'!$G$25:$G$459,$G135))))</f>
        <v>0</v>
      </c>
      <c r="AH135" s="3429">
        <f>IF(AND(method_reg="Метод индексации",god&lt;&gt;first_year),_xlfn.SUMIFS(INDEX('Калькуляция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(МИ)'!$AJ$25:$BC$459,,MATCH(AH$8,'Калькуляция (МИ)'!$AJ$8:$BC$8,0)),'Калькуляция (МИ)'!$F$25:$F$459,$F135,'Калькуляция (МИ)'!$G$25:$G$459,$G135))))</f>
        <v>0</v>
      </c>
      <c r="AI135" s="263">
        <f>IF(AG135=0,0,(AH135-AG135)/AG135*100)</f>
        <v>0</v>
      </c>
      <c r="AJ135" s="3429">
        <f>IF(AND(method_reg="Метод индексации",god&lt;&gt;first_year),_xlfn.SUMIFS(INDEX('Калькуляция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(МИ)'!$AJ$25:$BC$459,,MATCH(AJ$8,'Калькуляция (МИ)'!$AJ$8:$BC$8,0)),'Калькуляция (МИ)'!$F$25:$F$459,$F135,'Калькуляция (МИ)'!$G$25:$G$459,$G135))))</f>
        <v>0</v>
      </c>
      <c r="AK135" s="3429">
        <f>IF(AND(method_reg="Метод индексации",god&lt;&gt;first_year),_xlfn.SUMIFS(INDEX('Калькуляция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(МИ)'!$AJ$25:$BC$459,,MATCH(AK$8,'Калькуляция (МИ)'!$AJ$8:$BC$8,0)),'Калькуляция (МИ)'!$F$25:$F$459,$F135,'Калькуляция (МИ)'!$G$25:$G$459,$G135))))</f>
        <v>0</v>
      </c>
      <c r="AL135" s="263">
        <f>IF(AJ135=0,0,(AK135-AJ135)/AJ135*100)</f>
        <v>0</v>
      </c>
      <c r="AM135" s="3429">
        <f>IF(AND(method_reg="Метод индексации",god&lt;&gt;first_year),_xlfn.SUMIFS(INDEX('Калькуляция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(МИ)'!$AJ$25:$BC$459,,MATCH(AM$8,'Калькуляция (МИ)'!$AJ$8:$BC$8,0)),'Калькуляция (МИ)'!$F$25:$F$459,$F135,'Калькуляция (МИ)'!$G$25:$G$459,$G135))))</f>
        <v>0</v>
      </c>
      <c r="AN135" s="3429">
        <f>IF(AND(method_reg="Метод индексации",god&lt;&gt;first_year),_xlfn.SUMIFS(INDEX('Калькуляция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(МИ)'!$AJ$25:$BC$459,,MATCH(AN$8,'Калькуляция (МИ)'!$AJ$8:$BC$8,0)),'Калькуляция (МИ)'!$F$25:$F$459,$F135,'Калькуляция (МИ)'!$G$25:$G$459,$G135))))</f>
        <v>0</v>
      </c>
      <c r="AO135" s="263">
        <f>IF(AM135=0,0,(AN135-AM135)/AM135*100)</f>
        <v>0</v>
      </c>
      <c r="AP135" s="3429">
        <f>IF(AND(method_reg="Метод индексации",god&lt;&gt;first_year),_xlfn.SUMIFS(INDEX('Калькуляция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(МИ)'!$AJ$25:$BC$459,,MATCH(AP$8,'Калькуляция (МИ)'!$AJ$8:$BC$8,0)),'Калькуляция (МИ)'!$F$25:$F$459,$F135,'Калькуляция (МИ)'!$G$25:$G$459,$G135))))</f>
        <v>0</v>
      </c>
      <c r="AQ135" s="3429">
        <f>IF(AND(method_reg="Метод индексации",god&lt;&gt;first_year),_xlfn.SUMIFS(INDEX('Калькуляция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(МИ)'!$AJ$25:$BC$459,,MATCH(AQ$8,'Калькуляция (МИ)'!$AJ$8:$BC$8,0)),'Калькуляция (МИ)'!$F$25:$F$459,$F135,'Калькуляция (МИ)'!$G$25:$G$459,$G135))))</f>
        <v>0</v>
      </c>
      <c r="AR135" s="263">
        <f>IF(AP135=0,0,(AQ135-AP135)/AP135*100)</f>
        <v>0</v>
      </c>
      <c r="AS135" s="3429">
        <f>IF(AND(method_reg="Метод индексации",god&lt;&gt;first_year),_xlfn.SUMIFS(INDEX('Калькуляция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(МИ)'!$AJ$25:$BC$459,,MATCH(AS$8,'Калькуляция (МИ)'!$AJ$8:$BC$8,0)),'Калькуляция (МИ)'!$F$25:$F$459,$F135,'Калькуляция (МИ)'!$G$25:$G$459,$G135))))</f>
        <v>0</v>
      </c>
      <c r="AT135" s="3429">
        <f>IF(AND(method_reg="Метод индексации",god&lt;&gt;first_year),_xlfn.SUMIFS(INDEX('Калькуляция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(МИ)'!$AJ$25:$BC$459,,MATCH(AT$8,'Калькуляция (МИ)'!$AJ$8:$BC$8,0)),'Калькуляция (МИ)'!$F$25:$F$459,$F135,'Калькуляция (МИ)'!$G$25:$G$459,$G135))))</f>
        <v>0</v>
      </c>
      <c r="AU135" s="263">
        <f>IF(AS135=0,0,(AT135-AS135)/AS135*100)</f>
        <v>0</v>
      </c>
      <c r="AV135" s="3429">
        <f>IF(AND(method_reg="Метод индексации",god&lt;&gt;first_year),_xlfn.SUMIFS(INDEX('Калькуляция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(МИ)'!$AJ$25:$BC$459,,MATCH(AV$8,'Калькуляция (МИ)'!$AJ$8:$BC$8,0)),'Калькуляция (МИ)'!$F$25:$F$459,$F135,'Калькуляция (МИ)'!$G$25:$G$459,$G135))))</f>
        <v>0</v>
      </c>
      <c r="AW135" s="3429">
        <f>IF(AND(method_reg="Метод индексации",god&lt;&gt;first_year),_xlfn.SUMIFS(INDEX('Калькуляция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(МИ)'!$AJ$25:$BC$459,,MATCH(AW$8,'Калькуляция (МИ)'!$AJ$8:$BC$8,0)),'Калькуляция (МИ)'!$F$25:$F$459,$F135,'Калькуляция (МИ)'!$G$25:$G$459,$G135))))</f>
        <v>0</v>
      </c>
      <c r="AX135" s="263">
        <f>IF(AV135=0,0,(AW135-AV135)/AV135*100)</f>
        <v>0</v>
      </c>
      <c r="AY135" s="3429">
        <f>IF(AND(method_reg="Метод индексации",god&lt;&gt;first_year),_xlfn.SUMIFS(INDEX('Калькуляция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(МИ)'!$AJ$25:$BC$459,,MATCH(AY$8,'Калькуляция (МИ)'!$AJ$8:$BC$8,0)),'Калькуляция (МИ)'!$F$25:$F$459,$F135,'Калькуляция (МИ)'!$G$25:$G$459,$G135))))</f>
        <v>0</v>
      </c>
      <c r="AZ135" s="3429">
        <f>IF(AND(method_reg="Метод индексации",god&lt;&gt;first_year),_xlfn.SUMIFS(INDEX('Калькуляция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(МИ)'!$AJ$25:$BC$459,,MATCH(AZ$8,'Калькуляция (МИ)'!$AJ$8:$BC$8,0)),'Калькуляция (МИ)'!$F$25:$F$459,$F135,'Калькуляция (МИ)'!$G$25:$G$459,$G135))))</f>
        <v>0</v>
      </c>
      <c r="BA135" s="263">
        <f>IF(AY135=0,0,(AZ135-AY135)/AY135*100)</f>
        <v>0</v>
      </c>
      <c r="BB135" s="3429">
        <f>IF(AND(method_reg="Метод индексации",god&lt;&gt;first_year),_xlfn.SUMIFS(INDEX('Калькуляция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(МИ)'!$AJ$25:$BC$459,,MATCH(BB$8,'Калькуляция (МИ)'!$AJ$8:$BC$8,0)),'Калькуляция (МИ)'!$F$25:$F$459,$F135,'Калькуляция (МИ)'!$G$25:$G$459,$G135))))</f>
        <v>0</v>
      </c>
      <c r="BC135" s="3429">
        <f>IF(AND(method_reg="Метод индексации",god&lt;&gt;first_year),_xlfn.SUMIFS(INDEX('Калькуляция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(МИ)'!$AJ$25:$BC$459,,MATCH(BC$8,'Калькуляция (МИ)'!$AJ$8:$BC$8,0)),'Калькуляция (МИ)'!$F$25:$F$459,$F135,'Калькуляция (МИ)'!$G$25:$G$459,$G135))))</f>
        <v>0</v>
      </c>
      <c r="BD135" s="263">
        <f>IF(BB135=0,0,(BC135-BB135)/BB135*100)</f>
        <v>0</v>
      </c>
      <c r="BE135" s="3429">
        <f>IF(AND(method_reg="Метод индексации",god&lt;&gt;first_year),_xlfn.SUMIFS(INDEX('Калькуляция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расходов",_xlfn.SUMIFS('Калькуляция (МЭОР)'!$AJ$25:$AJ$282,'Калькуляция (МЭОР)'!$F$25:$F$282,$F135,'Калькуляция (МЭОР)'!$G$25:$G$282,$G135),IF(method_reg="Метод сравнения аналогов",_xlfn.SUMIFS('Калькуляция (МСА)'!$AE$25:$AE$84,'Калькуляция (МСА)'!$F$25:$F$84,$F135,'Калькуляция (МСА)'!$G$25:$G$84,$G135),_xlfn.SUMIFS(INDEX('Калькуляция (МИ)'!$AJ$25:$BC$459,,MATCH(BE$8,'Калькуляция (МИ)'!$AJ$8:$BC$8,0)),'Калькуляция (МИ)'!$F$25:$F$459,$F135,'Калькуляция (МИ)'!$G$25:$G$459,$G135))))</f>
        <v>0</v>
      </c>
      <c r="BF135" s="3429">
        <f>IF(AND(method_reg="Метод индексации",god&lt;&gt;first_year),_xlfn.SUMIFS(INDEX('Калькуляция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расходов",_xlfn.SUMIFS('Калькуляция (МЭОР)'!$AK$25:$AK$282,'Калькуляция (МЭОР)'!$F$25:$F$282,$F135,'Калькуляция (МЭОР)'!$G$25:$G$282,$G135),IF(method_reg="Метод сравнения аналогов",_xlfn.SUMIFS('Калькуляция (МСА)'!$AF$25:$AF$84,'Калькуляция (МСА)'!$F$25:$F$84,$F135,'Калькуляция (МСА)'!$G$25:$G$84,$G135),_xlfn.SUMIFS(INDEX('Калькуляция (МИ)'!$AJ$25:$BC$459,,MATCH(BF$8,'Калькуляция (МИ)'!$AJ$8:$BC$8,0)),'Калькуляция (МИ)'!$F$25:$F$459,$F135,'Калькуляция (МИ)'!$G$25:$G$459,$G135))))</f>
        <v>0</v>
      </c>
      <c r="BG135" s="263">
        <f>IF(BE135=0,0,(BF135-BE135)/BE135*100)</f>
        <v>0</v>
      </c>
      <c r="BH135" s="3429"/>
      <c r="BI135" s="3429"/>
      <c r="BJ135" s="263">
        <f>IF(BH135=0,0,(BI135-BH135)/BH135*100)</f>
        <v>0</v>
      </c>
      <c r="BK135" s="3429"/>
      <c r="BL135" s="3429"/>
      <c r="BM135" s="263">
        <f>IF(BK135=0,0,(BL135-BK135)/BK135*100)</f>
        <v>0</v>
      </c>
      <c r="BN135" s="3429"/>
      <c r="BO135" s="3429"/>
      <c r="BP135" s="263">
        <f>IF(BN135=0,0,(BO135-BN135)/BN135*100)</f>
        <v>0</v>
      </c>
      <c r="BQ135" s="3429"/>
      <c r="BR135" s="3429"/>
      <c r="BS135" s="263">
        <f>IF(BQ135=0,0,(BR135-BQ135)/BQ135*100)</f>
        <v>0</v>
      </c>
      <c r="BT135" s="3429"/>
      <c r="BU135" s="3429"/>
      <c r="BV135" s="263">
        <f>IF(BT135=0,0,(BU135-BT135)/BT135*100)</f>
        <v>0</v>
      </c>
      <c r="BW135" s="3429"/>
      <c r="BX135" s="3429"/>
      <c r="BY135" s="263">
        <f>IF(BW135=0,0,(BX135-BW135)/BW135*100)</f>
        <v>0</v>
      </c>
      <c r="BZ135" s="3429"/>
      <c r="CA135" s="3429"/>
      <c r="CB135" s="263">
        <f>IF(BZ135=0,0,(CA135-BZ135)/BZ135*100)</f>
        <v>0</v>
      </c>
      <c r="CC135" s="3429"/>
      <c r="CD135" s="3429"/>
      <c r="CE135" s="263">
        <f>IF(CC135=0,0,(CD135-CC135)/CC135*100)</f>
        <v>0</v>
      </c>
      <c r="CF135" s="3429"/>
      <c r="CG135" s="3429"/>
      <c r="CH135" s="263">
        <f>IF(CF135=0,0,(CG135-CF135)/CF135*100)</f>
        <v>0</v>
      </c>
      <c r="CI135" s="3429"/>
      <c r="CJ135" s="3429"/>
      <c r="CK135" s="263">
        <f>IF(CI135=0,0,(CJ135-CI135)/CI135*100)</f>
        <v>0</v>
      </c>
      <c r="CL135" s="3429"/>
      <c r="CM135" s="3429"/>
      <c r="CN135" s="263">
        <f>IF(CL135=0,0,(CM135-CL135)/CL135*100)</f>
        <v>0</v>
      </c>
      <c r="CO135" s="3429"/>
      <c r="CP135" s="3429"/>
      <c r="CQ135" s="263">
        <f>IF(CO135=0,0,(CP135-CO135)/CO135*100)</f>
        <v>0</v>
      </c>
      <c r="CR135" s="3429"/>
      <c r="CS135" s="3429"/>
      <c r="CT135" s="263">
        <f>IF(CR135=0,0,(CS135-CR135)/CR135*100)</f>
        <v>0</v>
      </c>
      <c r="CU135" s="3429"/>
      <c r="CV135" s="3429"/>
      <c r="CW135" s="263">
        <f>IF(CU135=0,0,(CV135-CU135)/CU135*100)</f>
        <v>0</v>
      </c>
      <c r="CX135" s="3429"/>
      <c r="CY135" s="3429"/>
      <c r="CZ135" s="263">
        <f>IF(CX135=0,0,(CY135-CX135)/CX135*100)</f>
        <v>0</v>
      </c>
      <c r="DA135" s="3429"/>
      <c r="DB135" s="3429"/>
      <c r="DC135" s="263">
        <f>IF(DA135=0,0,(DB135-DA135)/DA135*100)</f>
        <v>0</v>
      </c>
      <c r="DD135" s="3429"/>
      <c r="DE135" s="3429"/>
      <c r="DF135" s="263">
        <f>IF(DD135=0,0,(DE135-DD135)/DD135*100)</f>
        <v>0</v>
      </c>
      <c r="DG135" s="3429"/>
      <c r="DH135" s="3429"/>
      <c r="DI135" s="263">
        <f>IF(DG135=0,0,(DH135-DG135)/DG135*100)</f>
        <v>0</v>
      </c>
      <c r="DJ135" s="3429"/>
      <c r="DK135" s="3429"/>
      <c r="DL135" s="263">
        <f>IF(DJ135=0,0,(DK135-DJ135)/DJ135*100)</f>
        <v>0</v>
      </c>
      <c r="DM135" s="3429"/>
      <c r="DN135" s="3429"/>
      <c r="DO135" s="263">
        <f>IF(DM135=0,0,(DN135-DM135)/DM135*100)</f>
        <v>0</v>
      </c>
      <c r="DP135" s="3429"/>
      <c r="DQ135" s="3429"/>
      <c r="DR135" s="263">
        <f>IF(DP135=0,0,(DQ135-DP135)/DP135*100)</f>
        <v>0</v>
      </c>
      <c r="DS135" s="3429"/>
      <c r="DT135" s="3429"/>
      <c r="DU135" s="263">
        <f>IF(DS135=0,0,(DT135-DS135)/DS135*100)</f>
        <v>0</v>
      </c>
      <c r="DV135" s="3429"/>
      <c r="DW135" s="3429"/>
      <c r="DX135" s="263">
        <f>IF(DV135=0,0,(DW135-DV135)/DV135*100)</f>
        <v>0</v>
      </c>
      <c r="DY135" s="3429"/>
      <c r="DZ135" s="3429"/>
      <c r="EA135" s="263">
        <f>IF(DY135=0,0,(DZ135-DY135)/DY135*100)</f>
        <v>0</v>
      </c>
      <c r="EB135" s="3429"/>
      <c r="EC135" s="3429"/>
      <c r="ED135" s="263">
        <f>IF(EB135=0,0,(EC135-EB135)/EB135*100)</f>
        <v>0</v>
      </c>
      <c r="EE135" s="3429"/>
      <c r="EF135" s="3429"/>
      <c r="EG135" s="263">
        <f>IF(EE135=0,0,(EF135-EE135)/EE135*100)</f>
        <v>0</v>
      </c>
      <c r="EH135" s="3429"/>
      <c r="EI135" s="3429"/>
      <c r="EJ135" s="263">
        <f>IF(EH135=0,0,(EI135-EH135)/EH135*100)</f>
        <v>0</v>
      </c>
      <c r="EK135" s="3429"/>
      <c r="EL135" s="3429"/>
      <c r="EM135" s="263">
        <f>IF(EK135=0,0,(EL135-EK135)/EK135*100)</f>
        <v>0</v>
      </c>
      <c r="EN135" s="3429"/>
      <c r="EO135" s="3429"/>
      <c r="EP135" s="263">
        <f>IF(EN135=0,0,(EO135-EN135)/EN135*100)</f>
        <v>0</v>
      </c>
      <c r="EQ135" s="3429"/>
      <c r="ER135" s="3429"/>
      <c r="ES135" s="263">
        <f>IF(EQ135=0,0,(ER135-EQ135)/EQ135*100)</f>
        <v>0</v>
      </c>
      <c r="ET135" s="3429"/>
      <c r="EU135" s="3429"/>
      <c r="EV135" s="263">
        <f>IF(ET135=0,0,(EU135-ET135)/ET135*100)</f>
        <v>0</v>
      </c>
      <c r="EW135" s="3429"/>
      <c r="EX135" s="3429"/>
      <c r="EY135" s="263">
        <f>IF(EW135=0,0,(EX135-EW135)/EW135*100)</f>
        <v>0</v>
      </c>
      <c r="EZ135" s="3429"/>
      <c r="FA135" s="3429"/>
      <c r="FB135" s="263">
        <f>IF(EZ135=0,0,(FA135-EZ135)/EZ135*100)</f>
        <v>0</v>
      </c>
      <c r="FC135" s="3429"/>
      <c r="FD135" s="3429"/>
      <c r="FE135" s="263">
        <f>IF(FC135=0,0,(FD135-FC135)/FC135*100)</f>
        <v>0</v>
      </c>
      <c r="FF135" s="3429"/>
      <c r="FG135" s="3429"/>
      <c r="FH135" s="263">
        <f>IF(FF135=0,0,(FG135-FF135)/FF135*100)</f>
        <v>0</v>
      </c>
      <c r="FI135" s="3429"/>
      <c r="FJ135" s="3429"/>
      <c r="FK135" s="263">
        <f>IF(FI135=0,0,(FJ135-FI135)/FI135*100)</f>
        <v>0</v>
      </c>
      <c r="FL135" s="3429"/>
      <c r="FM135" s="3429"/>
      <c r="FN135" s="263">
        <f>IF(FL135=0,0,(FM135-FL135)/FL135*100)</f>
        <v>0</v>
      </c>
      <c r="FO135" s="3429"/>
      <c r="FP135" s="3429"/>
      <c r="FQ135" s="263">
        <f>IF(FO135=0,0,(FP135-FO135)/FO135*100)</f>
        <v>0</v>
      </c>
      <c r="FR135" s="3429"/>
      <c r="FS135" s="3429"/>
      <c r="FT135" s="263">
        <f>IF(FR135=0,0,(FS135-FR135)/FR135*100)</f>
        <v>0</v>
      </c>
      <c r="FU135" s="3429"/>
      <c r="FV135" s="3429"/>
      <c r="FW135" s="263">
        <f>IF(FU135=0,0,(FV135-FU135)/FU135*100)</f>
        <v>0</v>
      </c>
      <c r="FX135" s="259"/>
      <c r="FY135" s="259"/>
      <c r="FZ135" s="1039" t="s">
        <v>1572</v>
      </c>
      <c r="GA135" s="1039"/>
      <c r="GB135" s="1039"/>
      <c r="GC135" s="1040"/>
      <c r="GD135" s="1040"/>
    </row>
    <row s="1621" customFormat="1" customHeight="1" ht="14.25" hidden="1">
      <c r="A136" s="467"/>
      <c r="B136" s="907" cm="1" t="str">
        <f t="array" ref="B136:B136">B135</f>
        <v>false</v>
      </c>
      <c r="C136" s="467"/>
      <c r="D136" s="467"/>
      <c r="E136" s="822">
        <v>15</v>
      </c>
      <c r="F136" s="50" cm="1" t="str">
        <f t="array" ref="F136:F136">OFFSET(E136,-1,1)</f>
        <v>1</v>
      </c>
      <c r="G136" s="467"/>
      <c r="H136" s="467" t="s">
        <v>445</v>
      </c>
      <c r="I136" s="467"/>
      <c r="J136" s="467"/>
      <c r="K136" s="467"/>
      <c r="L136" s="467"/>
      <c r="M136" s="467"/>
      <c r="N136" s="467"/>
      <c r="O136" s="467"/>
      <c r="P136" s="467"/>
      <c r="Q136" s="467"/>
      <c r="R136" s="467"/>
      <c r="S136" s="467"/>
      <c r="T136" s="439" cm="1" t="str">
        <f t="array" ref="T136:T136">T135</f>
        <v>true</v>
      </c>
      <c r="U136" s="467"/>
      <c r="V136" s="467"/>
      <c r="W136" s="467"/>
      <c r="X136" s="1534"/>
      <c r="Y136" s="467"/>
      <c r="Z136" s="1464"/>
      <c r="AA136" s="467"/>
      <c r="AB136" s="1073" t="s">
        <v>1573</v>
      </c>
      <c r="AC136" s="747" t="s">
        <v>437</v>
      </c>
      <c r="AD136" s="1077">
        <f>IF(AD134=0,0,AD135/AD134)*100</f>
        <v>100.001759931369</v>
      </c>
      <c r="AE136" s="1077">
        <f>IF(AE134=0,0,AE135/AE134)*100</f>
        <v>109.995183044316</v>
      </c>
      <c r="AF136" s="1094"/>
      <c r="AG136" s="1077">
        <f>IF(AG134=0,0,AG135/AG134)*100</f>
        <v>0</v>
      </c>
      <c r="AH136" s="1077">
        <f>IF(AH134=0,0,AH135/AH134)*100</f>
        <v>0</v>
      </c>
      <c r="AI136" s="1094"/>
      <c r="AJ136" s="1077">
        <f>IF(AJ134=0,0,AJ135/AJ134)*100</f>
        <v>0</v>
      </c>
      <c r="AK136" s="1077">
        <f>IF(AK134=0,0,AK135/AK134)*100</f>
        <v>0</v>
      </c>
      <c r="AL136" s="1094"/>
      <c r="AM136" s="1077">
        <f>IF(AM134=0,0,AM135/AM134)*100</f>
        <v>0</v>
      </c>
      <c r="AN136" s="1077">
        <f>IF(AN134=0,0,AN135/AN134)*100</f>
        <v>0</v>
      </c>
      <c r="AO136" s="1094"/>
      <c r="AP136" s="1077">
        <f>IF(AP134=0,0,AP135/AP134)*100</f>
        <v>0</v>
      </c>
      <c r="AQ136" s="1077">
        <f>IF(AQ134=0,0,AQ135/AQ134)*100</f>
        <v>0</v>
      </c>
      <c r="AR136" s="1094"/>
      <c r="AS136" s="1077">
        <f>IF(AS134=0,0,AS135/AS134)*100</f>
        <v>0</v>
      </c>
      <c r="AT136" s="1077">
        <f>IF(AT134=0,0,AT135/AT134)*100</f>
        <v>0</v>
      </c>
      <c r="AU136" s="1094"/>
      <c r="AV136" s="1077">
        <f>IF(AV134=0,0,AV135/AV134)*100</f>
        <v>0</v>
      </c>
      <c r="AW136" s="1077">
        <f>IF(AW134=0,0,AW135/AW134)*100</f>
        <v>0</v>
      </c>
      <c r="AX136" s="1094"/>
      <c r="AY136" s="1077">
        <f>IF(AY134=0,0,AY135/AY134)*100</f>
        <v>0</v>
      </c>
      <c r="AZ136" s="1077">
        <f>IF(AZ134=0,0,AZ135/AZ134)*100</f>
        <v>0</v>
      </c>
      <c r="BA136" s="1094"/>
      <c r="BB136" s="1077">
        <f>IF(BB134=0,0,BB135/BB134)*100</f>
        <v>0</v>
      </c>
      <c r="BC136" s="1077">
        <f>IF(BC134=0,0,BC135/BC134)*100</f>
        <v>0</v>
      </c>
      <c r="BD136" s="1094"/>
      <c r="BE136" s="1077">
        <f>IF(BE134=0,0,BE135/BE134)*100</f>
        <v>0</v>
      </c>
      <c r="BF136" s="1077">
        <f>IF(BF134=0,0,BF135/BF134)*100</f>
        <v>0</v>
      </c>
      <c r="BG136" s="1094"/>
      <c r="BH136" s="1077">
        <f>IF(BH134=0,0,BH135/BH134)*100</f>
        <v>0</v>
      </c>
      <c r="BI136" s="1077">
        <f>IF(BI134=0,0,BI135/BI134)*100</f>
        <v>0</v>
      </c>
      <c r="BJ136" s="1094"/>
      <c r="BK136" s="1077">
        <f>IF(BK134=0,0,BK135/BK134)*100</f>
        <v>0</v>
      </c>
      <c r="BL136" s="1077">
        <f>IF(BL134=0,0,BL135/BL134)*100</f>
        <v>0</v>
      </c>
      <c r="BM136" s="1094"/>
      <c r="BN136" s="1077">
        <f>IF(BN134=0,0,BN135/BN134)*100</f>
        <v>0</v>
      </c>
      <c r="BO136" s="1077">
        <f>IF(BO134=0,0,BO135/BO134)*100</f>
        <v>0</v>
      </c>
      <c r="BP136" s="1094"/>
      <c r="BQ136" s="1077">
        <f>IF(BQ134=0,0,BQ135/BQ134)*100</f>
        <v>0</v>
      </c>
      <c r="BR136" s="1077">
        <f>IF(BR134=0,0,BR135/BR134)*100</f>
        <v>0</v>
      </c>
      <c r="BS136" s="1094"/>
      <c r="BT136" s="1077">
        <f>IF(BT134=0,0,BT135/BT134)*100</f>
        <v>0</v>
      </c>
      <c r="BU136" s="1077">
        <f>IF(BU134=0,0,BU135/BU134)*100</f>
        <v>0</v>
      </c>
      <c r="BV136" s="1094"/>
      <c r="BW136" s="1077">
        <f>IF(BW134=0,0,BW135/BW134)*100</f>
        <v>0</v>
      </c>
      <c r="BX136" s="1077">
        <f>IF(BX134=0,0,BX135/BX134)*100</f>
        <v>0</v>
      </c>
      <c r="BY136" s="1094"/>
      <c r="BZ136" s="1077">
        <f>IF(BZ134=0,0,BZ135/BZ134)*100</f>
        <v>0</v>
      </c>
      <c r="CA136" s="1077">
        <f>IF(CA134=0,0,CA135/CA134)*100</f>
        <v>0</v>
      </c>
      <c r="CB136" s="1094"/>
      <c r="CC136" s="1077">
        <f>IF(CC134=0,0,CC135/CC134)*100</f>
        <v>0</v>
      </c>
      <c r="CD136" s="1077">
        <f>IF(CD134=0,0,CD135/CD134)*100</f>
        <v>0</v>
      </c>
      <c r="CE136" s="1094"/>
      <c r="CF136" s="1077">
        <f>IF(CF134=0,0,CF135/CF134)*100</f>
        <v>0</v>
      </c>
      <c r="CG136" s="1077">
        <f>IF(CG134=0,0,CG135/CG134)*100</f>
        <v>0</v>
      </c>
      <c r="CH136" s="1094"/>
      <c r="CI136" s="1077">
        <f>IF(CI134=0,0,CI135/CI134)*100</f>
        <v>0</v>
      </c>
      <c r="CJ136" s="1077">
        <f>IF(CJ134=0,0,CJ135/CJ134)*100</f>
        <v>0</v>
      </c>
      <c r="CK136" s="1094"/>
      <c r="CL136" s="1077">
        <f>IF(CL134=0,0,CL135/CL134)*100</f>
        <v>0</v>
      </c>
      <c r="CM136" s="1077">
        <f>IF(CM134=0,0,CM135/CM134)*100</f>
        <v>0</v>
      </c>
      <c r="CN136" s="1094"/>
      <c r="CO136" s="1077">
        <f>IF(CO134=0,0,CO135/CO134)*100</f>
        <v>0</v>
      </c>
      <c r="CP136" s="1077">
        <f>IF(CP134=0,0,CP135/CP134)*100</f>
        <v>0</v>
      </c>
      <c r="CQ136" s="1094"/>
      <c r="CR136" s="1077">
        <f>IF(CR134=0,0,CR135/CR134)*100</f>
        <v>0</v>
      </c>
      <c r="CS136" s="1077">
        <f>IF(CS134=0,0,CS135/CS134)*100</f>
        <v>0</v>
      </c>
      <c r="CT136" s="1094"/>
      <c r="CU136" s="1077">
        <f>IF(CU134=0,0,CU135/CU134)*100</f>
        <v>0</v>
      </c>
      <c r="CV136" s="1077">
        <f>IF(CV134=0,0,CV135/CV134)*100</f>
        <v>0</v>
      </c>
      <c r="CW136" s="1094"/>
      <c r="CX136" s="1077">
        <f>IF(CX134=0,0,CX135/CX134)*100</f>
        <v>0</v>
      </c>
      <c r="CY136" s="1077">
        <f>IF(CY134=0,0,CY135/CY134)*100</f>
        <v>0</v>
      </c>
      <c r="CZ136" s="1094"/>
      <c r="DA136" s="1077">
        <f>IF(DA134=0,0,DA135/DA134)*100</f>
        <v>0</v>
      </c>
      <c r="DB136" s="1077">
        <f>IF(DB134=0,0,DB135/DB134)*100</f>
        <v>0</v>
      </c>
      <c r="DC136" s="1094"/>
      <c r="DD136" s="1077">
        <f>IF(DD134=0,0,DD135/DD134)*100</f>
        <v>0</v>
      </c>
      <c r="DE136" s="1077">
        <f>IF(DE134=0,0,DE135/DE134)*100</f>
        <v>0</v>
      </c>
      <c r="DF136" s="1094"/>
      <c r="DG136" s="1077">
        <f>IF(DG134=0,0,DG135/DG134)*100</f>
        <v>0</v>
      </c>
      <c r="DH136" s="1077">
        <f>IF(DH134=0,0,DH135/DH134)*100</f>
        <v>0</v>
      </c>
      <c r="DI136" s="1094"/>
      <c r="DJ136" s="1077">
        <f>IF(DJ134=0,0,DJ135/DJ134)*100</f>
        <v>0</v>
      </c>
      <c r="DK136" s="1077">
        <f>IF(DK134=0,0,DK135/DK134)*100</f>
        <v>0</v>
      </c>
      <c r="DL136" s="1094"/>
      <c r="DM136" s="1077">
        <f>IF(DM134=0,0,DM135/DM134)*100</f>
        <v>0</v>
      </c>
      <c r="DN136" s="1077">
        <f>IF(DN134=0,0,DN135/DN134)*100</f>
        <v>0</v>
      </c>
      <c r="DO136" s="1094"/>
      <c r="DP136" s="1077">
        <f>IF(DP134=0,0,DP135/DP134)*100</f>
        <v>0</v>
      </c>
      <c r="DQ136" s="1077">
        <f>IF(DQ134=0,0,DQ135/DQ134)*100</f>
        <v>0</v>
      </c>
      <c r="DR136" s="1094"/>
      <c r="DS136" s="1077">
        <f>IF(DS134=0,0,DS135/DS134)*100</f>
        <v>0</v>
      </c>
      <c r="DT136" s="1077">
        <f>IF(DT134=0,0,DT135/DT134)*100</f>
        <v>0</v>
      </c>
      <c r="DU136" s="1094"/>
      <c r="DV136" s="1077">
        <f>IF(DV134=0,0,DV135/DV134)*100</f>
        <v>0</v>
      </c>
      <c r="DW136" s="1077">
        <f>IF(DW134=0,0,DW135/DW134)*100</f>
        <v>0</v>
      </c>
      <c r="DX136" s="1094"/>
      <c r="DY136" s="1077">
        <f>IF(DY134=0,0,DY135/DY134)*100</f>
        <v>0</v>
      </c>
      <c r="DZ136" s="1077">
        <f>IF(DZ134=0,0,DZ135/DZ134)*100</f>
        <v>0</v>
      </c>
      <c r="EA136" s="1094"/>
      <c r="EB136" s="1077">
        <f>IF(EB134=0,0,EB135/EB134)*100</f>
        <v>0</v>
      </c>
      <c r="EC136" s="1077">
        <f>IF(EC134=0,0,EC135/EC134)*100</f>
        <v>0</v>
      </c>
      <c r="ED136" s="1094"/>
      <c r="EE136" s="1077">
        <f>IF(EE134=0,0,EE135/EE134)*100</f>
        <v>0</v>
      </c>
      <c r="EF136" s="1077">
        <f>IF(EF134=0,0,EF135/EF134)*100</f>
        <v>0</v>
      </c>
      <c r="EG136" s="1094"/>
      <c r="EH136" s="1077">
        <f>IF(EH134=0,0,EH135/EH134)*100</f>
        <v>0</v>
      </c>
      <c r="EI136" s="1077">
        <f>IF(EI134=0,0,EI135/EI134)*100</f>
        <v>0</v>
      </c>
      <c r="EJ136" s="1094"/>
      <c r="EK136" s="1077">
        <f>IF(EK134=0,0,EK135/EK134)*100</f>
        <v>0</v>
      </c>
      <c r="EL136" s="1077">
        <f>IF(EL134=0,0,EL135/EL134)*100</f>
        <v>0</v>
      </c>
      <c r="EM136" s="1094"/>
      <c r="EN136" s="1077">
        <f>IF(EN134=0,0,EN135/EN134)*100</f>
        <v>0</v>
      </c>
      <c r="EO136" s="1077">
        <f>IF(EO134=0,0,EO135/EO134)*100</f>
        <v>0</v>
      </c>
      <c r="EP136" s="1094"/>
      <c r="EQ136" s="1077">
        <f>IF(EQ134=0,0,EQ135/EQ134)*100</f>
        <v>0</v>
      </c>
      <c r="ER136" s="1077">
        <f>IF(ER134=0,0,ER135/ER134)*100</f>
        <v>0</v>
      </c>
      <c r="ES136" s="1094"/>
      <c r="ET136" s="1077">
        <f>IF(ET134=0,0,ET135/ET134)*100</f>
        <v>0</v>
      </c>
      <c r="EU136" s="1077">
        <f>IF(EU134=0,0,EU135/EU134)*100</f>
        <v>0</v>
      </c>
      <c r="EV136" s="1094"/>
      <c r="EW136" s="1077">
        <f>IF(EW134=0,0,EW135/EW134)*100</f>
        <v>0</v>
      </c>
      <c r="EX136" s="1077">
        <f>IF(EX134=0,0,EX135/EX134)*100</f>
        <v>0</v>
      </c>
      <c r="EY136" s="1094"/>
      <c r="EZ136" s="1077">
        <f>IF(EZ134=0,0,EZ135/EZ134)*100</f>
        <v>0</v>
      </c>
      <c r="FA136" s="1077">
        <f>IF(FA134=0,0,FA135/FA134)*100</f>
        <v>0</v>
      </c>
      <c r="FB136" s="1094"/>
      <c r="FC136" s="1077">
        <f>IF(FC134=0,0,FC135/FC134)*100</f>
        <v>0</v>
      </c>
      <c r="FD136" s="1077">
        <f>IF(FD134=0,0,FD135/FD134)*100</f>
        <v>0</v>
      </c>
      <c r="FE136" s="1094"/>
      <c r="FF136" s="1077">
        <f>IF(FF134=0,0,FF135/FF134)*100</f>
        <v>0</v>
      </c>
      <c r="FG136" s="1077">
        <f>IF(FG134=0,0,FG135/FG134)*100</f>
        <v>0</v>
      </c>
      <c r="FH136" s="1094"/>
      <c r="FI136" s="1077">
        <f>IF(FI134=0,0,FI135/FI134)*100</f>
        <v>0</v>
      </c>
      <c r="FJ136" s="1077">
        <f>IF(FJ134=0,0,FJ135/FJ134)*100</f>
        <v>0</v>
      </c>
      <c r="FK136" s="1094"/>
      <c r="FL136" s="1077">
        <f>IF(FL134=0,0,FL135/FL134)*100</f>
        <v>0</v>
      </c>
      <c r="FM136" s="1077">
        <f>IF(FM134=0,0,FM135/FM134)*100</f>
        <v>0</v>
      </c>
      <c r="FN136" s="1094"/>
      <c r="FO136" s="1077">
        <f>IF(FO134=0,0,FO135/FO134)*100</f>
        <v>0</v>
      </c>
      <c r="FP136" s="1077">
        <f>IF(FP134=0,0,FP135/FP134)*100</f>
        <v>0</v>
      </c>
      <c r="FQ136" s="1094"/>
      <c r="FR136" s="1077">
        <f>IF(FR134=0,0,FR135/FR134)*100</f>
        <v>0</v>
      </c>
      <c r="FS136" s="1077">
        <f>IF(FS134=0,0,FS135/FS134)*100</f>
        <v>0</v>
      </c>
      <c r="FT136" s="1094"/>
      <c r="FU136" s="1077">
        <f>IF(FU134=0,0,FU135/FU134)*100</f>
        <v>0</v>
      </c>
      <c r="FV136" s="1077">
        <f>IF(FV134=0,0,FV135/FV134)*100</f>
        <v>0</v>
      </c>
      <c r="FW136" s="1095"/>
      <c r="FX136" s="259"/>
      <c r="FY136" s="676"/>
      <c r="FZ136" s="1039" t="s">
        <v>1574</v>
      </c>
      <c r="GA136" s="1061"/>
      <c r="GB136" s="1061"/>
      <c r="GC136" s="697"/>
      <c r="GD136" s="697"/>
    </row>
    <row s="1621" customFormat="1" customHeight="1" ht="14.25" hidden="1">
      <c r="A137" s="467"/>
      <c r="B137" s="907" cm="1" t="str">
        <f t="array" ref="B137:B137">B136</f>
        <v>false</v>
      </c>
      <c r="C137" s="467"/>
      <c r="D137" s="467"/>
      <c r="E137" s="822">
        <v>15</v>
      </c>
      <c r="F137" s="50" cm="1" t="str">
        <f t="array" ref="F137:F137">OFFSET(E137,-1,1)</f>
        <v>1</v>
      </c>
      <c r="G137" s="73" t="s">
        <v>1503</v>
      </c>
      <c r="H137" s="467"/>
      <c r="I137" s="467"/>
      <c r="J137" s="467"/>
      <c r="K137" s="467"/>
      <c r="L137" s="467"/>
      <c r="M137" s="467"/>
      <c r="N137" s="467"/>
      <c r="O137" s="467"/>
      <c r="P137" s="467"/>
      <c r="Q137" s="467"/>
      <c r="R137" s="467"/>
      <c r="S137" s="467"/>
      <c r="T137" s="439" cm="1" t="str">
        <f t="array" ref="T137:T137">T136</f>
        <v>true</v>
      </c>
      <c r="U137" s="467"/>
      <c r="V137" s="467"/>
      <c r="W137" s="467"/>
      <c r="X137" s="1534"/>
      <c r="Y137" s="467"/>
      <c r="Z137" s="1464"/>
      <c r="AA137" s="467"/>
      <c r="AB137" s="882" t="s">
        <v>1504</v>
      </c>
      <c r="AC137" s="846" t="s">
        <v>512</v>
      </c>
      <c r="AD137" s="3404">
        <f>IF(AND(method_reg="Метод индексации",god&lt;&gt;first_year),_xlfn.SUMIFS(INDEX('Калькуляция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(МИ)'!$AJ$25:$BC$459,,MATCH(AD$8,'Калькуляция (МИ)'!$AJ$8:$BC$8,0)),'Калькуляция (МИ)'!$F$25:$F$459,$F137,'Калькуляция (МИ)'!$G$25:$G$459,$G137))))</f>
        <v>147.98</v>
      </c>
      <c r="AE137" s="3404">
        <f>IF(AND(method_reg="Метод индексации",god&lt;&gt;first_year),_xlfn.SUMIFS(INDEX('Калькуляция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(МИ)'!$AJ$25:$BC$459,,MATCH(AE$8,'Калькуляция (МИ)'!$AJ$8:$BC$8,0)),'Калькуляция (МИ)'!$F$25:$F$459,$F137,'Калькуляция (МИ)'!$G$25:$G$459,$G137))))</f>
        <v>163.933</v>
      </c>
      <c r="AF137" s="1080">
        <f>IF(AD137=0,0,(AE137-AD137)/AD137*100)</f>
        <v>10.7805108798486</v>
      </c>
      <c r="AG137" s="3404">
        <f>IF(AND(method_reg="Метод индексации",god&lt;&gt;first_year),_xlfn.SUMIFS(INDEX('Калькуляция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(МИ)'!$AJ$25:$BC$459,,MATCH(AG$8,'Калькуляция (МИ)'!$AJ$8:$BC$8,0)),'Калькуляция (МИ)'!$F$25:$F$459,$F137,'Калькуляция (МИ)'!$G$25:$G$459,$G137))))</f>
        <v>0</v>
      </c>
      <c r="AH137" s="3404">
        <f>IF(AND(method_reg="Метод индексации",god&lt;&gt;first_year),_xlfn.SUMIFS(INDEX('Калькуляция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(МИ)'!$AJ$25:$BC$459,,MATCH(AH$8,'Калькуляция (МИ)'!$AJ$8:$BC$8,0)),'Калькуляция (МИ)'!$F$25:$F$459,$F137,'Калькуляция (МИ)'!$G$25:$G$459,$G137))))</f>
        <v>0</v>
      </c>
      <c r="AI137" s="1080">
        <f>IF(AG137=0,0,(AH137-AG137)/AG137*100)</f>
        <v>0</v>
      </c>
      <c r="AJ137" s="3404">
        <f>IF(AND(method_reg="Метод индексации",god&lt;&gt;first_year),_xlfn.SUMIFS(INDEX('Калькуляция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(МИ)'!$AJ$25:$BC$459,,MATCH(AJ$8,'Калькуляция (МИ)'!$AJ$8:$BC$8,0)),'Калькуляция (МИ)'!$F$25:$F$459,$F137,'Калькуляция (МИ)'!$G$25:$G$459,$G137))))</f>
        <v>0</v>
      </c>
      <c r="AK137" s="3404">
        <f>IF(AND(method_reg="Метод индексации",god&lt;&gt;first_year),_xlfn.SUMIFS(INDEX('Калькуляция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(МИ)'!$AJ$25:$BC$459,,MATCH(AK$8,'Калькуляция (МИ)'!$AJ$8:$BC$8,0)),'Калькуляция (МИ)'!$F$25:$F$459,$F137,'Калькуляция (МИ)'!$G$25:$G$459,$G137))))</f>
        <v>0</v>
      </c>
      <c r="AL137" s="1080">
        <f>IF(AJ137=0,0,(AK137-AJ137)/AJ137*100)</f>
        <v>0</v>
      </c>
      <c r="AM137" s="3404">
        <f>IF(AND(method_reg="Метод индексации",god&lt;&gt;first_year),_xlfn.SUMIFS(INDEX('Калькуляция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(МИ)'!$AJ$25:$BC$459,,MATCH(AM$8,'Калькуляция (МИ)'!$AJ$8:$BC$8,0)),'Калькуляция (МИ)'!$F$25:$F$459,$F137,'Калькуляция (МИ)'!$G$25:$G$459,$G137))))</f>
        <v>0</v>
      </c>
      <c r="AN137" s="3404">
        <f>IF(AND(method_reg="Метод индексации",god&lt;&gt;first_year),_xlfn.SUMIFS(INDEX('Калькуляция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(МИ)'!$AJ$25:$BC$459,,MATCH(AN$8,'Калькуляция (МИ)'!$AJ$8:$BC$8,0)),'Калькуляция (МИ)'!$F$25:$F$459,$F137,'Калькуляция (МИ)'!$G$25:$G$459,$G137))))</f>
        <v>0</v>
      </c>
      <c r="AO137" s="1080">
        <f>IF(AM137=0,0,(AN137-AM137)/AM137*100)</f>
        <v>0</v>
      </c>
      <c r="AP137" s="3404">
        <f>IF(AND(method_reg="Метод индексации",god&lt;&gt;first_year),_xlfn.SUMIFS(INDEX('Калькуляция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(МИ)'!$AJ$25:$BC$459,,MATCH(AP$8,'Калькуляция (МИ)'!$AJ$8:$BC$8,0)),'Калькуляция (МИ)'!$F$25:$F$459,$F137,'Калькуляция (МИ)'!$G$25:$G$459,$G137))))</f>
        <v>0</v>
      </c>
      <c r="AQ137" s="3404">
        <f>IF(AND(method_reg="Метод индексации",god&lt;&gt;first_year),_xlfn.SUMIFS(INDEX('Калькуляция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(МИ)'!$AJ$25:$BC$459,,MATCH(AQ$8,'Калькуляция (МИ)'!$AJ$8:$BC$8,0)),'Калькуляция (МИ)'!$F$25:$F$459,$F137,'Калькуляция (МИ)'!$G$25:$G$459,$G137))))</f>
        <v>0</v>
      </c>
      <c r="AR137" s="1080">
        <f>IF(AP137=0,0,(AQ137-AP137)/AP137*100)</f>
        <v>0</v>
      </c>
      <c r="AS137" s="3404">
        <f>IF(AND(method_reg="Метод индексации",god&lt;&gt;first_year),_xlfn.SUMIFS(INDEX('Калькуляция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(МИ)'!$AJ$25:$BC$459,,MATCH(AS$8,'Калькуляция (МИ)'!$AJ$8:$BC$8,0)),'Калькуляция (МИ)'!$F$25:$F$459,$F137,'Калькуляция (МИ)'!$G$25:$G$459,$G137))))</f>
        <v>0</v>
      </c>
      <c r="AT137" s="3404">
        <f>IF(AND(method_reg="Метод индексации",god&lt;&gt;first_year),_xlfn.SUMIFS(INDEX('Калькуляция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(МИ)'!$AJ$25:$BC$459,,MATCH(AT$8,'Калькуляция (МИ)'!$AJ$8:$BC$8,0)),'Калькуляция (МИ)'!$F$25:$F$459,$F137,'Калькуляция (МИ)'!$G$25:$G$459,$G137))))</f>
        <v>0</v>
      </c>
      <c r="AU137" s="1080">
        <f>IF(AS137=0,0,(AT137-AS137)/AS137*100)</f>
        <v>0</v>
      </c>
      <c r="AV137" s="3404">
        <f>IF(AND(method_reg="Метод индексации",god&lt;&gt;first_year),_xlfn.SUMIFS(INDEX('Калькуляция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(МИ)'!$AJ$25:$BC$459,,MATCH(AV$8,'Калькуляция (МИ)'!$AJ$8:$BC$8,0)),'Калькуляция (МИ)'!$F$25:$F$459,$F137,'Калькуляция (МИ)'!$G$25:$G$459,$G137))))</f>
        <v>0</v>
      </c>
      <c r="AW137" s="3404">
        <f>IF(AND(method_reg="Метод индексации",god&lt;&gt;first_year),_xlfn.SUMIFS(INDEX('Калькуляция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(МИ)'!$AJ$25:$BC$459,,MATCH(AW$8,'Калькуляция (МИ)'!$AJ$8:$BC$8,0)),'Калькуляция (МИ)'!$F$25:$F$459,$F137,'Калькуляция (МИ)'!$G$25:$G$459,$G137))))</f>
        <v>0</v>
      </c>
      <c r="AX137" s="1080">
        <f>IF(AV137=0,0,(AW137-AV137)/AV137*100)</f>
        <v>0</v>
      </c>
      <c r="AY137" s="3404">
        <f>IF(AND(method_reg="Метод индексации",god&lt;&gt;first_year),_xlfn.SUMIFS(INDEX('Калькуляция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(МИ)'!$AJ$25:$BC$459,,MATCH(AY$8,'Калькуляция (МИ)'!$AJ$8:$BC$8,0)),'Калькуляция (МИ)'!$F$25:$F$459,$F137,'Калькуляция (МИ)'!$G$25:$G$459,$G137))))</f>
        <v>0</v>
      </c>
      <c r="AZ137" s="3404">
        <f>IF(AND(method_reg="Метод индексации",god&lt;&gt;first_year),_xlfn.SUMIFS(INDEX('Калькуляция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(МИ)'!$AJ$25:$BC$459,,MATCH(AZ$8,'Калькуляция (МИ)'!$AJ$8:$BC$8,0)),'Калькуляция (МИ)'!$F$25:$F$459,$F137,'Калькуляция (МИ)'!$G$25:$G$459,$G137))))</f>
        <v>0</v>
      </c>
      <c r="BA137" s="1080">
        <f>IF(AY137=0,0,(AZ137-AY137)/AY137*100)</f>
        <v>0</v>
      </c>
      <c r="BB137" s="3404">
        <f>IF(AND(method_reg="Метод индексации",god&lt;&gt;first_year),_xlfn.SUMIFS(INDEX('Калькуляция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(МИ)'!$AJ$25:$BC$459,,MATCH(BB$8,'Калькуляция (МИ)'!$AJ$8:$BC$8,0)),'Калькуляция (МИ)'!$F$25:$F$459,$F137,'Калькуляция (МИ)'!$G$25:$G$459,$G137))))</f>
        <v>0</v>
      </c>
      <c r="BC137" s="3404">
        <f>IF(AND(method_reg="Метод индексации",god&lt;&gt;first_year),_xlfn.SUMIFS(INDEX('Калькуляция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(МИ)'!$AJ$25:$BC$459,,MATCH(BC$8,'Калькуляция (МИ)'!$AJ$8:$BC$8,0)),'Калькуляция (МИ)'!$F$25:$F$459,$F137,'Калькуляция (МИ)'!$G$25:$G$459,$G137))))</f>
        <v>0</v>
      </c>
      <c r="BD137" s="1080">
        <f>IF(BB137=0,0,(BC137-BB137)/BB137*100)</f>
        <v>0</v>
      </c>
      <c r="BE137" s="3404">
        <f>IF(AND(method_reg="Метод индексации",god&lt;&gt;first_year),_xlfn.SUMIFS(INDEX('Калькуляция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расходов",_xlfn.SUMIFS('Калькуляция (МЭОР)'!$AJ$25:$AJ$282,'Калькуляция (МЭОР)'!$F$25:$F$282,$F137,'Калькуляция (МЭОР)'!$G$25:$G$282,$G137),IF(method_reg="Метод сравнения аналогов",_xlfn.SUMIFS('Калькуляция (МСА)'!$AE$25:$AE$84,'Калькуляция (МСА)'!$F$25:$F$84,$F137,'Калькуляция (МСА)'!$G$25:$G$84,$G137),_xlfn.SUMIFS(INDEX('Калькуляция (МИ)'!$AJ$25:$BC$459,,MATCH(BE$8,'Калькуляция (МИ)'!$AJ$8:$BC$8,0)),'Калькуляция (МИ)'!$F$25:$F$459,$F137,'Калькуляция (МИ)'!$G$25:$G$459,$G137))))</f>
        <v>0</v>
      </c>
      <c r="BF137" s="3404">
        <f>IF(AND(method_reg="Метод индексации",god&lt;&gt;first_year),_xlfn.SUMIFS(INDEX('Калькуляция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расходов",_xlfn.SUMIFS('Калькуляция (МЭОР)'!$AK$25:$AK$282,'Калькуляция (МЭОР)'!$F$25:$F$282,$F137,'Калькуляция (МЭОР)'!$G$25:$G$282,$G137),IF(method_reg="Метод сравнения аналогов",_xlfn.SUMIFS('Калькуляция (МСА)'!$AF$25:$AF$84,'Калькуляция (МСА)'!$F$25:$F$84,$F137,'Калькуляция (МСА)'!$G$25:$G$84,$G137),_xlfn.SUMIFS(INDEX('Калькуляция (МИ)'!$AJ$25:$BC$459,,MATCH(BF$8,'Калькуляция (МИ)'!$AJ$8:$BC$8,0)),'Калькуляция (МИ)'!$F$25:$F$459,$F137,'Калькуляция (МИ)'!$G$25:$G$459,$G137))))</f>
        <v>0</v>
      </c>
      <c r="BG137" s="1080">
        <f>IF(BE137=0,0,(BF137-BE137)/BE137*100)</f>
        <v>0</v>
      </c>
      <c r="BH137" s="3404"/>
      <c r="BI137" s="3404"/>
      <c r="BJ137" s="1080">
        <f>IF(BH137=0,0,(BI137-BH137)/BH137*100)</f>
        <v>0</v>
      </c>
      <c r="BK137" s="3404"/>
      <c r="BL137" s="3404"/>
      <c r="BM137" s="1080">
        <f>IF(BK137=0,0,(BL137-BK137)/BK137*100)</f>
        <v>0</v>
      </c>
      <c r="BN137" s="3404"/>
      <c r="BO137" s="3404"/>
      <c r="BP137" s="1080">
        <f>IF(BN137=0,0,(BO137-BN137)/BN137*100)</f>
        <v>0</v>
      </c>
      <c r="BQ137" s="3404"/>
      <c r="BR137" s="3404"/>
      <c r="BS137" s="1080">
        <f>IF(BQ137=0,0,(BR137-BQ137)/BQ137*100)</f>
        <v>0</v>
      </c>
      <c r="BT137" s="3404"/>
      <c r="BU137" s="3404"/>
      <c r="BV137" s="1080">
        <f>IF(BT137=0,0,(BU137-BT137)/BT137*100)</f>
        <v>0</v>
      </c>
      <c r="BW137" s="3404"/>
      <c r="BX137" s="3404"/>
      <c r="BY137" s="1080">
        <f>IF(BW137=0,0,(BX137-BW137)/BW137*100)</f>
        <v>0</v>
      </c>
      <c r="BZ137" s="3404"/>
      <c r="CA137" s="3404"/>
      <c r="CB137" s="1080">
        <f>IF(BZ137=0,0,(CA137-BZ137)/BZ137*100)</f>
        <v>0</v>
      </c>
      <c r="CC137" s="3404"/>
      <c r="CD137" s="3404"/>
      <c r="CE137" s="1080">
        <f>IF(CC137=0,0,(CD137-CC137)/CC137*100)</f>
        <v>0</v>
      </c>
      <c r="CF137" s="3404"/>
      <c r="CG137" s="3404"/>
      <c r="CH137" s="1080">
        <f>IF(CF137=0,0,(CG137-CF137)/CF137*100)</f>
        <v>0</v>
      </c>
      <c r="CI137" s="3404"/>
      <c r="CJ137" s="3404"/>
      <c r="CK137" s="1080">
        <f>IF(CI137=0,0,(CJ137-CI137)/CI137*100)</f>
        <v>0</v>
      </c>
      <c r="CL137" s="3404"/>
      <c r="CM137" s="3404"/>
      <c r="CN137" s="1080">
        <f>IF(CL137=0,0,(CM137-CL137)/CL137*100)</f>
        <v>0</v>
      </c>
      <c r="CO137" s="3404"/>
      <c r="CP137" s="3404"/>
      <c r="CQ137" s="1080">
        <f>IF(CO137=0,0,(CP137-CO137)/CO137*100)</f>
        <v>0</v>
      </c>
      <c r="CR137" s="3404"/>
      <c r="CS137" s="3404"/>
      <c r="CT137" s="1080">
        <f>IF(CR137=0,0,(CS137-CR137)/CR137*100)</f>
        <v>0</v>
      </c>
      <c r="CU137" s="3404"/>
      <c r="CV137" s="3404"/>
      <c r="CW137" s="1080">
        <f>IF(CU137=0,0,(CV137-CU137)/CU137*100)</f>
        <v>0</v>
      </c>
      <c r="CX137" s="3404"/>
      <c r="CY137" s="3404"/>
      <c r="CZ137" s="1080">
        <f>IF(CX137=0,0,(CY137-CX137)/CX137*100)</f>
        <v>0</v>
      </c>
      <c r="DA137" s="3404"/>
      <c r="DB137" s="3404"/>
      <c r="DC137" s="1080">
        <f>IF(DA137=0,0,(DB137-DA137)/DA137*100)</f>
        <v>0</v>
      </c>
      <c r="DD137" s="3404"/>
      <c r="DE137" s="3404"/>
      <c r="DF137" s="1080">
        <f>IF(DD137=0,0,(DE137-DD137)/DD137*100)</f>
        <v>0</v>
      </c>
      <c r="DG137" s="3404"/>
      <c r="DH137" s="3404"/>
      <c r="DI137" s="1080">
        <f>IF(DG137=0,0,(DH137-DG137)/DG137*100)</f>
        <v>0</v>
      </c>
      <c r="DJ137" s="3404"/>
      <c r="DK137" s="3404"/>
      <c r="DL137" s="1080">
        <f>IF(DJ137=0,0,(DK137-DJ137)/DJ137*100)</f>
        <v>0</v>
      </c>
      <c r="DM137" s="3404"/>
      <c r="DN137" s="3404"/>
      <c r="DO137" s="1080">
        <f>IF(DM137=0,0,(DN137-DM137)/DM137*100)</f>
        <v>0</v>
      </c>
      <c r="DP137" s="3404"/>
      <c r="DQ137" s="3404"/>
      <c r="DR137" s="1080">
        <f>IF(DP137=0,0,(DQ137-DP137)/DP137*100)</f>
        <v>0</v>
      </c>
      <c r="DS137" s="3404"/>
      <c r="DT137" s="3404"/>
      <c r="DU137" s="1080">
        <f>IF(DS137=0,0,(DT137-DS137)/DS137*100)</f>
        <v>0</v>
      </c>
      <c r="DV137" s="3404"/>
      <c r="DW137" s="3404"/>
      <c r="DX137" s="1080">
        <f>IF(DV137=0,0,(DW137-DV137)/DV137*100)</f>
        <v>0</v>
      </c>
      <c r="DY137" s="3404"/>
      <c r="DZ137" s="3404"/>
      <c r="EA137" s="1080">
        <f>IF(DY137=0,0,(DZ137-DY137)/DY137*100)</f>
        <v>0</v>
      </c>
      <c r="EB137" s="3404"/>
      <c r="EC137" s="3404"/>
      <c r="ED137" s="1080">
        <f>IF(EB137=0,0,(EC137-EB137)/EB137*100)</f>
        <v>0</v>
      </c>
      <c r="EE137" s="3404"/>
      <c r="EF137" s="3404"/>
      <c r="EG137" s="1080">
        <f>IF(EE137=0,0,(EF137-EE137)/EE137*100)</f>
        <v>0</v>
      </c>
      <c r="EH137" s="3404"/>
      <c r="EI137" s="3404"/>
      <c r="EJ137" s="1080">
        <f>IF(EH137=0,0,(EI137-EH137)/EH137*100)</f>
        <v>0</v>
      </c>
      <c r="EK137" s="3404"/>
      <c r="EL137" s="3404"/>
      <c r="EM137" s="1080">
        <f>IF(EK137=0,0,(EL137-EK137)/EK137*100)</f>
        <v>0</v>
      </c>
      <c r="EN137" s="3404"/>
      <c r="EO137" s="3404"/>
      <c r="EP137" s="1080">
        <f>IF(EN137=0,0,(EO137-EN137)/EN137*100)</f>
        <v>0</v>
      </c>
      <c r="EQ137" s="3404"/>
      <c r="ER137" s="3404"/>
      <c r="ES137" s="1080">
        <f>IF(EQ137=0,0,(ER137-EQ137)/EQ137*100)</f>
        <v>0</v>
      </c>
      <c r="ET137" s="3404"/>
      <c r="EU137" s="3404"/>
      <c r="EV137" s="1080">
        <f>IF(ET137=0,0,(EU137-ET137)/ET137*100)</f>
        <v>0</v>
      </c>
      <c r="EW137" s="3404"/>
      <c r="EX137" s="3404"/>
      <c r="EY137" s="1080">
        <f>IF(EW137=0,0,(EX137-EW137)/EW137*100)</f>
        <v>0</v>
      </c>
      <c r="EZ137" s="3404"/>
      <c r="FA137" s="3404"/>
      <c r="FB137" s="1080">
        <f>IF(EZ137=0,0,(FA137-EZ137)/EZ137*100)</f>
        <v>0</v>
      </c>
      <c r="FC137" s="3404"/>
      <c r="FD137" s="3404"/>
      <c r="FE137" s="1080">
        <f>IF(FC137=0,0,(FD137-FC137)/FC137*100)</f>
        <v>0</v>
      </c>
      <c r="FF137" s="3404"/>
      <c r="FG137" s="3404"/>
      <c r="FH137" s="1080">
        <f>IF(FF137=0,0,(FG137-FF137)/FF137*100)</f>
        <v>0</v>
      </c>
      <c r="FI137" s="3404"/>
      <c r="FJ137" s="3404"/>
      <c r="FK137" s="1080">
        <f>IF(FI137=0,0,(FJ137-FI137)/FI137*100)</f>
        <v>0</v>
      </c>
      <c r="FL137" s="3404"/>
      <c r="FM137" s="3404"/>
      <c r="FN137" s="1080">
        <f>IF(FL137=0,0,(FM137-FL137)/FL137*100)</f>
        <v>0</v>
      </c>
      <c r="FO137" s="3404"/>
      <c r="FP137" s="3404"/>
      <c r="FQ137" s="1080">
        <f>IF(FO137=0,0,(FP137-FO137)/FO137*100)</f>
        <v>0</v>
      </c>
      <c r="FR137" s="3404"/>
      <c r="FS137" s="3404"/>
      <c r="FT137" s="1080">
        <f>IF(FR137=0,0,(FS137-FR137)/FR137*100)</f>
        <v>0</v>
      </c>
      <c r="FU137" s="3404"/>
      <c r="FV137" s="3404"/>
      <c r="FW137" s="1080">
        <f>IF(FU137=0,0,(FV137-FU137)/FU137*100)</f>
        <v>0</v>
      </c>
      <c r="FX137" s="259"/>
      <c r="FY137" s="676"/>
      <c r="FZ137" s="1039" t="s">
        <v>1575</v>
      </c>
      <c r="GA137" s="1061"/>
      <c r="GB137" s="1061"/>
      <c r="GC137" s="697"/>
      <c r="GD137" s="697"/>
    </row>
    <row s="1621" customFormat="1" customHeight="1" ht="18" hidden="1">
      <c r="A138" s="467"/>
      <c r="B138" s="907" cm="1" t="str">
        <f t="array" ref="B138:B138">B137</f>
        <v>false</v>
      </c>
      <c r="C138" s="467"/>
      <c r="D138" s="467"/>
      <c r="E138" s="822">
        <v>18.75</v>
      </c>
      <c r="F138" s="50" cm="1" t="str">
        <f t="array" ref="F138:F138">OFFSET(E138,-1,1)</f>
        <v>1</v>
      </c>
      <c r="G138" s="467"/>
      <c r="H138" s="467" t="s">
        <v>441</v>
      </c>
      <c r="I138" s="467" cm="1" t="str">
        <f t="array" ref="I138:I138">AB138</f>
        <v>0</v>
      </c>
      <c r="J138" s="467"/>
      <c r="K138" s="467"/>
      <c r="L138" s="467"/>
      <c r="M138" s="467"/>
      <c r="N138" s="467"/>
      <c r="O138" s="467"/>
      <c r="P138" s="467"/>
      <c r="Q138" s="467"/>
      <c r="R138" s="467"/>
      <c r="S138" s="467"/>
      <c r="T138" s="439">
        <f>AND(F138&gt;0,Y138&gt;0)</f>
        <v>0</v>
      </c>
      <c r="U138" s="467"/>
      <c r="V138" s="467"/>
      <c r="W138" s="467" t="s">
        <v>173</v>
      </c>
      <c r="X138" s="1534"/>
      <c r="Y138" s="467">
        <v>0</v>
      </c>
      <c r="Z138" s="1464"/>
      <c r="AA138" s="642" t="s">
        <v>174</v>
      </c>
      <c r="AB138" s="3433"/>
      <c r="AC138" s="846" t="s">
        <v>1494</v>
      </c>
      <c r="AD138" s="3409"/>
      <c r="AE138" s="3410"/>
      <c r="AF138" s="1078">
        <f>IF(AD138=0,0,(AE138-AD138)/AD138*100)</f>
        <v>0</v>
      </c>
      <c r="AG138" s="3410"/>
      <c r="AH138" s="3410"/>
      <c r="AI138" s="1078">
        <f>IF(AG138=0,0,(AH138-AG138)/AG138*100)</f>
        <v>0</v>
      </c>
      <c r="AJ138" s="3410"/>
      <c r="AK138" s="3410"/>
      <c r="AL138" s="1078">
        <f>IF(AJ138=0,0,(AK138-AJ138)/AJ138*100)</f>
        <v>0</v>
      </c>
      <c r="AM138" s="3410"/>
      <c r="AN138" s="3410"/>
      <c r="AO138" s="1078">
        <f>IF(AM138=0,0,(AN138-AM138)/AM138*100)</f>
        <v>0</v>
      </c>
      <c r="AP138" s="3410"/>
      <c r="AQ138" s="3410"/>
      <c r="AR138" s="1078">
        <f>IF(AP138=0,0,(AQ138-AP138)/AP138*100)</f>
        <v>0</v>
      </c>
      <c r="AS138" s="3410"/>
      <c r="AT138" s="3410"/>
      <c r="AU138" s="1078">
        <f>IF(AS138=0,0,(AT138-AS138)/AS138*100)</f>
        <v>0</v>
      </c>
      <c r="AV138" s="3410"/>
      <c r="AW138" s="3410"/>
      <c r="AX138" s="1078">
        <f>IF(AV138=0,0,(AW138-AV138)/AV138*100)</f>
        <v>0</v>
      </c>
      <c r="AY138" s="3410"/>
      <c r="AZ138" s="3410"/>
      <c r="BA138" s="1078">
        <f>IF(AY138=0,0,(AZ138-AY138)/AY138*100)</f>
        <v>0</v>
      </c>
      <c r="BB138" s="3410"/>
      <c r="BC138" s="3410"/>
      <c r="BD138" s="1078">
        <f>IF(BB138=0,0,(BC138-BB138)/BB138*100)</f>
        <v>0</v>
      </c>
      <c r="BE138" s="3410"/>
      <c r="BF138" s="3410"/>
      <c r="BG138" s="1078">
        <f>IF(BE138=0,0,(BF138-BE138)/BE138*100)</f>
        <v>0</v>
      </c>
      <c r="BH138" s="3410"/>
      <c r="BI138" s="3410"/>
      <c r="BJ138" s="1078">
        <f>IF(BH138=0,0,(BI138-BH138)/BH138*100)</f>
        <v>0</v>
      </c>
      <c r="BK138" s="3410"/>
      <c r="BL138" s="3410"/>
      <c r="BM138" s="1078">
        <f>IF(BK138=0,0,(BL138-BK138)/BK138*100)</f>
        <v>0</v>
      </c>
      <c r="BN138" s="3410"/>
      <c r="BO138" s="3410"/>
      <c r="BP138" s="1078">
        <f>IF(BN138=0,0,(BO138-BN138)/BN138*100)</f>
        <v>0</v>
      </c>
      <c r="BQ138" s="3410"/>
      <c r="BR138" s="3410"/>
      <c r="BS138" s="1078">
        <f>IF(BQ138=0,0,(BR138-BQ138)/BQ138*100)</f>
        <v>0</v>
      </c>
      <c r="BT138" s="3410"/>
      <c r="BU138" s="3410"/>
      <c r="BV138" s="1078">
        <f>IF(BT138=0,0,(BU138-BT138)/BT138*100)</f>
        <v>0</v>
      </c>
      <c r="BW138" s="3410"/>
      <c r="BX138" s="3410"/>
      <c r="BY138" s="1078">
        <f>IF(BW138=0,0,(BX138-BW138)/BW138*100)</f>
        <v>0</v>
      </c>
      <c r="BZ138" s="3410"/>
      <c r="CA138" s="3410"/>
      <c r="CB138" s="1078">
        <f>IF(BZ138=0,0,(CA138-BZ138)/BZ138*100)</f>
        <v>0</v>
      </c>
      <c r="CC138" s="3410"/>
      <c r="CD138" s="3410"/>
      <c r="CE138" s="1078">
        <f>IF(CC138=0,0,(CD138-CC138)/CC138*100)</f>
        <v>0</v>
      </c>
      <c r="CF138" s="3410"/>
      <c r="CG138" s="3410"/>
      <c r="CH138" s="1078">
        <f>IF(CF138=0,0,(CG138-CF138)/CF138*100)</f>
        <v>0</v>
      </c>
      <c r="CI138" s="3410"/>
      <c r="CJ138" s="3410"/>
      <c r="CK138" s="1078">
        <f>IF(CI138=0,0,(CJ138-CI138)/CI138*100)</f>
        <v>0</v>
      </c>
      <c r="CL138" s="3410"/>
      <c r="CM138" s="3410"/>
      <c r="CN138" s="1078">
        <f>IF(CL138=0,0,(CM138-CL138)/CL138*100)</f>
        <v>0</v>
      </c>
      <c r="CO138" s="3410"/>
      <c r="CP138" s="3410"/>
      <c r="CQ138" s="1078">
        <f>IF(CO138=0,0,(CP138-CO138)/CO138*100)</f>
        <v>0</v>
      </c>
      <c r="CR138" s="3410"/>
      <c r="CS138" s="3410"/>
      <c r="CT138" s="1078">
        <f>IF(CR138=0,0,(CS138-CR138)/CR138*100)</f>
        <v>0</v>
      </c>
      <c r="CU138" s="3410"/>
      <c r="CV138" s="3410"/>
      <c r="CW138" s="1078">
        <f>IF(CU138=0,0,(CV138-CU138)/CU138*100)</f>
        <v>0</v>
      </c>
      <c r="CX138" s="3410"/>
      <c r="CY138" s="3410"/>
      <c r="CZ138" s="1078">
        <f>IF(CX138=0,0,(CY138-CX138)/CX138*100)</f>
        <v>0</v>
      </c>
      <c r="DA138" s="3410"/>
      <c r="DB138" s="3410"/>
      <c r="DC138" s="1078">
        <f>IF(DA138=0,0,(DB138-DA138)/DA138*100)</f>
        <v>0</v>
      </c>
      <c r="DD138" s="3410"/>
      <c r="DE138" s="3410"/>
      <c r="DF138" s="1078">
        <f>IF(DD138=0,0,(DE138-DD138)/DD138*100)</f>
        <v>0</v>
      </c>
      <c r="DG138" s="3410"/>
      <c r="DH138" s="3410"/>
      <c r="DI138" s="1078">
        <f>IF(DG138=0,0,(DH138-DG138)/DG138*100)</f>
        <v>0</v>
      </c>
      <c r="DJ138" s="3410"/>
      <c r="DK138" s="3410"/>
      <c r="DL138" s="1078">
        <f>IF(DJ138=0,0,(DK138-DJ138)/DJ138*100)</f>
        <v>0</v>
      </c>
      <c r="DM138" s="3410"/>
      <c r="DN138" s="3410"/>
      <c r="DO138" s="1078">
        <f>IF(DM138=0,0,(DN138-DM138)/DM138*100)</f>
        <v>0</v>
      </c>
      <c r="DP138" s="3410"/>
      <c r="DQ138" s="3410"/>
      <c r="DR138" s="1078">
        <f>IF(DP138=0,0,(DQ138-DP138)/DP138*100)</f>
        <v>0</v>
      </c>
      <c r="DS138" s="3410"/>
      <c r="DT138" s="3410"/>
      <c r="DU138" s="1078">
        <f>IF(DS138=0,0,(DT138-DS138)/DS138*100)</f>
        <v>0</v>
      </c>
      <c r="DV138" s="3410"/>
      <c r="DW138" s="3410"/>
      <c r="DX138" s="1078">
        <f>IF(DV138=0,0,(DW138-DV138)/DV138*100)</f>
        <v>0</v>
      </c>
      <c r="DY138" s="3410"/>
      <c r="DZ138" s="3410"/>
      <c r="EA138" s="1078">
        <f>IF(DY138=0,0,(DZ138-DY138)/DY138*100)</f>
        <v>0</v>
      </c>
      <c r="EB138" s="3410"/>
      <c r="EC138" s="3410"/>
      <c r="ED138" s="1078">
        <f>IF(EB138=0,0,(EC138-EB138)/EB138*100)</f>
        <v>0</v>
      </c>
      <c r="EE138" s="3410"/>
      <c r="EF138" s="3410"/>
      <c r="EG138" s="1078">
        <f>IF(EE138=0,0,(EF138-EE138)/EE138*100)</f>
        <v>0</v>
      </c>
      <c r="EH138" s="3410"/>
      <c r="EI138" s="3410"/>
      <c r="EJ138" s="1078">
        <f>IF(EH138=0,0,(EI138-EH138)/EH138*100)</f>
        <v>0</v>
      </c>
      <c r="EK138" s="3410"/>
      <c r="EL138" s="3410"/>
      <c r="EM138" s="1078">
        <f>IF(EK138=0,0,(EL138-EK138)/EK138*100)</f>
        <v>0</v>
      </c>
      <c r="EN138" s="3410"/>
      <c r="EO138" s="3410"/>
      <c r="EP138" s="1078">
        <f>IF(EN138=0,0,(EO138-EN138)/EN138*100)</f>
        <v>0</v>
      </c>
      <c r="EQ138" s="3410"/>
      <c r="ER138" s="3410"/>
      <c r="ES138" s="1078">
        <f>IF(EQ138=0,0,(ER138-EQ138)/EQ138*100)</f>
        <v>0</v>
      </c>
      <c r="ET138" s="3410"/>
      <c r="EU138" s="3410"/>
      <c r="EV138" s="1078">
        <f>IF(ET138=0,0,(EU138-ET138)/ET138*100)</f>
        <v>0</v>
      </c>
      <c r="EW138" s="3410"/>
      <c r="EX138" s="3410"/>
      <c r="EY138" s="1078">
        <f>IF(EW138=0,0,(EX138-EW138)/EW138*100)</f>
        <v>0</v>
      </c>
      <c r="EZ138" s="3410"/>
      <c r="FA138" s="3410"/>
      <c r="FB138" s="1078">
        <f>IF(EZ138=0,0,(FA138-EZ138)/EZ138*100)</f>
        <v>0</v>
      </c>
      <c r="FC138" s="3410"/>
      <c r="FD138" s="3410"/>
      <c r="FE138" s="1078">
        <f>IF(FC138=0,0,(FD138-FC138)/FC138*100)</f>
        <v>0</v>
      </c>
      <c r="FF138" s="3410"/>
      <c r="FG138" s="3410"/>
      <c r="FH138" s="1078">
        <f>IF(FF138=0,0,(FG138-FF138)/FF138*100)</f>
        <v>0</v>
      </c>
      <c r="FI138" s="3410"/>
      <c r="FJ138" s="3410"/>
      <c r="FK138" s="1078">
        <f>IF(FI138=0,0,(FJ138-FI138)/FI138*100)</f>
        <v>0</v>
      </c>
      <c r="FL138" s="3410"/>
      <c r="FM138" s="3410"/>
      <c r="FN138" s="1078">
        <f>IF(FL138=0,0,(FM138-FL138)/FL138*100)</f>
        <v>0</v>
      </c>
      <c r="FO138" s="3410"/>
      <c r="FP138" s="3410"/>
      <c r="FQ138" s="1078">
        <f>IF(FO138=0,0,(FP138-FO138)/FO138*100)</f>
        <v>0</v>
      </c>
      <c r="FR138" s="3410"/>
      <c r="FS138" s="3410"/>
      <c r="FT138" s="1078">
        <f>IF(FR138=0,0,(FS138-FR138)/FR138*100)</f>
        <v>0</v>
      </c>
      <c r="FU138" s="3410"/>
      <c r="FV138" s="3410"/>
      <c r="FW138" s="1078">
        <f>IF(FU138=0,0,(FV138-FU138)/FU138*100)</f>
        <v>0</v>
      </c>
      <c r="FX138" s="259"/>
      <c r="FY138" s="676"/>
      <c r="FZ138" s="1039" t="s">
        <v>1576</v>
      </c>
      <c r="GA138" s="998" t="s">
        <v>1577</v>
      </c>
      <c r="GB138" s="998" cm="1" t="str">
        <f t="array" ref="GB138:GB138">AB138</f>
        <v>0</v>
      </c>
      <c r="GC138" s="697"/>
      <c r="GD138" s="611" t="b">
        <v>1</v>
      </c>
    </row>
    <row s="1621" customFormat="1" customHeight="1" ht="14.25" hidden="1">
      <c r="A139" s="676"/>
      <c r="B139" s="907" cm="1" t="str">
        <f t="array" ref="B139:B139">B138</f>
        <v>false</v>
      </c>
      <c r="C139" s="676"/>
      <c r="D139" s="467"/>
      <c r="E139" s="822">
        <v>15</v>
      </c>
      <c r="F139" s="50" cm="1" t="str">
        <f t="array" ref="F139:F139">OFFSET(E139,-1,1)</f>
        <v>1</v>
      </c>
      <c r="G139" s="467"/>
      <c r="H139" s="676"/>
      <c r="I139" s="64" t="s">
        <v>1578</v>
      </c>
      <c r="J139" s="676"/>
      <c r="K139" s="676"/>
      <c r="L139" s="676"/>
      <c r="M139" s="676"/>
      <c r="N139" s="676"/>
      <c r="O139" s="676"/>
      <c r="P139" s="676"/>
      <c r="Q139" s="676"/>
      <c r="R139" s="676"/>
      <c r="S139" s="676"/>
      <c r="T139" s="439">
        <f>F139&gt;0</f>
        <v>1</v>
      </c>
      <c r="U139" s="676"/>
      <c r="V139" s="676"/>
      <c r="W139" s="738" t="s">
        <v>1524</v>
      </c>
      <c r="X139" s="1534"/>
      <c r="Y139" s="676"/>
      <c r="Z139" s="1464"/>
      <c r="AA139" s="676"/>
      <c r="AB139" s="227" t="s">
        <v>177</v>
      </c>
      <c r="AC139" s="231"/>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c r="BN139" s="229"/>
      <c r="BO139" s="229"/>
      <c r="BP139" s="229"/>
      <c r="BQ139" s="229"/>
      <c r="BR139" s="229"/>
      <c r="BS139" s="229"/>
      <c r="BT139" s="229"/>
      <c r="BU139" s="229"/>
      <c r="BV139" s="229"/>
      <c r="BW139" s="229"/>
      <c r="BX139" s="229"/>
      <c r="BY139" s="229"/>
      <c r="BZ139" s="229"/>
      <c r="CA139" s="229"/>
      <c r="CB139" s="229"/>
      <c r="CC139" s="229"/>
      <c r="CD139" s="229"/>
      <c r="CE139" s="229"/>
      <c r="CF139" s="229"/>
      <c r="CG139" s="229"/>
      <c r="CH139" s="229"/>
      <c r="CI139" s="229"/>
      <c r="CJ139" s="229"/>
      <c r="CK139" s="229"/>
      <c r="CL139" s="229"/>
      <c r="CM139" s="229"/>
      <c r="CN139" s="229"/>
      <c r="CO139" s="229"/>
      <c r="CP139" s="229"/>
      <c r="CQ139" s="229"/>
      <c r="CR139" s="229"/>
      <c r="CS139" s="229"/>
      <c r="CT139" s="229"/>
      <c r="CU139" s="229"/>
      <c r="CV139" s="229"/>
      <c r="CW139" s="229"/>
      <c r="CX139" s="229"/>
      <c r="CY139" s="229"/>
      <c r="CZ139" s="229"/>
      <c r="DA139" s="229"/>
      <c r="DB139" s="229"/>
      <c r="DC139" s="229"/>
      <c r="DD139" s="229"/>
      <c r="DE139" s="229"/>
      <c r="DF139" s="229"/>
      <c r="DG139" s="229"/>
      <c r="DH139" s="229"/>
      <c r="DI139" s="229"/>
      <c r="DJ139" s="229"/>
      <c r="DK139" s="229"/>
      <c r="DL139" s="229"/>
      <c r="DM139" s="229"/>
      <c r="DN139" s="229"/>
      <c r="DO139" s="229"/>
      <c r="DP139" s="229"/>
      <c r="DQ139" s="229"/>
      <c r="DR139" s="229"/>
      <c r="DS139" s="229"/>
      <c r="DT139" s="229"/>
      <c r="DU139" s="229"/>
      <c r="DV139" s="229"/>
      <c r="DW139" s="229"/>
      <c r="DX139" s="229"/>
      <c r="DY139" s="229"/>
      <c r="DZ139" s="229"/>
      <c r="EA139" s="229"/>
      <c r="EB139" s="229"/>
      <c r="EC139" s="229"/>
      <c r="ED139" s="229"/>
      <c r="EE139" s="229"/>
      <c r="EF139" s="229"/>
      <c r="EG139" s="229"/>
      <c r="EH139" s="229"/>
      <c r="EI139" s="229"/>
      <c r="EJ139" s="229"/>
      <c r="EK139" s="229"/>
      <c r="EL139" s="229"/>
      <c r="EM139" s="229"/>
      <c r="EN139" s="229"/>
      <c r="EO139" s="229"/>
      <c r="EP139" s="229"/>
      <c r="EQ139" s="229"/>
      <c r="ER139" s="229"/>
      <c r="ES139" s="229"/>
      <c r="ET139" s="229"/>
      <c r="EU139" s="229"/>
      <c r="EV139" s="229"/>
      <c r="EW139" s="229"/>
      <c r="EX139" s="229"/>
      <c r="EY139" s="229"/>
      <c r="EZ139" s="229"/>
      <c r="FA139" s="229"/>
      <c r="FB139" s="229"/>
      <c r="FC139" s="229"/>
      <c r="FD139" s="229"/>
      <c r="FE139" s="229"/>
      <c r="FF139" s="229"/>
      <c r="FG139" s="229"/>
      <c r="FH139" s="229"/>
      <c r="FI139" s="229"/>
      <c r="FJ139" s="229"/>
      <c r="FK139" s="229"/>
      <c r="FL139" s="229"/>
      <c r="FM139" s="229"/>
      <c r="FN139" s="229"/>
      <c r="FO139" s="229"/>
      <c r="FP139" s="229"/>
      <c r="FQ139" s="229"/>
      <c r="FR139" s="229"/>
      <c r="FS139" s="229"/>
      <c r="FT139" s="229"/>
      <c r="FU139" s="229"/>
      <c r="FV139" s="229"/>
      <c r="FW139" s="230"/>
      <c r="FX139" s="676"/>
      <c r="FY139" s="676"/>
      <c r="FZ139" s="1061"/>
      <c r="GA139" s="1061"/>
      <c r="GB139" s="1061"/>
      <c r="GC139" s="611" t="s">
        <v>1577</v>
      </c>
      <c r="GD139" s="697"/>
    </row>
    <row s="1621" customFormat="1" customHeight="1" ht="10.5">
      <c r="A140" s="64"/>
      <c r="B140" s="887"/>
      <c r="C140" s="64"/>
      <c r="D140" s="467"/>
      <c r="E140" s="822">
        <v>11.5</v>
      </c>
      <c r="F140" s="691"/>
      <c r="G140" s="467"/>
      <c r="H140" s="64"/>
      <c r="I140" s="64"/>
      <c r="J140" s="64"/>
      <c r="K140" s="64"/>
      <c r="L140" s="64"/>
      <c r="M140" s="64"/>
      <c r="N140" s="64"/>
      <c r="O140" s="64"/>
      <c r="P140" s="64"/>
      <c r="Q140" s="64"/>
      <c r="R140" s="64"/>
      <c r="S140" s="64"/>
      <c r="T140" s="439" cm="1" t="str">
        <f t="array" ref="T140:T140">T139</f>
        <v>true</v>
      </c>
      <c r="U140" s="64"/>
      <c r="V140" s="64"/>
      <c r="W140" s="738"/>
      <c r="X140" s="1534"/>
      <c r="Y140" s="64"/>
      <c r="Z140" s="1464"/>
      <c r="AA140" s="64"/>
      <c r="AB140" s="174"/>
      <c r="AC140" s="1187"/>
      <c r="AD140" s="676"/>
      <c r="AE140" s="676"/>
      <c r="AF140" s="676"/>
      <c r="AG140" s="676"/>
      <c r="AH140" s="676"/>
      <c r="AI140" s="676"/>
      <c r="AJ140" s="676"/>
      <c r="AK140" s="676"/>
      <c r="AL140" s="676"/>
      <c r="AM140" s="676"/>
      <c r="AN140" s="676"/>
      <c r="AO140" s="676"/>
      <c r="AP140" s="676"/>
      <c r="AQ140" s="676"/>
      <c r="AR140" s="676"/>
      <c r="AS140" s="676"/>
      <c r="AT140" s="676"/>
      <c r="AU140" s="676"/>
      <c r="AV140" s="676"/>
      <c r="AW140" s="676"/>
      <c r="AX140" s="676"/>
      <c r="AY140" s="676"/>
      <c r="AZ140" s="676"/>
      <c r="BA140" s="676"/>
      <c r="BB140" s="676"/>
      <c r="BC140" s="676"/>
      <c r="BD140" s="676"/>
      <c r="BE140" s="676"/>
      <c r="BF140" s="676"/>
      <c r="BG140" s="676"/>
      <c r="BH140" s="676"/>
      <c r="BI140" s="676"/>
      <c r="BJ140" s="676"/>
      <c r="BK140" s="676"/>
      <c r="BL140" s="676"/>
      <c r="BM140" s="676"/>
      <c r="BN140" s="676"/>
      <c r="BO140" s="676"/>
      <c r="BP140" s="676"/>
      <c r="BQ140" s="676"/>
      <c r="BR140" s="676"/>
      <c r="BS140" s="676"/>
      <c r="BT140" s="676"/>
      <c r="BU140" s="676"/>
      <c r="BV140" s="676"/>
      <c r="BW140" s="676"/>
      <c r="BX140" s="676"/>
      <c r="BY140" s="676"/>
      <c r="BZ140" s="676"/>
      <c r="CA140" s="676"/>
      <c r="CB140" s="676"/>
      <c r="CC140" s="676"/>
      <c r="CD140" s="676"/>
      <c r="CE140" s="676"/>
      <c r="CF140" s="676"/>
      <c r="CG140" s="676"/>
      <c r="CH140" s="676"/>
      <c r="CI140" s="676"/>
      <c r="CJ140" s="676"/>
      <c r="CK140" s="676"/>
      <c r="CL140" s="676"/>
      <c r="CM140" s="676"/>
      <c r="CN140" s="676"/>
      <c r="CO140" s="676"/>
      <c r="CP140" s="676"/>
      <c r="CQ140" s="676"/>
      <c r="CR140" s="676"/>
      <c r="CS140" s="676"/>
      <c r="CT140" s="676"/>
      <c r="CU140" s="676"/>
      <c r="CV140" s="676"/>
      <c r="CW140" s="676"/>
      <c r="CX140" s="676"/>
      <c r="CY140" s="676"/>
      <c r="CZ140" s="676"/>
      <c r="DA140" s="676"/>
      <c r="DB140" s="676"/>
      <c r="DC140" s="676"/>
      <c r="DD140" s="676"/>
      <c r="DE140" s="676"/>
      <c r="DF140" s="676"/>
      <c r="DG140" s="676"/>
      <c r="DH140" s="676"/>
      <c r="DI140" s="676"/>
      <c r="DJ140" s="676"/>
      <c r="DK140" s="676"/>
      <c r="DL140" s="676"/>
      <c r="DM140" s="676"/>
      <c r="DN140" s="676"/>
      <c r="DO140" s="676"/>
      <c r="DP140" s="676"/>
      <c r="DQ140" s="676"/>
      <c r="DR140" s="676"/>
      <c r="DS140" s="676"/>
      <c r="DT140" s="676"/>
      <c r="DU140" s="676"/>
      <c r="DV140" s="676"/>
      <c r="DW140" s="676"/>
      <c r="DX140" s="676"/>
      <c r="DY140" s="676"/>
      <c r="DZ140" s="676"/>
      <c r="EA140" s="676"/>
      <c r="EB140" s="676"/>
      <c r="EC140" s="676"/>
      <c r="ED140" s="676"/>
      <c r="EE140" s="676"/>
      <c r="EF140" s="676"/>
      <c r="EG140" s="676"/>
      <c r="EH140" s="676"/>
      <c r="EI140" s="676"/>
      <c r="EJ140" s="676"/>
      <c r="EK140" s="676"/>
      <c r="EL140" s="676"/>
      <c r="EM140" s="676"/>
      <c r="EN140" s="676"/>
      <c r="EO140" s="676"/>
      <c r="EP140" s="676"/>
      <c r="EQ140" s="676"/>
      <c r="ER140" s="676"/>
      <c r="ES140" s="676"/>
      <c r="ET140" s="676"/>
      <c r="EU140" s="676"/>
      <c r="EV140" s="676"/>
      <c r="EW140" s="676"/>
      <c r="EX140" s="676"/>
      <c r="EY140" s="676"/>
      <c r="EZ140" s="676"/>
      <c r="FA140" s="676"/>
      <c r="FB140" s="676"/>
      <c r="FC140" s="676"/>
      <c r="FD140" s="676"/>
      <c r="FE140" s="676"/>
      <c r="FF140" s="676"/>
      <c r="FG140" s="676"/>
      <c r="FH140" s="676"/>
      <c r="FI140" s="676"/>
      <c r="FJ140" s="676"/>
      <c r="FK140" s="676"/>
      <c r="FL140" s="676"/>
      <c r="FM140" s="676"/>
      <c r="FN140" s="676"/>
      <c r="FO140" s="676"/>
      <c r="FP140" s="676"/>
      <c r="FQ140" s="676"/>
      <c r="FR140" s="676"/>
      <c r="FS140" s="676"/>
      <c r="FT140" s="676"/>
      <c r="FU140" s="676"/>
      <c r="FV140" s="676"/>
      <c r="FW140" s="676"/>
      <c r="FX140" s="676"/>
      <c r="FY140" s="676"/>
      <c r="FZ140" s="989"/>
      <c r="GA140" s="989"/>
      <c r="GB140" s="984"/>
      <c r="GC140" s="655"/>
      <c r="GD140" s="655"/>
    </row>
    <row s="1621" customFormat="1" customHeight="1" ht="14.25">
      <c r="A141" s="467"/>
      <c r="B141" s="854"/>
      <c r="C141" s="467"/>
      <c r="D141" s="467"/>
      <c r="E141" s="822">
        <v>15</v>
      </c>
      <c r="F141" s="468" cm="1" t="str">
        <f t="array" ref="F141:F141">X141</f>
        <v>2</v>
      </c>
      <c r="G141" s="467" cm="1" t="str">
        <f t="array" ref="G141:G141">INDEX('Общие сведения'!$AK$179:$AK$222,MATCH($X141,'Общие сведения'!$Z$179:$Z$222,0))</f>
        <v>одноставочный</v>
      </c>
      <c r="H141" s="467"/>
      <c r="I141" s="467"/>
      <c r="J141" s="467"/>
      <c r="K141" s="467"/>
      <c r="L141" s="467"/>
      <c r="M141" s="467"/>
      <c r="N141" s="467"/>
      <c r="O141" s="467"/>
      <c r="P141" s="467"/>
      <c r="Q141" s="467" cm="1" t="str">
        <f t="array" ref="Q141:Q141">INDEX('Общие сведения'!$AE$179:$AE$222,MATCH($X141,'Общие сведения'!$Z$179:$Z$222,0))</f>
        <v>Водоотведение</v>
      </c>
      <c r="R141" s="458" cm="1" t="str">
        <f t="array" ref="R141:R141">INDEX('Общие сведения'!$AK$179:$AK$222,MATCH($X141,'Общие сведения'!$Z$179:$Z$222,0))</f>
        <v>одноставочный</v>
      </c>
      <c r="S141" s="467" cm="1" t="str">
        <f t="array" ref="S141:S141">INDEX('Общие сведения'!$AN$179:$AN$222,MATCH($X141,'Общие сведения'!$Z$179:$Z$222,0))</f>
        <v>false</v>
      </c>
      <c r="T141" s="439">
        <f>X141&gt;0</f>
        <v>1</v>
      </c>
      <c r="U141" s="467"/>
      <c r="V141" s="467" cm="1" t="str">
        <f t="array" ref="V141:V141">'Корректировка НВВ'!$AB$129</f>
        <v>Тариф 2 (Водоотведение) - тариф на водоотведение (Оказание услуг на территории: Прокопьевский муниципальный округ (ОКТМО: 32522000) - п Калачево)</v>
      </c>
      <c r="W141" s="467"/>
      <c r="X141" s="1534" t="s">
        <v>283</v>
      </c>
      <c r="Y141" s="467"/>
      <c r="Z141" s="1464"/>
      <c r="AA141" s="467"/>
      <c r="AB141" s="1570" t="s">
        <v>21</v>
      </c>
      <c r="AC141" s="1571"/>
      <c r="AD141" s="875" cm="1" t="str">
        <f t="array" ref="AD141:AD141">'Корректировка НВВ'!$AB$129</f>
        <v>Тариф 2 (Водоотведение) - тариф на водоотведение (Оказание услуг на территории: Прокопьевский муниципальный округ (ОКТМО: 32522000) - п Калачево)</v>
      </c>
      <c r="AE141" s="253"/>
      <c r="AF141" s="253"/>
      <c r="AG141" s="253"/>
      <c r="AH141" s="253"/>
      <c r="AI141" s="253"/>
      <c r="AJ141" s="253"/>
      <c r="AK141" s="253"/>
      <c r="AL141" s="253"/>
      <c r="AM141" s="253"/>
      <c r="AN141" s="253"/>
      <c r="AO141" s="253"/>
      <c r="AP141" s="253"/>
      <c r="AQ141" s="253"/>
      <c r="AR141" s="253"/>
      <c r="AS141" s="253"/>
      <c r="AT141" s="253"/>
      <c r="AU141" s="253"/>
      <c r="AV141" s="253"/>
      <c r="AW141" s="253"/>
      <c r="AX141" s="253"/>
      <c r="AY141" s="253"/>
      <c r="AZ141" s="253"/>
      <c r="BA141" s="253"/>
      <c r="BB141" s="253"/>
      <c r="BC141" s="253"/>
      <c r="BD141" s="253"/>
      <c r="BE141" s="253"/>
      <c r="BF141" s="253"/>
      <c r="BG141" s="253"/>
      <c r="BH141" s="253"/>
      <c r="BI141" s="253"/>
      <c r="BJ141" s="253"/>
      <c r="BK141" s="253"/>
      <c r="BL141" s="253"/>
      <c r="BM141" s="253"/>
      <c r="BN141" s="253"/>
      <c r="BO141" s="253"/>
      <c r="BP141" s="253"/>
      <c r="BQ141" s="253"/>
      <c r="BR141" s="253"/>
      <c r="BS141" s="253"/>
      <c r="BT141" s="253"/>
      <c r="BU141" s="253"/>
      <c r="BV141" s="253"/>
      <c r="BW141" s="253"/>
      <c r="BX141" s="253"/>
      <c r="BY141" s="253"/>
      <c r="BZ141" s="253"/>
      <c r="CA141" s="253"/>
      <c r="CB141" s="253"/>
      <c r="CC141" s="253"/>
      <c r="CD141" s="253"/>
      <c r="CE141" s="253"/>
      <c r="CF141" s="253"/>
      <c r="CG141" s="253"/>
      <c r="CH141" s="253"/>
      <c r="CI141" s="253"/>
      <c r="CJ141" s="253"/>
      <c r="CK141" s="253"/>
      <c r="CL141" s="253"/>
      <c r="CM141" s="253"/>
      <c r="CN141" s="253"/>
      <c r="CO141" s="253"/>
      <c r="CP141" s="253"/>
      <c r="CQ141" s="253"/>
      <c r="CR141" s="253"/>
      <c r="CS141" s="253"/>
      <c r="CT141" s="253"/>
      <c r="CU141" s="253"/>
      <c r="CV141" s="253"/>
      <c r="CW141" s="253"/>
      <c r="CX141" s="253"/>
      <c r="CY141" s="253"/>
      <c r="CZ141" s="253"/>
      <c r="DA141" s="253"/>
      <c r="DB141" s="253"/>
      <c r="DC141" s="253"/>
      <c r="DD141" s="253"/>
      <c r="DE141" s="253"/>
      <c r="DF141" s="253"/>
      <c r="DG141" s="253"/>
      <c r="DH141" s="253"/>
      <c r="DI141" s="253"/>
      <c r="DJ141" s="253"/>
      <c r="DK141" s="253"/>
      <c r="DL141" s="253"/>
      <c r="DM141" s="253"/>
      <c r="DN141" s="253"/>
      <c r="DO141" s="253"/>
      <c r="DP141" s="253"/>
      <c r="DQ141" s="253"/>
      <c r="DR141" s="253"/>
      <c r="DS141" s="253"/>
      <c r="DT141" s="253"/>
      <c r="DU141" s="253"/>
      <c r="DV141" s="253"/>
      <c r="DW141" s="253"/>
      <c r="DX141" s="253"/>
      <c r="DY141" s="253"/>
      <c r="DZ141" s="253"/>
      <c r="EA141" s="253"/>
      <c r="EB141" s="253"/>
      <c r="EC141" s="253"/>
      <c r="ED141" s="253"/>
      <c r="EE141" s="253"/>
      <c r="EF141" s="253"/>
      <c r="EG141" s="253"/>
      <c r="EH141" s="253"/>
      <c r="EI141" s="253"/>
      <c r="EJ141" s="253"/>
      <c r="EK141" s="253"/>
      <c r="EL141" s="253"/>
      <c r="EM141" s="253"/>
      <c r="EN141" s="253"/>
      <c r="EO141" s="253"/>
      <c r="EP141" s="253"/>
      <c r="EQ141" s="253"/>
      <c r="ER141" s="253"/>
      <c r="ES141" s="253"/>
      <c r="ET141" s="253"/>
      <c r="EU141" s="253"/>
      <c r="EV141" s="253"/>
      <c r="EW141" s="253"/>
      <c r="EX141" s="253"/>
      <c r="EY141" s="253"/>
      <c r="EZ141" s="253"/>
      <c r="FA141" s="253"/>
      <c r="FB141" s="253"/>
      <c r="FC141" s="253"/>
      <c r="FD141" s="253"/>
      <c r="FE141" s="253"/>
      <c r="FF141" s="253"/>
      <c r="FG141" s="253"/>
      <c r="FH141" s="253"/>
      <c r="FI141" s="253"/>
      <c r="FJ141" s="253"/>
      <c r="FK141" s="253"/>
      <c r="FL141" s="253"/>
      <c r="FM141" s="253"/>
      <c r="FN141" s="253"/>
      <c r="FO141" s="253"/>
      <c r="FP141" s="253"/>
      <c r="FQ141" s="253"/>
      <c r="FR141" s="253"/>
      <c r="FS141" s="253"/>
      <c r="FT141" s="253"/>
      <c r="FU141" s="253"/>
      <c r="FV141" s="253"/>
      <c r="FW141" s="254"/>
      <c r="FX141" s="676"/>
      <c r="FY141" s="676"/>
      <c r="FZ141" s="1061"/>
      <c r="GA141" s="1061"/>
      <c r="GB141" s="1061"/>
      <c r="GC141" s="697"/>
      <c r="GD141" s="697"/>
    </row>
    <row s="1621" customFormat="1" customHeight="1" ht="14.25">
      <c r="A142" s="467"/>
      <c r="B142" s="854"/>
      <c r="C142" s="467"/>
      <c r="D142" s="467"/>
      <c r="E142" s="822">
        <v>15</v>
      </c>
      <c r="F142" s="50" cm="1" t="str">
        <f t="array" ref="F142:F142">OFFSET(E142,-1,1)</f>
        <v>2</v>
      </c>
      <c r="G142" s="467"/>
      <c r="H142" s="467"/>
      <c r="I142" s="467"/>
      <c r="J142" s="467"/>
      <c r="K142" s="467"/>
      <c r="L142" s="467"/>
      <c r="M142" s="467"/>
      <c r="N142" s="467"/>
      <c r="O142" s="467"/>
      <c r="P142" s="467"/>
      <c r="Q142" s="467"/>
      <c r="R142" s="458"/>
      <c r="S142" s="458"/>
      <c r="T142" s="439" cm="1" t="str">
        <f t="array" ref="T142:T142">T141</f>
        <v>true</v>
      </c>
      <c r="U142" s="467"/>
      <c r="V142" s="467"/>
      <c r="W142" s="467"/>
      <c r="X142" s="1534"/>
      <c r="Y142" s="467"/>
      <c r="Z142" s="1464"/>
      <c r="AA142" s="467"/>
      <c r="AB142" s="1422" t="str">
        <f>"Вид "&amp;IF(ISERROR(SEARCH("Водоснабжение",AD141)),"сточных вод","воды")</f>
        <v>Вид сточных вод</v>
      </c>
      <c r="AC142" s="1424"/>
      <c r="AD142" s="875" cm="1" t="str">
        <f t="array" ref="AD142:AD142">INDEX('Общие сведения'!$AH$179:$AH$222,MATCH($X141,'Общие сведения'!$Z$179:$Z$222,0))</f>
        <v>без дифференциации</v>
      </c>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c r="CE142" s="255"/>
      <c r="CF142" s="255"/>
      <c r="CG142" s="255"/>
      <c r="CH142" s="255"/>
      <c r="CI142" s="255"/>
      <c r="CJ142" s="255"/>
      <c r="CK142" s="255"/>
      <c r="CL142" s="255"/>
      <c r="CM142" s="255"/>
      <c r="CN142" s="255"/>
      <c r="CO142" s="255"/>
      <c r="CP142" s="255"/>
      <c r="CQ142" s="255"/>
      <c r="CR142" s="255"/>
      <c r="CS142" s="255"/>
      <c r="CT142" s="255"/>
      <c r="CU142" s="255"/>
      <c r="CV142" s="255"/>
      <c r="CW142" s="255"/>
      <c r="CX142" s="255"/>
      <c r="CY142" s="255"/>
      <c r="CZ142" s="255"/>
      <c r="DA142" s="255"/>
      <c r="DB142" s="255"/>
      <c r="DC142" s="255"/>
      <c r="DD142" s="255"/>
      <c r="DE142" s="255"/>
      <c r="DF142" s="255"/>
      <c r="DG142" s="255"/>
      <c r="DH142" s="255"/>
      <c r="DI142" s="255"/>
      <c r="DJ142" s="255"/>
      <c r="DK142" s="255"/>
      <c r="DL142" s="255"/>
      <c r="DM142" s="255"/>
      <c r="DN142" s="255"/>
      <c r="DO142" s="255"/>
      <c r="DP142" s="255"/>
      <c r="DQ142" s="255"/>
      <c r="DR142" s="255"/>
      <c r="DS142" s="255"/>
      <c r="DT142" s="255"/>
      <c r="DU142" s="255"/>
      <c r="DV142" s="255"/>
      <c r="DW142" s="255"/>
      <c r="DX142" s="255"/>
      <c r="DY142" s="255"/>
      <c r="DZ142" s="255"/>
      <c r="EA142" s="255"/>
      <c r="EB142" s="255"/>
      <c r="EC142" s="255"/>
      <c r="ED142" s="255"/>
      <c r="EE142" s="255"/>
      <c r="EF142" s="255"/>
      <c r="EG142" s="255"/>
      <c r="EH142" s="255"/>
      <c r="EI142" s="255"/>
      <c r="EJ142" s="255"/>
      <c r="EK142" s="255"/>
      <c r="EL142" s="255"/>
      <c r="EM142" s="255"/>
      <c r="EN142" s="255"/>
      <c r="EO142" s="255"/>
      <c r="EP142" s="255"/>
      <c r="EQ142" s="255"/>
      <c r="ER142" s="255"/>
      <c r="ES142" s="255"/>
      <c r="ET142" s="255"/>
      <c r="EU142" s="255"/>
      <c r="EV142" s="255"/>
      <c r="EW142" s="255"/>
      <c r="EX142" s="255"/>
      <c r="EY142" s="255"/>
      <c r="EZ142" s="255"/>
      <c r="FA142" s="255"/>
      <c r="FB142" s="255"/>
      <c r="FC142" s="255"/>
      <c r="FD142" s="255"/>
      <c r="FE142" s="255"/>
      <c r="FF142" s="255"/>
      <c r="FG142" s="255"/>
      <c r="FH142" s="255"/>
      <c r="FI142" s="255"/>
      <c r="FJ142" s="255"/>
      <c r="FK142" s="255"/>
      <c r="FL142" s="255"/>
      <c r="FM142" s="255"/>
      <c r="FN142" s="255"/>
      <c r="FO142" s="255"/>
      <c r="FP142" s="255"/>
      <c r="FQ142" s="255"/>
      <c r="FR142" s="255"/>
      <c r="FS142" s="255"/>
      <c r="FT142" s="255"/>
      <c r="FU142" s="255"/>
      <c r="FV142" s="255"/>
      <c r="FW142" s="256"/>
      <c r="FX142" s="676"/>
      <c r="FY142" s="676"/>
      <c r="FZ142" s="1061"/>
      <c r="GA142" s="1061"/>
      <c r="GB142" s="1061"/>
      <c r="GC142" s="697"/>
      <c r="GD142" s="697"/>
    </row>
    <row s="1621" customFormat="1" customHeight="1" ht="14.25">
      <c r="A143" s="467"/>
      <c r="B143" s="854"/>
      <c r="C143" s="467"/>
      <c r="D143" s="467"/>
      <c r="E143" s="822">
        <v>15</v>
      </c>
      <c r="F143" s="50" cm="1" t="str">
        <f t="array" ref="F143:F143">OFFSET(E143,-1,1)</f>
        <v>2</v>
      </c>
      <c r="G143" s="467"/>
      <c r="H143" s="467"/>
      <c r="I143" s="467"/>
      <c r="J143" s="467"/>
      <c r="K143" s="467"/>
      <c r="L143" s="467"/>
      <c r="M143" s="467"/>
      <c r="N143" s="467"/>
      <c r="O143" s="467"/>
      <c r="P143" s="467"/>
      <c r="Q143" s="467"/>
      <c r="R143" s="458"/>
      <c r="S143" s="458"/>
      <c r="T143" s="439" cm="1" t="str">
        <f t="array" ref="T143:T143">T142</f>
        <v>true</v>
      </c>
      <c r="U143" s="467"/>
      <c r="V143" s="467"/>
      <c r="W143" s="467"/>
      <c r="X143" s="1534"/>
      <c r="Y143" s="467"/>
      <c r="Z143" s="1464"/>
      <c r="AA143" s="467"/>
      <c r="AB143" s="1422" t="s">
        <v>1488</v>
      </c>
      <c r="AC143" s="1424"/>
      <c r="AD143" s="875" cm="1" t="str">
        <f t="array" ref="AD143:AD143">INDEX('Общие сведения'!$AI$179:$AI$222,MATCH($X141,'Общие сведения'!$Z$179:$Z$222,0))</f>
        <v>тариф на водоотведение</v>
      </c>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T143" s="255"/>
      <c r="BU143" s="255"/>
      <c r="BV143" s="255"/>
      <c r="BW143" s="255"/>
      <c r="BX143" s="255"/>
      <c r="BY143" s="255"/>
      <c r="BZ143" s="255"/>
      <c r="CA143" s="255"/>
      <c r="CB143" s="255"/>
      <c r="CC143" s="255"/>
      <c r="CD143" s="255"/>
      <c r="CE143" s="255"/>
      <c r="CF143" s="255"/>
      <c r="CG143" s="255"/>
      <c r="CH143" s="255"/>
      <c r="CI143" s="255"/>
      <c r="CJ143" s="255"/>
      <c r="CK143" s="255"/>
      <c r="CL143" s="255"/>
      <c r="CM143" s="255"/>
      <c r="CN143" s="255"/>
      <c r="CO143" s="255"/>
      <c r="CP143" s="255"/>
      <c r="CQ143" s="255"/>
      <c r="CR143" s="255"/>
      <c r="CS143" s="255"/>
      <c r="CT143" s="255"/>
      <c r="CU143" s="255"/>
      <c r="CV143" s="255"/>
      <c r="CW143" s="255"/>
      <c r="CX143" s="255"/>
      <c r="CY143" s="255"/>
      <c r="CZ143" s="255"/>
      <c r="DA143" s="255"/>
      <c r="DB143" s="255"/>
      <c r="DC143" s="255"/>
      <c r="DD143" s="255"/>
      <c r="DE143" s="255"/>
      <c r="DF143" s="255"/>
      <c r="DG143" s="255"/>
      <c r="DH143" s="255"/>
      <c r="DI143" s="255"/>
      <c r="DJ143" s="255"/>
      <c r="DK143" s="255"/>
      <c r="DL143" s="255"/>
      <c r="DM143" s="255"/>
      <c r="DN143" s="255"/>
      <c r="DO143" s="255"/>
      <c r="DP143" s="255"/>
      <c r="DQ143" s="255"/>
      <c r="DR143" s="255"/>
      <c r="DS143" s="255"/>
      <c r="DT143" s="255"/>
      <c r="DU143" s="255"/>
      <c r="DV143" s="255"/>
      <c r="DW143" s="255"/>
      <c r="DX143" s="255"/>
      <c r="DY143" s="255"/>
      <c r="DZ143" s="255"/>
      <c r="EA143" s="255"/>
      <c r="EB143" s="255"/>
      <c r="EC143" s="255"/>
      <c r="ED143" s="255"/>
      <c r="EE143" s="255"/>
      <c r="EF143" s="255"/>
      <c r="EG143" s="255"/>
      <c r="EH143" s="255"/>
      <c r="EI143" s="255"/>
      <c r="EJ143" s="255"/>
      <c r="EK143" s="255"/>
      <c r="EL143" s="255"/>
      <c r="EM143" s="255"/>
      <c r="EN143" s="255"/>
      <c r="EO143" s="255"/>
      <c r="EP143" s="255"/>
      <c r="EQ143" s="255"/>
      <c r="ER143" s="255"/>
      <c r="ES143" s="255"/>
      <c r="ET143" s="255"/>
      <c r="EU143" s="255"/>
      <c r="EV143" s="255"/>
      <c r="EW143" s="255"/>
      <c r="EX143" s="255"/>
      <c r="EY143" s="255"/>
      <c r="EZ143" s="255"/>
      <c r="FA143" s="255"/>
      <c r="FB143" s="255"/>
      <c r="FC143" s="255"/>
      <c r="FD143" s="255"/>
      <c r="FE143" s="255"/>
      <c r="FF143" s="255"/>
      <c r="FG143" s="255"/>
      <c r="FH143" s="255"/>
      <c r="FI143" s="255"/>
      <c r="FJ143" s="255"/>
      <c r="FK143" s="255"/>
      <c r="FL143" s="255"/>
      <c r="FM143" s="255"/>
      <c r="FN143" s="255"/>
      <c r="FO143" s="255"/>
      <c r="FP143" s="255"/>
      <c r="FQ143" s="255"/>
      <c r="FR143" s="255"/>
      <c r="FS143" s="255"/>
      <c r="FT143" s="255"/>
      <c r="FU143" s="255"/>
      <c r="FV143" s="255"/>
      <c r="FW143" s="256"/>
      <c r="FX143" s="676"/>
      <c r="FY143" s="676"/>
      <c r="FZ143" s="1061"/>
      <c r="GA143" s="1061"/>
      <c r="GB143" s="1061"/>
      <c r="GC143" s="697"/>
      <c r="GD143" s="697"/>
    </row>
    <row s="1621" customFormat="1" customHeight="1" ht="14.25">
      <c r="A144" s="467"/>
      <c r="B144" s="854"/>
      <c r="C144" s="467"/>
      <c r="D144" s="467"/>
      <c r="E144" s="822">
        <v>15</v>
      </c>
      <c r="F144" s="50" cm="1" t="str">
        <f t="array" ref="F144:F144">OFFSET(E144,-1,1)</f>
        <v>2</v>
      </c>
      <c r="G144" s="467"/>
      <c r="H144" s="467"/>
      <c r="I144" s="467"/>
      <c r="J144" s="467"/>
      <c r="K144" s="467"/>
      <c r="L144" s="467"/>
      <c r="M144" s="467"/>
      <c r="N144" s="467"/>
      <c r="O144" s="467"/>
      <c r="P144" s="467"/>
      <c r="Q144" s="910"/>
      <c r="R144" s="467"/>
      <c r="S144" s="458"/>
      <c r="T144" s="439" cm="1" t="str">
        <f t="array" ref="T144:T144">T143</f>
        <v>true</v>
      </c>
      <c r="U144" s="467"/>
      <c r="V144" s="467"/>
      <c r="W144" s="467"/>
      <c r="X144" s="1534"/>
      <c r="Y144" s="467"/>
      <c r="Z144" s="1464"/>
      <c r="AA144" s="467"/>
      <c r="AB144" s="1422" t="s">
        <v>1489</v>
      </c>
      <c r="AC144" s="1424"/>
      <c r="AD144" s="875" cm="1" t="str">
        <f t="array" ref="AD144:AD144">INDEX('Общие сведения'!$AJ$179:$AJ$222,MATCH($X141,'Общие сведения'!$Z$179:$Z$222,0))</f>
        <v>Оказание услуг на территории: Прокопьевский муниципальный округ (ОКТМО: 32522000) - п Калачево</v>
      </c>
      <c r="AE144" s="255"/>
      <c r="AF144" s="255"/>
      <c r="AG144" s="255"/>
      <c r="AH144" s="25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5"/>
      <c r="BJ144" s="255"/>
      <c r="BK144" s="255"/>
      <c r="BL144" s="255"/>
      <c r="BM144" s="255"/>
      <c r="BN144" s="255"/>
      <c r="BO144" s="255"/>
      <c r="BP144" s="255"/>
      <c r="BQ144" s="255"/>
      <c r="BR144" s="255"/>
      <c r="BS144" s="255"/>
      <c r="BT144" s="255"/>
      <c r="BU144" s="255"/>
      <c r="BV144" s="255"/>
      <c r="BW144" s="255"/>
      <c r="BX144" s="255"/>
      <c r="BY144" s="255"/>
      <c r="BZ144" s="255"/>
      <c r="CA144" s="255"/>
      <c r="CB144" s="255"/>
      <c r="CC144" s="255"/>
      <c r="CD144" s="255"/>
      <c r="CE144" s="255"/>
      <c r="CF144" s="255"/>
      <c r="CG144" s="255"/>
      <c r="CH144" s="255"/>
      <c r="CI144" s="255"/>
      <c r="CJ144" s="255"/>
      <c r="CK144" s="255"/>
      <c r="CL144" s="255"/>
      <c r="CM144" s="255"/>
      <c r="CN144" s="255"/>
      <c r="CO144" s="255"/>
      <c r="CP144" s="255"/>
      <c r="CQ144" s="255"/>
      <c r="CR144" s="255"/>
      <c r="CS144" s="255"/>
      <c r="CT144" s="255"/>
      <c r="CU144" s="255"/>
      <c r="CV144" s="255"/>
      <c r="CW144" s="255"/>
      <c r="CX144" s="255"/>
      <c r="CY144" s="255"/>
      <c r="CZ144" s="255"/>
      <c r="DA144" s="255"/>
      <c r="DB144" s="255"/>
      <c r="DC144" s="255"/>
      <c r="DD144" s="255"/>
      <c r="DE144" s="255"/>
      <c r="DF144" s="255"/>
      <c r="DG144" s="255"/>
      <c r="DH144" s="255"/>
      <c r="DI144" s="255"/>
      <c r="DJ144" s="255"/>
      <c r="DK144" s="255"/>
      <c r="DL144" s="255"/>
      <c r="DM144" s="255"/>
      <c r="DN144" s="255"/>
      <c r="DO144" s="255"/>
      <c r="DP144" s="255"/>
      <c r="DQ144" s="255"/>
      <c r="DR144" s="255"/>
      <c r="DS144" s="255"/>
      <c r="DT144" s="255"/>
      <c r="DU144" s="255"/>
      <c r="DV144" s="255"/>
      <c r="DW144" s="255"/>
      <c r="DX144" s="255"/>
      <c r="DY144" s="255"/>
      <c r="DZ144" s="255"/>
      <c r="EA144" s="255"/>
      <c r="EB144" s="255"/>
      <c r="EC144" s="255"/>
      <c r="ED144" s="255"/>
      <c r="EE144" s="255"/>
      <c r="EF144" s="255"/>
      <c r="EG144" s="255"/>
      <c r="EH144" s="255"/>
      <c r="EI144" s="255"/>
      <c r="EJ144" s="255"/>
      <c r="EK144" s="255"/>
      <c r="EL144" s="255"/>
      <c r="EM144" s="255"/>
      <c r="EN144" s="255"/>
      <c r="EO144" s="255"/>
      <c r="EP144" s="255"/>
      <c r="EQ144" s="255"/>
      <c r="ER144" s="255"/>
      <c r="ES144" s="255"/>
      <c r="ET144" s="255"/>
      <c r="EU144" s="255"/>
      <c r="EV144" s="255"/>
      <c r="EW144" s="255"/>
      <c r="EX144" s="255"/>
      <c r="EY144" s="255"/>
      <c r="EZ144" s="255"/>
      <c r="FA144" s="255"/>
      <c r="FB144" s="255"/>
      <c r="FC144" s="255"/>
      <c r="FD144" s="255"/>
      <c r="FE144" s="255"/>
      <c r="FF144" s="255"/>
      <c r="FG144" s="255"/>
      <c r="FH144" s="255"/>
      <c r="FI144" s="255"/>
      <c r="FJ144" s="255"/>
      <c r="FK144" s="255"/>
      <c r="FL144" s="255"/>
      <c r="FM144" s="255"/>
      <c r="FN144" s="255"/>
      <c r="FO144" s="255"/>
      <c r="FP144" s="255"/>
      <c r="FQ144" s="255"/>
      <c r="FR144" s="255"/>
      <c r="FS144" s="255"/>
      <c r="FT144" s="255"/>
      <c r="FU144" s="255"/>
      <c r="FV144" s="255"/>
      <c r="FW144" s="256"/>
      <c r="FX144" s="676"/>
      <c r="FY144" s="676"/>
      <c r="FZ144" s="1061"/>
      <c r="GA144" s="1061"/>
      <c r="GB144" s="1061"/>
      <c r="GC144" s="697"/>
      <c r="GD144" s="697"/>
    </row>
    <row s="1621" customFormat="1" customHeight="1" ht="14.25">
      <c r="A145" s="467"/>
      <c r="B145" s="907">
        <f>AND(R141="одноставочный",NOT(S141))</f>
        <v>1</v>
      </c>
      <c r="C145" s="467"/>
      <c r="D145" s="467"/>
      <c r="E145" s="822">
        <v>15</v>
      </c>
      <c r="F145" s="50" cm="1" t="str">
        <f t="array" ref="F145:F145">OFFSET(E145,-1,1)</f>
        <v>2</v>
      </c>
      <c r="G145" s="467"/>
      <c r="H145" s="467"/>
      <c r="I145" s="467"/>
      <c r="J145" s="467"/>
      <c r="K145" s="467"/>
      <c r="L145" s="467"/>
      <c r="M145" s="467"/>
      <c r="N145" s="467"/>
      <c r="O145" s="467"/>
      <c r="P145" s="467"/>
      <c r="Q145" s="467"/>
      <c r="R145" s="467"/>
      <c r="S145" s="467"/>
      <c r="T145" s="439" cm="1" t="str">
        <f t="array" ref="T145:T145">T144</f>
        <v>true</v>
      </c>
      <c r="U145" s="467"/>
      <c r="V145" s="467"/>
      <c r="W145" s="467"/>
      <c r="X145" s="1534"/>
      <c r="Y145" s="467"/>
      <c r="Z145" s="1464"/>
      <c r="AA145" s="467"/>
      <c r="AB145" s="876" t="s">
        <v>1490</v>
      </c>
      <c r="AC145" s="877"/>
      <c r="AD145" s="878"/>
      <c r="AE145" s="878"/>
      <c r="AF145" s="878"/>
      <c r="AG145" s="878"/>
      <c r="AH145" s="878"/>
      <c r="AI145" s="878"/>
      <c r="AJ145" s="878"/>
      <c r="AK145" s="878"/>
      <c r="AL145" s="878"/>
      <c r="AM145" s="878"/>
      <c r="AN145" s="878"/>
      <c r="AO145" s="878"/>
      <c r="AP145" s="878"/>
      <c r="AQ145" s="878"/>
      <c r="AR145" s="878"/>
      <c r="AS145" s="878"/>
      <c r="AT145" s="878"/>
      <c r="AU145" s="878"/>
      <c r="AV145" s="878"/>
      <c r="AW145" s="878"/>
      <c r="AX145" s="878"/>
      <c r="AY145" s="878"/>
      <c r="AZ145" s="878"/>
      <c r="BA145" s="878"/>
      <c r="BB145" s="878"/>
      <c r="BC145" s="878"/>
      <c r="BD145" s="878"/>
      <c r="BE145" s="878"/>
      <c r="BF145" s="878"/>
      <c r="BG145" s="878"/>
      <c r="BH145" s="878"/>
      <c r="BI145" s="878"/>
      <c r="BJ145" s="889"/>
      <c r="BK145" s="878"/>
      <c r="BL145" s="878"/>
      <c r="BM145" s="889"/>
      <c r="BN145" s="878"/>
      <c r="BO145" s="878"/>
      <c r="BP145" s="889"/>
      <c r="BQ145" s="878"/>
      <c r="BR145" s="878"/>
      <c r="BS145" s="889"/>
      <c r="BT145" s="878"/>
      <c r="BU145" s="878"/>
      <c r="BV145" s="889"/>
      <c r="BW145" s="878"/>
      <c r="BX145" s="878"/>
      <c r="BY145" s="889"/>
      <c r="BZ145" s="878"/>
      <c r="CA145" s="878"/>
      <c r="CB145" s="889"/>
      <c r="CC145" s="878"/>
      <c r="CD145" s="878"/>
      <c r="CE145" s="889"/>
      <c r="CF145" s="878"/>
      <c r="CG145" s="878"/>
      <c r="CH145" s="889"/>
      <c r="CI145" s="878"/>
      <c r="CJ145" s="878"/>
      <c r="CK145" s="889"/>
      <c r="CL145" s="878"/>
      <c r="CM145" s="878"/>
      <c r="CN145" s="889"/>
      <c r="CO145" s="878"/>
      <c r="CP145" s="878"/>
      <c r="CQ145" s="889"/>
      <c r="CR145" s="878"/>
      <c r="CS145" s="878"/>
      <c r="CT145" s="889"/>
      <c r="CU145" s="878"/>
      <c r="CV145" s="878"/>
      <c r="CW145" s="889"/>
      <c r="CX145" s="878"/>
      <c r="CY145" s="878"/>
      <c r="CZ145" s="889"/>
      <c r="DA145" s="878"/>
      <c r="DB145" s="878"/>
      <c r="DC145" s="889"/>
      <c r="DD145" s="878"/>
      <c r="DE145" s="878"/>
      <c r="DF145" s="258"/>
      <c r="DG145" s="257"/>
      <c r="DH145" s="257"/>
      <c r="DI145" s="258"/>
      <c r="DJ145" s="257"/>
      <c r="DK145" s="257"/>
      <c r="DL145" s="258"/>
      <c r="DM145" s="257"/>
      <c r="DN145" s="257"/>
      <c r="DO145" s="258"/>
      <c r="DP145" s="257"/>
      <c r="DQ145" s="257"/>
      <c r="DR145" s="258"/>
      <c r="DS145" s="257"/>
      <c r="DT145" s="257"/>
      <c r="DU145" s="258"/>
      <c r="DV145" s="257"/>
      <c r="DW145" s="257"/>
      <c r="DX145" s="258"/>
      <c r="DY145" s="257"/>
      <c r="DZ145" s="257"/>
      <c r="EA145" s="258"/>
      <c r="EB145" s="257"/>
      <c r="EC145" s="257"/>
      <c r="ED145" s="258"/>
      <c r="EE145" s="257"/>
      <c r="EF145" s="257"/>
      <c r="EG145" s="258"/>
      <c r="EH145" s="257"/>
      <c r="EI145" s="257"/>
      <c r="EJ145" s="258"/>
      <c r="EK145" s="257"/>
      <c r="EL145" s="257"/>
      <c r="EM145" s="258"/>
      <c r="EN145" s="257"/>
      <c r="EO145" s="257"/>
      <c r="EP145" s="258"/>
      <c r="EQ145" s="257"/>
      <c r="ER145" s="257"/>
      <c r="ES145" s="258"/>
      <c r="ET145" s="257"/>
      <c r="EU145" s="257"/>
      <c r="EV145" s="258"/>
      <c r="EW145" s="257"/>
      <c r="EX145" s="257"/>
      <c r="EY145" s="258"/>
      <c r="EZ145" s="257"/>
      <c r="FA145" s="257"/>
      <c r="FB145" s="258"/>
      <c r="FC145" s="257"/>
      <c r="FD145" s="257"/>
      <c r="FE145" s="258"/>
      <c r="FF145" s="257"/>
      <c r="FG145" s="257"/>
      <c r="FH145" s="258"/>
      <c r="FI145" s="257"/>
      <c r="FJ145" s="257"/>
      <c r="FK145" s="258"/>
      <c r="FL145" s="257"/>
      <c r="FM145" s="257"/>
      <c r="FN145" s="258"/>
      <c r="FO145" s="257"/>
      <c r="FP145" s="257"/>
      <c r="FQ145" s="258"/>
      <c r="FR145" s="257"/>
      <c r="FS145" s="257"/>
      <c r="FT145" s="258"/>
      <c r="FU145" s="257"/>
      <c r="FV145" s="257"/>
      <c r="FW145" s="258"/>
      <c r="FX145" s="676"/>
      <c r="FY145" s="676"/>
      <c r="FZ145" s="1061"/>
      <c r="GA145" s="1061"/>
      <c r="GB145" s="1061"/>
      <c r="GC145" s="697"/>
      <c r="GD145" s="697"/>
    </row>
    <row s="3902" customFormat="1" customHeight="1" ht="23.25">
      <c r="A146" s="879"/>
      <c r="B146" s="907" cm="1" t="str">
        <f t="array" ref="B146:B146">B145</f>
        <v>true</v>
      </c>
      <c r="C146" s="879"/>
      <c r="D146" s="879"/>
      <c r="E146" s="880">
        <v>24.5</v>
      </c>
      <c r="F146" s="50" cm="1" t="str">
        <f t="array" ref="F146:F146">OFFSET(E146,-1,1)</f>
        <v>2</v>
      </c>
      <c r="G146" s="467" t="s">
        <v>1491</v>
      </c>
      <c r="H146" s="467" t="s">
        <v>441</v>
      </c>
      <c r="I146" s="467" t="s">
        <v>1492</v>
      </c>
      <c r="J146" s="879"/>
      <c r="K146" s="879"/>
      <c r="L146" s="467"/>
      <c r="M146" s="879"/>
      <c r="N146" s="879"/>
      <c r="O146" s="879"/>
      <c r="P146" s="879"/>
      <c r="Q146" s="879"/>
      <c r="R146" s="879"/>
      <c r="S146" s="467"/>
      <c r="T146" s="439" cm="1" t="str">
        <f t="array" ref="T146:T146">T145</f>
        <v>true</v>
      </c>
      <c r="U146" s="879"/>
      <c r="V146" s="879"/>
      <c r="W146" s="879"/>
      <c r="X146" s="1534"/>
      <c r="Y146" s="879"/>
      <c r="Z146" s="1464"/>
      <c r="AA146" s="879"/>
      <c r="AB146" s="260" t="s">
        <v>1493</v>
      </c>
      <c r="AC146" s="261" t="s">
        <v>1494</v>
      </c>
      <c r="AD146" s="881">
        <f>IF(AND(method_reg="Метод индексации",god&lt;&gt;first_year),_xlfn.SUMIFS(INDEX('Калькуляция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(МИ)'!$AJ$25:$BC$459,,MATCH(AD$8,'Калькуляция (МИ)'!$AJ$8:$BC$8,0)),'Калькуляция (МИ)'!$F$25:$F$459,$F146,'Калькуляция (МИ)'!$G$25:$G$459,$G146))))</f>
        <v>71.32</v>
      </c>
      <c r="AE146" s="881">
        <f>IF(AND(method_reg="Метод индексации",god&lt;&gt;first_year),_xlfn.SUMIFS(INDEX('Калькуляция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(МИ)'!$AJ$25:$BC$459,,MATCH(AE$8,'Калькуляция (МИ)'!$AJ$8:$BC$8,0)),'Калькуляция (МИ)'!$F$25:$F$459,$F146,'Калькуляция (МИ)'!$G$25:$G$459,$G146))))</f>
        <v>34.89</v>
      </c>
      <c r="AF146" s="263">
        <f>IF(AD146=0,0,(AE146-AD146)/AD146*100)</f>
        <v>-51.0796410544027</v>
      </c>
      <c r="AG146" s="3395">
        <f>IF(AND(method_reg="Метод индексации",god&lt;&gt;first_year),_xlfn.SUMIFS(INDEX('Калькуляция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(МИ)'!$AJ$25:$BC$459,,MATCH(AG$8,'Калькуляция (МИ)'!$AJ$8:$BC$8,0)),'Калькуляция (МИ)'!$F$25:$F$459,$F146,'Калькуляция (МИ)'!$G$25:$G$459,$G146))))</f>
        <v>0</v>
      </c>
      <c r="AH146" s="3395">
        <f>IF(AND(method_reg="Метод индексации",god&lt;&gt;first_year),_xlfn.SUMIFS(INDEX('Калькуляция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(МИ)'!$AJ$25:$BC$459,,MATCH(AH$8,'Калькуляция (МИ)'!$AJ$8:$BC$8,0)),'Калькуляция (МИ)'!$F$25:$F$459,$F146,'Калькуляция (МИ)'!$G$25:$G$459,$G146))))</f>
        <v>38.3799365587</v>
      </c>
      <c r="AI146" s="263">
        <f>IF(AG146=0,0,(AH146-AG146)/AG146*100)</f>
        <v>0</v>
      </c>
      <c r="AJ146" s="3395">
        <f>IF(AND(method_reg="Метод индексации",god&lt;&gt;first_year),_xlfn.SUMIFS(INDEX('Калькуляция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(МИ)'!$AJ$25:$BC$459,,MATCH(AJ$8,'Калькуляция (МИ)'!$AJ$8:$BC$8,0)),'Калькуляция (МИ)'!$F$25:$F$459,$F146,'Калькуляция (МИ)'!$G$25:$G$459,$G146))))</f>
        <v>0</v>
      </c>
      <c r="AK146" s="3395">
        <f>IF(AND(method_reg="Метод индексации",god&lt;&gt;first_year),_xlfn.SUMIFS(INDEX('Калькуляция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(МИ)'!$AJ$25:$BC$459,,MATCH(AK$8,'Калькуляция (МИ)'!$AJ$8:$BC$8,0)),'Калькуляция (МИ)'!$F$25:$F$459,$F146,'Калькуляция (МИ)'!$G$25:$G$459,$G146))))</f>
        <v>0</v>
      </c>
      <c r="AL146" s="263">
        <f>IF(AJ146=0,0,(AK146-AJ146)/AJ146*100)</f>
        <v>0</v>
      </c>
      <c r="AM146" s="881">
        <f>IF(AND(method_reg="Метод индексации",god&lt;&gt;first_year),_xlfn.SUMIFS(INDEX('Калькуляция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(МИ)'!$AJ$25:$BC$459,,MATCH(AM$8,'Калькуляция (МИ)'!$AJ$8:$BC$8,0)),'Калькуляция (МИ)'!$F$25:$F$459,$F146,'Калькуляция (МИ)'!$G$25:$G$459,$G146))))</f>
        <v>0</v>
      </c>
      <c r="AN146" s="881">
        <f>IF(AND(method_reg="Метод индексации",god&lt;&gt;first_year),_xlfn.SUMIFS(INDEX('Калькуляция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(МИ)'!$AJ$25:$BC$459,,MATCH(AN$8,'Калькуляция (МИ)'!$AJ$8:$BC$8,0)),'Калькуляция (МИ)'!$F$25:$F$459,$F146,'Калькуляция (МИ)'!$G$25:$G$459,$G146))))</f>
        <v>0</v>
      </c>
      <c r="AO146" s="263">
        <f>IF(AM146=0,0,(AN146-AM146)/AM146*100)</f>
        <v>0</v>
      </c>
      <c r="AP146" s="881">
        <f>IF(AND(method_reg="Метод индексации",god&lt;&gt;first_year),_xlfn.SUMIFS(INDEX('Калькуляция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(МИ)'!$AJ$25:$BC$459,,MATCH(AP$8,'Калькуляция (МИ)'!$AJ$8:$BC$8,0)),'Калькуляция (МИ)'!$F$25:$F$459,$F146,'Калькуляция (МИ)'!$G$25:$G$459,$G146))))</f>
        <v>0</v>
      </c>
      <c r="AQ146" s="881">
        <f>IF(AND(method_reg="Метод индексации",god&lt;&gt;first_year),_xlfn.SUMIFS(INDEX('Калькуляция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(МИ)'!$AJ$25:$BC$459,,MATCH(AQ$8,'Калькуляция (МИ)'!$AJ$8:$BC$8,0)),'Калькуляция (МИ)'!$F$25:$F$459,$F146,'Калькуляция (МИ)'!$G$25:$G$459,$G146))))</f>
        <v>0</v>
      </c>
      <c r="AR146" s="263">
        <f>IF(AP146=0,0,(AQ146-AP146)/AP146*100)</f>
        <v>0</v>
      </c>
      <c r="AS146" s="881">
        <f>IF(AND(method_reg="Метод индексации",god&lt;&gt;first_year),_xlfn.SUMIFS(INDEX('Калькуляция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(МИ)'!$AJ$25:$BC$459,,MATCH(AS$8,'Калькуляция (МИ)'!$AJ$8:$BC$8,0)),'Калькуляция (МИ)'!$F$25:$F$459,$F146,'Калькуляция (МИ)'!$G$25:$G$459,$G146))))</f>
        <v>0</v>
      </c>
      <c r="AT146" s="881">
        <f>IF(AND(method_reg="Метод индексации",god&lt;&gt;first_year),_xlfn.SUMIFS(INDEX('Калькуляция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(МИ)'!$AJ$25:$BC$459,,MATCH(AT$8,'Калькуляция (МИ)'!$AJ$8:$BC$8,0)),'Калькуляция (МИ)'!$F$25:$F$459,$F146,'Калькуляция (МИ)'!$G$25:$G$459,$G146))))</f>
        <v>0</v>
      </c>
      <c r="AU146" s="263">
        <f>IF(AS146=0,0,(AT146-AS146)/AS146*100)</f>
        <v>0</v>
      </c>
      <c r="AV146" s="881">
        <f>IF(AND(method_reg="Метод индексации",god&lt;&gt;first_year),_xlfn.SUMIFS(INDEX('Калькуляция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(МИ)'!$AJ$25:$BC$459,,MATCH(AV$8,'Калькуляция (МИ)'!$AJ$8:$BC$8,0)),'Калькуляция (МИ)'!$F$25:$F$459,$F146,'Калькуляция (МИ)'!$G$25:$G$459,$G146))))</f>
        <v>0</v>
      </c>
      <c r="AW146" s="881">
        <f>IF(AND(method_reg="Метод индексации",god&lt;&gt;first_year),_xlfn.SUMIFS(INDEX('Калькуляция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(МИ)'!$AJ$25:$BC$459,,MATCH(AW$8,'Калькуляция (МИ)'!$AJ$8:$BC$8,0)),'Калькуляция (МИ)'!$F$25:$F$459,$F146,'Калькуляция (МИ)'!$G$25:$G$459,$G146))))</f>
        <v>0</v>
      </c>
      <c r="AX146" s="263">
        <f>IF(AV146=0,0,(AW146-AV146)/AV146*100)</f>
        <v>0</v>
      </c>
      <c r="AY146" s="881">
        <f>IF(AND(method_reg="Метод индексации",god&lt;&gt;first_year),_xlfn.SUMIFS(INDEX('Калькуляция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(МИ)'!$AJ$25:$BC$459,,MATCH(AY$8,'Калькуляция (МИ)'!$AJ$8:$BC$8,0)),'Калькуляция (МИ)'!$F$25:$F$459,$F146,'Калькуляция (МИ)'!$G$25:$G$459,$G146))))</f>
        <v>0</v>
      </c>
      <c r="AZ146" s="881">
        <f>IF(AND(method_reg="Метод индексации",god&lt;&gt;first_year),_xlfn.SUMIFS(INDEX('Калькуляция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(МИ)'!$AJ$25:$BC$459,,MATCH(AZ$8,'Калькуляция (МИ)'!$AJ$8:$BC$8,0)),'Калькуляция (МИ)'!$F$25:$F$459,$F146,'Калькуляция (МИ)'!$G$25:$G$459,$G146))))</f>
        <v>0</v>
      </c>
      <c r="BA146" s="263">
        <f>IF(AY146=0,0,(AZ146-AY146)/AY146*100)</f>
        <v>0</v>
      </c>
      <c r="BB146" s="881">
        <f>IF(AND(method_reg="Метод индексации",god&lt;&gt;first_year),_xlfn.SUMIFS(INDEX('Калькуляция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(МИ)'!$AJ$25:$BC$459,,MATCH(BB$8,'Калькуляция (МИ)'!$AJ$8:$BC$8,0)),'Калькуляция (МИ)'!$F$25:$F$459,$F146,'Калькуляция (МИ)'!$G$25:$G$459,$G146))))</f>
        <v>0</v>
      </c>
      <c r="BC146" s="881">
        <f>IF(AND(method_reg="Метод индексации",god&lt;&gt;first_year),_xlfn.SUMIFS(INDEX('Калькуляция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(МИ)'!$AJ$25:$BC$459,,MATCH(BC$8,'Калькуляция (МИ)'!$AJ$8:$BC$8,0)),'Калькуляция (МИ)'!$F$25:$F$459,$F146,'Калькуляция (МИ)'!$G$25:$G$459,$G146))))</f>
        <v>0</v>
      </c>
      <c r="BD146" s="263">
        <f>IF(BB146=0,0,(BC146-BB146)/BB146*100)</f>
        <v>0</v>
      </c>
      <c r="BE146" s="881">
        <f>IF(AND(method_reg="Метод индексации",god&lt;&gt;first_year),_xlfn.SUMIFS(INDEX('Калькуляция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расходов",_xlfn.SUMIFS('Калькуляция (МЭОР)'!$AJ$25:$AJ$282,'Калькуляция (МЭОР)'!$F$25:$F$282,$F146,'Калькуляция (МЭОР)'!$G$25:$G$282,$G146),IF(method_reg="Метод сравнения аналогов",_xlfn.SUMIFS('Калькуляция (МСА)'!$AE$25:$AE$84,'Калькуляция (МСА)'!$F$25:$F$84,$F146,'Калькуляция (МСА)'!$G$25:$G$84,$G146),_xlfn.SUMIFS(INDEX('Калькуляция (МИ)'!$AJ$25:$BC$459,,MATCH(BE$8,'Калькуляция (МИ)'!$AJ$8:$BC$8,0)),'Калькуляция (МИ)'!$F$25:$F$459,$F146,'Калькуляция (МИ)'!$G$25:$G$459,$G146))))</f>
        <v>0</v>
      </c>
      <c r="BF146" s="881">
        <f>IF(AND(method_reg="Метод индексации",god&lt;&gt;first_year),_xlfn.SUMIFS(INDEX('Калькуляция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расходов",_xlfn.SUMIFS('Калькуляция (МЭОР)'!$AK$25:$AK$282,'Калькуляция (МЭОР)'!$F$25:$F$282,$F146,'Калькуляция (МЭОР)'!$G$25:$G$282,$G146),IF(method_reg="Метод сравнения аналогов",_xlfn.SUMIFS('Калькуляция (МСА)'!$AF$25:$AF$84,'Калькуляция (МСА)'!$F$25:$F$84,$F146,'Калькуляция (МСА)'!$G$25:$G$84,$G146),_xlfn.SUMIFS(INDEX('Калькуляция (МИ)'!$AJ$25:$BC$459,,MATCH(BF$8,'Калькуляция (МИ)'!$AJ$8:$BC$8,0)),'Калькуляция (МИ)'!$F$25:$F$459,$F146,'Калькуляция (МИ)'!$G$25:$G$459,$G146))))</f>
        <v>0</v>
      </c>
      <c r="BG146" s="263">
        <f>IF(BE146=0,0,(BF146-BE146)/BE146*100)</f>
        <v>0</v>
      </c>
      <c r="BH146" s="881"/>
      <c r="BI146" s="881"/>
      <c r="BJ146" s="263">
        <f>IF(BH146=0,0,(BI146-BH146)/BH146*100)</f>
        <v>0</v>
      </c>
      <c r="BK146" s="881"/>
      <c r="BL146" s="881"/>
      <c r="BM146" s="263">
        <f>IF(BK146=0,0,(BL146-BK146)/BK146*100)</f>
        <v>0</v>
      </c>
      <c r="BN146" s="881"/>
      <c r="BO146" s="881"/>
      <c r="BP146" s="263">
        <f>IF(BN146=0,0,(BO146-BN146)/BN146*100)</f>
        <v>0</v>
      </c>
      <c r="BQ146" s="881"/>
      <c r="BR146" s="881"/>
      <c r="BS146" s="263">
        <f>IF(BQ146=0,0,(BR146-BQ146)/BQ146*100)</f>
        <v>0</v>
      </c>
      <c r="BT146" s="881"/>
      <c r="BU146" s="881"/>
      <c r="BV146" s="263">
        <f>IF(BT146=0,0,(BU146-BT146)/BT146*100)</f>
        <v>0</v>
      </c>
      <c r="BW146" s="881"/>
      <c r="BX146" s="881"/>
      <c r="BY146" s="263">
        <f>IF(BW146=0,0,(BX146-BW146)/BW146*100)</f>
        <v>0</v>
      </c>
      <c r="BZ146" s="881"/>
      <c r="CA146" s="881"/>
      <c r="CB146" s="263">
        <f>IF(BZ146=0,0,(CA146-BZ146)/BZ146*100)</f>
        <v>0</v>
      </c>
      <c r="CC146" s="881"/>
      <c r="CD146" s="881"/>
      <c r="CE146" s="263">
        <f>IF(CC146=0,0,(CD146-CC146)/CC146*100)</f>
        <v>0</v>
      </c>
      <c r="CF146" s="881"/>
      <c r="CG146" s="881"/>
      <c r="CH146" s="263">
        <f>IF(CF146=0,0,(CG146-CF146)/CF146*100)</f>
        <v>0</v>
      </c>
      <c r="CI146" s="881"/>
      <c r="CJ146" s="881"/>
      <c r="CK146" s="263">
        <f>IF(CI146=0,0,(CJ146-CI146)/CI146*100)</f>
        <v>0</v>
      </c>
      <c r="CL146" s="881"/>
      <c r="CM146" s="881"/>
      <c r="CN146" s="263">
        <f>IF(CL146=0,0,(CM146-CL146)/CL146*100)</f>
        <v>0</v>
      </c>
      <c r="CO146" s="881"/>
      <c r="CP146" s="881"/>
      <c r="CQ146" s="263">
        <f>IF(CO146=0,0,(CP146-CO146)/CO146*100)</f>
        <v>0</v>
      </c>
      <c r="CR146" s="881"/>
      <c r="CS146" s="881"/>
      <c r="CT146" s="263">
        <f>IF(CR146=0,0,(CS146-CR146)/CR146*100)</f>
        <v>0</v>
      </c>
      <c r="CU146" s="881"/>
      <c r="CV146" s="881"/>
      <c r="CW146" s="263">
        <f>IF(CU146=0,0,(CV146-CU146)/CU146*100)</f>
        <v>0</v>
      </c>
      <c r="CX146" s="881"/>
      <c r="CY146" s="881"/>
      <c r="CZ146" s="263">
        <f>IF(CX146=0,0,(CY146-CX146)/CX146*100)</f>
        <v>0</v>
      </c>
      <c r="DA146" s="881"/>
      <c r="DB146" s="881"/>
      <c r="DC146" s="263">
        <f>IF(DA146=0,0,(DB146-DA146)/DA146*100)</f>
        <v>0</v>
      </c>
      <c r="DD146" s="881"/>
      <c r="DE146" s="881"/>
      <c r="DF146" s="263">
        <f>IF(DD146=0,0,(DE146-DD146)/DD146*100)</f>
        <v>0</v>
      </c>
      <c r="DG146" s="262"/>
      <c r="DH146" s="262"/>
      <c r="DI146" s="263">
        <f>IF(DG146=0,0,(DH146-DG146)/DG146*100)</f>
        <v>0</v>
      </c>
      <c r="DJ146" s="262"/>
      <c r="DK146" s="262"/>
      <c r="DL146" s="263">
        <f>IF(DJ146=0,0,(DK146-DJ146)/DJ146*100)</f>
        <v>0</v>
      </c>
      <c r="DM146" s="262"/>
      <c r="DN146" s="262"/>
      <c r="DO146" s="263">
        <f>IF(DM146=0,0,(DN146-DM146)/DM146*100)</f>
        <v>0</v>
      </c>
      <c r="DP146" s="262"/>
      <c r="DQ146" s="262"/>
      <c r="DR146" s="263">
        <f>IF(DP146=0,0,(DQ146-DP146)/DP146*100)</f>
        <v>0</v>
      </c>
      <c r="DS146" s="262"/>
      <c r="DT146" s="262"/>
      <c r="DU146" s="263">
        <f>IF(DS146=0,0,(DT146-DS146)/DS146*100)</f>
        <v>0</v>
      </c>
      <c r="DV146" s="262"/>
      <c r="DW146" s="262"/>
      <c r="DX146" s="263">
        <f>IF(DV146=0,0,(DW146-DV146)/DV146*100)</f>
        <v>0</v>
      </c>
      <c r="DY146" s="262"/>
      <c r="DZ146" s="262"/>
      <c r="EA146" s="263">
        <f>IF(DY146=0,0,(DZ146-DY146)/DY146*100)</f>
        <v>0</v>
      </c>
      <c r="EB146" s="262"/>
      <c r="EC146" s="262"/>
      <c r="ED146" s="263">
        <f>IF(EB146=0,0,(EC146-EB146)/EB146*100)</f>
        <v>0</v>
      </c>
      <c r="EE146" s="262"/>
      <c r="EF146" s="262"/>
      <c r="EG146" s="263">
        <f>IF(EE146=0,0,(EF146-EE146)/EE146*100)</f>
        <v>0</v>
      </c>
      <c r="EH146" s="262"/>
      <c r="EI146" s="262"/>
      <c r="EJ146" s="263">
        <f>IF(EH146=0,0,(EI146-EH146)/EH146*100)</f>
        <v>0</v>
      </c>
      <c r="EK146" s="262"/>
      <c r="EL146" s="262"/>
      <c r="EM146" s="263">
        <f>IF(EK146=0,0,(EL146-EK146)/EK146*100)</f>
        <v>0</v>
      </c>
      <c r="EN146" s="262"/>
      <c r="EO146" s="262"/>
      <c r="EP146" s="263">
        <f>IF(EN146=0,0,(EO146-EN146)/EN146*100)</f>
        <v>0</v>
      </c>
      <c r="EQ146" s="262"/>
      <c r="ER146" s="262"/>
      <c r="ES146" s="263">
        <f>IF(EQ146=0,0,(ER146-EQ146)/EQ146*100)</f>
        <v>0</v>
      </c>
      <c r="ET146" s="262"/>
      <c r="EU146" s="262"/>
      <c r="EV146" s="263">
        <f>IF(ET146=0,0,(EU146-ET146)/ET146*100)</f>
        <v>0</v>
      </c>
      <c r="EW146" s="262"/>
      <c r="EX146" s="262"/>
      <c r="EY146" s="263">
        <f>IF(EW146=0,0,(EX146-EW146)/EW146*100)</f>
        <v>0</v>
      </c>
      <c r="EZ146" s="262"/>
      <c r="FA146" s="262"/>
      <c r="FB146" s="263">
        <f>IF(EZ146=0,0,(FA146-EZ146)/EZ146*100)</f>
        <v>0</v>
      </c>
      <c r="FC146" s="262"/>
      <c r="FD146" s="262"/>
      <c r="FE146" s="263">
        <f>IF(FC146=0,0,(FD146-FC146)/FC146*100)</f>
        <v>0</v>
      </c>
      <c r="FF146" s="262"/>
      <c r="FG146" s="262"/>
      <c r="FH146" s="263">
        <f>IF(FF146=0,0,(FG146-FF146)/FF146*100)</f>
        <v>0</v>
      </c>
      <c r="FI146" s="262"/>
      <c r="FJ146" s="262"/>
      <c r="FK146" s="263">
        <f>IF(FI146=0,0,(FJ146-FI146)/FI146*100)</f>
        <v>0</v>
      </c>
      <c r="FL146" s="262"/>
      <c r="FM146" s="262"/>
      <c r="FN146" s="263">
        <f>IF(FL146=0,0,(FM146-FL146)/FL146*100)</f>
        <v>0</v>
      </c>
      <c r="FO146" s="262"/>
      <c r="FP146" s="262"/>
      <c r="FQ146" s="263">
        <f>IF(FO146=0,0,(FP146-FO146)/FO146*100)</f>
        <v>0</v>
      </c>
      <c r="FR146" s="262"/>
      <c r="FS146" s="262"/>
      <c r="FT146" s="263">
        <f>IF(FR146=0,0,(FS146-FR146)/FR146*100)</f>
        <v>0</v>
      </c>
      <c r="FU146" s="262"/>
      <c r="FV146" s="262"/>
      <c r="FW146" s="263">
        <f>IF(FU146=0,0,(FV146-FU146)/FU146*100)</f>
        <v>0</v>
      </c>
      <c r="FX146" s="259"/>
      <c r="FY146" s="259"/>
      <c r="FZ146" s="1039" t="s">
        <v>1495</v>
      </c>
      <c r="GA146" s="1039"/>
      <c r="GB146" s="1039"/>
      <c r="GC146" s="1040"/>
      <c r="GD146" s="1040"/>
    </row>
    <row s="3903" customFormat="1" customHeight="1" ht="23.25">
      <c r="A147" s="879"/>
      <c r="B147" s="907" cm="1" t="str">
        <f t="array" ref="B147:B147">B146</f>
        <v>true</v>
      </c>
      <c r="C147" s="879"/>
      <c r="D147" s="879"/>
      <c r="E147" s="880">
        <v>24.5</v>
      </c>
      <c r="F147" s="50" cm="1" t="str">
        <f t="array" ref="F147:F147">OFFSET(E147,-1,1)</f>
        <v>2</v>
      </c>
      <c r="G147" s="467" t="s">
        <v>1496</v>
      </c>
      <c r="H147" s="467" t="s">
        <v>441</v>
      </c>
      <c r="I147" s="467" t="s">
        <v>1497</v>
      </c>
      <c r="J147" s="879"/>
      <c r="K147" s="879"/>
      <c r="L147" s="467"/>
      <c r="M147" s="879"/>
      <c r="N147" s="879"/>
      <c r="O147" s="879"/>
      <c r="P147" s="879"/>
      <c r="Q147" s="879"/>
      <c r="R147" s="879"/>
      <c r="S147" s="467"/>
      <c r="T147" s="439" cm="1" t="str">
        <f t="array" ref="T147:T147">T146</f>
        <v>true</v>
      </c>
      <c r="U147" s="879"/>
      <c r="V147" s="879"/>
      <c r="W147" s="879"/>
      <c r="X147" s="1534"/>
      <c r="Y147" s="879"/>
      <c r="Z147" s="1464"/>
      <c r="AA147" s="879"/>
      <c r="AB147" s="260" t="s">
        <v>1498</v>
      </c>
      <c r="AC147" s="261" t="s">
        <v>1494</v>
      </c>
      <c r="AD147" s="881">
        <f>IF(AND(method_reg="Метод индексации",god&lt;&gt;first_year),_xlfn.SUMIFS(INDEX('Калькуляция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(МИ)'!$AJ$25:$BC$459,,MATCH(AD$8,'Калькуляция (МИ)'!$AJ$8:$BC$8,0)),'Калькуляция (МИ)'!$F$25:$F$459,$F147,'Калькуляция (МИ)'!$G$25:$G$459,$G147))))</f>
        <v>71.3248659614</v>
      </c>
      <c r="AE147" s="881">
        <f>IF(AND(method_reg="Метод индексации",god&lt;&gt;first_year),_xlfn.SUMIFS(INDEX('Калькуляция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(МИ)'!$AJ$25:$BC$459,,MATCH(AE$8,'Калькуляция (МИ)'!$AJ$8:$BC$8,0)),'Калькуляция (МИ)'!$F$25:$F$459,$F147,'Калькуляция (МИ)'!$G$25:$G$459,$G147))))</f>
        <v>38.3799365587</v>
      </c>
      <c r="AF147" s="263">
        <f>IF(AD147=0,0,(AE147-AD147)/AD147*100)</f>
        <v>-46.1899632878796</v>
      </c>
      <c r="AG147" s="3395">
        <f>IF(AND(method_reg="Метод индексации",god&lt;&gt;first_year),_xlfn.SUMIFS(INDEX('Калькуляция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(МИ)'!$AJ$25:$BC$459,,MATCH(AG$8,'Калькуляция (МИ)'!$AJ$8:$BC$8,0)),'Калькуляция (МИ)'!$F$25:$F$459,$F147,'Калькуляция (МИ)'!$G$25:$G$459,$G147))))</f>
        <v>0</v>
      </c>
      <c r="AH147" s="3395">
        <f>IF(AND(method_reg="Метод индексации",god&lt;&gt;first_year),_xlfn.SUMIFS(INDEX('Калькуляция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(МИ)'!$AJ$25:$BC$459,,MATCH(AH$8,'Калькуляция (МИ)'!$AJ$8:$BC$8,0)),'Калькуляция (МИ)'!$F$25:$F$459,$F147,'Калькуляция (МИ)'!$G$25:$G$459,$G147))))</f>
        <v>0</v>
      </c>
      <c r="AI147" s="263">
        <f>IF(AG147=0,0,(AH147-AG147)/AG147*100)</f>
        <v>0</v>
      </c>
      <c r="AJ147" s="3395">
        <f>IF(AND(method_reg="Метод индексации",god&lt;&gt;first_year),_xlfn.SUMIFS(INDEX('Калькуляция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(МИ)'!$AJ$25:$BC$459,,MATCH(AJ$8,'Калькуляция (МИ)'!$AJ$8:$BC$8,0)),'Калькуляция (МИ)'!$F$25:$F$459,$F147,'Калькуляция (МИ)'!$G$25:$G$459,$G147))))</f>
        <v>0</v>
      </c>
      <c r="AK147" s="3395">
        <f>IF(AND(method_reg="Метод индексации",god&lt;&gt;first_year),_xlfn.SUMIFS(INDEX('Калькуляция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(МИ)'!$AJ$25:$BC$459,,MATCH(AK$8,'Калькуляция (МИ)'!$AJ$8:$BC$8,0)),'Калькуляция (МИ)'!$F$25:$F$459,$F147,'Калькуляция (МИ)'!$G$25:$G$459,$G147))))</f>
        <v>0</v>
      </c>
      <c r="AL147" s="263">
        <f>IF(AJ147=0,0,(AK147-AJ147)/AJ147*100)</f>
        <v>0</v>
      </c>
      <c r="AM147" s="881">
        <f>IF(AND(method_reg="Метод индексации",god&lt;&gt;first_year),_xlfn.SUMIFS(INDEX('Калькуляция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(МИ)'!$AJ$25:$BC$459,,MATCH(AM$8,'Калькуляция (МИ)'!$AJ$8:$BC$8,0)),'Калькуляция (МИ)'!$F$25:$F$459,$F147,'Калькуляция (МИ)'!$G$25:$G$459,$G147))))</f>
        <v>0</v>
      </c>
      <c r="AN147" s="881">
        <f>IF(AND(method_reg="Метод индексации",god&lt;&gt;first_year),_xlfn.SUMIFS(INDEX('Калькуляция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(МИ)'!$AJ$25:$BC$459,,MATCH(AN$8,'Калькуляция (МИ)'!$AJ$8:$BC$8,0)),'Калькуляция (МИ)'!$F$25:$F$459,$F147,'Калькуляция (МИ)'!$G$25:$G$459,$G147))))</f>
        <v>0</v>
      </c>
      <c r="AO147" s="263">
        <f>IF(AM147=0,0,(AN147-AM147)/AM147*100)</f>
        <v>0</v>
      </c>
      <c r="AP147" s="881">
        <f>IF(AND(method_reg="Метод индексации",god&lt;&gt;first_year),_xlfn.SUMIFS(INDEX('Калькуляция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(МИ)'!$AJ$25:$BC$459,,MATCH(AP$8,'Калькуляция (МИ)'!$AJ$8:$BC$8,0)),'Калькуляция (МИ)'!$F$25:$F$459,$F147,'Калькуляция (МИ)'!$G$25:$G$459,$G147))))</f>
        <v>0</v>
      </c>
      <c r="AQ147" s="881">
        <f>IF(AND(method_reg="Метод индексации",god&lt;&gt;first_year),_xlfn.SUMIFS(INDEX('Калькуляция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(МИ)'!$AJ$25:$BC$459,,MATCH(AQ$8,'Калькуляция (МИ)'!$AJ$8:$BC$8,0)),'Калькуляция (МИ)'!$F$25:$F$459,$F147,'Калькуляция (МИ)'!$G$25:$G$459,$G147))))</f>
        <v>0</v>
      </c>
      <c r="AR147" s="263">
        <f>IF(AP147=0,0,(AQ147-AP147)/AP147*100)</f>
        <v>0</v>
      </c>
      <c r="AS147" s="881">
        <f>IF(AND(method_reg="Метод индексации",god&lt;&gt;first_year),_xlfn.SUMIFS(INDEX('Калькуляция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(МИ)'!$AJ$25:$BC$459,,MATCH(AS$8,'Калькуляция (МИ)'!$AJ$8:$BC$8,0)),'Калькуляция (МИ)'!$F$25:$F$459,$F147,'Калькуляция (МИ)'!$G$25:$G$459,$G147))))</f>
        <v>0</v>
      </c>
      <c r="AT147" s="881">
        <f>IF(AND(method_reg="Метод индексации",god&lt;&gt;first_year),_xlfn.SUMIFS(INDEX('Калькуляция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(МИ)'!$AJ$25:$BC$459,,MATCH(AT$8,'Калькуляция (МИ)'!$AJ$8:$BC$8,0)),'Калькуляция (МИ)'!$F$25:$F$459,$F147,'Калькуляция (МИ)'!$G$25:$G$459,$G147))))</f>
        <v>0</v>
      </c>
      <c r="AU147" s="263">
        <f>IF(AS147=0,0,(AT147-AS147)/AS147*100)</f>
        <v>0</v>
      </c>
      <c r="AV147" s="881">
        <f>IF(AND(method_reg="Метод индексации",god&lt;&gt;first_year),_xlfn.SUMIFS(INDEX('Калькуляция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(МИ)'!$AJ$25:$BC$459,,MATCH(AV$8,'Калькуляция (МИ)'!$AJ$8:$BC$8,0)),'Калькуляция (МИ)'!$F$25:$F$459,$F147,'Калькуляция (МИ)'!$G$25:$G$459,$G147))))</f>
        <v>0</v>
      </c>
      <c r="AW147" s="881">
        <f>IF(AND(method_reg="Метод индексации",god&lt;&gt;first_year),_xlfn.SUMIFS(INDEX('Калькуляция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(МИ)'!$AJ$25:$BC$459,,MATCH(AW$8,'Калькуляция (МИ)'!$AJ$8:$BC$8,0)),'Калькуляция (МИ)'!$F$25:$F$459,$F147,'Калькуляция (МИ)'!$G$25:$G$459,$G147))))</f>
        <v>0</v>
      </c>
      <c r="AX147" s="263">
        <f>IF(AV147=0,0,(AW147-AV147)/AV147*100)</f>
        <v>0</v>
      </c>
      <c r="AY147" s="881">
        <f>IF(AND(method_reg="Метод индексации",god&lt;&gt;first_year),_xlfn.SUMIFS(INDEX('Калькуляция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(МИ)'!$AJ$25:$BC$459,,MATCH(AY$8,'Калькуляция (МИ)'!$AJ$8:$BC$8,0)),'Калькуляция (МИ)'!$F$25:$F$459,$F147,'Калькуляция (МИ)'!$G$25:$G$459,$G147))))</f>
        <v>0</v>
      </c>
      <c r="AZ147" s="881">
        <f>IF(AND(method_reg="Метод индексации",god&lt;&gt;first_year),_xlfn.SUMIFS(INDEX('Калькуляция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(МИ)'!$AJ$25:$BC$459,,MATCH(AZ$8,'Калькуляция (МИ)'!$AJ$8:$BC$8,0)),'Калькуляция (МИ)'!$F$25:$F$459,$F147,'Калькуляция (МИ)'!$G$25:$G$459,$G147))))</f>
        <v>0</v>
      </c>
      <c r="BA147" s="263">
        <f>IF(AY147=0,0,(AZ147-AY147)/AY147*100)</f>
        <v>0</v>
      </c>
      <c r="BB147" s="881">
        <f>IF(AND(method_reg="Метод индексации",god&lt;&gt;first_year),_xlfn.SUMIFS(INDEX('Калькуляция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(МИ)'!$AJ$25:$BC$459,,MATCH(BB$8,'Калькуляция (МИ)'!$AJ$8:$BC$8,0)),'Калькуляция (МИ)'!$F$25:$F$459,$F147,'Калькуляция (МИ)'!$G$25:$G$459,$G147))))</f>
        <v>0</v>
      </c>
      <c r="BC147" s="881">
        <f>IF(AND(method_reg="Метод индексации",god&lt;&gt;first_year),_xlfn.SUMIFS(INDEX('Калькуляция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(МИ)'!$AJ$25:$BC$459,,MATCH(BC$8,'Калькуляция (МИ)'!$AJ$8:$BC$8,0)),'Калькуляция (МИ)'!$F$25:$F$459,$F147,'Калькуляция (МИ)'!$G$25:$G$459,$G147))))</f>
        <v>0</v>
      </c>
      <c r="BD147" s="263">
        <f>IF(BB147=0,0,(BC147-BB147)/BB147*100)</f>
        <v>0</v>
      </c>
      <c r="BE147" s="881">
        <f>IF(AND(method_reg="Метод индексации",god&lt;&gt;first_year),_xlfn.SUMIFS(INDEX('Калькуляция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расходов",_xlfn.SUMIFS('Калькуляция (МЭОР)'!$AJ$25:$AJ$282,'Калькуляция (МЭОР)'!$F$25:$F$282,$F147,'Калькуляция (МЭОР)'!$G$25:$G$282,$G147),IF(method_reg="Метод сравнения аналогов",_xlfn.SUMIFS('Калькуляция (МСА)'!$AE$25:$AE$84,'Калькуляция (МСА)'!$F$25:$F$84,$F147,'Калькуляция (МСА)'!$G$25:$G$84,$G147),_xlfn.SUMIFS(INDEX('Калькуляция (МИ)'!$AJ$25:$BC$459,,MATCH(BE$8,'Калькуляция (МИ)'!$AJ$8:$BC$8,0)),'Калькуляция (МИ)'!$F$25:$F$459,$F147,'Калькуляция (МИ)'!$G$25:$G$459,$G147))))</f>
        <v>0</v>
      </c>
      <c r="BF147" s="881">
        <f>IF(AND(method_reg="Метод индексации",god&lt;&gt;first_year),_xlfn.SUMIFS(INDEX('Калькуляция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расходов",_xlfn.SUMIFS('Калькуляция (МЭОР)'!$AK$25:$AK$282,'Калькуляция (МЭОР)'!$F$25:$F$282,$F147,'Калькуляция (МЭОР)'!$G$25:$G$282,$G147),IF(method_reg="Метод сравнения аналогов",_xlfn.SUMIFS('Калькуляция (МСА)'!$AF$25:$AF$84,'Калькуляция (МСА)'!$F$25:$F$84,$F147,'Калькуляция (МСА)'!$G$25:$G$84,$G147),_xlfn.SUMIFS(INDEX('Калькуляция (МИ)'!$AJ$25:$BC$459,,MATCH(BF$8,'Калькуляция (МИ)'!$AJ$8:$BC$8,0)),'Калькуляция (МИ)'!$F$25:$F$459,$F147,'Калькуляция (МИ)'!$G$25:$G$459,$G147))))</f>
        <v>0</v>
      </c>
      <c r="BG147" s="263">
        <f>IF(BE147=0,0,(BF147-BE147)/BE147*100)</f>
        <v>0</v>
      </c>
      <c r="BH147" s="881"/>
      <c r="BI147" s="881"/>
      <c r="BJ147" s="263">
        <f>IF(BH147=0,0,(BI147-BH147)/BH147*100)</f>
        <v>0</v>
      </c>
      <c r="BK147" s="881"/>
      <c r="BL147" s="881"/>
      <c r="BM147" s="263">
        <f>IF(BK147=0,0,(BL147-BK147)/BK147*100)</f>
        <v>0</v>
      </c>
      <c r="BN147" s="881"/>
      <c r="BO147" s="881"/>
      <c r="BP147" s="263">
        <f>IF(BN147=0,0,(BO147-BN147)/BN147*100)</f>
        <v>0</v>
      </c>
      <c r="BQ147" s="881"/>
      <c r="BR147" s="881"/>
      <c r="BS147" s="263">
        <f>IF(BQ147=0,0,(BR147-BQ147)/BQ147*100)</f>
        <v>0</v>
      </c>
      <c r="BT147" s="881"/>
      <c r="BU147" s="881"/>
      <c r="BV147" s="263">
        <f>IF(BT147=0,0,(BU147-BT147)/BT147*100)</f>
        <v>0</v>
      </c>
      <c r="BW147" s="881"/>
      <c r="BX147" s="881"/>
      <c r="BY147" s="263">
        <f>IF(BW147=0,0,(BX147-BW147)/BW147*100)</f>
        <v>0</v>
      </c>
      <c r="BZ147" s="881"/>
      <c r="CA147" s="881"/>
      <c r="CB147" s="263">
        <f>IF(BZ147=0,0,(CA147-BZ147)/BZ147*100)</f>
        <v>0</v>
      </c>
      <c r="CC147" s="881"/>
      <c r="CD147" s="881"/>
      <c r="CE147" s="263">
        <f>IF(CC147=0,0,(CD147-CC147)/CC147*100)</f>
        <v>0</v>
      </c>
      <c r="CF147" s="881"/>
      <c r="CG147" s="881"/>
      <c r="CH147" s="263">
        <f>IF(CF147=0,0,(CG147-CF147)/CF147*100)</f>
        <v>0</v>
      </c>
      <c r="CI147" s="881"/>
      <c r="CJ147" s="881"/>
      <c r="CK147" s="263">
        <f>IF(CI147=0,0,(CJ147-CI147)/CI147*100)</f>
        <v>0</v>
      </c>
      <c r="CL147" s="881"/>
      <c r="CM147" s="881"/>
      <c r="CN147" s="263">
        <f>IF(CL147=0,0,(CM147-CL147)/CL147*100)</f>
        <v>0</v>
      </c>
      <c r="CO147" s="881"/>
      <c r="CP147" s="881"/>
      <c r="CQ147" s="263">
        <f>IF(CO147=0,0,(CP147-CO147)/CO147*100)</f>
        <v>0</v>
      </c>
      <c r="CR147" s="881"/>
      <c r="CS147" s="881"/>
      <c r="CT147" s="263">
        <f>IF(CR147=0,0,(CS147-CR147)/CR147*100)</f>
        <v>0</v>
      </c>
      <c r="CU147" s="881"/>
      <c r="CV147" s="881"/>
      <c r="CW147" s="263">
        <f>IF(CU147=0,0,(CV147-CU147)/CU147*100)</f>
        <v>0</v>
      </c>
      <c r="CX147" s="881"/>
      <c r="CY147" s="881"/>
      <c r="CZ147" s="263">
        <f>IF(CX147=0,0,(CY147-CX147)/CX147*100)</f>
        <v>0</v>
      </c>
      <c r="DA147" s="881"/>
      <c r="DB147" s="881"/>
      <c r="DC147" s="263">
        <f>IF(DA147=0,0,(DB147-DA147)/DA147*100)</f>
        <v>0</v>
      </c>
      <c r="DD147" s="881"/>
      <c r="DE147" s="881"/>
      <c r="DF147" s="263">
        <f>IF(DD147=0,0,(DE147-DD147)/DD147*100)</f>
        <v>0</v>
      </c>
      <c r="DG147" s="262"/>
      <c r="DH147" s="262"/>
      <c r="DI147" s="263">
        <f>IF(DG147=0,0,(DH147-DG147)/DG147*100)</f>
        <v>0</v>
      </c>
      <c r="DJ147" s="262"/>
      <c r="DK147" s="262"/>
      <c r="DL147" s="263">
        <f>IF(DJ147=0,0,(DK147-DJ147)/DJ147*100)</f>
        <v>0</v>
      </c>
      <c r="DM147" s="262"/>
      <c r="DN147" s="262"/>
      <c r="DO147" s="263">
        <f>IF(DM147=0,0,(DN147-DM147)/DM147*100)</f>
        <v>0</v>
      </c>
      <c r="DP147" s="262"/>
      <c r="DQ147" s="262"/>
      <c r="DR147" s="263">
        <f>IF(DP147=0,0,(DQ147-DP147)/DP147*100)</f>
        <v>0</v>
      </c>
      <c r="DS147" s="262"/>
      <c r="DT147" s="262"/>
      <c r="DU147" s="263">
        <f>IF(DS147=0,0,(DT147-DS147)/DS147*100)</f>
        <v>0</v>
      </c>
      <c r="DV147" s="262"/>
      <c r="DW147" s="262"/>
      <c r="DX147" s="263">
        <f>IF(DV147=0,0,(DW147-DV147)/DV147*100)</f>
        <v>0</v>
      </c>
      <c r="DY147" s="262"/>
      <c r="DZ147" s="262"/>
      <c r="EA147" s="263">
        <f>IF(DY147=0,0,(DZ147-DY147)/DY147*100)</f>
        <v>0</v>
      </c>
      <c r="EB147" s="262"/>
      <c r="EC147" s="262"/>
      <c r="ED147" s="263">
        <f>IF(EB147=0,0,(EC147-EB147)/EB147*100)</f>
        <v>0</v>
      </c>
      <c r="EE147" s="262"/>
      <c r="EF147" s="262"/>
      <c r="EG147" s="263">
        <f>IF(EE147=0,0,(EF147-EE147)/EE147*100)</f>
        <v>0</v>
      </c>
      <c r="EH147" s="262"/>
      <c r="EI147" s="262"/>
      <c r="EJ147" s="263">
        <f>IF(EH147=0,0,(EI147-EH147)/EH147*100)</f>
        <v>0</v>
      </c>
      <c r="EK147" s="262"/>
      <c r="EL147" s="262"/>
      <c r="EM147" s="263">
        <f>IF(EK147=0,0,(EL147-EK147)/EK147*100)</f>
        <v>0</v>
      </c>
      <c r="EN147" s="262"/>
      <c r="EO147" s="262"/>
      <c r="EP147" s="263">
        <f>IF(EN147=0,0,(EO147-EN147)/EN147*100)</f>
        <v>0</v>
      </c>
      <c r="EQ147" s="262"/>
      <c r="ER147" s="262"/>
      <c r="ES147" s="263">
        <f>IF(EQ147=0,0,(ER147-EQ147)/EQ147*100)</f>
        <v>0</v>
      </c>
      <c r="ET147" s="262"/>
      <c r="EU147" s="262"/>
      <c r="EV147" s="263">
        <f>IF(ET147=0,0,(EU147-ET147)/ET147*100)</f>
        <v>0</v>
      </c>
      <c r="EW147" s="262"/>
      <c r="EX147" s="262"/>
      <c r="EY147" s="263">
        <f>IF(EW147=0,0,(EX147-EW147)/EW147*100)</f>
        <v>0</v>
      </c>
      <c r="EZ147" s="262"/>
      <c r="FA147" s="262"/>
      <c r="FB147" s="263">
        <f>IF(EZ147=0,0,(FA147-EZ147)/EZ147*100)</f>
        <v>0</v>
      </c>
      <c r="FC147" s="262"/>
      <c r="FD147" s="262"/>
      <c r="FE147" s="263">
        <f>IF(FC147=0,0,(FD147-FC147)/FC147*100)</f>
        <v>0</v>
      </c>
      <c r="FF147" s="262"/>
      <c r="FG147" s="262"/>
      <c r="FH147" s="263">
        <f>IF(FF147=0,0,(FG147-FF147)/FF147*100)</f>
        <v>0</v>
      </c>
      <c r="FI147" s="262"/>
      <c r="FJ147" s="262"/>
      <c r="FK147" s="263">
        <f>IF(FI147=0,0,(FJ147-FI147)/FI147*100)</f>
        <v>0</v>
      </c>
      <c r="FL147" s="262"/>
      <c r="FM147" s="262"/>
      <c r="FN147" s="263">
        <f>IF(FL147=0,0,(FM147-FL147)/FL147*100)</f>
        <v>0</v>
      </c>
      <c r="FO147" s="262"/>
      <c r="FP147" s="262"/>
      <c r="FQ147" s="263">
        <f>IF(FO147=0,0,(FP147-FO147)/FO147*100)</f>
        <v>0</v>
      </c>
      <c r="FR147" s="262"/>
      <c r="FS147" s="262"/>
      <c r="FT147" s="263">
        <f>IF(FR147=0,0,(FS147-FR147)/FR147*100)</f>
        <v>0</v>
      </c>
      <c r="FU147" s="262"/>
      <c r="FV147" s="262"/>
      <c r="FW147" s="263">
        <f>IF(FU147=0,0,(FV147-FU147)/FU147*100)</f>
        <v>0</v>
      </c>
      <c r="FX147" s="259"/>
      <c r="FY147" s="259"/>
      <c r="FZ147" s="1039" t="s">
        <v>1499</v>
      </c>
      <c r="GA147" s="1039"/>
      <c r="GB147" s="1039"/>
      <c r="GC147" s="1040"/>
      <c r="GD147" s="1040"/>
    </row>
    <row s="1621" customFormat="1" customHeight="1" ht="14.25">
      <c r="A148" s="467"/>
      <c r="B148" s="907" cm="1" t="str">
        <f t="array" ref="B148:B148">B147</f>
        <v>true</v>
      </c>
      <c r="C148" s="467"/>
      <c r="D148" s="467"/>
      <c r="E148" s="822">
        <v>15</v>
      </c>
      <c r="F148" s="50" cm="1" t="str">
        <f t="array" ref="F148:F148">OFFSET(E148,-1,1)</f>
        <v>2</v>
      </c>
      <c r="G148" s="467"/>
      <c r="H148" s="467" t="s">
        <v>445</v>
      </c>
      <c r="I148" s="467" t="s">
        <v>1500</v>
      </c>
      <c r="J148" s="467"/>
      <c r="K148" s="467"/>
      <c r="L148" s="467"/>
      <c r="M148" s="467"/>
      <c r="N148" s="467"/>
      <c r="O148" s="467"/>
      <c r="P148" s="467"/>
      <c r="Q148" s="467"/>
      <c r="R148" s="467"/>
      <c r="S148" s="467"/>
      <c r="T148" s="439" cm="1" t="str">
        <f t="array" ref="T148:T148">T147</f>
        <v>true</v>
      </c>
      <c r="U148" s="467"/>
      <c r="V148" s="467"/>
      <c r="W148" s="467"/>
      <c r="X148" s="1534"/>
      <c r="Y148" s="467"/>
      <c r="Z148" s="1464"/>
      <c r="AA148" s="467"/>
      <c r="AB148" s="1074" t="s">
        <v>1501</v>
      </c>
      <c r="AC148" s="846" t="s">
        <v>437</v>
      </c>
      <c r="AD148" s="1077">
        <f>IF(AD146=0,0,AD147/AD146)*100</f>
        <v>100.006822716489</v>
      </c>
      <c r="AE148" s="1077">
        <f>IF(AE146=0,0,AE147/AE146)*100</f>
        <v>110.002684318429</v>
      </c>
      <c r="AF148" s="1078"/>
      <c r="AG148" s="1077">
        <f>IF(AG146=0,0,AG147/AG146)*100</f>
        <v>0</v>
      </c>
      <c r="AH148" s="1077">
        <f>IF(AH146=0,0,AH147/AH146)*100</f>
        <v>0</v>
      </c>
      <c r="AI148" s="1078"/>
      <c r="AJ148" s="1077">
        <f>IF(AJ146=0,0,AJ147/AJ146)*100</f>
        <v>0</v>
      </c>
      <c r="AK148" s="1077">
        <f>IF(AK146=0,0,AK147/AK146)*100</f>
        <v>0</v>
      </c>
      <c r="AL148" s="1078"/>
      <c r="AM148" s="1077">
        <f>IF(AM146=0,0,AM147/AM146)*100</f>
        <v>0</v>
      </c>
      <c r="AN148" s="1077">
        <f>IF(AN146=0,0,AN147/AN146)*100</f>
        <v>0</v>
      </c>
      <c r="AO148" s="1078"/>
      <c r="AP148" s="1077">
        <f>IF(AP146=0,0,AP147/AP146)*100</f>
        <v>0</v>
      </c>
      <c r="AQ148" s="1077">
        <f>IF(AQ146=0,0,AQ147/AQ146)*100</f>
        <v>0</v>
      </c>
      <c r="AR148" s="1078"/>
      <c r="AS148" s="1077">
        <f>IF(AS146=0,0,AS147/AS146)*100</f>
        <v>0</v>
      </c>
      <c r="AT148" s="1077">
        <f>IF(AT146=0,0,AT147/AT146)*100</f>
        <v>0</v>
      </c>
      <c r="AU148" s="1078"/>
      <c r="AV148" s="1077">
        <f>IF(AV146=0,0,AV147/AV146)*100</f>
        <v>0</v>
      </c>
      <c r="AW148" s="1077">
        <f>IF(AW146=0,0,AW147/AW146)*100</f>
        <v>0</v>
      </c>
      <c r="AX148" s="1078"/>
      <c r="AY148" s="1077">
        <f>IF(AY146=0,0,AY147/AY146)*100</f>
        <v>0</v>
      </c>
      <c r="AZ148" s="1077">
        <f>IF(AZ146=0,0,AZ147/AZ146)*100</f>
        <v>0</v>
      </c>
      <c r="BA148" s="1078"/>
      <c r="BB148" s="1077">
        <f>IF(BB146=0,0,BB147/BB146)*100</f>
        <v>0</v>
      </c>
      <c r="BC148" s="1077">
        <f>IF(BC146=0,0,BC147/BC146)*100</f>
        <v>0</v>
      </c>
      <c r="BD148" s="1078"/>
      <c r="BE148" s="1077">
        <f>IF(BE146=0,0,BE147/BE146)*100</f>
        <v>0</v>
      </c>
      <c r="BF148" s="1077">
        <f>IF(BF146=0,0,BF147/BF146)*100</f>
        <v>0</v>
      </c>
      <c r="BG148" s="1078"/>
      <c r="BH148" s="1077">
        <f>IF(BH146=0,0,BH147/BH146)*100</f>
        <v>0</v>
      </c>
      <c r="BI148" s="1077">
        <f>IF(BI146=0,0,BI147/BI146)*100</f>
        <v>0</v>
      </c>
      <c r="BJ148" s="1078"/>
      <c r="BK148" s="1077">
        <f>IF(BK146=0,0,BK147/BK146)*100</f>
        <v>0</v>
      </c>
      <c r="BL148" s="1077">
        <f>IF(BL146=0,0,BL147/BL146)*100</f>
        <v>0</v>
      </c>
      <c r="BM148" s="1078"/>
      <c r="BN148" s="1077">
        <f>IF(BN146=0,0,BN147/BN146)*100</f>
        <v>0</v>
      </c>
      <c r="BO148" s="1077">
        <f>IF(BO146=0,0,BO147/BO146)*100</f>
        <v>0</v>
      </c>
      <c r="BP148" s="1078"/>
      <c r="BQ148" s="1077">
        <f>IF(BQ146=0,0,BQ147/BQ146)*100</f>
        <v>0</v>
      </c>
      <c r="BR148" s="1077">
        <f>IF(BR146=0,0,BR147/BR146)*100</f>
        <v>0</v>
      </c>
      <c r="BS148" s="1078"/>
      <c r="BT148" s="1077">
        <f>IF(BT146=0,0,BT147/BT146)*100</f>
        <v>0</v>
      </c>
      <c r="BU148" s="1077">
        <f>IF(BU146=0,0,BU147/BU146)*100</f>
        <v>0</v>
      </c>
      <c r="BV148" s="1078"/>
      <c r="BW148" s="1077">
        <f>IF(BW146=0,0,BW147/BW146)*100</f>
        <v>0</v>
      </c>
      <c r="BX148" s="1077">
        <f>IF(BX146=0,0,BX147/BX146)*100</f>
        <v>0</v>
      </c>
      <c r="BY148" s="1078"/>
      <c r="BZ148" s="1077">
        <f>IF(BZ146=0,0,BZ147/BZ146)*100</f>
        <v>0</v>
      </c>
      <c r="CA148" s="1077">
        <f>IF(CA146=0,0,CA147/CA146)*100</f>
        <v>0</v>
      </c>
      <c r="CB148" s="1078"/>
      <c r="CC148" s="1077">
        <f>IF(CC146=0,0,CC147/CC146)*100</f>
        <v>0</v>
      </c>
      <c r="CD148" s="1077">
        <f>IF(CD146=0,0,CD147/CD146)*100</f>
        <v>0</v>
      </c>
      <c r="CE148" s="1078"/>
      <c r="CF148" s="1077">
        <f>IF(CF146=0,0,CF147/CF146)*100</f>
        <v>0</v>
      </c>
      <c r="CG148" s="1077">
        <f>IF(CG146=0,0,CG147/CG146)*100</f>
        <v>0</v>
      </c>
      <c r="CH148" s="1078"/>
      <c r="CI148" s="1077">
        <f>IF(CI146=0,0,CI147/CI146)*100</f>
        <v>0</v>
      </c>
      <c r="CJ148" s="1077">
        <f>IF(CJ146=0,0,CJ147/CJ146)*100</f>
        <v>0</v>
      </c>
      <c r="CK148" s="1078"/>
      <c r="CL148" s="1077">
        <f>IF(CL146=0,0,CL147/CL146)*100</f>
        <v>0</v>
      </c>
      <c r="CM148" s="1077">
        <f>IF(CM146=0,0,CM147/CM146)*100</f>
        <v>0</v>
      </c>
      <c r="CN148" s="1078"/>
      <c r="CO148" s="1077">
        <f>IF(CO146=0,0,CO147/CO146)*100</f>
        <v>0</v>
      </c>
      <c r="CP148" s="1077">
        <f>IF(CP146=0,0,CP147/CP146)*100</f>
        <v>0</v>
      </c>
      <c r="CQ148" s="1078"/>
      <c r="CR148" s="1077">
        <f>IF(CR146=0,0,CR147/CR146)*100</f>
        <v>0</v>
      </c>
      <c r="CS148" s="1077">
        <f>IF(CS146=0,0,CS147/CS146)*100</f>
        <v>0</v>
      </c>
      <c r="CT148" s="1078"/>
      <c r="CU148" s="1077">
        <f>IF(CU146=0,0,CU147/CU146)*100</f>
        <v>0</v>
      </c>
      <c r="CV148" s="1077">
        <f>IF(CV146=0,0,CV147/CV146)*100</f>
        <v>0</v>
      </c>
      <c r="CW148" s="1078"/>
      <c r="CX148" s="1077">
        <f>IF(CX146=0,0,CX147/CX146)*100</f>
        <v>0</v>
      </c>
      <c r="CY148" s="1077">
        <f>IF(CY146=0,0,CY147/CY146)*100</f>
        <v>0</v>
      </c>
      <c r="CZ148" s="1078"/>
      <c r="DA148" s="1077">
        <f>IF(DA146=0,0,DA147/DA146)*100</f>
        <v>0</v>
      </c>
      <c r="DB148" s="1077">
        <f>IF(DB146=0,0,DB147/DB146)*100</f>
        <v>0</v>
      </c>
      <c r="DC148" s="1078"/>
      <c r="DD148" s="1077">
        <f>IF(DD146=0,0,DD147/DD146)*100</f>
        <v>0</v>
      </c>
      <c r="DE148" s="1077">
        <f>IF(DE146=0,0,DE147/DE146)*100</f>
        <v>0</v>
      </c>
      <c r="DF148" s="1078"/>
      <c r="DG148" s="1077">
        <f>IF(DG146=0,0,DG147/DG146)*100</f>
        <v>0</v>
      </c>
      <c r="DH148" s="1077">
        <f>IF(DH146=0,0,DH147/DH146)*100</f>
        <v>0</v>
      </c>
      <c r="DI148" s="1078"/>
      <c r="DJ148" s="1077">
        <f>IF(DJ146=0,0,DJ147/DJ146)*100</f>
        <v>0</v>
      </c>
      <c r="DK148" s="1077">
        <f>IF(DK146=0,0,DK147/DK146)*100</f>
        <v>0</v>
      </c>
      <c r="DL148" s="1078"/>
      <c r="DM148" s="1077">
        <f>IF(DM146=0,0,DM147/DM146)*100</f>
        <v>0</v>
      </c>
      <c r="DN148" s="1077">
        <f>IF(DN146=0,0,DN147/DN146)*100</f>
        <v>0</v>
      </c>
      <c r="DO148" s="1078"/>
      <c r="DP148" s="1077">
        <f>IF(DP146=0,0,DP147/DP146)*100</f>
        <v>0</v>
      </c>
      <c r="DQ148" s="1077">
        <f>IF(DQ146=0,0,DQ147/DQ146)*100</f>
        <v>0</v>
      </c>
      <c r="DR148" s="1078"/>
      <c r="DS148" s="1077">
        <f>IF(DS146=0,0,DS147/DS146)*100</f>
        <v>0</v>
      </c>
      <c r="DT148" s="1077">
        <f>IF(DT146=0,0,DT147/DT146)*100</f>
        <v>0</v>
      </c>
      <c r="DU148" s="1078"/>
      <c r="DV148" s="1077">
        <f>IF(DV146=0,0,DV147/DV146)*100</f>
        <v>0</v>
      </c>
      <c r="DW148" s="1077">
        <f>IF(DW146=0,0,DW147/DW146)*100</f>
        <v>0</v>
      </c>
      <c r="DX148" s="1078"/>
      <c r="DY148" s="1077">
        <f>IF(DY146=0,0,DY147/DY146)*100</f>
        <v>0</v>
      </c>
      <c r="DZ148" s="1077">
        <f>IF(DZ146=0,0,DZ147/DZ146)*100</f>
        <v>0</v>
      </c>
      <c r="EA148" s="1078"/>
      <c r="EB148" s="1077">
        <f>IF(EB146=0,0,EB147/EB146)*100</f>
        <v>0</v>
      </c>
      <c r="EC148" s="1077">
        <f>IF(EC146=0,0,EC147/EC146)*100</f>
        <v>0</v>
      </c>
      <c r="ED148" s="1078"/>
      <c r="EE148" s="1077">
        <f>IF(EE146=0,0,EE147/EE146)*100</f>
        <v>0</v>
      </c>
      <c r="EF148" s="1077">
        <f>IF(EF146=0,0,EF147/EF146)*100</f>
        <v>0</v>
      </c>
      <c r="EG148" s="1078"/>
      <c r="EH148" s="1077">
        <f>IF(EH146=0,0,EH147/EH146)*100</f>
        <v>0</v>
      </c>
      <c r="EI148" s="1077">
        <f>IF(EI146=0,0,EI147/EI146)*100</f>
        <v>0</v>
      </c>
      <c r="EJ148" s="1078"/>
      <c r="EK148" s="1077">
        <f>IF(EK146=0,0,EK147/EK146)*100</f>
        <v>0</v>
      </c>
      <c r="EL148" s="1077">
        <f>IF(EL146=0,0,EL147/EL146)*100</f>
        <v>0</v>
      </c>
      <c r="EM148" s="1078"/>
      <c r="EN148" s="1077">
        <f>IF(EN146=0,0,EN147/EN146)*100</f>
        <v>0</v>
      </c>
      <c r="EO148" s="1077">
        <f>IF(EO146=0,0,EO147/EO146)*100</f>
        <v>0</v>
      </c>
      <c r="EP148" s="1078"/>
      <c r="EQ148" s="1077">
        <f>IF(EQ146=0,0,EQ147/EQ146)*100</f>
        <v>0</v>
      </c>
      <c r="ER148" s="1077">
        <f>IF(ER146=0,0,ER147/ER146)*100</f>
        <v>0</v>
      </c>
      <c r="ES148" s="1078"/>
      <c r="ET148" s="1077">
        <f>IF(ET146=0,0,ET147/ET146)*100</f>
        <v>0</v>
      </c>
      <c r="EU148" s="1077">
        <f>IF(EU146=0,0,EU147/EU146)*100</f>
        <v>0</v>
      </c>
      <c r="EV148" s="1078"/>
      <c r="EW148" s="1077">
        <f>IF(EW146=0,0,EW147/EW146)*100</f>
        <v>0</v>
      </c>
      <c r="EX148" s="1077">
        <f>IF(EX146=0,0,EX147/EX146)*100</f>
        <v>0</v>
      </c>
      <c r="EY148" s="1078"/>
      <c r="EZ148" s="1077">
        <f>IF(EZ146=0,0,EZ147/EZ146)*100</f>
        <v>0</v>
      </c>
      <c r="FA148" s="1077">
        <f>IF(FA146=0,0,FA147/FA146)*100</f>
        <v>0</v>
      </c>
      <c r="FB148" s="1078"/>
      <c r="FC148" s="1077">
        <f>IF(FC146=0,0,FC147/FC146)*100</f>
        <v>0</v>
      </c>
      <c r="FD148" s="1077">
        <f>IF(FD146=0,0,FD147/FD146)*100</f>
        <v>0</v>
      </c>
      <c r="FE148" s="1078"/>
      <c r="FF148" s="1077">
        <f>IF(FF146=0,0,FF147/FF146)*100</f>
        <v>0</v>
      </c>
      <c r="FG148" s="1077">
        <f>IF(FG146=0,0,FG147/FG146)*100</f>
        <v>0</v>
      </c>
      <c r="FH148" s="1078"/>
      <c r="FI148" s="1077">
        <f>IF(FI146=0,0,FI147/FI146)*100</f>
        <v>0</v>
      </c>
      <c r="FJ148" s="1077">
        <f>IF(FJ146=0,0,FJ147/FJ146)*100</f>
        <v>0</v>
      </c>
      <c r="FK148" s="1078"/>
      <c r="FL148" s="1077">
        <f>IF(FL146=0,0,FL147/FL146)*100</f>
        <v>0</v>
      </c>
      <c r="FM148" s="1077">
        <f>IF(FM146=0,0,FM147/FM146)*100</f>
        <v>0</v>
      </c>
      <c r="FN148" s="1078"/>
      <c r="FO148" s="1077">
        <f>IF(FO146=0,0,FO147/FO146)*100</f>
        <v>0</v>
      </c>
      <c r="FP148" s="1077">
        <f>IF(FP146=0,0,FP147/FP146)*100</f>
        <v>0</v>
      </c>
      <c r="FQ148" s="1078"/>
      <c r="FR148" s="1077">
        <f>IF(FR146=0,0,FR147/FR146)*100</f>
        <v>0</v>
      </c>
      <c r="FS148" s="1077">
        <f>IF(FS146=0,0,FS147/FS146)*100</f>
        <v>0</v>
      </c>
      <c r="FT148" s="1078"/>
      <c r="FU148" s="1077">
        <f>IF(FU146=0,0,FU147/FU146)*100</f>
        <v>0</v>
      </c>
      <c r="FV148" s="1077">
        <f>IF(FV146=0,0,FV147/FV146)*100</f>
        <v>0</v>
      </c>
      <c r="FW148" s="1078"/>
      <c r="FX148" s="259"/>
      <c r="FY148" s="676"/>
      <c r="FZ148" s="1039" t="s">
        <v>1502</v>
      </c>
      <c r="GA148" s="1061"/>
      <c r="GB148" s="1061"/>
      <c r="GC148" s="697"/>
      <c r="GD148" s="697"/>
    </row>
    <row s="1621" customFormat="1" customHeight="1" ht="14.25">
      <c r="A149" s="467"/>
      <c r="B149" s="907" cm="1" t="str">
        <f t="array" ref="B149:B149">B148</f>
        <v>true</v>
      </c>
      <c r="C149" s="467"/>
      <c r="D149" s="467"/>
      <c r="E149" s="822">
        <v>15</v>
      </c>
      <c r="F149" s="50" cm="1" t="str">
        <f t="array" ref="F149:F149">OFFSET(E149,-1,1)</f>
        <v>2</v>
      </c>
      <c r="G149" s="73" t="s">
        <v>1503</v>
      </c>
      <c r="H149" s="467" t="s">
        <v>448</v>
      </c>
      <c r="I149" s="467" t="s">
        <v>1500</v>
      </c>
      <c r="J149" s="467"/>
      <c r="K149" s="467"/>
      <c r="L149" s="467"/>
      <c r="M149" s="467"/>
      <c r="N149" s="467"/>
      <c r="O149" s="467"/>
      <c r="P149" s="467"/>
      <c r="Q149" s="467"/>
      <c r="R149" s="467"/>
      <c r="S149" s="467"/>
      <c r="T149" s="439" cm="1" t="str">
        <f t="array" ref="T149:T149">T148</f>
        <v>true</v>
      </c>
      <c r="U149" s="467"/>
      <c r="V149" s="467"/>
      <c r="W149" s="467"/>
      <c r="X149" s="1534"/>
      <c r="Y149" s="467"/>
      <c r="Z149" s="1464"/>
      <c r="AA149" s="467"/>
      <c r="AB149" s="1074" t="s">
        <v>1504</v>
      </c>
      <c r="AC149" s="846" t="s">
        <v>512</v>
      </c>
      <c r="AD149" s="1079">
        <f>IF(AND(method_reg="Метод индексации",god&lt;&gt;first_year),_xlfn.SUMIFS(INDEX('Калькуляция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(МИ)'!$AJ$25:$BC$459,,MATCH(AD$8,'Калькуляция (МИ)'!$AJ$8:$BC$8,0)),'Калькуляция (МИ)'!$F$25:$F$459,$F149,'Калькуляция (МИ)'!$G$25:$G$459,$G149))))</f>
        <v>136.4819</v>
      </c>
      <c r="AE149" s="1079">
        <f>IF(AND(method_reg="Метод индексации",god&lt;&gt;first_year),_xlfn.SUMIFS(INDEX('Калькуляция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(МИ)'!$AJ$25:$BC$459,,MATCH(AE$8,'Калькуляция (МИ)'!$AJ$8:$BC$8,0)),'Калькуляция (МИ)'!$F$25:$F$459,$F149,'Калькуляция (МИ)'!$G$25:$G$459,$G149))))</f>
        <v>136.4819</v>
      </c>
      <c r="AF149" s="1080">
        <f>IF(AD149=0,0,(AE149-AD149)/AD149*100)</f>
        <v>0</v>
      </c>
      <c r="AG149" s="3404">
        <f>IF(AND(method_reg="Метод индексации",god&lt;&gt;first_year),_xlfn.SUMIFS(INDEX('Калькуляция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(МИ)'!$AJ$25:$BC$459,,MATCH(AG$8,'Калькуляция (МИ)'!$AJ$8:$BC$8,0)),'Калькуляция (МИ)'!$F$25:$F$459,$F149,'Калькуляция (МИ)'!$G$25:$G$459,$G149))))</f>
        <v>0</v>
      </c>
      <c r="AH149" s="3404">
        <f>IF(AND(method_reg="Метод индексации",god&lt;&gt;first_year),_xlfn.SUMIFS(INDEX('Калькуляция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(МИ)'!$AJ$25:$BC$459,,MATCH(AH$8,'Калькуляция (МИ)'!$AJ$8:$BC$8,0)),'Калькуляция (МИ)'!$F$25:$F$459,$F149,'Калькуляция (МИ)'!$G$25:$G$459,$G149))))</f>
        <v>0</v>
      </c>
      <c r="AI149" s="1080">
        <f>IF(AG149=0,0,(AH149-AG149)/AG149*100)</f>
        <v>0</v>
      </c>
      <c r="AJ149" s="3404">
        <f>IF(AND(method_reg="Метод индексации",god&lt;&gt;first_year),_xlfn.SUMIFS(INDEX('Калькуляция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(МИ)'!$AJ$25:$BC$459,,MATCH(AJ$8,'Калькуляция (МИ)'!$AJ$8:$BC$8,0)),'Калькуляция (МИ)'!$F$25:$F$459,$F149,'Калькуляция (МИ)'!$G$25:$G$459,$G149))))</f>
        <v>0</v>
      </c>
      <c r="AK149" s="3404">
        <f>IF(AND(method_reg="Метод индексации",god&lt;&gt;first_year),_xlfn.SUMIFS(INDEX('Калькуляция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(МИ)'!$AJ$25:$BC$459,,MATCH(AK$8,'Калькуляция (МИ)'!$AJ$8:$BC$8,0)),'Калькуляция (МИ)'!$F$25:$F$459,$F149,'Калькуляция (МИ)'!$G$25:$G$459,$G149))))</f>
        <v>0</v>
      </c>
      <c r="AL149" s="1080">
        <f>IF(AJ149=0,0,(AK149-AJ149)/AJ149*100)</f>
        <v>0</v>
      </c>
      <c r="AM149" s="1079">
        <f>IF(AND(method_reg="Метод индексации",god&lt;&gt;first_year),_xlfn.SUMIFS(INDEX('Калькуляция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(МИ)'!$AJ$25:$BC$459,,MATCH(AM$8,'Калькуляция (МИ)'!$AJ$8:$BC$8,0)),'Калькуляция (МИ)'!$F$25:$F$459,$F149,'Калькуляция (МИ)'!$G$25:$G$459,$G149))))</f>
        <v>0</v>
      </c>
      <c r="AN149" s="1079">
        <f>IF(AND(method_reg="Метод индексации",god&lt;&gt;first_year),_xlfn.SUMIFS(INDEX('Калькуляция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(МИ)'!$AJ$25:$BC$459,,MATCH(AN$8,'Калькуляция (МИ)'!$AJ$8:$BC$8,0)),'Калькуляция (МИ)'!$F$25:$F$459,$F149,'Калькуляция (МИ)'!$G$25:$G$459,$G149))))</f>
        <v>0</v>
      </c>
      <c r="AO149" s="1080">
        <f>IF(AM149=0,0,(AN149-AM149)/AM149*100)</f>
        <v>0</v>
      </c>
      <c r="AP149" s="1079">
        <f>IF(AND(method_reg="Метод индексации",god&lt;&gt;first_year),_xlfn.SUMIFS(INDEX('Калькуляция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(МИ)'!$AJ$25:$BC$459,,MATCH(AP$8,'Калькуляция (МИ)'!$AJ$8:$BC$8,0)),'Калькуляция (МИ)'!$F$25:$F$459,$F149,'Калькуляция (МИ)'!$G$25:$G$459,$G149))))</f>
        <v>0</v>
      </c>
      <c r="AQ149" s="1079">
        <f>IF(AND(method_reg="Метод индексации",god&lt;&gt;first_year),_xlfn.SUMIFS(INDEX('Калькуляция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(МИ)'!$AJ$25:$BC$459,,MATCH(AQ$8,'Калькуляция (МИ)'!$AJ$8:$BC$8,0)),'Калькуляция (МИ)'!$F$25:$F$459,$F149,'Калькуляция (МИ)'!$G$25:$G$459,$G149))))</f>
        <v>0</v>
      </c>
      <c r="AR149" s="1080">
        <f>IF(AP149=0,0,(AQ149-AP149)/AP149*100)</f>
        <v>0</v>
      </c>
      <c r="AS149" s="1079">
        <f>IF(AND(method_reg="Метод индексации",god&lt;&gt;first_year),_xlfn.SUMIFS(INDEX('Калькуляция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(МИ)'!$AJ$25:$BC$459,,MATCH(AS$8,'Калькуляция (МИ)'!$AJ$8:$BC$8,0)),'Калькуляция (МИ)'!$F$25:$F$459,$F149,'Калькуляция (МИ)'!$G$25:$G$459,$G149))))</f>
        <v>0</v>
      </c>
      <c r="AT149" s="1079">
        <f>IF(AND(method_reg="Метод индексации",god&lt;&gt;first_year),_xlfn.SUMIFS(INDEX('Калькуляция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(МИ)'!$AJ$25:$BC$459,,MATCH(AT$8,'Калькуляция (МИ)'!$AJ$8:$BC$8,0)),'Калькуляция (МИ)'!$F$25:$F$459,$F149,'Калькуляция (МИ)'!$G$25:$G$459,$G149))))</f>
        <v>0</v>
      </c>
      <c r="AU149" s="1080">
        <f>IF(AS149=0,0,(AT149-AS149)/AS149*100)</f>
        <v>0</v>
      </c>
      <c r="AV149" s="1079">
        <f>IF(AND(method_reg="Метод индексации",god&lt;&gt;first_year),_xlfn.SUMIFS(INDEX('Калькуляция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(МИ)'!$AJ$25:$BC$459,,MATCH(AV$8,'Калькуляция (МИ)'!$AJ$8:$BC$8,0)),'Калькуляция (МИ)'!$F$25:$F$459,$F149,'Калькуляция (МИ)'!$G$25:$G$459,$G149))))</f>
        <v>0</v>
      </c>
      <c r="AW149" s="1079">
        <f>IF(AND(method_reg="Метод индексации",god&lt;&gt;first_year),_xlfn.SUMIFS(INDEX('Калькуляция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(МИ)'!$AJ$25:$BC$459,,MATCH(AW$8,'Калькуляция (МИ)'!$AJ$8:$BC$8,0)),'Калькуляция (МИ)'!$F$25:$F$459,$F149,'Калькуляция (МИ)'!$G$25:$G$459,$G149))))</f>
        <v>0</v>
      </c>
      <c r="AX149" s="1080">
        <f>IF(AV149=0,0,(AW149-AV149)/AV149*100)</f>
        <v>0</v>
      </c>
      <c r="AY149" s="1079">
        <f>IF(AND(method_reg="Метод индексации",god&lt;&gt;first_year),_xlfn.SUMIFS(INDEX('Калькуляция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(МИ)'!$AJ$25:$BC$459,,MATCH(AY$8,'Калькуляция (МИ)'!$AJ$8:$BC$8,0)),'Калькуляция (МИ)'!$F$25:$F$459,$F149,'Калькуляция (МИ)'!$G$25:$G$459,$G149))))</f>
        <v>0</v>
      </c>
      <c r="AZ149" s="1079">
        <f>IF(AND(method_reg="Метод индексации",god&lt;&gt;first_year),_xlfn.SUMIFS(INDEX('Калькуляция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(МИ)'!$AJ$25:$BC$459,,MATCH(AZ$8,'Калькуляция (МИ)'!$AJ$8:$BC$8,0)),'Калькуляция (МИ)'!$F$25:$F$459,$F149,'Калькуляция (МИ)'!$G$25:$G$459,$G149))))</f>
        <v>0</v>
      </c>
      <c r="BA149" s="1080">
        <f>IF(AY149=0,0,(AZ149-AY149)/AY149*100)</f>
        <v>0</v>
      </c>
      <c r="BB149" s="1079">
        <f>IF(AND(method_reg="Метод индексации",god&lt;&gt;first_year),_xlfn.SUMIFS(INDEX('Калькуляция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(МИ)'!$AJ$25:$BC$459,,MATCH(BB$8,'Калькуляция (МИ)'!$AJ$8:$BC$8,0)),'Калькуляция (МИ)'!$F$25:$F$459,$F149,'Калькуляция (МИ)'!$G$25:$G$459,$G149))))</f>
        <v>0</v>
      </c>
      <c r="BC149" s="1079">
        <f>IF(AND(method_reg="Метод индексации",god&lt;&gt;first_year),_xlfn.SUMIFS(INDEX('Калькуляция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(МИ)'!$AJ$25:$BC$459,,MATCH(BC$8,'Калькуляция (МИ)'!$AJ$8:$BC$8,0)),'Калькуляция (МИ)'!$F$25:$F$459,$F149,'Калькуляция (МИ)'!$G$25:$G$459,$G149))))</f>
        <v>0</v>
      </c>
      <c r="BD149" s="1080">
        <f>IF(BB149=0,0,(BC149-BB149)/BB149*100)</f>
        <v>0</v>
      </c>
      <c r="BE149" s="1079">
        <f>IF(AND(method_reg="Метод индексации",god&lt;&gt;first_year),_xlfn.SUMIFS(INDEX('Калькуляция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расходов",_xlfn.SUMIFS('Калькуляция (МЭОР)'!$AJ$25:$AJ$282,'Калькуляция (МЭОР)'!$F$25:$F$282,$F149,'Калькуляция (МЭОР)'!$G$25:$G$282,$G149),IF(method_reg="Метод сравнения аналогов",_xlfn.SUMIFS('Калькуляция (МСА)'!$AE$25:$AE$84,'Калькуляция (МСА)'!$F$25:$F$84,$F149,'Калькуляция (МСА)'!$G$25:$G$84,$G149),_xlfn.SUMIFS(INDEX('Калькуляция (МИ)'!$AJ$25:$BC$459,,MATCH(BE$8,'Калькуляция (МИ)'!$AJ$8:$BC$8,0)),'Калькуляция (МИ)'!$F$25:$F$459,$F149,'Калькуляция (МИ)'!$G$25:$G$459,$G149))))</f>
        <v>0</v>
      </c>
      <c r="BF149" s="1079">
        <f>IF(AND(method_reg="Метод индексации",god&lt;&gt;first_year),_xlfn.SUMIFS(INDEX('Калькуляция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расходов",_xlfn.SUMIFS('Калькуляция (МЭОР)'!$AK$25:$AK$282,'Калькуляция (МЭОР)'!$F$25:$F$282,$F149,'Калькуляция (МЭОР)'!$G$25:$G$282,$G149),IF(method_reg="Метод сравнения аналогов",_xlfn.SUMIFS('Калькуляция (МСА)'!$AF$25:$AF$84,'Калькуляция (МСА)'!$F$25:$F$84,$F149,'Калькуляция (МСА)'!$G$25:$G$84,$G149),_xlfn.SUMIFS(INDEX('Калькуляция (МИ)'!$AJ$25:$BC$459,,MATCH(BF$8,'Калькуляция (МИ)'!$AJ$8:$BC$8,0)),'Калькуляция (МИ)'!$F$25:$F$459,$F149,'Калькуляция (МИ)'!$G$25:$G$459,$G149))))</f>
        <v>0</v>
      </c>
      <c r="BG149" s="1080">
        <f>IF(BE149=0,0,(BF149-BE149)/BE149*100)</f>
        <v>0</v>
      </c>
      <c r="BH149" s="1079"/>
      <c r="BI149" s="1079"/>
      <c r="BJ149" s="1080">
        <f>IF(BH149=0,0,(BI149-BH149)/BH149*100)</f>
        <v>0</v>
      </c>
      <c r="BK149" s="1079"/>
      <c r="BL149" s="1079"/>
      <c r="BM149" s="1080">
        <f>IF(BK149=0,0,(BL149-BK149)/BK149*100)</f>
        <v>0</v>
      </c>
      <c r="BN149" s="1079"/>
      <c r="BO149" s="1079"/>
      <c r="BP149" s="1080">
        <f>IF(BN149=0,0,(BO149-BN149)/BN149*100)</f>
        <v>0</v>
      </c>
      <c r="BQ149" s="1079"/>
      <c r="BR149" s="1079"/>
      <c r="BS149" s="1080">
        <f>IF(BQ149=0,0,(BR149-BQ149)/BQ149*100)</f>
        <v>0</v>
      </c>
      <c r="BT149" s="1079"/>
      <c r="BU149" s="1079"/>
      <c r="BV149" s="1080">
        <f>IF(BT149=0,0,(BU149-BT149)/BT149*100)</f>
        <v>0</v>
      </c>
      <c r="BW149" s="1079"/>
      <c r="BX149" s="1079"/>
      <c r="BY149" s="1080">
        <f>IF(BW149=0,0,(BX149-BW149)/BW149*100)</f>
        <v>0</v>
      </c>
      <c r="BZ149" s="1079"/>
      <c r="CA149" s="1079"/>
      <c r="CB149" s="1080">
        <f>IF(BZ149=0,0,(CA149-BZ149)/BZ149*100)</f>
        <v>0</v>
      </c>
      <c r="CC149" s="1079"/>
      <c r="CD149" s="1079"/>
      <c r="CE149" s="1080">
        <f>IF(CC149=0,0,(CD149-CC149)/CC149*100)</f>
        <v>0</v>
      </c>
      <c r="CF149" s="1079"/>
      <c r="CG149" s="1079"/>
      <c r="CH149" s="1080">
        <f>IF(CF149=0,0,(CG149-CF149)/CF149*100)</f>
        <v>0</v>
      </c>
      <c r="CI149" s="1079"/>
      <c r="CJ149" s="1079"/>
      <c r="CK149" s="1080">
        <f>IF(CI149=0,0,(CJ149-CI149)/CI149*100)</f>
        <v>0</v>
      </c>
      <c r="CL149" s="1079"/>
      <c r="CM149" s="1079"/>
      <c r="CN149" s="1080">
        <f>IF(CL149=0,0,(CM149-CL149)/CL149*100)</f>
        <v>0</v>
      </c>
      <c r="CO149" s="1079"/>
      <c r="CP149" s="1079"/>
      <c r="CQ149" s="1080">
        <f>IF(CO149=0,0,(CP149-CO149)/CO149*100)</f>
        <v>0</v>
      </c>
      <c r="CR149" s="1079"/>
      <c r="CS149" s="1079"/>
      <c r="CT149" s="1080">
        <f>IF(CR149=0,0,(CS149-CR149)/CR149*100)</f>
        <v>0</v>
      </c>
      <c r="CU149" s="1079"/>
      <c r="CV149" s="1079"/>
      <c r="CW149" s="1080">
        <f>IF(CU149=0,0,(CV149-CU149)/CU149*100)</f>
        <v>0</v>
      </c>
      <c r="CX149" s="1079"/>
      <c r="CY149" s="1079"/>
      <c r="CZ149" s="1080">
        <f>IF(CX149=0,0,(CY149-CX149)/CX149*100)</f>
        <v>0</v>
      </c>
      <c r="DA149" s="1079"/>
      <c r="DB149" s="1079"/>
      <c r="DC149" s="1080">
        <f>IF(DA149=0,0,(DB149-DA149)/DA149*100)</f>
        <v>0</v>
      </c>
      <c r="DD149" s="1079"/>
      <c r="DE149" s="1079"/>
      <c r="DF149" s="1080">
        <f>IF(DD149=0,0,(DE149-DD149)/DD149*100)</f>
        <v>0</v>
      </c>
      <c r="DG149" s="1079"/>
      <c r="DH149" s="1079"/>
      <c r="DI149" s="1080">
        <f>IF(DG149=0,0,(DH149-DG149)/DG149*100)</f>
        <v>0</v>
      </c>
      <c r="DJ149" s="1079"/>
      <c r="DK149" s="1079"/>
      <c r="DL149" s="1080">
        <f>IF(DJ149=0,0,(DK149-DJ149)/DJ149*100)</f>
        <v>0</v>
      </c>
      <c r="DM149" s="1079"/>
      <c r="DN149" s="1079"/>
      <c r="DO149" s="1080">
        <f>IF(DM149=0,0,(DN149-DM149)/DM149*100)</f>
        <v>0</v>
      </c>
      <c r="DP149" s="1079"/>
      <c r="DQ149" s="1079"/>
      <c r="DR149" s="1080">
        <f>IF(DP149=0,0,(DQ149-DP149)/DP149*100)</f>
        <v>0</v>
      </c>
      <c r="DS149" s="1079"/>
      <c r="DT149" s="1079"/>
      <c r="DU149" s="1080">
        <f>IF(DS149=0,0,(DT149-DS149)/DS149*100)</f>
        <v>0</v>
      </c>
      <c r="DV149" s="1079"/>
      <c r="DW149" s="1079"/>
      <c r="DX149" s="1080">
        <f>IF(DV149=0,0,(DW149-DV149)/DV149*100)</f>
        <v>0</v>
      </c>
      <c r="DY149" s="1079"/>
      <c r="DZ149" s="1079"/>
      <c r="EA149" s="1080">
        <f>IF(DY149=0,0,(DZ149-DY149)/DY149*100)</f>
        <v>0</v>
      </c>
      <c r="EB149" s="1079"/>
      <c r="EC149" s="1079"/>
      <c r="ED149" s="1080">
        <f>IF(EB149=0,0,(EC149-EB149)/EB149*100)</f>
        <v>0</v>
      </c>
      <c r="EE149" s="1079"/>
      <c r="EF149" s="1079"/>
      <c r="EG149" s="1080">
        <f>IF(EE149=0,0,(EF149-EE149)/EE149*100)</f>
        <v>0</v>
      </c>
      <c r="EH149" s="1079"/>
      <c r="EI149" s="1079"/>
      <c r="EJ149" s="1080">
        <f>IF(EH149=0,0,(EI149-EH149)/EH149*100)</f>
        <v>0</v>
      </c>
      <c r="EK149" s="1079"/>
      <c r="EL149" s="1079"/>
      <c r="EM149" s="1080">
        <f>IF(EK149=0,0,(EL149-EK149)/EK149*100)</f>
        <v>0</v>
      </c>
      <c r="EN149" s="1079"/>
      <c r="EO149" s="1079"/>
      <c r="EP149" s="1080">
        <f>IF(EN149=0,0,(EO149-EN149)/EN149*100)</f>
        <v>0</v>
      </c>
      <c r="EQ149" s="1079"/>
      <c r="ER149" s="1079"/>
      <c r="ES149" s="1080">
        <f>IF(EQ149=0,0,(ER149-EQ149)/EQ149*100)</f>
        <v>0</v>
      </c>
      <c r="ET149" s="1079"/>
      <c r="EU149" s="1079"/>
      <c r="EV149" s="1080">
        <f>IF(ET149=0,0,(EU149-ET149)/ET149*100)</f>
        <v>0</v>
      </c>
      <c r="EW149" s="1079"/>
      <c r="EX149" s="1079"/>
      <c r="EY149" s="1080">
        <f>IF(EW149=0,0,(EX149-EW149)/EW149*100)</f>
        <v>0</v>
      </c>
      <c r="EZ149" s="1079"/>
      <c r="FA149" s="1079"/>
      <c r="FB149" s="1080">
        <f>IF(EZ149=0,0,(FA149-EZ149)/EZ149*100)</f>
        <v>0</v>
      </c>
      <c r="FC149" s="1079"/>
      <c r="FD149" s="1079"/>
      <c r="FE149" s="1080">
        <f>IF(FC149=0,0,(FD149-FC149)/FC149*100)</f>
        <v>0</v>
      </c>
      <c r="FF149" s="1079"/>
      <c r="FG149" s="1079"/>
      <c r="FH149" s="1080">
        <f>IF(FF149=0,0,(FG149-FF149)/FF149*100)</f>
        <v>0</v>
      </c>
      <c r="FI149" s="1079"/>
      <c r="FJ149" s="1079"/>
      <c r="FK149" s="1080">
        <f>IF(FI149=0,0,(FJ149-FI149)/FI149*100)</f>
        <v>0</v>
      </c>
      <c r="FL149" s="1079"/>
      <c r="FM149" s="1079"/>
      <c r="FN149" s="1080">
        <f>IF(FL149=0,0,(FM149-FL149)/FL149*100)</f>
        <v>0</v>
      </c>
      <c r="FO149" s="1079"/>
      <c r="FP149" s="1079"/>
      <c r="FQ149" s="1080">
        <f>IF(FO149=0,0,(FP149-FO149)/FO149*100)</f>
        <v>0</v>
      </c>
      <c r="FR149" s="1079"/>
      <c r="FS149" s="1079"/>
      <c r="FT149" s="1080">
        <f>IF(FR149=0,0,(FS149-FR149)/FR149*100)</f>
        <v>0</v>
      </c>
      <c r="FU149" s="1079"/>
      <c r="FV149" s="1079"/>
      <c r="FW149" s="1080">
        <f>IF(FU149=0,0,(FV149-FU149)/FU149*100)</f>
        <v>0</v>
      </c>
      <c r="FX149" s="259"/>
      <c r="FY149" s="676"/>
      <c r="FZ149" s="1039" t="s">
        <v>1505</v>
      </c>
      <c r="GA149" s="1061"/>
      <c r="GB149" s="1061"/>
      <c r="GC149" s="697"/>
      <c r="GD149" s="697"/>
    </row>
    <row s="3904" customFormat="1" customHeight="1" ht="23.25">
      <c r="A150" s="879"/>
      <c r="B150" s="907" cm="1" t="str">
        <f t="array" ref="B150:B150">B149</f>
        <v>true</v>
      </c>
      <c r="C150" s="879"/>
      <c r="D150" s="879"/>
      <c r="E150" s="880">
        <v>24.5</v>
      </c>
      <c r="F150" s="50" cm="1" t="str">
        <f t="array" ref="F150:F150">OFFSET(E150,-1,1)</f>
        <v>2</v>
      </c>
      <c r="G150" s="73" t="s">
        <v>1506</v>
      </c>
      <c r="H150" s="467" t="s">
        <v>441</v>
      </c>
      <c r="I150" s="467" t="s">
        <v>1507</v>
      </c>
      <c r="J150" s="879"/>
      <c r="K150" s="879"/>
      <c r="L150" s="467"/>
      <c r="M150" s="879"/>
      <c r="N150" s="879"/>
      <c r="O150" s="879"/>
      <c r="P150" s="879"/>
      <c r="Q150" s="879"/>
      <c r="R150" s="467"/>
      <c r="S150" s="467"/>
      <c r="T150" s="439" cm="1" t="str">
        <f t="array" ref="T150:T150">T149</f>
        <v>true</v>
      </c>
      <c r="U150" s="879"/>
      <c r="V150" s="879"/>
      <c r="W150" s="879"/>
      <c r="X150" s="1534"/>
      <c r="Y150" s="879"/>
      <c r="Z150" s="1464"/>
      <c r="AA150" s="879"/>
      <c r="AB150" s="260" t="s">
        <v>1508</v>
      </c>
      <c r="AC150" s="261" t="s">
        <v>1494</v>
      </c>
      <c r="AD150" s="881">
        <f>IF(AND(method_reg="Метод индексации",god&lt;&gt;first_year),_xlfn.SUMIFS(INDEX('Калькуляция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(МИ)'!$AJ$25:$BC$459,,MATCH(AD$8,'Калькуляция (МИ)'!$AJ$8:$BC$8,0)),'Калькуляция (МИ)'!$F$25:$F$459,$F150,'Калькуляция (МИ)'!$G$25:$G$459,$G150))))</f>
        <v>0</v>
      </c>
      <c r="AE150" s="881">
        <f>IF(AND(method_reg="Метод индексации",god&lt;&gt;first_year),_xlfn.SUMIFS(INDEX('Калькуляция (МИ корр)'!$AJ$25:$BC$459,,MATCH(AE$8,'Калькуляция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(МИ)'!$AJ$25:$BC$459,,MATCH(AE$8,'Калькуляция (МИ)'!$AJ$8:$BC$8,0)),'Калькуляция (МИ)'!$F$25:$F$459,$F150,'Калькуляция (МИ)'!$G$25:$G$459,$G150))))</f>
        <v>0</v>
      </c>
      <c r="AF150" s="263">
        <f>IF(AD150=0,0,(AE150-AD150)/AD150*100)</f>
        <v>0</v>
      </c>
      <c r="AG150" s="3395">
        <f>IF(AND(method_reg="Метод индексации",god&lt;&gt;first_year),_xlfn.SUMIFS(INDEX('Калькуляция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(МИ)'!$AJ$25:$BC$459,,MATCH(AG$8,'Калькуляция (МИ)'!$AJ$8:$BC$8,0)),'Калькуляция (МИ)'!$F$25:$F$459,$F150,'Калькуляция (МИ)'!$G$25:$G$459,$G150))))</f>
        <v>0</v>
      </c>
      <c r="AH150" s="3395">
        <f>IF(AND(method_reg="Метод индексации",god&lt;&gt;first_year),_xlfn.SUMIFS(INDEX('Калькуляция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(МИ)'!$AJ$25:$BC$459,,MATCH(AH$8,'Калькуляция (МИ)'!$AJ$8:$BC$8,0)),'Калькуляция (МИ)'!$F$25:$F$459,$F150,'Калькуляция (МИ)'!$G$25:$G$459,$G150))))</f>
        <v>0</v>
      </c>
      <c r="AI150" s="263">
        <f>IF(AG150=0,0,(AH150-AG150)/AG150*100)</f>
        <v>0</v>
      </c>
      <c r="AJ150" s="3395">
        <f>IF(AND(method_reg="Метод индексации",god&lt;&gt;first_year),_xlfn.SUMIFS(INDEX('Калькуляция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(МИ)'!$AJ$25:$BC$459,,MATCH(AJ$8,'Калькуляция (МИ)'!$AJ$8:$BC$8,0)),'Калькуляция (МИ)'!$F$25:$F$459,$F150,'Калькуляция (МИ)'!$G$25:$G$459,$G150))))</f>
        <v>0</v>
      </c>
      <c r="AK150" s="3395">
        <f>IF(AND(method_reg="Метод индексации",god&lt;&gt;first_year),_xlfn.SUMIFS(INDEX('Калькуляция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(МИ)'!$AJ$25:$BC$459,,MATCH(AK$8,'Калькуляция (МИ)'!$AJ$8:$BC$8,0)),'Калькуляция (МИ)'!$F$25:$F$459,$F150,'Калькуляция (МИ)'!$G$25:$G$459,$G150))))</f>
        <v>0</v>
      </c>
      <c r="AL150" s="263">
        <f>IF(AJ150=0,0,(AK150-AJ150)/AJ150*100)</f>
        <v>0</v>
      </c>
      <c r="AM150" s="881">
        <f>IF(AND(method_reg="Метод индексации",god&lt;&gt;first_year),_xlfn.SUMIFS(INDEX('Калькуляция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(МИ)'!$AJ$25:$BC$459,,MATCH(AM$8,'Калькуляция (МИ)'!$AJ$8:$BC$8,0)),'Калькуляция (МИ)'!$F$25:$F$459,$F150,'Калькуляция (МИ)'!$G$25:$G$459,$G150))))</f>
        <v>0</v>
      </c>
      <c r="AN150" s="881">
        <f>IF(AND(method_reg="Метод индексации",god&lt;&gt;first_year),_xlfn.SUMIFS(INDEX('Калькуляция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(МИ)'!$AJ$25:$BC$459,,MATCH(AN$8,'Калькуляция (МИ)'!$AJ$8:$BC$8,0)),'Калькуляция (МИ)'!$F$25:$F$459,$F150,'Калькуляция (МИ)'!$G$25:$G$459,$G150))))</f>
        <v>0</v>
      </c>
      <c r="AO150" s="263">
        <f>IF(AM150=0,0,(AN150-AM150)/AM150*100)</f>
        <v>0</v>
      </c>
      <c r="AP150" s="881">
        <f>IF(AND(method_reg="Метод индексации",god&lt;&gt;first_year),_xlfn.SUMIFS(INDEX('Калькуляция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(МИ)'!$AJ$25:$BC$459,,MATCH(AP$8,'Калькуляция (МИ)'!$AJ$8:$BC$8,0)),'Калькуляция (МИ)'!$F$25:$F$459,$F150,'Калькуляция (МИ)'!$G$25:$G$459,$G150))))</f>
        <v>0</v>
      </c>
      <c r="AQ150" s="881">
        <f>IF(AND(method_reg="Метод индексации",god&lt;&gt;first_year),_xlfn.SUMIFS(INDEX('Калькуляция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(МИ)'!$AJ$25:$BC$459,,MATCH(AQ$8,'Калькуляция (МИ)'!$AJ$8:$BC$8,0)),'Калькуляция (МИ)'!$F$25:$F$459,$F150,'Калькуляция (МИ)'!$G$25:$G$459,$G150))))</f>
        <v>0</v>
      </c>
      <c r="AR150" s="263">
        <f>IF(AP150=0,0,(AQ150-AP150)/AP150*100)</f>
        <v>0</v>
      </c>
      <c r="AS150" s="881">
        <f>IF(AND(method_reg="Метод индексации",god&lt;&gt;first_year),_xlfn.SUMIFS(INDEX('Калькуляция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(МИ)'!$AJ$25:$BC$459,,MATCH(AS$8,'Калькуляция (МИ)'!$AJ$8:$BC$8,0)),'Калькуляция (МИ)'!$F$25:$F$459,$F150,'Калькуляция (МИ)'!$G$25:$G$459,$G150))))</f>
        <v>0</v>
      </c>
      <c r="AT150" s="881">
        <f>IF(AND(method_reg="Метод индексации",god&lt;&gt;first_year),_xlfn.SUMIFS(INDEX('Калькуляция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(МИ)'!$AJ$25:$BC$459,,MATCH(AT$8,'Калькуляция (МИ)'!$AJ$8:$BC$8,0)),'Калькуляция (МИ)'!$F$25:$F$459,$F150,'Калькуляция (МИ)'!$G$25:$G$459,$G150))))</f>
        <v>0</v>
      </c>
      <c r="AU150" s="263">
        <f>IF(AS150=0,0,(AT150-AS150)/AS150*100)</f>
        <v>0</v>
      </c>
      <c r="AV150" s="881">
        <f>IF(AND(method_reg="Метод индексации",god&lt;&gt;first_year),_xlfn.SUMIFS(INDEX('Калькуляция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(МИ)'!$AJ$25:$BC$459,,MATCH(AV$8,'Калькуляция (МИ)'!$AJ$8:$BC$8,0)),'Калькуляция (МИ)'!$F$25:$F$459,$F150,'Калькуляция (МИ)'!$G$25:$G$459,$G150))))</f>
        <v>0</v>
      </c>
      <c r="AW150" s="881">
        <f>IF(AND(method_reg="Метод индексации",god&lt;&gt;first_year),_xlfn.SUMIFS(INDEX('Калькуляция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(МИ)'!$AJ$25:$BC$459,,MATCH(AW$8,'Калькуляция (МИ)'!$AJ$8:$BC$8,0)),'Калькуляция (МИ)'!$F$25:$F$459,$F150,'Калькуляция (МИ)'!$G$25:$G$459,$G150))))</f>
        <v>0</v>
      </c>
      <c r="AX150" s="263">
        <f>IF(AV150=0,0,(AW150-AV150)/AV150*100)</f>
        <v>0</v>
      </c>
      <c r="AY150" s="881">
        <f>IF(AND(method_reg="Метод индексации",god&lt;&gt;first_year),_xlfn.SUMIFS(INDEX('Калькуляция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(МИ)'!$AJ$25:$BC$459,,MATCH(AY$8,'Калькуляция (МИ)'!$AJ$8:$BC$8,0)),'Калькуляция (МИ)'!$F$25:$F$459,$F150,'Калькуляция (МИ)'!$G$25:$G$459,$G150))))</f>
        <v>0</v>
      </c>
      <c r="AZ150" s="881">
        <f>IF(AND(method_reg="Метод индексации",god&lt;&gt;first_year),_xlfn.SUMIFS(INDEX('Калькуляция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(МИ)'!$AJ$25:$BC$459,,MATCH(AZ$8,'Калькуляция (МИ)'!$AJ$8:$BC$8,0)),'Калькуляция (МИ)'!$F$25:$F$459,$F150,'Калькуляция (МИ)'!$G$25:$G$459,$G150))))</f>
        <v>0</v>
      </c>
      <c r="BA150" s="263">
        <f>IF(AY150=0,0,(AZ150-AY150)/AY150*100)</f>
        <v>0</v>
      </c>
      <c r="BB150" s="881">
        <f>IF(AND(method_reg="Метод индексации",god&lt;&gt;first_year),_xlfn.SUMIFS(INDEX('Калькуляция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(МИ)'!$AJ$25:$BC$459,,MATCH(BB$8,'Калькуляция (МИ)'!$AJ$8:$BC$8,0)),'Калькуляция (МИ)'!$F$25:$F$459,$F150,'Калькуляция (МИ)'!$G$25:$G$459,$G150))))</f>
        <v>0</v>
      </c>
      <c r="BC150" s="881">
        <f>IF(AND(method_reg="Метод индексации",god&lt;&gt;first_year),_xlfn.SUMIFS(INDEX('Калькуляция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(МИ)'!$AJ$25:$BC$459,,MATCH(BC$8,'Калькуляция (МИ)'!$AJ$8:$BC$8,0)),'Калькуляция (МИ)'!$F$25:$F$459,$F150,'Калькуляция (МИ)'!$G$25:$G$459,$G150))))</f>
        <v>0</v>
      </c>
      <c r="BD150" s="263">
        <f>IF(BB150=0,0,(BC150-BB150)/BB150*100)</f>
        <v>0</v>
      </c>
      <c r="BE150" s="881">
        <f>IF(AND(method_reg="Метод индексации",god&lt;&gt;first_year),_xlfn.SUMIFS(INDEX('Калькуляция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расходов",_xlfn.SUMIFS('Калькуляция (МЭОР)'!$AJ$25:$AJ$282,'Калькуляция (МЭОР)'!$F$25:$F$282,$F150,'Калькуляция (МЭОР)'!$G$25:$G$282,$G150),IF(method_reg="Метод сравнения аналогов",_xlfn.SUMIFS('Калькуляция (МСА)'!$AE$25:$AE$84,'Калькуляция (МСА)'!$F$25:$F$84,$F150,'Калькуляция (МСА)'!$G$25:$G$84,$G150),_xlfn.SUMIFS(INDEX('Калькуляция (МИ)'!$AJ$25:$BC$459,,MATCH(BE$8,'Калькуляция (МИ)'!$AJ$8:$BC$8,0)),'Калькуляция (МИ)'!$F$25:$F$459,$F150,'Калькуляция (МИ)'!$G$25:$G$459,$G150))))</f>
        <v>0</v>
      </c>
      <c r="BF150" s="881">
        <f>IF(AND(method_reg="Метод индексации",god&lt;&gt;first_year),_xlfn.SUMIFS(INDEX('Калькуляция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расходов",_xlfn.SUMIFS('Калькуляция (МЭОР)'!$AK$25:$AK$282,'Калькуляция (МЭОР)'!$F$25:$F$282,$F150,'Калькуляция (МЭОР)'!$G$25:$G$282,$G150),IF(method_reg="Метод сравнения аналогов",_xlfn.SUMIFS('Калькуляция (МСА)'!$AF$25:$AF$84,'Калькуляция (МСА)'!$F$25:$F$84,$F150,'Калькуляция (МСА)'!$G$25:$G$84,$G150),_xlfn.SUMIFS(INDEX('Калькуляция (МИ)'!$AJ$25:$BC$459,,MATCH(BF$8,'Калькуляция (МИ)'!$AJ$8:$BC$8,0)),'Калькуляция (МИ)'!$F$25:$F$459,$F150,'Калькуляция (МИ)'!$G$25:$G$459,$G150))))</f>
        <v>0</v>
      </c>
      <c r="BG150" s="263">
        <f>IF(BE150=0,0,(BF150-BE150)/BE150*100)</f>
        <v>0</v>
      </c>
      <c r="BH150" s="881"/>
      <c r="BI150" s="881"/>
      <c r="BJ150" s="263">
        <f>IF(BH150=0,0,(BI150-BH150)/BH150*100)</f>
        <v>0</v>
      </c>
      <c r="BK150" s="881"/>
      <c r="BL150" s="881"/>
      <c r="BM150" s="263">
        <f>IF(BK150=0,0,(BL150-BK150)/BK150*100)</f>
        <v>0</v>
      </c>
      <c r="BN150" s="881"/>
      <c r="BO150" s="881"/>
      <c r="BP150" s="263">
        <f>IF(BN150=0,0,(BO150-BN150)/BN150*100)</f>
        <v>0</v>
      </c>
      <c r="BQ150" s="881"/>
      <c r="BR150" s="881"/>
      <c r="BS150" s="263">
        <f>IF(BQ150=0,0,(BR150-BQ150)/BQ150*100)</f>
        <v>0</v>
      </c>
      <c r="BT150" s="881"/>
      <c r="BU150" s="881"/>
      <c r="BV150" s="263">
        <f>IF(BT150=0,0,(BU150-BT150)/BT150*100)</f>
        <v>0</v>
      </c>
      <c r="BW150" s="881"/>
      <c r="BX150" s="881"/>
      <c r="BY150" s="263">
        <f>IF(BW150=0,0,(BX150-BW150)/BW150*100)</f>
        <v>0</v>
      </c>
      <c r="BZ150" s="881"/>
      <c r="CA150" s="881"/>
      <c r="CB150" s="263">
        <f>IF(BZ150=0,0,(CA150-BZ150)/BZ150*100)</f>
        <v>0</v>
      </c>
      <c r="CC150" s="881"/>
      <c r="CD150" s="881"/>
      <c r="CE150" s="263">
        <f>IF(CC150=0,0,(CD150-CC150)/CC150*100)</f>
        <v>0</v>
      </c>
      <c r="CF150" s="881"/>
      <c r="CG150" s="881"/>
      <c r="CH150" s="263">
        <f>IF(CF150=0,0,(CG150-CF150)/CF150*100)</f>
        <v>0</v>
      </c>
      <c r="CI150" s="881"/>
      <c r="CJ150" s="881"/>
      <c r="CK150" s="263">
        <f>IF(CI150=0,0,(CJ150-CI150)/CI150*100)</f>
        <v>0</v>
      </c>
      <c r="CL150" s="881"/>
      <c r="CM150" s="881"/>
      <c r="CN150" s="263">
        <f>IF(CL150=0,0,(CM150-CL150)/CL150*100)</f>
        <v>0</v>
      </c>
      <c r="CO150" s="881"/>
      <c r="CP150" s="881"/>
      <c r="CQ150" s="263">
        <f>IF(CO150=0,0,(CP150-CO150)/CO150*100)</f>
        <v>0</v>
      </c>
      <c r="CR150" s="881"/>
      <c r="CS150" s="881"/>
      <c r="CT150" s="263">
        <f>IF(CR150=0,0,(CS150-CR150)/CR150*100)</f>
        <v>0</v>
      </c>
      <c r="CU150" s="881"/>
      <c r="CV150" s="881"/>
      <c r="CW150" s="263">
        <f>IF(CU150=0,0,(CV150-CU150)/CU150*100)</f>
        <v>0</v>
      </c>
      <c r="CX150" s="881"/>
      <c r="CY150" s="881"/>
      <c r="CZ150" s="263">
        <f>IF(CX150=0,0,(CY150-CX150)/CX150*100)</f>
        <v>0</v>
      </c>
      <c r="DA150" s="881"/>
      <c r="DB150" s="881"/>
      <c r="DC150" s="263">
        <f>IF(DA150=0,0,(DB150-DA150)/DA150*100)</f>
        <v>0</v>
      </c>
      <c r="DD150" s="881"/>
      <c r="DE150" s="881"/>
      <c r="DF150" s="263">
        <f>IF(DD150=0,0,(DE150-DD150)/DD150*100)</f>
        <v>0</v>
      </c>
      <c r="DG150" s="881"/>
      <c r="DH150" s="881"/>
      <c r="DI150" s="263">
        <f>IF(DG150=0,0,(DH150-DG150)/DG150*100)</f>
        <v>0</v>
      </c>
      <c r="DJ150" s="881"/>
      <c r="DK150" s="881"/>
      <c r="DL150" s="263">
        <f>IF(DJ150=0,0,(DK150-DJ150)/DJ150*100)</f>
        <v>0</v>
      </c>
      <c r="DM150" s="881"/>
      <c r="DN150" s="881"/>
      <c r="DO150" s="263">
        <f>IF(DM150=0,0,(DN150-DM150)/DM150*100)</f>
        <v>0</v>
      </c>
      <c r="DP150" s="881"/>
      <c r="DQ150" s="881"/>
      <c r="DR150" s="263">
        <f>IF(DP150=0,0,(DQ150-DP150)/DP150*100)</f>
        <v>0</v>
      </c>
      <c r="DS150" s="881"/>
      <c r="DT150" s="881"/>
      <c r="DU150" s="263">
        <f>IF(DS150=0,0,(DT150-DS150)/DS150*100)</f>
        <v>0</v>
      </c>
      <c r="DV150" s="881"/>
      <c r="DW150" s="881"/>
      <c r="DX150" s="263">
        <f>IF(DV150=0,0,(DW150-DV150)/DV150*100)</f>
        <v>0</v>
      </c>
      <c r="DY150" s="881"/>
      <c r="DZ150" s="881"/>
      <c r="EA150" s="263">
        <f>IF(DY150=0,0,(DZ150-DY150)/DY150*100)</f>
        <v>0</v>
      </c>
      <c r="EB150" s="881"/>
      <c r="EC150" s="881"/>
      <c r="ED150" s="263">
        <f>IF(EB150=0,0,(EC150-EB150)/EB150*100)</f>
        <v>0</v>
      </c>
      <c r="EE150" s="881"/>
      <c r="EF150" s="881"/>
      <c r="EG150" s="263">
        <f>IF(EE150=0,0,(EF150-EE150)/EE150*100)</f>
        <v>0</v>
      </c>
      <c r="EH150" s="881"/>
      <c r="EI150" s="881"/>
      <c r="EJ150" s="263">
        <f>IF(EH150=0,0,(EI150-EH150)/EH150*100)</f>
        <v>0</v>
      </c>
      <c r="EK150" s="881"/>
      <c r="EL150" s="881"/>
      <c r="EM150" s="263">
        <f>IF(EK150=0,0,(EL150-EK150)/EK150*100)</f>
        <v>0</v>
      </c>
      <c r="EN150" s="881"/>
      <c r="EO150" s="881"/>
      <c r="EP150" s="263">
        <f>IF(EN150=0,0,(EO150-EN150)/EN150*100)</f>
        <v>0</v>
      </c>
      <c r="EQ150" s="881"/>
      <c r="ER150" s="881"/>
      <c r="ES150" s="263">
        <f>IF(EQ150=0,0,(ER150-EQ150)/EQ150*100)</f>
        <v>0</v>
      </c>
      <c r="ET150" s="881"/>
      <c r="EU150" s="881"/>
      <c r="EV150" s="263">
        <f>IF(ET150=0,0,(EU150-ET150)/ET150*100)</f>
        <v>0</v>
      </c>
      <c r="EW150" s="881"/>
      <c r="EX150" s="881"/>
      <c r="EY150" s="263">
        <f>IF(EW150=0,0,(EX150-EW150)/EW150*100)</f>
        <v>0</v>
      </c>
      <c r="EZ150" s="881"/>
      <c r="FA150" s="881"/>
      <c r="FB150" s="263">
        <f>IF(EZ150=0,0,(FA150-EZ150)/EZ150*100)</f>
        <v>0</v>
      </c>
      <c r="FC150" s="881"/>
      <c r="FD150" s="881"/>
      <c r="FE150" s="263">
        <f>IF(FC150=0,0,(FD150-FC150)/FC150*100)</f>
        <v>0</v>
      </c>
      <c r="FF150" s="881"/>
      <c r="FG150" s="881"/>
      <c r="FH150" s="263">
        <f>IF(FF150=0,0,(FG150-FF150)/FF150*100)</f>
        <v>0</v>
      </c>
      <c r="FI150" s="881"/>
      <c r="FJ150" s="881"/>
      <c r="FK150" s="263">
        <f>IF(FI150=0,0,(FJ150-FI150)/FI150*100)</f>
        <v>0</v>
      </c>
      <c r="FL150" s="881"/>
      <c r="FM150" s="881"/>
      <c r="FN150" s="263">
        <f>IF(FL150=0,0,(FM150-FL150)/FL150*100)</f>
        <v>0</v>
      </c>
      <c r="FO150" s="881"/>
      <c r="FP150" s="881"/>
      <c r="FQ150" s="263">
        <f>IF(FO150=0,0,(FP150-FO150)/FO150*100)</f>
        <v>0</v>
      </c>
      <c r="FR150" s="881"/>
      <c r="FS150" s="881"/>
      <c r="FT150" s="263">
        <f>IF(FR150=0,0,(FS150-FR150)/FR150*100)</f>
        <v>0</v>
      </c>
      <c r="FU150" s="881"/>
      <c r="FV150" s="881"/>
      <c r="FW150" s="263">
        <f>IF(FU150=0,0,(FV150-FU150)/FU150*100)</f>
        <v>0</v>
      </c>
      <c r="FX150" s="259"/>
      <c r="FY150" s="259"/>
      <c r="FZ150" s="1039" t="s">
        <v>1509</v>
      </c>
      <c r="GA150" s="1039"/>
      <c r="GB150" s="1039"/>
      <c r="GC150" s="1040"/>
      <c r="GD150" s="1040"/>
    </row>
    <row s="3905" customFormat="1" customHeight="1" ht="23.25">
      <c r="A151" s="879"/>
      <c r="B151" s="907" cm="1" t="str">
        <f t="array" ref="B151:B151">B150</f>
        <v>true</v>
      </c>
      <c r="C151" s="879"/>
      <c r="D151" s="879"/>
      <c r="E151" s="880">
        <v>24.5</v>
      </c>
      <c r="F151" s="50" cm="1" t="str">
        <f t="array" ref="F151:F151">OFFSET(E151,-1,1)</f>
        <v>2</v>
      </c>
      <c r="G151" s="73" t="s">
        <v>1510</v>
      </c>
      <c r="H151" s="467" t="s">
        <v>441</v>
      </c>
      <c r="I151" s="467" t="s">
        <v>1511</v>
      </c>
      <c r="J151" s="879"/>
      <c r="K151" s="879"/>
      <c r="L151" s="467"/>
      <c r="M151" s="879"/>
      <c r="N151" s="879"/>
      <c r="O151" s="879"/>
      <c r="P151" s="879"/>
      <c r="Q151" s="879"/>
      <c r="R151" s="467"/>
      <c r="S151" s="467"/>
      <c r="T151" s="439" cm="1" t="str">
        <f t="array" ref="T151:T151">T150</f>
        <v>true</v>
      </c>
      <c r="U151" s="879"/>
      <c r="V151" s="879"/>
      <c r="W151" s="879"/>
      <c r="X151" s="1534"/>
      <c r="Y151" s="879"/>
      <c r="Z151" s="1464"/>
      <c r="AA151" s="879"/>
      <c r="AB151" s="1075" t="s">
        <v>1512</v>
      </c>
      <c r="AC151" s="261" t="s">
        <v>1494</v>
      </c>
      <c r="AD151" s="881">
        <f>IF(AND(method_reg="Метод индексации",god&lt;&gt;first_year),_xlfn.SUMIFS(INDEX('Калькуляция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(МИ)'!$AJ$25:$BC$459,,MATCH(AD$8,'Калькуляция (МИ)'!$AJ$8:$BC$8,0)),'Калькуляция (МИ)'!$F$25:$F$459,$F151,'Калькуляция (МИ)'!$G$25:$G$459,$G151))))</f>
        <v>0</v>
      </c>
      <c r="AE151" s="881">
        <f>IF(AND(method_reg="Метод индексации",god&lt;&gt;first_year),_xlfn.SUMIFS(INDEX('Калькуляция (МИ корр)'!$AJ$25:$BC$459,,MATCH(AE$8,'Калькуляция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(МИ)'!$AJ$25:$BC$459,,MATCH(AE$8,'Калькуляция (МИ)'!$AJ$8:$BC$8,0)),'Калькуляция (МИ)'!$F$25:$F$459,$F151,'Калькуляция (МИ)'!$G$25:$G$459,$G151))))</f>
        <v>0</v>
      </c>
      <c r="AF151" s="263">
        <f>IF(AD151=0,0,(AE151-AD151)/AD151*100)</f>
        <v>0</v>
      </c>
      <c r="AG151" s="3395">
        <f>IF(AND(method_reg="Метод индексации",god&lt;&gt;first_year),_xlfn.SUMIFS(INDEX('Калькуляция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(МИ)'!$AJ$25:$BC$459,,MATCH(AG$8,'Калькуляция (МИ)'!$AJ$8:$BC$8,0)),'Калькуляция (МИ)'!$F$25:$F$459,$F151,'Калькуляция (МИ)'!$G$25:$G$459,$G151))))</f>
        <v>0</v>
      </c>
      <c r="AH151" s="3395">
        <f>IF(AND(method_reg="Метод индексации",god&lt;&gt;first_year),_xlfn.SUMIFS(INDEX('Калькуляция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(МИ)'!$AJ$25:$BC$459,,MATCH(AH$8,'Калькуляция (МИ)'!$AJ$8:$BC$8,0)),'Калькуляция (МИ)'!$F$25:$F$459,$F151,'Калькуляция (МИ)'!$G$25:$G$459,$G151))))</f>
        <v>0</v>
      </c>
      <c r="AI151" s="263">
        <f>IF(AG151=0,0,(AH151-AG151)/AG151*100)</f>
        <v>0</v>
      </c>
      <c r="AJ151" s="3395">
        <f>IF(AND(method_reg="Метод индексации",god&lt;&gt;first_year),_xlfn.SUMIFS(INDEX('Калькуляция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(МИ)'!$AJ$25:$BC$459,,MATCH(AJ$8,'Калькуляция (МИ)'!$AJ$8:$BC$8,0)),'Калькуляция (МИ)'!$F$25:$F$459,$F151,'Калькуляция (МИ)'!$G$25:$G$459,$G151))))</f>
        <v>0</v>
      </c>
      <c r="AK151" s="3395">
        <f>IF(AND(method_reg="Метод индексации",god&lt;&gt;first_year),_xlfn.SUMIFS(INDEX('Калькуляция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(МИ)'!$AJ$25:$BC$459,,MATCH(AK$8,'Калькуляция (МИ)'!$AJ$8:$BC$8,0)),'Калькуляция (МИ)'!$F$25:$F$459,$F151,'Калькуляция (МИ)'!$G$25:$G$459,$G151))))</f>
        <v>0</v>
      </c>
      <c r="AL151" s="263">
        <f>IF(AJ151=0,0,(AK151-AJ151)/AJ151*100)</f>
        <v>0</v>
      </c>
      <c r="AM151" s="881">
        <f>IF(AND(method_reg="Метод индексации",god&lt;&gt;first_year),_xlfn.SUMIFS(INDEX('Калькуляция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(МИ)'!$AJ$25:$BC$459,,MATCH(AM$8,'Калькуляция (МИ)'!$AJ$8:$BC$8,0)),'Калькуляция (МИ)'!$F$25:$F$459,$F151,'Калькуляция (МИ)'!$G$25:$G$459,$G151))))</f>
        <v>0</v>
      </c>
      <c r="AN151" s="881">
        <f>IF(AND(method_reg="Метод индексации",god&lt;&gt;first_year),_xlfn.SUMIFS(INDEX('Калькуляция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(МИ)'!$AJ$25:$BC$459,,MATCH(AN$8,'Калькуляция (МИ)'!$AJ$8:$BC$8,0)),'Калькуляция (МИ)'!$F$25:$F$459,$F151,'Калькуляция (МИ)'!$G$25:$G$459,$G151))))</f>
        <v>0</v>
      </c>
      <c r="AO151" s="263">
        <f>IF(AM151=0,0,(AN151-AM151)/AM151*100)</f>
        <v>0</v>
      </c>
      <c r="AP151" s="881">
        <f>IF(AND(method_reg="Метод индексации",god&lt;&gt;first_year),_xlfn.SUMIFS(INDEX('Калькуляция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(МИ)'!$AJ$25:$BC$459,,MATCH(AP$8,'Калькуляция (МИ)'!$AJ$8:$BC$8,0)),'Калькуляция (МИ)'!$F$25:$F$459,$F151,'Калькуляция (МИ)'!$G$25:$G$459,$G151))))</f>
        <v>0</v>
      </c>
      <c r="AQ151" s="881">
        <f>IF(AND(method_reg="Метод индексации",god&lt;&gt;first_year),_xlfn.SUMIFS(INDEX('Калькуляция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(МИ)'!$AJ$25:$BC$459,,MATCH(AQ$8,'Калькуляция (МИ)'!$AJ$8:$BC$8,0)),'Калькуляция (МИ)'!$F$25:$F$459,$F151,'Калькуляция (МИ)'!$G$25:$G$459,$G151))))</f>
        <v>0</v>
      </c>
      <c r="AR151" s="263">
        <f>IF(AP151=0,0,(AQ151-AP151)/AP151*100)</f>
        <v>0</v>
      </c>
      <c r="AS151" s="881">
        <f>IF(AND(method_reg="Метод индексации",god&lt;&gt;first_year),_xlfn.SUMIFS(INDEX('Калькуляция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(МИ)'!$AJ$25:$BC$459,,MATCH(AS$8,'Калькуляция (МИ)'!$AJ$8:$BC$8,0)),'Калькуляция (МИ)'!$F$25:$F$459,$F151,'Калькуляция (МИ)'!$G$25:$G$459,$G151))))</f>
        <v>0</v>
      </c>
      <c r="AT151" s="881">
        <f>IF(AND(method_reg="Метод индексации",god&lt;&gt;first_year),_xlfn.SUMIFS(INDEX('Калькуляция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(МИ)'!$AJ$25:$BC$459,,MATCH(AT$8,'Калькуляция (МИ)'!$AJ$8:$BC$8,0)),'Калькуляция (МИ)'!$F$25:$F$459,$F151,'Калькуляция (МИ)'!$G$25:$G$459,$G151))))</f>
        <v>0</v>
      </c>
      <c r="AU151" s="263">
        <f>IF(AS151=0,0,(AT151-AS151)/AS151*100)</f>
        <v>0</v>
      </c>
      <c r="AV151" s="881">
        <f>IF(AND(method_reg="Метод индексации",god&lt;&gt;first_year),_xlfn.SUMIFS(INDEX('Калькуляция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(МИ)'!$AJ$25:$BC$459,,MATCH(AV$8,'Калькуляция (МИ)'!$AJ$8:$BC$8,0)),'Калькуляция (МИ)'!$F$25:$F$459,$F151,'Калькуляция (МИ)'!$G$25:$G$459,$G151))))</f>
        <v>0</v>
      </c>
      <c r="AW151" s="881">
        <f>IF(AND(method_reg="Метод индексации",god&lt;&gt;first_year),_xlfn.SUMIFS(INDEX('Калькуляция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(МИ)'!$AJ$25:$BC$459,,MATCH(AW$8,'Калькуляция (МИ)'!$AJ$8:$BC$8,0)),'Калькуляция (МИ)'!$F$25:$F$459,$F151,'Калькуляция (МИ)'!$G$25:$G$459,$G151))))</f>
        <v>0</v>
      </c>
      <c r="AX151" s="263">
        <f>IF(AV151=0,0,(AW151-AV151)/AV151*100)</f>
        <v>0</v>
      </c>
      <c r="AY151" s="881">
        <f>IF(AND(method_reg="Метод индексации",god&lt;&gt;first_year),_xlfn.SUMIFS(INDEX('Калькуляция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(МИ)'!$AJ$25:$BC$459,,MATCH(AY$8,'Калькуляция (МИ)'!$AJ$8:$BC$8,0)),'Калькуляция (МИ)'!$F$25:$F$459,$F151,'Калькуляция (МИ)'!$G$25:$G$459,$G151))))</f>
        <v>0</v>
      </c>
      <c r="AZ151" s="881">
        <f>IF(AND(method_reg="Метод индексации",god&lt;&gt;first_year),_xlfn.SUMIFS(INDEX('Калькуляция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(МИ)'!$AJ$25:$BC$459,,MATCH(AZ$8,'Калькуляция (МИ)'!$AJ$8:$BC$8,0)),'Калькуляция (МИ)'!$F$25:$F$459,$F151,'Калькуляция (МИ)'!$G$25:$G$459,$G151))))</f>
        <v>0</v>
      </c>
      <c r="BA151" s="263">
        <f>IF(AY151=0,0,(AZ151-AY151)/AY151*100)</f>
        <v>0</v>
      </c>
      <c r="BB151" s="881">
        <f>IF(AND(method_reg="Метод индексации",god&lt;&gt;first_year),_xlfn.SUMIFS(INDEX('Калькуляция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(МИ)'!$AJ$25:$BC$459,,MATCH(BB$8,'Калькуляция (МИ)'!$AJ$8:$BC$8,0)),'Калькуляция (МИ)'!$F$25:$F$459,$F151,'Калькуляция (МИ)'!$G$25:$G$459,$G151))))</f>
        <v>0</v>
      </c>
      <c r="BC151" s="881">
        <f>IF(AND(method_reg="Метод индексации",god&lt;&gt;first_year),_xlfn.SUMIFS(INDEX('Калькуляция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(МИ)'!$AJ$25:$BC$459,,MATCH(BC$8,'Калькуляция (МИ)'!$AJ$8:$BC$8,0)),'Калькуляция (МИ)'!$F$25:$F$459,$F151,'Калькуляция (МИ)'!$G$25:$G$459,$G151))))</f>
        <v>0</v>
      </c>
      <c r="BD151" s="263">
        <f>IF(BB151=0,0,(BC151-BB151)/BB151*100)</f>
        <v>0</v>
      </c>
      <c r="BE151" s="881">
        <f>IF(AND(method_reg="Метод индексации",god&lt;&gt;first_year),_xlfn.SUMIFS(INDEX('Калькуляция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расходов",_xlfn.SUMIFS('Калькуляция (МЭОР)'!$AJ$25:$AJ$282,'Калькуляция (МЭОР)'!$F$25:$F$282,$F151,'Калькуляция (МЭОР)'!$G$25:$G$282,$G151),IF(method_reg="Метод сравнения аналогов",_xlfn.SUMIFS('Калькуляция (МСА)'!$AE$25:$AE$84,'Калькуляция (МСА)'!$F$25:$F$84,$F151,'Калькуляция (МСА)'!$G$25:$G$84,$G151),_xlfn.SUMIFS(INDEX('Калькуляция (МИ)'!$AJ$25:$BC$459,,MATCH(BE$8,'Калькуляция (МИ)'!$AJ$8:$BC$8,0)),'Калькуляция (МИ)'!$F$25:$F$459,$F151,'Калькуляция (МИ)'!$G$25:$G$459,$G151))))</f>
        <v>0</v>
      </c>
      <c r="BF151" s="881">
        <f>IF(AND(method_reg="Метод индексации",god&lt;&gt;first_year),_xlfn.SUMIFS(INDEX('Калькуляция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расходов",_xlfn.SUMIFS('Калькуляция (МЭОР)'!$AK$25:$AK$282,'Калькуляция (МЭОР)'!$F$25:$F$282,$F151,'Калькуляция (МЭОР)'!$G$25:$G$282,$G151),IF(method_reg="Метод сравнения аналогов",_xlfn.SUMIFS('Калькуляция (МСА)'!$AF$25:$AF$84,'Калькуляция (МСА)'!$F$25:$F$84,$F151,'Калькуляция (МСА)'!$G$25:$G$84,$G151),_xlfn.SUMIFS(INDEX('Калькуляция (МИ)'!$AJ$25:$BC$459,,MATCH(BF$8,'Калькуляция (МИ)'!$AJ$8:$BC$8,0)),'Калькуляция (МИ)'!$F$25:$F$459,$F151,'Калькуляция (МИ)'!$G$25:$G$459,$G151))))</f>
        <v>0</v>
      </c>
      <c r="BG151" s="263">
        <f>IF(BE151=0,0,(BF151-BE151)/BE151*100)</f>
        <v>0</v>
      </c>
      <c r="BH151" s="881"/>
      <c r="BI151" s="881"/>
      <c r="BJ151" s="263">
        <f>IF(BH151=0,0,(BI151-BH151)/BH151*100)</f>
        <v>0</v>
      </c>
      <c r="BK151" s="881"/>
      <c r="BL151" s="881"/>
      <c r="BM151" s="263">
        <f>IF(BK151=0,0,(BL151-BK151)/BK151*100)</f>
        <v>0</v>
      </c>
      <c r="BN151" s="881"/>
      <c r="BO151" s="881"/>
      <c r="BP151" s="263">
        <f>IF(BN151=0,0,(BO151-BN151)/BN151*100)</f>
        <v>0</v>
      </c>
      <c r="BQ151" s="881"/>
      <c r="BR151" s="881"/>
      <c r="BS151" s="263">
        <f>IF(BQ151=0,0,(BR151-BQ151)/BQ151*100)</f>
        <v>0</v>
      </c>
      <c r="BT151" s="881"/>
      <c r="BU151" s="881"/>
      <c r="BV151" s="263">
        <f>IF(BT151=0,0,(BU151-BT151)/BT151*100)</f>
        <v>0</v>
      </c>
      <c r="BW151" s="881"/>
      <c r="BX151" s="881"/>
      <c r="BY151" s="263">
        <f>IF(BW151=0,0,(BX151-BW151)/BW151*100)</f>
        <v>0</v>
      </c>
      <c r="BZ151" s="881"/>
      <c r="CA151" s="881"/>
      <c r="CB151" s="263">
        <f>IF(BZ151=0,0,(CA151-BZ151)/BZ151*100)</f>
        <v>0</v>
      </c>
      <c r="CC151" s="881"/>
      <c r="CD151" s="881"/>
      <c r="CE151" s="263">
        <f>IF(CC151=0,0,(CD151-CC151)/CC151*100)</f>
        <v>0</v>
      </c>
      <c r="CF151" s="881"/>
      <c r="CG151" s="881"/>
      <c r="CH151" s="263">
        <f>IF(CF151=0,0,(CG151-CF151)/CF151*100)</f>
        <v>0</v>
      </c>
      <c r="CI151" s="881"/>
      <c r="CJ151" s="881"/>
      <c r="CK151" s="263">
        <f>IF(CI151=0,0,(CJ151-CI151)/CI151*100)</f>
        <v>0</v>
      </c>
      <c r="CL151" s="881"/>
      <c r="CM151" s="881"/>
      <c r="CN151" s="263">
        <f>IF(CL151=0,0,(CM151-CL151)/CL151*100)</f>
        <v>0</v>
      </c>
      <c r="CO151" s="881"/>
      <c r="CP151" s="881"/>
      <c r="CQ151" s="263">
        <f>IF(CO151=0,0,(CP151-CO151)/CO151*100)</f>
        <v>0</v>
      </c>
      <c r="CR151" s="881"/>
      <c r="CS151" s="881"/>
      <c r="CT151" s="263">
        <f>IF(CR151=0,0,(CS151-CR151)/CR151*100)</f>
        <v>0</v>
      </c>
      <c r="CU151" s="881"/>
      <c r="CV151" s="881"/>
      <c r="CW151" s="263">
        <f>IF(CU151=0,0,(CV151-CU151)/CU151*100)</f>
        <v>0</v>
      </c>
      <c r="CX151" s="881"/>
      <c r="CY151" s="881"/>
      <c r="CZ151" s="263">
        <f>IF(CX151=0,0,(CY151-CX151)/CX151*100)</f>
        <v>0</v>
      </c>
      <c r="DA151" s="881"/>
      <c r="DB151" s="881"/>
      <c r="DC151" s="263">
        <f>IF(DA151=0,0,(DB151-DA151)/DA151*100)</f>
        <v>0</v>
      </c>
      <c r="DD151" s="881"/>
      <c r="DE151" s="881"/>
      <c r="DF151" s="263">
        <f>IF(DD151=0,0,(DE151-DD151)/DD151*100)</f>
        <v>0</v>
      </c>
      <c r="DG151" s="881"/>
      <c r="DH151" s="881"/>
      <c r="DI151" s="263">
        <f>IF(DG151=0,0,(DH151-DG151)/DG151*100)</f>
        <v>0</v>
      </c>
      <c r="DJ151" s="881"/>
      <c r="DK151" s="881"/>
      <c r="DL151" s="263">
        <f>IF(DJ151=0,0,(DK151-DJ151)/DJ151*100)</f>
        <v>0</v>
      </c>
      <c r="DM151" s="881"/>
      <c r="DN151" s="881"/>
      <c r="DO151" s="263">
        <f>IF(DM151=0,0,(DN151-DM151)/DM151*100)</f>
        <v>0</v>
      </c>
      <c r="DP151" s="881"/>
      <c r="DQ151" s="881"/>
      <c r="DR151" s="263">
        <f>IF(DP151=0,0,(DQ151-DP151)/DP151*100)</f>
        <v>0</v>
      </c>
      <c r="DS151" s="881"/>
      <c r="DT151" s="881"/>
      <c r="DU151" s="263">
        <f>IF(DS151=0,0,(DT151-DS151)/DS151*100)</f>
        <v>0</v>
      </c>
      <c r="DV151" s="881"/>
      <c r="DW151" s="881"/>
      <c r="DX151" s="263">
        <f>IF(DV151=0,0,(DW151-DV151)/DV151*100)</f>
        <v>0</v>
      </c>
      <c r="DY151" s="881"/>
      <c r="DZ151" s="881"/>
      <c r="EA151" s="263">
        <f>IF(DY151=0,0,(DZ151-DY151)/DY151*100)</f>
        <v>0</v>
      </c>
      <c r="EB151" s="881"/>
      <c r="EC151" s="881"/>
      <c r="ED151" s="263">
        <f>IF(EB151=0,0,(EC151-EB151)/EB151*100)</f>
        <v>0</v>
      </c>
      <c r="EE151" s="881"/>
      <c r="EF151" s="881"/>
      <c r="EG151" s="263">
        <f>IF(EE151=0,0,(EF151-EE151)/EE151*100)</f>
        <v>0</v>
      </c>
      <c r="EH151" s="881"/>
      <c r="EI151" s="881"/>
      <c r="EJ151" s="263">
        <f>IF(EH151=0,0,(EI151-EH151)/EH151*100)</f>
        <v>0</v>
      </c>
      <c r="EK151" s="881"/>
      <c r="EL151" s="881"/>
      <c r="EM151" s="263">
        <f>IF(EK151=0,0,(EL151-EK151)/EK151*100)</f>
        <v>0</v>
      </c>
      <c r="EN151" s="881"/>
      <c r="EO151" s="881"/>
      <c r="EP151" s="263">
        <f>IF(EN151=0,0,(EO151-EN151)/EN151*100)</f>
        <v>0</v>
      </c>
      <c r="EQ151" s="881"/>
      <c r="ER151" s="881"/>
      <c r="ES151" s="263">
        <f>IF(EQ151=0,0,(ER151-EQ151)/EQ151*100)</f>
        <v>0</v>
      </c>
      <c r="ET151" s="881"/>
      <c r="EU151" s="881"/>
      <c r="EV151" s="263">
        <f>IF(ET151=0,0,(EU151-ET151)/ET151*100)</f>
        <v>0</v>
      </c>
      <c r="EW151" s="881"/>
      <c r="EX151" s="881"/>
      <c r="EY151" s="263">
        <f>IF(EW151=0,0,(EX151-EW151)/EW151*100)</f>
        <v>0</v>
      </c>
      <c r="EZ151" s="881"/>
      <c r="FA151" s="881"/>
      <c r="FB151" s="263">
        <f>IF(EZ151=0,0,(FA151-EZ151)/EZ151*100)</f>
        <v>0</v>
      </c>
      <c r="FC151" s="881"/>
      <c r="FD151" s="881"/>
      <c r="FE151" s="263">
        <f>IF(FC151=0,0,(FD151-FC151)/FC151*100)</f>
        <v>0</v>
      </c>
      <c r="FF151" s="881"/>
      <c r="FG151" s="881"/>
      <c r="FH151" s="263">
        <f>IF(FF151=0,0,(FG151-FF151)/FF151*100)</f>
        <v>0</v>
      </c>
      <c r="FI151" s="881"/>
      <c r="FJ151" s="881"/>
      <c r="FK151" s="263">
        <f>IF(FI151=0,0,(FJ151-FI151)/FI151*100)</f>
        <v>0</v>
      </c>
      <c r="FL151" s="881"/>
      <c r="FM151" s="881"/>
      <c r="FN151" s="263">
        <f>IF(FL151=0,0,(FM151-FL151)/FL151*100)</f>
        <v>0</v>
      </c>
      <c r="FO151" s="881"/>
      <c r="FP151" s="881"/>
      <c r="FQ151" s="263">
        <f>IF(FO151=0,0,(FP151-FO151)/FO151*100)</f>
        <v>0</v>
      </c>
      <c r="FR151" s="881"/>
      <c r="FS151" s="881"/>
      <c r="FT151" s="263">
        <f>IF(FR151=0,0,(FS151-FR151)/FR151*100)</f>
        <v>0</v>
      </c>
      <c r="FU151" s="881"/>
      <c r="FV151" s="881"/>
      <c r="FW151" s="263">
        <f>IF(FU151=0,0,(FV151-FU151)/FU151*100)</f>
        <v>0</v>
      </c>
      <c r="FX151" s="259"/>
      <c r="FY151" s="259"/>
      <c r="FZ151" s="1039" t="s">
        <v>1513</v>
      </c>
      <c r="GA151" s="1039"/>
      <c r="GB151" s="1039"/>
      <c r="GC151" s="1040"/>
      <c r="GD151" s="1040"/>
    </row>
    <row s="1621" customFormat="1" customHeight="1" ht="14.25">
      <c r="A152" s="467"/>
      <c r="B152" s="907" cm="1" t="str">
        <f t="array" ref="B152:B152">B151</f>
        <v>true</v>
      </c>
      <c r="C152" s="467"/>
      <c r="D152" s="467"/>
      <c r="E152" s="822">
        <v>15</v>
      </c>
      <c r="F152" s="50" cm="1" t="str">
        <f t="array" ref="F152:F152">OFFSET(E152,-1,1)</f>
        <v>2</v>
      </c>
      <c r="G152" s="73"/>
      <c r="H152" s="467" t="s">
        <v>445</v>
      </c>
      <c r="I152" s="467" t="s">
        <v>1514</v>
      </c>
      <c r="J152" s="467"/>
      <c r="K152" s="467"/>
      <c r="L152" s="467"/>
      <c r="M152" s="467"/>
      <c r="N152" s="467"/>
      <c r="O152" s="467"/>
      <c r="P152" s="467"/>
      <c r="Q152" s="879"/>
      <c r="R152" s="467"/>
      <c r="S152" s="467"/>
      <c r="T152" s="439" cm="1" t="str">
        <f t="array" ref="T152:T152">T151</f>
        <v>true</v>
      </c>
      <c r="U152" s="467"/>
      <c r="V152" s="467"/>
      <c r="W152" s="467"/>
      <c r="X152" s="1534"/>
      <c r="Y152" s="467"/>
      <c r="Z152" s="1464"/>
      <c r="AA152" s="467"/>
      <c r="AB152" s="1074" t="s">
        <v>1501</v>
      </c>
      <c r="AC152" s="846" t="s">
        <v>437</v>
      </c>
      <c r="AD152" s="1077">
        <f>IF(AD150=0,0,AD151/AD150)*100</f>
        <v>0</v>
      </c>
      <c r="AE152" s="1077">
        <f>IF(AE150=0,0,AE151/AE150)*100</f>
        <v>0</v>
      </c>
      <c r="AF152" s="1078"/>
      <c r="AG152" s="1077">
        <f>IF(AG150=0,0,AG151/AG150)*100</f>
        <v>0</v>
      </c>
      <c r="AH152" s="1077">
        <f>IF(AH150=0,0,AH151/AH150)*100</f>
        <v>0</v>
      </c>
      <c r="AI152" s="1078"/>
      <c r="AJ152" s="1077">
        <f>IF(AJ150=0,0,AJ151/AJ150)*100</f>
        <v>0</v>
      </c>
      <c r="AK152" s="1077">
        <f>IF(AK150=0,0,AK151/AK150)*100</f>
        <v>0</v>
      </c>
      <c r="AL152" s="1078"/>
      <c r="AM152" s="1077">
        <f>IF(AM150=0,0,AM151/AM150)*100</f>
        <v>0</v>
      </c>
      <c r="AN152" s="1077">
        <f>IF(AN150=0,0,AN151/AN150)*100</f>
        <v>0</v>
      </c>
      <c r="AO152" s="1078"/>
      <c r="AP152" s="1077">
        <f>IF(AP150=0,0,AP151/AP150)*100</f>
        <v>0</v>
      </c>
      <c r="AQ152" s="1077">
        <f>IF(AQ150=0,0,AQ151/AQ150)*100</f>
        <v>0</v>
      </c>
      <c r="AR152" s="1078"/>
      <c r="AS152" s="1077">
        <f>IF(AS150=0,0,AS151/AS150)*100</f>
        <v>0</v>
      </c>
      <c r="AT152" s="1077">
        <f>IF(AT150=0,0,AT151/AT150)*100</f>
        <v>0</v>
      </c>
      <c r="AU152" s="1078"/>
      <c r="AV152" s="1077">
        <f>IF(AV150=0,0,AV151/AV150)*100</f>
        <v>0</v>
      </c>
      <c r="AW152" s="1077">
        <f>IF(AW150=0,0,AW151/AW150)*100</f>
        <v>0</v>
      </c>
      <c r="AX152" s="1078"/>
      <c r="AY152" s="1077">
        <f>IF(AY150=0,0,AY151/AY150)*100</f>
        <v>0</v>
      </c>
      <c r="AZ152" s="1077">
        <f>IF(AZ150=0,0,AZ151/AZ150)*100</f>
        <v>0</v>
      </c>
      <c r="BA152" s="1078"/>
      <c r="BB152" s="1077">
        <f>IF(BB150=0,0,BB151/BB150)*100</f>
        <v>0</v>
      </c>
      <c r="BC152" s="1077">
        <f>IF(BC150=0,0,BC151/BC150)*100</f>
        <v>0</v>
      </c>
      <c r="BD152" s="1078"/>
      <c r="BE152" s="1077">
        <f>IF(BE150=0,0,BE151/BE150)*100</f>
        <v>0</v>
      </c>
      <c r="BF152" s="1077">
        <f>IF(BF150=0,0,BF151/BF150)*100</f>
        <v>0</v>
      </c>
      <c r="BG152" s="1078"/>
      <c r="BH152" s="1077">
        <f>IF(BH150=0,0,BH151/BH150)*100</f>
        <v>0</v>
      </c>
      <c r="BI152" s="1077">
        <f>IF(BI150=0,0,BI151/BI150)*100</f>
        <v>0</v>
      </c>
      <c r="BJ152" s="1078"/>
      <c r="BK152" s="1077">
        <f>IF(BK150=0,0,BK151/BK150)*100</f>
        <v>0</v>
      </c>
      <c r="BL152" s="1077">
        <f>IF(BL150=0,0,BL151/BL150)*100</f>
        <v>0</v>
      </c>
      <c r="BM152" s="1078"/>
      <c r="BN152" s="1077">
        <f>IF(BN150=0,0,BN151/BN150)*100</f>
        <v>0</v>
      </c>
      <c r="BO152" s="1077">
        <f>IF(BO150=0,0,BO151/BO150)*100</f>
        <v>0</v>
      </c>
      <c r="BP152" s="1078"/>
      <c r="BQ152" s="1077">
        <f>IF(BQ150=0,0,BQ151/BQ150)*100</f>
        <v>0</v>
      </c>
      <c r="BR152" s="1077">
        <f>IF(BR150=0,0,BR151/BR150)*100</f>
        <v>0</v>
      </c>
      <c r="BS152" s="1078"/>
      <c r="BT152" s="1077">
        <f>IF(BT150=0,0,BT151/BT150)*100</f>
        <v>0</v>
      </c>
      <c r="BU152" s="1077">
        <f>IF(BU150=0,0,BU151/BU150)*100</f>
        <v>0</v>
      </c>
      <c r="BV152" s="1078"/>
      <c r="BW152" s="1077">
        <f>IF(BW150=0,0,BW151/BW150)*100</f>
        <v>0</v>
      </c>
      <c r="BX152" s="1077">
        <f>IF(BX150=0,0,BX151/BX150)*100</f>
        <v>0</v>
      </c>
      <c r="BY152" s="1078"/>
      <c r="BZ152" s="1077">
        <f>IF(BZ150=0,0,BZ151/BZ150)*100</f>
        <v>0</v>
      </c>
      <c r="CA152" s="1077">
        <f>IF(CA150=0,0,CA151/CA150)*100</f>
        <v>0</v>
      </c>
      <c r="CB152" s="1078"/>
      <c r="CC152" s="1077">
        <f>IF(CC150=0,0,CC151/CC150)*100</f>
        <v>0</v>
      </c>
      <c r="CD152" s="1077">
        <f>IF(CD150=0,0,CD151/CD150)*100</f>
        <v>0</v>
      </c>
      <c r="CE152" s="1078"/>
      <c r="CF152" s="1077">
        <f>IF(CF150=0,0,CF151/CF150)*100</f>
        <v>0</v>
      </c>
      <c r="CG152" s="1077">
        <f>IF(CG150=0,0,CG151/CG150)*100</f>
        <v>0</v>
      </c>
      <c r="CH152" s="1078"/>
      <c r="CI152" s="1077">
        <f>IF(CI150=0,0,CI151/CI150)*100</f>
        <v>0</v>
      </c>
      <c r="CJ152" s="1077">
        <f>IF(CJ150=0,0,CJ151/CJ150)*100</f>
        <v>0</v>
      </c>
      <c r="CK152" s="1078"/>
      <c r="CL152" s="1077">
        <f>IF(CL150=0,0,CL151/CL150)*100</f>
        <v>0</v>
      </c>
      <c r="CM152" s="1077">
        <f>IF(CM150=0,0,CM151/CM150)*100</f>
        <v>0</v>
      </c>
      <c r="CN152" s="1078"/>
      <c r="CO152" s="1077">
        <f>IF(CO150=0,0,CO151/CO150)*100</f>
        <v>0</v>
      </c>
      <c r="CP152" s="1077">
        <f>IF(CP150=0,0,CP151/CP150)*100</f>
        <v>0</v>
      </c>
      <c r="CQ152" s="1078"/>
      <c r="CR152" s="1077">
        <f>IF(CR150=0,0,CR151/CR150)*100</f>
        <v>0</v>
      </c>
      <c r="CS152" s="1077">
        <f>IF(CS150=0,0,CS151/CS150)*100</f>
        <v>0</v>
      </c>
      <c r="CT152" s="1078"/>
      <c r="CU152" s="1077">
        <f>IF(CU150=0,0,CU151/CU150)*100</f>
        <v>0</v>
      </c>
      <c r="CV152" s="1077">
        <f>IF(CV150=0,0,CV151/CV150)*100</f>
        <v>0</v>
      </c>
      <c r="CW152" s="1078"/>
      <c r="CX152" s="1077">
        <f>IF(CX150=0,0,CX151/CX150)*100</f>
        <v>0</v>
      </c>
      <c r="CY152" s="1077">
        <f>IF(CY150=0,0,CY151/CY150)*100</f>
        <v>0</v>
      </c>
      <c r="CZ152" s="1078"/>
      <c r="DA152" s="1077">
        <f>IF(DA150=0,0,DA151/DA150)*100</f>
        <v>0</v>
      </c>
      <c r="DB152" s="1077">
        <f>IF(DB150=0,0,DB151/DB150)*100</f>
        <v>0</v>
      </c>
      <c r="DC152" s="1078"/>
      <c r="DD152" s="1077">
        <f>IF(DD150=0,0,DD151/DD150)*100</f>
        <v>0</v>
      </c>
      <c r="DE152" s="1077">
        <f>IF(DE150=0,0,DE151/DE150)*100</f>
        <v>0</v>
      </c>
      <c r="DF152" s="1078"/>
      <c r="DG152" s="1077">
        <f>IF(DG150=0,0,DG151/DG150)*100</f>
        <v>0</v>
      </c>
      <c r="DH152" s="1077">
        <f>IF(DH150=0,0,DH151/DH150)*100</f>
        <v>0</v>
      </c>
      <c r="DI152" s="1078"/>
      <c r="DJ152" s="1077">
        <f>IF(DJ150=0,0,DJ151/DJ150)*100</f>
        <v>0</v>
      </c>
      <c r="DK152" s="1077">
        <f>IF(DK150=0,0,DK151/DK150)*100</f>
        <v>0</v>
      </c>
      <c r="DL152" s="1078"/>
      <c r="DM152" s="1077">
        <f>IF(DM150=0,0,DM151/DM150)*100</f>
        <v>0</v>
      </c>
      <c r="DN152" s="1077">
        <f>IF(DN150=0,0,DN151/DN150)*100</f>
        <v>0</v>
      </c>
      <c r="DO152" s="1078"/>
      <c r="DP152" s="1077">
        <f>IF(DP150=0,0,DP151/DP150)*100</f>
        <v>0</v>
      </c>
      <c r="DQ152" s="1077">
        <f>IF(DQ150=0,0,DQ151/DQ150)*100</f>
        <v>0</v>
      </c>
      <c r="DR152" s="1078"/>
      <c r="DS152" s="1077">
        <f>IF(DS150=0,0,DS151/DS150)*100</f>
        <v>0</v>
      </c>
      <c r="DT152" s="1077">
        <f>IF(DT150=0,0,DT151/DT150)*100</f>
        <v>0</v>
      </c>
      <c r="DU152" s="1078"/>
      <c r="DV152" s="1077">
        <f>IF(DV150=0,0,DV151/DV150)*100</f>
        <v>0</v>
      </c>
      <c r="DW152" s="1077">
        <f>IF(DW150=0,0,DW151/DW150)*100</f>
        <v>0</v>
      </c>
      <c r="DX152" s="1078"/>
      <c r="DY152" s="1077">
        <f>IF(DY150=0,0,DY151/DY150)*100</f>
        <v>0</v>
      </c>
      <c r="DZ152" s="1077">
        <f>IF(DZ150=0,0,DZ151/DZ150)*100</f>
        <v>0</v>
      </c>
      <c r="EA152" s="1078"/>
      <c r="EB152" s="1077">
        <f>IF(EB150=0,0,EB151/EB150)*100</f>
        <v>0</v>
      </c>
      <c r="EC152" s="1077">
        <f>IF(EC150=0,0,EC151/EC150)*100</f>
        <v>0</v>
      </c>
      <c r="ED152" s="1078"/>
      <c r="EE152" s="1077">
        <f>IF(EE150=0,0,EE151/EE150)*100</f>
        <v>0</v>
      </c>
      <c r="EF152" s="1077">
        <f>IF(EF150=0,0,EF151/EF150)*100</f>
        <v>0</v>
      </c>
      <c r="EG152" s="1078"/>
      <c r="EH152" s="1077">
        <f>IF(EH150=0,0,EH151/EH150)*100</f>
        <v>0</v>
      </c>
      <c r="EI152" s="1077">
        <f>IF(EI150=0,0,EI151/EI150)*100</f>
        <v>0</v>
      </c>
      <c r="EJ152" s="1078"/>
      <c r="EK152" s="1077">
        <f>IF(EK150=0,0,EK151/EK150)*100</f>
        <v>0</v>
      </c>
      <c r="EL152" s="1077">
        <f>IF(EL150=0,0,EL151/EL150)*100</f>
        <v>0</v>
      </c>
      <c r="EM152" s="1078"/>
      <c r="EN152" s="1077">
        <f>IF(EN150=0,0,EN151/EN150)*100</f>
        <v>0</v>
      </c>
      <c r="EO152" s="1077">
        <f>IF(EO150=0,0,EO151/EO150)*100</f>
        <v>0</v>
      </c>
      <c r="EP152" s="1078"/>
      <c r="EQ152" s="1077">
        <f>IF(EQ150=0,0,EQ151/EQ150)*100</f>
        <v>0</v>
      </c>
      <c r="ER152" s="1077">
        <f>IF(ER150=0,0,ER151/ER150)*100</f>
        <v>0</v>
      </c>
      <c r="ES152" s="1078"/>
      <c r="ET152" s="1077">
        <f>IF(ET150=0,0,ET151/ET150)*100</f>
        <v>0</v>
      </c>
      <c r="EU152" s="1077">
        <f>IF(EU150=0,0,EU151/EU150)*100</f>
        <v>0</v>
      </c>
      <c r="EV152" s="1078"/>
      <c r="EW152" s="1077">
        <f>IF(EW150=0,0,EW151/EW150)*100</f>
        <v>0</v>
      </c>
      <c r="EX152" s="1077">
        <f>IF(EX150=0,0,EX151/EX150)*100</f>
        <v>0</v>
      </c>
      <c r="EY152" s="1078"/>
      <c r="EZ152" s="1077">
        <f>IF(EZ150=0,0,EZ151/EZ150)*100</f>
        <v>0</v>
      </c>
      <c r="FA152" s="1077">
        <f>IF(FA150=0,0,FA151/FA150)*100</f>
        <v>0</v>
      </c>
      <c r="FB152" s="1078"/>
      <c r="FC152" s="1077">
        <f>IF(FC150=0,0,FC151/FC150)*100</f>
        <v>0</v>
      </c>
      <c r="FD152" s="1077">
        <f>IF(FD150=0,0,FD151/FD150)*100</f>
        <v>0</v>
      </c>
      <c r="FE152" s="1078"/>
      <c r="FF152" s="1077">
        <f>IF(FF150=0,0,FF151/FF150)*100</f>
        <v>0</v>
      </c>
      <c r="FG152" s="1077">
        <f>IF(FG150=0,0,FG151/FG150)*100</f>
        <v>0</v>
      </c>
      <c r="FH152" s="1078"/>
      <c r="FI152" s="1077">
        <f>IF(FI150=0,0,FI151/FI150)*100</f>
        <v>0</v>
      </c>
      <c r="FJ152" s="1077">
        <f>IF(FJ150=0,0,FJ151/FJ150)*100</f>
        <v>0</v>
      </c>
      <c r="FK152" s="1078"/>
      <c r="FL152" s="1077">
        <f>IF(FL150=0,0,FL151/FL150)*100</f>
        <v>0</v>
      </c>
      <c r="FM152" s="1077">
        <f>IF(FM150=0,0,FM151/FM150)*100</f>
        <v>0</v>
      </c>
      <c r="FN152" s="1078"/>
      <c r="FO152" s="1077">
        <f>IF(FO150=0,0,FO151/FO150)*100</f>
        <v>0</v>
      </c>
      <c r="FP152" s="1077">
        <f>IF(FP150=0,0,FP151/FP150)*100</f>
        <v>0</v>
      </c>
      <c r="FQ152" s="1078"/>
      <c r="FR152" s="1077">
        <f>IF(FR150=0,0,FR151/FR150)*100</f>
        <v>0</v>
      </c>
      <c r="FS152" s="1077">
        <f>IF(FS150=0,0,FS151/FS150)*100</f>
        <v>0</v>
      </c>
      <c r="FT152" s="1078"/>
      <c r="FU152" s="1077">
        <f>IF(FU150=0,0,FU151/FU150)*100</f>
        <v>0</v>
      </c>
      <c r="FV152" s="1077">
        <f>IF(FV150=0,0,FV151/FV150)*100</f>
        <v>0</v>
      </c>
      <c r="FW152" s="1078"/>
      <c r="FX152" s="259"/>
      <c r="FY152" s="676"/>
      <c r="FZ152" s="1039" t="s">
        <v>1515</v>
      </c>
      <c r="GA152" s="1061"/>
      <c r="GB152" s="1061"/>
      <c r="GC152" s="697"/>
      <c r="GD152" s="697"/>
    </row>
    <row s="1621" customFormat="1" customHeight="1" ht="14.25">
      <c r="A153" s="467"/>
      <c r="B153" s="907" cm="1" t="str">
        <f t="array" ref="B153:B153">B152</f>
        <v>true</v>
      </c>
      <c r="C153" s="467"/>
      <c r="D153" s="467"/>
      <c r="E153" s="822">
        <v>15</v>
      </c>
      <c r="F153" s="50" cm="1" t="str">
        <f t="array" ref="F153:F153">OFFSET(E153,-1,1)</f>
        <v>2</v>
      </c>
      <c r="G153" s="73" t="s">
        <v>1516</v>
      </c>
      <c r="H153" s="467" t="s">
        <v>448</v>
      </c>
      <c r="I153" s="467" t="s">
        <v>1514</v>
      </c>
      <c r="J153" s="467"/>
      <c r="K153" s="467"/>
      <c r="L153" s="467"/>
      <c r="M153" s="467"/>
      <c r="N153" s="467"/>
      <c r="O153" s="467"/>
      <c r="P153" s="467"/>
      <c r="Q153" s="879"/>
      <c r="R153" s="467"/>
      <c r="S153" s="467"/>
      <c r="T153" s="439" cm="1" t="str">
        <f t="array" ref="T153:T153">T152</f>
        <v>true</v>
      </c>
      <c r="U153" s="467"/>
      <c r="V153" s="467"/>
      <c r="W153" s="467"/>
      <c r="X153" s="1534"/>
      <c r="Y153" s="467"/>
      <c r="Z153" s="1464"/>
      <c r="AA153" s="467"/>
      <c r="AB153" s="882" t="s">
        <v>1517</v>
      </c>
      <c r="AC153" s="846" t="s">
        <v>512</v>
      </c>
      <c r="AD153" s="1079">
        <f>IF(AND(method_reg="Метод индексации",god&lt;&gt;first_year),_xlfn.SUMIFS(INDEX('Калькуляция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(МИ)'!$AJ$25:$BC$459,,MATCH(AD$8,'Калькуляция (МИ)'!$AJ$8:$BC$8,0)),'Калькуляция (МИ)'!$F$25:$F$459,$F153,'Калькуляция (МИ)'!$G$25:$G$459,$G153))))</f>
        <v>0</v>
      </c>
      <c r="AE153" s="1079">
        <f>IF(AND(method_reg="Метод индексации",god&lt;&gt;first_year),_xlfn.SUMIFS(INDEX('Калькуляция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(МИ)'!$AJ$25:$BC$459,,MATCH(AE$8,'Калькуляция (МИ)'!$AJ$8:$BC$8,0)),'Калькуляция (МИ)'!$F$25:$F$459,$F153,'Калькуляция (МИ)'!$G$25:$G$459,$G153))))</f>
        <v>0</v>
      </c>
      <c r="AF153" s="1080">
        <f>IF(AD153=0,0,(AE153-AD153)/AD153*100)</f>
        <v>0</v>
      </c>
      <c r="AG153" s="3404">
        <f>IF(AND(method_reg="Метод индексации",god&lt;&gt;first_year),_xlfn.SUMIFS(INDEX('Калькуляция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(МИ)'!$AJ$25:$BC$459,,MATCH(AG$8,'Калькуляция (МИ)'!$AJ$8:$BC$8,0)),'Калькуляция (МИ)'!$F$25:$F$459,$F153,'Калькуляция (МИ)'!$G$25:$G$459,$G153))))</f>
        <v>0</v>
      </c>
      <c r="AH153" s="3404">
        <f>IF(AND(method_reg="Метод индексации",god&lt;&gt;first_year),_xlfn.SUMIFS(INDEX('Калькуляция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(МИ)'!$AJ$25:$BC$459,,MATCH(AH$8,'Калькуляция (МИ)'!$AJ$8:$BC$8,0)),'Калькуляция (МИ)'!$F$25:$F$459,$F153,'Калькуляция (МИ)'!$G$25:$G$459,$G153))))</f>
        <v>0</v>
      </c>
      <c r="AI153" s="1080">
        <f>IF(AG153=0,0,(AH153-AG153)/AG153*100)</f>
        <v>0</v>
      </c>
      <c r="AJ153" s="3404">
        <f>IF(AND(method_reg="Метод индексации",god&lt;&gt;first_year),_xlfn.SUMIFS(INDEX('Калькуляция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(МИ)'!$AJ$25:$BC$459,,MATCH(AJ$8,'Калькуляция (МИ)'!$AJ$8:$BC$8,0)),'Калькуляция (МИ)'!$F$25:$F$459,$F153,'Калькуляция (МИ)'!$G$25:$G$459,$G153))))</f>
        <v>0</v>
      </c>
      <c r="AK153" s="3404">
        <f>IF(AND(method_reg="Метод индексации",god&lt;&gt;first_year),_xlfn.SUMIFS(INDEX('Калькуляция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(МИ)'!$AJ$25:$BC$459,,MATCH(AK$8,'Калькуляция (МИ)'!$AJ$8:$BC$8,0)),'Калькуляция (МИ)'!$F$25:$F$459,$F153,'Калькуляция (МИ)'!$G$25:$G$459,$G153))))</f>
        <v>0</v>
      </c>
      <c r="AL153" s="1080">
        <f>IF(AJ153=0,0,(AK153-AJ153)/AJ153*100)</f>
        <v>0</v>
      </c>
      <c r="AM153" s="1079">
        <f>IF(AND(method_reg="Метод индексации",god&lt;&gt;first_year),_xlfn.SUMIFS(INDEX('Калькуляция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(МИ)'!$AJ$25:$BC$459,,MATCH(AM$8,'Калькуляция (МИ)'!$AJ$8:$BC$8,0)),'Калькуляция (МИ)'!$F$25:$F$459,$F153,'Калькуляция (МИ)'!$G$25:$G$459,$G153))))</f>
        <v>0</v>
      </c>
      <c r="AN153" s="1079">
        <f>IF(AND(method_reg="Метод индексации",god&lt;&gt;first_year),_xlfn.SUMIFS(INDEX('Калькуляция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(МИ)'!$AJ$25:$BC$459,,MATCH(AN$8,'Калькуляция (МИ)'!$AJ$8:$BC$8,0)),'Калькуляция (МИ)'!$F$25:$F$459,$F153,'Калькуляция (МИ)'!$G$25:$G$459,$G153))))</f>
        <v>0</v>
      </c>
      <c r="AO153" s="1080">
        <f>IF(AM153=0,0,(AN153-AM153)/AM153*100)</f>
        <v>0</v>
      </c>
      <c r="AP153" s="1079">
        <f>IF(AND(method_reg="Метод индексации",god&lt;&gt;first_year),_xlfn.SUMIFS(INDEX('Калькуляция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(МИ)'!$AJ$25:$BC$459,,MATCH(AP$8,'Калькуляция (МИ)'!$AJ$8:$BC$8,0)),'Калькуляция (МИ)'!$F$25:$F$459,$F153,'Калькуляция (МИ)'!$G$25:$G$459,$G153))))</f>
        <v>0</v>
      </c>
      <c r="AQ153" s="1079">
        <f>IF(AND(method_reg="Метод индексации",god&lt;&gt;first_year),_xlfn.SUMIFS(INDEX('Калькуляция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(МИ)'!$AJ$25:$BC$459,,MATCH(AQ$8,'Калькуляция (МИ)'!$AJ$8:$BC$8,0)),'Калькуляция (МИ)'!$F$25:$F$459,$F153,'Калькуляция (МИ)'!$G$25:$G$459,$G153))))</f>
        <v>0</v>
      </c>
      <c r="AR153" s="1080">
        <f>IF(AP153=0,0,(AQ153-AP153)/AP153*100)</f>
        <v>0</v>
      </c>
      <c r="AS153" s="1079">
        <f>IF(AND(method_reg="Метод индексации",god&lt;&gt;first_year),_xlfn.SUMIFS(INDEX('Калькуляция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(МИ)'!$AJ$25:$BC$459,,MATCH(AS$8,'Калькуляция (МИ)'!$AJ$8:$BC$8,0)),'Калькуляция (МИ)'!$F$25:$F$459,$F153,'Калькуляция (МИ)'!$G$25:$G$459,$G153))))</f>
        <v>0</v>
      </c>
      <c r="AT153" s="1079">
        <f>IF(AND(method_reg="Метод индексации",god&lt;&gt;first_year),_xlfn.SUMIFS(INDEX('Калькуляция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(МИ)'!$AJ$25:$BC$459,,MATCH(AT$8,'Калькуляция (МИ)'!$AJ$8:$BC$8,0)),'Калькуляция (МИ)'!$F$25:$F$459,$F153,'Калькуляция (МИ)'!$G$25:$G$459,$G153))))</f>
        <v>0</v>
      </c>
      <c r="AU153" s="1080">
        <f>IF(AS153=0,0,(AT153-AS153)/AS153*100)</f>
        <v>0</v>
      </c>
      <c r="AV153" s="1079">
        <f>IF(AND(method_reg="Метод индексации",god&lt;&gt;first_year),_xlfn.SUMIFS(INDEX('Калькуляция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(МИ)'!$AJ$25:$BC$459,,MATCH(AV$8,'Калькуляция (МИ)'!$AJ$8:$BC$8,0)),'Калькуляция (МИ)'!$F$25:$F$459,$F153,'Калькуляция (МИ)'!$G$25:$G$459,$G153))))</f>
        <v>0</v>
      </c>
      <c r="AW153" s="1079">
        <f>IF(AND(method_reg="Метод индексации",god&lt;&gt;first_year),_xlfn.SUMIFS(INDEX('Калькуляция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(МИ)'!$AJ$25:$BC$459,,MATCH(AW$8,'Калькуляция (МИ)'!$AJ$8:$BC$8,0)),'Калькуляция (МИ)'!$F$25:$F$459,$F153,'Калькуляция (МИ)'!$G$25:$G$459,$G153))))</f>
        <v>0</v>
      </c>
      <c r="AX153" s="1080">
        <f>IF(AV153=0,0,(AW153-AV153)/AV153*100)</f>
        <v>0</v>
      </c>
      <c r="AY153" s="1079">
        <f>IF(AND(method_reg="Метод индексации",god&lt;&gt;first_year),_xlfn.SUMIFS(INDEX('Калькуляция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(МИ)'!$AJ$25:$BC$459,,MATCH(AY$8,'Калькуляция (МИ)'!$AJ$8:$BC$8,0)),'Калькуляция (МИ)'!$F$25:$F$459,$F153,'Калькуляция (МИ)'!$G$25:$G$459,$G153))))</f>
        <v>0</v>
      </c>
      <c r="AZ153" s="1079">
        <f>IF(AND(method_reg="Метод индексации",god&lt;&gt;first_year),_xlfn.SUMIFS(INDEX('Калькуляция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(МИ)'!$AJ$25:$BC$459,,MATCH(AZ$8,'Калькуляция (МИ)'!$AJ$8:$BC$8,0)),'Калькуляция (МИ)'!$F$25:$F$459,$F153,'Калькуляция (МИ)'!$G$25:$G$459,$G153))))</f>
        <v>0</v>
      </c>
      <c r="BA153" s="1080">
        <f>IF(AY153=0,0,(AZ153-AY153)/AY153*100)</f>
        <v>0</v>
      </c>
      <c r="BB153" s="1079">
        <f>IF(AND(method_reg="Метод индексации",god&lt;&gt;first_year),_xlfn.SUMIFS(INDEX('Калькуляция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(МИ)'!$AJ$25:$BC$459,,MATCH(BB$8,'Калькуляция (МИ)'!$AJ$8:$BC$8,0)),'Калькуляция (МИ)'!$F$25:$F$459,$F153,'Калькуляция (МИ)'!$G$25:$G$459,$G153))))</f>
        <v>0</v>
      </c>
      <c r="BC153" s="1079">
        <f>IF(AND(method_reg="Метод индексации",god&lt;&gt;first_year),_xlfn.SUMIFS(INDEX('Калькуляция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(МИ)'!$AJ$25:$BC$459,,MATCH(BC$8,'Калькуляция (МИ)'!$AJ$8:$BC$8,0)),'Калькуляция (МИ)'!$F$25:$F$459,$F153,'Калькуляция (МИ)'!$G$25:$G$459,$G153))))</f>
        <v>0</v>
      </c>
      <c r="BD153" s="1080">
        <f>IF(BB153=0,0,(BC153-BB153)/BB153*100)</f>
        <v>0</v>
      </c>
      <c r="BE153" s="1079">
        <f>IF(AND(method_reg="Метод индексации",god&lt;&gt;first_year),_xlfn.SUMIFS(INDEX('Калькуляция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расходов",_xlfn.SUMIFS('Калькуляция (МЭОР)'!$AJ$25:$AJ$282,'Калькуляция (МЭОР)'!$F$25:$F$282,$F153,'Калькуляция (МЭОР)'!$G$25:$G$282,$G153),IF(method_reg="Метод сравнения аналогов",_xlfn.SUMIFS('Калькуляция (МСА)'!$AE$25:$AE$84,'Калькуляция (МСА)'!$F$25:$F$84,$F153,'Калькуляция (МСА)'!$G$25:$G$84,$G153),_xlfn.SUMIFS(INDEX('Калькуляция (МИ)'!$AJ$25:$BC$459,,MATCH(BE$8,'Калькуляция (МИ)'!$AJ$8:$BC$8,0)),'Калькуляция (МИ)'!$F$25:$F$459,$F153,'Калькуляция (МИ)'!$G$25:$G$459,$G153))))</f>
        <v>0</v>
      </c>
      <c r="BF153" s="1079">
        <f>IF(AND(method_reg="Метод индексации",god&lt;&gt;first_year),_xlfn.SUMIFS(INDEX('Калькуляция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расходов",_xlfn.SUMIFS('Калькуляция (МЭОР)'!$AK$25:$AK$282,'Калькуляция (МЭОР)'!$F$25:$F$282,$F153,'Калькуляция (МЭОР)'!$G$25:$G$282,$G153),IF(method_reg="Метод сравнения аналогов",_xlfn.SUMIFS('Калькуляция (МСА)'!$AF$25:$AF$84,'Калькуляция (МСА)'!$F$25:$F$84,$F153,'Калькуляция (МСА)'!$G$25:$G$84,$G153),_xlfn.SUMIFS(INDEX('Калькуляция (МИ)'!$AJ$25:$BC$459,,MATCH(BF$8,'Калькуляция (МИ)'!$AJ$8:$BC$8,0)),'Калькуляция (МИ)'!$F$25:$F$459,$F153,'Калькуляция (МИ)'!$G$25:$G$459,$G153))))</f>
        <v>0</v>
      </c>
      <c r="BG153" s="1080">
        <f>IF(BE153=0,0,(BF153-BE153)/BE153*100)</f>
        <v>0</v>
      </c>
      <c r="BH153" s="1079"/>
      <c r="BI153" s="1079"/>
      <c r="BJ153" s="1080">
        <f>IF(BH153=0,0,(BI153-BH153)/BH153*100)</f>
        <v>0</v>
      </c>
      <c r="BK153" s="1079"/>
      <c r="BL153" s="1079"/>
      <c r="BM153" s="1080">
        <f>IF(BK153=0,0,(BL153-BK153)/BK153*100)</f>
        <v>0</v>
      </c>
      <c r="BN153" s="1079"/>
      <c r="BO153" s="1079"/>
      <c r="BP153" s="1080">
        <f>IF(BN153=0,0,(BO153-BN153)/BN153*100)</f>
        <v>0</v>
      </c>
      <c r="BQ153" s="1079"/>
      <c r="BR153" s="1079"/>
      <c r="BS153" s="1080">
        <f>IF(BQ153=0,0,(BR153-BQ153)/BQ153*100)</f>
        <v>0</v>
      </c>
      <c r="BT153" s="1079"/>
      <c r="BU153" s="1079"/>
      <c r="BV153" s="1080">
        <f>IF(BT153=0,0,(BU153-BT153)/BT153*100)</f>
        <v>0</v>
      </c>
      <c r="BW153" s="1079"/>
      <c r="BX153" s="1079"/>
      <c r="BY153" s="1080">
        <f>IF(BW153=0,0,(BX153-BW153)/BW153*100)</f>
        <v>0</v>
      </c>
      <c r="BZ153" s="1079"/>
      <c r="CA153" s="1079"/>
      <c r="CB153" s="1080">
        <f>IF(BZ153=0,0,(CA153-BZ153)/BZ153*100)</f>
        <v>0</v>
      </c>
      <c r="CC153" s="1079"/>
      <c r="CD153" s="1079"/>
      <c r="CE153" s="1080">
        <f>IF(CC153=0,0,(CD153-CC153)/CC153*100)</f>
        <v>0</v>
      </c>
      <c r="CF153" s="1079"/>
      <c r="CG153" s="1079"/>
      <c r="CH153" s="1080">
        <f>IF(CF153=0,0,(CG153-CF153)/CF153*100)</f>
        <v>0</v>
      </c>
      <c r="CI153" s="1079"/>
      <c r="CJ153" s="1079"/>
      <c r="CK153" s="1080">
        <f>IF(CI153=0,0,(CJ153-CI153)/CI153*100)</f>
        <v>0</v>
      </c>
      <c r="CL153" s="1079"/>
      <c r="CM153" s="1079"/>
      <c r="CN153" s="1080">
        <f>IF(CL153=0,0,(CM153-CL153)/CL153*100)</f>
        <v>0</v>
      </c>
      <c r="CO153" s="1079"/>
      <c r="CP153" s="1079"/>
      <c r="CQ153" s="1080">
        <f>IF(CO153=0,0,(CP153-CO153)/CO153*100)</f>
        <v>0</v>
      </c>
      <c r="CR153" s="1079"/>
      <c r="CS153" s="1079"/>
      <c r="CT153" s="1080">
        <f>IF(CR153=0,0,(CS153-CR153)/CR153*100)</f>
        <v>0</v>
      </c>
      <c r="CU153" s="1079"/>
      <c r="CV153" s="1079"/>
      <c r="CW153" s="1080">
        <f>IF(CU153=0,0,(CV153-CU153)/CU153*100)</f>
        <v>0</v>
      </c>
      <c r="CX153" s="1079"/>
      <c r="CY153" s="1079"/>
      <c r="CZ153" s="1080">
        <f>IF(CX153=0,0,(CY153-CX153)/CX153*100)</f>
        <v>0</v>
      </c>
      <c r="DA153" s="1079"/>
      <c r="DB153" s="1079"/>
      <c r="DC153" s="1080">
        <f>IF(DA153=0,0,(DB153-DA153)/DA153*100)</f>
        <v>0</v>
      </c>
      <c r="DD153" s="1079"/>
      <c r="DE153" s="1079"/>
      <c r="DF153" s="1080">
        <f>IF(DD153=0,0,(DE153-DD153)/DD153*100)</f>
        <v>0</v>
      </c>
      <c r="DG153" s="1079"/>
      <c r="DH153" s="1079"/>
      <c r="DI153" s="1080">
        <f>IF(DG153=0,0,(DH153-DG153)/DG153*100)</f>
        <v>0</v>
      </c>
      <c r="DJ153" s="1079"/>
      <c r="DK153" s="1079"/>
      <c r="DL153" s="1080">
        <f>IF(DJ153=0,0,(DK153-DJ153)/DJ153*100)</f>
        <v>0</v>
      </c>
      <c r="DM153" s="1079"/>
      <c r="DN153" s="1079"/>
      <c r="DO153" s="1080">
        <f>IF(DM153=0,0,(DN153-DM153)/DM153*100)</f>
        <v>0</v>
      </c>
      <c r="DP153" s="1079"/>
      <c r="DQ153" s="1079"/>
      <c r="DR153" s="1080">
        <f>IF(DP153=0,0,(DQ153-DP153)/DP153*100)</f>
        <v>0</v>
      </c>
      <c r="DS153" s="1079"/>
      <c r="DT153" s="1079"/>
      <c r="DU153" s="1080">
        <f>IF(DS153=0,0,(DT153-DS153)/DS153*100)</f>
        <v>0</v>
      </c>
      <c r="DV153" s="1079"/>
      <c r="DW153" s="1079"/>
      <c r="DX153" s="1080">
        <f>IF(DV153=0,0,(DW153-DV153)/DV153*100)</f>
        <v>0</v>
      </c>
      <c r="DY153" s="1079"/>
      <c r="DZ153" s="1079"/>
      <c r="EA153" s="1080">
        <f>IF(DY153=0,0,(DZ153-DY153)/DY153*100)</f>
        <v>0</v>
      </c>
      <c r="EB153" s="1079"/>
      <c r="EC153" s="1079"/>
      <c r="ED153" s="1080">
        <f>IF(EB153=0,0,(EC153-EB153)/EB153*100)</f>
        <v>0</v>
      </c>
      <c r="EE153" s="1079"/>
      <c r="EF153" s="1079"/>
      <c r="EG153" s="1080">
        <f>IF(EE153=0,0,(EF153-EE153)/EE153*100)</f>
        <v>0</v>
      </c>
      <c r="EH153" s="1079"/>
      <c r="EI153" s="1079"/>
      <c r="EJ153" s="1080">
        <f>IF(EH153=0,0,(EI153-EH153)/EH153*100)</f>
        <v>0</v>
      </c>
      <c r="EK153" s="1079"/>
      <c r="EL153" s="1079"/>
      <c r="EM153" s="1080">
        <f>IF(EK153=0,0,(EL153-EK153)/EK153*100)</f>
        <v>0</v>
      </c>
      <c r="EN153" s="1079"/>
      <c r="EO153" s="1079"/>
      <c r="EP153" s="1080">
        <f>IF(EN153=0,0,(EO153-EN153)/EN153*100)</f>
        <v>0</v>
      </c>
      <c r="EQ153" s="1079"/>
      <c r="ER153" s="1079"/>
      <c r="ES153" s="1080">
        <f>IF(EQ153=0,0,(ER153-EQ153)/EQ153*100)</f>
        <v>0</v>
      </c>
      <c r="ET153" s="1079"/>
      <c r="EU153" s="1079"/>
      <c r="EV153" s="1080">
        <f>IF(ET153=0,0,(EU153-ET153)/ET153*100)</f>
        <v>0</v>
      </c>
      <c r="EW153" s="1079"/>
      <c r="EX153" s="1079"/>
      <c r="EY153" s="1080">
        <f>IF(EW153=0,0,(EX153-EW153)/EW153*100)</f>
        <v>0</v>
      </c>
      <c r="EZ153" s="1079"/>
      <c r="FA153" s="1079"/>
      <c r="FB153" s="1080">
        <f>IF(EZ153=0,0,(FA153-EZ153)/EZ153*100)</f>
        <v>0</v>
      </c>
      <c r="FC153" s="1079"/>
      <c r="FD153" s="1079"/>
      <c r="FE153" s="1080">
        <f>IF(FC153=0,0,(FD153-FC153)/FC153*100)</f>
        <v>0</v>
      </c>
      <c r="FF153" s="1079"/>
      <c r="FG153" s="1079"/>
      <c r="FH153" s="1080">
        <f>IF(FF153=0,0,(FG153-FF153)/FF153*100)</f>
        <v>0</v>
      </c>
      <c r="FI153" s="1079"/>
      <c r="FJ153" s="1079"/>
      <c r="FK153" s="1080">
        <f>IF(FI153=0,0,(FJ153-FI153)/FI153*100)</f>
        <v>0</v>
      </c>
      <c r="FL153" s="1079"/>
      <c r="FM153" s="1079"/>
      <c r="FN153" s="1080">
        <f>IF(FL153=0,0,(FM153-FL153)/FL153*100)</f>
        <v>0</v>
      </c>
      <c r="FO153" s="1079"/>
      <c r="FP153" s="1079"/>
      <c r="FQ153" s="1080">
        <f>IF(FO153=0,0,(FP153-FO153)/FO153*100)</f>
        <v>0</v>
      </c>
      <c r="FR153" s="1079"/>
      <c r="FS153" s="1079"/>
      <c r="FT153" s="1080">
        <f>IF(FR153=0,0,(FS153-FR153)/FR153*100)</f>
        <v>0</v>
      </c>
      <c r="FU153" s="1079"/>
      <c r="FV153" s="1079"/>
      <c r="FW153" s="1080">
        <f>IF(FU153=0,0,(FV153-FU153)/FU153*100)</f>
        <v>0</v>
      </c>
      <c r="FX153" s="259"/>
      <c r="FY153" s="676"/>
      <c r="FZ153" s="1039" t="s">
        <v>1518</v>
      </c>
      <c r="GA153" s="1061"/>
      <c r="GB153" s="1061"/>
      <c r="GC153" s="697"/>
      <c r="GD153" s="697"/>
    </row>
    <row s="1621" customFormat="1" customHeight="1" ht="18" hidden="1">
      <c r="A154" s="467"/>
      <c r="B154" s="907" cm="1" t="str">
        <f t="array" ref="B154:B154">B153</f>
        <v>true</v>
      </c>
      <c r="C154" s="467"/>
      <c r="D154" s="467"/>
      <c r="E154" s="822">
        <v>18.75</v>
      </c>
      <c r="F154" s="50" cm="1" t="str">
        <f t="array" ref="F154:F154">OFFSET(E154,-1,1)</f>
        <v>2</v>
      </c>
      <c r="G154" s="467"/>
      <c r="H154" s="467" t="s">
        <v>441</v>
      </c>
      <c r="I154" s="467" cm="1" t="str">
        <f t="array" ref="I154:I154">AB154</f>
        <v>0</v>
      </c>
      <c r="J154" s="467"/>
      <c r="K154" s="467"/>
      <c r="L154" s="467"/>
      <c r="M154" s="467"/>
      <c r="N154" s="467"/>
      <c r="O154" s="467"/>
      <c r="P154" s="467"/>
      <c r="Q154" s="879"/>
      <c r="R154" s="467"/>
      <c r="S154" s="467"/>
      <c r="T154" s="439">
        <f>AND(F154&gt;0,Y154&gt;0)</f>
        <v>0</v>
      </c>
      <c r="U154" s="467"/>
      <c r="V154" s="467"/>
      <c r="W154" s="467" t="s">
        <v>173</v>
      </c>
      <c r="X154" s="1534"/>
      <c r="Y154" s="1534">
        <v>0</v>
      </c>
      <c r="Z154" s="1464"/>
      <c r="AA154" s="1413" t="s">
        <v>174</v>
      </c>
      <c r="AB154" s="3408"/>
      <c r="AC154" s="846" t="s">
        <v>1494</v>
      </c>
      <c r="AD154" s="3409"/>
      <c r="AE154" s="3410"/>
      <c r="AF154" s="1078">
        <f>IF(AD154=0,0,(AE154-AD154)/AD154*100)</f>
        <v>0</v>
      </c>
      <c r="AG154" s="3409"/>
      <c r="AH154" s="3410"/>
      <c r="AI154" s="1078">
        <f>IF(AG154=0,0,(AH154-AG154)/AG154*100)</f>
        <v>0</v>
      </c>
      <c r="AJ154" s="3409"/>
      <c r="AK154" s="3410"/>
      <c r="AL154" s="1078">
        <f>IF(AJ154=0,0,(AK154-AJ154)/AJ154*100)</f>
        <v>0</v>
      </c>
      <c r="AM154" s="3409"/>
      <c r="AN154" s="3410"/>
      <c r="AO154" s="1078">
        <f>IF(AM154=0,0,(AN154-AM154)/AM154*100)</f>
        <v>0</v>
      </c>
      <c r="AP154" s="3409"/>
      <c r="AQ154" s="3410"/>
      <c r="AR154" s="1078">
        <f>IF(AP154=0,0,(AQ154-AP154)/AP154*100)</f>
        <v>0</v>
      </c>
      <c r="AS154" s="3409"/>
      <c r="AT154" s="3410"/>
      <c r="AU154" s="1078">
        <f>IF(AS154=0,0,(AT154-AS154)/AS154*100)</f>
        <v>0</v>
      </c>
      <c r="AV154" s="3409"/>
      <c r="AW154" s="3410"/>
      <c r="AX154" s="1078">
        <f>IF(AV154=0,0,(AW154-AV154)/AV154*100)</f>
        <v>0</v>
      </c>
      <c r="AY154" s="3409"/>
      <c r="AZ154" s="3410"/>
      <c r="BA154" s="1078">
        <f>IF(AY154=0,0,(AZ154-AY154)/AY154*100)</f>
        <v>0</v>
      </c>
      <c r="BB154" s="3409"/>
      <c r="BC154" s="3410"/>
      <c r="BD154" s="1078">
        <f>IF(BB154=0,0,(BC154-BB154)/BB154*100)</f>
        <v>0</v>
      </c>
      <c r="BE154" s="3409"/>
      <c r="BF154" s="3410"/>
      <c r="BG154" s="1078">
        <f>IF(BE154=0,0,(BF154-BE154)/BE154*100)</f>
        <v>0</v>
      </c>
      <c r="BH154" s="3409"/>
      <c r="BI154" s="3410"/>
      <c r="BJ154" s="1078">
        <f>IF(BH154=0,0,(BI154-BH154)/BH154*100)</f>
        <v>0</v>
      </c>
      <c r="BK154" s="3409"/>
      <c r="BL154" s="3410"/>
      <c r="BM154" s="1078">
        <f>IF(BK154=0,0,(BL154-BK154)/BK154*100)</f>
        <v>0</v>
      </c>
      <c r="BN154" s="3409"/>
      <c r="BO154" s="3410"/>
      <c r="BP154" s="1078">
        <f>IF(BN154=0,0,(BO154-BN154)/BN154*100)</f>
        <v>0</v>
      </c>
      <c r="BQ154" s="3409"/>
      <c r="BR154" s="3410"/>
      <c r="BS154" s="1078">
        <f>IF(BQ154=0,0,(BR154-BQ154)/BQ154*100)</f>
        <v>0</v>
      </c>
      <c r="BT154" s="3409"/>
      <c r="BU154" s="3410"/>
      <c r="BV154" s="1078">
        <f>IF(BT154=0,0,(BU154-BT154)/BT154*100)</f>
        <v>0</v>
      </c>
      <c r="BW154" s="3409"/>
      <c r="BX154" s="3410"/>
      <c r="BY154" s="1078">
        <f>IF(BW154=0,0,(BX154-BW154)/BW154*100)</f>
        <v>0</v>
      </c>
      <c r="BZ154" s="3409"/>
      <c r="CA154" s="3410"/>
      <c r="CB154" s="1078">
        <f>IF(BZ154=0,0,(CA154-BZ154)/BZ154*100)</f>
        <v>0</v>
      </c>
      <c r="CC154" s="3409"/>
      <c r="CD154" s="3410"/>
      <c r="CE154" s="1078">
        <f>IF(CC154=0,0,(CD154-CC154)/CC154*100)</f>
        <v>0</v>
      </c>
      <c r="CF154" s="3409"/>
      <c r="CG154" s="3410"/>
      <c r="CH154" s="1078">
        <f>IF(CF154=0,0,(CG154-CF154)/CF154*100)</f>
        <v>0</v>
      </c>
      <c r="CI154" s="3409"/>
      <c r="CJ154" s="3410"/>
      <c r="CK154" s="1078">
        <f>IF(CI154=0,0,(CJ154-CI154)/CI154*100)</f>
        <v>0</v>
      </c>
      <c r="CL154" s="3409"/>
      <c r="CM154" s="3410"/>
      <c r="CN154" s="1078">
        <f>IF(CL154=0,0,(CM154-CL154)/CL154*100)</f>
        <v>0</v>
      </c>
      <c r="CO154" s="3409"/>
      <c r="CP154" s="3410"/>
      <c r="CQ154" s="1078">
        <f>IF(CO154=0,0,(CP154-CO154)/CO154*100)</f>
        <v>0</v>
      </c>
      <c r="CR154" s="3409"/>
      <c r="CS154" s="3410"/>
      <c r="CT154" s="1078">
        <f>IF(CR154=0,0,(CS154-CR154)/CR154*100)</f>
        <v>0</v>
      </c>
      <c r="CU154" s="3409"/>
      <c r="CV154" s="3410"/>
      <c r="CW154" s="1078">
        <f>IF(CU154=0,0,(CV154-CU154)/CU154*100)</f>
        <v>0</v>
      </c>
      <c r="CX154" s="3409"/>
      <c r="CY154" s="3410"/>
      <c r="CZ154" s="1078">
        <f>IF(CX154=0,0,(CY154-CX154)/CX154*100)</f>
        <v>0</v>
      </c>
      <c r="DA154" s="3409"/>
      <c r="DB154" s="3410"/>
      <c r="DC154" s="1078">
        <f>IF(DA154=0,0,(DB154-DA154)/DA154*100)</f>
        <v>0</v>
      </c>
      <c r="DD154" s="3409"/>
      <c r="DE154" s="3410"/>
      <c r="DF154" s="1078">
        <f>IF(DD154=0,0,(DE154-DD154)/DD154*100)</f>
        <v>0</v>
      </c>
      <c r="DG154" s="3409"/>
      <c r="DH154" s="3410"/>
      <c r="DI154" s="1078">
        <f>IF(DG154=0,0,(DH154-DG154)/DG154*100)</f>
        <v>0</v>
      </c>
      <c r="DJ154" s="3409"/>
      <c r="DK154" s="3410"/>
      <c r="DL154" s="1078">
        <f>IF(DJ154=0,0,(DK154-DJ154)/DJ154*100)</f>
        <v>0</v>
      </c>
      <c r="DM154" s="3409"/>
      <c r="DN154" s="3410"/>
      <c r="DO154" s="1078">
        <f>IF(DM154=0,0,(DN154-DM154)/DM154*100)</f>
        <v>0</v>
      </c>
      <c r="DP154" s="3409"/>
      <c r="DQ154" s="3410"/>
      <c r="DR154" s="1078">
        <f>IF(DP154=0,0,(DQ154-DP154)/DP154*100)</f>
        <v>0</v>
      </c>
      <c r="DS154" s="3409"/>
      <c r="DT154" s="3410"/>
      <c r="DU154" s="1078">
        <f>IF(DS154=0,0,(DT154-DS154)/DS154*100)</f>
        <v>0</v>
      </c>
      <c r="DV154" s="3409"/>
      <c r="DW154" s="3410"/>
      <c r="DX154" s="1078">
        <f>IF(DV154=0,0,(DW154-DV154)/DV154*100)</f>
        <v>0</v>
      </c>
      <c r="DY154" s="3409"/>
      <c r="DZ154" s="3410"/>
      <c r="EA154" s="1078">
        <f>IF(DY154=0,0,(DZ154-DY154)/DY154*100)</f>
        <v>0</v>
      </c>
      <c r="EB154" s="3409"/>
      <c r="EC154" s="3410"/>
      <c r="ED154" s="1078">
        <f>IF(EB154=0,0,(EC154-EB154)/EB154*100)</f>
        <v>0</v>
      </c>
      <c r="EE154" s="3409"/>
      <c r="EF154" s="3410"/>
      <c r="EG154" s="1078">
        <f>IF(EE154=0,0,(EF154-EE154)/EE154*100)</f>
        <v>0</v>
      </c>
      <c r="EH154" s="3409"/>
      <c r="EI154" s="3410"/>
      <c r="EJ154" s="1078">
        <f>IF(EH154=0,0,(EI154-EH154)/EH154*100)</f>
        <v>0</v>
      </c>
      <c r="EK154" s="3409"/>
      <c r="EL154" s="3410"/>
      <c r="EM154" s="1078">
        <f>IF(EK154=0,0,(EL154-EK154)/EK154*100)</f>
        <v>0</v>
      </c>
      <c r="EN154" s="3409"/>
      <c r="EO154" s="3410"/>
      <c r="EP154" s="1078">
        <f>IF(EN154=0,0,(EO154-EN154)/EN154*100)</f>
        <v>0</v>
      </c>
      <c r="EQ154" s="3409"/>
      <c r="ER154" s="3410"/>
      <c r="ES154" s="1078">
        <f>IF(EQ154=0,0,(ER154-EQ154)/EQ154*100)</f>
        <v>0</v>
      </c>
      <c r="ET154" s="3409"/>
      <c r="EU154" s="3410"/>
      <c r="EV154" s="1078">
        <f>IF(ET154=0,0,(EU154-ET154)/ET154*100)</f>
        <v>0</v>
      </c>
      <c r="EW154" s="3409"/>
      <c r="EX154" s="3410"/>
      <c r="EY154" s="1078">
        <f>IF(EW154=0,0,(EX154-EW154)/EW154*100)</f>
        <v>0</v>
      </c>
      <c r="EZ154" s="3409"/>
      <c r="FA154" s="3410"/>
      <c r="FB154" s="1078">
        <f>IF(EZ154=0,0,(FA154-EZ154)/EZ154*100)</f>
        <v>0</v>
      </c>
      <c r="FC154" s="3409"/>
      <c r="FD154" s="3410"/>
      <c r="FE154" s="1078">
        <f>IF(FC154=0,0,(FD154-FC154)/FC154*100)</f>
        <v>0</v>
      </c>
      <c r="FF154" s="3409"/>
      <c r="FG154" s="3410"/>
      <c r="FH154" s="1078">
        <f>IF(FF154=0,0,(FG154-FF154)/FF154*100)</f>
        <v>0</v>
      </c>
      <c r="FI154" s="3409"/>
      <c r="FJ154" s="3410"/>
      <c r="FK154" s="1078">
        <f>IF(FI154=0,0,(FJ154-FI154)/FI154*100)</f>
        <v>0</v>
      </c>
      <c r="FL154" s="3409"/>
      <c r="FM154" s="3410"/>
      <c r="FN154" s="1078">
        <f>IF(FL154=0,0,(FM154-FL154)/FL154*100)</f>
        <v>0</v>
      </c>
      <c r="FO154" s="3409"/>
      <c r="FP154" s="3410"/>
      <c r="FQ154" s="1078">
        <f>IF(FO154=0,0,(FP154-FO154)/FO154*100)</f>
        <v>0</v>
      </c>
      <c r="FR154" s="3409"/>
      <c r="FS154" s="3410"/>
      <c r="FT154" s="1078">
        <f>IF(FR154=0,0,(FS154-FR154)/FR154*100)</f>
        <v>0</v>
      </c>
      <c r="FU154" s="3409"/>
      <c r="FV154" s="3410"/>
      <c r="FW154" s="1078">
        <f>IF(FU154=0,0,(FV154-FU154)/FU154*100)</f>
        <v>0</v>
      </c>
      <c r="FX154" s="259"/>
      <c r="FY154" s="676"/>
      <c r="FZ154" s="1039" t="s">
        <v>1519</v>
      </c>
      <c r="GA154" s="998" t="s">
        <v>1520</v>
      </c>
      <c r="GB154" s="998" cm="1" t="str">
        <f t="array" ref="GB154:GB154">AB154</f>
        <v>0</v>
      </c>
      <c r="GC154" s="697"/>
      <c r="GD154" s="611" t="b">
        <v>1</v>
      </c>
    </row>
    <row s="1621" customFormat="1" customHeight="1" ht="14.25" hidden="1">
      <c r="A155" s="467"/>
      <c r="B155" s="907" cm="1" t="str">
        <f t="array" ref="B155:B155">B154</f>
        <v>true</v>
      </c>
      <c r="C155" s="467"/>
      <c r="D155" s="467"/>
      <c r="E155" s="822">
        <v>15</v>
      </c>
      <c r="F155" s="50" cm="1" t="str">
        <f t="array" ref="F155:F155">OFFSET(E155,-1,1)</f>
        <v>2</v>
      </c>
      <c r="G155" s="467"/>
      <c r="H155" s="467" t="s">
        <v>448</v>
      </c>
      <c r="I155" s="467" cm="1" t="str">
        <f t="array" ref="I155:I155">I154</f>
        <v>0</v>
      </c>
      <c r="J155" s="467"/>
      <c r="K155" s="467"/>
      <c r="L155" s="467"/>
      <c r="M155" s="467"/>
      <c r="N155" s="467"/>
      <c r="O155" s="467"/>
      <c r="P155" s="467"/>
      <c r="Q155" s="879"/>
      <c r="R155" s="467"/>
      <c r="S155" s="467"/>
      <c r="T155" s="439" cm="1" t="str">
        <f t="array" ref="T155:T155">T154</f>
        <v>false</v>
      </c>
      <c r="U155" s="467"/>
      <c r="V155" s="467"/>
      <c r="W155" s="467"/>
      <c r="X155" s="1534"/>
      <c r="Y155" s="1534"/>
      <c r="Z155" s="1464"/>
      <c r="AA155" s="1413"/>
      <c r="AB155" s="882" t="s">
        <v>1521</v>
      </c>
      <c r="AC155" s="267" t="s">
        <v>512</v>
      </c>
      <c r="AD155" s="3404"/>
      <c r="AE155" s="3404"/>
      <c r="AF155" s="1080">
        <f>IF(AD155=0,0,(AE155-AD155)/AD155*100)</f>
        <v>0</v>
      </c>
      <c r="AG155" s="3404"/>
      <c r="AH155" s="3404"/>
      <c r="AI155" s="1080">
        <f>IF(AG155=0,0,(AH155-AG155)/AG155*100)</f>
        <v>0</v>
      </c>
      <c r="AJ155" s="3404"/>
      <c r="AK155" s="3404"/>
      <c r="AL155" s="1080">
        <f>IF(AJ155=0,0,(AK155-AJ155)/AJ155*100)</f>
        <v>0</v>
      </c>
      <c r="AM155" s="3404"/>
      <c r="AN155" s="3404"/>
      <c r="AO155" s="1080">
        <f>IF(AM155=0,0,(AN155-AM155)/AM155*100)</f>
        <v>0</v>
      </c>
      <c r="AP155" s="3404"/>
      <c r="AQ155" s="3404"/>
      <c r="AR155" s="1080">
        <f>IF(AP155=0,0,(AQ155-AP155)/AP155*100)</f>
        <v>0</v>
      </c>
      <c r="AS155" s="3404"/>
      <c r="AT155" s="3404"/>
      <c r="AU155" s="1080">
        <f>IF(AS155=0,0,(AT155-AS155)/AS155*100)</f>
        <v>0</v>
      </c>
      <c r="AV155" s="3404"/>
      <c r="AW155" s="3404"/>
      <c r="AX155" s="1080">
        <f>IF(AV155=0,0,(AW155-AV155)/AV155*100)</f>
        <v>0</v>
      </c>
      <c r="AY155" s="3404"/>
      <c r="AZ155" s="3404"/>
      <c r="BA155" s="1080">
        <f>IF(AY155=0,0,(AZ155-AY155)/AY155*100)</f>
        <v>0</v>
      </c>
      <c r="BB155" s="3404"/>
      <c r="BC155" s="3404"/>
      <c r="BD155" s="1080">
        <f>IF(BB155=0,0,(BC155-BB155)/BB155*100)</f>
        <v>0</v>
      </c>
      <c r="BE155" s="3404"/>
      <c r="BF155" s="3404"/>
      <c r="BG155" s="1080">
        <f>IF(BE155=0,0,(BF155-BE155)/BE155*100)</f>
        <v>0</v>
      </c>
      <c r="BH155" s="3404"/>
      <c r="BI155" s="3404"/>
      <c r="BJ155" s="1080">
        <f>IF(BH155=0,0,(BI155-BH155)/BH155*100)</f>
        <v>0</v>
      </c>
      <c r="BK155" s="3404"/>
      <c r="BL155" s="3404"/>
      <c r="BM155" s="1080">
        <f>IF(BK155=0,0,(BL155-BK155)/BK155*100)</f>
        <v>0</v>
      </c>
      <c r="BN155" s="3404"/>
      <c r="BO155" s="3404"/>
      <c r="BP155" s="1080">
        <f>IF(BN155=0,0,(BO155-BN155)/BN155*100)</f>
        <v>0</v>
      </c>
      <c r="BQ155" s="3404"/>
      <c r="BR155" s="3404"/>
      <c r="BS155" s="1080">
        <f>IF(BQ155=0,0,(BR155-BQ155)/BQ155*100)</f>
        <v>0</v>
      </c>
      <c r="BT155" s="3404"/>
      <c r="BU155" s="3404"/>
      <c r="BV155" s="1080">
        <f>IF(BT155=0,0,(BU155-BT155)/BT155*100)</f>
        <v>0</v>
      </c>
      <c r="BW155" s="3404"/>
      <c r="BX155" s="3404"/>
      <c r="BY155" s="1080">
        <f>IF(BW155=0,0,(BX155-BW155)/BW155*100)</f>
        <v>0</v>
      </c>
      <c r="BZ155" s="3404"/>
      <c r="CA155" s="3404"/>
      <c r="CB155" s="1080">
        <f>IF(BZ155=0,0,(CA155-BZ155)/BZ155*100)</f>
        <v>0</v>
      </c>
      <c r="CC155" s="3404"/>
      <c r="CD155" s="3404"/>
      <c r="CE155" s="1080">
        <f>IF(CC155=0,0,(CD155-CC155)/CC155*100)</f>
        <v>0</v>
      </c>
      <c r="CF155" s="3404"/>
      <c r="CG155" s="3404"/>
      <c r="CH155" s="1080">
        <f>IF(CF155=0,0,(CG155-CF155)/CF155*100)</f>
        <v>0</v>
      </c>
      <c r="CI155" s="3404"/>
      <c r="CJ155" s="3404"/>
      <c r="CK155" s="1080">
        <f>IF(CI155=0,0,(CJ155-CI155)/CI155*100)</f>
        <v>0</v>
      </c>
      <c r="CL155" s="3404"/>
      <c r="CM155" s="3404"/>
      <c r="CN155" s="1080">
        <f>IF(CL155=0,0,(CM155-CL155)/CL155*100)</f>
        <v>0</v>
      </c>
      <c r="CO155" s="3404"/>
      <c r="CP155" s="3404"/>
      <c r="CQ155" s="1080">
        <f>IF(CO155=0,0,(CP155-CO155)/CO155*100)</f>
        <v>0</v>
      </c>
      <c r="CR155" s="3404"/>
      <c r="CS155" s="3404"/>
      <c r="CT155" s="1080">
        <f>IF(CR155=0,0,(CS155-CR155)/CR155*100)</f>
        <v>0</v>
      </c>
      <c r="CU155" s="3404"/>
      <c r="CV155" s="3404"/>
      <c r="CW155" s="1080">
        <f>IF(CU155=0,0,(CV155-CU155)/CU155*100)</f>
        <v>0</v>
      </c>
      <c r="CX155" s="3404"/>
      <c r="CY155" s="3404"/>
      <c r="CZ155" s="1080">
        <f>IF(CX155=0,0,(CY155-CX155)/CX155*100)</f>
        <v>0</v>
      </c>
      <c r="DA155" s="3404"/>
      <c r="DB155" s="3404"/>
      <c r="DC155" s="1080">
        <f>IF(DA155=0,0,(DB155-DA155)/DA155*100)</f>
        <v>0</v>
      </c>
      <c r="DD155" s="3404"/>
      <c r="DE155" s="3404"/>
      <c r="DF155" s="1080">
        <f>IF(DD155=0,0,(DE155-DD155)/DD155*100)</f>
        <v>0</v>
      </c>
      <c r="DG155" s="3404"/>
      <c r="DH155" s="3404"/>
      <c r="DI155" s="1080">
        <f>IF(DG155=0,0,(DH155-DG155)/DG155*100)</f>
        <v>0</v>
      </c>
      <c r="DJ155" s="3404"/>
      <c r="DK155" s="3404"/>
      <c r="DL155" s="1080">
        <f>IF(DJ155=0,0,(DK155-DJ155)/DJ155*100)</f>
        <v>0</v>
      </c>
      <c r="DM155" s="3404"/>
      <c r="DN155" s="3404"/>
      <c r="DO155" s="1080">
        <f>IF(DM155=0,0,(DN155-DM155)/DM155*100)</f>
        <v>0</v>
      </c>
      <c r="DP155" s="3404"/>
      <c r="DQ155" s="3404"/>
      <c r="DR155" s="1080">
        <f>IF(DP155=0,0,(DQ155-DP155)/DP155*100)</f>
        <v>0</v>
      </c>
      <c r="DS155" s="3404"/>
      <c r="DT155" s="3404"/>
      <c r="DU155" s="1080">
        <f>IF(DS155=0,0,(DT155-DS155)/DS155*100)</f>
        <v>0</v>
      </c>
      <c r="DV155" s="3404"/>
      <c r="DW155" s="3404"/>
      <c r="DX155" s="1080">
        <f>IF(DV155=0,0,(DW155-DV155)/DV155*100)</f>
        <v>0</v>
      </c>
      <c r="DY155" s="3404"/>
      <c r="DZ155" s="3404"/>
      <c r="EA155" s="1080">
        <f>IF(DY155=0,0,(DZ155-DY155)/DY155*100)</f>
        <v>0</v>
      </c>
      <c r="EB155" s="3404"/>
      <c r="EC155" s="3404"/>
      <c r="ED155" s="1080">
        <f>IF(EB155=0,0,(EC155-EB155)/EB155*100)</f>
        <v>0</v>
      </c>
      <c r="EE155" s="3404"/>
      <c r="EF155" s="3404"/>
      <c r="EG155" s="1080">
        <f>IF(EE155=0,0,(EF155-EE155)/EE155*100)</f>
        <v>0</v>
      </c>
      <c r="EH155" s="3404"/>
      <c r="EI155" s="3404"/>
      <c r="EJ155" s="1080">
        <f>IF(EH155=0,0,(EI155-EH155)/EH155*100)</f>
        <v>0</v>
      </c>
      <c r="EK155" s="3404"/>
      <c r="EL155" s="3404"/>
      <c r="EM155" s="1080">
        <f>IF(EK155=0,0,(EL155-EK155)/EK155*100)</f>
        <v>0</v>
      </c>
      <c r="EN155" s="3404"/>
      <c r="EO155" s="3404"/>
      <c r="EP155" s="1080">
        <f>IF(EN155=0,0,(EO155-EN155)/EN155*100)</f>
        <v>0</v>
      </c>
      <c r="EQ155" s="3404"/>
      <c r="ER155" s="3404"/>
      <c r="ES155" s="1080">
        <f>IF(EQ155=0,0,(ER155-EQ155)/EQ155*100)</f>
        <v>0</v>
      </c>
      <c r="ET155" s="3404"/>
      <c r="EU155" s="3404"/>
      <c r="EV155" s="1080">
        <f>IF(ET155=0,0,(EU155-ET155)/ET155*100)</f>
        <v>0</v>
      </c>
      <c r="EW155" s="3404"/>
      <c r="EX155" s="3404"/>
      <c r="EY155" s="1080">
        <f>IF(EW155=0,0,(EX155-EW155)/EW155*100)</f>
        <v>0</v>
      </c>
      <c r="EZ155" s="3404"/>
      <c r="FA155" s="3404"/>
      <c r="FB155" s="1080">
        <f>IF(EZ155=0,0,(FA155-EZ155)/EZ155*100)</f>
        <v>0</v>
      </c>
      <c r="FC155" s="3404"/>
      <c r="FD155" s="3404"/>
      <c r="FE155" s="1080">
        <f>IF(FC155=0,0,(FD155-FC155)/FC155*100)</f>
        <v>0</v>
      </c>
      <c r="FF155" s="3404"/>
      <c r="FG155" s="3404"/>
      <c r="FH155" s="1080">
        <f>IF(FF155=0,0,(FG155-FF155)/FF155*100)</f>
        <v>0</v>
      </c>
      <c r="FI155" s="3404"/>
      <c r="FJ155" s="3404"/>
      <c r="FK155" s="1080">
        <f>IF(FI155=0,0,(FJ155-FI155)/FI155*100)</f>
        <v>0</v>
      </c>
      <c r="FL155" s="3404"/>
      <c r="FM155" s="3404"/>
      <c r="FN155" s="1080">
        <f>IF(FL155=0,0,(FM155-FL155)/FL155*100)</f>
        <v>0</v>
      </c>
      <c r="FO155" s="3404"/>
      <c r="FP155" s="3404"/>
      <c r="FQ155" s="1080">
        <f>IF(FO155=0,0,(FP155-FO155)/FO155*100)</f>
        <v>0</v>
      </c>
      <c r="FR155" s="3404"/>
      <c r="FS155" s="3404"/>
      <c r="FT155" s="1080">
        <f>IF(FR155=0,0,(FS155-FR155)/FR155*100)</f>
        <v>0</v>
      </c>
      <c r="FU155" s="3404"/>
      <c r="FV155" s="3404"/>
      <c r="FW155" s="1080">
        <f>IF(FU155=0,0,(FV155-FU155)/FU155*100)</f>
        <v>0</v>
      </c>
      <c r="FX155" s="259"/>
      <c r="FY155" s="676"/>
      <c r="FZ155" s="1039" t="s">
        <v>1522</v>
      </c>
      <c r="GA155" s="998" t="s">
        <v>1520</v>
      </c>
      <c r="GB155" s="998" cm="1" t="str">
        <f t="array" ref="GB155:GB155">GB154</f>
        <v>0</v>
      </c>
      <c r="GC155" s="697"/>
      <c r="GD155" s="697"/>
    </row>
    <row s="1621" customFormat="1" customHeight="1" ht="14.25">
      <c r="A156" s="467"/>
      <c r="B156" s="907" cm="1" t="str">
        <f t="array" ref="B156:B156">B155</f>
        <v>true</v>
      </c>
      <c r="C156" s="467"/>
      <c r="D156" s="467"/>
      <c r="E156" s="822">
        <v>15</v>
      </c>
      <c r="F156" s="50" cm="1" t="str">
        <f t="array" ref="F156:F156">OFFSET(E156,-1,1)</f>
        <v>2</v>
      </c>
      <c r="G156" s="467"/>
      <c r="H156" s="467"/>
      <c r="I156" s="64" t="s">
        <v>1523</v>
      </c>
      <c r="J156" s="467"/>
      <c r="K156" s="467"/>
      <c r="L156" s="467"/>
      <c r="M156" s="467"/>
      <c r="N156" s="467"/>
      <c r="O156" s="467"/>
      <c r="P156" s="467"/>
      <c r="Q156" s="467"/>
      <c r="R156" s="51"/>
      <c r="S156" s="467"/>
      <c r="T156" s="439">
        <f>F156&gt;0</f>
        <v>1</v>
      </c>
      <c r="U156" s="467"/>
      <c r="V156" s="676"/>
      <c r="W156" s="738" t="s">
        <v>1524</v>
      </c>
      <c r="X156" s="1534"/>
      <c r="Y156" s="676"/>
      <c r="Z156" s="1464"/>
      <c r="AA156" s="676"/>
      <c r="AB156" s="227" t="s">
        <v>177</v>
      </c>
      <c r="AC156" s="231"/>
      <c r="AD156" s="1083"/>
      <c r="AE156" s="1083"/>
      <c r="AF156" s="1083"/>
      <c r="AG156" s="1083"/>
      <c r="AH156" s="1083"/>
      <c r="AI156" s="1083"/>
      <c r="AJ156" s="1083"/>
      <c r="AK156" s="1083"/>
      <c r="AL156" s="1083"/>
      <c r="AM156" s="1083"/>
      <c r="AN156" s="1083"/>
      <c r="AO156" s="1083"/>
      <c r="AP156" s="1083"/>
      <c r="AQ156" s="1083"/>
      <c r="AR156" s="1083"/>
      <c r="AS156" s="1083"/>
      <c r="AT156" s="1083"/>
      <c r="AU156" s="1083"/>
      <c r="AV156" s="1083"/>
      <c r="AW156" s="1083"/>
      <c r="AX156" s="1083"/>
      <c r="AY156" s="1083"/>
      <c r="AZ156" s="1083"/>
      <c r="BA156" s="1083"/>
      <c r="BB156" s="1083"/>
      <c r="BC156" s="1083"/>
      <c r="BD156" s="1083"/>
      <c r="BE156" s="1083"/>
      <c r="BF156" s="1083"/>
      <c r="BG156" s="1083"/>
      <c r="BH156" s="1083"/>
      <c r="BI156" s="1083"/>
      <c r="BJ156" s="1083"/>
      <c r="BK156" s="1083"/>
      <c r="BL156" s="1083"/>
      <c r="BM156" s="1083"/>
      <c r="BN156" s="1083"/>
      <c r="BO156" s="1083"/>
      <c r="BP156" s="1083"/>
      <c r="BQ156" s="1083"/>
      <c r="BR156" s="1083"/>
      <c r="BS156" s="1083"/>
      <c r="BT156" s="1083"/>
      <c r="BU156" s="1083"/>
      <c r="BV156" s="1083"/>
      <c r="BW156" s="1083"/>
      <c r="BX156" s="1083"/>
      <c r="BY156" s="1083"/>
      <c r="BZ156" s="1083"/>
      <c r="CA156" s="1083"/>
      <c r="CB156" s="1083"/>
      <c r="CC156" s="1083"/>
      <c r="CD156" s="1083"/>
      <c r="CE156" s="1083"/>
      <c r="CF156" s="1083"/>
      <c r="CG156" s="1083"/>
      <c r="CH156" s="1083"/>
      <c r="CI156" s="1083"/>
      <c r="CJ156" s="1083"/>
      <c r="CK156" s="1083"/>
      <c r="CL156" s="1083"/>
      <c r="CM156" s="1083"/>
      <c r="CN156" s="1083"/>
      <c r="CO156" s="1083"/>
      <c r="CP156" s="1083"/>
      <c r="CQ156" s="1083"/>
      <c r="CR156" s="1083"/>
      <c r="CS156" s="1083"/>
      <c r="CT156" s="1083"/>
      <c r="CU156" s="1083"/>
      <c r="CV156" s="1083"/>
      <c r="CW156" s="1083"/>
      <c r="CX156" s="1083"/>
      <c r="CY156" s="1083"/>
      <c r="CZ156" s="1083"/>
      <c r="DA156" s="1083"/>
      <c r="DB156" s="1083"/>
      <c r="DC156" s="1083"/>
      <c r="DD156" s="1083"/>
      <c r="DE156" s="1083"/>
      <c r="DF156" s="1083"/>
      <c r="DG156" s="1083"/>
      <c r="DH156" s="1083"/>
      <c r="DI156" s="1083"/>
      <c r="DJ156" s="1083"/>
      <c r="DK156" s="1083"/>
      <c r="DL156" s="1083"/>
      <c r="DM156" s="1083"/>
      <c r="DN156" s="1083"/>
      <c r="DO156" s="1083"/>
      <c r="DP156" s="1083"/>
      <c r="DQ156" s="1083"/>
      <c r="DR156" s="1083"/>
      <c r="DS156" s="1083"/>
      <c r="DT156" s="1083"/>
      <c r="DU156" s="1083"/>
      <c r="DV156" s="1083"/>
      <c r="DW156" s="1083"/>
      <c r="DX156" s="1083"/>
      <c r="DY156" s="1083"/>
      <c r="DZ156" s="1083"/>
      <c r="EA156" s="1083"/>
      <c r="EB156" s="1083"/>
      <c r="EC156" s="1083"/>
      <c r="ED156" s="1083"/>
      <c r="EE156" s="1083"/>
      <c r="EF156" s="1083"/>
      <c r="EG156" s="1083"/>
      <c r="EH156" s="1083"/>
      <c r="EI156" s="1083"/>
      <c r="EJ156" s="1083"/>
      <c r="EK156" s="1083"/>
      <c r="EL156" s="1083"/>
      <c r="EM156" s="1083"/>
      <c r="EN156" s="1083"/>
      <c r="EO156" s="1083"/>
      <c r="EP156" s="1083"/>
      <c r="EQ156" s="1083"/>
      <c r="ER156" s="1083"/>
      <c r="ES156" s="1083"/>
      <c r="ET156" s="1083"/>
      <c r="EU156" s="1083"/>
      <c r="EV156" s="1083"/>
      <c r="EW156" s="1083"/>
      <c r="EX156" s="1083"/>
      <c r="EY156" s="1083"/>
      <c r="EZ156" s="1083"/>
      <c r="FA156" s="1083"/>
      <c r="FB156" s="1083"/>
      <c r="FC156" s="1083"/>
      <c r="FD156" s="1083"/>
      <c r="FE156" s="1083"/>
      <c r="FF156" s="1083"/>
      <c r="FG156" s="1083"/>
      <c r="FH156" s="1083"/>
      <c r="FI156" s="1083"/>
      <c r="FJ156" s="1083"/>
      <c r="FK156" s="1083"/>
      <c r="FL156" s="1083"/>
      <c r="FM156" s="1083"/>
      <c r="FN156" s="1083"/>
      <c r="FO156" s="1083"/>
      <c r="FP156" s="1083"/>
      <c r="FQ156" s="1083"/>
      <c r="FR156" s="1083"/>
      <c r="FS156" s="1083"/>
      <c r="FT156" s="1083"/>
      <c r="FU156" s="1083"/>
      <c r="FV156" s="1083"/>
      <c r="FW156" s="1084"/>
      <c r="FX156" s="676"/>
      <c r="FY156" s="676"/>
      <c r="FZ156" s="1039" t="s">
        <v>222</v>
      </c>
      <c r="GA156" s="1061"/>
      <c r="GB156" s="1061"/>
      <c r="GC156" s="611" t="s">
        <v>1520</v>
      </c>
      <c r="GD156" s="697"/>
    </row>
    <row s="1621" customFormat="1" customHeight="1" ht="14.25" hidden="1">
      <c r="A157" s="467"/>
      <c r="B157" s="907">
        <f>AND(R141="двухставочный",NOT(S141))</f>
        <v>0</v>
      </c>
      <c r="C157" s="467"/>
      <c r="D157" s="467"/>
      <c r="E157" s="822">
        <v>15</v>
      </c>
      <c r="F157" s="50" cm="1" t="str">
        <f t="array" ref="F157:F157">OFFSET(E157,-1,1)</f>
        <v>2</v>
      </c>
      <c r="G157" s="467"/>
      <c r="H157" s="467"/>
      <c r="I157" s="467"/>
      <c r="J157" s="467"/>
      <c r="K157" s="467"/>
      <c r="L157" s="467"/>
      <c r="M157" s="467"/>
      <c r="N157" s="467"/>
      <c r="O157" s="467"/>
      <c r="P157" s="467"/>
      <c r="Q157" s="467"/>
      <c r="R157" s="51"/>
      <c r="S157" s="467"/>
      <c r="T157" s="439" cm="1" t="str">
        <f t="array" ref="T157:T157">T156</f>
        <v>true</v>
      </c>
      <c r="U157" s="467"/>
      <c r="V157" s="467"/>
      <c r="W157" s="467"/>
      <c r="X157" s="1534"/>
      <c r="Y157" s="467"/>
      <c r="Z157" s="1464"/>
      <c r="AA157" s="467"/>
      <c r="AB157" s="876" t="s">
        <v>1525</v>
      </c>
      <c r="AC157" s="877"/>
      <c r="AD157" s="1085"/>
      <c r="AE157" s="1085"/>
      <c r="AF157" s="1085"/>
      <c r="AG157" s="1085"/>
      <c r="AH157" s="1085"/>
      <c r="AI157" s="1085"/>
      <c r="AJ157" s="1085"/>
      <c r="AK157" s="1085"/>
      <c r="AL157" s="1085"/>
      <c r="AM157" s="1085"/>
      <c r="AN157" s="1085"/>
      <c r="AO157" s="1085"/>
      <c r="AP157" s="1085"/>
      <c r="AQ157" s="1085"/>
      <c r="AR157" s="1085"/>
      <c r="AS157" s="1085"/>
      <c r="AT157" s="1085"/>
      <c r="AU157" s="1085"/>
      <c r="AV157" s="1085"/>
      <c r="AW157" s="1085"/>
      <c r="AX157" s="1085"/>
      <c r="AY157" s="1085"/>
      <c r="AZ157" s="1085"/>
      <c r="BA157" s="1085"/>
      <c r="BB157" s="1085"/>
      <c r="BC157" s="1085"/>
      <c r="BD157" s="1085"/>
      <c r="BE157" s="1085"/>
      <c r="BF157" s="1085"/>
      <c r="BG157" s="1085"/>
      <c r="BH157" s="1085"/>
      <c r="BI157" s="1085"/>
      <c r="BJ157" s="1085"/>
      <c r="BK157" s="1085"/>
      <c r="BL157" s="1085"/>
      <c r="BM157" s="1085"/>
      <c r="BN157" s="1085"/>
      <c r="BO157" s="1085"/>
      <c r="BP157" s="1085"/>
      <c r="BQ157" s="1085"/>
      <c r="BR157" s="1085"/>
      <c r="BS157" s="1085"/>
      <c r="BT157" s="1085"/>
      <c r="BU157" s="1085"/>
      <c r="BV157" s="1085"/>
      <c r="BW157" s="1085"/>
      <c r="BX157" s="1085"/>
      <c r="BY157" s="1085"/>
      <c r="BZ157" s="1085"/>
      <c r="CA157" s="1085"/>
      <c r="CB157" s="1085"/>
      <c r="CC157" s="1085"/>
      <c r="CD157" s="1085"/>
      <c r="CE157" s="1085"/>
      <c r="CF157" s="1085"/>
      <c r="CG157" s="1085"/>
      <c r="CH157" s="1085"/>
      <c r="CI157" s="1085"/>
      <c r="CJ157" s="1085"/>
      <c r="CK157" s="1085"/>
      <c r="CL157" s="1085"/>
      <c r="CM157" s="1085"/>
      <c r="CN157" s="1085"/>
      <c r="CO157" s="1085"/>
      <c r="CP157" s="1085"/>
      <c r="CQ157" s="1085"/>
      <c r="CR157" s="1085"/>
      <c r="CS157" s="1085"/>
      <c r="CT157" s="1085"/>
      <c r="CU157" s="1085"/>
      <c r="CV157" s="1085"/>
      <c r="CW157" s="1085"/>
      <c r="CX157" s="1085"/>
      <c r="CY157" s="1085"/>
      <c r="CZ157" s="1085"/>
      <c r="DA157" s="1085"/>
      <c r="DB157" s="1085"/>
      <c r="DC157" s="1085"/>
      <c r="DD157" s="1085"/>
      <c r="DE157" s="1085"/>
      <c r="DF157" s="1085"/>
      <c r="DG157" s="1085"/>
      <c r="DH157" s="1085"/>
      <c r="DI157" s="1085"/>
      <c r="DJ157" s="1085"/>
      <c r="DK157" s="1085"/>
      <c r="DL157" s="1085"/>
      <c r="DM157" s="1085"/>
      <c r="DN157" s="1085"/>
      <c r="DO157" s="1085"/>
      <c r="DP157" s="1085"/>
      <c r="DQ157" s="1085"/>
      <c r="DR157" s="1085"/>
      <c r="DS157" s="1085"/>
      <c r="DT157" s="1085"/>
      <c r="DU157" s="1085"/>
      <c r="DV157" s="1085"/>
      <c r="DW157" s="1085"/>
      <c r="DX157" s="1085"/>
      <c r="DY157" s="1085"/>
      <c r="DZ157" s="1085"/>
      <c r="EA157" s="1085"/>
      <c r="EB157" s="1085"/>
      <c r="EC157" s="1085"/>
      <c r="ED157" s="1085"/>
      <c r="EE157" s="1085"/>
      <c r="EF157" s="1085"/>
      <c r="EG157" s="1085"/>
      <c r="EH157" s="1085"/>
      <c r="EI157" s="1085"/>
      <c r="EJ157" s="1085"/>
      <c r="EK157" s="1085"/>
      <c r="EL157" s="1085"/>
      <c r="EM157" s="1085"/>
      <c r="EN157" s="1085"/>
      <c r="EO157" s="1085"/>
      <c r="EP157" s="1085"/>
      <c r="EQ157" s="1085"/>
      <c r="ER157" s="1085"/>
      <c r="ES157" s="1085"/>
      <c r="ET157" s="1085"/>
      <c r="EU157" s="1085"/>
      <c r="EV157" s="1085"/>
      <c r="EW157" s="1085"/>
      <c r="EX157" s="1085"/>
      <c r="EY157" s="1085"/>
      <c r="EZ157" s="1085"/>
      <c r="FA157" s="1085"/>
      <c r="FB157" s="1085"/>
      <c r="FC157" s="1085"/>
      <c r="FD157" s="1085"/>
      <c r="FE157" s="1085"/>
      <c r="FF157" s="1085"/>
      <c r="FG157" s="1085"/>
      <c r="FH157" s="1085"/>
      <c r="FI157" s="1085"/>
      <c r="FJ157" s="1085"/>
      <c r="FK157" s="1085"/>
      <c r="FL157" s="1085"/>
      <c r="FM157" s="1085"/>
      <c r="FN157" s="1085"/>
      <c r="FO157" s="1085"/>
      <c r="FP157" s="1085"/>
      <c r="FQ157" s="1085"/>
      <c r="FR157" s="1085"/>
      <c r="FS157" s="1085"/>
      <c r="FT157" s="1085"/>
      <c r="FU157" s="1085"/>
      <c r="FV157" s="1085"/>
      <c r="FW157" s="1086"/>
      <c r="FX157" s="676"/>
      <c r="FY157" s="676"/>
      <c r="FZ157" s="1039" t="s">
        <v>222</v>
      </c>
      <c r="GA157" s="1061"/>
      <c r="GB157" s="1061"/>
      <c r="GC157" s="697"/>
      <c r="GD157" s="697"/>
    </row>
    <row s="1621" customFormat="1" customHeight="1" ht="23.25" hidden="1">
      <c r="A158" s="467"/>
      <c r="B158" s="907" cm="1" t="str">
        <f t="array" ref="B158:B158">B157</f>
        <v>false</v>
      </c>
      <c r="C158" s="467"/>
      <c r="D158" s="467"/>
      <c r="E158" s="822">
        <v>24.5</v>
      </c>
      <c r="F158" s="50" cm="1" t="str">
        <f t="array" ref="F158:F158">OFFSET(E158,-1,1)</f>
        <v>2</v>
      </c>
      <c r="G158" s="467"/>
      <c r="H158" s="467"/>
      <c r="I158" s="467"/>
      <c r="J158" s="467"/>
      <c r="K158" s="467"/>
      <c r="L158" s="467"/>
      <c r="M158" s="467"/>
      <c r="N158" s="467"/>
      <c r="O158" s="467"/>
      <c r="P158" s="467"/>
      <c r="Q158" s="467"/>
      <c r="R158" s="467"/>
      <c r="S158" s="467"/>
      <c r="T158" s="439" cm="1" t="str">
        <f t="array" ref="T158:T158">T157</f>
        <v>true</v>
      </c>
      <c r="U158" s="467"/>
      <c r="V158" s="467"/>
      <c r="W158" s="467"/>
      <c r="X158" s="1534"/>
      <c r="Y158" s="467"/>
      <c r="Z158" s="1464"/>
      <c r="AA158" s="467"/>
      <c r="AB158" s="260" t="s">
        <v>1526</v>
      </c>
      <c r="AC158" s="885"/>
      <c r="AD158" s="1087"/>
      <c r="AE158" s="1087"/>
      <c r="AF158" s="1087"/>
      <c r="AG158" s="1087"/>
      <c r="AH158" s="1087"/>
      <c r="AI158" s="1087"/>
      <c r="AJ158" s="1087"/>
      <c r="AK158" s="1087"/>
      <c r="AL158" s="1087"/>
      <c r="AM158" s="1087"/>
      <c r="AN158" s="1087"/>
      <c r="AO158" s="1087"/>
      <c r="AP158" s="1087"/>
      <c r="AQ158" s="1087"/>
      <c r="AR158" s="1087"/>
      <c r="AS158" s="1087"/>
      <c r="AT158" s="1087"/>
      <c r="AU158" s="1087"/>
      <c r="AV158" s="1087"/>
      <c r="AW158" s="1087"/>
      <c r="AX158" s="1087"/>
      <c r="AY158" s="1087"/>
      <c r="AZ158" s="1087"/>
      <c r="BA158" s="1087"/>
      <c r="BB158" s="1087"/>
      <c r="BC158" s="1087"/>
      <c r="BD158" s="1087"/>
      <c r="BE158" s="1087"/>
      <c r="BF158" s="1087"/>
      <c r="BG158" s="1087"/>
      <c r="BH158" s="1087"/>
      <c r="BI158" s="1087"/>
      <c r="BJ158" s="1087"/>
      <c r="BK158" s="1087"/>
      <c r="BL158" s="1087"/>
      <c r="BM158" s="1087"/>
      <c r="BN158" s="1087"/>
      <c r="BO158" s="1087"/>
      <c r="BP158" s="1087"/>
      <c r="BQ158" s="1087"/>
      <c r="BR158" s="1087"/>
      <c r="BS158" s="1087"/>
      <c r="BT158" s="1087"/>
      <c r="BU158" s="1087"/>
      <c r="BV158" s="1087"/>
      <c r="BW158" s="1087"/>
      <c r="BX158" s="1087"/>
      <c r="BY158" s="1087"/>
      <c r="BZ158" s="1087"/>
      <c r="CA158" s="1087"/>
      <c r="CB158" s="1087"/>
      <c r="CC158" s="1087"/>
      <c r="CD158" s="1087"/>
      <c r="CE158" s="1087"/>
      <c r="CF158" s="1087"/>
      <c r="CG158" s="1087"/>
      <c r="CH158" s="1087"/>
      <c r="CI158" s="1087"/>
      <c r="CJ158" s="1087"/>
      <c r="CK158" s="1087"/>
      <c r="CL158" s="1087"/>
      <c r="CM158" s="1087"/>
      <c r="CN158" s="1087"/>
      <c r="CO158" s="1087"/>
      <c r="CP158" s="1087"/>
      <c r="CQ158" s="1087"/>
      <c r="CR158" s="1087"/>
      <c r="CS158" s="1087"/>
      <c r="CT158" s="1087"/>
      <c r="CU158" s="1087"/>
      <c r="CV158" s="1087"/>
      <c r="CW158" s="1087"/>
      <c r="CX158" s="1087"/>
      <c r="CY158" s="1087"/>
      <c r="CZ158" s="1087"/>
      <c r="DA158" s="1087"/>
      <c r="DB158" s="1087"/>
      <c r="DC158" s="1087"/>
      <c r="DD158" s="1087"/>
      <c r="DE158" s="1087"/>
      <c r="DF158" s="1087"/>
      <c r="DG158" s="1087"/>
      <c r="DH158" s="1087"/>
      <c r="DI158" s="1087"/>
      <c r="DJ158" s="1087"/>
      <c r="DK158" s="1087"/>
      <c r="DL158" s="1087"/>
      <c r="DM158" s="1087"/>
      <c r="DN158" s="1087"/>
      <c r="DO158" s="1087"/>
      <c r="DP158" s="1087"/>
      <c r="DQ158" s="1087"/>
      <c r="DR158" s="1087"/>
      <c r="DS158" s="1087"/>
      <c r="DT158" s="1087"/>
      <c r="DU158" s="1087"/>
      <c r="DV158" s="1087"/>
      <c r="DW158" s="1087"/>
      <c r="DX158" s="1087"/>
      <c r="DY158" s="1087"/>
      <c r="DZ158" s="1087"/>
      <c r="EA158" s="1087"/>
      <c r="EB158" s="1087"/>
      <c r="EC158" s="1087"/>
      <c r="ED158" s="1087"/>
      <c r="EE158" s="1087"/>
      <c r="EF158" s="1087"/>
      <c r="EG158" s="1087"/>
      <c r="EH158" s="1087"/>
      <c r="EI158" s="1087"/>
      <c r="EJ158" s="1087"/>
      <c r="EK158" s="1087"/>
      <c r="EL158" s="1087"/>
      <c r="EM158" s="1087"/>
      <c r="EN158" s="1087"/>
      <c r="EO158" s="1087"/>
      <c r="EP158" s="1087"/>
      <c r="EQ158" s="1087"/>
      <c r="ER158" s="1087"/>
      <c r="ES158" s="1087"/>
      <c r="ET158" s="1087"/>
      <c r="EU158" s="1087"/>
      <c r="EV158" s="1087"/>
      <c r="EW158" s="1087"/>
      <c r="EX158" s="1087"/>
      <c r="EY158" s="1087"/>
      <c r="EZ158" s="1087"/>
      <c r="FA158" s="1087"/>
      <c r="FB158" s="1087"/>
      <c r="FC158" s="1087"/>
      <c r="FD158" s="1087"/>
      <c r="FE158" s="1087"/>
      <c r="FF158" s="1087"/>
      <c r="FG158" s="1087"/>
      <c r="FH158" s="1087"/>
      <c r="FI158" s="1087"/>
      <c r="FJ158" s="1087"/>
      <c r="FK158" s="1087"/>
      <c r="FL158" s="1087"/>
      <c r="FM158" s="1087"/>
      <c r="FN158" s="1087"/>
      <c r="FO158" s="1087"/>
      <c r="FP158" s="1087"/>
      <c r="FQ158" s="1087"/>
      <c r="FR158" s="1087"/>
      <c r="FS158" s="1087"/>
      <c r="FT158" s="1087"/>
      <c r="FU158" s="1087"/>
      <c r="FV158" s="1087"/>
      <c r="FW158" s="1088"/>
      <c r="FX158" s="676"/>
      <c r="FY158" s="676"/>
      <c r="FZ158" s="1039" t="s">
        <v>222</v>
      </c>
      <c r="GA158" s="1061"/>
      <c r="GB158" s="1061"/>
      <c r="GC158" s="697"/>
      <c r="GD158" s="697"/>
    </row>
    <row s="1621" customFormat="1" customHeight="1" ht="14.25" hidden="1">
      <c r="A159" s="467"/>
      <c r="B159" s="907" cm="1" t="str">
        <f t="array" ref="B159:B159">B158</f>
        <v>false</v>
      </c>
      <c r="C159" s="467"/>
      <c r="D159" s="467"/>
      <c r="E159" s="822">
        <v>15</v>
      </c>
      <c r="F159" s="50" cm="1" t="str">
        <f t="array" ref="F159:F159">OFFSET(E159,-1,1)</f>
        <v>2</v>
      </c>
      <c r="G159" s="467"/>
      <c r="H159" s="467" t="s">
        <v>1445</v>
      </c>
      <c r="I159" s="467" t="s">
        <v>1492</v>
      </c>
      <c r="J159" s="467"/>
      <c r="K159" s="467"/>
      <c r="L159" s="467"/>
      <c r="M159" s="467"/>
      <c r="N159" s="467"/>
      <c r="O159" s="467"/>
      <c r="P159" s="467"/>
      <c r="Q159" s="467"/>
      <c r="R159" s="467"/>
      <c r="S159" s="467"/>
      <c r="T159" s="439" cm="1" t="str">
        <f t="array" ref="T159:T159">T158</f>
        <v>true</v>
      </c>
      <c r="U159" s="467"/>
      <c r="V159" s="467"/>
      <c r="W159" s="467"/>
      <c r="X159" s="1534"/>
      <c r="Y159" s="467"/>
      <c r="Z159" s="1464"/>
      <c r="AA159" s="467"/>
      <c r="AB159" s="886" t="s">
        <v>1527</v>
      </c>
      <c r="AC159" s="846" t="s">
        <v>1494</v>
      </c>
      <c r="AD159" s="3409">
        <f>IF(AD161=0,0,(AD160*AD161+AD162*AD163*IF(god=2026,9,6))/AD161)</f>
        <v>0</v>
      </c>
      <c r="AE159" s="3409">
        <f>IF(AE161=0,0,(AE160*AE161+AE162*AE163*IF(god=2026,9,6))/AE161)</f>
        <v>0</v>
      </c>
      <c r="AF159" s="1078">
        <f>IF(AD159=0,0,(AE159-AD159)/AD159*100)</f>
        <v>0</v>
      </c>
      <c r="AG159" s="3409">
        <f>IF(AG161=0,0,(AG160*AG161+AG162*AG163*IF(god=2025,9,6))/AG161)</f>
        <v>0</v>
      </c>
      <c r="AH159" s="3409">
        <f>IF(AH161=0,0,(AH160*AH161+AH162*AH163*IF(god=2025,9,6))/AH161)</f>
        <v>0</v>
      </c>
      <c r="AI159" s="1078">
        <f>IF(AG159=0,0,(AH159-AG159)/AG159*100)</f>
        <v>0</v>
      </c>
      <c r="AJ159" s="3409">
        <f>IF(AJ161=0,0,(AJ160*AJ161+AJ162*AJ163*6)/AJ161)</f>
        <v>0</v>
      </c>
      <c r="AK159" s="3409">
        <f>IF(AK161=0,0,(AK160*AK161+AK162*AK163*6)/AK161)</f>
        <v>0</v>
      </c>
      <c r="AL159" s="1078">
        <f>IF(AJ159=0,0,(AK159-AJ159)/AJ159*100)</f>
        <v>0</v>
      </c>
      <c r="AM159" s="3409">
        <f>IF(AM161=0,0,(AM160*AM161+AM162*AM163*6)/AM161)</f>
        <v>0</v>
      </c>
      <c r="AN159" s="3409">
        <f>IF(AN161=0,0,(AN160*AN161+AN162*AN163*6)/AN161)</f>
        <v>0</v>
      </c>
      <c r="AO159" s="1078">
        <f>IF(AM159=0,0,(AN159-AM159)/AM159*100)</f>
        <v>0</v>
      </c>
      <c r="AP159" s="3409">
        <f>IF(AP161=0,0,(AP160*AP161+AP162*AP163*6)/AP161)</f>
        <v>0</v>
      </c>
      <c r="AQ159" s="3409">
        <f>IF(AQ161=0,0,(AQ160*AQ161+AQ162*AQ163*6)/AQ161)</f>
        <v>0</v>
      </c>
      <c r="AR159" s="1078">
        <f>IF(AP159=0,0,(AQ159-AP159)/AP159*100)</f>
        <v>0</v>
      </c>
      <c r="AS159" s="3409">
        <f>IF(AS161=0,0,(AS160*AS161+AS162*AS163*6)/AS161)</f>
        <v>0</v>
      </c>
      <c r="AT159" s="3409">
        <f>IF(AT161=0,0,(AT160*AT161+AT162*AT163*6)/AT161)</f>
        <v>0</v>
      </c>
      <c r="AU159" s="1078">
        <f>IF(AS159=0,0,(AT159-AS159)/AS159*100)</f>
        <v>0</v>
      </c>
      <c r="AV159" s="3409">
        <f>IF(AV161=0,0,(AV160*AV161+AV162*AV163*6)/AV161)</f>
        <v>0</v>
      </c>
      <c r="AW159" s="3409">
        <f>IF(AW161=0,0,(AW160*AW161+AW162*AW163*6)/AW161)</f>
        <v>0</v>
      </c>
      <c r="AX159" s="1078">
        <f>IF(AV159=0,0,(AW159-AV159)/AV159*100)</f>
        <v>0</v>
      </c>
      <c r="AY159" s="3409">
        <f>IF(AY161=0,0,(AY160*AY161+AY162*AY163*6)/AY161)</f>
        <v>0</v>
      </c>
      <c r="AZ159" s="3409">
        <f>IF(AZ161=0,0,(AZ160*AZ161+AZ162*AZ163*6)/AZ161)</f>
        <v>0</v>
      </c>
      <c r="BA159" s="1078">
        <f>IF(AY159=0,0,(AZ159-AY159)/AY159*100)</f>
        <v>0</v>
      </c>
      <c r="BB159" s="3409">
        <f>IF(BB161=0,0,(BB160*BB161+BB162*BB163*6)/BB161)</f>
        <v>0</v>
      </c>
      <c r="BC159" s="3409">
        <f>IF(BC161=0,0,(BC160*BC161+BC162*BC163*6)/BC161)</f>
        <v>0</v>
      </c>
      <c r="BD159" s="1078">
        <f>IF(BB159=0,0,(BC159-BB159)/BB159*100)</f>
        <v>0</v>
      </c>
      <c r="BE159" s="3409">
        <f>IF(BE161=0,0,(BE160*BE161+BE162*BE163*6)/BE161)</f>
        <v>0</v>
      </c>
      <c r="BF159" s="3409">
        <f>IF(BF161=0,0,(BF160*BF161+BF162*BF163*6)/BF161)</f>
        <v>0</v>
      </c>
      <c r="BG159" s="1078">
        <f>IF(BE159=0,0,(BF159-BE159)/BE159*100)</f>
        <v>0</v>
      </c>
      <c r="BH159" s="3409">
        <f>IF(BH161=0,0,(BH160*BH161+BH162*BH163*6)/BH161)</f>
        <v>0</v>
      </c>
      <c r="BI159" s="3409">
        <f>IF(BI161=0,0,(BI160*BI161+BI162*BI163*6)/BI161)</f>
        <v>0</v>
      </c>
      <c r="BJ159" s="1078">
        <f>IF(BH159=0,0,(BI159-BH159)/BH159*100)</f>
        <v>0</v>
      </c>
      <c r="BK159" s="3409">
        <f>IF(BK161=0,0,(BK160*BK161+BK162*BK163*6)/BK161)</f>
        <v>0</v>
      </c>
      <c r="BL159" s="3409">
        <f>IF(BL161=0,0,(BL160*BL161+BL162*BL163*6)/BL161)</f>
        <v>0</v>
      </c>
      <c r="BM159" s="1078">
        <f>IF(BK159=0,0,(BL159-BK159)/BK159*100)</f>
        <v>0</v>
      </c>
      <c r="BN159" s="3409">
        <f>IF(BN161=0,0,(BN160*BN161+BN162*BN163*6)/BN161)</f>
        <v>0</v>
      </c>
      <c r="BO159" s="3409">
        <f>IF(BO161=0,0,(BO160*BO161+BO162*BO163*6)/BO161)</f>
        <v>0</v>
      </c>
      <c r="BP159" s="1078">
        <f>IF(BN159=0,0,(BO159-BN159)/BN159*100)</f>
        <v>0</v>
      </c>
      <c r="BQ159" s="3409">
        <f>IF(BQ161=0,0,(BQ160*BQ161+BQ162*BQ163*6)/BQ161)</f>
        <v>0</v>
      </c>
      <c r="BR159" s="3409">
        <f>IF(BR161=0,0,(BR160*BR161+BR162*BR163*6)/BR161)</f>
        <v>0</v>
      </c>
      <c r="BS159" s="1078">
        <f>IF(BQ159=0,0,(BR159-BQ159)/BQ159*100)</f>
        <v>0</v>
      </c>
      <c r="BT159" s="3409">
        <f>IF(BT161=0,0,(BT160*BT161+BT162*BT163*6)/BT161)</f>
        <v>0</v>
      </c>
      <c r="BU159" s="3409">
        <f>IF(BU161=0,0,(BU160*BU161+BU162*BU163*6)/BU161)</f>
        <v>0</v>
      </c>
      <c r="BV159" s="1078">
        <f>IF(BT159=0,0,(BU159-BT159)/BT159*100)</f>
        <v>0</v>
      </c>
      <c r="BW159" s="3409">
        <f>IF(BW161=0,0,(BW160*BW161+BW162*BW163*6)/BW161)</f>
        <v>0</v>
      </c>
      <c r="BX159" s="3409">
        <f>IF(BX161=0,0,(BX160*BX161+BX162*BX163*6)/BX161)</f>
        <v>0</v>
      </c>
      <c r="BY159" s="1078">
        <f>IF(BW159=0,0,(BX159-BW159)/BW159*100)</f>
        <v>0</v>
      </c>
      <c r="BZ159" s="3409">
        <f>IF(BZ161=0,0,(BZ160*BZ161+BZ162*BZ163*6)/BZ161)</f>
        <v>0</v>
      </c>
      <c r="CA159" s="3409">
        <f>IF(CA161=0,0,(CA160*CA161+CA162*CA163*6)/CA161)</f>
        <v>0</v>
      </c>
      <c r="CB159" s="1078">
        <f>IF(BZ159=0,0,(CA159-BZ159)/BZ159*100)</f>
        <v>0</v>
      </c>
      <c r="CC159" s="3409">
        <f>IF(CC161=0,0,(CC160*CC161+CC162*CC163*6)/CC161)</f>
        <v>0</v>
      </c>
      <c r="CD159" s="3409">
        <f>IF(CD161=0,0,(CD160*CD161+CD162*CD163*6)/CD161)</f>
        <v>0</v>
      </c>
      <c r="CE159" s="1078">
        <f>IF(CC159=0,0,(CD159-CC159)/CC159*100)</f>
        <v>0</v>
      </c>
      <c r="CF159" s="3409">
        <f>IF(CF161=0,0,(CF160*CF161+CF162*CF163*6)/CF161)</f>
        <v>0</v>
      </c>
      <c r="CG159" s="3409">
        <f>IF(CG161=0,0,(CG160*CG161+CG162*CG163*6)/CG161)</f>
        <v>0</v>
      </c>
      <c r="CH159" s="1078">
        <f>IF(CF159=0,0,(CG159-CF159)/CF159*100)</f>
        <v>0</v>
      </c>
      <c r="CI159" s="3409">
        <f>IF(CI161=0,0,(CI160*CI161+CI162*CI163*6)/CI161)</f>
        <v>0</v>
      </c>
      <c r="CJ159" s="3409">
        <f>IF(CJ161=0,0,(CJ160*CJ161+CJ162*CJ163*6)/CJ161)</f>
        <v>0</v>
      </c>
      <c r="CK159" s="1078">
        <f>IF(CI159=0,0,(CJ159-CI159)/CI159*100)</f>
        <v>0</v>
      </c>
      <c r="CL159" s="3409">
        <f>IF(CL161=0,0,(CL160*CL161+CL162*CL163*6)/CL161)</f>
        <v>0</v>
      </c>
      <c r="CM159" s="3409">
        <f>IF(CM161=0,0,(CM160*CM161+CM162*CM163*6)/CM161)</f>
        <v>0</v>
      </c>
      <c r="CN159" s="1078">
        <f>IF(CL159=0,0,(CM159-CL159)/CL159*100)</f>
        <v>0</v>
      </c>
      <c r="CO159" s="3409">
        <f>IF(CO161=0,0,(CO160*CO161+CO162*CO163*6)/CO161)</f>
        <v>0</v>
      </c>
      <c r="CP159" s="3409">
        <f>IF(CP161=0,0,(CP160*CP161+CP162*CP163*6)/CP161)</f>
        <v>0</v>
      </c>
      <c r="CQ159" s="1078">
        <f>IF(CO159=0,0,(CP159-CO159)/CO159*100)</f>
        <v>0</v>
      </c>
      <c r="CR159" s="3409">
        <f>IF(CR161=0,0,(CR160*CR161+CR162*CR163*6)/CR161)</f>
        <v>0</v>
      </c>
      <c r="CS159" s="3409">
        <f>IF(CS161=0,0,(CS160*CS161+CS162*CS163*6)/CS161)</f>
        <v>0</v>
      </c>
      <c r="CT159" s="1078">
        <f>IF(CR159=0,0,(CS159-CR159)/CR159*100)</f>
        <v>0</v>
      </c>
      <c r="CU159" s="3409">
        <f>IF(CU161=0,0,(CU160*CU161+CU162*CU163*6)/CU161)</f>
        <v>0</v>
      </c>
      <c r="CV159" s="3409">
        <f>IF(CV161=0,0,(CV160*CV161+CV162*CV163*6)/CV161)</f>
        <v>0</v>
      </c>
      <c r="CW159" s="1078">
        <f>IF(CU159=0,0,(CV159-CU159)/CU159*100)</f>
        <v>0</v>
      </c>
      <c r="CX159" s="3409">
        <f>IF(CX161=0,0,(CX160*CX161+CX162*CX163*6)/CX161)</f>
        <v>0</v>
      </c>
      <c r="CY159" s="3409">
        <f>IF(CY161=0,0,(CY160*CY161+CY162*CY163*6)/CY161)</f>
        <v>0</v>
      </c>
      <c r="CZ159" s="1078">
        <f>IF(CX159=0,0,(CY159-CX159)/CX159*100)</f>
        <v>0</v>
      </c>
      <c r="DA159" s="3409">
        <f>IF(DA161=0,0,(DA160*DA161+DA162*DA163*6)/DA161)</f>
        <v>0</v>
      </c>
      <c r="DB159" s="3409">
        <f>IF(DB161=0,0,(DB160*DB161+DB162*DB163*6)/DB161)</f>
        <v>0</v>
      </c>
      <c r="DC159" s="1078">
        <f>IF(DA159=0,0,(DB159-DA159)/DA159*100)</f>
        <v>0</v>
      </c>
      <c r="DD159" s="3409">
        <f>IF(DD161=0,0,(DD160*DD161+DD162*DD163*6)/DD161)</f>
        <v>0</v>
      </c>
      <c r="DE159" s="3409">
        <f>IF(DE161=0,0,(DE160*DE161+DE162*DE163*6)/DE161)</f>
        <v>0</v>
      </c>
      <c r="DF159" s="1078">
        <f>IF(DD159=0,0,(DE159-DD159)/DD159*100)</f>
        <v>0</v>
      </c>
      <c r="DG159" s="3409">
        <f>IF(DG161=0,0,(DG160*DG161+DG162*DG163*6)/DG161)</f>
        <v>0</v>
      </c>
      <c r="DH159" s="3409">
        <f>IF(DH161=0,0,(DH160*DH161+DH162*DH163*6)/DH161)</f>
        <v>0</v>
      </c>
      <c r="DI159" s="1078">
        <f>IF(DG159=0,0,(DH159-DG159)/DG159*100)</f>
        <v>0</v>
      </c>
      <c r="DJ159" s="3409">
        <f>IF(DJ161=0,0,(DJ160*DJ161+DJ162*DJ163*6)/DJ161)</f>
        <v>0</v>
      </c>
      <c r="DK159" s="3409">
        <f>IF(DK161=0,0,(DK160*DK161+DK162*DK163*6)/DK161)</f>
        <v>0</v>
      </c>
      <c r="DL159" s="1078">
        <f>IF(DJ159=0,0,(DK159-DJ159)/DJ159*100)</f>
        <v>0</v>
      </c>
      <c r="DM159" s="3409">
        <f>IF(DM161=0,0,(DM160*DM161+DM162*DM163*6)/DM161)</f>
        <v>0</v>
      </c>
      <c r="DN159" s="3409">
        <f>IF(DN161=0,0,(DN160*DN161+DN162*DN163*6)/DN161)</f>
        <v>0</v>
      </c>
      <c r="DO159" s="1078">
        <f>IF(DM159=0,0,(DN159-DM159)/DM159*100)</f>
        <v>0</v>
      </c>
      <c r="DP159" s="3409">
        <f>IF(DP161=0,0,(DP160*DP161+DP162*DP163*6)/DP161)</f>
        <v>0</v>
      </c>
      <c r="DQ159" s="3409">
        <f>IF(DQ161=0,0,(DQ160*DQ161+DQ162*DQ163*6)/DQ161)</f>
        <v>0</v>
      </c>
      <c r="DR159" s="1078">
        <f>IF(DP159=0,0,(DQ159-DP159)/DP159*100)</f>
        <v>0</v>
      </c>
      <c r="DS159" s="3409">
        <f>IF(DS161=0,0,(DS160*DS161+DS162*DS163*6)/DS161)</f>
        <v>0</v>
      </c>
      <c r="DT159" s="3409">
        <f>IF(DT161=0,0,(DT160*DT161+DT162*DT163*6)/DT161)</f>
        <v>0</v>
      </c>
      <c r="DU159" s="1078">
        <f>IF(DS159=0,0,(DT159-DS159)/DS159*100)</f>
        <v>0</v>
      </c>
      <c r="DV159" s="3409">
        <f>IF(DV161=0,0,(DV160*DV161+DV162*DV163*6)/DV161)</f>
        <v>0</v>
      </c>
      <c r="DW159" s="3409">
        <f>IF(DW161=0,0,(DW160*DW161+DW162*DW163*6)/DW161)</f>
        <v>0</v>
      </c>
      <c r="DX159" s="1078">
        <f>IF(DV159=0,0,(DW159-DV159)/DV159*100)</f>
        <v>0</v>
      </c>
      <c r="DY159" s="3409">
        <f>IF(DY161=0,0,(DY160*DY161+DY162*DY163*6)/DY161)</f>
        <v>0</v>
      </c>
      <c r="DZ159" s="3409">
        <f>IF(DZ161=0,0,(DZ160*DZ161+DZ162*DZ163*6)/DZ161)</f>
        <v>0</v>
      </c>
      <c r="EA159" s="1078">
        <f>IF(DY159=0,0,(DZ159-DY159)/DY159*100)</f>
        <v>0</v>
      </c>
      <c r="EB159" s="3409">
        <f>IF(EB161=0,0,(EB160*EB161+EB162*EB163*6)/EB161)</f>
        <v>0</v>
      </c>
      <c r="EC159" s="3409">
        <f>IF(EC161=0,0,(EC160*EC161+EC162*EC163*6)/EC161)</f>
        <v>0</v>
      </c>
      <c r="ED159" s="1078">
        <f>IF(EB159=0,0,(EC159-EB159)/EB159*100)</f>
        <v>0</v>
      </c>
      <c r="EE159" s="3409">
        <f>IF(EE161=0,0,(EE160*EE161+EE162*EE163*6)/EE161)</f>
        <v>0</v>
      </c>
      <c r="EF159" s="3409">
        <f>IF(EF161=0,0,(EF160*EF161+EF162*EF163*6)/EF161)</f>
        <v>0</v>
      </c>
      <c r="EG159" s="1078">
        <f>IF(EE159=0,0,(EF159-EE159)/EE159*100)</f>
        <v>0</v>
      </c>
      <c r="EH159" s="3409">
        <f>IF(EH161=0,0,(EH160*EH161+EH162*EH163*6)/EH161)</f>
        <v>0</v>
      </c>
      <c r="EI159" s="3409">
        <f>IF(EI161=0,0,(EI160*EI161+EI162*EI163*6)/EI161)</f>
        <v>0</v>
      </c>
      <c r="EJ159" s="1078">
        <f>IF(EH159=0,0,(EI159-EH159)/EH159*100)</f>
        <v>0</v>
      </c>
      <c r="EK159" s="3409">
        <f>IF(EK161=0,0,(EK160*EK161+EK162*EK163*6)/EK161)</f>
        <v>0</v>
      </c>
      <c r="EL159" s="3409">
        <f>IF(EL161=0,0,(EL160*EL161+EL162*EL163*6)/EL161)</f>
        <v>0</v>
      </c>
      <c r="EM159" s="1078">
        <f>IF(EK159=0,0,(EL159-EK159)/EK159*100)</f>
        <v>0</v>
      </c>
      <c r="EN159" s="3409">
        <f>IF(EN161=0,0,(EN160*EN161+EN162*EN163*6)/EN161)</f>
        <v>0</v>
      </c>
      <c r="EO159" s="3409">
        <f>IF(EO161=0,0,(EO160*EO161+EO162*EO163*6)/EO161)</f>
        <v>0</v>
      </c>
      <c r="EP159" s="1078">
        <f>IF(EN159=0,0,(EO159-EN159)/EN159*100)</f>
        <v>0</v>
      </c>
      <c r="EQ159" s="3409">
        <f>IF(EQ161=0,0,(EQ160*EQ161+EQ162*EQ163*6)/EQ161)</f>
        <v>0</v>
      </c>
      <c r="ER159" s="3409">
        <f>IF(ER161=0,0,(ER160*ER161+ER162*ER163*6)/ER161)</f>
        <v>0</v>
      </c>
      <c r="ES159" s="1078">
        <f>IF(EQ159=0,0,(ER159-EQ159)/EQ159*100)</f>
        <v>0</v>
      </c>
      <c r="ET159" s="3409">
        <f>IF(ET161=0,0,(ET160*ET161+ET162*ET163*6)/ET161)</f>
        <v>0</v>
      </c>
      <c r="EU159" s="3409">
        <f>IF(EU161=0,0,(EU160*EU161+EU162*EU163*6)/EU161)</f>
        <v>0</v>
      </c>
      <c r="EV159" s="1078">
        <f>IF(ET159=0,0,(EU159-ET159)/ET159*100)</f>
        <v>0</v>
      </c>
      <c r="EW159" s="3409">
        <f>IF(EW161=0,0,(EW160*EW161+EW162*EW163*6)/EW161)</f>
        <v>0</v>
      </c>
      <c r="EX159" s="3409">
        <f>IF(EX161=0,0,(EX160*EX161+EX162*EX163*6)/EX161)</f>
        <v>0</v>
      </c>
      <c r="EY159" s="1078">
        <f>IF(EW159=0,0,(EX159-EW159)/EW159*100)</f>
        <v>0</v>
      </c>
      <c r="EZ159" s="3409">
        <f>IF(EZ161=0,0,(EZ160*EZ161+EZ162*EZ163*6)/EZ161)</f>
        <v>0</v>
      </c>
      <c r="FA159" s="3409">
        <f>IF(FA161=0,0,(FA160*FA161+FA162*FA163*6)/FA161)</f>
        <v>0</v>
      </c>
      <c r="FB159" s="1078">
        <f>IF(EZ159=0,0,(FA159-EZ159)/EZ159*100)</f>
        <v>0</v>
      </c>
      <c r="FC159" s="3409">
        <f>IF(FC161=0,0,(FC160*FC161+FC162*FC163*6)/FC161)</f>
        <v>0</v>
      </c>
      <c r="FD159" s="3409">
        <f>IF(FD161=0,0,(FD160*FD161+FD162*FD163*6)/FD161)</f>
        <v>0</v>
      </c>
      <c r="FE159" s="1078">
        <f>IF(FC159=0,0,(FD159-FC159)/FC159*100)</f>
        <v>0</v>
      </c>
      <c r="FF159" s="3409">
        <f>IF(FF161=0,0,(FF160*FF161+FF162*FF163*6)/FF161)</f>
        <v>0</v>
      </c>
      <c r="FG159" s="3409">
        <f>IF(FG161=0,0,(FG160*FG161+FG162*FG163*6)/FG161)</f>
        <v>0</v>
      </c>
      <c r="FH159" s="1078">
        <f>IF(FF159=0,0,(FG159-FF159)/FF159*100)</f>
        <v>0</v>
      </c>
      <c r="FI159" s="3409">
        <f>IF(FI161=0,0,(FI160*FI161+FI162*FI163*6)/FI161)</f>
        <v>0</v>
      </c>
      <c r="FJ159" s="3409">
        <f>IF(FJ161=0,0,(FJ160*FJ161+FJ162*FJ163*6)/FJ161)</f>
        <v>0</v>
      </c>
      <c r="FK159" s="1078">
        <f>IF(FI159=0,0,(FJ159-FI159)/FI159*100)</f>
        <v>0</v>
      </c>
      <c r="FL159" s="3409">
        <f>IF(FL161=0,0,(FL160*FL161+FL162*FL163*6)/FL161)</f>
        <v>0</v>
      </c>
      <c r="FM159" s="3409">
        <f>IF(FM161=0,0,(FM160*FM161+FM162*FM163*6)/FM161)</f>
        <v>0</v>
      </c>
      <c r="FN159" s="1078">
        <f>IF(FL159=0,0,(FM159-FL159)/FL159*100)</f>
        <v>0</v>
      </c>
      <c r="FO159" s="3409">
        <f>IF(FO161=0,0,(FO160*FO161+FO162*FO163*6)/FO161)</f>
        <v>0</v>
      </c>
      <c r="FP159" s="3409">
        <f>IF(FP161=0,0,(FP160*FP161+FP162*FP163*6)/FP161)</f>
        <v>0</v>
      </c>
      <c r="FQ159" s="1078">
        <f>IF(FO159=0,0,(FP159-FO159)/FO159*100)</f>
        <v>0</v>
      </c>
      <c r="FR159" s="3409">
        <f>IF(FR161=0,0,(FR160*FR161+FR162*FR163*6)/FR161)</f>
        <v>0</v>
      </c>
      <c r="FS159" s="3409">
        <f>IF(FS161=0,0,(FS160*FS161+FS162*FS163*6)/FS161)</f>
        <v>0</v>
      </c>
      <c r="FT159" s="1078">
        <f>IF(FR159=0,0,(FS159-FR159)/FR159*100)</f>
        <v>0</v>
      </c>
      <c r="FU159" s="3409">
        <f>IF(FU161=0,0,(FU160*FU161+FU162*FU163*6)/FU161)</f>
        <v>0</v>
      </c>
      <c r="FV159" s="3409">
        <f>IF(FV161=0,0,(FV160*FV161+FV162*FV163*6)/FV161)</f>
        <v>0</v>
      </c>
      <c r="FW159" s="1078">
        <f>IF(FU159=0,0,(FV159-FU159)/FU159*100)</f>
        <v>0</v>
      </c>
      <c r="FX159" s="676"/>
      <c r="FY159" s="676"/>
      <c r="FZ159" s="1039" t="s">
        <v>1528</v>
      </c>
      <c r="GA159" s="1061"/>
      <c r="GB159" s="1061"/>
      <c r="GC159" s="697"/>
      <c r="GD159" s="697"/>
    </row>
    <row s="1621" customFormat="1" customHeight="1" ht="14.25" hidden="1">
      <c r="A160" s="467"/>
      <c r="B160" s="907" cm="1" t="str">
        <f t="array" ref="B160:B160">B159</f>
        <v>false</v>
      </c>
      <c r="C160" s="467"/>
      <c r="D160" s="467"/>
      <c r="E160" s="822">
        <v>15</v>
      </c>
      <c r="F160" s="50" cm="1" t="str">
        <f t="array" ref="F160:F160">OFFSET(E160,-1,1)</f>
        <v>2</v>
      </c>
      <c r="G160" s="467"/>
      <c r="H160" s="467" t="s">
        <v>1449</v>
      </c>
      <c r="I160" s="467" t="s">
        <v>1492</v>
      </c>
      <c r="J160" s="467"/>
      <c r="K160" s="467"/>
      <c r="L160" s="467"/>
      <c r="M160" s="467"/>
      <c r="N160" s="467"/>
      <c r="O160" s="467"/>
      <c r="P160" s="467"/>
      <c r="Q160" s="467"/>
      <c r="R160" s="467"/>
      <c r="S160" s="467"/>
      <c r="T160" s="439" cm="1" t="str">
        <f t="array" ref="T160:T160">T159</f>
        <v>true</v>
      </c>
      <c r="U160" s="467"/>
      <c r="V160" s="467"/>
      <c r="W160" s="467"/>
      <c r="X160" s="1534"/>
      <c r="Y160" s="467"/>
      <c r="Z160" s="1464"/>
      <c r="AA160" s="467"/>
      <c r="AB160" s="886" t="str">
        <f>"ставка платы за "&amp;IF(Q141="Водоснабжение","потребление 1 куб.м холодной воды","объем принятых сточных вод")</f>
        <v>ставка платы за объем принятых сточных вод</v>
      </c>
      <c r="AC160" s="846" t="s">
        <v>1494</v>
      </c>
      <c r="AD160" s="3409"/>
      <c r="AE160" s="3409"/>
      <c r="AF160" s="1078">
        <f>IF(AD160=0,0,(AE160-AD160)/AD160*100)</f>
        <v>0</v>
      </c>
      <c r="AG160" s="3409"/>
      <c r="AH160" s="3409"/>
      <c r="AI160" s="1078">
        <f>IF(AG160=0,0,(AH160-AG160)/AG160*100)</f>
        <v>0</v>
      </c>
      <c r="AJ160" s="3409"/>
      <c r="AK160" s="3409"/>
      <c r="AL160" s="1078">
        <f>IF(AJ160=0,0,(AK160-AJ160)/AJ160*100)</f>
        <v>0</v>
      </c>
      <c r="AM160" s="3409"/>
      <c r="AN160" s="3409"/>
      <c r="AO160" s="1078">
        <f>IF(AM160=0,0,(AN160-AM160)/AM160*100)</f>
        <v>0</v>
      </c>
      <c r="AP160" s="3409"/>
      <c r="AQ160" s="3409"/>
      <c r="AR160" s="1078">
        <f>IF(AP160=0,0,(AQ160-AP160)/AP160*100)</f>
        <v>0</v>
      </c>
      <c r="AS160" s="3409"/>
      <c r="AT160" s="3409"/>
      <c r="AU160" s="1078">
        <f>IF(AS160=0,0,(AT160-AS160)/AS160*100)</f>
        <v>0</v>
      </c>
      <c r="AV160" s="3409"/>
      <c r="AW160" s="3409"/>
      <c r="AX160" s="1078">
        <f>IF(AV160=0,0,(AW160-AV160)/AV160*100)</f>
        <v>0</v>
      </c>
      <c r="AY160" s="3409"/>
      <c r="AZ160" s="3409"/>
      <c r="BA160" s="1078">
        <f>IF(AY160=0,0,(AZ160-AY160)/AY160*100)</f>
        <v>0</v>
      </c>
      <c r="BB160" s="3409"/>
      <c r="BC160" s="3409"/>
      <c r="BD160" s="1078">
        <f>IF(BB160=0,0,(BC160-BB160)/BB160*100)</f>
        <v>0</v>
      </c>
      <c r="BE160" s="3409"/>
      <c r="BF160" s="3409"/>
      <c r="BG160" s="1078">
        <f>IF(BE160=0,0,(BF160-BE160)/BE160*100)</f>
        <v>0</v>
      </c>
      <c r="BH160" s="3409"/>
      <c r="BI160" s="3409"/>
      <c r="BJ160" s="1078">
        <f>IF(BH160=0,0,(BI160-BH160)/BH160*100)</f>
        <v>0</v>
      </c>
      <c r="BK160" s="3409"/>
      <c r="BL160" s="3409"/>
      <c r="BM160" s="1078">
        <f>IF(BK160=0,0,(BL160-BK160)/BK160*100)</f>
        <v>0</v>
      </c>
      <c r="BN160" s="3409"/>
      <c r="BO160" s="3409"/>
      <c r="BP160" s="1078">
        <f>IF(BN160=0,0,(BO160-BN160)/BN160*100)</f>
        <v>0</v>
      </c>
      <c r="BQ160" s="3409"/>
      <c r="BR160" s="3409"/>
      <c r="BS160" s="1078">
        <f>IF(BQ160=0,0,(BR160-BQ160)/BQ160*100)</f>
        <v>0</v>
      </c>
      <c r="BT160" s="3409"/>
      <c r="BU160" s="3409"/>
      <c r="BV160" s="1078">
        <f>IF(BT160=0,0,(BU160-BT160)/BT160*100)</f>
        <v>0</v>
      </c>
      <c r="BW160" s="3409"/>
      <c r="BX160" s="3409"/>
      <c r="BY160" s="1078">
        <f>IF(BW160=0,0,(BX160-BW160)/BW160*100)</f>
        <v>0</v>
      </c>
      <c r="BZ160" s="3409"/>
      <c r="CA160" s="3409"/>
      <c r="CB160" s="1078">
        <f>IF(BZ160=0,0,(CA160-BZ160)/BZ160*100)</f>
        <v>0</v>
      </c>
      <c r="CC160" s="3409"/>
      <c r="CD160" s="3409"/>
      <c r="CE160" s="1078">
        <f>IF(CC160=0,0,(CD160-CC160)/CC160*100)</f>
        <v>0</v>
      </c>
      <c r="CF160" s="3409"/>
      <c r="CG160" s="3409"/>
      <c r="CH160" s="1078">
        <f>IF(CF160=0,0,(CG160-CF160)/CF160*100)</f>
        <v>0</v>
      </c>
      <c r="CI160" s="3409"/>
      <c r="CJ160" s="3409"/>
      <c r="CK160" s="1078">
        <f>IF(CI160=0,0,(CJ160-CI160)/CI160*100)</f>
        <v>0</v>
      </c>
      <c r="CL160" s="3409"/>
      <c r="CM160" s="3409"/>
      <c r="CN160" s="1078">
        <f>IF(CL160=0,0,(CM160-CL160)/CL160*100)</f>
        <v>0</v>
      </c>
      <c r="CO160" s="3409"/>
      <c r="CP160" s="3409"/>
      <c r="CQ160" s="1078">
        <f>IF(CO160=0,0,(CP160-CO160)/CO160*100)</f>
        <v>0</v>
      </c>
      <c r="CR160" s="3409"/>
      <c r="CS160" s="3409"/>
      <c r="CT160" s="1078">
        <f>IF(CR160=0,0,(CS160-CR160)/CR160*100)</f>
        <v>0</v>
      </c>
      <c r="CU160" s="3409"/>
      <c r="CV160" s="3409"/>
      <c r="CW160" s="1078">
        <f>IF(CU160=0,0,(CV160-CU160)/CU160*100)</f>
        <v>0</v>
      </c>
      <c r="CX160" s="3409"/>
      <c r="CY160" s="3409"/>
      <c r="CZ160" s="1078">
        <f>IF(CX160=0,0,(CY160-CX160)/CX160*100)</f>
        <v>0</v>
      </c>
      <c r="DA160" s="3409"/>
      <c r="DB160" s="3409"/>
      <c r="DC160" s="1078">
        <f>IF(DA160=0,0,(DB160-DA160)/DA160*100)</f>
        <v>0</v>
      </c>
      <c r="DD160" s="3409"/>
      <c r="DE160" s="3409"/>
      <c r="DF160" s="1078">
        <f>IF(DD160=0,0,(DE160-DD160)/DD160*100)</f>
        <v>0</v>
      </c>
      <c r="DG160" s="3409"/>
      <c r="DH160" s="3409"/>
      <c r="DI160" s="1078">
        <f>IF(DG160=0,0,(DH160-DG160)/DG160*100)</f>
        <v>0</v>
      </c>
      <c r="DJ160" s="3409"/>
      <c r="DK160" s="3409"/>
      <c r="DL160" s="1078">
        <f>IF(DJ160=0,0,(DK160-DJ160)/DJ160*100)</f>
        <v>0</v>
      </c>
      <c r="DM160" s="3409"/>
      <c r="DN160" s="3409"/>
      <c r="DO160" s="1078">
        <f>IF(DM160=0,0,(DN160-DM160)/DM160*100)</f>
        <v>0</v>
      </c>
      <c r="DP160" s="3409"/>
      <c r="DQ160" s="3409"/>
      <c r="DR160" s="1078">
        <f>IF(DP160=0,0,(DQ160-DP160)/DP160*100)</f>
        <v>0</v>
      </c>
      <c r="DS160" s="3409"/>
      <c r="DT160" s="3409"/>
      <c r="DU160" s="1078">
        <f>IF(DS160=0,0,(DT160-DS160)/DS160*100)</f>
        <v>0</v>
      </c>
      <c r="DV160" s="3409"/>
      <c r="DW160" s="3409"/>
      <c r="DX160" s="1078">
        <f>IF(DV160=0,0,(DW160-DV160)/DV160*100)</f>
        <v>0</v>
      </c>
      <c r="DY160" s="3409"/>
      <c r="DZ160" s="3409"/>
      <c r="EA160" s="1078">
        <f>IF(DY160=0,0,(DZ160-DY160)/DY160*100)</f>
        <v>0</v>
      </c>
      <c r="EB160" s="3409"/>
      <c r="EC160" s="3409"/>
      <c r="ED160" s="1078">
        <f>IF(EB160=0,0,(EC160-EB160)/EB160*100)</f>
        <v>0</v>
      </c>
      <c r="EE160" s="3409"/>
      <c r="EF160" s="3409"/>
      <c r="EG160" s="1078">
        <f>IF(EE160=0,0,(EF160-EE160)/EE160*100)</f>
        <v>0</v>
      </c>
      <c r="EH160" s="3409"/>
      <c r="EI160" s="3409"/>
      <c r="EJ160" s="1078">
        <f>IF(EH160=0,0,(EI160-EH160)/EH160*100)</f>
        <v>0</v>
      </c>
      <c r="EK160" s="3409"/>
      <c r="EL160" s="3409"/>
      <c r="EM160" s="1078">
        <f>IF(EK160=0,0,(EL160-EK160)/EK160*100)</f>
        <v>0</v>
      </c>
      <c r="EN160" s="3409"/>
      <c r="EO160" s="3409"/>
      <c r="EP160" s="1078">
        <f>IF(EN160=0,0,(EO160-EN160)/EN160*100)</f>
        <v>0</v>
      </c>
      <c r="EQ160" s="3409"/>
      <c r="ER160" s="3409"/>
      <c r="ES160" s="1078">
        <f>IF(EQ160=0,0,(ER160-EQ160)/EQ160*100)</f>
        <v>0</v>
      </c>
      <c r="ET160" s="3409"/>
      <c r="EU160" s="3409"/>
      <c r="EV160" s="1078">
        <f>IF(ET160=0,0,(EU160-ET160)/ET160*100)</f>
        <v>0</v>
      </c>
      <c r="EW160" s="3409"/>
      <c r="EX160" s="3409"/>
      <c r="EY160" s="1078">
        <f>IF(EW160=0,0,(EX160-EW160)/EW160*100)</f>
        <v>0</v>
      </c>
      <c r="EZ160" s="3409"/>
      <c r="FA160" s="3409"/>
      <c r="FB160" s="1078">
        <f>IF(EZ160=0,0,(FA160-EZ160)/EZ160*100)</f>
        <v>0</v>
      </c>
      <c r="FC160" s="3409"/>
      <c r="FD160" s="3409"/>
      <c r="FE160" s="1078">
        <f>IF(FC160=0,0,(FD160-FC160)/FC160*100)</f>
        <v>0</v>
      </c>
      <c r="FF160" s="3409"/>
      <c r="FG160" s="3409"/>
      <c r="FH160" s="1078">
        <f>IF(FF160=0,0,(FG160-FF160)/FF160*100)</f>
        <v>0</v>
      </c>
      <c r="FI160" s="3409"/>
      <c r="FJ160" s="3409"/>
      <c r="FK160" s="1078">
        <f>IF(FI160=0,0,(FJ160-FI160)/FI160*100)</f>
        <v>0</v>
      </c>
      <c r="FL160" s="3409"/>
      <c r="FM160" s="3409"/>
      <c r="FN160" s="1078">
        <f>IF(FL160=0,0,(FM160-FL160)/FL160*100)</f>
        <v>0</v>
      </c>
      <c r="FO160" s="3409"/>
      <c r="FP160" s="3409"/>
      <c r="FQ160" s="1078">
        <f>IF(FO160=0,0,(FP160-FO160)/FO160*100)</f>
        <v>0</v>
      </c>
      <c r="FR160" s="3409"/>
      <c r="FS160" s="3409"/>
      <c r="FT160" s="1078">
        <f>IF(FR160=0,0,(FS160-FR160)/FR160*100)</f>
        <v>0</v>
      </c>
      <c r="FU160" s="3409"/>
      <c r="FV160" s="3409"/>
      <c r="FW160" s="1078">
        <f>IF(FU160=0,0,(FV160-FU160)/FU160*100)</f>
        <v>0</v>
      </c>
      <c r="FX160" s="676"/>
      <c r="FY160" s="676"/>
      <c r="FZ160" s="1039" t="s">
        <v>1529</v>
      </c>
      <c r="GA160" s="1061"/>
      <c r="GB160" s="1061"/>
      <c r="GC160" s="697"/>
      <c r="GD160" s="697"/>
    </row>
    <row s="1621" customFormat="1" customHeight="1" ht="14.25" hidden="1">
      <c r="A161" s="467"/>
      <c r="B161" s="907" cm="1" t="str">
        <f t="array" ref="B161:B161">B160</f>
        <v>false</v>
      </c>
      <c r="C161" s="467"/>
      <c r="D161" s="467"/>
      <c r="E161" s="822">
        <v>15</v>
      </c>
      <c r="F161" s="50" cm="1" t="str">
        <f t="array" ref="F161:F161">OFFSET(E161,-1,1)</f>
        <v>2</v>
      </c>
      <c r="G161" s="73" t="s">
        <v>1530</v>
      </c>
      <c r="H161" s="467" t="s">
        <v>1531</v>
      </c>
      <c r="I161" s="467" t="s">
        <v>1492</v>
      </c>
      <c r="J161" s="467"/>
      <c r="K161" s="467"/>
      <c r="L161" s="467"/>
      <c r="M161" s="467"/>
      <c r="N161" s="467"/>
      <c r="O161" s="467"/>
      <c r="P161" s="467"/>
      <c r="Q161" s="467"/>
      <c r="R161" s="467"/>
      <c r="S161" s="467"/>
      <c r="T161" s="439" cm="1" t="str">
        <f t="array" ref="T161:T161">T160</f>
        <v>true</v>
      </c>
      <c r="U161" s="467"/>
      <c r="V161" s="467"/>
      <c r="W161" s="467"/>
      <c r="X161" s="1534"/>
      <c r="Y161" s="467"/>
      <c r="Z161" s="1464"/>
      <c r="AA161" s="467"/>
      <c r="AB161" s="886" t="str">
        <f>"объём "&amp;IF(Q141="Водоснабжение","потребления холодной воды","водоотведения")</f>
        <v>объём водоотведения</v>
      </c>
      <c r="AC161" s="846" t="s">
        <v>512</v>
      </c>
      <c r="AD161" s="3404">
        <f>IF(AND(method_reg="Метод индексации",god&lt;&gt;first_year),_xlfn.SUMIFS(INDEX('Калькуляция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(МИ)'!$AJ$25:$BC$459,,MATCH(AD$8,'Калькуляция (МИ)'!$AJ$8:$BC$8,0)),'Калькуляция (МИ)'!$F$25:$F$459,$F161,'Калькуляция (МИ)'!$G$25:$G$459,$G161))))</f>
        <v>68.24095</v>
      </c>
      <c r="AE161" s="3404">
        <f>IF(AND(method_reg="Метод индексации",god&lt;&gt;first_year),_xlfn.SUMIFS(INDEX('Калькуляция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(МИ)'!$AJ$25:$BC$459,,MATCH(AE$8,'Калькуляция (МИ)'!$AJ$8:$BC$8,0)),'Калькуляция (МИ)'!$F$25:$F$459,$F161,'Калькуляция (МИ)'!$G$25:$G$459,$G161))))</f>
        <v>102.361</v>
      </c>
      <c r="AF161" s="1080">
        <f>IF(AD161=0,0,(AE161-AD161)/AD161*100)</f>
        <v>49.9993772067945</v>
      </c>
      <c r="AG161" s="3404">
        <f>IF(AND(method_reg="Метод индексации",god&lt;&gt;first_year),_xlfn.SUMIFS(INDEX('Калькуляция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(МИ)'!$AJ$25:$BC$459,,MATCH(AG$8,'Калькуляция (МИ)'!$AJ$8:$BC$8,0)),'Калькуляция (МИ)'!$F$25:$F$459,$F161,'Калькуляция (МИ)'!$G$25:$G$459,$G161))))</f>
        <v>0</v>
      </c>
      <c r="AH161" s="3404">
        <f>IF(AND(method_reg="Метод индексации",god&lt;&gt;first_year),_xlfn.SUMIFS(INDEX('Калькуляция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(МИ)'!$AJ$25:$BC$459,,MATCH(AH$8,'Калькуляция (МИ)'!$AJ$8:$BC$8,0)),'Калькуляция (МИ)'!$F$25:$F$459,$F161,'Калькуляция (МИ)'!$G$25:$G$459,$G161))))</f>
        <v>0</v>
      </c>
      <c r="AI161" s="1080">
        <f>IF(AG161=0,0,(AH161-AG161)/AG161*100)</f>
        <v>0</v>
      </c>
      <c r="AJ161" s="3404">
        <f>IF(AND(method_reg="Метод индексации",god&lt;&gt;first_year),_xlfn.SUMIFS(INDEX('Калькуляция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(МИ)'!$AJ$25:$BC$459,,MATCH(AJ$8,'Калькуляция (МИ)'!$AJ$8:$BC$8,0)),'Калькуляция (МИ)'!$F$25:$F$459,$F161,'Калькуляция (МИ)'!$G$25:$G$459,$G161))))</f>
        <v>0</v>
      </c>
      <c r="AK161" s="3404">
        <f>IF(AND(method_reg="Метод индексации",god&lt;&gt;first_year),_xlfn.SUMIFS(INDEX('Калькуляция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(МИ)'!$AJ$25:$BC$459,,MATCH(AK$8,'Калькуляция (МИ)'!$AJ$8:$BC$8,0)),'Калькуляция (МИ)'!$F$25:$F$459,$F161,'Калькуляция (МИ)'!$G$25:$G$459,$G161))))</f>
        <v>0</v>
      </c>
      <c r="AL161" s="1080">
        <f>IF(AJ161=0,0,(AK161-AJ161)/AJ161*100)</f>
        <v>0</v>
      </c>
      <c r="AM161" s="3404">
        <f>IF(AND(method_reg="Метод индексации",god&lt;&gt;first_year),_xlfn.SUMIFS(INDEX('Калькуляция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(МИ)'!$AJ$25:$BC$459,,MATCH(AM$8,'Калькуляция (МИ)'!$AJ$8:$BC$8,0)),'Калькуляция (МИ)'!$F$25:$F$459,$F161,'Калькуляция (МИ)'!$G$25:$G$459,$G161))))</f>
        <v>0</v>
      </c>
      <c r="AN161" s="3404">
        <f>IF(AND(method_reg="Метод индексации",god&lt;&gt;first_year),_xlfn.SUMIFS(INDEX('Калькуляция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(МИ)'!$AJ$25:$BC$459,,MATCH(AN$8,'Калькуляция (МИ)'!$AJ$8:$BC$8,0)),'Калькуляция (МИ)'!$F$25:$F$459,$F161,'Калькуляция (МИ)'!$G$25:$G$459,$G161))))</f>
        <v>0</v>
      </c>
      <c r="AO161" s="1080">
        <f>IF(AM161=0,0,(AN161-AM161)/AM161*100)</f>
        <v>0</v>
      </c>
      <c r="AP161" s="3404">
        <f>IF(AND(method_reg="Метод индексации",god&lt;&gt;first_year),_xlfn.SUMIFS(INDEX('Калькуляция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(МИ)'!$AJ$25:$BC$459,,MATCH(AP$8,'Калькуляция (МИ)'!$AJ$8:$BC$8,0)),'Калькуляция (МИ)'!$F$25:$F$459,$F161,'Калькуляция (МИ)'!$G$25:$G$459,$G161))))</f>
        <v>0</v>
      </c>
      <c r="AQ161" s="3404">
        <f>IF(AND(method_reg="Метод индексации",god&lt;&gt;first_year),_xlfn.SUMIFS(INDEX('Калькуляция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(МИ)'!$AJ$25:$BC$459,,MATCH(AQ$8,'Калькуляция (МИ)'!$AJ$8:$BC$8,0)),'Калькуляция (МИ)'!$F$25:$F$459,$F161,'Калькуляция (МИ)'!$G$25:$G$459,$G161))))</f>
        <v>0</v>
      </c>
      <c r="AR161" s="1080">
        <f>IF(AP161=0,0,(AQ161-AP161)/AP161*100)</f>
        <v>0</v>
      </c>
      <c r="AS161" s="3404">
        <f>IF(AND(method_reg="Метод индексации",god&lt;&gt;first_year),_xlfn.SUMIFS(INDEX('Калькуляция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(МИ)'!$AJ$25:$BC$459,,MATCH(AS$8,'Калькуляция (МИ)'!$AJ$8:$BC$8,0)),'Калькуляция (МИ)'!$F$25:$F$459,$F161,'Калькуляция (МИ)'!$G$25:$G$459,$G161))))</f>
        <v>0</v>
      </c>
      <c r="AT161" s="3404">
        <f>IF(AND(method_reg="Метод индексации",god&lt;&gt;first_year),_xlfn.SUMIFS(INDEX('Калькуляция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(МИ)'!$AJ$25:$BC$459,,MATCH(AT$8,'Калькуляция (МИ)'!$AJ$8:$BC$8,0)),'Калькуляция (МИ)'!$F$25:$F$459,$F161,'Калькуляция (МИ)'!$G$25:$G$459,$G161))))</f>
        <v>0</v>
      </c>
      <c r="AU161" s="1080">
        <f>IF(AS161=0,0,(AT161-AS161)/AS161*100)</f>
        <v>0</v>
      </c>
      <c r="AV161" s="3404">
        <f>IF(AND(method_reg="Метод индексации",god&lt;&gt;first_year),_xlfn.SUMIFS(INDEX('Калькуляция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(МИ)'!$AJ$25:$BC$459,,MATCH(AV$8,'Калькуляция (МИ)'!$AJ$8:$BC$8,0)),'Калькуляция (МИ)'!$F$25:$F$459,$F161,'Калькуляция (МИ)'!$G$25:$G$459,$G161))))</f>
        <v>0</v>
      </c>
      <c r="AW161" s="3404">
        <f>IF(AND(method_reg="Метод индексации",god&lt;&gt;first_year),_xlfn.SUMIFS(INDEX('Калькуляция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(МИ)'!$AJ$25:$BC$459,,MATCH(AW$8,'Калькуляция (МИ)'!$AJ$8:$BC$8,0)),'Калькуляция (МИ)'!$F$25:$F$459,$F161,'Калькуляция (МИ)'!$G$25:$G$459,$G161))))</f>
        <v>0</v>
      </c>
      <c r="AX161" s="1080">
        <f>IF(AV161=0,0,(AW161-AV161)/AV161*100)</f>
        <v>0</v>
      </c>
      <c r="AY161" s="3404">
        <f>IF(AND(method_reg="Метод индексации",god&lt;&gt;first_year),_xlfn.SUMIFS(INDEX('Калькуляция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(МИ)'!$AJ$25:$BC$459,,MATCH(AY$8,'Калькуляция (МИ)'!$AJ$8:$BC$8,0)),'Калькуляция (МИ)'!$F$25:$F$459,$F161,'Калькуляция (МИ)'!$G$25:$G$459,$G161))))</f>
        <v>0</v>
      </c>
      <c r="AZ161" s="3404">
        <f>IF(AND(method_reg="Метод индексации",god&lt;&gt;first_year),_xlfn.SUMIFS(INDEX('Калькуляция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(МИ)'!$AJ$25:$BC$459,,MATCH(AZ$8,'Калькуляция (МИ)'!$AJ$8:$BC$8,0)),'Калькуляция (МИ)'!$F$25:$F$459,$F161,'Калькуляция (МИ)'!$G$25:$G$459,$G161))))</f>
        <v>0</v>
      </c>
      <c r="BA161" s="1080">
        <f>IF(AY161=0,0,(AZ161-AY161)/AY161*100)</f>
        <v>0</v>
      </c>
      <c r="BB161" s="3404">
        <f>IF(AND(method_reg="Метод индексации",god&lt;&gt;first_year),_xlfn.SUMIFS(INDEX('Калькуляция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(МИ)'!$AJ$25:$BC$459,,MATCH(BB$8,'Калькуляция (МИ)'!$AJ$8:$BC$8,0)),'Калькуляция (МИ)'!$F$25:$F$459,$F161,'Калькуляция (МИ)'!$G$25:$G$459,$G161))))</f>
        <v>0</v>
      </c>
      <c r="BC161" s="3404">
        <f>IF(AND(method_reg="Метод индексации",god&lt;&gt;first_year),_xlfn.SUMIFS(INDEX('Калькуляция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(МИ)'!$AJ$25:$BC$459,,MATCH(BC$8,'Калькуляция (МИ)'!$AJ$8:$BC$8,0)),'Калькуляция (МИ)'!$F$25:$F$459,$F161,'Калькуляция (МИ)'!$G$25:$G$459,$G161))))</f>
        <v>0</v>
      </c>
      <c r="BD161" s="1080">
        <f>IF(BB161=0,0,(BC161-BB161)/BB161*100)</f>
        <v>0</v>
      </c>
      <c r="BE161" s="3404">
        <f>IF(AND(method_reg="Метод индексации",god&lt;&gt;first_year),_xlfn.SUMIFS(INDEX('Калькуляция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расходов",_xlfn.SUMIFS('Калькуляция (МЭОР)'!$AJ$25:$AJ$282,'Калькуляция (МЭОР)'!$F$25:$F$282,$F161,'Калькуляция (МЭОР)'!$G$25:$G$282,$G161),IF(method_reg="Метод сравнения аналогов",_xlfn.SUMIFS('Калькуляция (МСА)'!$AE$25:$AE$84,'Калькуляция (МСА)'!$F$25:$F$84,$F161,'Калькуляция (МСА)'!$G$25:$G$84,$G161),_xlfn.SUMIFS(INDEX('Калькуляция (МИ)'!$AJ$25:$BC$459,,MATCH(BE$8,'Калькуляция (МИ)'!$AJ$8:$BC$8,0)),'Калькуляция (МИ)'!$F$25:$F$459,$F161,'Калькуляция (МИ)'!$G$25:$G$459,$G161))))</f>
        <v>0</v>
      </c>
      <c r="BF161" s="3404">
        <f>IF(AND(method_reg="Метод индексации",god&lt;&gt;first_year),_xlfn.SUMIFS(INDEX('Калькуляция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расходов",_xlfn.SUMIFS('Калькуляция (МЭОР)'!$AK$25:$AK$282,'Калькуляция (МЭОР)'!$F$25:$F$282,$F161,'Калькуляция (МЭОР)'!$G$25:$G$282,$G161),IF(method_reg="Метод сравнения аналогов",_xlfn.SUMIFS('Калькуляция (МСА)'!$AF$25:$AF$84,'Калькуляция (МСА)'!$F$25:$F$84,$F161,'Калькуляция (МСА)'!$G$25:$G$84,$G161),_xlfn.SUMIFS(INDEX('Калькуляция (МИ)'!$AJ$25:$BC$459,,MATCH(BF$8,'Калькуляция (МИ)'!$AJ$8:$BC$8,0)),'Калькуляция (МИ)'!$F$25:$F$459,$F161,'Калькуляция (МИ)'!$G$25:$G$459,$G161))))</f>
        <v>0</v>
      </c>
      <c r="BG161" s="1080">
        <f>IF(BE161=0,0,(BF161-BE161)/BE161*100)</f>
        <v>0</v>
      </c>
      <c r="BH161" s="3404"/>
      <c r="BI161" s="3404"/>
      <c r="BJ161" s="1080">
        <f>IF(BH161=0,0,(BI161-BH161)/BH161*100)</f>
        <v>0</v>
      </c>
      <c r="BK161" s="3404"/>
      <c r="BL161" s="3404"/>
      <c r="BM161" s="1080">
        <f>IF(BK161=0,0,(BL161-BK161)/BK161*100)</f>
        <v>0</v>
      </c>
      <c r="BN161" s="3404"/>
      <c r="BO161" s="3404"/>
      <c r="BP161" s="1080">
        <f>IF(BN161=0,0,(BO161-BN161)/BN161*100)</f>
        <v>0</v>
      </c>
      <c r="BQ161" s="3404"/>
      <c r="BR161" s="3404"/>
      <c r="BS161" s="1080">
        <f>IF(BQ161=0,0,(BR161-BQ161)/BQ161*100)</f>
        <v>0</v>
      </c>
      <c r="BT161" s="3404"/>
      <c r="BU161" s="3404"/>
      <c r="BV161" s="1080">
        <f>IF(BT161=0,0,(BU161-BT161)/BT161*100)</f>
        <v>0</v>
      </c>
      <c r="BW161" s="3404"/>
      <c r="BX161" s="3404"/>
      <c r="BY161" s="1080">
        <f>IF(BW161=0,0,(BX161-BW161)/BW161*100)</f>
        <v>0</v>
      </c>
      <c r="BZ161" s="3404"/>
      <c r="CA161" s="3404"/>
      <c r="CB161" s="1080">
        <f>IF(BZ161=0,0,(CA161-BZ161)/BZ161*100)</f>
        <v>0</v>
      </c>
      <c r="CC161" s="3404"/>
      <c r="CD161" s="3404"/>
      <c r="CE161" s="1080">
        <f>IF(CC161=0,0,(CD161-CC161)/CC161*100)</f>
        <v>0</v>
      </c>
      <c r="CF161" s="3404"/>
      <c r="CG161" s="3404"/>
      <c r="CH161" s="1080">
        <f>IF(CF161=0,0,(CG161-CF161)/CF161*100)</f>
        <v>0</v>
      </c>
      <c r="CI161" s="3404"/>
      <c r="CJ161" s="3404"/>
      <c r="CK161" s="1080">
        <f>IF(CI161=0,0,(CJ161-CI161)/CI161*100)</f>
        <v>0</v>
      </c>
      <c r="CL161" s="3404"/>
      <c r="CM161" s="3404"/>
      <c r="CN161" s="1080">
        <f>IF(CL161=0,0,(CM161-CL161)/CL161*100)</f>
        <v>0</v>
      </c>
      <c r="CO161" s="3404"/>
      <c r="CP161" s="3404"/>
      <c r="CQ161" s="1080">
        <f>IF(CO161=0,0,(CP161-CO161)/CO161*100)</f>
        <v>0</v>
      </c>
      <c r="CR161" s="3404"/>
      <c r="CS161" s="3404"/>
      <c r="CT161" s="1080">
        <f>IF(CR161=0,0,(CS161-CR161)/CR161*100)</f>
        <v>0</v>
      </c>
      <c r="CU161" s="3404"/>
      <c r="CV161" s="3404"/>
      <c r="CW161" s="1080">
        <f>IF(CU161=0,0,(CV161-CU161)/CU161*100)</f>
        <v>0</v>
      </c>
      <c r="CX161" s="3404"/>
      <c r="CY161" s="3404"/>
      <c r="CZ161" s="1080">
        <f>IF(CX161=0,0,(CY161-CX161)/CX161*100)</f>
        <v>0</v>
      </c>
      <c r="DA161" s="3404"/>
      <c r="DB161" s="3404"/>
      <c r="DC161" s="1080">
        <f>IF(DA161=0,0,(DB161-DA161)/DA161*100)</f>
        <v>0</v>
      </c>
      <c r="DD161" s="3404"/>
      <c r="DE161" s="3404"/>
      <c r="DF161" s="1080">
        <f>IF(DD161=0,0,(DE161-DD161)/DD161*100)</f>
        <v>0</v>
      </c>
      <c r="DG161" s="3404"/>
      <c r="DH161" s="3404"/>
      <c r="DI161" s="1080">
        <f>IF(DG161=0,0,(DH161-DG161)/DG161*100)</f>
        <v>0</v>
      </c>
      <c r="DJ161" s="3404"/>
      <c r="DK161" s="3404"/>
      <c r="DL161" s="1080">
        <f>IF(DJ161=0,0,(DK161-DJ161)/DJ161*100)</f>
        <v>0</v>
      </c>
      <c r="DM161" s="3404"/>
      <c r="DN161" s="3404"/>
      <c r="DO161" s="1080">
        <f>IF(DM161=0,0,(DN161-DM161)/DM161*100)</f>
        <v>0</v>
      </c>
      <c r="DP161" s="3404"/>
      <c r="DQ161" s="3404"/>
      <c r="DR161" s="1080">
        <f>IF(DP161=0,0,(DQ161-DP161)/DP161*100)</f>
        <v>0</v>
      </c>
      <c r="DS161" s="3404"/>
      <c r="DT161" s="3404"/>
      <c r="DU161" s="1080">
        <f>IF(DS161=0,0,(DT161-DS161)/DS161*100)</f>
        <v>0</v>
      </c>
      <c r="DV161" s="3404"/>
      <c r="DW161" s="3404"/>
      <c r="DX161" s="1080">
        <f>IF(DV161=0,0,(DW161-DV161)/DV161*100)</f>
        <v>0</v>
      </c>
      <c r="DY161" s="3404"/>
      <c r="DZ161" s="3404"/>
      <c r="EA161" s="1080">
        <f>IF(DY161=0,0,(DZ161-DY161)/DY161*100)</f>
        <v>0</v>
      </c>
      <c r="EB161" s="3404"/>
      <c r="EC161" s="3404"/>
      <c r="ED161" s="1080">
        <f>IF(EB161=0,0,(EC161-EB161)/EB161*100)</f>
        <v>0</v>
      </c>
      <c r="EE161" s="3404"/>
      <c r="EF161" s="3404"/>
      <c r="EG161" s="1080">
        <f>IF(EE161=0,0,(EF161-EE161)/EE161*100)</f>
        <v>0</v>
      </c>
      <c r="EH161" s="3404"/>
      <c r="EI161" s="3404"/>
      <c r="EJ161" s="1080">
        <f>IF(EH161=0,0,(EI161-EH161)/EH161*100)</f>
        <v>0</v>
      </c>
      <c r="EK161" s="3404"/>
      <c r="EL161" s="3404"/>
      <c r="EM161" s="1080">
        <f>IF(EK161=0,0,(EL161-EK161)/EK161*100)</f>
        <v>0</v>
      </c>
      <c r="EN161" s="3404"/>
      <c r="EO161" s="3404"/>
      <c r="EP161" s="1080">
        <f>IF(EN161=0,0,(EO161-EN161)/EN161*100)</f>
        <v>0</v>
      </c>
      <c r="EQ161" s="3404"/>
      <c r="ER161" s="3404"/>
      <c r="ES161" s="1080">
        <f>IF(EQ161=0,0,(ER161-EQ161)/EQ161*100)</f>
        <v>0</v>
      </c>
      <c r="ET161" s="3404"/>
      <c r="EU161" s="3404"/>
      <c r="EV161" s="1080">
        <f>IF(ET161=0,0,(EU161-ET161)/ET161*100)</f>
        <v>0</v>
      </c>
      <c r="EW161" s="3404"/>
      <c r="EX161" s="3404"/>
      <c r="EY161" s="1080">
        <f>IF(EW161=0,0,(EX161-EW161)/EW161*100)</f>
        <v>0</v>
      </c>
      <c r="EZ161" s="3404"/>
      <c r="FA161" s="3404"/>
      <c r="FB161" s="1080">
        <f>IF(EZ161=0,0,(FA161-EZ161)/EZ161*100)</f>
        <v>0</v>
      </c>
      <c r="FC161" s="3404"/>
      <c r="FD161" s="3404"/>
      <c r="FE161" s="1080">
        <f>IF(FC161=0,0,(FD161-FC161)/FC161*100)</f>
        <v>0</v>
      </c>
      <c r="FF161" s="3404"/>
      <c r="FG161" s="3404"/>
      <c r="FH161" s="1080">
        <f>IF(FF161=0,0,(FG161-FF161)/FF161*100)</f>
        <v>0</v>
      </c>
      <c r="FI161" s="3404"/>
      <c r="FJ161" s="3404"/>
      <c r="FK161" s="1080">
        <f>IF(FI161=0,0,(FJ161-FI161)/FI161*100)</f>
        <v>0</v>
      </c>
      <c r="FL161" s="3404"/>
      <c r="FM161" s="3404"/>
      <c r="FN161" s="1080">
        <f>IF(FL161=0,0,(FM161-FL161)/FL161*100)</f>
        <v>0</v>
      </c>
      <c r="FO161" s="3404"/>
      <c r="FP161" s="3404"/>
      <c r="FQ161" s="1080">
        <f>IF(FO161=0,0,(FP161-FO161)/FO161*100)</f>
        <v>0</v>
      </c>
      <c r="FR161" s="3404"/>
      <c r="FS161" s="3404"/>
      <c r="FT161" s="1080">
        <f>IF(FR161=0,0,(FS161-FR161)/FR161*100)</f>
        <v>0</v>
      </c>
      <c r="FU161" s="3404"/>
      <c r="FV161" s="3404"/>
      <c r="FW161" s="1080">
        <f>IF(FU161=0,0,(FV161-FU161)/FU161*100)</f>
        <v>0</v>
      </c>
      <c r="FX161" s="676"/>
      <c r="FY161" s="676"/>
      <c r="FZ161" s="1039" t="s">
        <v>1532</v>
      </c>
      <c r="GA161" s="1061"/>
      <c r="GB161" s="1061"/>
      <c r="GC161" s="697"/>
      <c r="GD161" s="697"/>
    </row>
    <row s="1621" customFormat="1" customHeight="1" ht="24" hidden="1">
      <c r="A162" s="467"/>
      <c r="B162" s="907" cm="1" t="str">
        <f t="array" ref="B162:B162">B161</f>
        <v>false</v>
      </c>
      <c r="C162" s="467"/>
      <c r="D162" s="467"/>
      <c r="E162" s="822">
        <v>24.75</v>
      </c>
      <c r="F162" s="50" cm="1" t="str">
        <f t="array" ref="F162:F162">OFFSET(E162,-1,1)</f>
        <v>2</v>
      </c>
      <c r="G162" s="467"/>
      <c r="H162" s="467" t="s">
        <v>1533</v>
      </c>
      <c r="I162" s="467" t="s">
        <v>1492</v>
      </c>
      <c r="J162" s="467"/>
      <c r="K162" s="467"/>
      <c r="L162" s="467"/>
      <c r="M162" s="467"/>
      <c r="N162" s="467"/>
      <c r="O162" s="467"/>
      <c r="P162" s="467"/>
      <c r="Q162" s="467"/>
      <c r="R162" s="467"/>
      <c r="S162" s="467"/>
      <c r="T162" s="439" cm="1" t="str">
        <f t="array" ref="T162:T162">T161</f>
        <v>true</v>
      </c>
      <c r="U162" s="467"/>
      <c r="V162" s="467"/>
      <c r="W162" s="467"/>
      <c r="X162" s="1534"/>
      <c r="Y162" s="467"/>
      <c r="Z162" s="1464"/>
      <c r="AA162" s="467"/>
      <c r="AB162" s="88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846" t="s">
        <v>1534</v>
      </c>
      <c r="AD162" s="3409"/>
      <c r="AE162" s="3409"/>
      <c r="AF162" s="1078">
        <f>IF(AD162=0,0,(AE162-AD162)/AD162*100)</f>
        <v>0</v>
      </c>
      <c r="AG162" s="3409"/>
      <c r="AH162" s="3409"/>
      <c r="AI162" s="1078">
        <f>IF(AG162=0,0,(AH162-AG162)/AG162*100)</f>
        <v>0</v>
      </c>
      <c r="AJ162" s="3409"/>
      <c r="AK162" s="3409"/>
      <c r="AL162" s="1078">
        <f>IF(AJ162=0,0,(AK162-AJ162)/AJ162*100)</f>
        <v>0</v>
      </c>
      <c r="AM162" s="3409"/>
      <c r="AN162" s="3409"/>
      <c r="AO162" s="1078">
        <f>IF(AM162=0,0,(AN162-AM162)/AM162*100)</f>
        <v>0</v>
      </c>
      <c r="AP162" s="3409"/>
      <c r="AQ162" s="3409"/>
      <c r="AR162" s="1078">
        <f>IF(AP162=0,0,(AQ162-AP162)/AP162*100)</f>
        <v>0</v>
      </c>
      <c r="AS162" s="3409"/>
      <c r="AT162" s="3409"/>
      <c r="AU162" s="1078">
        <f>IF(AS162=0,0,(AT162-AS162)/AS162*100)</f>
        <v>0</v>
      </c>
      <c r="AV162" s="3409"/>
      <c r="AW162" s="3409"/>
      <c r="AX162" s="1078">
        <f>IF(AV162=0,0,(AW162-AV162)/AV162*100)</f>
        <v>0</v>
      </c>
      <c r="AY162" s="3409"/>
      <c r="AZ162" s="3409"/>
      <c r="BA162" s="1078">
        <f>IF(AY162=0,0,(AZ162-AY162)/AY162*100)</f>
        <v>0</v>
      </c>
      <c r="BB162" s="3409"/>
      <c r="BC162" s="3409"/>
      <c r="BD162" s="1078">
        <f>IF(BB162=0,0,(BC162-BB162)/BB162*100)</f>
        <v>0</v>
      </c>
      <c r="BE162" s="3409"/>
      <c r="BF162" s="3409"/>
      <c r="BG162" s="1078">
        <f>IF(BE162=0,0,(BF162-BE162)/BE162*100)</f>
        <v>0</v>
      </c>
      <c r="BH162" s="3409"/>
      <c r="BI162" s="3409"/>
      <c r="BJ162" s="1078">
        <f>IF(BH162=0,0,(BI162-BH162)/BH162*100)</f>
        <v>0</v>
      </c>
      <c r="BK162" s="3409"/>
      <c r="BL162" s="3409"/>
      <c r="BM162" s="1078">
        <f>IF(BK162=0,0,(BL162-BK162)/BK162*100)</f>
        <v>0</v>
      </c>
      <c r="BN162" s="3409"/>
      <c r="BO162" s="3409"/>
      <c r="BP162" s="1078">
        <f>IF(BN162=0,0,(BO162-BN162)/BN162*100)</f>
        <v>0</v>
      </c>
      <c r="BQ162" s="3409"/>
      <c r="BR162" s="3409"/>
      <c r="BS162" s="1078">
        <f>IF(BQ162=0,0,(BR162-BQ162)/BQ162*100)</f>
        <v>0</v>
      </c>
      <c r="BT162" s="3409"/>
      <c r="BU162" s="3409"/>
      <c r="BV162" s="1078">
        <f>IF(BT162=0,0,(BU162-BT162)/BT162*100)</f>
        <v>0</v>
      </c>
      <c r="BW162" s="3409"/>
      <c r="BX162" s="3409"/>
      <c r="BY162" s="1078">
        <f>IF(BW162=0,0,(BX162-BW162)/BW162*100)</f>
        <v>0</v>
      </c>
      <c r="BZ162" s="3409"/>
      <c r="CA162" s="3409"/>
      <c r="CB162" s="1078">
        <f>IF(BZ162=0,0,(CA162-BZ162)/BZ162*100)</f>
        <v>0</v>
      </c>
      <c r="CC162" s="3409"/>
      <c r="CD162" s="3409"/>
      <c r="CE162" s="1078">
        <f>IF(CC162=0,0,(CD162-CC162)/CC162*100)</f>
        <v>0</v>
      </c>
      <c r="CF162" s="3409"/>
      <c r="CG162" s="3409"/>
      <c r="CH162" s="1078">
        <f>IF(CF162=0,0,(CG162-CF162)/CF162*100)</f>
        <v>0</v>
      </c>
      <c r="CI162" s="3409"/>
      <c r="CJ162" s="3409"/>
      <c r="CK162" s="1078">
        <f>IF(CI162=0,0,(CJ162-CI162)/CI162*100)</f>
        <v>0</v>
      </c>
      <c r="CL162" s="3409"/>
      <c r="CM162" s="3409"/>
      <c r="CN162" s="1078">
        <f>IF(CL162=0,0,(CM162-CL162)/CL162*100)</f>
        <v>0</v>
      </c>
      <c r="CO162" s="3409"/>
      <c r="CP162" s="3409"/>
      <c r="CQ162" s="1078">
        <f>IF(CO162=0,0,(CP162-CO162)/CO162*100)</f>
        <v>0</v>
      </c>
      <c r="CR162" s="3409"/>
      <c r="CS162" s="3409"/>
      <c r="CT162" s="1078">
        <f>IF(CR162=0,0,(CS162-CR162)/CR162*100)</f>
        <v>0</v>
      </c>
      <c r="CU162" s="3409"/>
      <c r="CV162" s="3409"/>
      <c r="CW162" s="1078">
        <f>IF(CU162=0,0,(CV162-CU162)/CU162*100)</f>
        <v>0</v>
      </c>
      <c r="CX162" s="3409"/>
      <c r="CY162" s="3409"/>
      <c r="CZ162" s="1078">
        <f>IF(CX162=0,0,(CY162-CX162)/CX162*100)</f>
        <v>0</v>
      </c>
      <c r="DA162" s="3409"/>
      <c r="DB162" s="3409"/>
      <c r="DC162" s="1078">
        <f>IF(DA162=0,0,(DB162-DA162)/DA162*100)</f>
        <v>0</v>
      </c>
      <c r="DD162" s="3409"/>
      <c r="DE162" s="3409"/>
      <c r="DF162" s="1078">
        <f>IF(DD162=0,0,(DE162-DD162)/DD162*100)</f>
        <v>0</v>
      </c>
      <c r="DG162" s="3409"/>
      <c r="DH162" s="3409"/>
      <c r="DI162" s="1078">
        <f>IF(DG162=0,0,(DH162-DG162)/DG162*100)</f>
        <v>0</v>
      </c>
      <c r="DJ162" s="3409"/>
      <c r="DK162" s="3409"/>
      <c r="DL162" s="1078">
        <f>IF(DJ162=0,0,(DK162-DJ162)/DJ162*100)</f>
        <v>0</v>
      </c>
      <c r="DM162" s="3409"/>
      <c r="DN162" s="3409"/>
      <c r="DO162" s="1078">
        <f>IF(DM162=0,0,(DN162-DM162)/DM162*100)</f>
        <v>0</v>
      </c>
      <c r="DP162" s="3409"/>
      <c r="DQ162" s="3409"/>
      <c r="DR162" s="1078">
        <f>IF(DP162=0,0,(DQ162-DP162)/DP162*100)</f>
        <v>0</v>
      </c>
      <c r="DS162" s="3409"/>
      <c r="DT162" s="3409"/>
      <c r="DU162" s="1078">
        <f>IF(DS162=0,0,(DT162-DS162)/DS162*100)</f>
        <v>0</v>
      </c>
      <c r="DV162" s="3409"/>
      <c r="DW162" s="3409"/>
      <c r="DX162" s="1078">
        <f>IF(DV162=0,0,(DW162-DV162)/DV162*100)</f>
        <v>0</v>
      </c>
      <c r="DY162" s="3409"/>
      <c r="DZ162" s="3409"/>
      <c r="EA162" s="1078">
        <f>IF(DY162=0,0,(DZ162-DY162)/DY162*100)</f>
        <v>0</v>
      </c>
      <c r="EB162" s="3409"/>
      <c r="EC162" s="3409"/>
      <c r="ED162" s="1078">
        <f>IF(EB162=0,0,(EC162-EB162)/EB162*100)</f>
        <v>0</v>
      </c>
      <c r="EE162" s="3409"/>
      <c r="EF162" s="3409"/>
      <c r="EG162" s="1078">
        <f>IF(EE162=0,0,(EF162-EE162)/EE162*100)</f>
        <v>0</v>
      </c>
      <c r="EH162" s="3409"/>
      <c r="EI162" s="3409"/>
      <c r="EJ162" s="1078">
        <f>IF(EH162=0,0,(EI162-EH162)/EH162*100)</f>
        <v>0</v>
      </c>
      <c r="EK162" s="3409"/>
      <c r="EL162" s="3409"/>
      <c r="EM162" s="1078">
        <f>IF(EK162=0,0,(EL162-EK162)/EK162*100)</f>
        <v>0</v>
      </c>
      <c r="EN162" s="3409"/>
      <c r="EO162" s="3409"/>
      <c r="EP162" s="1078">
        <f>IF(EN162=0,0,(EO162-EN162)/EN162*100)</f>
        <v>0</v>
      </c>
      <c r="EQ162" s="3409"/>
      <c r="ER162" s="3409"/>
      <c r="ES162" s="1078">
        <f>IF(EQ162=0,0,(ER162-EQ162)/EQ162*100)</f>
        <v>0</v>
      </c>
      <c r="ET162" s="3409"/>
      <c r="EU162" s="3409"/>
      <c r="EV162" s="1078">
        <f>IF(ET162=0,0,(EU162-ET162)/ET162*100)</f>
        <v>0</v>
      </c>
      <c r="EW162" s="3409"/>
      <c r="EX162" s="3409"/>
      <c r="EY162" s="1078">
        <f>IF(EW162=0,0,(EX162-EW162)/EW162*100)</f>
        <v>0</v>
      </c>
      <c r="EZ162" s="3409"/>
      <c r="FA162" s="3409"/>
      <c r="FB162" s="1078">
        <f>IF(EZ162=0,0,(FA162-EZ162)/EZ162*100)</f>
        <v>0</v>
      </c>
      <c r="FC162" s="3409"/>
      <c r="FD162" s="3409"/>
      <c r="FE162" s="1078">
        <f>IF(FC162=0,0,(FD162-FC162)/FC162*100)</f>
        <v>0</v>
      </c>
      <c r="FF162" s="3409"/>
      <c r="FG162" s="3409"/>
      <c r="FH162" s="1078">
        <f>IF(FF162=0,0,(FG162-FF162)/FF162*100)</f>
        <v>0</v>
      </c>
      <c r="FI162" s="3409"/>
      <c r="FJ162" s="3409"/>
      <c r="FK162" s="1078">
        <f>IF(FI162=0,0,(FJ162-FI162)/FI162*100)</f>
        <v>0</v>
      </c>
      <c r="FL162" s="3409"/>
      <c r="FM162" s="3409"/>
      <c r="FN162" s="1078">
        <f>IF(FL162=0,0,(FM162-FL162)/FL162*100)</f>
        <v>0</v>
      </c>
      <c r="FO162" s="3409"/>
      <c r="FP162" s="3409"/>
      <c r="FQ162" s="1078">
        <f>IF(FO162=0,0,(FP162-FO162)/FO162*100)</f>
        <v>0</v>
      </c>
      <c r="FR162" s="3409"/>
      <c r="FS162" s="3409"/>
      <c r="FT162" s="1078">
        <f>IF(FR162=0,0,(FS162-FR162)/FR162*100)</f>
        <v>0</v>
      </c>
      <c r="FU162" s="3409"/>
      <c r="FV162" s="3409"/>
      <c r="FW162" s="1078">
        <f>IF(FU162=0,0,(FV162-FU162)/FU162*100)</f>
        <v>0</v>
      </c>
      <c r="FX162" s="676"/>
      <c r="FY162" s="676"/>
      <c r="FZ162" s="1039" t="s">
        <v>1535</v>
      </c>
      <c r="GA162" s="1061"/>
      <c r="GB162" s="1061"/>
      <c r="GC162" s="697"/>
      <c r="GD162" s="697"/>
    </row>
    <row s="1621" customFormat="1" customHeight="1" ht="14.25" hidden="1">
      <c r="A163" s="467"/>
      <c r="B163" s="907" cm="1" t="str">
        <f t="array" ref="B163:B163">B162</f>
        <v>false</v>
      </c>
      <c r="C163" s="467"/>
      <c r="D163" s="467"/>
      <c r="E163" s="822">
        <v>15</v>
      </c>
      <c r="F163" s="50" cm="1" t="str">
        <f t="array" ref="F163:F163">OFFSET(E163,-1,1)</f>
        <v>2</v>
      </c>
      <c r="G163" s="467"/>
      <c r="H163" s="467" t="s">
        <v>1536</v>
      </c>
      <c r="I163" s="467" t="s">
        <v>1492</v>
      </c>
      <c r="J163" s="467"/>
      <c r="K163" s="467"/>
      <c r="L163" s="467"/>
      <c r="M163" s="467"/>
      <c r="N163" s="467"/>
      <c r="O163" s="467"/>
      <c r="P163" s="467"/>
      <c r="Q163" s="467"/>
      <c r="R163" s="467"/>
      <c r="S163" s="467"/>
      <c r="T163" s="439" cm="1" t="str">
        <f t="array" ref="T163:T163">T162</f>
        <v>true</v>
      </c>
      <c r="U163" s="467"/>
      <c r="V163" s="467"/>
      <c r="W163" s="467"/>
      <c r="X163" s="1534"/>
      <c r="Y163" s="467"/>
      <c r="Z163" s="1464"/>
      <c r="AA163" s="467"/>
      <c r="AB163" s="886" t="s">
        <v>1537</v>
      </c>
      <c r="AC163" s="846" t="s">
        <v>1538</v>
      </c>
      <c r="AD163" s="3409"/>
      <c r="AE163" s="3409"/>
      <c r="AF163" s="1078">
        <f>IF(AD163=0,0,(AE163-AD163)/AD163*100)</f>
        <v>0</v>
      </c>
      <c r="AG163" s="3409"/>
      <c r="AH163" s="3409"/>
      <c r="AI163" s="1078">
        <f>IF(AG163=0,0,(AH163-AG163)/AG163*100)</f>
        <v>0</v>
      </c>
      <c r="AJ163" s="3409"/>
      <c r="AK163" s="3409"/>
      <c r="AL163" s="1078">
        <f>IF(AJ163=0,0,(AK163-AJ163)/AJ163*100)</f>
        <v>0</v>
      </c>
      <c r="AM163" s="3409"/>
      <c r="AN163" s="3409"/>
      <c r="AO163" s="1078">
        <f>IF(AM163=0,0,(AN163-AM163)/AM163*100)</f>
        <v>0</v>
      </c>
      <c r="AP163" s="3409"/>
      <c r="AQ163" s="3409"/>
      <c r="AR163" s="1078">
        <f>IF(AP163=0,0,(AQ163-AP163)/AP163*100)</f>
        <v>0</v>
      </c>
      <c r="AS163" s="3409"/>
      <c r="AT163" s="3409"/>
      <c r="AU163" s="1078">
        <f>IF(AS163=0,0,(AT163-AS163)/AS163*100)</f>
        <v>0</v>
      </c>
      <c r="AV163" s="3409"/>
      <c r="AW163" s="3409"/>
      <c r="AX163" s="1078">
        <f>IF(AV163=0,0,(AW163-AV163)/AV163*100)</f>
        <v>0</v>
      </c>
      <c r="AY163" s="3409"/>
      <c r="AZ163" s="3409"/>
      <c r="BA163" s="1078">
        <f>IF(AY163=0,0,(AZ163-AY163)/AY163*100)</f>
        <v>0</v>
      </c>
      <c r="BB163" s="3409"/>
      <c r="BC163" s="3409"/>
      <c r="BD163" s="1078">
        <f>IF(BB163=0,0,(BC163-BB163)/BB163*100)</f>
        <v>0</v>
      </c>
      <c r="BE163" s="3409"/>
      <c r="BF163" s="3409"/>
      <c r="BG163" s="1078">
        <f>IF(BE163=0,0,(BF163-BE163)/BE163*100)</f>
        <v>0</v>
      </c>
      <c r="BH163" s="3409"/>
      <c r="BI163" s="3409"/>
      <c r="BJ163" s="1078">
        <f>IF(BH163=0,0,(BI163-BH163)/BH163*100)</f>
        <v>0</v>
      </c>
      <c r="BK163" s="3409"/>
      <c r="BL163" s="3409"/>
      <c r="BM163" s="1078">
        <f>IF(BK163=0,0,(BL163-BK163)/BK163*100)</f>
        <v>0</v>
      </c>
      <c r="BN163" s="3409"/>
      <c r="BO163" s="3409"/>
      <c r="BP163" s="1078">
        <f>IF(BN163=0,0,(BO163-BN163)/BN163*100)</f>
        <v>0</v>
      </c>
      <c r="BQ163" s="3409"/>
      <c r="BR163" s="3409"/>
      <c r="BS163" s="1078">
        <f>IF(BQ163=0,0,(BR163-BQ163)/BQ163*100)</f>
        <v>0</v>
      </c>
      <c r="BT163" s="3409"/>
      <c r="BU163" s="3409"/>
      <c r="BV163" s="1078">
        <f>IF(BT163=0,0,(BU163-BT163)/BT163*100)</f>
        <v>0</v>
      </c>
      <c r="BW163" s="3409"/>
      <c r="BX163" s="3409"/>
      <c r="BY163" s="1078">
        <f>IF(BW163=0,0,(BX163-BW163)/BW163*100)</f>
        <v>0</v>
      </c>
      <c r="BZ163" s="3409"/>
      <c r="CA163" s="3409"/>
      <c r="CB163" s="1078">
        <f>IF(BZ163=0,0,(CA163-BZ163)/BZ163*100)</f>
        <v>0</v>
      </c>
      <c r="CC163" s="3409"/>
      <c r="CD163" s="3409"/>
      <c r="CE163" s="1078">
        <f>IF(CC163=0,0,(CD163-CC163)/CC163*100)</f>
        <v>0</v>
      </c>
      <c r="CF163" s="3409"/>
      <c r="CG163" s="3409"/>
      <c r="CH163" s="1078">
        <f>IF(CF163=0,0,(CG163-CF163)/CF163*100)</f>
        <v>0</v>
      </c>
      <c r="CI163" s="3409"/>
      <c r="CJ163" s="3409"/>
      <c r="CK163" s="1078">
        <f>IF(CI163=0,0,(CJ163-CI163)/CI163*100)</f>
        <v>0</v>
      </c>
      <c r="CL163" s="3409"/>
      <c r="CM163" s="3409"/>
      <c r="CN163" s="1078">
        <f>IF(CL163=0,0,(CM163-CL163)/CL163*100)</f>
        <v>0</v>
      </c>
      <c r="CO163" s="3409"/>
      <c r="CP163" s="3409"/>
      <c r="CQ163" s="1078">
        <f>IF(CO163=0,0,(CP163-CO163)/CO163*100)</f>
        <v>0</v>
      </c>
      <c r="CR163" s="3409"/>
      <c r="CS163" s="3409"/>
      <c r="CT163" s="1078">
        <f>IF(CR163=0,0,(CS163-CR163)/CR163*100)</f>
        <v>0</v>
      </c>
      <c r="CU163" s="3409"/>
      <c r="CV163" s="3409"/>
      <c r="CW163" s="1078">
        <f>IF(CU163=0,0,(CV163-CU163)/CU163*100)</f>
        <v>0</v>
      </c>
      <c r="CX163" s="3409"/>
      <c r="CY163" s="3409"/>
      <c r="CZ163" s="1078">
        <f>IF(CX163=0,0,(CY163-CX163)/CX163*100)</f>
        <v>0</v>
      </c>
      <c r="DA163" s="3409"/>
      <c r="DB163" s="3409"/>
      <c r="DC163" s="1078">
        <f>IF(DA163=0,0,(DB163-DA163)/DA163*100)</f>
        <v>0</v>
      </c>
      <c r="DD163" s="3409"/>
      <c r="DE163" s="3409"/>
      <c r="DF163" s="1078">
        <f>IF(DD163=0,0,(DE163-DD163)/DD163*100)</f>
        <v>0</v>
      </c>
      <c r="DG163" s="3409"/>
      <c r="DH163" s="3409"/>
      <c r="DI163" s="1078">
        <f>IF(DG163=0,0,(DH163-DG163)/DG163*100)</f>
        <v>0</v>
      </c>
      <c r="DJ163" s="3409"/>
      <c r="DK163" s="3409"/>
      <c r="DL163" s="1078">
        <f>IF(DJ163=0,0,(DK163-DJ163)/DJ163*100)</f>
        <v>0</v>
      </c>
      <c r="DM163" s="3409"/>
      <c r="DN163" s="3409"/>
      <c r="DO163" s="1078">
        <f>IF(DM163=0,0,(DN163-DM163)/DM163*100)</f>
        <v>0</v>
      </c>
      <c r="DP163" s="3409"/>
      <c r="DQ163" s="3409"/>
      <c r="DR163" s="1078">
        <f>IF(DP163=0,0,(DQ163-DP163)/DP163*100)</f>
        <v>0</v>
      </c>
      <c r="DS163" s="3409"/>
      <c r="DT163" s="3409"/>
      <c r="DU163" s="1078">
        <f>IF(DS163=0,0,(DT163-DS163)/DS163*100)</f>
        <v>0</v>
      </c>
      <c r="DV163" s="3409"/>
      <c r="DW163" s="3409"/>
      <c r="DX163" s="1078">
        <f>IF(DV163=0,0,(DW163-DV163)/DV163*100)</f>
        <v>0</v>
      </c>
      <c r="DY163" s="3409"/>
      <c r="DZ163" s="3409"/>
      <c r="EA163" s="1078">
        <f>IF(DY163=0,0,(DZ163-DY163)/DY163*100)</f>
        <v>0</v>
      </c>
      <c r="EB163" s="3409"/>
      <c r="EC163" s="3409"/>
      <c r="ED163" s="1078">
        <f>IF(EB163=0,0,(EC163-EB163)/EB163*100)</f>
        <v>0</v>
      </c>
      <c r="EE163" s="3409"/>
      <c r="EF163" s="3409"/>
      <c r="EG163" s="1078">
        <f>IF(EE163=0,0,(EF163-EE163)/EE163*100)</f>
        <v>0</v>
      </c>
      <c r="EH163" s="3409"/>
      <c r="EI163" s="3409"/>
      <c r="EJ163" s="1078">
        <f>IF(EH163=0,0,(EI163-EH163)/EH163*100)</f>
        <v>0</v>
      </c>
      <c r="EK163" s="3409"/>
      <c r="EL163" s="3409"/>
      <c r="EM163" s="1078">
        <f>IF(EK163=0,0,(EL163-EK163)/EK163*100)</f>
        <v>0</v>
      </c>
      <c r="EN163" s="3409"/>
      <c r="EO163" s="3409"/>
      <c r="EP163" s="1078">
        <f>IF(EN163=0,0,(EO163-EN163)/EN163*100)</f>
        <v>0</v>
      </c>
      <c r="EQ163" s="3409"/>
      <c r="ER163" s="3409"/>
      <c r="ES163" s="1078">
        <f>IF(EQ163=0,0,(ER163-EQ163)/EQ163*100)</f>
        <v>0</v>
      </c>
      <c r="ET163" s="3409"/>
      <c r="EU163" s="3409"/>
      <c r="EV163" s="1078">
        <f>IF(ET163=0,0,(EU163-ET163)/ET163*100)</f>
        <v>0</v>
      </c>
      <c r="EW163" s="3409"/>
      <c r="EX163" s="3409"/>
      <c r="EY163" s="1078">
        <f>IF(EW163=0,0,(EX163-EW163)/EW163*100)</f>
        <v>0</v>
      </c>
      <c r="EZ163" s="3409"/>
      <c r="FA163" s="3409"/>
      <c r="FB163" s="1078">
        <f>IF(EZ163=0,0,(FA163-EZ163)/EZ163*100)</f>
        <v>0</v>
      </c>
      <c r="FC163" s="3409"/>
      <c r="FD163" s="3409"/>
      <c r="FE163" s="1078">
        <f>IF(FC163=0,0,(FD163-FC163)/FC163*100)</f>
        <v>0</v>
      </c>
      <c r="FF163" s="3409"/>
      <c r="FG163" s="3409"/>
      <c r="FH163" s="1078">
        <f>IF(FF163=0,0,(FG163-FF163)/FF163*100)</f>
        <v>0</v>
      </c>
      <c r="FI163" s="3409"/>
      <c r="FJ163" s="3409"/>
      <c r="FK163" s="1078">
        <f>IF(FI163=0,0,(FJ163-FI163)/FI163*100)</f>
        <v>0</v>
      </c>
      <c r="FL163" s="3409"/>
      <c r="FM163" s="3409"/>
      <c r="FN163" s="1078">
        <f>IF(FL163=0,0,(FM163-FL163)/FL163*100)</f>
        <v>0</v>
      </c>
      <c r="FO163" s="3409"/>
      <c r="FP163" s="3409"/>
      <c r="FQ163" s="1078">
        <f>IF(FO163=0,0,(FP163-FO163)/FO163*100)</f>
        <v>0</v>
      </c>
      <c r="FR163" s="3409"/>
      <c r="FS163" s="3409"/>
      <c r="FT163" s="1078">
        <f>IF(FR163=0,0,(FS163-FR163)/FR163*100)</f>
        <v>0</v>
      </c>
      <c r="FU163" s="3409"/>
      <c r="FV163" s="3409"/>
      <c r="FW163" s="1078">
        <f>IF(FU163=0,0,(FV163-FU163)/FU163*100)</f>
        <v>0</v>
      </c>
      <c r="FX163" s="676"/>
      <c r="FY163" s="676"/>
      <c r="FZ163" s="1039" t="s">
        <v>1539</v>
      </c>
      <c r="GA163" s="1061"/>
      <c r="GB163" s="1061"/>
      <c r="GC163" s="697"/>
      <c r="GD163" s="697"/>
    </row>
    <row s="1621" customFormat="1" customHeight="1" ht="23.25" hidden="1">
      <c r="A164" s="467"/>
      <c r="B164" s="907" cm="1" t="str">
        <f t="array" ref="B164:B164">B163</f>
        <v>false</v>
      </c>
      <c r="C164" s="467"/>
      <c r="D164" s="467"/>
      <c r="E164" s="822">
        <v>24.5</v>
      </c>
      <c r="F164" s="50" cm="1" t="str">
        <f t="array" ref="F164:F164">OFFSET(E164,-1,1)</f>
        <v>2</v>
      </c>
      <c r="G164" s="467"/>
      <c r="H164" s="467"/>
      <c r="I164" s="467"/>
      <c r="J164" s="467"/>
      <c r="K164" s="467"/>
      <c r="L164" s="467"/>
      <c r="M164" s="467"/>
      <c r="N164" s="467"/>
      <c r="O164" s="467"/>
      <c r="P164" s="467"/>
      <c r="Q164" s="467"/>
      <c r="R164" s="467"/>
      <c r="S164" s="467"/>
      <c r="T164" s="439" cm="1" t="str">
        <f t="array" ref="T164:T164">T163</f>
        <v>true</v>
      </c>
      <c r="U164" s="467"/>
      <c r="V164" s="467"/>
      <c r="W164" s="467"/>
      <c r="X164" s="1534"/>
      <c r="Y164" s="467"/>
      <c r="Z164" s="1464"/>
      <c r="AA164" s="467"/>
      <c r="AB164" s="260" t="s">
        <v>1540</v>
      </c>
      <c r="AC164" s="885"/>
      <c r="AD164" s="1087"/>
      <c r="AE164" s="1087"/>
      <c r="AF164" s="1087"/>
      <c r="AG164" s="1087"/>
      <c r="AH164" s="1087"/>
      <c r="AI164" s="1087"/>
      <c r="AJ164" s="1087"/>
      <c r="AK164" s="1087"/>
      <c r="AL164" s="1087"/>
      <c r="AM164" s="1087"/>
      <c r="AN164" s="1087"/>
      <c r="AO164" s="1087"/>
      <c r="AP164" s="1087"/>
      <c r="AQ164" s="1087"/>
      <c r="AR164" s="1087"/>
      <c r="AS164" s="1087"/>
      <c r="AT164" s="1087"/>
      <c r="AU164" s="1087"/>
      <c r="AV164" s="1087"/>
      <c r="AW164" s="1087"/>
      <c r="AX164" s="1087"/>
      <c r="AY164" s="1087"/>
      <c r="AZ164" s="1087"/>
      <c r="BA164" s="1087"/>
      <c r="BB164" s="1087"/>
      <c r="BC164" s="1087"/>
      <c r="BD164" s="1087"/>
      <c r="BE164" s="1087"/>
      <c r="BF164" s="1087"/>
      <c r="BG164" s="1087"/>
      <c r="BH164" s="1087"/>
      <c r="BI164" s="1087"/>
      <c r="BJ164" s="1087"/>
      <c r="BK164" s="1087"/>
      <c r="BL164" s="1087"/>
      <c r="BM164" s="1087"/>
      <c r="BN164" s="1087"/>
      <c r="BO164" s="1087"/>
      <c r="BP164" s="1087"/>
      <c r="BQ164" s="1087"/>
      <c r="BR164" s="1087"/>
      <c r="BS164" s="1087"/>
      <c r="BT164" s="1087"/>
      <c r="BU164" s="1087"/>
      <c r="BV164" s="1087"/>
      <c r="BW164" s="1087"/>
      <c r="BX164" s="1087"/>
      <c r="BY164" s="1087"/>
      <c r="BZ164" s="1087"/>
      <c r="CA164" s="1087"/>
      <c r="CB164" s="1087"/>
      <c r="CC164" s="1087"/>
      <c r="CD164" s="1087"/>
      <c r="CE164" s="1087"/>
      <c r="CF164" s="1087"/>
      <c r="CG164" s="1087"/>
      <c r="CH164" s="1087"/>
      <c r="CI164" s="1087"/>
      <c r="CJ164" s="1087"/>
      <c r="CK164" s="1087"/>
      <c r="CL164" s="1087"/>
      <c r="CM164" s="1087"/>
      <c r="CN164" s="1087"/>
      <c r="CO164" s="1087"/>
      <c r="CP164" s="1087"/>
      <c r="CQ164" s="1087"/>
      <c r="CR164" s="1087"/>
      <c r="CS164" s="1087"/>
      <c r="CT164" s="1087"/>
      <c r="CU164" s="1087"/>
      <c r="CV164" s="1087"/>
      <c r="CW164" s="1087"/>
      <c r="CX164" s="1087"/>
      <c r="CY164" s="1087"/>
      <c r="CZ164" s="1087"/>
      <c r="DA164" s="1087"/>
      <c r="DB164" s="1087"/>
      <c r="DC164" s="1087"/>
      <c r="DD164" s="1087"/>
      <c r="DE164" s="1087"/>
      <c r="DF164" s="1087"/>
      <c r="DG164" s="1087"/>
      <c r="DH164" s="1087"/>
      <c r="DI164" s="1087"/>
      <c r="DJ164" s="1087"/>
      <c r="DK164" s="1087"/>
      <c r="DL164" s="1087"/>
      <c r="DM164" s="1087"/>
      <c r="DN164" s="1087"/>
      <c r="DO164" s="1087"/>
      <c r="DP164" s="1087"/>
      <c r="DQ164" s="1087"/>
      <c r="DR164" s="1087"/>
      <c r="DS164" s="1087"/>
      <c r="DT164" s="1087"/>
      <c r="DU164" s="1087"/>
      <c r="DV164" s="1087"/>
      <c r="DW164" s="1087"/>
      <c r="DX164" s="1087"/>
      <c r="DY164" s="1087"/>
      <c r="DZ164" s="1087"/>
      <c r="EA164" s="1087"/>
      <c r="EB164" s="1087"/>
      <c r="EC164" s="1087"/>
      <c r="ED164" s="1087"/>
      <c r="EE164" s="1087"/>
      <c r="EF164" s="1087"/>
      <c r="EG164" s="1087"/>
      <c r="EH164" s="1087"/>
      <c r="EI164" s="1087"/>
      <c r="EJ164" s="1087"/>
      <c r="EK164" s="1087"/>
      <c r="EL164" s="1087"/>
      <c r="EM164" s="1087"/>
      <c r="EN164" s="1087"/>
      <c r="EO164" s="1087"/>
      <c r="EP164" s="1087"/>
      <c r="EQ164" s="1087"/>
      <c r="ER164" s="1087"/>
      <c r="ES164" s="1087"/>
      <c r="ET164" s="1087"/>
      <c r="EU164" s="1087"/>
      <c r="EV164" s="1087"/>
      <c r="EW164" s="1087"/>
      <c r="EX164" s="1087"/>
      <c r="EY164" s="1087"/>
      <c r="EZ164" s="1087"/>
      <c r="FA164" s="1087"/>
      <c r="FB164" s="1087"/>
      <c r="FC164" s="1087"/>
      <c r="FD164" s="1087"/>
      <c r="FE164" s="1087"/>
      <c r="FF164" s="1087"/>
      <c r="FG164" s="1087"/>
      <c r="FH164" s="1087"/>
      <c r="FI164" s="1087"/>
      <c r="FJ164" s="1087"/>
      <c r="FK164" s="1087"/>
      <c r="FL164" s="1087"/>
      <c r="FM164" s="1087"/>
      <c r="FN164" s="1087"/>
      <c r="FO164" s="1087"/>
      <c r="FP164" s="1087"/>
      <c r="FQ164" s="1087"/>
      <c r="FR164" s="1087"/>
      <c r="FS164" s="1087"/>
      <c r="FT164" s="1087"/>
      <c r="FU164" s="1087"/>
      <c r="FV164" s="1087"/>
      <c r="FW164" s="1088"/>
      <c r="FX164" s="676"/>
      <c r="FY164" s="676"/>
      <c r="FZ164" s="1039"/>
      <c r="GA164" s="1061"/>
      <c r="GB164" s="1061"/>
      <c r="GC164" s="697"/>
      <c r="GD164" s="697"/>
    </row>
    <row s="1621" customFormat="1" customHeight="1" ht="14.25" hidden="1">
      <c r="A165" s="467"/>
      <c r="B165" s="907" cm="1" t="str">
        <f t="array" ref="B165:B165">B164</f>
        <v>false</v>
      </c>
      <c r="C165" s="467"/>
      <c r="D165" s="467"/>
      <c r="E165" s="822">
        <v>15</v>
      </c>
      <c r="F165" s="50" cm="1" t="str">
        <f t="array" ref="F165:F165">OFFSET(E165,-1,1)</f>
        <v>2</v>
      </c>
      <c r="G165" s="467"/>
      <c r="H165" s="467" t="s">
        <v>1445</v>
      </c>
      <c r="I165" s="467" t="s">
        <v>1497</v>
      </c>
      <c r="J165" s="467"/>
      <c r="K165" s="467"/>
      <c r="L165" s="467"/>
      <c r="M165" s="467"/>
      <c r="N165" s="467"/>
      <c r="O165" s="467"/>
      <c r="P165" s="467"/>
      <c r="Q165" s="467"/>
      <c r="R165" s="467"/>
      <c r="S165" s="467"/>
      <c r="T165" s="439" cm="1" t="str">
        <f t="array" ref="T165:T165">T164</f>
        <v>true</v>
      </c>
      <c r="U165" s="467"/>
      <c r="V165" s="467"/>
      <c r="W165" s="467"/>
      <c r="X165" s="1534"/>
      <c r="Y165" s="467"/>
      <c r="Z165" s="1464"/>
      <c r="AA165" s="467"/>
      <c r="AB165" s="1076" t="s">
        <v>1527</v>
      </c>
      <c r="AC165" s="846" t="s">
        <v>1494</v>
      </c>
      <c r="AD165" s="3409">
        <f>IF(AD167=0,0,(AD166*AD167+AD168*AD169*IF(god=2026,3,6))/AD167)</f>
        <v>0</v>
      </c>
      <c r="AE165" s="3409">
        <f>IF(AE167=0,0,(AE166*AE167+AE168*AE169*IF(god=2026,3,6))/AE167)</f>
        <v>0</v>
      </c>
      <c r="AF165" s="1078">
        <f>IF(AD165=0,0,(AE165-AD165)/AD165*100)</f>
        <v>0</v>
      </c>
      <c r="AG165" s="3409">
        <f>IF(AG167=0,0,(AG166*AG167+AG168*AG169*IF(god=2025,3,6))/AG167)</f>
        <v>0</v>
      </c>
      <c r="AH165" s="3409">
        <f>IF(AH167=0,0,(AH166*AH167+AH168*AH169*IF(god=2025,3,6))/AH167)</f>
        <v>0</v>
      </c>
      <c r="AI165" s="1078">
        <f>IF(AG165=0,0,(AH165-AG165)/AG165*100)</f>
        <v>0</v>
      </c>
      <c r="AJ165" s="3409">
        <f>IF(AJ167=0,0,(AJ166*AJ167+AJ168*AJ169*6)/AJ167)</f>
        <v>0</v>
      </c>
      <c r="AK165" s="3409">
        <f>IF(AK167=0,0,(AK166*AK167+AK168*AK169*6)/AK167)</f>
        <v>0</v>
      </c>
      <c r="AL165" s="1078">
        <f>IF(AJ165=0,0,(AK165-AJ165)/AJ165*100)</f>
        <v>0</v>
      </c>
      <c r="AM165" s="3409">
        <f>IF(AM167=0,0,(AM166*AM167+AM168*AM169*6)/AM167)</f>
        <v>0</v>
      </c>
      <c r="AN165" s="3409">
        <f>IF(AN167=0,0,(AN166*AN167+AN168*AN169*6)/AN167)</f>
        <v>0</v>
      </c>
      <c r="AO165" s="1078">
        <f>IF(AM165=0,0,(AN165-AM165)/AM165*100)</f>
        <v>0</v>
      </c>
      <c r="AP165" s="3409">
        <f>IF(AP167=0,0,(AP166*AP167+AP168*AP169*6)/AP167)</f>
        <v>0</v>
      </c>
      <c r="AQ165" s="3409">
        <f>IF(AQ167=0,0,(AQ166*AQ167+AQ168*AQ169*6)/AQ167)</f>
        <v>0</v>
      </c>
      <c r="AR165" s="1078">
        <f>IF(AP165=0,0,(AQ165-AP165)/AP165*100)</f>
        <v>0</v>
      </c>
      <c r="AS165" s="3409">
        <f>IF(AS167=0,0,(AS166*AS167+AS168*AS169*6)/AS167)</f>
        <v>0</v>
      </c>
      <c r="AT165" s="3409">
        <f>IF(AT167=0,0,(AT166*AT167+AT168*AT169*6)/AT167)</f>
        <v>0</v>
      </c>
      <c r="AU165" s="1078">
        <f>IF(AS165=0,0,(AT165-AS165)/AS165*100)</f>
        <v>0</v>
      </c>
      <c r="AV165" s="3409">
        <f>IF(AV167=0,0,(AV166*AV167+AV168*AV169*6)/AV167)</f>
        <v>0</v>
      </c>
      <c r="AW165" s="3409">
        <f>IF(AW167=0,0,(AW166*AW167+AW168*AW169*6)/AW167)</f>
        <v>0</v>
      </c>
      <c r="AX165" s="1078">
        <f>IF(AV165=0,0,(AW165-AV165)/AV165*100)</f>
        <v>0</v>
      </c>
      <c r="AY165" s="3409">
        <f>IF(AY167=0,0,(AY166*AY167+AY168*AY169*6)/AY167)</f>
        <v>0</v>
      </c>
      <c r="AZ165" s="3409">
        <f>IF(AZ167=0,0,(AZ166*AZ167+AZ168*AZ169*6)/AZ167)</f>
        <v>0</v>
      </c>
      <c r="BA165" s="1078">
        <f>IF(AY165=0,0,(AZ165-AY165)/AY165*100)</f>
        <v>0</v>
      </c>
      <c r="BB165" s="3409">
        <f>IF(BB167=0,0,(BB166*BB167+BB168*BB169*6)/BB167)</f>
        <v>0</v>
      </c>
      <c r="BC165" s="3409">
        <f>IF(BC167=0,0,(BC166*BC167+BC168*BC169*6)/BC167)</f>
        <v>0</v>
      </c>
      <c r="BD165" s="1078">
        <f>IF(BB165=0,0,(BC165-BB165)/BB165*100)</f>
        <v>0</v>
      </c>
      <c r="BE165" s="3409">
        <f>IF(BE167=0,0,(BE166*BE167+BE168*BE169*6)/BE167)</f>
        <v>0</v>
      </c>
      <c r="BF165" s="3409">
        <f>IF(BF167=0,0,(BF166*BF167+BF168*BF169*6)/BF167)</f>
        <v>0</v>
      </c>
      <c r="BG165" s="1078">
        <f>IF(BE165=0,0,(BF165-BE165)/BE165*100)</f>
        <v>0</v>
      </c>
      <c r="BH165" s="3409">
        <f>IF(BH167=0,0,(BH166*BH167+BH168*BH169*6)/BH167)</f>
        <v>0</v>
      </c>
      <c r="BI165" s="3409">
        <f>IF(BI167=0,0,(BI166*BI167+BI168*BI169*6)/BI167)</f>
        <v>0</v>
      </c>
      <c r="BJ165" s="1078">
        <f>IF(BH165=0,0,(BI165-BH165)/BH165*100)</f>
        <v>0</v>
      </c>
      <c r="BK165" s="3409">
        <f>IF(BK167=0,0,(BK166*BK167+BK168*BK169*6)/BK167)</f>
        <v>0</v>
      </c>
      <c r="BL165" s="3409">
        <f>IF(BL167=0,0,(BL166*BL167+BL168*BL169*6)/BL167)</f>
        <v>0</v>
      </c>
      <c r="BM165" s="1078">
        <f>IF(BK165=0,0,(BL165-BK165)/BK165*100)</f>
        <v>0</v>
      </c>
      <c r="BN165" s="3409">
        <f>IF(BN167=0,0,(BN166*BN167+BN168*BN169*6)/BN167)</f>
        <v>0</v>
      </c>
      <c r="BO165" s="3409">
        <f>IF(BO167=0,0,(BO166*BO167+BO168*BO169*6)/BO167)</f>
        <v>0</v>
      </c>
      <c r="BP165" s="1078">
        <f>IF(BN165=0,0,(BO165-BN165)/BN165*100)</f>
        <v>0</v>
      </c>
      <c r="BQ165" s="3409">
        <f>IF(BQ167=0,0,(BQ166*BQ167+BQ168*BQ169*6)/BQ167)</f>
        <v>0</v>
      </c>
      <c r="BR165" s="3409">
        <f>IF(BR167=0,0,(BR166*BR167+BR168*BR169*6)/BR167)</f>
        <v>0</v>
      </c>
      <c r="BS165" s="1078">
        <f>IF(BQ165=0,0,(BR165-BQ165)/BQ165*100)</f>
        <v>0</v>
      </c>
      <c r="BT165" s="3409">
        <f>IF(BT167=0,0,(BT166*BT167+BT168*BT169*6)/BT167)</f>
        <v>0</v>
      </c>
      <c r="BU165" s="3409">
        <f>IF(BU167=0,0,(BU166*BU167+BU168*BU169*6)/BU167)</f>
        <v>0</v>
      </c>
      <c r="BV165" s="1078">
        <f>IF(BT165=0,0,(BU165-BT165)/BT165*100)</f>
        <v>0</v>
      </c>
      <c r="BW165" s="3409">
        <f>IF(BW167=0,0,(BW166*BW167+BW168*BW169*6)/BW167)</f>
        <v>0</v>
      </c>
      <c r="BX165" s="3409">
        <f>IF(BX167=0,0,(BX166*BX167+BX168*BX169*6)/BX167)</f>
        <v>0</v>
      </c>
      <c r="BY165" s="1078">
        <f>IF(BW165=0,0,(BX165-BW165)/BW165*100)</f>
        <v>0</v>
      </c>
      <c r="BZ165" s="3409">
        <f>IF(BZ167=0,0,(BZ166*BZ167+BZ168*BZ169*6)/BZ167)</f>
        <v>0</v>
      </c>
      <c r="CA165" s="3409">
        <f>IF(CA167=0,0,(CA166*CA167+CA168*CA169*6)/CA167)</f>
        <v>0</v>
      </c>
      <c r="CB165" s="1078">
        <f>IF(BZ165=0,0,(CA165-BZ165)/BZ165*100)</f>
        <v>0</v>
      </c>
      <c r="CC165" s="3409">
        <f>IF(CC167=0,0,(CC166*CC167+CC168*CC169*6)/CC167)</f>
        <v>0</v>
      </c>
      <c r="CD165" s="3409">
        <f>IF(CD167=0,0,(CD166*CD167+CD168*CD169*6)/CD167)</f>
        <v>0</v>
      </c>
      <c r="CE165" s="1078">
        <f>IF(CC165=0,0,(CD165-CC165)/CC165*100)</f>
        <v>0</v>
      </c>
      <c r="CF165" s="3409">
        <f>IF(CF167=0,0,(CF166*CF167+CF168*CF169*6)/CF167)</f>
        <v>0</v>
      </c>
      <c r="CG165" s="3409">
        <f>IF(CG167=0,0,(CG166*CG167+CG168*CG169*6)/CG167)</f>
        <v>0</v>
      </c>
      <c r="CH165" s="1078">
        <f>IF(CF165=0,0,(CG165-CF165)/CF165*100)</f>
        <v>0</v>
      </c>
      <c r="CI165" s="3409">
        <f>IF(CI167=0,0,(CI166*CI167+CI168*CI169*6)/CI167)</f>
        <v>0</v>
      </c>
      <c r="CJ165" s="3409">
        <f>IF(CJ167=0,0,(CJ166*CJ167+CJ168*CJ169*6)/CJ167)</f>
        <v>0</v>
      </c>
      <c r="CK165" s="1078">
        <f>IF(CI165=0,0,(CJ165-CI165)/CI165*100)</f>
        <v>0</v>
      </c>
      <c r="CL165" s="3409">
        <f>IF(CL167=0,0,(CL166*CL167+CL168*CL169*6)/CL167)</f>
        <v>0</v>
      </c>
      <c r="CM165" s="3409">
        <f>IF(CM167=0,0,(CM166*CM167+CM168*CM169*6)/CM167)</f>
        <v>0</v>
      </c>
      <c r="CN165" s="1078">
        <f>IF(CL165=0,0,(CM165-CL165)/CL165*100)</f>
        <v>0</v>
      </c>
      <c r="CO165" s="3409">
        <f>IF(CO167=0,0,(CO166*CO167+CO168*CO169*6)/CO167)</f>
        <v>0</v>
      </c>
      <c r="CP165" s="3409">
        <f>IF(CP167=0,0,(CP166*CP167+CP168*CP169*6)/CP167)</f>
        <v>0</v>
      </c>
      <c r="CQ165" s="1078">
        <f>IF(CO165=0,0,(CP165-CO165)/CO165*100)</f>
        <v>0</v>
      </c>
      <c r="CR165" s="3409">
        <f>IF(CR167=0,0,(CR166*CR167+CR168*CR169*6)/CR167)</f>
        <v>0</v>
      </c>
      <c r="CS165" s="3409">
        <f>IF(CS167=0,0,(CS166*CS167+CS168*CS169*6)/CS167)</f>
        <v>0</v>
      </c>
      <c r="CT165" s="1078">
        <f>IF(CR165=0,0,(CS165-CR165)/CR165*100)</f>
        <v>0</v>
      </c>
      <c r="CU165" s="3409">
        <f>IF(CU167=0,0,(CU166*CU167+CU168*CU169*6)/CU167)</f>
        <v>0</v>
      </c>
      <c r="CV165" s="3409">
        <f>IF(CV167=0,0,(CV166*CV167+CV168*CV169*6)/CV167)</f>
        <v>0</v>
      </c>
      <c r="CW165" s="1078">
        <f>IF(CU165=0,0,(CV165-CU165)/CU165*100)</f>
        <v>0</v>
      </c>
      <c r="CX165" s="3409">
        <f>IF(CX167=0,0,(CX166*CX167+CX168*CX169*6)/CX167)</f>
        <v>0</v>
      </c>
      <c r="CY165" s="3409">
        <f>IF(CY167=0,0,(CY166*CY167+CY168*CY169*6)/CY167)</f>
        <v>0</v>
      </c>
      <c r="CZ165" s="1078">
        <f>IF(CX165=0,0,(CY165-CX165)/CX165*100)</f>
        <v>0</v>
      </c>
      <c r="DA165" s="3409">
        <f>IF(DA167=0,0,(DA166*DA167+DA168*DA169*6)/DA167)</f>
        <v>0</v>
      </c>
      <c r="DB165" s="3409">
        <f>IF(DB167=0,0,(DB166*DB167+DB168*DB169*6)/DB167)</f>
        <v>0</v>
      </c>
      <c r="DC165" s="1078">
        <f>IF(DA165=0,0,(DB165-DA165)/DA165*100)</f>
        <v>0</v>
      </c>
      <c r="DD165" s="3409">
        <f>IF(DD167=0,0,(DD166*DD167+DD168*DD169*6)/DD167)</f>
        <v>0</v>
      </c>
      <c r="DE165" s="3409">
        <f>IF(DE167=0,0,(DE166*DE167+DE168*DE169*6)/DE167)</f>
        <v>0</v>
      </c>
      <c r="DF165" s="1078">
        <f>IF(DD165=0,0,(DE165-DD165)/DD165*100)</f>
        <v>0</v>
      </c>
      <c r="DG165" s="3409">
        <f>IF(DG167=0,0,(DG166*DG167+DG168*DG169*6)/DG167)</f>
        <v>0</v>
      </c>
      <c r="DH165" s="3409">
        <f>IF(DH167=0,0,(DH166*DH167+DH168*DH169*6)/DH167)</f>
        <v>0</v>
      </c>
      <c r="DI165" s="1078">
        <f>IF(DG165=0,0,(DH165-DG165)/DG165*100)</f>
        <v>0</v>
      </c>
      <c r="DJ165" s="3409">
        <f>IF(DJ167=0,0,(DJ166*DJ167+DJ168*DJ169*6)/DJ167)</f>
        <v>0</v>
      </c>
      <c r="DK165" s="3409">
        <f>IF(DK167=0,0,(DK166*DK167+DK168*DK169*6)/DK167)</f>
        <v>0</v>
      </c>
      <c r="DL165" s="1078">
        <f>IF(DJ165=0,0,(DK165-DJ165)/DJ165*100)</f>
        <v>0</v>
      </c>
      <c r="DM165" s="3409">
        <f>IF(DM167=0,0,(DM166*DM167+DM168*DM169*6)/DM167)</f>
        <v>0</v>
      </c>
      <c r="DN165" s="3409">
        <f>IF(DN167=0,0,(DN166*DN167+DN168*DN169*6)/DN167)</f>
        <v>0</v>
      </c>
      <c r="DO165" s="1078">
        <f>IF(DM165=0,0,(DN165-DM165)/DM165*100)</f>
        <v>0</v>
      </c>
      <c r="DP165" s="3409">
        <f>IF(DP167=0,0,(DP166*DP167+DP168*DP169*6)/DP167)</f>
        <v>0</v>
      </c>
      <c r="DQ165" s="3409">
        <f>IF(DQ167=0,0,(DQ166*DQ167+DQ168*DQ169*6)/DQ167)</f>
        <v>0</v>
      </c>
      <c r="DR165" s="1078">
        <f>IF(DP165=0,0,(DQ165-DP165)/DP165*100)</f>
        <v>0</v>
      </c>
      <c r="DS165" s="3409">
        <f>IF(DS167=0,0,(DS166*DS167+DS168*DS169*6)/DS167)</f>
        <v>0</v>
      </c>
      <c r="DT165" s="3409">
        <f>IF(DT167=0,0,(DT166*DT167+DT168*DT169*6)/DT167)</f>
        <v>0</v>
      </c>
      <c r="DU165" s="1078">
        <f>IF(DS165=0,0,(DT165-DS165)/DS165*100)</f>
        <v>0</v>
      </c>
      <c r="DV165" s="3409">
        <f>IF(DV167=0,0,(DV166*DV167+DV168*DV169*6)/DV167)</f>
        <v>0</v>
      </c>
      <c r="DW165" s="3409">
        <f>IF(DW167=0,0,(DW166*DW167+DW168*DW169*6)/DW167)</f>
        <v>0</v>
      </c>
      <c r="DX165" s="1078">
        <f>IF(DV165=0,0,(DW165-DV165)/DV165*100)</f>
        <v>0</v>
      </c>
      <c r="DY165" s="3409">
        <f>IF(DY167=0,0,(DY166*DY167+DY168*DY169*6)/DY167)</f>
        <v>0</v>
      </c>
      <c r="DZ165" s="3409">
        <f>IF(DZ167=0,0,(DZ166*DZ167+DZ168*DZ169*6)/DZ167)</f>
        <v>0</v>
      </c>
      <c r="EA165" s="1078">
        <f>IF(DY165=0,0,(DZ165-DY165)/DY165*100)</f>
        <v>0</v>
      </c>
      <c r="EB165" s="3409">
        <f>IF(EB167=0,0,(EB166*EB167+EB168*EB169*6)/EB167)</f>
        <v>0</v>
      </c>
      <c r="EC165" s="3409">
        <f>IF(EC167=0,0,(EC166*EC167+EC168*EC169*6)/EC167)</f>
        <v>0</v>
      </c>
      <c r="ED165" s="1078">
        <f>IF(EB165=0,0,(EC165-EB165)/EB165*100)</f>
        <v>0</v>
      </c>
      <c r="EE165" s="3409">
        <f>IF(EE167=0,0,(EE166*EE167+EE168*EE169*6)/EE167)</f>
        <v>0</v>
      </c>
      <c r="EF165" s="3409">
        <f>IF(EF167=0,0,(EF166*EF167+EF168*EF169*6)/EF167)</f>
        <v>0</v>
      </c>
      <c r="EG165" s="1078">
        <f>IF(EE165=0,0,(EF165-EE165)/EE165*100)</f>
        <v>0</v>
      </c>
      <c r="EH165" s="3409">
        <f>IF(EH167=0,0,(EH166*EH167+EH168*EH169*6)/EH167)</f>
        <v>0</v>
      </c>
      <c r="EI165" s="3409">
        <f>IF(EI167=0,0,(EI166*EI167+EI168*EI169*6)/EI167)</f>
        <v>0</v>
      </c>
      <c r="EJ165" s="1078">
        <f>IF(EH165=0,0,(EI165-EH165)/EH165*100)</f>
        <v>0</v>
      </c>
      <c r="EK165" s="3409">
        <f>IF(EK167=0,0,(EK166*EK167+EK168*EK169*6)/EK167)</f>
        <v>0</v>
      </c>
      <c r="EL165" s="3409">
        <f>IF(EL167=0,0,(EL166*EL167+EL168*EL169*6)/EL167)</f>
        <v>0</v>
      </c>
      <c r="EM165" s="1078">
        <f>IF(EK165=0,0,(EL165-EK165)/EK165*100)</f>
        <v>0</v>
      </c>
      <c r="EN165" s="3409">
        <f>IF(EN167=0,0,(EN166*EN167+EN168*EN169*6)/EN167)</f>
        <v>0</v>
      </c>
      <c r="EO165" s="3409">
        <f>IF(EO167=0,0,(EO166*EO167+EO168*EO169*6)/EO167)</f>
        <v>0</v>
      </c>
      <c r="EP165" s="1078">
        <f>IF(EN165=0,0,(EO165-EN165)/EN165*100)</f>
        <v>0</v>
      </c>
      <c r="EQ165" s="3409">
        <f>IF(EQ167=0,0,(EQ166*EQ167+EQ168*EQ169*6)/EQ167)</f>
        <v>0</v>
      </c>
      <c r="ER165" s="3409">
        <f>IF(ER167=0,0,(ER166*ER167+ER168*ER169*6)/ER167)</f>
        <v>0</v>
      </c>
      <c r="ES165" s="1078">
        <f>IF(EQ165=0,0,(ER165-EQ165)/EQ165*100)</f>
        <v>0</v>
      </c>
      <c r="ET165" s="3409">
        <f>IF(ET167=0,0,(ET166*ET167+ET168*ET169*6)/ET167)</f>
        <v>0</v>
      </c>
      <c r="EU165" s="3409">
        <f>IF(EU167=0,0,(EU166*EU167+EU168*EU169*6)/EU167)</f>
        <v>0</v>
      </c>
      <c r="EV165" s="1078">
        <f>IF(ET165=0,0,(EU165-ET165)/ET165*100)</f>
        <v>0</v>
      </c>
      <c r="EW165" s="3409">
        <f>IF(EW167=0,0,(EW166*EW167+EW168*EW169*6)/EW167)</f>
        <v>0</v>
      </c>
      <c r="EX165" s="3409">
        <f>IF(EX167=0,0,(EX166*EX167+EX168*EX169*6)/EX167)</f>
        <v>0</v>
      </c>
      <c r="EY165" s="1078">
        <f>IF(EW165=0,0,(EX165-EW165)/EW165*100)</f>
        <v>0</v>
      </c>
      <c r="EZ165" s="3409">
        <f>IF(EZ167=0,0,(EZ166*EZ167+EZ168*EZ169*6)/EZ167)</f>
        <v>0</v>
      </c>
      <c r="FA165" s="3409">
        <f>IF(FA167=0,0,(FA166*FA167+FA168*FA169*6)/FA167)</f>
        <v>0</v>
      </c>
      <c r="FB165" s="1078">
        <f>IF(EZ165=0,0,(FA165-EZ165)/EZ165*100)</f>
        <v>0</v>
      </c>
      <c r="FC165" s="3409">
        <f>IF(FC167=0,0,(FC166*FC167+FC168*FC169*6)/FC167)</f>
        <v>0</v>
      </c>
      <c r="FD165" s="3409">
        <f>IF(FD167=0,0,(FD166*FD167+FD168*FD169*6)/FD167)</f>
        <v>0</v>
      </c>
      <c r="FE165" s="1078">
        <f>IF(FC165=0,0,(FD165-FC165)/FC165*100)</f>
        <v>0</v>
      </c>
      <c r="FF165" s="3409">
        <f>IF(FF167=0,0,(FF166*FF167+FF168*FF169*6)/FF167)</f>
        <v>0</v>
      </c>
      <c r="FG165" s="3409">
        <f>IF(FG167=0,0,(FG166*FG167+FG168*FG169*6)/FG167)</f>
        <v>0</v>
      </c>
      <c r="FH165" s="1078">
        <f>IF(FF165=0,0,(FG165-FF165)/FF165*100)</f>
        <v>0</v>
      </c>
      <c r="FI165" s="3409">
        <f>IF(FI167=0,0,(FI166*FI167+FI168*FI169*6)/FI167)</f>
        <v>0</v>
      </c>
      <c r="FJ165" s="3409">
        <f>IF(FJ167=0,0,(FJ166*FJ167+FJ168*FJ169*6)/FJ167)</f>
        <v>0</v>
      </c>
      <c r="FK165" s="1078">
        <f>IF(FI165=0,0,(FJ165-FI165)/FI165*100)</f>
        <v>0</v>
      </c>
      <c r="FL165" s="3409">
        <f>IF(FL167=0,0,(FL166*FL167+FL168*FL169*6)/FL167)</f>
        <v>0</v>
      </c>
      <c r="FM165" s="3409">
        <f>IF(FM167=0,0,(FM166*FM167+FM168*FM169*6)/FM167)</f>
        <v>0</v>
      </c>
      <c r="FN165" s="1078">
        <f>IF(FL165=0,0,(FM165-FL165)/FL165*100)</f>
        <v>0</v>
      </c>
      <c r="FO165" s="3409">
        <f>IF(FO167=0,0,(FO166*FO167+FO168*FO169*6)/FO167)</f>
        <v>0</v>
      </c>
      <c r="FP165" s="3409">
        <f>IF(FP167=0,0,(FP166*FP167+FP168*FP169*6)/FP167)</f>
        <v>0</v>
      </c>
      <c r="FQ165" s="1078">
        <f>IF(FO165=0,0,(FP165-FO165)/FO165*100)</f>
        <v>0</v>
      </c>
      <c r="FR165" s="3409">
        <f>IF(FR167=0,0,(FR166*FR167+FR168*FR169*6)/FR167)</f>
        <v>0</v>
      </c>
      <c r="FS165" s="3409">
        <f>IF(FS167=0,0,(FS166*FS167+FS168*FS169*6)/FS167)</f>
        <v>0</v>
      </c>
      <c r="FT165" s="1078">
        <f>IF(FR165=0,0,(FS165-FR165)/FR165*100)</f>
        <v>0</v>
      </c>
      <c r="FU165" s="3409">
        <f>IF(FU167=0,0,(FU166*FU167+FU168*FU169*6)/FU167)</f>
        <v>0</v>
      </c>
      <c r="FV165" s="3409">
        <f>IF(FV167=0,0,(FV166*FV167+FV168*FV169*6)/FV167)</f>
        <v>0</v>
      </c>
      <c r="FW165" s="1078">
        <f>IF(FU165=0,0,(FV165-FU165)/FU165*100)</f>
        <v>0</v>
      </c>
      <c r="FX165" s="676"/>
      <c r="FY165" s="676"/>
      <c r="FZ165" s="1039" t="s">
        <v>1541</v>
      </c>
      <c r="GA165" s="1061"/>
      <c r="GB165" s="1061"/>
      <c r="GC165" s="697"/>
      <c r="GD165" s="697"/>
    </row>
    <row s="1621" customFormat="1" customHeight="1" ht="14.25" hidden="1">
      <c r="A166" s="467"/>
      <c r="B166" s="907" cm="1" t="str">
        <f t="array" ref="B166:B166">B165</f>
        <v>false</v>
      </c>
      <c r="C166" s="467"/>
      <c r="D166" s="467"/>
      <c r="E166" s="822">
        <v>15</v>
      </c>
      <c r="F166" s="50" cm="1" t="str">
        <f t="array" ref="F166:F166">OFFSET(E166,-1,1)</f>
        <v>2</v>
      </c>
      <c r="G166" s="467"/>
      <c r="H166" s="467" t="s">
        <v>1449</v>
      </c>
      <c r="I166" s="467" t="s">
        <v>1497</v>
      </c>
      <c r="J166" s="467"/>
      <c r="K166" s="467"/>
      <c r="L166" s="467"/>
      <c r="M166" s="467"/>
      <c r="N166" s="467"/>
      <c r="O166" s="467"/>
      <c r="P166" s="467"/>
      <c r="Q166" s="467"/>
      <c r="R166" s="467"/>
      <c r="S166" s="467"/>
      <c r="T166" s="439" cm="1" t="str">
        <f t="array" ref="T166:T166">T165</f>
        <v>true</v>
      </c>
      <c r="U166" s="467"/>
      <c r="V166" s="467"/>
      <c r="W166" s="467"/>
      <c r="X166" s="1534"/>
      <c r="Y166" s="467"/>
      <c r="Z166" s="1464"/>
      <c r="AA166" s="467"/>
      <c r="AB166" s="1076" t="str">
        <f>"ставка платы за "&amp;IF(Q141="Водоснабжение","потребление 1 куб.м холодной воды","объем принятых сточных вод")</f>
        <v>ставка платы за объем принятых сточных вод</v>
      </c>
      <c r="AC166" s="846" t="s">
        <v>1494</v>
      </c>
      <c r="AD166" s="3409"/>
      <c r="AE166" s="3409"/>
      <c r="AF166" s="1078">
        <f>IF(AD166=0,0,(AE166-AD166)/AD166*100)</f>
        <v>0</v>
      </c>
      <c r="AG166" s="3409"/>
      <c r="AH166" s="3409"/>
      <c r="AI166" s="1078">
        <f>IF(AG166=0,0,(AH166-AG166)/AG166*100)</f>
        <v>0</v>
      </c>
      <c r="AJ166" s="3409"/>
      <c r="AK166" s="3409"/>
      <c r="AL166" s="1078">
        <f>IF(AJ166=0,0,(AK166-AJ166)/AJ166*100)</f>
        <v>0</v>
      </c>
      <c r="AM166" s="3409"/>
      <c r="AN166" s="3409"/>
      <c r="AO166" s="1078">
        <f>IF(AM166=0,0,(AN166-AM166)/AM166*100)</f>
        <v>0</v>
      </c>
      <c r="AP166" s="3409"/>
      <c r="AQ166" s="3409"/>
      <c r="AR166" s="1078">
        <f>IF(AP166=0,0,(AQ166-AP166)/AP166*100)</f>
        <v>0</v>
      </c>
      <c r="AS166" s="3409"/>
      <c r="AT166" s="3409"/>
      <c r="AU166" s="1078">
        <f>IF(AS166=0,0,(AT166-AS166)/AS166*100)</f>
        <v>0</v>
      </c>
      <c r="AV166" s="3409"/>
      <c r="AW166" s="3409"/>
      <c r="AX166" s="1078">
        <f>IF(AV166=0,0,(AW166-AV166)/AV166*100)</f>
        <v>0</v>
      </c>
      <c r="AY166" s="3409"/>
      <c r="AZ166" s="3409"/>
      <c r="BA166" s="1078">
        <f>IF(AY166=0,0,(AZ166-AY166)/AY166*100)</f>
        <v>0</v>
      </c>
      <c r="BB166" s="3409"/>
      <c r="BC166" s="3409"/>
      <c r="BD166" s="1078">
        <f>IF(BB166=0,0,(BC166-BB166)/BB166*100)</f>
        <v>0</v>
      </c>
      <c r="BE166" s="3409"/>
      <c r="BF166" s="3409"/>
      <c r="BG166" s="1078">
        <f>IF(BE166=0,0,(BF166-BE166)/BE166*100)</f>
        <v>0</v>
      </c>
      <c r="BH166" s="3409"/>
      <c r="BI166" s="3409"/>
      <c r="BJ166" s="1078">
        <f>IF(BH166=0,0,(BI166-BH166)/BH166*100)</f>
        <v>0</v>
      </c>
      <c r="BK166" s="3409"/>
      <c r="BL166" s="3409"/>
      <c r="BM166" s="1078">
        <f>IF(BK166=0,0,(BL166-BK166)/BK166*100)</f>
        <v>0</v>
      </c>
      <c r="BN166" s="3409"/>
      <c r="BO166" s="3409"/>
      <c r="BP166" s="1078">
        <f>IF(BN166=0,0,(BO166-BN166)/BN166*100)</f>
        <v>0</v>
      </c>
      <c r="BQ166" s="3409"/>
      <c r="BR166" s="3409"/>
      <c r="BS166" s="1078">
        <f>IF(BQ166=0,0,(BR166-BQ166)/BQ166*100)</f>
        <v>0</v>
      </c>
      <c r="BT166" s="3409"/>
      <c r="BU166" s="3409"/>
      <c r="BV166" s="1078">
        <f>IF(BT166=0,0,(BU166-BT166)/BT166*100)</f>
        <v>0</v>
      </c>
      <c r="BW166" s="3409"/>
      <c r="BX166" s="3409"/>
      <c r="BY166" s="1078">
        <f>IF(BW166=0,0,(BX166-BW166)/BW166*100)</f>
        <v>0</v>
      </c>
      <c r="BZ166" s="3409"/>
      <c r="CA166" s="3409"/>
      <c r="CB166" s="1078">
        <f>IF(BZ166=0,0,(CA166-BZ166)/BZ166*100)</f>
        <v>0</v>
      </c>
      <c r="CC166" s="3409"/>
      <c r="CD166" s="3409"/>
      <c r="CE166" s="1078">
        <f>IF(CC166=0,0,(CD166-CC166)/CC166*100)</f>
        <v>0</v>
      </c>
      <c r="CF166" s="3409"/>
      <c r="CG166" s="3409"/>
      <c r="CH166" s="1078">
        <f>IF(CF166=0,0,(CG166-CF166)/CF166*100)</f>
        <v>0</v>
      </c>
      <c r="CI166" s="3409"/>
      <c r="CJ166" s="3409"/>
      <c r="CK166" s="1078">
        <f>IF(CI166=0,0,(CJ166-CI166)/CI166*100)</f>
        <v>0</v>
      </c>
      <c r="CL166" s="3409"/>
      <c r="CM166" s="3409"/>
      <c r="CN166" s="1078">
        <f>IF(CL166=0,0,(CM166-CL166)/CL166*100)</f>
        <v>0</v>
      </c>
      <c r="CO166" s="3409"/>
      <c r="CP166" s="3409"/>
      <c r="CQ166" s="1078">
        <f>IF(CO166=0,0,(CP166-CO166)/CO166*100)</f>
        <v>0</v>
      </c>
      <c r="CR166" s="3409"/>
      <c r="CS166" s="3409"/>
      <c r="CT166" s="1078">
        <f>IF(CR166=0,0,(CS166-CR166)/CR166*100)</f>
        <v>0</v>
      </c>
      <c r="CU166" s="3409"/>
      <c r="CV166" s="3409"/>
      <c r="CW166" s="1078">
        <f>IF(CU166=0,0,(CV166-CU166)/CU166*100)</f>
        <v>0</v>
      </c>
      <c r="CX166" s="3409"/>
      <c r="CY166" s="3409"/>
      <c r="CZ166" s="1078">
        <f>IF(CX166=0,0,(CY166-CX166)/CX166*100)</f>
        <v>0</v>
      </c>
      <c r="DA166" s="3409"/>
      <c r="DB166" s="3409"/>
      <c r="DC166" s="1078">
        <f>IF(DA166=0,0,(DB166-DA166)/DA166*100)</f>
        <v>0</v>
      </c>
      <c r="DD166" s="3409"/>
      <c r="DE166" s="3409"/>
      <c r="DF166" s="1078">
        <f>IF(DD166=0,0,(DE166-DD166)/DD166*100)</f>
        <v>0</v>
      </c>
      <c r="DG166" s="3409"/>
      <c r="DH166" s="3409"/>
      <c r="DI166" s="1078">
        <f>IF(DG166=0,0,(DH166-DG166)/DG166*100)</f>
        <v>0</v>
      </c>
      <c r="DJ166" s="3409"/>
      <c r="DK166" s="3409"/>
      <c r="DL166" s="1078">
        <f>IF(DJ166=0,0,(DK166-DJ166)/DJ166*100)</f>
        <v>0</v>
      </c>
      <c r="DM166" s="3409"/>
      <c r="DN166" s="3409"/>
      <c r="DO166" s="1078">
        <f>IF(DM166=0,0,(DN166-DM166)/DM166*100)</f>
        <v>0</v>
      </c>
      <c r="DP166" s="3409"/>
      <c r="DQ166" s="3409"/>
      <c r="DR166" s="1078">
        <f>IF(DP166=0,0,(DQ166-DP166)/DP166*100)</f>
        <v>0</v>
      </c>
      <c r="DS166" s="3409"/>
      <c r="DT166" s="3409"/>
      <c r="DU166" s="1078">
        <f>IF(DS166=0,0,(DT166-DS166)/DS166*100)</f>
        <v>0</v>
      </c>
      <c r="DV166" s="3409"/>
      <c r="DW166" s="3409"/>
      <c r="DX166" s="1078">
        <f>IF(DV166=0,0,(DW166-DV166)/DV166*100)</f>
        <v>0</v>
      </c>
      <c r="DY166" s="3409"/>
      <c r="DZ166" s="3409"/>
      <c r="EA166" s="1078">
        <f>IF(DY166=0,0,(DZ166-DY166)/DY166*100)</f>
        <v>0</v>
      </c>
      <c r="EB166" s="3409"/>
      <c r="EC166" s="3409"/>
      <c r="ED166" s="1078">
        <f>IF(EB166=0,0,(EC166-EB166)/EB166*100)</f>
        <v>0</v>
      </c>
      <c r="EE166" s="3409"/>
      <c r="EF166" s="3409"/>
      <c r="EG166" s="1078">
        <f>IF(EE166=0,0,(EF166-EE166)/EE166*100)</f>
        <v>0</v>
      </c>
      <c r="EH166" s="3409"/>
      <c r="EI166" s="3409"/>
      <c r="EJ166" s="1078">
        <f>IF(EH166=0,0,(EI166-EH166)/EH166*100)</f>
        <v>0</v>
      </c>
      <c r="EK166" s="3409"/>
      <c r="EL166" s="3409"/>
      <c r="EM166" s="1078">
        <f>IF(EK166=0,0,(EL166-EK166)/EK166*100)</f>
        <v>0</v>
      </c>
      <c r="EN166" s="3409"/>
      <c r="EO166" s="3409"/>
      <c r="EP166" s="1078">
        <f>IF(EN166=0,0,(EO166-EN166)/EN166*100)</f>
        <v>0</v>
      </c>
      <c r="EQ166" s="3409"/>
      <c r="ER166" s="3409"/>
      <c r="ES166" s="1078">
        <f>IF(EQ166=0,0,(ER166-EQ166)/EQ166*100)</f>
        <v>0</v>
      </c>
      <c r="ET166" s="3409"/>
      <c r="EU166" s="3409"/>
      <c r="EV166" s="1078">
        <f>IF(ET166=0,0,(EU166-ET166)/ET166*100)</f>
        <v>0</v>
      </c>
      <c r="EW166" s="3409"/>
      <c r="EX166" s="3409"/>
      <c r="EY166" s="1078">
        <f>IF(EW166=0,0,(EX166-EW166)/EW166*100)</f>
        <v>0</v>
      </c>
      <c r="EZ166" s="3409"/>
      <c r="FA166" s="3409"/>
      <c r="FB166" s="1078">
        <f>IF(EZ166=0,0,(FA166-EZ166)/EZ166*100)</f>
        <v>0</v>
      </c>
      <c r="FC166" s="3409"/>
      <c r="FD166" s="3409"/>
      <c r="FE166" s="1078">
        <f>IF(FC166=0,0,(FD166-FC166)/FC166*100)</f>
        <v>0</v>
      </c>
      <c r="FF166" s="3409"/>
      <c r="FG166" s="3409"/>
      <c r="FH166" s="1078">
        <f>IF(FF166=0,0,(FG166-FF166)/FF166*100)</f>
        <v>0</v>
      </c>
      <c r="FI166" s="3409"/>
      <c r="FJ166" s="3409"/>
      <c r="FK166" s="1078">
        <f>IF(FI166=0,0,(FJ166-FI166)/FI166*100)</f>
        <v>0</v>
      </c>
      <c r="FL166" s="3409"/>
      <c r="FM166" s="3409"/>
      <c r="FN166" s="1078">
        <f>IF(FL166=0,0,(FM166-FL166)/FL166*100)</f>
        <v>0</v>
      </c>
      <c r="FO166" s="3409"/>
      <c r="FP166" s="3409"/>
      <c r="FQ166" s="1078">
        <f>IF(FO166=0,0,(FP166-FO166)/FO166*100)</f>
        <v>0</v>
      </c>
      <c r="FR166" s="3409"/>
      <c r="FS166" s="3409"/>
      <c r="FT166" s="1078">
        <f>IF(FR166=0,0,(FS166-FR166)/FR166*100)</f>
        <v>0</v>
      </c>
      <c r="FU166" s="3409"/>
      <c r="FV166" s="3409"/>
      <c r="FW166" s="1078">
        <f>IF(FU166=0,0,(FV166-FU166)/FU166*100)</f>
        <v>0</v>
      </c>
      <c r="FX166" s="676"/>
      <c r="FY166" s="676"/>
      <c r="FZ166" s="1039" t="s">
        <v>1542</v>
      </c>
      <c r="GA166" s="1061"/>
      <c r="GB166" s="1061"/>
      <c r="GC166" s="697"/>
      <c r="GD166" s="697"/>
    </row>
    <row s="1621" customFormat="1" customHeight="1" ht="14.25" hidden="1">
      <c r="A167" s="467"/>
      <c r="B167" s="907" cm="1" t="str">
        <f t="array" ref="B167:B167">B166</f>
        <v>false</v>
      </c>
      <c r="C167" s="467"/>
      <c r="D167" s="467"/>
      <c r="E167" s="822">
        <v>15</v>
      </c>
      <c r="F167" s="50" cm="1" t="str">
        <f t="array" ref="F167:F167">OFFSET(E167,-1,1)</f>
        <v>2</v>
      </c>
      <c r="G167" s="73" t="s">
        <v>1543</v>
      </c>
      <c r="H167" s="467" t="s">
        <v>1531</v>
      </c>
      <c r="I167" s="467" t="s">
        <v>1497</v>
      </c>
      <c r="J167" s="467"/>
      <c r="K167" s="467"/>
      <c r="L167" s="467"/>
      <c r="M167" s="467"/>
      <c r="N167" s="467"/>
      <c r="O167" s="467"/>
      <c r="P167" s="467"/>
      <c r="Q167" s="467"/>
      <c r="R167" s="467"/>
      <c r="S167" s="467"/>
      <c r="T167" s="439" cm="1" t="str">
        <f t="array" ref="T167:T167">T166</f>
        <v>true</v>
      </c>
      <c r="U167" s="467"/>
      <c r="V167" s="467"/>
      <c r="W167" s="467"/>
      <c r="X167" s="1534"/>
      <c r="Y167" s="467"/>
      <c r="Z167" s="1464"/>
      <c r="AA167" s="467"/>
      <c r="AB167" s="1076" t="str">
        <f>"объём "&amp;IF(Q141="Водоснабжение","потребления холодной воды","водоотведения")</f>
        <v>объём водоотведения</v>
      </c>
      <c r="AC167" s="846" t="s">
        <v>512</v>
      </c>
      <c r="AD167" s="3404">
        <f>IF(AND(method_reg="Метод индексации",god&lt;&gt;first_year),_xlfn.SUMIFS(INDEX('Калькуляция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(МИ)'!$AJ$25:$BC$459,,MATCH(AD$8,'Калькуляция (МИ)'!$AJ$8:$BC$8,0)),'Калькуляция (МИ)'!$F$25:$F$459,$F167,'Калькуляция (МИ)'!$G$25:$G$459,$G167))))</f>
        <v>68.24095</v>
      </c>
      <c r="AE167" s="3404">
        <f>IF(AND(method_reg="Метод индексации",god&lt;&gt;first_year),_xlfn.SUMIFS(INDEX('Калькуляция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(МИ)'!$AJ$25:$BC$459,,MATCH(AE$8,'Калькуляция (МИ)'!$AJ$8:$BC$8,0)),'Калькуляция (МИ)'!$F$25:$F$459,$F167,'Калькуляция (МИ)'!$G$25:$G$459,$G167))))</f>
        <v>34.1209</v>
      </c>
      <c r="AF167" s="1080">
        <f>IF(AD167=0,0,(AE167-AD167)/AD167*100)</f>
        <v>-49.9993772067945</v>
      </c>
      <c r="AG167" s="3404">
        <f>IF(AND(method_reg="Метод индексации",god&lt;&gt;first_year),_xlfn.SUMIFS(INDEX('Калькуляция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(МИ)'!$AJ$25:$BC$459,,MATCH(AG$8,'Калькуляция (МИ)'!$AJ$8:$BC$8,0)),'Калькуляция (МИ)'!$F$25:$F$459,$F167,'Калькуляция (МИ)'!$G$25:$G$459,$G167))))</f>
        <v>0</v>
      </c>
      <c r="AH167" s="3404">
        <f>IF(AND(method_reg="Метод индексации",god&lt;&gt;first_year),_xlfn.SUMIFS(INDEX('Калькуляция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(МИ)'!$AJ$25:$BC$459,,MATCH(AH$8,'Калькуляция (МИ)'!$AJ$8:$BC$8,0)),'Калькуляция (МИ)'!$F$25:$F$459,$F167,'Калькуляция (МИ)'!$G$25:$G$459,$G167))))</f>
        <v>0</v>
      </c>
      <c r="AI167" s="1080">
        <f>IF(AG167=0,0,(AH167-AG167)/AG167*100)</f>
        <v>0</v>
      </c>
      <c r="AJ167" s="3404">
        <f>IF(AND(method_reg="Метод индексации",god&lt;&gt;first_year),_xlfn.SUMIFS(INDEX('Калькуляция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(МИ)'!$AJ$25:$BC$459,,MATCH(AJ$8,'Калькуляция (МИ)'!$AJ$8:$BC$8,0)),'Калькуляция (МИ)'!$F$25:$F$459,$F167,'Калькуляция (МИ)'!$G$25:$G$459,$G167))))</f>
        <v>0</v>
      </c>
      <c r="AK167" s="3404">
        <f>IF(AND(method_reg="Метод индексации",god&lt;&gt;first_year),_xlfn.SUMIFS(INDEX('Калькуляция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(МИ)'!$AJ$25:$BC$459,,MATCH(AK$8,'Калькуляция (МИ)'!$AJ$8:$BC$8,0)),'Калькуляция (МИ)'!$F$25:$F$459,$F167,'Калькуляция (МИ)'!$G$25:$G$459,$G167))))</f>
        <v>0</v>
      </c>
      <c r="AL167" s="1080">
        <f>IF(AJ167=0,0,(AK167-AJ167)/AJ167*100)</f>
        <v>0</v>
      </c>
      <c r="AM167" s="3404">
        <f>IF(AND(method_reg="Метод индексации",god&lt;&gt;first_year),_xlfn.SUMIFS(INDEX('Калькуляция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(МИ)'!$AJ$25:$BC$459,,MATCH(AM$8,'Калькуляция (МИ)'!$AJ$8:$BC$8,0)),'Калькуляция (МИ)'!$F$25:$F$459,$F167,'Калькуляция (МИ)'!$G$25:$G$459,$G167))))</f>
        <v>0</v>
      </c>
      <c r="AN167" s="3404">
        <f>IF(AND(method_reg="Метод индексации",god&lt;&gt;first_year),_xlfn.SUMIFS(INDEX('Калькуляция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(МИ)'!$AJ$25:$BC$459,,MATCH(AN$8,'Калькуляция (МИ)'!$AJ$8:$BC$8,0)),'Калькуляция (МИ)'!$F$25:$F$459,$F167,'Калькуляция (МИ)'!$G$25:$G$459,$G167))))</f>
        <v>0</v>
      </c>
      <c r="AO167" s="1080">
        <f>IF(AM167=0,0,(AN167-AM167)/AM167*100)</f>
        <v>0</v>
      </c>
      <c r="AP167" s="3404">
        <f>IF(AND(method_reg="Метод индексации",god&lt;&gt;first_year),_xlfn.SUMIFS(INDEX('Калькуляция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(МИ)'!$AJ$25:$BC$459,,MATCH(AP$8,'Калькуляция (МИ)'!$AJ$8:$BC$8,0)),'Калькуляция (МИ)'!$F$25:$F$459,$F167,'Калькуляция (МИ)'!$G$25:$G$459,$G167))))</f>
        <v>0</v>
      </c>
      <c r="AQ167" s="3404">
        <f>IF(AND(method_reg="Метод индексации",god&lt;&gt;first_year),_xlfn.SUMIFS(INDEX('Калькуляция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(МИ)'!$AJ$25:$BC$459,,MATCH(AQ$8,'Калькуляция (МИ)'!$AJ$8:$BC$8,0)),'Калькуляция (МИ)'!$F$25:$F$459,$F167,'Калькуляция (МИ)'!$G$25:$G$459,$G167))))</f>
        <v>0</v>
      </c>
      <c r="AR167" s="1080">
        <f>IF(AP167=0,0,(AQ167-AP167)/AP167*100)</f>
        <v>0</v>
      </c>
      <c r="AS167" s="3404">
        <f>IF(AND(method_reg="Метод индексации",god&lt;&gt;first_year),_xlfn.SUMIFS(INDEX('Калькуляция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(МИ)'!$AJ$25:$BC$459,,MATCH(AS$8,'Калькуляция (МИ)'!$AJ$8:$BC$8,0)),'Калькуляция (МИ)'!$F$25:$F$459,$F167,'Калькуляция (МИ)'!$G$25:$G$459,$G167))))</f>
        <v>0</v>
      </c>
      <c r="AT167" s="3404">
        <f>IF(AND(method_reg="Метод индексации",god&lt;&gt;first_year),_xlfn.SUMIFS(INDEX('Калькуляция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(МИ)'!$AJ$25:$BC$459,,MATCH(AT$8,'Калькуляция (МИ)'!$AJ$8:$BC$8,0)),'Калькуляция (МИ)'!$F$25:$F$459,$F167,'Калькуляция (МИ)'!$G$25:$G$459,$G167))))</f>
        <v>0</v>
      </c>
      <c r="AU167" s="1080">
        <f>IF(AS167=0,0,(AT167-AS167)/AS167*100)</f>
        <v>0</v>
      </c>
      <c r="AV167" s="3404">
        <f>IF(AND(method_reg="Метод индексации",god&lt;&gt;first_year),_xlfn.SUMIFS(INDEX('Калькуляция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(МИ)'!$AJ$25:$BC$459,,MATCH(AV$8,'Калькуляция (МИ)'!$AJ$8:$BC$8,0)),'Калькуляция (МИ)'!$F$25:$F$459,$F167,'Калькуляция (МИ)'!$G$25:$G$459,$G167))))</f>
        <v>0</v>
      </c>
      <c r="AW167" s="3404">
        <f>IF(AND(method_reg="Метод индексации",god&lt;&gt;first_year),_xlfn.SUMIFS(INDEX('Калькуляция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(МИ)'!$AJ$25:$BC$459,,MATCH(AW$8,'Калькуляция (МИ)'!$AJ$8:$BC$8,0)),'Калькуляция (МИ)'!$F$25:$F$459,$F167,'Калькуляция (МИ)'!$G$25:$G$459,$G167))))</f>
        <v>0</v>
      </c>
      <c r="AX167" s="1080">
        <f>IF(AV167=0,0,(AW167-AV167)/AV167*100)</f>
        <v>0</v>
      </c>
      <c r="AY167" s="3404">
        <f>IF(AND(method_reg="Метод индексации",god&lt;&gt;first_year),_xlfn.SUMIFS(INDEX('Калькуляция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(МИ)'!$AJ$25:$BC$459,,MATCH(AY$8,'Калькуляция (МИ)'!$AJ$8:$BC$8,0)),'Калькуляция (МИ)'!$F$25:$F$459,$F167,'Калькуляция (МИ)'!$G$25:$G$459,$G167))))</f>
        <v>0</v>
      </c>
      <c r="AZ167" s="3404">
        <f>IF(AND(method_reg="Метод индексации",god&lt;&gt;first_year),_xlfn.SUMIFS(INDEX('Калькуляция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(МИ)'!$AJ$25:$BC$459,,MATCH(AZ$8,'Калькуляция (МИ)'!$AJ$8:$BC$8,0)),'Калькуляция (МИ)'!$F$25:$F$459,$F167,'Калькуляция (МИ)'!$G$25:$G$459,$G167))))</f>
        <v>0</v>
      </c>
      <c r="BA167" s="1080">
        <f>IF(AY167=0,0,(AZ167-AY167)/AY167*100)</f>
        <v>0</v>
      </c>
      <c r="BB167" s="3404">
        <f>IF(AND(method_reg="Метод индексации",god&lt;&gt;first_year),_xlfn.SUMIFS(INDEX('Калькуляция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(МИ)'!$AJ$25:$BC$459,,MATCH(BB$8,'Калькуляция (МИ)'!$AJ$8:$BC$8,0)),'Калькуляция (МИ)'!$F$25:$F$459,$F167,'Калькуляция (МИ)'!$G$25:$G$459,$G167))))</f>
        <v>0</v>
      </c>
      <c r="BC167" s="3404">
        <f>IF(AND(method_reg="Метод индексации",god&lt;&gt;first_year),_xlfn.SUMIFS(INDEX('Калькуляция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(МИ)'!$AJ$25:$BC$459,,MATCH(BC$8,'Калькуляция (МИ)'!$AJ$8:$BC$8,0)),'Калькуляция (МИ)'!$F$25:$F$459,$F167,'Калькуляция (МИ)'!$G$25:$G$459,$G167))))</f>
        <v>0</v>
      </c>
      <c r="BD167" s="1080">
        <f>IF(BB167=0,0,(BC167-BB167)/BB167*100)</f>
        <v>0</v>
      </c>
      <c r="BE167" s="3404">
        <f>IF(AND(method_reg="Метод индексации",god&lt;&gt;first_year),_xlfn.SUMIFS(INDEX('Калькуляция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расходов",_xlfn.SUMIFS('Калькуляция (МЭОР)'!$AJ$25:$AJ$282,'Калькуляция (МЭОР)'!$F$25:$F$282,$F167,'Калькуляция (МЭОР)'!$G$25:$G$282,$G167),IF(method_reg="Метод сравнения аналогов",_xlfn.SUMIFS('Калькуляция (МСА)'!$AE$25:$AE$84,'Калькуляция (МСА)'!$F$25:$F$84,$F167,'Калькуляция (МСА)'!$G$25:$G$84,$G167),_xlfn.SUMIFS(INDEX('Калькуляция (МИ)'!$AJ$25:$BC$459,,MATCH(BE$8,'Калькуляция (МИ)'!$AJ$8:$BC$8,0)),'Калькуляция (МИ)'!$F$25:$F$459,$F167,'Калькуляция (МИ)'!$G$25:$G$459,$G167))))</f>
        <v>0</v>
      </c>
      <c r="BF167" s="3404">
        <f>IF(AND(method_reg="Метод индексации",god&lt;&gt;first_year),_xlfn.SUMIFS(INDEX('Калькуляция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расходов",_xlfn.SUMIFS('Калькуляция (МЭОР)'!$AK$25:$AK$282,'Калькуляция (МЭОР)'!$F$25:$F$282,$F167,'Калькуляция (МЭОР)'!$G$25:$G$282,$G167),IF(method_reg="Метод сравнения аналогов",_xlfn.SUMIFS('Калькуляция (МСА)'!$AF$25:$AF$84,'Калькуляция (МСА)'!$F$25:$F$84,$F167,'Калькуляция (МСА)'!$G$25:$G$84,$G167),_xlfn.SUMIFS(INDEX('Калькуляция (МИ)'!$AJ$25:$BC$459,,MATCH(BF$8,'Калькуляция (МИ)'!$AJ$8:$BC$8,0)),'Калькуляция (МИ)'!$F$25:$F$459,$F167,'Калькуляция (МИ)'!$G$25:$G$459,$G167))))</f>
        <v>0</v>
      </c>
      <c r="BG167" s="1089">
        <f>IF(BE167=0,0,(BF167-BE167)/BE167*100)</f>
        <v>0</v>
      </c>
      <c r="BH167" s="3404"/>
      <c r="BI167" s="3404"/>
      <c r="BJ167" s="1089">
        <f>IF(BH167=0,0,(BI167-BH167)/BH167*100)</f>
        <v>0</v>
      </c>
      <c r="BK167" s="3404"/>
      <c r="BL167" s="3404"/>
      <c r="BM167" s="1089">
        <f>IF(BK167=0,0,(BL167-BK167)/BK167*100)</f>
        <v>0</v>
      </c>
      <c r="BN167" s="3404"/>
      <c r="BO167" s="3404"/>
      <c r="BP167" s="1089">
        <f>IF(BN167=0,0,(BO167-BN167)/BN167*100)</f>
        <v>0</v>
      </c>
      <c r="BQ167" s="3404"/>
      <c r="BR167" s="3404"/>
      <c r="BS167" s="1089">
        <f>IF(BQ167=0,0,(BR167-BQ167)/BQ167*100)</f>
        <v>0</v>
      </c>
      <c r="BT167" s="3404"/>
      <c r="BU167" s="3404"/>
      <c r="BV167" s="1089">
        <f>IF(BT167=0,0,(BU167-BT167)/BT167*100)</f>
        <v>0</v>
      </c>
      <c r="BW167" s="3404"/>
      <c r="BX167" s="3404"/>
      <c r="BY167" s="1089">
        <f>IF(BW167=0,0,(BX167-BW167)/BW167*100)</f>
        <v>0</v>
      </c>
      <c r="BZ167" s="3404"/>
      <c r="CA167" s="3404"/>
      <c r="CB167" s="1089">
        <f>IF(BZ167=0,0,(CA167-BZ167)/BZ167*100)</f>
        <v>0</v>
      </c>
      <c r="CC167" s="3404"/>
      <c r="CD167" s="3404"/>
      <c r="CE167" s="1089">
        <f>IF(CC167=0,0,(CD167-CC167)/CC167*100)</f>
        <v>0</v>
      </c>
      <c r="CF167" s="3404"/>
      <c r="CG167" s="3404"/>
      <c r="CH167" s="1089">
        <f>IF(CF167=0,0,(CG167-CF167)/CF167*100)</f>
        <v>0</v>
      </c>
      <c r="CI167" s="3404"/>
      <c r="CJ167" s="3404"/>
      <c r="CK167" s="1089">
        <f>IF(CI167=0,0,(CJ167-CI167)/CI167*100)</f>
        <v>0</v>
      </c>
      <c r="CL167" s="3404"/>
      <c r="CM167" s="3404"/>
      <c r="CN167" s="1089">
        <f>IF(CL167=0,0,(CM167-CL167)/CL167*100)</f>
        <v>0</v>
      </c>
      <c r="CO167" s="3404"/>
      <c r="CP167" s="3404"/>
      <c r="CQ167" s="1089">
        <f>IF(CO167=0,0,(CP167-CO167)/CO167*100)</f>
        <v>0</v>
      </c>
      <c r="CR167" s="3404"/>
      <c r="CS167" s="3404"/>
      <c r="CT167" s="1089">
        <f>IF(CR167=0,0,(CS167-CR167)/CR167*100)</f>
        <v>0</v>
      </c>
      <c r="CU167" s="3404"/>
      <c r="CV167" s="3404"/>
      <c r="CW167" s="1089">
        <f>IF(CU167=0,0,(CV167-CU167)/CU167*100)</f>
        <v>0</v>
      </c>
      <c r="CX167" s="3404"/>
      <c r="CY167" s="3404"/>
      <c r="CZ167" s="1089">
        <f>IF(CX167=0,0,(CY167-CX167)/CX167*100)</f>
        <v>0</v>
      </c>
      <c r="DA167" s="3404"/>
      <c r="DB167" s="3404"/>
      <c r="DC167" s="1089">
        <f>IF(DA167=0,0,(DB167-DA167)/DA167*100)</f>
        <v>0</v>
      </c>
      <c r="DD167" s="3404"/>
      <c r="DE167" s="3404"/>
      <c r="DF167" s="1089">
        <f>IF(DD167=0,0,(DE167-DD167)/DD167*100)</f>
        <v>0</v>
      </c>
      <c r="DG167" s="3404"/>
      <c r="DH167" s="3404"/>
      <c r="DI167" s="1089">
        <f>IF(DG167=0,0,(DH167-DG167)/DG167*100)</f>
        <v>0</v>
      </c>
      <c r="DJ167" s="3404"/>
      <c r="DK167" s="3404"/>
      <c r="DL167" s="1089">
        <f>IF(DJ167=0,0,(DK167-DJ167)/DJ167*100)</f>
        <v>0</v>
      </c>
      <c r="DM167" s="3404"/>
      <c r="DN167" s="3404"/>
      <c r="DO167" s="1089">
        <f>IF(DM167=0,0,(DN167-DM167)/DM167*100)</f>
        <v>0</v>
      </c>
      <c r="DP167" s="3404"/>
      <c r="DQ167" s="3404"/>
      <c r="DR167" s="1089">
        <f>IF(DP167=0,0,(DQ167-DP167)/DP167*100)</f>
        <v>0</v>
      </c>
      <c r="DS167" s="3404"/>
      <c r="DT167" s="3404"/>
      <c r="DU167" s="1089">
        <f>IF(DS167=0,0,(DT167-DS167)/DS167*100)</f>
        <v>0</v>
      </c>
      <c r="DV167" s="3404"/>
      <c r="DW167" s="3404"/>
      <c r="DX167" s="1089">
        <f>IF(DV167=0,0,(DW167-DV167)/DV167*100)</f>
        <v>0</v>
      </c>
      <c r="DY167" s="3404"/>
      <c r="DZ167" s="3404"/>
      <c r="EA167" s="1089">
        <f>IF(DY167=0,0,(DZ167-DY167)/DY167*100)</f>
        <v>0</v>
      </c>
      <c r="EB167" s="3404"/>
      <c r="EC167" s="3404"/>
      <c r="ED167" s="1089">
        <f>IF(EB167=0,0,(EC167-EB167)/EB167*100)</f>
        <v>0</v>
      </c>
      <c r="EE167" s="3404"/>
      <c r="EF167" s="3404"/>
      <c r="EG167" s="1089">
        <f>IF(EE167=0,0,(EF167-EE167)/EE167*100)</f>
        <v>0</v>
      </c>
      <c r="EH167" s="3404"/>
      <c r="EI167" s="3404"/>
      <c r="EJ167" s="1089">
        <f>IF(EH167=0,0,(EI167-EH167)/EH167*100)</f>
        <v>0</v>
      </c>
      <c r="EK167" s="3404"/>
      <c r="EL167" s="3404"/>
      <c r="EM167" s="1089">
        <f>IF(EK167=0,0,(EL167-EK167)/EK167*100)</f>
        <v>0</v>
      </c>
      <c r="EN167" s="3404"/>
      <c r="EO167" s="3404"/>
      <c r="EP167" s="1089">
        <f>IF(EN167=0,0,(EO167-EN167)/EN167*100)</f>
        <v>0</v>
      </c>
      <c r="EQ167" s="3404"/>
      <c r="ER167" s="3404"/>
      <c r="ES167" s="1089">
        <f>IF(EQ167=0,0,(ER167-EQ167)/EQ167*100)</f>
        <v>0</v>
      </c>
      <c r="ET167" s="3404"/>
      <c r="EU167" s="3404"/>
      <c r="EV167" s="1089">
        <f>IF(ET167=0,0,(EU167-ET167)/ET167*100)</f>
        <v>0</v>
      </c>
      <c r="EW167" s="3404"/>
      <c r="EX167" s="3404"/>
      <c r="EY167" s="1089">
        <f>IF(EW167=0,0,(EX167-EW167)/EW167*100)</f>
        <v>0</v>
      </c>
      <c r="EZ167" s="3404"/>
      <c r="FA167" s="3404"/>
      <c r="FB167" s="1089">
        <f>IF(EZ167=0,0,(FA167-EZ167)/EZ167*100)</f>
        <v>0</v>
      </c>
      <c r="FC167" s="3404"/>
      <c r="FD167" s="3404"/>
      <c r="FE167" s="1089">
        <f>IF(FC167=0,0,(FD167-FC167)/FC167*100)</f>
        <v>0</v>
      </c>
      <c r="FF167" s="3404"/>
      <c r="FG167" s="3404"/>
      <c r="FH167" s="1089">
        <f>IF(FF167=0,0,(FG167-FF167)/FF167*100)</f>
        <v>0</v>
      </c>
      <c r="FI167" s="3404"/>
      <c r="FJ167" s="3404"/>
      <c r="FK167" s="1089">
        <f>IF(FI167=0,0,(FJ167-FI167)/FI167*100)</f>
        <v>0</v>
      </c>
      <c r="FL167" s="3404"/>
      <c r="FM167" s="3404"/>
      <c r="FN167" s="1089">
        <f>IF(FL167=0,0,(FM167-FL167)/FL167*100)</f>
        <v>0</v>
      </c>
      <c r="FO167" s="3404"/>
      <c r="FP167" s="3404"/>
      <c r="FQ167" s="1089">
        <f>IF(FO167=0,0,(FP167-FO167)/FO167*100)</f>
        <v>0</v>
      </c>
      <c r="FR167" s="3404"/>
      <c r="FS167" s="3404"/>
      <c r="FT167" s="1089">
        <f>IF(FR167=0,0,(FS167-FR167)/FR167*100)</f>
        <v>0</v>
      </c>
      <c r="FU167" s="3404"/>
      <c r="FV167" s="3404"/>
      <c r="FW167" s="1089">
        <f>IF(FU167=0,0,(FV167-FU167)/FU167*100)</f>
        <v>0</v>
      </c>
      <c r="FX167" s="676"/>
      <c r="FY167" s="676"/>
      <c r="FZ167" s="1039" t="s">
        <v>1544</v>
      </c>
      <c r="GA167" s="1061"/>
      <c r="GB167" s="1061"/>
      <c r="GC167" s="697"/>
      <c r="GD167" s="697"/>
    </row>
    <row s="1621" customFormat="1" customHeight="1" ht="21.75" hidden="1">
      <c r="A168" s="467"/>
      <c r="B168" s="907" cm="1" t="str">
        <f t="array" ref="B168:B168">B167</f>
        <v>false</v>
      </c>
      <c r="C168" s="467"/>
      <c r="D168" s="467"/>
      <c r="E168" s="822">
        <v>22.5</v>
      </c>
      <c r="F168" s="50" cm="1" t="str">
        <f t="array" ref="F168:F168">OFFSET(E168,-1,1)</f>
        <v>2</v>
      </c>
      <c r="G168" s="467"/>
      <c r="H168" s="467" t="s">
        <v>1533</v>
      </c>
      <c r="I168" s="467" t="s">
        <v>1497</v>
      </c>
      <c r="J168" s="467"/>
      <c r="K168" s="467"/>
      <c r="L168" s="467"/>
      <c r="M168" s="467"/>
      <c r="N168" s="467"/>
      <c r="O168" s="467"/>
      <c r="P168" s="467"/>
      <c r="Q168" s="467"/>
      <c r="R168" s="467"/>
      <c r="S168" s="467"/>
      <c r="T168" s="439" cm="1" t="str">
        <f t="array" ref="T168:T168">T167</f>
        <v>true</v>
      </c>
      <c r="U168" s="467"/>
      <c r="V168" s="467"/>
      <c r="W168" s="467"/>
      <c r="X168" s="1534"/>
      <c r="Y168" s="467"/>
      <c r="Z168" s="1464"/>
      <c r="AA168" s="467"/>
      <c r="AB168" s="107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846" t="s">
        <v>1534</v>
      </c>
      <c r="AD168" s="3409"/>
      <c r="AE168" s="3409"/>
      <c r="AF168" s="1078">
        <f>IF(AD168=0,0,(AE168-AD168)/AD168*100)</f>
        <v>0</v>
      </c>
      <c r="AG168" s="3409"/>
      <c r="AH168" s="3409"/>
      <c r="AI168" s="1078">
        <f>IF(AG168=0,0,(AH168-AG168)/AG168*100)</f>
        <v>0</v>
      </c>
      <c r="AJ168" s="3409"/>
      <c r="AK168" s="3409"/>
      <c r="AL168" s="1078">
        <f>IF(AJ168=0,0,(AK168-AJ168)/AJ168*100)</f>
        <v>0</v>
      </c>
      <c r="AM168" s="3409"/>
      <c r="AN168" s="3409"/>
      <c r="AO168" s="1078">
        <f>IF(AM168=0,0,(AN168-AM168)/AM168*100)</f>
        <v>0</v>
      </c>
      <c r="AP168" s="3409"/>
      <c r="AQ168" s="3409"/>
      <c r="AR168" s="1078">
        <f>IF(AP168=0,0,(AQ168-AP168)/AP168*100)</f>
        <v>0</v>
      </c>
      <c r="AS168" s="3409"/>
      <c r="AT168" s="3409"/>
      <c r="AU168" s="1078">
        <f>IF(AS168=0,0,(AT168-AS168)/AS168*100)</f>
        <v>0</v>
      </c>
      <c r="AV168" s="3409"/>
      <c r="AW168" s="3409"/>
      <c r="AX168" s="1078">
        <f>IF(AV168=0,0,(AW168-AV168)/AV168*100)</f>
        <v>0</v>
      </c>
      <c r="AY168" s="3409"/>
      <c r="AZ168" s="3409"/>
      <c r="BA168" s="1078">
        <f>IF(AY168=0,0,(AZ168-AY168)/AY168*100)</f>
        <v>0</v>
      </c>
      <c r="BB168" s="3409"/>
      <c r="BC168" s="3409"/>
      <c r="BD168" s="1078">
        <f>IF(BB168=0,0,(BC168-BB168)/BB168*100)</f>
        <v>0</v>
      </c>
      <c r="BE168" s="3409"/>
      <c r="BF168" s="3409"/>
      <c r="BG168" s="1078">
        <f>IF(BE168=0,0,(BF168-BE168)/BE168*100)</f>
        <v>0</v>
      </c>
      <c r="BH168" s="3409"/>
      <c r="BI168" s="3409"/>
      <c r="BJ168" s="1078">
        <f>IF(BH168=0,0,(BI168-BH168)/BH168*100)</f>
        <v>0</v>
      </c>
      <c r="BK168" s="3409"/>
      <c r="BL168" s="3409"/>
      <c r="BM168" s="1078">
        <f>IF(BK168=0,0,(BL168-BK168)/BK168*100)</f>
        <v>0</v>
      </c>
      <c r="BN168" s="3409"/>
      <c r="BO168" s="3409"/>
      <c r="BP168" s="1078">
        <f>IF(BN168=0,0,(BO168-BN168)/BN168*100)</f>
        <v>0</v>
      </c>
      <c r="BQ168" s="3409"/>
      <c r="BR168" s="3409"/>
      <c r="BS168" s="1078">
        <f>IF(BQ168=0,0,(BR168-BQ168)/BQ168*100)</f>
        <v>0</v>
      </c>
      <c r="BT168" s="3409"/>
      <c r="BU168" s="3409"/>
      <c r="BV168" s="1078">
        <f>IF(BT168=0,0,(BU168-BT168)/BT168*100)</f>
        <v>0</v>
      </c>
      <c r="BW168" s="3409"/>
      <c r="BX168" s="3409"/>
      <c r="BY168" s="1078">
        <f>IF(BW168=0,0,(BX168-BW168)/BW168*100)</f>
        <v>0</v>
      </c>
      <c r="BZ168" s="3409"/>
      <c r="CA168" s="3409"/>
      <c r="CB168" s="1078">
        <f>IF(BZ168=0,0,(CA168-BZ168)/BZ168*100)</f>
        <v>0</v>
      </c>
      <c r="CC168" s="3409"/>
      <c r="CD168" s="3409"/>
      <c r="CE168" s="1078">
        <f>IF(CC168=0,0,(CD168-CC168)/CC168*100)</f>
        <v>0</v>
      </c>
      <c r="CF168" s="3409"/>
      <c r="CG168" s="3409"/>
      <c r="CH168" s="1078">
        <f>IF(CF168=0,0,(CG168-CF168)/CF168*100)</f>
        <v>0</v>
      </c>
      <c r="CI168" s="3409"/>
      <c r="CJ168" s="3409"/>
      <c r="CK168" s="1078">
        <f>IF(CI168=0,0,(CJ168-CI168)/CI168*100)</f>
        <v>0</v>
      </c>
      <c r="CL168" s="3409"/>
      <c r="CM168" s="3409"/>
      <c r="CN168" s="1078">
        <f>IF(CL168=0,0,(CM168-CL168)/CL168*100)</f>
        <v>0</v>
      </c>
      <c r="CO168" s="3409"/>
      <c r="CP168" s="3409"/>
      <c r="CQ168" s="1078">
        <f>IF(CO168=0,0,(CP168-CO168)/CO168*100)</f>
        <v>0</v>
      </c>
      <c r="CR168" s="3409"/>
      <c r="CS168" s="3409"/>
      <c r="CT168" s="1078">
        <f>IF(CR168=0,0,(CS168-CR168)/CR168*100)</f>
        <v>0</v>
      </c>
      <c r="CU168" s="3409"/>
      <c r="CV168" s="3409"/>
      <c r="CW168" s="1078">
        <f>IF(CU168=0,0,(CV168-CU168)/CU168*100)</f>
        <v>0</v>
      </c>
      <c r="CX168" s="3409"/>
      <c r="CY168" s="3409"/>
      <c r="CZ168" s="1078">
        <f>IF(CX168=0,0,(CY168-CX168)/CX168*100)</f>
        <v>0</v>
      </c>
      <c r="DA168" s="3409"/>
      <c r="DB168" s="3409"/>
      <c r="DC168" s="1078">
        <f>IF(DA168=0,0,(DB168-DA168)/DA168*100)</f>
        <v>0</v>
      </c>
      <c r="DD168" s="3409"/>
      <c r="DE168" s="3409"/>
      <c r="DF168" s="1078">
        <f>IF(DD168=0,0,(DE168-DD168)/DD168*100)</f>
        <v>0</v>
      </c>
      <c r="DG168" s="3409"/>
      <c r="DH168" s="3409"/>
      <c r="DI168" s="1078">
        <f>IF(DG168=0,0,(DH168-DG168)/DG168*100)</f>
        <v>0</v>
      </c>
      <c r="DJ168" s="3409"/>
      <c r="DK168" s="3409"/>
      <c r="DL168" s="1078">
        <f>IF(DJ168=0,0,(DK168-DJ168)/DJ168*100)</f>
        <v>0</v>
      </c>
      <c r="DM168" s="3409"/>
      <c r="DN168" s="3409"/>
      <c r="DO168" s="1078">
        <f>IF(DM168=0,0,(DN168-DM168)/DM168*100)</f>
        <v>0</v>
      </c>
      <c r="DP168" s="3409"/>
      <c r="DQ168" s="3409"/>
      <c r="DR168" s="1078">
        <f>IF(DP168=0,0,(DQ168-DP168)/DP168*100)</f>
        <v>0</v>
      </c>
      <c r="DS168" s="3409"/>
      <c r="DT168" s="3409"/>
      <c r="DU168" s="1078">
        <f>IF(DS168=0,0,(DT168-DS168)/DS168*100)</f>
        <v>0</v>
      </c>
      <c r="DV168" s="3409"/>
      <c r="DW168" s="3409"/>
      <c r="DX168" s="1078">
        <f>IF(DV168=0,0,(DW168-DV168)/DV168*100)</f>
        <v>0</v>
      </c>
      <c r="DY168" s="3409"/>
      <c r="DZ168" s="3409"/>
      <c r="EA168" s="1078">
        <f>IF(DY168=0,0,(DZ168-DY168)/DY168*100)</f>
        <v>0</v>
      </c>
      <c r="EB168" s="3409"/>
      <c r="EC168" s="3409"/>
      <c r="ED168" s="1078">
        <f>IF(EB168=0,0,(EC168-EB168)/EB168*100)</f>
        <v>0</v>
      </c>
      <c r="EE168" s="3409"/>
      <c r="EF168" s="3409"/>
      <c r="EG168" s="1078">
        <f>IF(EE168=0,0,(EF168-EE168)/EE168*100)</f>
        <v>0</v>
      </c>
      <c r="EH168" s="3409"/>
      <c r="EI168" s="3409"/>
      <c r="EJ168" s="1078">
        <f>IF(EH168=0,0,(EI168-EH168)/EH168*100)</f>
        <v>0</v>
      </c>
      <c r="EK168" s="3409"/>
      <c r="EL168" s="3409"/>
      <c r="EM168" s="1078">
        <f>IF(EK168=0,0,(EL168-EK168)/EK168*100)</f>
        <v>0</v>
      </c>
      <c r="EN168" s="3409"/>
      <c r="EO168" s="3409"/>
      <c r="EP168" s="1078">
        <f>IF(EN168=0,0,(EO168-EN168)/EN168*100)</f>
        <v>0</v>
      </c>
      <c r="EQ168" s="3409"/>
      <c r="ER168" s="3409"/>
      <c r="ES168" s="1078">
        <f>IF(EQ168=0,0,(ER168-EQ168)/EQ168*100)</f>
        <v>0</v>
      </c>
      <c r="ET168" s="3409"/>
      <c r="EU168" s="3409"/>
      <c r="EV168" s="1078">
        <f>IF(ET168=0,0,(EU168-ET168)/ET168*100)</f>
        <v>0</v>
      </c>
      <c r="EW168" s="3409"/>
      <c r="EX168" s="3409"/>
      <c r="EY168" s="1078">
        <f>IF(EW168=0,0,(EX168-EW168)/EW168*100)</f>
        <v>0</v>
      </c>
      <c r="EZ168" s="3409"/>
      <c r="FA168" s="3409"/>
      <c r="FB168" s="1078">
        <f>IF(EZ168=0,0,(FA168-EZ168)/EZ168*100)</f>
        <v>0</v>
      </c>
      <c r="FC168" s="3409"/>
      <c r="FD168" s="3409"/>
      <c r="FE168" s="1078">
        <f>IF(FC168=0,0,(FD168-FC168)/FC168*100)</f>
        <v>0</v>
      </c>
      <c r="FF168" s="3409"/>
      <c r="FG168" s="3409"/>
      <c r="FH168" s="1078">
        <f>IF(FF168=0,0,(FG168-FF168)/FF168*100)</f>
        <v>0</v>
      </c>
      <c r="FI168" s="3409"/>
      <c r="FJ168" s="3409"/>
      <c r="FK168" s="1078">
        <f>IF(FI168=0,0,(FJ168-FI168)/FI168*100)</f>
        <v>0</v>
      </c>
      <c r="FL168" s="3409"/>
      <c r="FM168" s="3409"/>
      <c r="FN168" s="1078">
        <f>IF(FL168=0,0,(FM168-FL168)/FL168*100)</f>
        <v>0</v>
      </c>
      <c r="FO168" s="3409"/>
      <c r="FP168" s="3409"/>
      <c r="FQ168" s="1078">
        <f>IF(FO168=0,0,(FP168-FO168)/FO168*100)</f>
        <v>0</v>
      </c>
      <c r="FR168" s="3409"/>
      <c r="FS168" s="3409"/>
      <c r="FT168" s="1078">
        <f>IF(FR168=0,0,(FS168-FR168)/FR168*100)</f>
        <v>0</v>
      </c>
      <c r="FU168" s="3409"/>
      <c r="FV168" s="3409"/>
      <c r="FW168" s="1078">
        <f>IF(FU168=0,0,(FV168-FU168)/FU168*100)</f>
        <v>0</v>
      </c>
      <c r="FX168" s="676"/>
      <c r="FY168" s="676"/>
      <c r="FZ168" s="1039" t="s">
        <v>1545</v>
      </c>
      <c r="GA168" s="1061"/>
      <c r="GB168" s="1061"/>
      <c r="GC168" s="697"/>
      <c r="GD168" s="697"/>
    </row>
    <row s="1621" customFormat="1" customHeight="1" ht="14.25" hidden="1">
      <c r="A169" s="467"/>
      <c r="B169" s="907" cm="1" t="str">
        <f t="array" ref="B169:B169">B168</f>
        <v>false</v>
      </c>
      <c r="C169" s="467"/>
      <c r="D169" s="467"/>
      <c r="E169" s="822">
        <v>15</v>
      </c>
      <c r="F169" s="50" cm="1" t="str">
        <f t="array" ref="F169:F169">OFFSET(E169,-1,1)</f>
        <v>2</v>
      </c>
      <c r="G169" s="467"/>
      <c r="H169" s="467" t="s">
        <v>1536</v>
      </c>
      <c r="I169" s="467" t="s">
        <v>1497</v>
      </c>
      <c r="J169" s="467"/>
      <c r="K169" s="467"/>
      <c r="L169" s="467"/>
      <c r="M169" s="467"/>
      <c r="N169" s="467"/>
      <c r="O169" s="467"/>
      <c r="P169" s="467"/>
      <c r="Q169" s="467"/>
      <c r="R169" s="467"/>
      <c r="S169" s="467"/>
      <c r="T169" s="439" cm="1" t="str">
        <f t="array" ref="T169:T169">T168</f>
        <v>true</v>
      </c>
      <c r="U169" s="467"/>
      <c r="V169" s="467"/>
      <c r="W169" s="467"/>
      <c r="X169" s="1534"/>
      <c r="Y169" s="467"/>
      <c r="Z169" s="1464"/>
      <c r="AA169" s="467"/>
      <c r="AB169" s="1076" t="s">
        <v>1537</v>
      </c>
      <c r="AC169" s="846" t="s">
        <v>1538</v>
      </c>
      <c r="AD169" s="3409"/>
      <c r="AE169" s="3409"/>
      <c r="AF169" s="1078">
        <f>IF(AD169=0,0,(AE169-AD169)/AD169*100)</f>
        <v>0</v>
      </c>
      <c r="AG169" s="3409"/>
      <c r="AH169" s="3409"/>
      <c r="AI169" s="1078">
        <f>IF(AG169=0,0,(AH169-AG169)/AG169*100)</f>
        <v>0</v>
      </c>
      <c r="AJ169" s="3409"/>
      <c r="AK169" s="3409"/>
      <c r="AL169" s="1078">
        <f>IF(AJ169=0,0,(AK169-AJ169)/AJ169*100)</f>
        <v>0</v>
      </c>
      <c r="AM169" s="3409"/>
      <c r="AN169" s="3409"/>
      <c r="AO169" s="1078">
        <f>IF(AM169=0,0,(AN169-AM169)/AM169*100)</f>
        <v>0</v>
      </c>
      <c r="AP169" s="3409"/>
      <c r="AQ169" s="3409"/>
      <c r="AR169" s="1078">
        <f>IF(AP169=0,0,(AQ169-AP169)/AP169*100)</f>
        <v>0</v>
      </c>
      <c r="AS169" s="3409"/>
      <c r="AT169" s="3409"/>
      <c r="AU169" s="1078">
        <f>IF(AS169=0,0,(AT169-AS169)/AS169*100)</f>
        <v>0</v>
      </c>
      <c r="AV169" s="3409"/>
      <c r="AW169" s="3409"/>
      <c r="AX169" s="1078">
        <f>IF(AV169=0,0,(AW169-AV169)/AV169*100)</f>
        <v>0</v>
      </c>
      <c r="AY169" s="3409"/>
      <c r="AZ169" s="3409"/>
      <c r="BA169" s="1078">
        <f>IF(AY169=0,0,(AZ169-AY169)/AY169*100)</f>
        <v>0</v>
      </c>
      <c r="BB169" s="3409"/>
      <c r="BC169" s="3409"/>
      <c r="BD169" s="1078">
        <f>IF(BB169=0,0,(BC169-BB169)/BB169*100)</f>
        <v>0</v>
      </c>
      <c r="BE169" s="3409"/>
      <c r="BF169" s="3409"/>
      <c r="BG169" s="1078">
        <f>IF(BE169=0,0,(BF169-BE169)/BE169*100)</f>
        <v>0</v>
      </c>
      <c r="BH169" s="3409"/>
      <c r="BI169" s="3409"/>
      <c r="BJ169" s="1078">
        <f>IF(BH169=0,0,(BI169-BH169)/BH169*100)</f>
        <v>0</v>
      </c>
      <c r="BK169" s="3409"/>
      <c r="BL169" s="3409"/>
      <c r="BM169" s="1078">
        <f>IF(BK169=0,0,(BL169-BK169)/BK169*100)</f>
        <v>0</v>
      </c>
      <c r="BN169" s="3409"/>
      <c r="BO169" s="3409"/>
      <c r="BP169" s="1078">
        <f>IF(BN169=0,0,(BO169-BN169)/BN169*100)</f>
        <v>0</v>
      </c>
      <c r="BQ169" s="3409"/>
      <c r="BR169" s="3409"/>
      <c r="BS169" s="1078">
        <f>IF(BQ169=0,0,(BR169-BQ169)/BQ169*100)</f>
        <v>0</v>
      </c>
      <c r="BT169" s="3409"/>
      <c r="BU169" s="3409"/>
      <c r="BV169" s="1078">
        <f>IF(BT169=0,0,(BU169-BT169)/BT169*100)</f>
        <v>0</v>
      </c>
      <c r="BW169" s="3409"/>
      <c r="BX169" s="3409"/>
      <c r="BY169" s="1078">
        <f>IF(BW169=0,0,(BX169-BW169)/BW169*100)</f>
        <v>0</v>
      </c>
      <c r="BZ169" s="3409"/>
      <c r="CA169" s="3409"/>
      <c r="CB169" s="1078">
        <f>IF(BZ169=0,0,(CA169-BZ169)/BZ169*100)</f>
        <v>0</v>
      </c>
      <c r="CC169" s="3409"/>
      <c r="CD169" s="3409"/>
      <c r="CE169" s="1078">
        <f>IF(CC169=0,0,(CD169-CC169)/CC169*100)</f>
        <v>0</v>
      </c>
      <c r="CF169" s="3409"/>
      <c r="CG169" s="3409"/>
      <c r="CH169" s="1078">
        <f>IF(CF169=0,0,(CG169-CF169)/CF169*100)</f>
        <v>0</v>
      </c>
      <c r="CI169" s="3409"/>
      <c r="CJ169" s="3409"/>
      <c r="CK169" s="1078">
        <f>IF(CI169=0,0,(CJ169-CI169)/CI169*100)</f>
        <v>0</v>
      </c>
      <c r="CL169" s="3409"/>
      <c r="CM169" s="3409"/>
      <c r="CN169" s="1078">
        <f>IF(CL169=0,0,(CM169-CL169)/CL169*100)</f>
        <v>0</v>
      </c>
      <c r="CO169" s="3409"/>
      <c r="CP169" s="3409"/>
      <c r="CQ169" s="1078">
        <f>IF(CO169=0,0,(CP169-CO169)/CO169*100)</f>
        <v>0</v>
      </c>
      <c r="CR169" s="3409"/>
      <c r="CS169" s="3409"/>
      <c r="CT169" s="1078">
        <f>IF(CR169=0,0,(CS169-CR169)/CR169*100)</f>
        <v>0</v>
      </c>
      <c r="CU169" s="3409"/>
      <c r="CV169" s="3409"/>
      <c r="CW169" s="1078">
        <f>IF(CU169=0,0,(CV169-CU169)/CU169*100)</f>
        <v>0</v>
      </c>
      <c r="CX169" s="3409"/>
      <c r="CY169" s="3409"/>
      <c r="CZ169" s="1078">
        <f>IF(CX169=0,0,(CY169-CX169)/CX169*100)</f>
        <v>0</v>
      </c>
      <c r="DA169" s="3409"/>
      <c r="DB169" s="3409"/>
      <c r="DC169" s="1078">
        <f>IF(DA169=0,0,(DB169-DA169)/DA169*100)</f>
        <v>0</v>
      </c>
      <c r="DD169" s="3409"/>
      <c r="DE169" s="3409"/>
      <c r="DF169" s="1078">
        <f>IF(DD169=0,0,(DE169-DD169)/DD169*100)</f>
        <v>0</v>
      </c>
      <c r="DG169" s="3409"/>
      <c r="DH169" s="3409"/>
      <c r="DI169" s="1078">
        <f>IF(DG169=0,0,(DH169-DG169)/DG169*100)</f>
        <v>0</v>
      </c>
      <c r="DJ169" s="3409"/>
      <c r="DK169" s="3409"/>
      <c r="DL169" s="1078">
        <f>IF(DJ169=0,0,(DK169-DJ169)/DJ169*100)</f>
        <v>0</v>
      </c>
      <c r="DM169" s="3409"/>
      <c r="DN169" s="3409"/>
      <c r="DO169" s="1078">
        <f>IF(DM169=0,0,(DN169-DM169)/DM169*100)</f>
        <v>0</v>
      </c>
      <c r="DP169" s="3409"/>
      <c r="DQ169" s="3409"/>
      <c r="DR169" s="1078">
        <f>IF(DP169=0,0,(DQ169-DP169)/DP169*100)</f>
        <v>0</v>
      </c>
      <c r="DS169" s="3409"/>
      <c r="DT169" s="3409"/>
      <c r="DU169" s="1078">
        <f>IF(DS169=0,0,(DT169-DS169)/DS169*100)</f>
        <v>0</v>
      </c>
      <c r="DV169" s="3409"/>
      <c r="DW169" s="3409"/>
      <c r="DX169" s="1078">
        <f>IF(DV169=0,0,(DW169-DV169)/DV169*100)</f>
        <v>0</v>
      </c>
      <c r="DY169" s="3409"/>
      <c r="DZ169" s="3409"/>
      <c r="EA169" s="1078">
        <f>IF(DY169=0,0,(DZ169-DY169)/DY169*100)</f>
        <v>0</v>
      </c>
      <c r="EB169" s="3409"/>
      <c r="EC169" s="3409"/>
      <c r="ED169" s="1078">
        <f>IF(EB169=0,0,(EC169-EB169)/EB169*100)</f>
        <v>0</v>
      </c>
      <c r="EE169" s="3409"/>
      <c r="EF169" s="3409"/>
      <c r="EG169" s="1078">
        <f>IF(EE169=0,0,(EF169-EE169)/EE169*100)</f>
        <v>0</v>
      </c>
      <c r="EH169" s="3409"/>
      <c r="EI169" s="3409"/>
      <c r="EJ169" s="1078">
        <f>IF(EH169=0,0,(EI169-EH169)/EH169*100)</f>
        <v>0</v>
      </c>
      <c r="EK169" s="3409"/>
      <c r="EL169" s="3409"/>
      <c r="EM169" s="1078">
        <f>IF(EK169=0,0,(EL169-EK169)/EK169*100)</f>
        <v>0</v>
      </c>
      <c r="EN169" s="3409"/>
      <c r="EO169" s="3409"/>
      <c r="EP169" s="1078">
        <f>IF(EN169=0,0,(EO169-EN169)/EN169*100)</f>
        <v>0</v>
      </c>
      <c r="EQ169" s="3409"/>
      <c r="ER169" s="3409"/>
      <c r="ES169" s="1078">
        <f>IF(EQ169=0,0,(ER169-EQ169)/EQ169*100)</f>
        <v>0</v>
      </c>
      <c r="ET169" s="3409"/>
      <c r="EU169" s="3409"/>
      <c r="EV169" s="1078">
        <f>IF(ET169=0,0,(EU169-ET169)/ET169*100)</f>
        <v>0</v>
      </c>
      <c r="EW169" s="3409"/>
      <c r="EX169" s="3409"/>
      <c r="EY169" s="1078">
        <f>IF(EW169=0,0,(EX169-EW169)/EW169*100)</f>
        <v>0</v>
      </c>
      <c r="EZ169" s="3409"/>
      <c r="FA169" s="3409"/>
      <c r="FB169" s="1078">
        <f>IF(EZ169=0,0,(FA169-EZ169)/EZ169*100)</f>
        <v>0</v>
      </c>
      <c r="FC169" s="3409"/>
      <c r="FD169" s="3409"/>
      <c r="FE169" s="1078">
        <f>IF(FC169=0,0,(FD169-FC169)/FC169*100)</f>
        <v>0</v>
      </c>
      <c r="FF169" s="3409"/>
      <c r="FG169" s="3409"/>
      <c r="FH169" s="1078">
        <f>IF(FF169=0,0,(FG169-FF169)/FF169*100)</f>
        <v>0</v>
      </c>
      <c r="FI169" s="3409"/>
      <c r="FJ169" s="3409"/>
      <c r="FK169" s="1078">
        <f>IF(FI169=0,0,(FJ169-FI169)/FI169*100)</f>
        <v>0</v>
      </c>
      <c r="FL169" s="3409"/>
      <c r="FM169" s="3409"/>
      <c r="FN169" s="1078">
        <f>IF(FL169=0,0,(FM169-FL169)/FL169*100)</f>
        <v>0</v>
      </c>
      <c r="FO169" s="3409"/>
      <c r="FP169" s="3409"/>
      <c r="FQ169" s="1078">
        <f>IF(FO169=0,0,(FP169-FO169)/FO169*100)</f>
        <v>0</v>
      </c>
      <c r="FR169" s="3409"/>
      <c r="FS169" s="3409"/>
      <c r="FT169" s="1078">
        <f>IF(FR169=0,0,(FS169-FR169)/FR169*100)</f>
        <v>0</v>
      </c>
      <c r="FU169" s="3409"/>
      <c r="FV169" s="3409"/>
      <c r="FW169" s="1078">
        <f>IF(FU169=0,0,(FV169-FU169)/FU169*100)</f>
        <v>0</v>
      </c>
      <c r="FX169" s="676"/>
      <c r="FY169" s="676"/>
      <c r="FZ169" s="1039" t="s">
        <v>1546</v>
      </c>
      <c r="GA169" s="1061"/>
      <c r="GB169" s="1061"/>
      <c r="GC169" s="697"/>
      <c r="GD169" s="697"/>
    </row>
    <row s="1621" customFormat="1" customHeight="1" ht="23.25" hidden="1">
      <c r="A170" s="467"/>
      <c r="B170" s="907" cm="1" t="str">
        <f t="array" ref="B170:B170">B169</f>
        <v>false</v>
      </c>
      <c r="C170" s="467"/>
      <c r="D170" s="467"/>
      <c r="E170" s="822">
        <v>24.5</v>
      </c>
      <c r="F170" s="50" cm="1" t="str">
        <f t="array" ref="F170:F170">OFFSET(E170,-1,1)</f>
        <v>2</v>
      </c>
      <c r="G170" s="467"/>
      <c r="H170" s="467"/>
      <c r="I170" s="467"/>
      <c r="J170" s="467"/>
      <c r="K170" s="467"/>
      <c r="L170" s="467"/>
      <c r="M170" s="467"/>
      <c r="N170" s="467"/>
      <c r="O170" s="467"/>
      <c r="P170" s="467"/>
      <c r="Q170" s="467"/>
      <c r="R170" s="467"/>
      <c r="S170" s="467"/>
      <c r="T170" s="439" cm="1" t="str">
        <f t="array" ref="T170:T170">T169</f>
        <v>true</v>
      </c>
      <c r="U170" s="467"/>
      <c r="V170" s="467"/>
      <c r="W170" s="467"/>
      <c r="X170" s="1534"/>
      <c r="Y170" s="467"/>
      <c r="Z170" s="1464"/>
      <c r="AA170" s="467"/>
      <c r="AB170" s="260" t="s">
        <v>1547</v>
      </c>
      <c r="AC170" s="885"/>
      <c r="AD170" s="1087"/>
      <c r="AE170" s="1087"/>
      <c r="AF170" s="1087"/>
      <c r="AG170" s="1087"/>
      <c r="AH170" s="1087"/>
      <c r="AI170" s="1087"/>
      <c r="AJ170" s="1087"/>
      <c r="AK170" s="1087"/>
      <c r="AL170" s="1087"/>
      <c r="AM170" s="1087"/>
      <c r="AN170" s="1087"/>
      <c r="AO170" s="1087"/>
      <c r="AP170" s="1087"/>
      <c r="AQ170" s="1087"/>
      <c r="AR170" s="1087"/>
      <c r="AS170" s="1087"/>
      <c r="AT170" s="1087"/>
      <c r="AU170" s="1087"/>
      <c r="AV170" s="1087"/>
      <c r="AW170" s="1087"/>
      <c r="AX170" s="1087"/>
      <c r="AY170" s="1087"/>
      <c r="AZ170" s="1087"/>
      <c r="BA170" s="1087"/>
      <c r="BB170" s="1087"/>
      <c r="BC170" s="1087"/>
      <c r="BD170" s="1087"/>
      <c r="BE170" s="1087"/>
      <c r="BF170" s="1087"/>
      <c r="BG170" s="1087"/>
      <c r="BH170" s="1087"/>
      <c r="BI170" s="1087"/>
      <c r="BJ170" s="1087"/>
      <c r="BK170" s="1087"/>
      <c r="BL170" s="1087"/>
      <c r="BM170" s="1087"/>
      <c r="BN170" s="1087"/>
      <c r="BO170" s="1087"/>
      <c r="BP170" s="1087"/>
      <c r="BQ170" s="1087"/>
      <c r="BR170" s="1087"/>
      <c r="BS170" s="1087"/>
      <c r="BT170" s="1087"/>
      <c r="BU170" s="1087"/>
      <c r="BV170" s="1087"/>
      <c r="BW170" s="1087"/>
      <c r="BX170" s="1087"/>
      <c r="BY170" s="1087"/>
      <c r="BZ170" s="1087"/>
      <c r="CA170" s="1087"/>
      <c r="CB170" s="1087"/>
      <c r="CC170" s="1087"/>
      <c r="CD170" s="1087"/>
      <c r="CE170" s="1087"/>
      <c r="CF170" s="1087"/>
      <c r="CG170" s="1087"/>
      <c r="CH170" s="1087"/>
      <c r="CI170" s="1087"/>
      <c r="CJ170" s="1087"/>
      <c r="CK170" s="1087"/>
      <c r="CL170" s="1087"/>
      <c r="CM170" s="1087"/>
      <c r="CN170" s="1087"/>
      <c r="CO170" s="1087"/>
      <c r="CP170" s="1087"/>
      <c r="CQ170" s="1087"/>
      <c r="CR170" s="1087"/>
      <c r="CS170" s="1087"/>
      <c r="CT170" s="1087"/>
      <c r="CU170" s="1087"/>
      <c r="CV170" s="1087"/>
      <c r="CW170" s="1087"/>
      <c r="CX170" s="1087"/>
      <c r="CY170" s="1087"/>
      <c r="CZ170" s="1087"/>
      <c r="DA170" s="1087"/>
      <c r="DB170" s="1087"/>
      <c r="DC170" s="1087"/>
      <c r="DD170" s="1087"/>
      <c r="DE170" s="1087"/>
      <c r="DF170" s="1087"/>
      <c r="DG170" s="1087"/>
      <c r="DH170" s="1087"/>
      <c r="DI170" s="1087"/>
      <c r="DJ170" s="1087"/>
      <c r="DK170" s="1087"/>
      <c r="DL170" s="1087"/>
      <c r="DM170" s="1087"/>
      <c r="DN170" s="1087"/>
      <c r="DO170" s="1087"/>
      <c r="DP170" s="1087"/>
      <c r="DQ170" s="1087"/>
      <c r="DR170" s="1087"/>
      <c r="DS170" s="1087"/>
      <c r="DT170" s="1087"/>
      <c r="DU170" s="1087"/>
      <c r="DV170" s="1087"/>
      <c r="DW170" s="1087"/>
      <c r="DX170" s="1087"/>
      <c r="DY170" s="1087"/>
      <c r="DZ170" s="1087"/>
      <c r="EA170" s="1087"/>
      <c r="EB170" s="1087"/>
      <c r="EC170" s="1087"/>
      <c r="ED170" s="1087"/>
      <c r="EE170" s="1087"/>
      <c r="EF170" s="1087"/>
      <c r="EG170" s="1087"/>
      <c r="EH170" s="1087"/>
      <c r="EI170" s="1087"/>
      <c r="EJ170" s="1087"/>
      <c r="EK170" s="1087"/>
      <c r="EL170" s="1087"/>
      <c r="EM170" s="1087"/>
      <c r="EN170" s="1087"/>
      <c r="EO170" s="1087"/>
      <c r="EP170" s="1087"/>
      <c r="EQ170" s="1087"/>
      <c r="ER170" s="1087"/>
      <c r="ES170" s="1087"/>
      <c r="ET170" s="1087"/>
      <c r="EU170" s="1087"/>
      <c r="EV170" s="1087"/>
      <c r="EW170" s="1087"/>
      <c r="EX170" s="1087"/>
      <c r="EY170" s="1087"/>
      <c r="EZ170" s="1087"/>
      <c r="FA170" s="1087"/>
      <c r="FB170" s="1087"/>
      <c r="FC170" s="1087"/>
      <c r="FD170" s="1087"/>
      <c r="FE170" s="1087"/>
      <c r="FF170" s="1087"/>
      <c r="FG170" s="1087"/>
      <c r="FH170" s="1087"/>
      <c r="FI170" s="1087"/>
      <c r="FJ170" s="1087"/>
      <c r="FK170" s="1087"/>
      <c r="FL170" s="1087"/>
      <c r="FM170" s="1087"/>
      <c r="FN170" s="1087"/>
      <c r="FO170" s="1087"/>
      <c r="FP170" s="1087"/>
      <c r="FQ170" s="1087"/>
      <c r="FR170" s="1087"/>
      <c r="FS170" s="1087"/>
      <c r="FT170" s="1087"/>
      <c r="FU170" s="1087"/>
      <c r="FV170" s="1087"/>
      <c r="FW170" s="1088"/>
      <c r="FX170" s="676"/>
      <c r="FY170" s="676"/>
      <c r="FZ170" s="1039"/>
      <c r="GA170" s="1061"/>
      <c r="GB170" s="1061"/>
      <c r="GC170" s="697"/>
      <c r="GD170" s="697"/>
    </row>
    <row s="1621" customFormat="1" customHeight="1" ht="14.25" hidden="1">
      <c r="A171" s="467"/>
      <c r="B171" s="907" cm="1" t="str">
        <f t="array" ref="B171:B171">B170</f>
        <v>false</v>
      </c>
      <c r="C171" s="467"/>
      <c r="D171" s="467"/>
      <c r="E171" s="822">
        <v>15</v>
      </c>
      <c r="F171" s="50" cm="1" t="str">
        <f t="array" ref="F171:F171">OFFSET(E171,-1,1)</f>
        <v>2</v>
      </c>
      <c r="G171" s="467"/>
      <c r="H171" s="467" t="s">
        <v>1445</v>
      </c>
      <c r="I171" s="467" t="s">
        <v>1507</v>
      </c>
      <c r="J171" s="467"/>
      <c r="K171" s="467"/>
      <c r="L171" s="467"/>
      <c r="M171" s="467"/>
      <c r="N171" s="467"/>
      <c r="O171" s="467"/>
      <c r="P171" s="467"/>
      <c r="Q171" s="467"/>
      <c r="R171" s="467"/>
      <c r="S171" s="467"/>
      <c r="T171" s="439" cm="1" t="str">
        <f t="array" ref="T171:T171">T170</f>
        <v>true</v>
      </c>
      <c r="U171" s="467"/>
      <c r="V171" s="467"/>
      <c r="W171" s="467"/>
      <c r="X171" s="1534"/>
      <c r="Y171" s="467"/>
      <c r="Z171" s="1464"/>
      <c r="AA171" s="467"/>
      <c r="AB171" s="1076" t="s">
        <v>1527</v>
      </c>
      <c r="AC171" s="846" t="s">
        <v>1494</v>
      </c>
      <c r="AD171" s="3409">
        <f>IF(AD173=0,0,(AD172*AD173+AD174*AD175*IF(god=2026,9,6))/AD173)</f>
        <v>0</v>
      </c>
      <c r="AE171" s="3409">
        <f>IF(AE173=0,0,(AE172*AE173+AE174*AE175*IF(god=2026,9,6))/AE173)</f>
        <v>0</v>
      </c>
      <c r="AF171" s="1078">
        <f>IF(AD171=0,0,(AE171-AD171)/AD171*100)</f>
        <v>0</v>
      </c>
      <c r="AG171" s="3409">
        <f>IF(AG173=0,0,(AG172*AG173+AG174*AG175*IF(god=2025,9,6))/AG173)</f>
        <v>0</v>
      </c>
      <c r="AH171" s="3409">
        <f>IF(AH173=0,0,(AH172*AH173+AH174*AH175*IF(god=2025,9,6))/AH173)</f>
        <v>0</v>
      </c>
      <c r="AI171" s="1078">
        <f>IF(AG171=0,0,(AH171-AG171)/AG171*100)</f>
        <v>0</v>
      </c>
      <c r="AJ171" s="3409">
        <f>IF(AJ173=0,0,(AJ172*AJ173+AJ174*AJ175*6)/AJ173)</f>
        <v>0</v>
      </c>
      <c r="AK171" s="3409">
        <f>IF(AK173=0,0,(AK172*AK173+AK174*AK175*6)/AK173)</f>
        <v>0</v>
      </c>
      <c r="AL171" s="1078">
        <f>IF(AJ171=0,0,(AK171-AJ171)/AJ171*100)</f>
        <v>0</v>
      </c>
      <c r="AM171" s="3409">
        <f>IF(AM173=0,0,(AM172*AM173+AM174*AM175*6)/AM173)</f>
        <v>0</v>
      </c>
      <c r="AN171" s="3409">
        <f>IF(AN173=0,0,(AN172*AN173+AN174*AN175*6)/AN173)</f>
        <v>0</v>
      </c>
      <c r="AO171" s="1078">
        <f>IF(AM171=0,0,(AN171-AM171)/AM171*100)</f>
        <v>0</v>
      </c>
      <c r="AP171" s="3409">
        <f>IF(AP173=0,0,(AP172*AP173+AP174*AP175*6)/AP173)</f>
        <v>0</v>
      </c>
      <c r="AQ171" s="3409">
        <f>IF(AQ173=0,0,(AQ172*AQ173+AQ174*AQ175*6)/AQ173)</f>
        <v>0</v>
      </c>
      <c r="AR171" s="1078">
        <f>IF(AP171=0,0,(AQ171-AP171)/AP171*100)</f>
        <v>0</v>
      </c>
      <c r="AS171" s="3409">
        <f>IF(AS173=0,0,(AS172*AS173+AS174*AS175*6)/AS173)</f>
        <v>0</v>
      </c>
      <c r="AT171" s="3409">
        <f>IF(AT173=0,0,(AT172*AT173+AT174*AT175*6)/AT173)</f>
        <v>0</v>
      </c>
      <c r="AU171" s="1078">
        <f>IF(AS171=0,0,(AT171-AS171)/AS171*100)</f>
        <v>0</v>
      </c>
      <c r="AV171" s="3409">
        <f>IF(AV173=0,0,(AV172*AV173+AV174*AV175*6)/AV173)</f>
        <v>0</v>
      </c>
      <c r="AW171" s="3409">
        <f>IF(AW173=0,0,(AW172*AW173+AW174*AW175*6)/AW173)</f>
        <v>0</v>
      </c>
      <c r="AX171" s="1078">
        <f>IF(AV171=0,0,(AW171-AV171)/AV171*100)</f>
        <v>0</v>
      </c>
      <c r="AY171" s="3409">
        <f>IF(AY173=0,0,(AY172*AY173+AY174*AY175*6)/AY173)</f>
        <v>0</v>
      </c>
      <c r="AZ171" s="3409">
        <f>IF(AZ173=0,0,(AZ172*AZ173+AZ174*AZ175*6)/AZ173)</f>
        <v>0</v>
      </c>
      <c r="BA171" s="1078">
        <f>IF(AY171=0,0,(AZ171-AY171)/AY171*100)</f>
        <v>0</v>
      </c>
      <c r="BB171" s="3409">
        <f>IF(BB173=0,0,(BB172*BB173+BB174*BB175*6)/BB173)</f>
        <v>0</v>
      </c>
      <c r="BC171" s="3409">
        <f>IF(BC173=0,0,(BC172*BC173+BC174*BC175*6)/BC173)</f>
        <v>0</v>
      </c>
      <c r="BD171" s="1078">
        <f>IF(BB171=0,0,(BC171-BB171)/BB171*100)</f>
        <v>0</v>
      </c>
      <c r="BE171" s="3409">
        <f>IF(BE173=0,0,(BE172*BE173+BE174*BE175*6)/BE173)</f>
        <v>0</v>
      </c>
      <c r="BF171" s="3409">
        <f>IF(BF173=0,0,(BF172*BF173+BF174*BF175*6)/BF173)</f>
        <v>0</v>
      </c>
      <c r="BG171" s="1078">
        <f>IF(BE171=0,0,(BF171-BE171)/BE171*100)</f>
        <v>0</v>
      </c>
      <c r="BH171" s="3409">
        <f>IF(BH173=0,0,(BH172*BH173+BH174*BH175*6)/BH173)</f>
        <v>0</v>
      </c>
      <c r="BI171" s="3409">
        <f>IF(BI173=0,0,(BI172*BI173+BI174*BI175*6)/BI173)</f>
        <v>0</v>
      </c>
      <c r="BJ171" s="1078">
        <f>IF(BH171=0,0,(BI171-BH171)/BH171*100)</f>
        <v>0</v>
      </c>
      <c r="BK171" s="3409">
        <f>IF(BK173=0,0,(BK172*BK173+BK174*BK175*6)/BK173)</f>
        <v>0</v>
      </c>
      <c r="BL171" s="3409">
        <f>IF(BL173=0,0,(BL172*BL173+BL174*BL175*6)/BL173)</f>
        <v>0</v>
      </c>
      <c r="BM171" s="1078">
        <f>IF(BK171=0,0,(BL171-BK171)/BK171*100)</f>
        <v>0</v>
      </c>
      <c r="BN171" s="3409">
        <f>IF(BN173=0,0,(BN172*BN173+BN174*BN175*6)/BN173)</f>
        <v>0</v>
      </c>
      <c r="BO171" s="3409">
        <f>IF(BO173=0,0,(BO172*BO173+BO174*BO175*6)/BO173)</f>
        <v>0</v>
      </c>
      <c r="BP171" s="1078">
        <f>IF(BN171=0,0,(BO171-BN171)/BN171*100)</f>
        <v>0</v>
      </c>
      <c r="BQ171" s="3409">
        <f>IF(BQ173=0,0,(BQ172*BQ173+BQ174*BQ175*6)/BQ173)</f>
        <v>0</v>
      </c>
      <c r="BR171" s="3409">
        <f>IF(BR173=0,0,(BR172*BR173+BR174*BR175*6)/BR173)</f>
        <v>0</v>
      </c>
      <c r="BS171" s="1078">
        <f>IF(BQ171=0,0,(BR171-BQ171)/BQ171*100)</f>
        <v>0</v>
      </c>
      <c r="BT171" s="3409">
        <f>IF(BT173=0,0,(BT172*BT173+BT174*BT175*6)/BT173)</f>
        <v>0</v>
      </c>
      <c r="BU171" s="3409">
        <f>IF(BU173=0,0,(BU172*BU173+BU174*BU175*6)/BU173)</f>
        <v>0</v>
      </c>
      <c r="BV171" s="1078">
        <f>IF(BT171=0,0,(BU171-BT171)/BT171*100)</f>
        <v>0</v>
      </c>
      <c r="BW171" s="3409">
        <f>IF(BW173=0,0,(BW172*BW173+BW174*BW175*6)/BW173)</f>
        <v>0</v>
      </c>
      <c r="BX171" s="3409">
        <f>IF(BX173=0,0,(BX172*BX173+BX174*BX175*6)/BX173)</f>
        <v>0</v>
      </c>
      <c r="BY171" s="1078">
        <f>IF(BW171=0,0,(BX171-BW171)/BW171*100)</f>
        <v>0</v>
      </c>
      <c r="BZ171" s="3409">
        <f>IF(BZ173=0,0,(BZ172*BZ173+BZ174*BZ175*6)/BZ173)</f>
        <v>0</v>
      </c>
      <c r="CA171" s="3409">
        <f>IF(CA173=0,0,(CA172*CA173+CA174*CA175*6)/CA173)</f>
        <v>0</v>
      </c>
      <c r="CB171" s="1078">
        <f>IF(BZ171=0,0,(CA171-BZ171)/BZ171*100)</f>
        <v>0</v>
      </c>
      <c r="CC171" s="3409">
        <f>IF(CC173=0,0,(CC172*CC173+CC174*CC175*6)/CC173)</f>
        <v>0</v>
      </c>
      <c r="CD171" s="3409">
        <f>IF(CD173=0,0,(CD172*CD173+CD174*CD175*6)/CD173)</f>
        <v>0</v>
      </c>
      <c r="CE171" s="1078">
        <f>IF(CC171=0,0,(CD171-CC171)/CC171*100)</f>
        <v>0</v>
      </c>
      <c r="CF171" s="3409">
        <f>IF(CF173=0,0,(CF172*CF173+CF174*CF175*6)/CF173)</f>
        <v>0</v>
      </c>
      <c r="CG171" s="3409">
        <f>IF(CG173=0,0,(CG172*CG173+CG174*CG175*6)/CG173)</f>
        <v>0</v>
      </c>
      <c r="CH171" s="1078">
        <f>IF(CF171=0,0,(CG171-CF171)/CF171*100)</f>
        <v>0</v>
      </c>
      <c r="CI171" s="3409">
        <f>IF(CI173=0,0,(CI172*CI173+CI174*CI175*6)/CI173)</f>
        <v>0</v>
      </c>
      <c r="CJ171" s="3409">
        <f>IF(CJ173=0,0,(CJ172*CJ173+CJ174*CJ175*6)/CJ173)</f>
        <v>0</v>
      </c>
      <c r="CK171" s="1078">
        <f>IF(CI171=0,0,(CJ171-CI171)/CI171*100)</f>
        <v>0</v>
      </c>
      <c r="CL171" s="3409">
        <f>IF(CL173=0,0,(CL172*CL173+CL174*CL175*6)/CL173)</f>
        <v>0</v>
      </c>
      <c r="CM171" s="3409">
        <f>IF(CM173=0,0,(CM172*CM173+CM174*CM175*6)/CM173)</f>
        <v>0</v>
      </c>
      <c r="CN171" s="1078">
        <f>IF(CL171=0,0,(CM171-CL171)/CL171*100)</f>
        <v>0</v>
      </c>
      <c r="CO171" s="3409">
        <f>IF(CO173=0,0,(CO172*CO173+CO174*CO175*6)/CO173)</f>
        <v>0</v>
      </c>
      <c r="CP171" s="3409">
        <f>IF(CP173=0,0,(CP172*CP173+CP174*CP175*6)/CP173)</f>
        <v>0</v>
      </c>
      <c r="CQ171" s="1078">
        <f>IF(CO171=0,0,(CP171-CO171)/CO171*100)</f>
        <v>0</v>
      </c>
      <c r="CR171" s="3409">
        <f>IF(CR173=0,0,(CR172*CR173+CR174*CR175*6)/CR173)</f>
        <v>0</v>
      </c>
      <c r="CS171" s="3409">
        <f>IF(CS173=0,0,(CS172*CS173+CS174*CS175*6)/CS173)</f>
        <v>0</v>
      </c>
      <c r="CT171" s="1078">
        <f>IF(CR171=0,0,(CS171-CR171)/CR171*100)</f>
        <v>0</v>
      </c>
      <c r="CU171" s="3409">
        <f>IF(CU173=0,0,(CU172*CU173+CU174*CU175*6)/CU173)</f>
        <v>0</v>
      </c>
      <c r="CV171" s="3409">
        <f>IF(CV173=0,0,(CV172*CV173+CV174*CV175*6)/CV173)</f>
        <v>0</v>
      </c>
      <c r="CW171" s="1078">
        <f>IF(CU171=0,0,(CV171-CU171)/CU171*100)</f>
        <v>0</v>
      </c>
      <c r="CX171" s="3409">
        <f>IF(CX173=0,0,(CX172*CX173+CX174*CX175*6)/CX173)</f>
        <v>0</v>
      </c>
      <c r="CY171" s="3409">
        <f>IF(CY173=0,0,(CY172*CY173+CY174*CY175*6)/CY173)</f>
        <v>0</v>
      </c>
      <c r="CZ171" s="1078">
        <f>IF(CX171=0,0,(CY171-CX171)/CX171*100)</f>
        <v>0</v>
      </c>
      <c r="DA171" s="3409">
        <f>IF(DA173=0,0,(DA172*DA173+DA174*DA175*6)/DA173)</f>
        <v>0</v>
      </c>
      <c r="DB171" s="3409">
        <f>IF(DB173=0,0,(DB172*DB173+DB174*DB175*6)/DB173)</f>
        <v>0</v>
      </c>
      <c r="DC171" s="1078">
        <f>IF(DA171=0,0,(DB171-DA171)/DA171*100)</f>
        <v>0</v>
      </c>
      <c r="DD171" s="3409">
        <f>IF(DD173=0,0,(DD172*DD173+DD174*DD175*6)/DD173)</f>
        <v>0</v>
      </c>
      <c r="DE171" s="3409">
        <f>IF(DE173=0,0,(DE172*DE173+DE174*DE175*6)/DE173)</f>
        <v>0</v>
      </c>
      <c r="DF171" s="1078">
        <f>IF(DD171=0,0,(DE171-DD171)/DD171*100)</f>
        <v>0</v>
      </c>
      <c r="DG171" s="3409">
        <f>IF(DG173=0,0,(DG172*DG173+DG174*DG175*6)/DG173)</f>
        <v>0</v>
      </c>
      <c r="DH171" s="3409">
        <f>IF(DH173=0,0,(DH172*DH173+DH174*DH175*6)/DH173)</f>
        <v>0</v>
      </c>
      <c r="DI171" s="1078">
        <f>IF(DG171=0,0,(DH171-DG171)/DG171*100)</f>
        <v>0</v>
      </c>
      <c r="DJ171" s="3409">
        <f>IF(DJ173=0,0,(DJ172*DJ173+DJ174*DJ175*6)/DJ173)</f>
        <v>0</v>
      </c>
      <c r="DK171" s="3409">
        <f>IF(DK173=0,0,(DK172*DK173+DK174*DK175*6)/DK173)</f>
        <v>0</v>
      </c>
      <c r="DL171" s="1078">
        <f>IF(DJ171=0,0,(DK171-DJ171)/DJ171*100)</f>
        <v>0</v>
      </c>
      <c r="DM171" s="3409">
        <f>IF(DM173=0,0,(DM172*DM173+DM174*DM175*6)/DM173)</f>
        <v>0</v>
      </c>
      <c r="DN171" s="3409">
        <f>IF(DN173=0,0,(DN172*DN173+DN174*DN175*6)/DN173)</f>
        <v>0</v>
      </c>
      <c r="DO171" s="1078">
        <f>IF(DM171=0,0,(DN171-DM171)/DM171*100)</f>
        <v>0</v>
      </c>
      <c r="DP171" s="3409">
        <f>IF(DP173=0,0,(DP172*DP173+DP174*DP175*6)/DP173)</f>
        <v>0</v>
      </c>
      <c r="DQ171" s="3409">
        <f>IF(DQ173=0,0,(DQ172*DQ173+DQ174*DQ175*6)/DQ173)</f>
        <v>0</v>
      </c>
      <c r="DR171" s="1078">
        <f>IF(DP171=0,0,(DQ171-DP171)/DP171*100)</f>
        <v>0</v>
      </c>
      <c r="DS171" s="3409">
        <f>IF(DS173=0,0,(DS172*DS173+DS174*DS175*6)/DS173)</f>
        <v>0</v>
      </c>
      <c r="DT171" s="3409">
        <f>IF(DT173=0,0,(DT172*DT173+DT174*DT175*6)/DT173)</f>
        <v>0</v>
      </c>
      <c r="DU171" s="1078">
        <f>IF(DS171=0,0,(DT171-DS171)/DS171*100)</f>
        <v>0</v>
      </c>
      <c r="DV171" s="3409">
        <f>IF(DV173=0,0,(DV172*DV173+DV174*DV175*6)/DV173)</f>
        <v>0</v>
      </c>
      <c r="DW171" s="3409">
        <f>IF(DW173=0,0,(DW172*DW173+DW174*DW175*6)/DW173)</f>
        <v>0</v>
      </c>
      <c r="DX171" s="1078">
        <f>IF(DV171=0,0,(DW171-DV171)/DV171*100)</f>
        <v>0</v>
      </c>
      <c r="DY171" s="3409">
        <f>IF(DY173=0,0,(DY172*DY173+DY174*DY175*6)/DY173)</f>
        <v>0</v>
      </c>
      <c r="DZ171" s="3409">
        <f>IF(DZ173=0,0,(DZ172*DZ173+DZ174*DZ175*6)/DZ173)</f>
        <v>0</v>
      </c>
      <c r="EA171" s="1078">
        <f>IF(DY171=0,0,(DZ171-DY171)/DY171*100)</f>
        <v>0</v>
      </c>
      <c r="EB171" s="3409">
        <f>IF(EB173=0,0,(EB172*EB173+EB174*EB175*6)/EB173)</f>
        <v>0</v>
      </c>
      <c r="EC171" s="3409">
        <f>IF(EC173=0,0,(EC172*EC173+EC174*EC175*6)/EC173)</f>
        <v>0</v>
      </c>
      <c r="ED171" s="1078">
        <f>IF(EB171=0,0,(EC171-EB171)/EB171*100)</f>
        <v>0</v>
      </c>
      <c r="EE171" s="3409">
        <f>IF(EE173=0,0,(EE172*EE173+EE174*EE175*6)/EE173)</f>
        <v>0</v>
      </c>
      <c r="EF171" s="3409">
        <f>IF(EF173=0,0,(EF172*EF173+EF174*EF175*6)/EF173)</f>
        <v>0</v>
      </c>
      <c r="EG171" s="1078">
        <f>IF(EE171=0,0,(EF171-EE171)/EE171*100)</f>
        <v>0</v>
      </c>
      <c r="EH171" s="3409">
        <f>IF(EH173=0,0,(EH172*EH173+EH174*EH175*6)/EH173)</f>
        <v>0</v>
      </c>
      <c r="EI171" s="3409">
        <f>IF(EI173=0,0,(EI172*EI173+EI174*EI175*6)/EI173)</f>
        <v>0</v>
      </c>
      <c r="EJ171" s="1078">
        <f>IF(EH171=0,0,(EI171-EH171)/EH171*100)</f>
        <v>0</v>
      </c>
      <c r="EK171" s="3409">
        <f>IF(EK173=0,0,(EK172*EK173+EK174*EK175*6)/EK173)</f>
        <v>0</v>
      </c>
      <c r="EL171" s="3409">
        <f>IF(EL173=0,0,(EL172*EL173+EL174*EL175*6)/EL173)</f>
        <v>0</v>
      </c>
      <c r="EM171" s="1078">
        <f>IF(EK171=0,0,(EL171-EK171)/EK171*100)</f>
        <v>0</v>
      </c>
      <c r="EN171" s="3409">
        <f>IF(EN173=0,0,(EN172*EN173+EN174*EN175*6)/EN173)</f>
        <v>0</v>
      </c>
      <c r="EO171" s="3409">
        <f>IF(EO173=0,0,(EO172*EO173+EO174*EO175*6)/EO173)</f>
        <v>0</v>
      </c>
      <c r="EP171" s="1078">
        <f>IF(EN171=0,0,(EO171-EN171)/EN171*100)</f>
        <v>0</v>
      </c>
      <c r="EQ171" s="3409">
        <f>IF(EQ173=0,0,(EQ172*EQ173+EQ174*EQ175*6)/EQ173)</f>
        <v>0</v>
      </c>
      <c r="ER171" s="3409">
        <f>IF(ER173=0,0,(ER172*ER173+ER174*ER175*6)/ER173)</f>
        <v>0</v>
      </c>
      <c r="ES171" s="1078">
        <f>IF(EQ171=0,0,(ER171-EQ171)/EQ171*100)</f>
        <v>0</v>
      </c>
      <c r="ET171" s="3409">
        <f>IF(ET173=0,0,(ET172*ET173+ET174*ET175*6)/ET173)</f>
        <v>0</v>
      </c>
      <c r="EU171" s="3409">
        <f>IF(EU173=0,0,(EU172*EU173+EU174*EU175*6)/EU173)</f>
        <v>0</v>
      </c>
      <c r="EV171" s="1078">
        <f>IF(ET171=0,0,(EU171-ET171)/ET171*100)</f>
        <v>0</v>
      </c>
      <c r="EW171" s="3409">
        <f>IF(EW173=0,0,(EW172*EW173+EW174*EW175*6)/EW173)</f>
        <v>0</v>
      </c>
      <c r="EX171" s="3409">
        <f>IF(EX173=0,0,(EX172*EX173+EX174*EX175*6)/EX173)</f>
        <v>0</v>
      </c>
      <c r="EY171" s="1078">
        <f>IF(EW171=0,0,(EX171-EW171)/EW171*100)</f>
        <v>0</v>
      </c>
      <c r="EZ171" s="3409">
        <f>IF(EZ173=0,0,(EZ172*EZ173+EZ174*EZ175*6)/EZ173)</f>
        <v>0</v>
      </c>
      <c r="FA171" s="3409">
        <f>IF(FA173=0,0,(FA172*FA173+FA174*FA175*6)/FA173)</f>
        <v>0</v>
      </c>
      <c r="FB171" s="1078">
        <f>IF(EZ171=0,0,(FA171-EZ171)/EZ171*100)</f>
        <v>0</v>
      </c>
      <c r="FC171" s="3409">
        <f>IF(FC173=0,0,(FC172*FC173+FC174*FC175*6)/FC173)</f>
        <v>0</v>
      </c>
      <c r="FD171" s="3409">
        <f>IF(FD173=0,0,(FD172*FD173+FD174*FD175*6)/FD173)</f>
        <v>0</v>
      </c>
      <c r="FE171" s="1078">
        <f>IF(FC171=0,0,(FD171-FC171)/FC171*100)</f>
        <v>0</v>
      </c>
      <c r="FF171" s="3409">
        <f>IF(FF173=0,0,(FF172*FF173+FF174*FF175*6)/FF173)</f>
        <v>0</v>
      </c>
      <c r="FG171" s="3409">
        <f>IF(FG173=0,0,(FG172*FG173+FG174*FG175*6)/FG173)</f>
        <v>0</v>
      </c>
      <c r="FH171" s="1078">
        <f>IF(FF171=0,0,(FG171-FF171)/FF171*100)</f>
        <v>0</v>
      </c>
      <c r="FI171" s="3409">
        <f>IF(FI173=0,0,(FI172*FI173+FI174*FI175*6)/FI173)</f>
        <v>0</v>
      </c>
      <c r="FJ171" s="3409">
        <f>IF(FJ173=0,0,(FJ172*FJ173+FJ174*FJ175*6)/FJ173)</f>
        <v>0</v>
      </c>
      <c r="FK171" s="1078">
        <f>IF(FI171=0,0,(FJ171-FI171)/FI171*100)</f>
        <v>0</v>
      </c>
      <c r="FL171" s="3409">
        <f>IF(FL173=0,0,(FL172*FL173+FL174*FL175*6)/FL173)</f>
        <v>0</v>
      </c>
      <c r="FM171" s="3409">
        <f>IF(FM173=0,0,(FM172*FM173+FM174*FM175*6)/FM173)</f>
        <v>0</v>
      </c>
      <c r="FN171" s="1078">
        <f>IF(FL171=0,0,(FM171-FL171)/FL171*100)</f>
        <v>0</v>
      </c>
      <c r="FO171" s="3409">
        <f>IF(FO173=0,0,(FO172*FO173+FO174*FO175*6)/FO173)</f>
        <v>0</v>
      </c>
      <c r="FP171" s="3409">
        <f>IF(FP173=0,0,(FP172*FP173+FP174*FP175*6)/FP173)</f>
        <v>0</v>
      </c>
      <c r="FQ171" s="1078">
        <f>IF(FO171=0,0,(FP171-FO171)/FO171*100)</f>
        <v>0</v>
      </c>
      <c r="FR171" s="3409">
        <f>IF(FR173=0,0,(FR172*FR173+FR174*FR175*6)/FR173)</f>
        <v>0</v>
      </c>
      <c r="FS171" s="3409">
        <f>IF(FS173=0,0,(FS172*FS173+FS174*FS175*6)/FS173)</f>
        <v>0</v>
      </c>
      <c r="FT171" s="1078">
        <f>IF(FR171=0,0,(FS171-FR171)/FR171*100)</f>
        <v>0</v>
      </c>
      <c r="FU171" s="3409">
        <f>IF(FU173=0,0,(FU172*FU173+FU174*FU175*6)/FU173)</f>
        <v>0</v>
      </c>
      <c r="FV171" s="3409">
        <f>IF(FV173=0,0,(FV172*FV173+FV174*FV175*6)/FV173)</f>
        <v>0</v>
      </c>
      <c r="FW171" s="1078">
        <f>IF(FU171=0,0,(FV171-FU171)/FU171*100)</f>
        <v>0</v>
      </c>
      <c r="FX171" s="676"/>
      <c r="FY171" s="676"/>
      <c r="FZ171" s="1039" t="s">
        <v>1548</v>
      </c>
      <c r="GA171" s="1061"/>
      <c r="GB171" s="1061"/>
      <c r="GC171" s="697"/>
      <c r="GD171" s="697"/>
    </row>
    <row s="1621" customFormat="1" customHeight="1" ht="14.25" hidden="1">
      <c r="A172" s="467"/>
      <c r="B172" s="907" cm="1" t="str">
        <f t="array" ref="B172:B172">B171</f>
        <v>false</v>
      </c>
      <c r="C172" s="467"/>
      <c r="D172" s="467"/>
      <c r="E172" s="822">
        <v>15</v>
      </c>
      <c r="F172" s="50" cm="1" t="str">
        <f t="array" ref="F172:F172">OFFSET(E172,-1,1)</f>
        <v>2</v>
      </c>
      <c r="G172" s="467"/>
      <c r="H172" s="467" t="s">
        <v>1449</v>
      </c>
      <c r="I172" s="467" t="s">
        <v>1507</v>
      </c>
      <c r="J172" s="467"/>
      <c r="K172" s="467"/>
      <c r="L172" s="467"/>
      <c r="M172" s="467"/>
      <c r="N172" s="467"/>
      <c r="O172" s="467"/>
      <c r="P172" s="467"/>
      <c r="Q172" s="467"/>
      <c r="R172" s="467"/>
      <c r="S172" s="467"/>
      <c r="T172" s="439" cm="1" t="str">
        <f t="array" ref="T172:T172">T171</f>
        <v>true</v>
      </c>
      <c r="U172" s="467"/>
      <c r="V172" s="467"/>
      <c r="W172" s="467"/>
      <c r="X172" s="1534"/>
      <c r="Y172" s="467"/>
      <c r="Z172" s="1464"/>
      <c r="AA172" s="467"/>
      <c r="AB172" s="1076" t="str">
        <f>"ставка платы за "&amp;IF(Q141="Водоснабжение","потребление 1 куб.м холодной воды","объем принятых сточных вод")</f>
        <v>ставка платы за объем принятых сточных вод</v>
      </c>
      <c r="AC172" s="846" t="s">
        <v>1494</v>
      </c>
      <c r="AD172" s="3409"/>
      <c r="AE172" s="3409"/>
      <c r="AF172" s="1078">
        <f>IF(AD172=0,0,(AE172-AD172)/AD172*100)</f>
        <v>0</v>
      </c>
      <c r="AG172" s="3409"/>
      <c r="AH172" s="3409"/>
      <c r="AI172" s="1078">
        <f>IF(AG172=0,0,(AH172-AG172)/AG172*100)</f>
        <v>0</v>
      </c>
      <c r="AJ172" s="3409"/>
      <c r="AK172" s="3409"/>
      <c r="AL172" s="1078">
        <f>IF(AJ172=0,0,(AK172-AJ172)/AJ172*100)</f>
        <v>0</v>
      </c>
      <c r="AM172" s="3409"/>
      <c r="AN172" s="3409"/>
      <c r="AO172" s="1078">
        <f>IF(AM172=0,0,(AN172-AM172)/AM172*100)</f>
        <v>0</v>
      </c>
      <c r="AP172" s="3409"/>
      <c r="AQ172" s="3409"/>
      <c r="AR172" s="1078">
        <f>IF(AP172=0,0,(AQ172-AP172)/AP172*100)</f>
        <v>0</v>
      </c>
      <c r="AS172" s="3409"/>
      <c r="AT172" s="3409"/>
      <c r="AU172" s="1078">
        <f>IF(AS172=0,0,(AT172-AS172)/AS172*100)</f>
        <v>0</v>
      </c>
      <c r="AV172" s="3409"/>
      <c r="AW172" s="3409"/>
      <c r="AX172" s="1078">
        <f>IF(AV172=0,0,(AW172-AV172)/AV172*100)</f>
        <v>0</v>
      </c>
      <c r="AY172" s="3409"/>
      <c r="AZ172" s="3409"/>
      <c r="BA172" s="1078">
        <f>IF(AY172=0,0,(AZ172-AY172)/AY172*100)</f>
        <v>0</v>
      </c>
      <c r="BB172" s="3409"/>
      <c r="BC172" s="3409"/>
      <c r="BD172" s="1078">
        <f>IF(BB172=0,0,(BC172-BB172)/BB172*100)</f>
        <v>0</v>
      </c>
      <c r="BE172" s="3409"/>
      <c r="BF172" s="3409"/>
      <c r="BG172" s="1078">
        <f>IF(BE172=0,0,(BF172-BE172)/BE172*100)</f>
        <v>0</v>
      </c>
      <c r="BH172" s="3409"/>
      <c r="BI172" s="3409"/>
      <c r="BJ172" s="1078">
        <f>IF(BH172=0,0,(BI172-BH172)/BH172*100)</f>
        <v>0</v>
      </c>
      <c r="BK172" s="3409"/>
      <c r="BL172" s="3409"/>
      <c r="BM172" s="1078">
        <f>IF(BK172=0,0,(BL172-BK172)/BK172*100)</f>
        <v>0</v>
      </c>
      <c r="BN172" s="3409"/>
      <c r="BO172" s="3409"/>
      <c r="BP172" s="1078">
        <f>IF(BN172=0,0,(BO172-BN172)/BN172*100)</f>
        <v>0</v>
      </c>
      <c r="BQ172" s="3409"/>
      <c r="BR172" s="3409"/>
      <c r="BS172" s="1078">
        <f>IF(BQ172=0,0,(BR172-BQ172)/BQ172*100)</f>
        <v>0</v>
      </c>
      <c r="BT172" s="3409"/>
      <c r="BU172" s="3409"/>
      <c r="BV172" s="1078">
        <f>IF(BT172=0,0,(BU172-BT172)/BT172*100)</f>
        <v>0</v>
      </c>
      <c r="BW172" s="3409"/>
      <c r="BX172" s="3409"/>
      <c r="BY172" s="1078">
        <f>IF(BW172=0,0,(BX172-BW172)/BW172*100)</f>
        <v>0</v>
      </c>
      <c r="BZ172" s="3409"/>
      <c r="CA172" s="3409"/>
      <c r="CB172" s="1078">
        <f>IF(BZ172=0,0,(CA172-BZ172)/BZ172*100)</f>
        <v>0</v>
      </c>
      <c r="CC172" s="3409"/>
      <c r="CD172" s="3409"/>
      <c r="CE172" s="1078">
        <f>IF(CC172=0,0,(CD172-CC172)/CC172*100)</f>
        <v>0</v>
      </c>
      <c r="CF172" s="3409"/>
      <c r="CG172" s="3409"/>
      <c r="CH172" s="1078">
        <f>IF(CF172=0,0,(CG172-CF172)/CF172*100)</f>
        <v>0</v>
      </c>
      <c r="CI172" s="3409"/>
      <c r="CJ172" s="3409"/>
      <c r="CK172" s="1078">
        <f>IF(CI172=0,0,(CJ172-CI172)/CI172*100)</f>
        <v>0</v>
      </c>
      <c r="CL172" s="3409"/>
      <c r="CM172" s="3409"/>
      <c r="CN172" s="1078">
        <f>IF(CL172=0,0,(CM172-CL172)/CL172*100)</f>
        <v>0</v>
      </c>
      <c r="CO172" s="3409"/>
      <c r="CP172" s="3409"/>
      <c r="CQ172" s="1078">
        <f>IF(CO172=0,0,(CP172-CO172)/CO172*100)</f>
        <v>0</v>
      </c>
      <c r="CR172" s="3409"/>
      <c r="CS172" s="3409"/>
      <c r="CT172" s="1078">
        <f>IF(CR172=0,0,(CS172-CR172)/CR172*100)</f>
        <v>0</v>
      </c>
      <c r="CU172" s="3409"/>
      <c r="CV172" s="3409"/>
      <c r="CW172" s="1078">
        <f>IF(CU172=0,0,(CV172-CU172)/CU172*100)</f>
        <v>0</v>
      </c>
      <c r="CX172" s="3409"/>
      <c r="CY172" s="3409"/>
      <c r="CZ172" s="1078">
        <f>IF(CX172=0,0,(CY172-CX172)/CX172*100)</f>
        <v>0</v>
      </c>
      <c r="DA172" s="3409"/>
      <c r="DB172" s="3409"/>
      <c r="DC172" s="1078">
        <f>IF(DA172=0,0,(DB172-DA172)/DA172*100)</f>
        <v>0</v>
      </c>
      <c r="DD172" s="3409"/>
      <c r="DE172" s="3409"/>
      <c r="DF172" s="1078">
        <f>IF(DD172=0,0,(DE172-DD172)/DD172*100)</f>
        <v>0</v>
      </c>
      <c r="DG172" s="3409"/>
      <c r="DH172" s="3409"/>
      <c r="DI172" s="1078">
        <f>IF(DG172=0,0,(DH172-DG172)/DG172*100)</f>
        <v>0</v>
      </c>
      <c r="DJ172" s="3409"/>
      <c r="DK172" s="3409"/>
      <c r="DL172" s="1078">
        <f>IF(DJ172=0,0,(DK172-DJ172)/DJ172*100)</f>
        <v>0</v>
      </c>
      <c r="DM172" s="3409"/>
      <c r="DN172" s="3409"/>
      <c r="DO172" s="1078">
        <f>IF(DM172=0,0,(DN172-DM172)/DM172*100)</f>
        <v>0</v>
      </c>
      <c r="DP172" s="3409"/>
      <c r="DQ172" s="3409"/>
      <c r="DR172" s="1078">
        <f>IF(DP172=0,0,(DQ172-DP172)/DP172*100)</f>
        <v>0</v>
      </c>
      <c r="DS172" s="3409"/>
      <c r="DT172" s="3409"/>
      <c r="DU172" s="1078">
        <f>IF(DS172=0,0,(DT172-DS172)/DS172*100)</f>
        <v>0</v>
      </c>
      <c r="DV172" s="3409"/>
      <c r="DW172" s="3409"/>
      <c r="DX172" s="1078">
        <f>IF(DV172=0,0,(DW172-DV172)/DV172*100)</f>
        <v>0</v>
      </c>
      <c r="DY172" s="3409"/>
      <c r="DZ172" s="3409"/>
      <c r="EA172" s="1078">
        <f>IF(DY172=0,0,(DZ172-DY172)/DY172*100)</f>
        <v>0</v>
      </c>
      <c r="EB172" s="3409"/>
      <c r="EC172" s="3409"/>
      <c r="ED172" s="1078">
        <f>IF(EB172=0,0,(EC172-EB172)/EB172*100)</f>
        <v>0</v>
      </c>
      <c r="EE172" s="3409"/>
      <c r="EF172" s="3409"/>
      <c r="EG172" s="1078">
        <f>IF(EE172=0,0,(EF172-EE172)/EE172*100)</f>
        <v>0</v>
      </c>
      <c r="EH172" s="3409"/>
      <c r="EI172" s="3409"/>
      <c r="EJ172" s="1078">
        <f>IF(EH172=0,0,(EI172-EH172)/EH172*100)</f>
        <v>0</v>
      </c>
      <c r="EK172" s="3409"/>
      <c r="EL172" s="3409"/>
      <c r="EM172" s="1078">
        <f>IF(EK172=0,0,(EL172-EK172)/EK172*100)</f>
        <v>0</v>
      </c>
      <c r="EN172" s="3409"/>
      <c r="EO172" s="3409"/>
      <c r="EP172" s="1078">
        <f>IF(EN172=0,0,(EO172-EN172)/EN172*100)</f>
        <v>0</v>
      </c>
      <c r="EQ172" s="3409"/>
      <c r="ER172" s="3409"/>
      <c r="ES172" s="1078">
        <f>IF(EQ172=0,0,(ER172-EQ172)/EQ172*100)</f>
        <v>0</v>
      </c>
      <c r="ET172" s="3409"/>
      <c r="EU172" s="3409"/>
      <c r="EV172" s="1078">
        <f>IF(ET172=0,0,(EU172-ET172)/ET172*100)</f>
        <v>0</v>
      </c>
      <c r="EW172" s="3409"/>
      <c r="EX172" s="3409"/>
      <c r="EY172" s="1078">
        <f>IF(EW172=0,0,(EX172-EW172)/EW172*100)</f>
        <v>0</v>
      </c>
      <c r="EZ172" s="3409"/>
      <c r="FA172" s="3409"/>
      <c r="FB172" s="1078">
        <f>IF(EZ172=0,0,(FA172-EZ172)/EZ172*100)</f>
        <v>0</v>
      </c>
      <c r="FC172" s="3409"/>
      <c r="FD172" s="3409"/>
      <c r="FE172" s="1078">
        <f>IF(FC172=0,0,(FD172-FC172)/FC172*100)</f>
        <v>0</v>
      </c>
      <c r="FF172" s="3409"/>
      <c r="FG172" s="3409"/>
      <c r="FH172" s="1078">
        <f>IF(FF172=0,0,(FG172-FF172)/FF172*100)</f>
        <v>0</v>
      </c>
      <c r="FI172" s="3409"/>
      <c r="FJ172" s="3409"/>
      <c r="FK172" s="1078">
        <f>IF(FI172=0,0,(FJ172-FI172)/FI172*100)</f>
        <v>0</v>
      </c>
      <c r="FL172" s="3409"/>
      <c r="FM172" s="3409"/>
      <c r="FN172" s="1078">
        <f>IF(FL172=0,0,(FM172-FL172)/FL172*100)</f>
        <v>0</v>
      </c>
      <c r="FO172" s="3409"/>
      <c r="FP172" s="3409"/>
      <c r="FQ172" s="1078">
        <f>IF(FO172=0,0,(FP172-FO172)/FO172*100)</f>
        <v>0</v>
      </c>
      <c r="FR172" s="3409"/>
      <c r="FS172" s="3409"/>
      <c r="FT172" s="1078">
        <f>IF(FR172=0,0,(FS172-FR172)/FR172*100)</f>
        <v>0</v>
      </c>
      <c r="FU172" s="3409"/>
      <c r="FV172" s="3409"/>
      <c r="FW172" s="1078">
        <f>IF(FU172=0,0,(FV172-FU172)/FU172*100)</f>
        <v>0</v>
      </c>
      <c r="FX172" s="676"/>
      <c r="FY172" s="676"/>
      <c r="FZ172" s="1039" t="s">
        <v>1549</v>
      </c>
      <c r="GA172" s="1061"/>
      <c r="GB172" s="1061"/>
      <c r="GC172" s="697"/>
      <c r="GD172" s="697"/>
    </row>
    <row s="1621" customFormat="1" customHeight="1" ht="14.25" hidden="1">
      <c r="A173" s="467"/>
      <c r="B173" s="907" cm="1" t="str">
        <f t="array" ref="B173:B173">B172</f>
        <v>false</v>
      </c>
      <c r="C173" s="467"/>
      <c r="D173" s="467"/>
      <c r="E173" s="822">
        <v>15</v>
      </c>
      <c r="F173" s="50" cm="1" t="str">
        <f t="array" ref="F173:F173">OFFSET(E173,-1,1)</f>
        <v>2</v>
      </c>
      <c r="G173" s="73" t="s">
        <v>1550</v>
      </c>
      <c r="H173" s="467" t="s">
        <v>1531</v>
      </c>
      <c r="I173" s="467" t="s">
        <v>1507</v>
      </c>
      <c r="J173" s="467"/>
      <c r="K173" s="467"/>
      <c r="L173" s="467"/>
      <c r="M173" s="467"/>
      <c r="N173" s="467"/>
      <c r="O173" s="467"/>
      <c r="P173" s="467"/>
      <c r="Q173" s="467"/>
      <c r="R173" s="467"/>
      <c r="S173" s="467"/>
      <c r="T173" s="439" cm="1" t="str">
        <f t="array" ref="T173:T173">T172</f>
        <v>true</v>
      </c>
      <c r="U173" s="467"/>
      <c r="V173" s="467"/>
      <c r="W173" s="467"/>
      <c r="X173" s="1534"/>
      <c r="Y173" s="467"/>
      <c r="Z173" s="1464"/>
      <c r="AA173" s="467"/>
      <c r="AB173" s="1076" t="str">
        <f>"объём "&amp;IF(Q141="Водоснабжение","потребления холодной воды","водоотведения")</f>
        <v>объём водоотведения</v>
      </c>
      <c r="AC173" s="846" t="s">
        <v>512</v>
      </c>
      <c r="AD173" s="3404">
        <f>IF(AND(method_reg="Метод индексации",god&lt;&gt;first_year),_xlfn.SUMIFS(INDEX('Калькуляция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(МИ)'!$AJ$25:$BC$459,,MATCH(AD$8,'Калькуляция (МИ)'!$AJ$8:$BC$8,0)),'Калькуляция (МИ)'!$F$25:$F$459,$F173,'Калькуляция (МИ)'!$G$25:$G$459,$G173))))</f>
        <v>0</v>
      </c>
      <c r="AE173" s="3404">
        <f>IF(AND(method_reg="Метод индексации",god&lt;&gt;first_year),_xlfn.SUMIFS(INDEX('Калькуляция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(МИ)'!$AJ$25:$BC$459,,MATCH(AE$8,'Калькуляция (МИ)'!$AJ$8:$BC$8,0)),'Калькуляция (МИ)'!$F$25:$F$459,$F173,'Калькуляция (МИ)'!$G$25:$G$459,$G173))))</f>
        <v>0</v>
      </c>
      <c r="AF173" s="1080">
        <f>IF(AD173=0,0,(AE173-AD173)/AD173*100)</f>
        <v>0</v>
      </c>
      <c r="AG173" s="3404">
        <f>IF(AND(method_reg="Метод индексации",god&lt;&gt;first_year),_xlfn.SUMIFS(INDEX('Калькуляция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(МИ)'!$AJ$25:$BC$459,,MATCH(AG$8,'Калькуляция (МИ)'!$AJ$8:$BC$8,0)),'Калькуляция (МИ)'!$F$25:$F$459,$F173,'Калькуляция (МИ)'!$G$25:$G$459,$G173))))</f>
        <v>0</v>
      </c>
      <c r="AH173" s="3404">
        <f>IF(AND(method_reg="Метод индексации",god&lt;&gt;first_year),_xlfn.SUMIFS(INDEX('Калькуляция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(МИ)'!$AJ$25:$BC$459,,MATCH(AH$8,'Калькуляция (МИ)'!$AJ$8:$BC$8,0)),'Калькуляция (МИ)'!$F$25:$F$459,$F173,'Калькуляция (МИ)'!$G$25:$G$459,$G173))))</f>
        <v>0</v>
      </c>
      <c r="AI173" s="1080">
        <f>IF(AG173=0,0,(AH173-AG173)/AG173*100)</f>
        <v>0</v>
      </c>
      <c r="AJ173" s="3404">
        <f>IF(AND(method_reg="Метод индексации",god&lt;&gt;first_year),_xlfn.SUMIFS(INDEX('Калькуляция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(МИ)'!$AJ$25:$BC$459,,MATCH(AJ$8,'Калькуляция (МИ)'!$AJ$8:$BC$8,0)),'Калькуляция (МИ)'!$F$25:$F$459,$F173,'Калькуляция (МИ)'!$G$25:$G$459,$G173))))</f>
        <v>0</v>
      </c>
      <c r="AK173" s="3404">
        <f>IF(AND(method_reg="Метод индексации",god&lt;&gt;first_year),_xlfn.SUMIFS(INDEX('Калькуляция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(МИ)'!$AJ$25:$BC$459,,MATCH(AK$8,'Калькуляция (МИ)'!$AJ$8:$BC$8,0)),'Калькуляция (МИ)'!$F$25:$F$459,$F173,'Калькуляция (МИ)'!$G$25:$G$459,$G173))))</f>
        <v>0</v>
      </c>
      <c r="AL173" s="1080">
        <f>IF(AJ173=0,0,(AK173-AJ173)/AJ173*100)</f>
        <v>0</v>
      </c>
      <c r="AM173" s="3404">
        <f>IF(AND(method_reg="Метод индексации",god&lt;&gt;first_year),_xlfn.SUMIFS(INDEX('Калькуляция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(МИ)'!$AJ$25:$BC$459,,MATCH(AM$8,'Калькуляция (МИ)'!$AJ$8:$BC$8,0)),'Калькуляция (МИ)'!$F$25:$F$459,$F173,'Калькуляция (МИ)'!$G$25:$G$459,$G173))))</f>
        <v>0</v>
      </c>
      <c r="AN173" s="3404">
        <f>IF(AND(method_reg="Метод индексации",god&lt;&gt;first_year),_xlfn.SUMIFS(INDEX('Калькуляция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(МИ)'!$AJ$25:$BC$459,,MATCH(AN$8,'Калькуляция (МИ)'!$AJ$8:$BC$8,0)),'Калькуляция (МИ)'!$F$25:$F$459,$F173,'Калькуляция (МИ)'!$G$25:$G$459,$G173))))</f>
        <v>0</v>
      </c>
      <c r="AO173" s="1080">
        <f>IF(AM173=0,0,(AN173-AM173)/AM173*100)</f>
        <v>0</v>
      </c>
      <c r="AP173" s="3404">
        <f>IF(AND(method_reg="Метод индексации",god&lt;&gt;first_year),_xlfn.SUMIFS(INDEX('Калькуляция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(МИ)'!$AJ$25:$BC$459,,MATCH(AP$8,'Калькуляция (МИ)'!$AJ$8:$BC$8,0)),'Калькуляция (МИ)'!$F$25:$F$459,$F173,'Калькуляция (МИ)'!$G$25:$G$459,$G173))))</f>
        <v>0</v>
      </c>
      <c r="AQ173" s="3404">
        <f>IF(AND(method_reg="Метод индексации",god&lt;&gt;first_year),_xlfn.SUMIFS(INDEX('Калькуляция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(МИ)'!$AJ$25:$BC$459,,MATCH(AQ$8,'Калькуляция (МИ)'!$AJ$8:$BC$8,0)),'Калькуляция (МИ)'!$F$25:$F$459,$F173,'Калькуляция (МИ)'!$G$25:$G$459,$G173))))</f>
        <v>0</v>
      </c>
      <c r="AR173" s="1080">
        <f>IF(AP173=0,0,(AQ173-AP173)/AP173*100)</f>
        <v>0</v>
      </c>
      <c r="AS173" s="3404">
        <f>IF(AND(method_reg="Метод индексации",god&lt;&gt;first_year),_xlfn.SUMIFS(INDEX('Калькуляция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(МИ)'!$AJ$25:$BC$459,,MATCH(AS$8,'Калькуляция (МИ)'!$AJ$8:$BC$8,0)),'Калькуляция (МИ)'!$F$25:$F$459,$F173,'Калькуляция (МИ)'!$G$25:$G$459,$G173))))</f>
        <v>0</v>
      </c>
      <c r="AT173" s="3404">
        <f>IF(AND(method_reg="Метод индексации",god&lt;&gt;first_year),_xlfn.SUMIFS(INDEX('Калькуляция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(МИ)'!$AJ$25:$BC$459,,MATCH(AT$8,'Калькуляция (МИ)'!$AJ$8:$BC$8,0)),'Калькуляция (МИ)'!$F$25:$F$459,$F173,'Калькуляция (МИ)'!$G$25:$G$459,$G173))))</f>
        <v>0</v>
      </c>
      <c r="AU173" s="1080">
        <f>IF(AS173=0,0,(AT173-AS173)/AS173*100)</f>
        <v>0</v>
      </c>
      <c r="AV173" s="3404">
        <f>IF(AND(method_reg="Метод индексации",god&lt;&gt;first_year),_xlfn.SUMIFS(INDEX('Калькуляция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(МИ)'!$AJ$25:$BC$459,,MATCH(AV$8,'Калькуляция (МИ)'!$AJ$8:$BC$8,0)),'Калькуляция (МИ)'!$F$25:$F$459,$F173,'Калькуляция (МИ)'!$G$25:$G$459,$G173))))</f>
        <v>0</v>
      </c>
      <c r="AW173" s="3404">
        <f>IF(AND(method_reg="Метод индексации",god&lt;&gt;first_year),_xlfn.SUMIFS(INDEX('Калькуляция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(МИ)'!$AJ$25:$BC$459,,MATCH(AW$8,'Калькуляция (МИ)'!$AJ$8:$BC$8,0)),'Калькуляция (МИ)'!$F$25:$F$459,$F173,'Калькуляция (МИ)'!$G$25:$G$459,$G173))))</f>
        <v>0</v>
      </c>
      <c r="AX173" s="1080">
        <f>IF(AV173=0,0,(AW173-AV173)/AV173*100)</f>
        <v>0</v>
      </c>
      <c r="AY173" s="3404">
        <f>IF(AND(method_reg="Метод индексации",god&lt;&gt;first_year),_xlfn.SUMIFS(INDEX('Калькуляция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(МИ)'!$AJ$25:$BC$459,,MATCH(AY$8,'Калькуляция (МИ)'!$AJ$8:$BC$8,0)),'Калькуляция (МИ)'!$F$25:$F$459,$F173,'Калькуляция (МИ)'!$G$25:$G$459,$G173))))</f>
        <v>0</v>
      </c>
      <c r="AZ173" s="3404">
        <f>IF(AND(method_reg="Метод индексации",god&lt;&gt;first_year),_xlfn.SUMIFS(INDEX('Калькуляция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(МИ)'!$AJ$25:$BC$459,,MATCH(AZ$8,'Калькуляция (МИ)'!$AJ$8:$BC$8,0)),'Калькуляция (МИ)'!$F$25:$F$459,$F173,'Калькуляция (МИ)'!$G$25:$G$459,$G173))))</f>
        <v>0</v>
      </c>
      <c r="BA173" s="1080">
        <f>IF(AY173=0,0,(AZ173-AY173)/AY173*100)</f>
        <v>0</v>
      </c>
      <c r="BB173" s="3404">
        <f>IF(AND(method_reg="Метод индексации",god&lt;&gt;first_year),_xlfn.SUMIFS(INDEX('Калькуляция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(МИ)'!$AJ$25:$BC$459,,MATCH(BB$8,'Калькуляция (МИ)'!$AJ$8:$BC$8,0)),'Калькуляция (МИ)'!$F$25:$F$459,$F173,'Калькуляция (МИ)'!$G$25:$G$459,$G173))))</f>
        <v>0</v>
      </c>
      <c r="BC173" s="3404">
        <f>IF(AND(method_reg="Метод индексации",god&lt;&gt;first_year),_xlfn.SUMIFS(INDEX('Калькуляция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(МИ)'!$AJ$25:$BC$459,,MATCH(BC$8,'Калькуляция (МИ)'!$AJ$8:$BC$8,0)),'Калькуляция (МИ)'!$F$25:$F$459,$F173,'Калькуляция (МИ)'!$G$25:$G$459,$G173))))</f>
        <v>0</v>
      </c>
      <c r="BD173" s="1080">
        <f>IF(BB173=0,0,(BC173-BB173)/BB173*100)</f>
        <v>0</v>
      </c>
      <c r="BE173" s="3404">
        <f>IF(AND(method_reg="Метод индексации",god&lt;&gt;first_year),_xlfn.SUMIFS(INDEX('Калькуляция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расходов",_xlfn.SUMIFS('Калькуляция (МЭОР)'!$AJ$25:$AJ$282,'Калькуляция (МЭОР)'!$F$25:$F$282,$F173,'Калькуляция (МЭОР)'!$G$25:$G$282,$G173),IF(method_reg="Метод сравнения аналогов",_xlfn.SUMIFS('Калькуляция (МСА)'!$AE$25:$AE$84,'Калькуляция (МСА)'!$F$25:$F$84,$F173,'Калькуляция (МСА)'!$G$25:$G$84,$G173),_xlfn.SUMIFS(INDEX('Калькуляция (МИ)'!$AJ$25:$BC$459,,MATCH(BE$8,'Калькуляция (МИ)'!$AJ$8:$BC$8,0)),'Калькуляция (МИ)'!$F$25:$F$459,$F173,'Калькуляция (МИ)'!$G$25:$G$459,$G173))))</f>
        <v>0</v>
      </c>
      <c r="BF173" s="3404">
        <f>IF(AND(method_reg="Метод индексации",god&lt;&gt;first_year),_xlfn.SUMIFS(INDEX('Калькуляция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расходов",_xlfn.SUMIFS('Калькуляция (МЭОР)'!$AK$25:$AK$282,'Калькуляция (МЭОР)'!$F$25:$F$282,$F173,'Калькуляция (МЭОР)'!$G$25:$G$282,$G173),IF(method_reg="Метод сравнения аналогов",_xlfn.SUMIFS('Калькуляция (МСА)'!$AF$25:$AF$84,'Калькуляция (МСА)'!$F$25:$F$84,$F173,'Калькуляция (МСА)'!$G$25:$G$84,$G173),_xlfn.SUMIFS(INDEX('Калькуляция (МИ)'!$AJ$25:$BC$459,,MATCH(BF$8,'Калькуляция (МИ)'!$AJ$8:$BC$8,0)),'Калькуляция (МИ)'!$F$25:$F$459,$F173,'Калькуляция (МИ)'!$G$25:$G$459,$G173))))</f>
        <v>0</v>
      </c>
      <c r="BG173" s="1080">
        <f>IF(BE173=0,0,(BF173-BE173)/BE173*100)</f>
        <v>0</v>
      </c>
      <c r="BH173" s="3404"/>
      <c r="BI173" s="3404"/>
      <c r="BJ173" s="1080">
        <f>IF(BH173=0,0,(BI173-BH173)/BH173*100)</f>
        <v>0</v>
      </c>
      <c r="BK173" s="3404"/>
      <c r="BL173" s="3404"/>
      <c r="BM173" s="1080">
        <f>IF(BK173=0,0,(BL173-BK173)/BK173*100)</f>
        <v>0</v>
      </c>
      <c r="BN173" s="3404"/>
      <c r="BO173" s="3404"/>
      <c r="BP173" s="1080">
        <f>IF(BN173=0,0,(BO173-BN173)/BN173*100)</f>
        <v>0</v>
      </c>
      <c r="BQ173" s="3404"/>
      <c r="BR173" s="3404"/>
      <c r="BS173" s="1080">
        <f>IF(BQ173=0,0,(BR173-BQ173)/BQ173*100)</f>
        <v>0</v>
      </c>
      <c r="BT173" s="3404"/>
      <c r="BU173" s="3404"/>
      <c r="BV173" s="1080">
        <f>IF(BT173=0,0,(BU173-BT173)/BT173*100)</f>
        <v>0</v>
      </c>
      <c r="BW173" s="3404"/>
      <c r="BX173" s="3404"/>
      <c r="BY173" s="1080">
        <f>IF(BW173=0,0,(BX173-BW173)/BW173*100)</f>
        <v>0</v>
      </c>
      <c r="BZ173" s="3404"/>
      <c r="CA173" s="3404"/>
      <c r="CB173" s="1080">
        <f>IF(BZ173=0,0,(CA173-BZ173)/BZ173*100)</f>
        <v>0</v>
      </c>
      <c r="CC173" s="3404"/>
      <c r="CD173" s="3404"/>
      <c r="CE173" s="1080">
        <f>IF(CC173=0,0,(CD173-CC173)/CC173*100)</f>
        <v>0</v>
      </c>
      <c r="CF173" s="3404"/>
      <c r="CG173" s="3404"/>
      <c r="CH173" s="1080">
        <f>IF(CF173=0,0,(CG173-CF173)/CF173*100)</f>
        <v>0</v>
      </c>
      <c r="CI173" s="3404"/>
      <c r="CJ173" s="3404"/>
      <c r="CK173" s="1080">
        <f>IF(CI173=0,0,(CJ173-CI173)/CI173*100)</f>
        <v>0</v>
      </c>
      <c r="CL173" s="3404"/>
      <c r="CM173" s="3404"/>
      <c r="CN173" s="1080">
        <f>IF(CL173=0,0,(CM173-CL173)/CL173*100)</f>
        <v>0</v>
      </c>
      <c r="CO173" s="3404"/>
      <c r="CP173" s="3404"/>
      <c r="CQ173" s="1080">
        <f>IF(CO173=0,0,(CP173-CO173)/CO173*100)</f>
        <v>0</v>
      </c>
      <c r="CR173" s="3404"/>
      <c r="CS173" s="3404"/>
      <c r="CT173" s="1080">
        <f>IF(CR173=0,0,(CS173-CR173)/CR173*100)</f>
        <v>0</v>
      </c>
      <c r="CU173" s="3404"/>
      <c r="CV173" s="3404"/>
      <c r="CW173" s="1080">
        <f>IF(CU173=0,0,(CV173-CU173)/CU173*100)</f>
        <v>0</v>
      </c>
      <c r="CX173" s="3404"/>
      <c r="CY173" s="3404"/>
      <c r="CZ173" s="1080">
        <f>IF(CX173=0,0,(CY173-CX173)/CX173*100)</f>
        <v>0</v>
      </c>
      <c r="DA173" s="3404"/>
      <c r="DB173" s="3404"/>
      <c r="DC173" s="1080">
        <f>IF(DA173=0,0,(DB173-DA173)/DA173*100)</f>
        <v>0</v>
      </c>
      <c r="DD173" s="3404"/>
      <c r="DE173" s="3404"/>
      <c r="DF173" s="1080">
        <f>IF(DD173=0,0,(DE173-DD173)/DD173*100)</f>
        <v>0</v>
      </c>
      <c r="DG173" s="3404"/>
      <c r="DH173" s="3404"/>
      <c r="DI173" s="1080">
        <f>IF(DG173=0,0,(DH173-DG173)/DG173*100)</f>
        <v>0</v>
      </c>
      <c r="DJ173" s="3404"/>
      <c r="DK173" s="3404"/>
      <c r="DL173" s="1080">
        <f>IF(DJ173=0,0,(DK173-DJ173)/DJ173*100)</f>
        <v>0</v>
      </c>
      <c r="DM173" s="3404"/>
      <c r="DN173" s="3404"/>
      <c r="DO173" s="1080">
        <f>IF(DM173=0,0,(DN173-DM173)/DM173*100)</f>
        <v>0</v>
      </c>
      <c r="DP173" s="3404"/>
      <c r="DQ173" s="3404"/>
      <c r="DR173" s="1080">
        <f>IF(DP173=0,0,(DQ173-DP173)/DP173*100)</f>
        <v>0</v>
      </c>
      <c r="DS173" s="3404"/>
      <c r="DT173" s="3404"/>
      <c r="DU173" s="1080">
        <f>IF(DS173=0,0,(DT173-DS173)/DS173*100)</f>
        <v>0</v>
      </c>
      <c r="DV173" s="3404"/>
      <c r="DW173" s="3404"/>
      <c r="DX173" s="1080">
        <f>IF(DV173=0,0,(DW173-DV173)/DV173*100)</f>
        <v>0</v>
      </c>
      <c r="DY173" s="3404"/>
      <c r="DZ173" s="3404"/>
      <c r="EA173" s="1080">
        <f>IF(DY173=0,0,(DZ173-DY173)/DY173*100)</f>
        <v>0</v>
      </c>
      <c r="EB173" s="3404"/>
      <c r="EC173" s="3404"/>
      <c r="ED173" s="1080">
        <f>IF(EB173=0,0,(EC173-EB173)/EB173*100)</f>
        <v>0</v>
      </c>
      <c r="EE173" s="3404"/>
      <c r="EF173" s="3404"/>
      <c r="EG173" s="1080">
        <f>IF(EE173=0,0,(EF173-EE173)/EE173*100)</f>
        <v>0</v>
      </c>
      <c r="EH173" s="3404"/>
      <c r="EI173" s="3404"/>
      <c r="EJ173" s="1080">
        <f>IF(EH173=0,0,(EI173-EH173)/EH173*100)</f>
        <v>0</v>
      </c>
      <c r="EK173" s="3404"/>
      <c r="EL173" s="3404"/>
      <c r="EM173" s="1080">
        <f>IF(EK173=0,0,(EL173-EK173)/EK173*100)</f>
        <v>0</v>
      </c>
      <c r="EN173" s="3404"/>
      <c r="EO173" s="3404"/>
      <c r="EP173" s="1080">
        <f>IF(EN173=0,0,(EO173-EN173)/EN173*100)</f>
        <v>0</v>
      </c>
      <c r="EQ173" s="3404"/>
      <c r="ER173" s="3404"/>
      <c r="ES173" s="1080">
        <f>IF(EQ173=0,0,(ER173-EQ173)/EQ173*100)</f>
        <v>0</v>
      </c>
      <c r="ET173" s="3404"/>
      <c r="EU173" s="3404"/>
      <c r="EV173" s="1080">
        <f>IF(ET173=0,0,(EU173-ET173)/ET173*100)</f>
        <v>0</v>
      </c>
      <c r="EW173" s="3404"/>
      <c r="EX173" s="3404"/>
      <c r="EY173" s="1080">
        <f>IF(EW173=0,0,(EX173-EW173)/EW173*100)</f>
        <v>0</v>
      </c>
      <c r="EZ173" s="3404"/>
      <c r="FA173" s="3404"/>
      <c r="FB173" s="1080">
        <f>IF(EZ173=0,0,(FA173-EZ173)/EZ173*100)</f>
        <v>0</v>
      </c>
      <c r="FC173" s="3404"/>
      <c r="FD173" s="3404"/>
      <c r="FE173" s="1080">
        <f>IF(FC173=0,0,(FD173-FC173)/FC173*100)</f>
        <v>0</v>
      </c>
      <c r="FF173" s="3404"/>
      <c r="FG173" s="3404"/>
      <c r="FH173" s="1080">
        <f>IF(FF173=0,0,(FG173-FF173)/FF173*100)</f>
        <v>0</v>
      </c>
      <c r="FI173" s="3404"/>
      <c r="FJ173" s="3404"/>
      <c r="FK173" s="1080">
        <f>IF(FI173=0,0,(FJ173-FI173)/FI173*100)</f>
        <v>0</v>
      </c>
      <c r="FL173" s="3404"/>
      <c r="FM173" s="3404"/>
      <c r="FN173" s="1080">
        <f>IF(FL173=0,0,(FM173-FL173)/FL173*100)</f>
        <v>0</v>
      </c>
      <c r="FO173" s="3404"/>
      <c r="FP173" s="3404"/>
      <c r="FQ173" s="1080">
        <f>IF(FO173=0,0,(FP173-FO173)/FO173*100)</f>
        <v>0</v>
      </c>
      <c r="FR173" s="3404"/>
      <c r="FS173" s="3404"/>
      <c r="FT173" s="1080">
        <f>IF(FR173=0,0,(FS173-FR173)/FR173*100)</f>
        <v>0</v>
      </c>
      <c r="FU173" s="3404"/>
      <c r="FV173" s="3404"/>
      <c r="FW173" s="1080">
        <f>IF(FU173=0,0,(FV173-FU173)/FU173*100)</f>
        <v>0</v>
      </c>
      <c r="FX173" s="676"/>
      <c r="FY173" s="676"/>
      <c r="FZ173" s="1039" t="s">
        <v>1551</v>
      </c>
      <c r="GA173" s="1061"/>
      <c r="GB173" s="1061"/>
      <c r="GC173" s="697"/>
      <c r="GD173" s="697"/>
    </row>
    <row s="1621" customFormat="1" customHeight="1" ht="21.75" hidden="1">
      <c r="A174" s="467"/>
      <c r="B174" s="907" cm="1" t="str">
        <f t="array" ref="B174:B174">B173</f>
        <v>false</v>
      </c>
      <c r="C174" s="467"/>
      <c r="D174" s="467"/>
      <c r="E174" s="822">
        <v>22.5</v>
      </c>
      <c r="F174" s="50" cm="1" t="str">
        <f t="array" ref="F174:F174">OFFSET(E174,-1,1)</f>
        <v>2</v>
      </c>
      <c r="G174" s="467"/>
      <c r="H174" s="467" t="s">
        <v>1533</v>
      </c>
      <c r="I174" s="467" t="s">
        <v>1507</v>
      </c>
      <c r="J174" s="467"/>
      <c r="K174" s="467"/>
      <c r="L174" s="467"/>
      <c r="M174" s="467"/>
      <c r="N174" s="467"/>
      <c r="O174" s="467"/>
      <c r="P174" s="467"/>
      <c r="Q174" s="467"/>
      <c r="R174" s="467"/>
      <c r="S174" s="467"/>
      <c r="T174" s="439" cm="1" t="str">
        <f t="array" ref="T174:T174">T173</f>
        <v>true</v>
      </c>
      <c r="U174" s="467"/>
      <c r="V174" s="467"/>
      <c r="W174" s="467"/>
      <c r="X174" s="1534"/>
      <c r="Y174" s="467"/>
      <c r="Z174" s="1464"/>
      <c r="AA174" s="467"/>
      <c r="AB174" s="107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846" t="s">
        <v>1534</v>
      </c>
      <c r="AD174" s="3409"/>
      <c r="AE174" s="3409"/>
      <c r="AF174" s="1078">
        <f>IF(AD174=0,0,(AE174-AD174)/AD174*100)</f>
        <v>0</v>
      </c>
      <c r="AG174" s="3409"/>
      <c r="AH174" s="3409"/>
      <c r="AI174" s="1078">
        <f>IF(AG174=0,0,(AH174-AG174)/AG174*100)</f>
        <v>0</v>
      </c>
      <c r="AJ174" s="3409"/>
      <c r="AK174" s="3409"/>
      <c r="AL174" s="1078">
        <f>IF(AJ174=0,0,(AK174-AJ174)/AJ174*100)</f>
        <v>0</v>
      </c>
      <c r="AM174" s="3409"/>
      <c r="AN174" s="3409"/>
      <c r="AO174" s="1078">
        <f>IF(AM174=0,0,(AN174-AM174)/AM174*100)</f>
        <v>0</v>
      </c>
      <c r="AP174" s="3409"/>
      <c r="AQ174" s="3409"/>
      <c r="AR174" s="1078">
        <f>IF(AP174=0,0,(AQ174-AP174)/AP174*100)</f>
        <v>0</v>
      </c>
      <c r="AS174" s="3409"/>
      <c r="AT174" s="3409"/>
      <c r="AU174" s="1078">
        <f>IF(AS174=0,0,(AT174-AS174)/AS174*100)</f>
        <v>0</v>
      </c>
      <c r="AV174" s="3409"/>
      <c r="AW174" s="3409"/>
      <c r="AX174" s="1078">
        <f>IF(AV174=0,0,(AW174-AV174)/AV174*100)</f>
        <v>0</v>
      </c>
      <c r="AY174" s="3409"/>
      <c r="AZ174" s="3409"/>
      <c r="BA174" s="1078">
        <f>IF(AY174=0,0,(AZ174-AY174)/AY174*100)</f>
        <v>0</v>
      </c>
      <c r="BB174" s="3409"/>
      <c r="BC174" s="3409"/>
      <c r="BD174" s="1078">
        <f>IF(BB174=0,0,(BC174-BB174)/BB174*100)</f>
        <v>0</v>
      </c>
      <c r="BE174" s="3409"/>
      <c r="BF174" s="3409"/>
      <c r="BG174" s="1078">
        <f>IF(BE174=0,0,(BF174-BE174)/BE174*100)</f>
        <v>0</v>
      </c>
      <c r="BH174" s="3409"/>
      <c r="BI174" s="3409"/>
      <c r="BJ174" s="1078">
        <f>IF(BH174=0,0,(BI174-BH174)/BH174*100)</f>
        <v>0</v>
      </c>
      <c r="BK174" s="3409"/>
      <c r="BL174" s="3409"/>
      <c r="BM174" s="1078">
        <f>IF(BK174=0,0,(BL174-BK174)/BK174*100)</f>
        <v>0</v>
      </c>
      <c r="BN174" s="3409"/>
      <c r="BO174" s="3409"/>
      <c r="BP174" s="1078">
        <f>IF(BN174=0,0,(BO174-BN174)/BN174*100)</f>
        <v>0</v>
      </c>
      <c r="BQ174" s="3409"/>
      <c r="BR174" s="3409"/>
      <c r="BS174" s="1078">
        <f>IF(BQ174=0,0,(BR174-BQ174)/BQ174*100)</f>
        <v>0</v>
      </c>
      <c r="BT174" s="3409"/>
      <c r="BU174" s="3409"/>
      <c r="BV174" s="1078">
        <f>IF(BT174=0,0,(BU174-BT174)/BT174*100)</f>
        <v>0</v>
      </c>
      <c r="BW174" s="3409"/>
      <c r="BX174" s="3409"/>
      <c r="BY174" s="1078">
        <f>IF(BW174=0,0,(BX174-BW174)/BW174*100)</f>
        <v>0</v>
      </c>
      <c r="BZ174" s="3409"/>
      <c r="CA174" s="3409"/>
      <c r="CB174" s="1078">
        <f>IF(BZ174=0,0,(CA174-BZ174)/BZ174*100)</f>
        <v>0</v>
      </c>
      <c r="CC174" s="3409"/>
      <c r="CD174" s="3409"/>
      <c r="CE174" s="1078">
        <f>IF(CC174=0,0,(CD174-CC174)/CC174*100)</f>
        <v>0</v>
      </c>
      <c r="CF174" s="3409"/>
      <c r="CG174" s="3409"/>
      <c r="CH174" s="1078">
        <f>IF(CF174=0,0,(CG174-CF174)/CF174*100)</f>
        <v>0</v>
      </c>
      <c r="CI174" s="3409"/>
      <c r="CJ174" s="3409"/>
      <c r="CK174" s="1078">
        <f>IF(CI174=0,0,(CJ174-CI174)/CI174*100)</f>
        <v>0</v>
      </c>
      <c r="CL174" s="3409"/>
      <c r="CM174" s="3409"/>
      <c r="CN174" s="1078">
        <f>IF(CL174=0,0,(CM174-CL174)/CL174*100)</f>
        <v>0</v>
      </c>
      <c r="CO174" s="3409"/>
      <c r="CP174" s="3409"/>
      <c r="CQ174" s="1078">
        <f>IF(CO174=0,0,(CP174-CO174)/CO174*100)</f>
        <v>0</v>
      </c>
      <c r="CR174" s="3409"/>
      <c r="CS174" s="3409"/>
      <c r="CT174" s="1078">
        <f>IF(CR174=0,0,(CS174-CR174)/CR174*100)</f>
        <v>0</v>
      </c>
      <c r="CU174" s="3409"/>
      <c r="CV174" s="3409"/>
      <c r="CW174" s="1078">
        <f>IF(CU174=0,0,(CV174-CU174)/CU174*100)</f>
        <v>0</v>
      </c>
      <c r="CX174" s="3409"/>
      <c r="CY174" s="3409"/>
      <c r="CZ174" s="1078">
        <f>IF(CX174=0,0,(CY174-CX174)/CX174*100)</f>
        <v>0</v>
      </c>
      <c r="DA174" s="3409"/>
      <c r="DB174" s="3409"/>
      <c r="DC174" s="1078">
        <f>IF(DA174=0,0,(DB174-DA174)/DA174*100)</f>
        <v>0</v>
      </c>
      <c r="DD174" s="3409"/>
      <c r="DE174" s="3409"/>
      <c r="DF174" s="1078">
        <f>IF(DD174=0,0,(DE174-DD174)/DD174*100)</f>
        <v>0</v>
      </c>
      <c r="DG174" s="3409"/>
      <c r="DH174" s="3409"/>
      <c r="DI174" s="1078">
        <f>IF(DG174=0,0,(DH174-DG174)/DG174*100)</f>
        <v>0</v>
      </c>
      <c r="DJ174" s="3409"/>
      <c r="DK174" s="3409"/>
      <c r="DL174" s="1078">
        <f>IF(DJ174=0,0,(DK174-DJ174)/DJ174*100)</f>
        <v>0</v>
      </c>
      <c r="DM174" s="3409"/>
      <c r="DN174" s="3409"/>
      <c r="DO174" s="1078">
        <f>IF(DM174=0,0,(DN174-DM174)/DM174*100)</f>
        <v>0</v>
      </c>
      <c r="DP174" s="3409"/>
      <c r="DQ174" s="3409"/>
      <c r="DR174" s="1078">
        <f>IF(DP174=0,0,(DQ174-DP174)/DP174*100)</f>
        <v>0</v>
      </c>
      <c r="DS174" s="3409"/>
      <c r="DT174" s="3409"/>
      <c r="DU174" s="1078">
        <f>IF(DS174=0,0,(DT174-DS174)/DS174*100)</f>
        <v>0</v>
      </c>
      <c r="DV174" s="3409"/>
      <c r="DW174" s="3409"/>
      <c r="DX174" s="1078">
        <f>IF(DV174=0,0,(DW174-DV174)/DV174*100)</f>
        <v>0</v>
      </c>
      <c r="DY174" s="3409"/>
      <c r="DZ174" s="3409"/>
      <c r="EA174" s="1078">
        <f>IF(DY174=0,0,(DZ174-DY174)/DY174*100)</f>
        <v>0</v>
      </c>
      <c r="EB174" s="3409"/>
      <c r="EC174" s="3409"/>
      <c r="ED174" s="1078">
        <f>IF(EB174=0,0,(EC174-EB174)/EB174*100)</f>
        <v>0</v>
      </c>
      <c r="EE174" s="3409"/>
      <c r="EF174" s="3409"/>
      <c r="EG174" s="1078">
        <f>IF(EE174=0,0,(EF174-EE174)/EE174*100)</f>
        <v>0</v>
      </c>
      <c r="EH174" s="3409"/>
      <c r="EI174" s="3409"/>
      <c r="EJ174" s="1078">
        <f>IF(EH174=0,0,(EI174-EH174)/EH174*100)</f>
        <v>0</v>
      </c>
      <c r="EK174" s="3409"/>
      <c r="EL174" s="3409"/>
      <c r="EM174" s="1078">
        <f>IF(EK174=0,0,(EL174-EK174)/EK174*100)</f>
        <v>0</v>
      </c>
      <c r="EN174" s="3409"/>
      <c r="EO174" s="3409"/>
      <c r="EP174" s="1078">
        <f>IF(EN174=0,0,(EO174-EN174)/EN174*100)</f>
        <v>0</v>
      </c>
      <c r="EQ174" s="3409"/>
      <c r="ER174" s="3409"/>
      <c r="ES174" s="1078">
        <f>IF(EQ174=0,0,(ER174-EQ174)/EQ174*100)</f>
        <v>0</v>
      </c>
      <c r="ET174" s="3409"/>
      <c r="EU174" s="3409"/>
      <c r="EV174" s="1078">
        <f>IF(ET174=0,0,(EU174-ET174)/ET174*100)</f>
        <v>0</v>
      </c>
      <c r="EW174" s="3409"/>
      <c r="EX174" s="3409"/>
      <c r="EY174" s="1078">
        <f>IF(EW174=0,0,(EX174-EW174)/EW174*100)</f>
        <v>0</v>
      </c>
      <c r="EZ174" s="3409"/>
      <c r="FA174" s="3409"/>
      <c r="FB174" s="1078">
        <f>IF(EZ174=0,0,(FA174-EZ174)/EZ174*100)</f>
        <v>0</v>
      </c>
      <c r="FC174" s="3409"/>
      <c r="FD174" s="3409"/>
      <c r="FE174" s="1078">
        <f>IF(FC174=0,0,(FD174-FC174)/FC174*100)</f>
        <v>0</v>
      </c>
      <c r="FF174" s="3409"/>
      <c r="FG174" s="3409"/>
      <c r="FH174" s="1078">
        <f>IF(FF174=0,0,(FG174-FF174)/FF174*100)</f>
        <v>0</v>
      </c>
      <c r="FI174" s="3409"/>
      <c r="FJ174" s="3409"/>
      <c r="FK174" s="1078">
        <f>IF(FI174=0,0,(FJ174-FI174)/FI174*100)</f>
        <v>0</v>
      </c>
      <c r="FL174" s="3409"/>
      <c r="FM174" s="3409"/>
      <c r="FN174" s="1078">
        <f>IF(FL174=0,0,(FM174-FL174)/FL174*100)</f>
        <v>0</v>
      </c>
      <c r="FO174" s="3409"/>
      <c r="FP174" s="3409"/>
      <c r="FQ174" s="1078">
        <f>IF(FO174=0,0,(FP174-FO174)/FO174*100)</f>
        <v>0</v>
      </c>
      <c r="FR174" s="3409"/>
      <c r="FS174" s="3409"/>
      <c r="FT174" s="1078">
        <f>IF(FR174=0,0,(FS174-FR174)/FR174*100)</f>
        <v>0</v>
      </c>
      <c r="FU174" s="3409"/>
      <c r="FV174" s="3409"/>
      <c r="FW174" s="1078">
        <f>IF(FU174=0,0,(FV174-FU174)/FU174*100)</f>
        <v>0</v>
      </c>
      <c r="FX174" s="676"/>
      <c r="FY174" s="676"/>
      <c r="FZ174" s="1039" t="s">
        <v>1552</v>
      </c>
      <c r="GA174" s="1061"/>
      <c r="GB174" s="1061"/>
      <c r="GC174" s="697"/>
      <c r="GD174" s="697"/>
    </row>
    <row s="1621" customFormat="1" customHeight="1" ht="14.25" hidden="1">
      <c r="A175" s="467"/>
      <c r="B175" s="907" cm="1" t="str">
        <f t="array" ref="B175:B175">B174</f>
        <v>false</v>
      </c>
      <c r="C175" s="467"/>
      <c r="D175" s="467"/>
      <c r="E175" s="822">
        <v>15</v>
      </c>
      <c r="F175" s="50" cm="1" t="str">
        <f t="array" ref="F175:F175">OFFSET(E175,-1,1)</f>
        <v>2</v>
      </c>
      <c r="G175" s="467"/>
      <c r="H175" s="467" t="s">
        <v>1536</v>
      </c>
      <c r="I175" s="467" t="s">
        <v>1507</v>
      </c>
      <c r="J175" s="467"/>
      <c r="K175" s="467"/>
      <c r="L175" s="467"/>
      <c r="M175" s="467"/>
      <c r="N175" s="467"/>
      <c r="O175" s="467"/>
      <c r="P175" s="467"/>
      <c r="Q175" s="467"/>
      <c r="R175" s="467"/>
      <c r="S175" s="467"/>
      <c r="T175" s="439" cm="1" t="str">
        <f t="array" ref="T175:T175">T174</f>
        <v>true</v>
      </c>
      <c r="U175" s="467"/>
      <c r="V175" s="467"/>
      <c r="W175" s="467"/>
      <c r="X175" s="1534"/>
      <c r="Y175" s="467"/>
      <c r="Z175" s="1464"/>
      <c r="AA175" s="467"/>
      <c r="AB175" s="1076" t="s">
        <v>1537</v>
      </c>
      <c r="AC175" s="846" t="s">
        <v>1538</v>
      </c>
      <c r="AD175" s="3409"/>
      <c r="AE175" s="3409"/>
      <c r="AF175" s="1078">
        <f>IF(AD175=0,0,(AE175-AD175)/AD175*100)</f>
        <v>0</v>
      </c>
      <c r="AG175" s="3409"/>
      <c r="AH175" s="3409"/>
      <c r="AI175" s="1078">
        <f>IF(AG175=0,0,(AH175-AG175)/AG175*100)</f>
        <v>0</v>
      </c>
      <c r="AJ175" s="3409"/>
      <c r="AK175" s="3409"/>
      <c r="AL175" s="1078">
        <f>IF(AJ175=0,0,(AK175-AJ175)/AJ175*100)</f>
        <v>0</v>
      </c>
      <c r="AM175" s="3409"/>
      <c r="AN175" s="3409"/>
      <c r="AO175" s="1078">
        <f>IF(AM175=0,0,(AN175-AM175)/AM175*100)</f>
        <v>0</v>
      </c>
      <c r="AP175" s="3409"/>
      <c r="AQ175" s="3409"/>
      <c r="AR175" s="1078">
        <f>IF(AP175=0,0,(AQ175-AP175)/AP175*100)</f>
        <v>0</v>
      </c>
      <c r="AS175" s="3409"/>
      <c r="AT175" s="3409"/>
      <c r="AU175" s="1078">
        <f>IF(AS175=0,0,(AT175-AS175)/AS175*100)</f>
        <v>0</v>
      </c>
      <c r="AV175" s="3409"/>
      <c r="AW175" s="3409"/>
      <c r="AX175" s="1078">
        <f>IF(AV175=0,0,(AW175-AV175)/AV175*100)</f>
        <v>0</v>
      </c>
      <c r="AY175" s="3409"/>
      <c r="AZ175" s="3409"/>
      <c r="BA175" s="1078">
        <f>IF(AY175=0,0,(AZ175-AY175)/AY175*100)</f>
        <v>0</v>
      </c>
      <c r="BB175" s="3409"/>
      <c r="BC175" s="3409"/>
      <c r="BD175" s="1078">
        <f>IF(BB175=0,0,(BC175-BB175)/BB175*100)</f>
        <v>0</v>
      </c>
      <c r="BE175" s="3409"/>
      <c r="BF175" s="3409"/>
      <c r="BG175" s="1078">
        <f>IF(BE175=0,0,(BF175-BE175)/BE175*100)</f>
        <v>0</v>
      </c>
      <c r="BH175" s="3409"/>
      <c r="BI175" s="3409"/>
      <c r="BJ175" s="1078">
        <f>IF(BH175=0,0,(BI175-BH175)/BH175*100)</f>
        <v>0</v>
      </c>
      <c r="BK175" s="3409"/>
      <c r="BL175" s="3409"/>
      <c r="BM175" s="1078">
        <f>IF(BK175=0,0,(BL175-BK175)/BK175*100)</f>
        <v>0</v>
      </c>
      <c r="BN175" s="3409"/>
      <c r="BO175" s="3409"/>
      <c r="BP175" s="1078">
        <f>IF(BN175=0,0,(BO175-BN175)/BN175*100)</f>
        <v>0</v>
      </c>
      <c r="BQ175" s="3409"/>
      <c r="BR175" s="3409"/>
      <c r="BS175" s="1078">
        <f>IF(BQ175=0,0,(BR175-BQ175)/BQ175*100)</f>
        <v>0</v>
      </c>
      <c r="BT175" s="3409"/>
      <c r="BU175" s="3409"/>
      <c r="BV175" s="1078">
        <f>IF(BT175=0,0,(BU175-BT175)/BT175*100)</f>
        <v>0</v>
      </c>
      <c r="BW175" s="3409"/>
      <c r="BX175" s="3409"/>
      <c r="BY175" s="1078">
        <f>IF(BW175=0,0,(BX175-BW175)/BW175*100)</f>
        <v>0</v>
      </c>
      <c r="BZ175" s="3409"/>
      <c r="CA175" s="3409"/>
      <c r="CB175" s="1078">
        <f>IF(BZ175=0,0,(CA175-BZ175)/BZ175*100)</f>
        <v>0</v>
      </c>
      <c r="CC175" s="3409"/>
      <c r="CD175" s="3409"/>
      <c r="CE175" s="1078">
        <f>IF(CC175=0,0,(CD175-CC175)/CC175*100)</f>
        <v>0</v>
      </c>
      <c r="CF175" s="3409"/>
      <c r="CG175" s="3409"/>
      <c r="CH175" s="1078">
        <f>IF(CF175=0,0,(CG175-CF175)/CF175*100)</f>
        <v>0</v>
      </c>
      <c r="CI175" s="3409"/>
      <c r="CJ175" s="3409"/>
      <c r="CK175" s="1078">
        <f>IF(CI175=0,0,(CJ175-CI175)/CI175*100)</f>
        <v>0</v>
      </c>
      <c r="CL175" s="3409"/>
      <c r="CM175" s="3409"/>
      <c r="CN175" s="1078">
        <f>IF(CL175=0,0,(CM175-CL175)/CL175*100)</f>
        <v>0</v>
      </c>
      <c r="CO175" s="3409"/>
      <c r="CP175" s="3409"/>
      <c r="CQ175" s="1078">
        <f>IF(CO175=0,0,(CP175-CO175)/CO175*100)</f>
        <v>0</v>
      </c>
      <c r="CR175" s="3409"/>
      <c r="CS175" s="3409"/>
      <c r="CT175" s="1078">
        <f>IF(CR175=0,0,(CS175-CR175)/CR175*100)</f>
        <v>0</v>
      </c>
      <c r="CU175" s="3409"/>
      <c r="CV175" s="3409"/>
      <c r="CW175" s="1078">
        <f>IF(CU175=0,0,(CV175-CU175)/CU175*100)</f>
        <v>0</v>
      </c>
      <c r="CX175" s="3409"/>
      <c r="CY175" s="3409"/>
      <c r="CZ175" s="1078">
        <f>IF(CX175=0,0,(CY175-CX175)/CX175*100)</f>
        <v>0</v>
      </c>
      <c r="DA175" s="3409"/>
      <c r="DB175" s="3409"/>
      <c r="DC175" s="1078">
        <f>IF(DA175=0,0,(DB175-DA175)/DA175*100)</f>
        <v>0</v>
      </c>
      <c r="DD175" s="3409"/>
      <c r="DE175" s="3409"/>
      <c r="DF175" s="1078">
        <f>IF(DD175=0,0,(DE175-DD175)/DD175*100)</f>
        <v>0</v>
      </c>
      <c r="DG175" s="3409"/>
      <c r="DH175" s="3409"/>
      <c r="DI175" s="1078">
        <f>IF(DG175=0,0,(DH175-DG175)/DG175*100)</f>
        <v>0</v>
      </c>
      <c r="DJ175" s="3409"/>
      <c r="DK175" s="3409"/>
      <c r="DL175" s="1078">
        <f>IF(DJ175=0,0,(DK175-DJ175)/DJ175*100)</f>
        <v>0</v>
      </c>
      <c r="DM175" s="3409"/>
      <c r="DN175" s="3409"/>
      <c r="DO175" s="1078">
        <f>IF(DM175=0,0,(DN175-DM175)/DM175*100)</f>
        <v>0</v>
      </c>
      <c r="DP175" s="3409"/>
      <c r="DQ175" s="3409"/>
      <c r="DR175" s="1078">
        <f>IF(DP175=0,0,(DQ175-DP175)/DP175*100)</f>
        <v>0</v>
      </c>
      <c r="DS175" s="3409"/>
      <c r="DT175" s="3409"/>
      <c r="DU175" s="1078">
        <f>IF(DS175=0,0,(DT175-DS175)/DS175*100)</f>
        <v>0</v>
      </c>
      <c r="DV175" s="3409"/>
      <c r="DW175" s="3409"/>
      <c r="DX175" s="1078">
        <f>IF(DV175=0,0,(DW175-DV175)/DV175*100)</f>
        <v>0</v>
      </c>
      <c r="DY175" s="3409"/>
      <c r="DZ175" s="3409"/>
      <c r="EA175" s="1078">
        <f>IF(DY175=0,0,(DZ175-DY175)/DY175*100)</f>
        <v>0</v>
      </c>
      <c r="EB175" s="3409"/>
      <c r="EC175" s="3409"/>
      <c r="ED175" s="1078">
        <f>IF(EB175=0,0,(EC175-EB175)/EB175*100)</f>
        <v>0</v>
      </c>
      <c r="EE175" s="3409"/>
      <c r="EF175" s="3409"/>
      <c r="EG175" s="1078">
        <f>IF(EE175=0,0,(EF175-EE175)/EE175*100)</f>
        <v>0</v>
      </c>
      <c r="EH175" s="3409"/>
      <c r="EI175" s="3409"/>
      <c r="EJ175" s="1078">
        <f>IF(EH175=0,0,(EI175-EH175)/EH175*100)</f>
        <v>0</v>
      </c>
      <c r="EK175" s="3409"/>
      <c r="EL175" s="3409"/>
      <c r="EM175" s="1078">
        <f>IF(EK175=0,0,(EL175-EK175)/EK175*100)</f>
        <v>0</v>
      </c>
      <c r="EN175" s="3409"/>
      <c r="EO175" s="3409"/>
      <c r="EP175" s="1078">
        <f>IF(EN175=0,0,(EO175-EN175)/EN175*100)</f>
        <v>0</v>
      </c>
      <c r="EQ175" s="3409"/>
      <c r="ER175" s="3409"/>
      <c r="ES175" s="1078">
        <f>IF(EQ175=0,0,(ER175-EQ175)/EQ175*100)</f>
        <v>0</v>
      </c>
      <c r="ET175" s="3409"/>
      <c r="EU175" s="3409"/>
      <c r="EV175" s="1078">
        <f>IF(ET175=0,0,(EU175-ET175)/ET175*100)</f>
        <v>0</v>
      </c>
      <c r="EW175" s="3409"/>
      <c r="EX175" s="3409"/>
      <c r="EY175" s="1078">
        <f>IF(EW175=0,0,(EX175-EW175)/EW175*100)</f>
        <v>0</v>
      </c>
      <c r="EZ175" s="3409"/>
      <c r="FA175" s="3409"/>
      <c r="FB175" s="1078">
        <f>IF(EZ175=0,0,(FA175-EZ175)/EZ175*100)</f>
        <v>0</v>
      </c>
      <c r="FC175" s="3409"/>
      <c r="FD175" s="3409"/>
      <c r="FE175" s="1078">
        <f>IF(FC175=0,0,(FD175-FC175)/FC175*100)</f>
        <v>0</v>
      </c>
      <c r="FF175" s="3409"/>
      <c r="FG175" s="3409"/>
      <c r="FH175" s="1078">
        <f>IF(FF175=0,0,(FG175-FF175)/FF175*100)</f>
        <v>0</v>
      </c>
      <c r="FI175" s="3409"/>
      <c r="FJ175" s="3409"/>
      <c r="FK175" s="1078">
        <f>IF(FI175=0,0,(FJ175-FI175)/FI175*100)</f>
        <v>0</v>
      </c>
      <c r="FL175" s="3409"/>
      <c r="FM175" s="3409"/>
      <c r="FN175" s="1078">
        <f>IF(FL175=0,0,(FM175-FL175)/FL175*100)</f>
        <v>0</v>
      </c>
      <c r="FO175" s="3409"/>
      <c r="FP175" s="3409"/>
      <c r="FQ175" s="1078">
        <f>IF(FO175=0,0,(FP175-FO175)/FO175*100)</f>
        <v>0</v>
      </c>
      <c r="FR175" s="3409"/>
      <c r="FS175" s="3409"/>
      <c r="FT175" s="1078">
        <f>IF(FR175=0,0,(FS175-FR175)/FR175*100)</f>
        <v>0</v>
      </c>
      <c r="FU175" s="3409"/>
      <c r="FV175" s="3409"/>
      <c r="FW175" s="1078">
        <f>IF(FU175=0,0,(FV175-FU175)/FU175*100)</f>
        <v>0</v>
      </c>
      <c r="FX175" s="676"/>
      <c r="FY175" s="676"/>
      <c r="FZ175" s="1039" t="s">
        <v>1553</v>
      </c>
      <c r="GA175" s="1061"/>
      <c r="GB175" s="1061"/>
      <c r="GC175" s="697"/>
      <c r="GD175" s="697"/>
    </row>
    <row s="1621" customFormat="1" customHeight="1" ht="23.25" hidden="1">
      <c r="A176" s="467"/>
      <c r="B176" s="907" cm="1" t="str">
        <f t="array" ref="B176:B176">B175</f>
        <v>false</v>
      </c>
      <c r="C176" s="467"/>
      <c r="D176" s="467"/>
      <c r="E176" s="822">
        <v>24.5</v>
      </c>
      <c r="F176" s="50" cm="1" t="str">
        <f t="array" ref="F176:F176">OFFSET(E176,-1,1)</f>
        <v>2</v>
      </c>
      <c r="G176" s="467"/>
      <c r="H176" s="467"/>
      <c r="I176" s="467"/>
      <c r="J176" s="467"/>
      <c r="K176" s="467"/>
      <c r="L176" s="467"/>
      <c r="M176" s="467"/>
      <c r="N176" s="467"/>
      <c r="O176" s="467"/>
      <c r="P176" s="467"/>
      <c r="Q176" s="467"/>
      <c r="R176" s="467"/>
      <c r="S176" s="467"/>
      <c r="T176" s="439" cm="1" t="str">
        <f t="array" ref="T176:T176">T175</f>
        <v>true</v>
      </c>
      <c r="U176" s="467"/>
      <c r="V176" s="467"/>
      <c r="W176" s="467"/>
      <c r="X176" s="1534"/>
      <c r="Y176" s="467"/>
      <c r="Z176" s="1464"/>
      <c r="AA176" s="467"/>
      <c r="AB176" s="260" t="s">
        <v>1554</v>
      </c>
      <c r="AC176" s="885"/>
      <c r="AD176" s="1087"/>
      <c r="AE176" s="1087"/>
      <c r="AF176" s="1087"/>
      <c r="AG176" s="1087"/>
      <c r="AH176" s="1087"/>
      <c r="AI176" s="1087"/>
      <c r="AJ176" s="1087"/>
      <c r="AK176" s="1087"/>
      <c r="AL176" s="1087"/>
      <c r="AM176" s="1087"/>
      <c r="AN176" s="1087"/>
      <c r="AO176" s="1087"/>
      <c r="AP176" s="1087"/>
      <c r="AQ176" s="1087"/>
      <c r="AR176" s="1087"/>
      <c r="AS176" s="1087"/>
      <c r="AT176" s="1087"/>
      <c r="AU176" s="1087"/>
      <c r="AV176" s="1087"/>
      <c r="AW176" s="1087"/>
      <c r="AX176" s="1087"/>
      <c r="AY176" s="1087"/>
      <c r="AZ176" s="1087"/>
      <c r="BA176" s="1087"/>
      <c r="BB176" s="1087"/>
      <c r="BC176" s="1087"/>
      <c r="BD176" s="1087"/>
      <c r="BE176" s="1087"/>
      <c r="BF176" s="1087"/>
      <c r="BG176" s="1087"/>
      <c r="BH176" s="1087"/>
      <c r="BI176" s="1087"/>
      <c r="BJ176" s="1087"/>
      <c r="BK176" s="1087"/>
      <c r="BL176" s="1087"/>
      <c r="BM176" s="1087"/>
      <c r="BN176" s="1087"/>
      <c r="BO176" s="1087"/>
      <c r="BP176" s="1087"/>
      <c r="BQ176" s="1087"/>
      <c r="BR176" s="1087"/>
      <c r="BS176" s="1087"/>
      <c r="BT176" s="1087"/>
      <c r="BU176" s="1087"/>
      <c r="BV176" s="1087"/>
      <c r="BW176" s="1087"/>
      <c r="BX176" s="1087"/>
      <c r="BY176" s="1087"/>
      <c r="BZ176" s="1087"/>
      <c r="CA176" s="1087"/>
      <c r="CB176" s="1087"/>
      <c r="CC176" s="1087"/>
      <c r="CD176" s="1087"/>
      <c r="CE176" s="1087"/>
      <c r="CF176" s="1087"/>
      <c r="CG176" s="1087"/>
      <c r="CH176" s="1087"/>
      <c r="CI176" s="1087"/>
      <c r="CJ176" s="1087"/>
      <c r="CK176" s="1087"/>
      <c r="CL176" s="1087"/>
      <c r="CM176" s="1087"/>
      <c r="CN176" s="1087"/>
      <c r="CO176" s="1087"/>
      <c r="CP176" s="1087"/>
      <c r="CQ176" s="1087"/>
      <c r="CR176" s="1087"/>
      <c r="CS176" s="1087"/>
      <c r="CT176" s="1087"/>
      <c r="CU176" s="1087"/>
      <c r="CV176" s="1087"/>
      <c r="CW176" s="1087"/>
      <c r="CX176" s="1087"/>
      <c r="CY176" s="1087"/>
      <c r="CZ176" s="1087"/>
      <c r="DA176" s="1087"/>
      <c r="DB176" s="1087"/>
      <c r="DC176" s="1087"/>
      <c r="DD176" s="1087"/>
      <c r="DE176" s="1087"/>
      <c r="DF176" s="1087"/>
      <c r="DG176" s="1087"/>
      <c r="DH176" s="1087"/>
      <c r="DI176" s="1087"/>
      <c r="DJ176" s="1087"/>
      <c r="DK176" s="1087"/>
      <c r="DL176" s="1087"/>
      <c r="DM176" s="1087"/>
      <c r="DN176" s="1087"/>
      <c r="DO176" s="1087"/>
      <c r="DP176" s="1087"/>
      <c r="DQ176" s="1087"/>
      <c r="DR176" s="1087"/>
      <c r="DS176" s="1087"/>
      <c r="DT176" s="1087"/>
      <c r="DU176" s="1087"/>
      <c r="DV176" s="1087"/>
      <c r="DW176" s="1087"/>
      <c r="DX176" s="1087"/>
      <c r="DY176" s="1087"/>
      <c r="DZ176" s="1087"/>
      <c r="EA176" s="1087"/>
      <c r="EB176" s="1087"/>
      <c r="EC176" s="1087"/>
      <c r="ED176" s="1087"/>
      <c r="EE176" s="1087"/>
      <c r="EF176" s="1087"/>
      <c r="EG176" s="1087"/>
      <c r="EH176" s="1087"/>
      <c r="EI176" s="1087"/>
      <c r="EJ176" s="1087"/>
      <c r="EK176" s="1087"/>
      <c r="EL176" s="1087"/>
      <c r="EM176" s="1087"/>
      <c r="EN176" s="1087"/>
      <c r="EO176" s="1087"/>
      <c r="EP176" s="1087"/>
      <c r="EQ176" s="1087"/>
      <c r="ER176" s="1087"/>
      <c r="ES176" s="1087"/>
      <c r="ET176" s="1087"/>
      <c r="EU176" s="1087"/>
      <c r="EV176" s="1087"/>
      <c r="EW176" s="1087"/>
      <c r="EX176" s="1087"/>
      <c r="EY176" s="1087"/>
      <c r="EZ176" s="1087"/>
      <c r="FA176" s="1087"/>
      <c r="FB176" s="1087"/>
      <c r="FC176" s="1087"/>
      <c r="FD176" s="1087"/>
      <c r="FE176" s="1087"/>
      <c r="FF176" s="1087"/>
      <c r="FG176" s="1087"/>
      <c r="FH176" s="1087"/>
      <c r="FI176" s="1087"/>
      <c r="FJ176" s="1087"/>
      <c r="FK176" s="1087"/>
      <c r="FL176" s="1087"/>
      <c r="FM176" s="1087"/>
      <c r="FN176" s="1087"/>
      <c r="FO176" s="1087"/>
      <c r="FP176" s="1087"/>
      <c r="FQ176" s="1087"/>
      <c r="FR176" s="1087"/>
      <c r="FS176" s="1087"/>
      <c r="FT176" s="1087"/>
      <c r="FU176" s="1087"/>
      <c r="FV176" s="1087"/>
      <c r="FW176" s="1088"/>
      <c r="FX176" s="676"/>
      <c r="FY176" s="676"/>
      <c r="FZ176" s="1039"/>
      <c r="GA176" s="1061"/>
      <c r="GB176" s="1061"/>
      <c r="GC176" s="697"/>
      <c r="GD176" s="697"/>
    </row>
    <row s="1621" customFormat="1" customHeight="1" ht="14.25" hidden="1">
      <c r="A177" s="467"/>
      <c r="B177" s="907" cm="1" t="str">
        <f t="array" ref="B177:B177">B176</f>
        <v>false</v>
      </c>
      <c r="C177" s="467"/>
      <c r="D177" s="467"/>
      <c r="E177" s="822">
        <v>15</v>
      </c>
      <c r="F177" s="50" cm="1" t="str">
        <f t="array" ref="F177:F177">OFFSET(E177,-1,1)</f>
        <v>2</v>
      </c>
      <c r="G177" s="467"/>
      <c r="H177" s="467" t="s">
        <v>1445</v>
      </c>
      <c r="I177" s="467" t="s">
        <v>1511</v>
      </c>
      <c r="J177" s="467"/>
      <c r="K177" s="467"/>
      <c r="L177" s="467"/>
      <c r="M177" s="467"/>
      <c r="N177" s="467"/>
      <c r="O177" s="467"/>
      <c r="P177" s="467"/>
      <c r="Q177" s="467"/>
      <c r="R177" s="467"/>
      <c r="S177" s="467"/>
      <c r="T177" s="439" cm="1" t="str">
        <f t="array" ref="T177:T177">T176</f>
        <v>true</v>
      </c>
      <c r="U177" s="467"/>
      <c r="V177" s="467"/>
      <c r="W177" s="467"/>
      <c r="X177" s="1534"/>
      <c r="Y177" s="467"/>
      <c r="Z177" s="1464"/>
      <c r="AA177" s="467"/>
      <c r="AB177" s="1076" t="s">
        <v>1527</v>
      </c>
      <c r="AC177" s="846" t="s">
        <v>1494</v>
      </c>
      <c r="AD177" s="3409">
        <f>IF(AD179=0,0,(AD178*AD179+AD180*AD181*IF(god=2026,3,6))/AD179)</f>
        <v>0</v>
      </c>
      <c r="AE177" s="3409">
        <f>IF(AE179=0,0,(AE178*AE179+AE180*AE181*IF(god=2026,3,6))/AE179)</f>
        <v>0</v>
      </c>
      <c r="AF177" s="1078">
        <f>IF(AD177=0,0,(AE177-AD177)/AD177*100)</f>
        <v>0</v>
      </c>
      <c r="AG177" s="3409">
        <f>IF(AG179=0,0,(AG178*AG179+AG180*AG181*IF(god=2025,3,6))/AG179)</f>
        <v>0</v>
      </c>
      <c r="AH177" s="3409">
        <f>IF(AH179=0,0,(AH178*AH179+AH180*AH181*IF(god=2025,3,6))/AH179)</f>
        <v>0</v>
      </c>
      <c r="AI177" s="1078">
        <f>IF(AG177=0,0,(AH177-AG177)/AG177*100)</f>
        <v>0</v>
      </c>
      <c r="AJ177" s="3409">
        <f>IF(AJ179=0,0,(AJ178*AJ179+AJ180*AJ181*6)/AJ179)</f>
        <v>0</v>
      </c>
      <c r="AK177" s="3409">
        <f>IF(AK179=0,0,(AK178*AK179+AK180*AK181*6)/AK179)</f>
        <v>0</v>
      </c>
      <c r="AL177" s="1078">
        <f>IF(AJ177=0,0,(AK177-AJ177)/AJ177*100)</f>
        <v>0</v>
      </c>
      <c r="AM177" s="3409">
        <f>IF(AM179=0,0,(AM178*AM179+AM180*AM181*6)/AM179)</f>
        <v>0</v>
      </c>
      <c r="AN177" s="3409">
        <f>IF(AN179=0,0,(AN178*AN179+AN180*AN181*6)/AN179)</f>
        <v>0</v>
      </c>
      <c r="AO177" s="1078">
        <f>IF(AM177=0,0,(AN177-AM177)/AM177*100)</f>
        <v>0</v>
      </c>
      <c r="AP177" s="3409">
        <f>IF(AP179=0,0,(AP178*AP179+AP180*AP181*6)/AP179)</f>
        <v>0</v>
      </c>
      <c r="AQ177" s="3409">
        <f>IF(AQ179=0,0,(AQ178*AQ179+AQ180*AQ181*6)/AQ179)</f>
        <v>0</v>
      </c>
      <c r="AR177" s="1078">
        <f>IF(AP177=0,0,(AQ177-AP177)/AP177*100)</f>
        <v>0</v>
      </c>
      <c r="AS177" s="3409">
        <f>IF(AS179=0,0,(AS178*AS179+AS180*AS181*6)/AS179)</f>
        <v>0</v>
      </c>
      <c r="AT177" s="3409">
        <f>IF(AT179=0,0,(AT178*AT179+AT180*AT181*6)/AT179)</f>
        <v>0</v>
      </c>
      <c r="AU177" s="1078">
        <f>IF(AS177=0,0,(AT177-AS177)/AS177*100)</f>
        <v>0</v>
      </c>
      <c r="AV177" s="3409">
        <f>IF(AV179=0,0,(AV178*AV179+AV180*AV181*6)/AV179)</f>
        <v>0</v>
      </c>
      <c r="AW177" s="3409">
        <f>IF(AW179=0,0,(AW178*AW179+AW180*AW181*6)/AW179)</f>
        <v>0</v>
      </c>
      <c r="AX177" s="1078">
        <f>IF(AV177=0,0,(AW177-AV177)/AV177*100)</f>
        <v>0</v>
      </c>
      <c r="AY177" s="3409">
        <f>IF(AY179=0,0,(AY178*AY179+AY180*AY181*6)/AY179)</f>
        <v>0</v>
      </c>
      <c r="AZ177" s="3409">
        <f>IF(AZ179=0,0,(AZ178*AZ179+AZ180*AZ181*6)/AZ179)</f>
        <v>0</v>
      </c>
      <c r="BA177" s="1078">
        <f>IF(AY177=0,0,(AZ177-AY177)/AY177*100)</f>
        <v>0</v>
      </c>
      <c r="BB177" s="3409">
        <f>IF(BB179=0,0,(BB178*BB179+BB180*BB181*6)/BB179)</f>
        <v>0</v>
      </c>
      <c r="BC177" s="3409">
        <f>IF(BC179=0,0,(BC178*BC179+BC180*BC181*6)/BC179)</f>
        <v>0</v>
      </c>
      <c r="BD177" s="1078">
        <f>IF(BB177=0,0,(BC177-BB177)/BB177*100)</f>
        <v>0</v>
      </c>
      <c r="BE177" s="3409">
        <f>IF(BE179=0,0,(BE178*BE179+BE180*BE181*6)/BE179)</f>
        <v>0</v>
      </c>
      <c r="BF177" s="3409">
        <f>IF(BF179=0,0,(BF178*BF179+BF180*BF181*6)/BF179)</f>
        <v>0</v>
      </c>
      <c r="BG177" s="1078">
        <f>IF(BE177=0,0,(BF177-BE177)/BE177*100)</f>
        <v>0</v>
      </c>
      <c r="BH177" s="3409">
        <f>IF(BH179=0,0,(BH178*BH179+BH180*BH181*6)/BH179)</f>
        <v>0</v>
      </c>
      <c r="BI177" s="3409">
        <f>IF(BI179=0,0,(BI178*BI179+BI180*BI181*6)/BI179)</f>
        <v>0</v>
      </c>
      <c r="BJ177" s="1078">
        <f>IF(BH177=0,0,(BI177-BH177)/BH177*100)</f>
        <v>0</v>
      </c>
      <c r="BK177" s="3409">
        <f>IF(BK179=0,0,(BK178*BK179+BK180*BK181*6)/BK179)</f>
        <v>0</v>
      </c>
      <c r="BL177" s="3409">
        <f>IF(BL179=0,0,(BL178*BL179+BL180*BL181*6)/BL179)</f>
        <v>0</v>
      </c>
      <c r="BM177" s="1078">
        <f>IF(BK177=0,0,(BL177-BK177)/BK177*100)</f>
        <v>0</v>
      </c>
      <c r="BN177" s="3409">
        <f>IF(BN179=0,0,(BN178*BN179+BN180*BN181*6)/BN179)</f>
        <v>0</v>
      </c>
      <c r="BO177" s="3409">
        <f>IF(BO179=0,0,(BO178*BO179+BO180*BO181*6)/BO179)</f>
        <v>0</v>
      </c>
      <c r="BP177" s="1078">
        <f>IF(BN177=0,0,(BO177-BN177)/BN177*100)</f>
        <v>0</v>
      </c>
      <c r="BQ177" s="3409">
        <f>IF(BQ179=0,0,(BQ178*BQ179+BQ180*BQ181*6)/BQ179)</f>
        <v>0</v>
      </c>
      <c r="BR177" s="3409">
        <f>IF(BR179=0,0,(BR178*BR179+BR180*BR181*6)/BR179)</f>
        <v>0</v>
      </c>
      <c r="BS177" s="1078">
        <f>IF(BQ177=0,0,(BR177-BQ177)/BQ177*100)</f>
        <v>0</v>
      </c>
      <c r="BT177" s="3409">
        <f>IF(BT179=0,0,(BT178*BT179+BT180*BT181*6)/BT179)</f>
        <v>0</v>
      </c>
      <c r="BU177" s="3409">
        <f>IF(BU179=0,0,(BU178*BU179+BU180*BU181*6)/BU179)</f>
        <v>0</v>
      </c>
      <c r="BV177" s="1078">
        <f>IF(BT177=0,0,(BU177-BT177)/BT177*100)</f>
        <v>0</v>
      </c>
      <c r="BW177" s="3409">
        <f>IF(BW179=0,0,(BW178*BW179+BW180*BW181*6)/BW179)</f>
        <v>0</v>
      </c>
      <c r="BX177" s="3409">
        <f>IF(BX179=0,0,(BX178*BX179+BX180*BX181*6)/BX179)</f>
        <v>0</v>
      </c>
      <c r="BY177" s="1078">
        <f>IF(BW177=0,0,(BX177-BW177)/BW177*100)</f>
        <v>0</v>
      </c>
      <c r="BZ177" s="3409">
        <f>IF(BZ179=0,0,(BZ178*BZ179+BZ180*BZ181*6)/BZ179)</f>
        <v>0</v>
      </c>
      <c r="CA177" s="3409">
        <f>IF(CA179=0,0,(CA178*CA179+CA180*CA181*6)/CA179)</f>
        <v>0</v>
      </c>
      <c r="CB177" s="1078">
        <f>IF(BZ177=0,0,(CA177-BZ177)/BZ177*100)</f>
        <v>0</v>
      </c>
      <c r="CC177" s="3409">
        <f>IF(CC179=0,0,(CC178*CC179+CC180*CC181*6)/CC179)</f>
        <v>0</v>
      </c>
      <c r="CD177" s="3409">
        <f>IF(CD179=0,0,(CD178*CD179+CD180*CD181*6)/CD179)</f>
        <v>0</v>
      </c>
      <c r="CE177" s="1078">
        <f>IF(CC177=0,0,(CD177-CC177)/CC177*100)</f>
        <v>0</v>
      </c>
      <c r="CF177" s="3409">
        <f>IF(CF179=0,0,(CF178*CF179+CF180*CF181*6)/CF179)</f>
        <v>0</v>
      </c>
      <c r="CG177" s="3409">
        <f>IF(CG179=0,0,(CG178*CG179+CG180*CG181*6)/CG179)</f>
        <v>0</v>
      </c>
      <c r="CH177" s="1078">
        <f>IF(CF177=0,0,(CG177-CF177)/CF177*100)</f>
        <v>0</v>
      </c>
      <c r="CI177" s="3409">
        <f>IF(CI179=0,0,(CI178*CI179+CI180*CI181*6)/CI179)</f>
        <v>0</v>
      </c>
      <c r="CJ177" s="3409">
        <f>IF(CJ179=0,0,(CJ178*CJ179+CJ180*CJ181*6)/CJ179)</f>
        <v>0</v>
      </c>
      <c r="CK177" s="1078">
        <f>IF(CI177=0,0,(CJ177-CI177)/CI177*100)</f>
        <v>0</v>
      </c>
      <c r="CL177" s="3409">
        <f>IF(CL179=0,0,(CL178*CL179+CL180*CL181*6)/CL179)</f>
        <v>0</v>
      </c>
      <c r="CM177" s="3409">
        <f>IF(CM179=0,0,(CM178*CM179+CM180*CM181*6)/CM179)</f>
        <v>0</v>
      </c>
      <c r="CN177" s="1078">
        <f>IF(CL177=0,0,(CM177-CL177)/CL177*100)</f>
        <v>0</v>
      </c>
      <c r="CO177" s="3409">
        <f>IF(CO179=0,0,(CO178*CO179+CO180*CO181*6)/CO179)</f>
        <v>0</v>
      </c>
      <c r="CP177" s="3409">
        <f>IF(CP179=0,0,(CP178*CP179+CP180*CP181*6)/CP179)</f>
        <v>0</v>
      </c>
      <c r="CQ177" s="1078">
        <f>IF(CO177=0,0,(CP177-CO177)/CO177*100)</f>
        <v>0</v>
      </c>
      <c r="CR177" s="3409">
        <f>IF(CR179=0,0,(CR178*CR179+CR180*CR181*6)/CR179)</f>
        <v>0</v>
      </c>
      <c r="CS177" s="3409">
        <f>IF(CS179=0,0,(CS178*CS179+CS180*CS181*6)/CS179)</f>
        <v>0</v>
      </c>
      <c r="CT177" s="1078">
        <f>IF(CR177=0,0,(CS177-CR177)/CR177*100)</f>
        <v>0</v>
      </c>
      <c r="CU177" s="3409">
        <f>IF(CU179=0,0,(CU178*CU179+CU180*CU181*6)/CU179)</f>
        <v>0</v>
      </c>
      <c r="CV177" s="3409">
        <f>IF(CV179=0,0,(CV178*CV179+CV180*CV181*6)/CV179)</f>
        <v>0</v>
      </c>
      <c r="CW177" s="1078">
        <f>IF(CU177=0,0,(CV177-CU177)/CU177*100)</f>
        <v>0</v>
      </c>
      <c r="CX177" s="3409">
        <f>IF(CX179=0,0,(CX178*CX179+CX180*CX181*6)/CX179)</f>
        <v>0</v>
      </c>
      <c r="CY177" s="3409">
        <f>IF(CY179=0,0,(CY178*CY179+CY180*CY181*6)/CY179)</f>
        <v>0</v>
      </c>
      <c r="CZ177" s="1078">
        <f>IF(CX177=0,0,(CY177-CX177)/CX177*100)</f>
        <v>0</v>
      </c>
      <c r="DA177" s="3409">
        <f>IF(DA179=0,0,(DA178*DA179+DA180*DA181*6)/DA179)</f>
        <v>0</v>
      </c>
      <c r="DB177" s="3409">
        <f>IF(DB179=0,0,(DB178*DB179+DB180*DB181*6)/DB179)</f>
        <v>0</v>
      </c>
      <c r="DC177" s="1078">
        <f>IF(DA177=0,0,(DB177-DA177)/DA177*100)</f>
        <v>0</v>
      </c>
      <c r="DD177" s="3409">
        <f>IF(DD179=0,0,(DD178*DD179+DD180*DD181*6)/DD179)</f>
        <v>0</v>
      </c>
      <c r="DE177" s="3409">
        <f>IF(DE179=0,0,(DE178*DE179+DE180*DE181*6)/DE179)</f>
        <v>0</v>
      </c>
      <c r="DF177" s="1078">
        <f>IF(DD177=0,0,(DE177-DD177)/DD177*100)</f>
        <v>0</v>
      </c>
      <c r="DG177" s="3409">
        <f>IF(DG179=0,0,(DG178*DG179+DG180*DG181*6)/DG179)</f>
        <v>0</v>
      </c>
      <c r="DH177" s="3409">
        <f>IF(DH179=0,0,(DH178*DH179+DH180*DH181*6)/DH179)</f>
        <v>0</v>
      </c>
      <c r="DI177" s="1078">
        <f>IF(DG177=0,0,(DH177-DG177)/DG177*100)</f>
        <v>0</v>
      </c>
      <c r="DJ177" s="3409">
        <f>IF(DJ179=0,0,(DJ178*DJ179+DJ180*DJ181*6)/DJ179)</f>
        <v>0</v>
      </c>
      <c r="DK177" s="3409">
        <f>IF(DK179=0,0,(DK178*DK179+DK180*DK181*6)/DK179)</f>
        <v>0</v>
      </c>
      <c r="DL177" s="1078">
        <f>IF(DJ177=0,0,(DK177-DJ177)/DJ177*100)</f>
        <v>0</v>
      </c>
      <c r="DM177" s="3409">
        <f>IF(DM179=0,0,(DM178*DM179+DM180*DM181*6)/DM179)</f>
        <v>0</v>
      </c>
      <c r="DN177" s="3409">
        <f>IF(DN179=0,0,(DN178*DN179+DN180*DN181*6)/DN179)</f>
        <v>0</v>
      </c>
      <c r="DO177" s="1078">
        <f>IF(DM177=0,0,(DN177-DM177)/DM177*100)</f>
        <v>0</v>
      </c>
      <c r="DP177" s="3409">
        <f>IF(DP179=0,0,(DP178*DP179+DP180*DP181*6)/DP179)</f>
        <v>0</v>
      </c>
      <c r="DQ177" s="3409">
        <f>IF(DQ179=0,0,(DQ178*DQ179+DQ180*DQ181*6)/DQ179)</f>
        <v>0</v>
      </c>
      <c r="DR177" s="1078">
        <f>IF(DP177=0,0,(DQ177-DP177)/DP177*100)</f>
        <v>0</v>
      </c>
      <c r="DS177" s="3409">
        <f>IF(DS179=0,0,(DS178*DS179+DS180*DS181*6)/DS179)</f>
        <v>0</v>
      </c>
      <c r="DT177" s="3409">
        <f>IF(DT179=0,0,(DT178*DT179+DT180*DT181*6)/DT179)</f>
        <v>0</v>
      </c>
      <c r="DU177" s="1078">
        <f>IF(DS177=0,0,(DT177-DS177)/DS177*100)</f>
        <v>0</v>
      </c>
      <c r="DV177" s="3409">
        <f>IF(DV179=0,0,(DV178*DV179+DV180*DV181*6)/DV179)</f>
        <v>0</v>
      </c>
      <c r="DW177" s="3409">
        <f>IF(DW179=0,0,(DW178*DW179+DW180*DW181*6)/DW179)</f>
        <v>0</v>
      </c>
      <c r="DX177" s="1078">
        <f>IF(DV177=0,0,(DW177-DV177)/DV177*100)</f>
        <v>0</v>
      </c>
      <c r="DY177" s="3409">
        <f>IF(DY179=0,0,(DY178*DY179+DY180*DY181*6)/DY179)</f>
        <v>0</v>
      </c>
      <c r="DZ177" s="3409">
        <f>IF(DZ179=0,0,(DZ178*DZ179+DZ180*DZ181*6)/DZ179)</f>
        <v>0</v>
      </c>
      <c r="EA177" s="1078">
        <f>IF(DY177=0,0,(DZ177-DY177)/DY177*100)</f>
        <v>0</v>
      </c>
      <c r="EB177" s="3409">
        <f>IF(EB179=0,0,(EB178*EB179+EB180*EB181*6)/EB179)</f>
        <v>0</v>
      </c>
      <c r="EC177" s="3409">
        <f>IF(EC179=0,0,(EC178*EC179+EC180*EC181*6)/EC179)</f>
        <v>0</v>
      </c>
      <c r="ED177" s="1078">
        <f>IF(EB177=0,0,(EC177-EB177)/EB177*100)</f>
        <v>0</v>
      </c>
      <c r="EE177" s="3409">
        <f>IF(EE179=0,0,(EE178*EE179+EE180*EE181*6)/EE179)</f>
        <v>0</v>
      </c>
      <c r="EF177" s="3409">
        <f>IF(EF179=0,0,(EF178*EF179+EF180*EF181*6)/EF179)</f>
        <v>0</v>
      </c>
      <c r="EG177" s="1078">
        <f>IF(EE177=0,0,(EF177-EE177)/EE177*100)</f>
        <v>0</v>
      </c>
      <c r="EH177" s="3409">
        <f>IF(EH179=0,0,(EH178*EH179+EH180*EH181*6)/EH179)</f>
        <v>0</v>
      </c>
      <c r="EI177" s="3409">
        <f>IF(EI179=0,0,(EI178*EI179+EI180*EI181*6)/EI179)</f>
        <v>0</v>
      </c>
      <c r="EJ177" s="1078">
        <f>IF(EH177=0,0,(EI177-EH177)/EH177*100)</f>
        <v>0</v>
      </c>
      <c r="EK177" s="3409">
        <f>IF(EK179=0,0,(EK178*EK179+EK180*EK181*6)/EK179)</f>
        <v>0</v>
      </c>
      <c r="EL177" s="3409">
        <f>IF(EL179=0,0,(EL178*EL179+EL180*EL181*6)/EL179)</f>
        <v>0</v>
      </c>
      <c r="EM177" s="1078">
        <f>IF(EK177=0,0,(EL177-EK177)/EK177*100)</f>
        <v>0</v>
      </c>
      <c r="EN177" s="3409">
        <f>IF(EN179=0,0,(EN178*EN179+EN180*EN181*6)/EN179)</f>
        <v>0</v>
      </c>
      <c r="EO177" s="3409">
        <f>IF(EO179=0,0,(EO178*EO179+EO180*EO181*6)/EO179)</f>
        <v>0</v>
      </c>
      <c r="EP177" s="1078">
        <f>IF(EN177=0,0,(EO177-EN177)/EN177*100)</f>
        <v>0</v>
      </c>
      <c r="EQ177" s="3409">
        <f>IF(EQ179=0,0,(EQ178*EQ179+EQ180*EQ181*6)/EQ179)</f>
        <v>0</v>
      </c>
      <c r="ER177" s="3409">
        <f>IF(ER179=0,0,(ER178*ER179+ER180*ER181*6)/ER179)</f>
        <v>0</v>
      </c>
      <c r="ES177" s="1078">
        <f>IF(EQ177=0,0,(ER177-EQ177)/EQ177*100)</f>
        <v>0</v>
      </c>
      <c r="ET177" s="3409">
        <f>IF(ET179=0,0,(ET178*ET179+ET180*ET181*6)/ET179)</f>
        <v>0</v>
      </c>
      <c r="EU177" s="3409">
        <f>IF(EU179=0,0,(EU178*EU179+EU180*EU181*6)/EU179)</f>
        <v>0</v>
      </c>
      <c r="EV177" s="1078">
        <f>IF(ET177=0,0,(EU177-ET177)/ET177*100)</f>
        <v>0</v>
      </c>
      <c r="EW177" s="3409">
        <f>IF(EW179=0,0,(EW178*EW179+EW180*EW181*6)/EW179)</f>
        <v>0</v>
      </c>
      <c r="EX177" s="3409">
        <f>IF(EX179=0,0,(EX178*EX179+EX180*EX181*6)/EX179)</f>
        <v>0</v>
      </c>
      <c r="EY177" s="1078">
        <f>IF(EW177=0,0,(EX177-EW177)/EW177*100)</f>
        <v>0</v>
      </c>
      <c r="EZ177" s="3409">
        <f>IF(EZ179=0,0,(EZ178*EZ179+EZ180*EZ181*6)/EZ179)</f>
        <v>0</v>
      </c>
      <c r="FA177" s="3409">
        <f>IF(FA179=0,0,(FA178*FA179+FA180*FA181*6)/FA179)</f>
        <v>0</v>
      </c>
      <c r="FB177" s="1078">
        <f>IF(EZ177=0,0,(FA177-EZ177)/EZ177*100)</f>
        <v>0</v>
      </c>
      <c r="FC177" s="3409">
        <f>IF(FC179=0,0,(FC178*FC179+FC180*FC181*6)/FC179)</f>
        <v>0</v>
      </c>
      <c r="FD177" s="3409">
        <f>IF(FD179=0,0,(FD178*FD179+FD180*FD181*6)/FD179)</f>
        <v>0</v>
      </c>
      <c r="FE177" s="1078">
        <f>IF(FC177=0,0,(FD177-FC177)/FC177*100)</f>
        <v>0</v>
      </c>
      <c r="FF177" s="3409">
        <f>IF(FF179=0,0,(FF178*FF179+FF180*FF181*6)/FF179)</f>
        <v>0</v>
      </c>
      <c r="FG177" s="3409">
        <f>IF(FG179=0,0,(FG178*FG179+FG180*FG181*6)/FG179)</f>
        <v>0</v>
      </c>
      <c r="FH177" s="1078">
        <f>IF(FF177=0,0,(FG177-FF177)/FF177*100)</f>
        <v>0</v>
      </c>
      <c r="FI177" s="3409">
        <f>IF(FI179=0,0,(FI178*FI179+FI180*FI181*6)/FI179)</f>
        <v>0</v>
      </c>
      <c r="FJ177" s="3409">
        <f>IF(FJ179=0,0,(FJ178*FJ179+FJ180*FJ181*6)/FJ179)</f>
        <v>0</v>
      </c>
      <c r="FK177" s="1078">
        <f>IF(FI177=0,0,(FJ177-FI177)/FI177*100)</f>
        <v>0</v>
      </c>
      <c r="FL177" s="3409">
        <f>IF(FL179=0,0,(FL178*FL179+FL180*FL181*6)/FL179)</f>
        <v>0</v>
      </c>
      <c r="FM177" s="3409">
        <f>IF(FM179=0,0,(FM178*FM179+FM180*FM181*6)/FM179)</f>
        <v>0</v>
      </c>
      <c r="FN177" s="1078">
        <f>IF(FL177=0,0,(FM177-FL177)/FL177*100)</f>
        <v>0</v>
      </c>
      <c r="FO177" s="3409">
        <f>IF(FO179=0,0,(FO178*FO179+FO180*FO181*6)/FO179)</f>
        <v>0</v>
      </c>
      <c r="FP177" s="3409">
        <f>IF(FP179=0,0,(FP178*FP179+FP180*FP181*6)/FP179)</f>
        <v>0</v>
      </c>
      <c r="FQ177" s="1078">
        <f>IF(FO177=0,0,(FP177-FO177)/FO177*100)</f>
        <v>0</v>
      </c>
      <c r="FR177" s="3409">
        <f>IF(FR179=0,0,(FR178*FR179+FR180*FR181*6)/FR179)</f>
        <v>0</v>
      </c>
      <c r="FS177" s="3409">
        <f>IF(FS179=0,0,(FS178*FS179+FS180*FS181*6)/FS179)</f>
        <v>0</v>
      </c>
      <c r="FT177" s="1078">
        <f>IF(FR177=0,0,(FS177-FR177)/FR177*100)</f>
        <v>0</v>
      </c>
      <c r="FU177" s="3409">
        <f>IF(FU179=0,0,(FU178*FU179+FU180*FU181*6)/FU179)</f>
        <v>0</v>
      </c>
      <c r="FV177" s="3409">
        <f>IF(FV179=0,0,(FV178*FV179+FV180*FV181*6)/FV179)</f>
        <v>0</v>
      </c>
      <c r="FW177" s="1078">
        <f>IF(FU177=0,0,(FV177-FU177)/FU177*100)</f>
        <v>0</v>
      </c>
      <c r="FX177" s="676"/>
      <c r="FY177" s="676"/>
      <c r="FZ177" s="1039" t="s">
        <v>1555</v>
      </c>
      <c r="GA177" s="1061"/>
      <c r="GB177" s="1061"/>
      <c r="GC177" s="697"/>
      <c r="GD177" s="697"/>
    </row>
    <row s="1621" customFormat="1" customHeight="1" ht="14.25" hidden="1">
      <c r="A178" s="467"/>
      <c r="B178" s="907" cm="1" t="str">
        <f t="array" ref="B178:B178">B177</f>
        <v>false</v>
      </c>
      <c r="C178" s="467"/>
      <c r="D178" s="467"/>
      <c r="E178" s="822">
        <v>15</v>
      </c>
      <c r="F178" s="50" cm="1" t="str">
        <f t="array" ref="F178:F178">OFFSET(E178,-1,1)</f>
        <v>2</v>
      </c>
      <c r="G178" s="467"/>
      <c r="H178" s="467" t="s">
        <v>1449</v>
      </c>
      <c r="I178" s="467" t="s">
        <v>1511</v>
      </c>
      <c r="J178" s="467"/>
      <c r="K178" s="467"/>
      <c r="L178" s="467"/>
      <c r="M178" s="467"/>
      <c r="N178" s="467"/>
      <c r="O178" s="467"/>
      <c r="P178" s="467"/>
      <c r="Q178" s="467"/>
      <c r="R178" s="467"/>
      <c r="S178" s="467"/>
      <c r="T178" s="439" cm="1" t="str">
        <f t="array" ref="T178:T178">T177</f>
        <v>true</v>
      </c>
      <c r="U178" s="467"/>
      <c r="V178" s="467"/>
      <c r="W178" s="467"/>
      <c r="X178" s="1534"/>
      <c r="Y178" s="467"/>
      <c r="Z178" s="1464"/>
      <c r="AA178" s="467"/>
      <c r="AB178" s="886" t="str">
        <f>"ставка платы за "&amp;IF(Q141="Водоснабжение","потребление 1 куб.м холодной воды","объем принятых сточных вод")</f>
        <v>ставка платы за объем принятых сточных вод</v>
      </c>
      <c r="AC178" s="846" t="s">
        <v>1494</v>
      </c>
      <c r="AD178" s="3409"/>
      <c r="AE178" s="3409"/>
      <c r="AF178" s="1078">
        <f>IF(AD178=0,0,(AE178-AD178)/AD178*100)</f>
        <v>0</v>
      </c>
      <c r="AG178" s="3409"/>
      <c r="AH178" s="3409"/>
      <c r="AI178" s="1078">
        <f>IF(AG178=0,0,(AH178-AG178)/AG178*100)</f>
        <v>0</v>
      </c>
      <c r="AJ178" s="3409"/>
      <c r="AK178" s="3409"/>
      <c r="AL178" s="1078">
        <f>IF(AJ178=0,0,(AK178-AJ178)/AJ178*100)</f>
        <v>0</v>
      </c>
      <c r="AM178" s="3409"/>
      <c r="AN178" s="3409"/>
      <c r="AO178" s="1078">
        <f>IF(AM178=0,0,(AN178-AM178)/AM178*100)</f>
        <v>0</v>
      </c>
      <c r="AP178" s="3409"/>
      <c r="AQ178" s="3409"/>
      <c r="AR178" s="1078">
        <f>IF(AP178=0,0,(AQ178-AP178)/AP178*100)</f>
        <v>0</v>
      </c>
      <c r="AS178" s="3409"/>
      <c r="AT178" s="3409"/>
      <c r="AU178" s="1078">
        <f>IF(AS178=0,0,(AT178-AS178)/AS178*100)</f>
        <v>0</v>
      </c>
      <c r="AV178" s="3409"/>
      <c r="AW178" s="3409"/>
      <c r="AX178" s="1078">
        <f>IF(AV178=0,0,(AW178-AV178)/AV178*100)</f>
        <v>0</v>
      </c>
      <c r="AY178" s="3409"/>
      <c r="AZ178" s="3409"/>
      <c r="BA178" s="1078">
        <f>IF(AY178=0,0,(AZ178-AY178)/AY178*100)</f>
        <v>0</v>
      </c>
      <c r="BB178" s="3409"/>
      <c r="BC178" s="3409"/>
      <c r="BD178" s="1078">
        <f>IF(BB178=0,0,(BC178-BB178)/BB178*100)</f>
        <v>0</v>
      </c>
      <c r="BE178" s="3409"/>
      <c r="BF178" s="3409"/>
      <c r="BG178" s="1078">
        <f>IF(BE178=0,0,(BF178-BE178)/BE178*100)</f>
        <v>0</v>
      </c>
      <c r="BH178" s="3409"/>
      <c r="BI178" s="3409"/>
      <c r="BJ178" s="1078">
        <f>IF(BH178=0,0,(BI178-BH178)/BH178*100)</f>
        <v>0</v>
      </c>
      <c r="BK178" s="3409"/>
      <c r="BL178" s="3409"/>
      <c r="BM178" s="1078">
        <f>IF(BK178=0,0,(BL178-BK178)/BK178*100)</f>
        <v>0</v>
      </c>
      <c r="BN178" s="3409"/>
      <c r="BO178" s="3409"/>
      <c r="BP178" s="1078">
        <f>IF(BN178=0,0,(BO178-BN178)/BN178*100)</f>
        <v>0</v>
      </c>
      <c r="BQ178" s="3409"/>
      <c r="BR178" s="3409"/>
      <c r="BS178" s="1078">
        <f>IF(BQ178=0,0,(BR178-BQ178)/BQ178*100)</f>
        <v>0</v>
      </c>
      <c r="BT178" s="3409"/>
      <c r="BU178" s="3409"/>
      <c r="BV178" s="1078">
        <f>IF(BT178=0,0,(BU178-BT178)/BT178*100)</f>
        <v>0</v>
      </c>
      <c r="BW178" s="3409"/>
      <c r="BX178" s="3409"/>
      <c r="BY178" s="1078">
        <f>IF(BW178=0,0,(BX178-BW178)/BW178*100)</f>
        <v>0</v>
      </c>
      <c r="BZ178" s="3409"/>
      <c r="CA178" s="3409"/>
      <c r="CB178" s="1078">
        <f>IF(BZ178=0,0,(CA178-BZ178)/BZ178*100)</f>
        <v>0</v>
      </c>
      <c r="CC178" s="3409"/>
      <c r="CD178" s="3409"/>
      <c r="CE178" s="1078">
        <f>IF(CC178=0,0,(CD178-CC178)/CC178*100)</f>
        <v>0</v>
      </c>
      <c r="CF178" s="3409"/>
      <c r="CG178" s="3409"/>
      <c r="CH178" s="1078">
        <f>IF(CF178=0,0,(CG178-CF178)/CF178*100)</f>
        <v>0</v>
      </c>
      <c r="CI178" s="3409"/>
      <c r="CJ178" s="3409"/>
      <c r="CK178" s="1078">
        <f>IF(CI178=0,0,(CJ178-CI178)/CI178*100)</f>
        <v>0</v>
      </c>
      <c r="CL178" s="3409"/>
      <c r="CM178" s="3409"/>
      <c r="CN178" s="1078">
        <f>IF(CL178=0,0,(CM178-CL178)/CL178*100)</f>
        <v>0</v>
      </c>
      <c r="CO178" s="3409"/>
      <c r="CP178" s="3409"/>
      <c r="CQ178" s="1078">
        <f>IF(CO178=0,0,(CP178-CO178)/CO178*100)</f>
        <v>0</v>
      </c>
      <c r="CR178" s="3409"/>
      <c r="CS178" s="3409"/>
      <c r="CT178" s="1078">
        <f>IF(CR178=0,0,(CS178-CR178)/CR178*100)</f>
        <v>0</v>
      </c>
      <c r="CU178" s="3409"/>
      <c r="CV178" s="3409"/>
      <c r="CW178" s="1078">
        <f>IF(CU178=0,0,(CV178-CU178)/CU178*100)</f>
        <v>0</v>
      </c>
      <c r="CX178" s="3409"/>
      <c r="CY178" s="3409"/>
      <c r="CZ178" s="1078">
        <f>IF(CX178=0,0,(CY178-CX178)/CX178*100)</f>
        <v>0</v>
      </c>
      <c r="DA178" s="3409"/>
      <c r="DB178" s="3409"/>
      <c r="DC178" s="1078">
        <f>IF(DA178=0,0,(DB178-DA178)/DA178*100)</f>
        <v>0</v>
      </c>
      <c r="DD178" s="3409"/>
      <c r="DE178" s="3409"/>
      <c r="DF178" s="1078">
        <f>IF(DD178=0,0,(DE178-DD178)/DD178*100)</f>
        <v>0</v>
      </c>
      <c r="DG178" s="3409"/>
      <c r="DH178" s="3409"/>
      <c r="DI178" s="1078">
        <f>IF(DG178=0,0,(DH178-DG178)/DG178*100)</f>
        <v>0</v>
      </c>
      <c r="DJ178" s="3409"/>
      <c r="DK178" s="3409"/>
      <c r="DL178" s="1078">
        <f>IF(DJ178=0,0,(DK178-DJ178)/DJ178*100)</f>
        <v>0</v>
      </c>
      <c r="DM178" s="3409"/>
      <c r="DN178" s="3409"/>
      <c r="DO178" s="1078">
        <f>IF(DM178=0,0,(DN178-DM178)/DM178*100)</f>
        <v>0</v>
      </c>
      <c r="DP178" s="3409"/>
      <c r="DQ178" s="3409"/>
      <c r="DR178" s="1078">
        <f>IF(DP178=0,0,(DQ178-DP178)/DP178*100)</f>
        <v>0</v>
      </c>
      <c r="DS178" s="3409"/>
      <c r="DT178" s="3409"/>
      <c r="DU178" s="1078">
        <f>IF(DS178=0,0,(DT178-DS178)/DS178*100)</f>
        <v>0</v>
      </c>
      <c r="DV178" s="3409"/>
      <c r="DW178" s="3409"/>
      <c r="DX178" s="1078">
        <f>IF(DV178=0,0,(DW178-DV178)/DV178*100)</f>
        <v>0</v>
      </c>
      <c r="DY178" s="3409"/>
      <c r="DZ178" s="3409"/>
      <c r="EA178" s="1078">
        <f>IF(DY178=0,0,(DZ178-DY178)/DY178*100)</f>
        <v>0</v>
      </c>
      <c r="EB178" s="3409"/>
      <c r="EC178" s="3409"/>
      <c r="ED178" s="1078">
        <f>IF(EB178=0,0,(EC178-EB178)/EB178*100)</f>
        <v>0</v>
      </c>
      <c r="EE178" s="3409"/>
      <c r="EF178" s="3409"/>
      <c r="EG178" s="1078">
        <f>IF(EE178=0,0,(EF178-EE178)/EE178*100)</f>
        <v>0</v>
      </c>
      <c r="EH178" s="3409"/>
      <c r="EI178" s="3409"/>
      <c r="EJ178" s="1078">
        <f>IF(EH178=0,0,(EI178-EH178)/EH178*100)</f>
        <v>0</v>
      </c>
      <c r="EK178" s="3409"/>
      <c r="EL178" s="3409"/>
      <c r="EM178" s="1078">
        <f>IF(EK178=0,0,(EL178-EK178)/EK178*100)</f>
        <v>0</v>
      </c>
      <c r="EN178" s="3409"/>
      <c r="EO178" s="3409"/>
      <c r="EP178" s="1078">
        <f>IF(EN178=0,0,(EO178-EN178)/EN178*100)</f>
        <v>0</v>
      </c>
      <c r="EQ178" s="3409"/>
      <c r="ER178" s="3409"/>
      <c r="ES178" s="1078">
        <f>IF(EQ178=0,0,(ER178-EQ178)/EQ178*100)</f>
        <v>0</v>
      </c>
      <c r="ET178" s="3409"/>
      <c r="EU178" s="3409"/>
      <c r="EV178" s="1078">
        <f>IF(ET178=0,0,(EU178-ET178)/ET178*100)</f>
        <v>0</v>
      </c>
      <c r="EW178" s="3409"/>
      <c r="EX178" s="3409"/>
      <c r="EY178" s="1078">
        <f>IF(EW178=0,0,(EX178-EW178)/EW178*100)</f>
        <v>0</v>
      </c>
      <c r="EZ178" s="3409"/>
      <c r="FA178" s="3409"/>
      <c r="FB178" s="1078">
        <f>IF(EZ178=0,0,(FA178-EZ178)/EZ178*100)</f>
        <v>0</v>
      </c>
      <c r="FC178" s="3409"/>
      <c r="FD178" s="3409"/>
      <c r="FE178" s="1078">
        <f>IF(FC178=0,0,(FD178-FC178)/FC178*100)</f>
        <v>0</v>
      </c>
      <c r="FF178" s="3409"/>
      <c r="FG178" s="3409"/>
      <c r="FH178" s="1078">
        <f>IF(FF178=0,0,(FG178-FF178)/FF178*100)</f>
        <v>0</v>
      </c>
      <c r="FI178" s="3409"/>
      <c r="FJ178" s="3409"/>
      <c r="FK178" s="1078">
        <f>IF(FI178=0,0,(FJ178-FI178)/FI178*100)</f>
        <v>0</v>
      </c>
      <c r="FL178" s="3409"/>
      <c r="FM178" s="3409"/>
      <c r="FN178" s="1078">
        <f>IF(FL178=0,0,(FM178-FL178)/FL178*100)</f>
        <v>0</v>
      </c>
      <c r="FO178" s="3409"/>
      <c r="FP178" s="3409"/>
      <c r="FQ178" s="1078">
        <f>IF(FO178=0,0,(FP178-FO178)/FO178*100)</f>
        <v>0</v>
      </c>
      <c r="FR178" s="3409"/>
      <c r="FS178" s="3409"/>
      <c r="FT178" s="1078">
        <f>IF(FR178=0,0,(FS178-FR178)/FR178*100)</f>
        <v>0</v>
      </c>
      <c r="FU178" s="3409"/>
      <c r="FV178" s="3409"/>
      <c r="FW178" s="1078">
        <f>IF(FU178=0,0,(FV178-FU178)/FU178*100)</f>
        <v>0</v>
      </c>
      <c r="FX178" s="676"/>
      <c r="FY178" s="676"/>
      <c r="FZ178" s="1039" t="s">
        <v>1556</v>
      </c>
      <c r="GA178" s="1061"/>
      <c r="GB178" s="1061"/>
      <c r="GC178" s="697"/>
      <c r="GD178" s="697"/>
    </row>
    <row s="1621" customFormat="1" customHeight="1" ht="14.25" hidden="1">
      <c r="A179" s="467"/>
      <c r="B179" s="907" cm="1" t="str">
        <f t="array" ref="B179:B179">B178</f>
        <v>false</v>
      </c>
      <c r="C179" s="467"/>
      <c r="D179" s="467"/>
      <c r="E179" s="822">
        <v>15</v>
      </c>
      <c r="F179" s="50" cm="1" t="str">
        <f t="array" ref="F179:F179">OFFSET(E179,-1,1)</f>
        <v>2</v>
      </c>
      <c r="G179" s="73" t="s">
        <v>1557</v>
      </c>
      <c r="H179" s="467" t="s">
        <v>1531</v>
      </c>
      <c r="I179" s="467" t="s">
        <v>1511</v>
      </c>
      <c r="J179" s="467"/>
      <c r="K179" s="467"/>
      <c r="L179" s="467"/>
      <c r="M179" s="467"/>
      <c r="N179" s="467"/>
      <c r="O179" s="467"/>
      <c r="P179" s="467"/>
      <c r="Q179" s="467"/>
      <c r="R179" s="467"/>
      <c r="S179" s="467"/>
      <c r="T179" s="439" cm="1" t="str">
        <f t="array" ref="T179:T179">T178</f>
        <v>true</v>
      </c>
      <c r="U179" s="467"/>
      <c r="V179" s="467"/>
      <c r="W179" s="467"/>
      <c r="X179" s="1534"/>
      <c r="Y179" s="467"/>
      <c r="Z179" s="1464"/>
      <c r="AA179" s="467"/>
      <c r="AB179" s="886" t="str">
        <f>"объём "&amp;IF(Q141="Водоснабжение","потребления холодной воды","водоотведения")</f>
        <v>объём водоотведения</v>
      </c>
      <c r="AC179" s="846" t="s">
        <v>512</v>
      </c>
      <c r="AD179" s="3404">
        <f>IF(AND(method_reg="Метод индексации",god&lt;&gt;first_year),_xlfn.SUMIFS(INDEX('Калькуляция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(МИ)'!$AJ$25:$BC$459,,MATCH(AD$8,'Калькуляция (МИ)'!$AJ$8:$BC$8,0)),'Калькуляция (МИ)'!$F$25:$F$459,$F179,'Калькуляция (МИ)'!$G$25:$G$459,$G179))))</f>
        <v>0</v>
      </c>
      <c r="AE179" s="3404">
        <f>IF(AND(method_reg="Метод индексации",god&lt;&gt;first_year),_xlfn.SUMIFS(INDEX('Калькуляция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(МИ)'!$AJ$25:$BC$459,,MATCH(AE$8,'Калькуляция (МИ)'!$AJ$8:$BC$8,0)),'Калькуляция (МИ)'!$F$25:$F$459,$F179,'Калькуляция (МИ)'!$G$25:$G$459,$G179))))</f>
        <v>0</v>
      </c>
      <c r="AF179" s="1080">
        <f>IF(AD179=0,0,(AE179-AD179)/AD179*100)</f>
        <v>0</v>
      </c>
      <c r="AG179" s="3404">
        <f>IF(AND(method_reg="Метод индексации",god&lt;&gt;first_year),_xlfn.SUMIFS(INDEX('Калькуляция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(МИ)'!$AJ$25:$BC$459,,MATCH(AG$8,'Калькуляция (МИ)'!$AJ$8:$BC$8,0)),'Калькуляция (МИ)'!$F$25:$F$459,$F179,'Калькуляция (МИ)'!$G$25:$G$459,$G179))))</f>
        <v>0</v>
      </c>
      <c r="AH179" s="3404">
        <f>IF(AND(method_reg="Метод индексации",god&lt;&gt;first_year),_xlfn.SUMIFS(INDEX('Калькуляция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(МИ)'!$AJ$25:$BC$459,,MATCH(AH$8,'Калькуляция (МИ)'!$AJ$8:$BC$8,0)),'Калькуляция (МИ)'!$F$25:$F$459,$F179,'Калькуляция (МИ)'!$G$25:$G$459,$G179))))</f>
        <v>0</v>
      </c>
      <c r="AI179" s="1080">
        <f>IF(AG179=0,0,(AH179-AG179)/AG179*100)</f>
        <v>0</v>
      </c>
      <c r="AJ179" s="3404">
        <f>IF(AND(method_reg="Метод индексации",god&lt;&gt;first_year),_xlfn.SUMIFS(INDEX('Калькуляция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(МИ)'!$AJ$25:$BC$459,,MATCH(AJ$8,'Калькуляция (МИ)'!$AJ$8:$BC$8,0)),'Калькуляция (МИ)'!$F$25:$F$459,$F179,'Калькуляция (МИ)'!$G$25:$G$459,$G179))))</f>
        <v>0</v>
      </c>
      <c r="AK179" s="3404">
        <f>IF(AND(method_reg="Метод индексации",god&lt;&gt;first_year),_xlfn.SUMIFS(INDEX('Калькуляция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(МИ)'!$AJ$25:$BC$459,,MATCH(AK$8,'Калькуляция (МИ)'!$AJ$8:$BC$8,0)),'Калькуляция (МИ)'!$F$25:$F$459,$F179,'Калькуляция (МИ)'!$G$25:$G$459,$G179))))</f>
        <v>0</v>
      </c>
      <c r="AL179" s="1080">
        <f>IF(AJ179=0,0,(AK179-AJ179)/AJ179*100)</f>
        <v>0</v>
      </c>
      <c r="AM179" s="3404">
        <f>IF(AND(method_reg="Метод индексации",god&lt;&gt;first_year),_xlfn.SUMIFS(INDEX('Калькуляция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(МИ)'!$AJ$25:$BC$459,,MATCH(AM$8,'Калькуляция (МИ)'!$AJ$8:$BC$8,0)),'Калькуляция (МИ)'!$F$25:$F$459,$F179,'Калькуляция (МИ)'!$G$25:$G$459,$G179))))</f>
        <v>0</v>
      </c>
      <c r="AN179" s="3404">
        <f>IF(AND(method_reg="Метод индексации",god&lt;&gt;first_year),_xlfn.SUMIFS(INDEX('Калькуляция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(МИ)'!$AJ$25:$BC$459,,MATCH(AN$8,'Калькуляция (МИ)'!$AJ$8:$BC$8,0)),'Калькуляция (МИ)'!$F$25:$F$459,$F179,'Калькуляция (МИ)'!$G$25:$G$459,$G179))))</f>
        <v>0</v>
      </c>
      <c r="AO179" s="1080">
        <f>IF(AM179=0,0,(AN179-AM179)/AM179*100)</f>
        <v>0</v>
      </c>
      <c r="AP179" s="3404">
        <f>IF(AND(method_reg="Метод индексации",god&lt;&gt;first_year),_xlfn.SUMIFS(INDEX('Калькуляция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(МИ)'!$AJ$25:$BC$459,,MATCH(AP$8,'Калькуляция (МИ)'!$AJ$8:$BC$8,0)),'Калькуляция (МИ)'!$F$25:$F$459,$F179,'Калькуляция (МИ)'!$G$25:$G$459,$G179))))</f>
        <v>0</v>
      </c>
      <c r="AQ179" s="3404">
        <f>IF(AND(method_reg="Метод индексации",god&lt;&gt;first_year),_xlfn.SUMIFS(INDEX('Калькуляция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(МИ)'!$AJ$25:$BC$459,,MATCH(AQ$8,'Калькуляция (МИ)'!$AJ$8:$BC$8,0)),'Калькуляция (МИ)'!$F$25:$F$459,$F179,'Калькуляция (МИ)'!$G$25:$G$459,$G179))))</f>
        <v>0</v>
      </c>
      <c r="AR179" s="1080">
        <f>IF(AP179=0,0,(AQ179-AP179)/AP179*100)</f>
        <v>0</v>
      </c>
      <c r="AS179" s="3404">
        <f>IF(AND(method_reg="Метод индексации",god&lt;&gt;first_year),_xlfn.SUMIFS(INDEX('Калькуляция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(МИ)'!$AJ$25:$BC$459,,MATCH(AS$8,'Калькуляция (МИ)'!$AJ$8:$BC$8,0)),'Калькуляция (МИ)'!$F$25:$F$459,$F179,'Калькуляция (МИ)'!$G$25:$G$459,$G179))))</f>
        <v>0</v>
      </c>
      <c r="AT179" s="3404">
        <f>IF(AND(method_reg="Метод индексации",god&lt;&gt;first_year),_xlfn.SUMIFS(INDEX('Калькуляция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(МИ)'!$AJ$25:$BC$459,,MATCH(AT$8,'Калькуляция (МИ)'!$AJ$8:$BC$8,0)),'Калькуляция (МИ)'!$F$25:$F$459,$F179,'Калькуляция (МИ)'!$G$25:$G$459,$G179))))</f>
        <v>0</v>
      </c>
      <c r="AU179" s="1080">
        <f>IF(AS179=0,0,(AT179-AS179)/AS179*100)</f>
        <v>0</v>
      </c>
      <c r="AV179" s="3404">
        <f>IF(AND(method_reg="Метод индексации",god&lt;&gt;first_year),_xlfn.SUMIFS(INDEX('Калькуляция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(МИ)'!$AJ$25:$BC$459,,MATCH(AV$8,'Калькуляция (МИ)'!$AJ$8:$BC$8,0)),'Калькуляция (МИ)'!$F$25:$F$459,$F179,'Калькуляция (МИ)'!$G$25:$G$459,$G179))))</f>
        <v>0</v>
      </c>
      <c r="AW179" s="3404">
        <f>IF(AND(method_reg="Метод индексации",god&lt;&gt;first_year),_xlfn.SUMIFS(INDEX('Калькуляция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(МИ)'!$AJ$25:$BC$459,,MATCH(AW$8,'Калькуляция (МИ)'!$AJ$8:$BC$8,0)),'Калькуляция (МИ)'!$F$25:$F$459,$F179,'Калькуляция (МИ)'!$G$25:$G$459,$G179))))</f>
        <v>0</v>
      </c>
      <c r="AX179" s="1080">
        <f>IF(AV179=0,0,(AW179-AV179)/AV179*100)</f>
        <v>0</v>
      </c>
      <c r="AY179" s="3404">
        <f>IF(AND(method_reg="Метод индексации",god&lt;&gt;first_year),_xlfn.SUMIFS(INDEX('Калькуляция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(МИ)'!$AJ$25:$BC$459,,MATCH(AY$8,'Калькуляция (МИ)'!$AJ$8:$BC$8,0)),'Калькуляция (МИ)'!$F$25:$F$459,$F179,'Калькуляция (МИ)'!$G$25:$G$459,$G179))))</f>
        <v>0</v>
      </c>
      <c r="AZ179" s="3404">
        <f>IF(AND(method_reg="Метод индексации",god&lt;&gt;first_year),_xlfn.SUMIFS(INDEX('Калькуляция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(МИ)'!$AJ$25:$BC$459,,MATCH(AZ$8,'Калькуляция (МИ)'!$AJ$8:$BC$8,0)),'Калькуляция (МИ)'!$F$25:$F$459,$F179,'Калькуляция (МИ)'!$G$25:$G$459,$G179))))</f>
        <v>0</v>
      </c>
      <c r="BA179" s="1080">
        <f>IF(AY179=0,0,(AZ179-AY179)/AY179*100)</f>
        <v>0</v>
      </c>
      <c r="BB179" s="3404">
        <f>IF(AND(method_reg="Метод индексации",god&lt;&gt;first_year),_xlfn.SUMIFS(INDEX('Калькуляция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(МИ)'!$AJ$25:$BC$459,,MATCH(BB$8,'Калькуляция (МИ)'!$AJ$8:$BC$8,0)),'Калькуляция (МИ)'!$F$25:$F$459,$F179,'Калькуляция (МИ)'!$G$25:$G$459,$G179))))</f>
        <v>0</v>
      </c>
      <c r="BC179" s="3404">
        <f>IF(AND(method_reg="Метод индексации",god&lt;&gt;first_year),_xlfn.SUMIFS(INDEX('Калькуляция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(МИ)'!$AJ$25:$BC$459,,MATCH(BC$8,'Калькуляция (МИ)'!$AJ$8:$BC$8,0)),'Калькуляция (МИ)'!$F$25:$F$459,$F179,'Калькуляция (МИ)'!$G$25:$G$459,$G179))))</f>
        <v>0</v>
      </c>
      <c r="BD179" s="1080">
        <f>IF(BB179=0,0,(BC179-BB179)/BB179*100)</f>
        <v>0</v>
      </c>
      <c r="BE179" s="3404">
        <f>IF(AND(method_reg="Метод индексации",god&lt;&gt;first_year),_xlfn.SUMIFS(INDEX('Калькуляция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расходов",_xlfn.SUMIFS('Калькуляция (МЭОР)'!$AJ$25:$AJ$282,'Калькуляция (МЭОР)'!$F$25:$F$282,$F179,'Калькуляция (МЭОР)'!$G$25:$G$282,$G179),IF(method_reg="Метод сравнения аналогов",_xlfn.SUMIFS('Калькуляция (МСА)'!$AE$25:$AE$84,'Калькуляция (МСА)'!$F$25:$F$84,$F179,'Калькуляция (МСА)'!$G$25:$G$84,$G179),_xlfn.SUMIFS(INDEX('Калькуляция (МИ)'!$AJ$25:$BC$459,,MATCH(BE$8,'Калькуляция (МИ)'!$AJ$8:$BC$8,0)),'Калькуляция (МИ)'!$F$25:$F$459,$F179,'Калькуляция (МИ)'!$G$25:$G$459,$G179))))</f>
        <v>0</v>
      </c>
      <c r="BF179" s="3404">
        <f>IF(AND(method_reg="Метод индексации",god&lt;&gt;first_year),_xlfn.SUMIFS(INDEX('Калькуляция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расходов",_xlfn.SUMIFS('Калькуляция (МЭОР)'!$AK$25:$AK$282,'Калькуляция (МЭОР)'!$F$25:$F$282,$F179,'Калькуляция (МЭОР)'!$G$25:$G$282,$G179),IF(method_reg="Метод сравнения аналогов",_xlfn.SUMIFS('Калькуляция (МСА)'!$AF$25:$AF$84,'Калькуляция (МСА)'!$F$25:$F$84,$F179,'Калькуляция (МСА)'!$G$25:$G$84,$G179),_xlfn.SUMIFS(INDEX('Калькуляция (МИ)'!$AJ$25:$BC$459,,MATCH(BF$8,'Калькуляция (МИ)'!$AJ$8:$BC$8,0)),'Калькуляция (МИ)'!$F$25:$F$459,$F179,'Калькуляция (МИ)'!$G$25:$G$459,$G179))))</f>
        <v>0</v>
      </c>
      <c r="BG179" s="1080">
        <f>IF(BE179=0,0,(BF179-BE179)/BE179*100)</f>
        <v>0</v>
      </c>
      <c r="BH179" s="3404"/>
      <c r="BI179" s="3404"/>
      <c r="BJ179" s="1080">
        <f>IF(BH179=0,0,(BI179-BH179)/BH179*100)</f>
        <v>0</v>
      </c>
      <c r="BK179" s="3404"/>
      <c r="BL179" s="3404"/>
      <c r="BM179" s="1080">
        <f>IF(BK179=0,0,(BL179-BK179)/BK179*100)</f>
        <v>0</v>
      </c>
      <c r="BN179" s="3404"/>
      <c r="BO179" s="3404"/>
      <c r="BP179" s="1080">
        <f>IF(BN179=0,0,(BO179-BN179)/BN179*100)</f>
        <v>0</v>
      </c>
      <c r="BQ179" s="3404"/>
      <c r="BR179" s="3404"/>
      <c r="BS179" s="1080">
        <f>IF(BQ179=0,0,(BR179-BQ179)/BQ179*100)</f>
        <v>0</v>
      </c>
      <c r="BT179" s="3404"/>
      <c r="BU179" s="3404"/>
      <c r="BV179" s="1080">
        <f>IF(BT179=0,0,(BU179-BT179)/BT179*100)</f>
        <v>0</v>
      </c>
      <c r="BW179" s="3404"/>
      <c r="BX179" s="3404"/>
      <c r="BY179" s="1080">
        <f>IF(BW179=0,0,(BX179-BW179)/BW179*100)</f>
        <v>0</v>
      </c>
      <c r="BZ179" s="3404"/>
      <c r="CA179" s="3404"/>
      <c r="CB179" s="1080">
        <f>IF(BZ179=0,0,(CA179-BZ179)/BZ179*100)</f>
        <v>0</v>
      </c>
      <c r="CC179" s="3404"/>
      <c r="CD179" s="3404"/>
      <c r="CE179" s="1080">
        <f>IF(CC179=0,0,(CD179-CC179)/CC179*100)</f>
        <v>0</v>
      </c>
      <c r="CF179" s="3404"/>
      <c r="CG179" s="3404"/>
      <c r="CH179" s="1080">
        <f>IF(CF179=0,0,(CG179-CF179)/CF179*100)</f>
        <v>0</v>
      </c>
      <c r="CI179" s="3404"/>
      <c r="CJ179" s="3404"/>
      <c r="CK179" s="1080">
        <f>IF(CI179=0,0,(CJ179-CI179)/CI179*100)</f>
        <v>0</v>
      </c>
      <c r="CL179" s="3404"/>
      <c r="CM179" s="3404"/>
      <c r="CN179" s="1080">
        <f>IF(CL179=0,0,(CM179-CL179)/CL179*100)</f>
        <v>0</v>
      </c>
      <c r="CO179" s="3404"/>
      <c r="CP179" s="3404"/>
      <c r="CQ179" s="1080">
        <f>IF(CO179=0,0,(CP179-CO179)/CO179*100)</f>
        <v>0</v>
      </c>
      <c r="CR179" s="3404"/>
      <c r="CS179" s="3404"/>
      <c r="CT179" s="1080">
        <f>IF(CR179=0,0,(CS179-CR179)/CR179*100)</f>
        <v>0</v>
      </c>
      <c r="CU179" s="3404"/>
      <c r="CV179" s="3404"/>
      <c r="CW179" s="1080">
        <f>IF(CU179=0,0,(CV179-CU179)/CU179*100)</f>
        <v>0</v>
      </c>
      <c r="CX179" s="3404"/>
      <c r="CY179" s="3404"/>
      <c r="CZ179" s="1080">
        <f>IF(CX179=0,0,(CY179-CX179)/CX179*100)</f>
        <v>0</v>
      </c>
      <c r="DA179" s="3404"/>
      <c r="DB179" s="3404"/>
      <c r="DC179" s="1080">
        <f>IF(DA179=0,0,(DB179-DA179)/DA179*100)</f>
        <v>0</v>
      </c>
      <c r="DD179" s="3404"/>
      <c r="DE179" s="3404"/>
      <c r="DF179" s="1080">
        <f>IF(DD179=0,0,(DE179-DD179)/DD179*100)</f>
        <v>0</v>
      </c>
      <c r="DG179" s="3404"/>
      <c r="DH179" s="3404"/>
      <c r="DI179" s="1080">
        <f>IF(DG179=0,0,(DH179-DG179)/DG179*100)</f>
        <v>0</v>
      </c>
      <c r="DJ179" s="3404"/>
      <c r="DK179" s="3404"/>
      <c r="DL179" s="1080">
        <f>IF(DJ179=0,0,(DK179-DJ179)/DJ179*100)</f>
        <v>0</v>
      </c>
      <c r="DM179" s="3404"/>
      <c r="DN179" s="3404"/>
      <c r="DO179" s="1080">
        <f>IF(DM179=0,0,(DN179-DM179)/DM179*100)</f>
        <v>0</v>
      </c>
      <c r="DP179" s="3404"/>
      <c r="DQ179" s="3404"/>
      <c r="DR179" s="1080">
        <f>IF(DP179=0,0,(DQ179-DP179)/DP179*100)</f>
        <v>0</v>
      </c>
      <c r="DS179" s="3404"/>
      <c r="DT179" s="3404"/>
      <c r="DU179" s="1080">
        <f>IF(DS179=0,0,(DT179-DS179)/DS179*100)</f>
        <v>0</v>
      </c>
      <c r="DV179" s="3404"/>
      <c r="DW179" s="3404"/>
      <c r="DX179" s="1080">
        <f>IF(DV179=0,0,(DW179-DV179)/DV179*100)</f>
        <v>0</v>
      </c>
      <c r="DY179" s="3404"/>
      <c r="DZ179" s="3404"/>
      <c r="EA179" s="1080">
        <f>IF(DY179=0,0,(DZ179-DY179)/DY179*100)</f>
        <v>0</v>
      </c>
      <c r="EB179" s="3404"/>
      <c r="EC179" s="3404"/>
      <c r="ED179" s="1080">
        <f>IF(EB179=0,0,(EC179-EB179)/EB179*100)</f>
        <v>0</v>
      </c>
      <c r="EE179" s="3404"/>
      <c r="EF179" s="3404"/>
      <c r="EG179" s="1080">
        <f>IF(EE179=0,0,(EF179-EE179)/EE179*100)</f>
        <v>0</v>
      </c>
      <c r="EH179" s="3404"/>
      <c r="EI179" s="3404"/>
      <c r="EJ179" s="1080">
        <f>IF(EH179=0,0,(EI179-EH179)/EH179*100)</f>
        <v>0</v>
      </c>
      <c r="EK179" s="3404"/>
      <c r="EL179" s="3404"/>
      <c r="EM179" s="1080">
        <f>IF(EK179=0,0,(EL179-EK179)/EK179*100)</f>
        <v>0</v>
      </c>
      <c r="EN179" s="3404"/>
      <c r="EO179" s="3404"/>
      <c r="EP179" s="1080">
        <f>IF(EN179=0,0,(EO179-EN179)/EN179*100)</f>
        <v>0</v>
      </c>
      <c r="EQ179" s="3404"/>
      <c r="ER179" s="3404"/>
      <c r="ES179" s="1080">
        <f>IF(EQ179=0,0,(ER179-EQ179)/EQ179*100)</f>
        <v>0</v>
      </c>
      <c r="ET179" s="3404"/>
      <c r="EU179" s="3404"/>
      <c r="EV179" s="1080">
        <f>IF(ET179=0,0,(EU179-ET179)/ET179*100)</f>
        <v>0</v>
      </c>
      <c r="EW179" s="3404"/>
      <c r="EX179" s="3404"/>
      <c r="EY179" s="1080">
        <f>IF(EW179=0,0,(EX179-EW179)/EW179*100)</f>
        <v>0</v>
      </c>
      <c r="EZ179" s="3404"/>
      <c r="FA179" s="3404"/>
      <c r="FB179" s="1080">
        <f>IF(EZ179=0,0,(FA179-EZ179)/EZ179*100)</f>
        <v>0</v>
      </c>
      <c r="FC179" s="3404"/>
      <c r="FD179" s="3404"/>
      <c r="FE179" s="1080">
        <f>IF(FC179=0,0,(FD179-FC179)/FC179*100)</f>
        <v>0</v>
      </c>
      <c r="FF179" s="3404"/>
      <c r="FG179" s="3404"/>
      <c r="FH179" s="1080">
        <f>IF(FF179=0,0,(FG179-FF179)/FF179*100)</f>
        <v>0</v>
      </c>
      <c r="FI179" s="3404"/>
      <c r="FJ179" s="3404"/>
      <c r="FK179" s="1080">
        <f>IF(FI179=0,0,(FJ179-FI179)/FI179*100)</f>
        <v>0</v>
      </c>
      <c r="FL179" s="3404"/>
      <c r="FM179" s="3404"/>
      <c r="FN179" s="1080">
        <f>IF(FL179=0,0,(FM179-FL179)/FL179*100)</f>
        <v>0</v>
      </c>
      <c r="FO179" s="3404"/>
      <c r="FP179" s="3404"/>
      <c r="FQ179" s="1080">
        <f>IF(FO179=0,0,(FP179-FO179)/FO179*100)</f>
        <v>0</v>
      </c>
      <c r="FR179" s="3404"/>
      <c r="FS179" s="3404"/>
      <c r="FT179" s="1080">
        <f>IF(FR179=0,0,(FS179-FR179)/FR179*100)</f>
        <v>0</v>
      </c>
      <c r="FU179" s="3404"/>
      <c r="FV179" s="3404"/>
      <c r="FW179" s="1080">
        <f>IF(FU179=0,0,(FV179-FU179)/FU179*100)</f>
        <v>0</v>
      </c>
      <c r="FX179" s="676"/>
      <c r="FY179" s="676"/>
      <c r="FZ179" s="1039" t="s">
        <v>1558</v>
      </c>
      <c r="GA179" s="1061"/>
      <c r="GB179" s="1061"/>
      <c r="GC179" s="697"/>
      <c r="GD179" s="697"/>
    </row>
    <row s="1621" customFormat="1" customHeight="1" ht="21.75" hidden="1">
      <c r="A180" s="467"/>
      <c r="B180" s="907" cm="1" t="str">
        <f t="array" ref="B180:B180">B179</f>
        <v>false</v>
      </c>
      <c r="C180" s="467"/>
      <c r="D180" s="467"/>
      <c r="E180" s="822">
        <v>22.5</v>
      </c>
      <c r="F180" s="50" cm="1" t="str">
        <f t="array" ref="F180:F180">OFFSET(E180,-1,1)</f>
        <v>2</v>
      </c>
      <c r="G180" s="467"/>
      <c r="H180" s="467" t="s">
        <v>1533</v>
      </c>
      <c r="I180" s="467" t="s">
        <v>1511</v>
      </c>
      <c r="J180" s="467"/>
      <c r="K180" s="467"/>
      <c r="L180" s="467"/>
      <c r="M180" s="467"/>
      <c r="N180" s="467"/>
      <c r="O180" s="467"/>
      <c r="P180" s="467"/>
      <c r="Q180" s="467"/>
      <c r="R180" s="467"/>
      <c r="S180" s="467"/>
      <c r="T180" s="439" cm="1" t="str">
        <f t="array" ref="T180:T180">T179</f>
        <v>true</v>
      </c>
      <c r="U180" s="467"/>
      <c r="V180" s="467"/>
      <c r="W180" s="467"/>
      <c r="X180" s="1534"/>
      <c r="Y180" s="467"/>
      <c r="Z180" s="1464"/>
      <c r="AA180" s="467"/>
      <c r="AB180" s="88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846" t="s">
        <v>1534</v>
      </c>
      <c r="AD180" s="3409"/>
      <c r="AE180" s="3409"/>
      <c r="AF180" s="1078">
        <f>IF(AD180=0,0,(AE180-AD180)/AD180*100)</f>
        <v>0</v>
      </c>
      <c r="AG180" s="3409"/>
      <c r="AH180" s="3409"/>
      <c r="AI180" s="1078">
        <f>IF(AG180=0,0,(AH180-AG180)/AG180*100)</f>
        <v>0</v>
      </c>
      <c r="AJ180" s="3409"/>
      <c r="AK180" s="3409"/>
      <c r="AL180" s="1078">
        <f>IF(AJ180=0,0,(AK180-AJ180)/AJ180*100)</f>
        <v>0</v>
      </c>
      <c r="AM180" s="3409"/>
      <c r="AN180" s="3409"/>
      <c r="AO180" s="1078">
        <f>IF(AM180=0,0,(AN180-AM180)/AM180*100)</f>
        <v>0</v>
      </c>
      <c r="AP180" s="3409"/>
      <c r="AQ180" s="3409"/>
      <c r="AR180" s="1078">
        <f>IF(AP180=0,0,(AQ180-AP180)/AP180*100)</f>
        <v>0</v>
      </c>
      <c r="AS180" s="3409"/>
      <c r="AT180" s="3409"/>
      <c r="AU180" s="1078">
        <f>IF(AS180=0,0,(AT180-AS180)/AS180*100)</f>
        <v>0</v>
      </c>
      <c r="AV180" s="3409"/>
      <c r="AW180" s="3409"/>
      <c r="AX180" s="1078">
        <f>IF(AV180=0,0,(AW180-AV180)/AV180*100)</f>
        <v>0</v>
      </c>
      <c r="AY180" s="3409"/>
      <c r="AZ180" s="3409"/>
      <c r="BA180" s="1078">
        <f>IF(AY180=0,0,(AZ180-AY180)/AY180*100)</f>
        <v>0</v>
      </c>
      <c r="BB180" s="3409"/>
      <c r="BC180" s="3409"/>
      <c r="BD180" s="1078">
        <f>IF(BB180=0,0,(BC180-BB180)/BB180*100)</f>
        <v>0</v>
      </c>
      <c r="BE180" s="3409"/>
      <c r="BF180" s="3409"/>
      <c r="BG180" s="1078">
        <f>IF(BE180=0,0,(BF180-BE180)/BE180*100)</f>
        <v>0</v>
      </c>
      <c r="BH180" s="3409"/>
      <c r="BI180" s="3409"/>
      <c r="BJ180" s="1078">
        <f>IF(BH180=0,0,(BI180-BH180)/BH180*100)</f>
        <v>0</v>
      </c>
      <c r="BK180" s="3409"/>
      <c r="BL180" s="3409"/>
      <c r="BM180" s="1078">
        <f>IF(BK180=0,0,(BL180-BK180)/BK180*100)</f>
        <v>0</v>
      </c>
      <c r="BN180" s="3409"/>
      <c r="BO180" s="3409"/>
      <c r="BP180" s="1078">
        <f>IF(BN180=0,0,(BO180-BN180)/BN180*100)</f>
        <v>0</v>
      </c>
      <c r="BQ180" s="3409"/>
      <c r="BR180" s="3409"/>
      <c r="BS180" s="1078">
        <f>IF(BQ180=0,0,(BR180-BQ180)/BQ180*100)</f>
        <v>0</v>
      </c>
      <c r="BT180" s="3409"/>
      <c r="BU180" s="3409"/>
      <c r="BV180" s="1078">
        <f>IF(BT180=0,0,(BU180-BT180)/BT180*100)</f>
        <v>0</v>
      </c>
      <c r="BW180" s="3409"/>
      <c r="BX180" s="3409"/>
      <c r="BY180" s="1078">
        <f>IF(BW180=0,0,(BX180-BW180)/BW180*100)</f>
        <v>0</v>
      </c>
      <c r="BZ180" s="3409"/>
      <c r="CA180" s="3409"/>
      <c r="CB180" s="1078">
        <f>IF(BZ180=0,0,(CA180-BZ180)/BZ180*100)</f>
        <v>0</v>
      </c>
      <c r="CC180" s="3409"/>
      <c r="CD180" s="3409"/>
      <c r="CE180" s="1078">
        <f>IF(CC180=0,0,(CD180-CC180)/CC180*100)</f>
        <v>0</v>
      </c>
      <c r="CF180" s="3409"/>
      <c r="CG180" s="3409"/>
      <c r="CH180" s="1078">
        <f>IF(CF180=0,0,(CG180-CF180)/CF180*100)</f>
        <v>0</v>
      </c>
      <c r="CI180" s="3409"/>
      <c r="CJ180" s="3409"/>
      <c r="CK180" s="1078">
        <f>IF(CI180=0,0,(CJ180-CI180)/CI180*100)</f>
        <v>0</v>
      </c>
      <c r="CL180" s="3409"/>
      <c r="CM180" s="3409"/>
      <c r="CN180" s="1078">
        <f>IF(CL180=0,0,(CM180-CL180)/CL180*100)</f>
        <v>0</v>
      </c>
      <c r="CO180" s="3409"/>
      <c r="CP180" s="3409"/>
      <c r="CQ180" s="1078">
        <f>IF(CO180=0,0,(CP180-CO180)/CO180*100)</f>
        <v>0</v>
      </c>
      <c r="CR180" s="3409"/>
      <c r="CS180" s="3409"/>
      <c r="CT180" s="1078">
        <f>IF(CR180=0,0,(CS180-CR180)/CR180*100)</f>
        <v>0</v>
      </c>
      <c r="CU180" s="3409"/>
      <c r="CV180" s="3409"/>
      <c r="CW180" s="1078">
        <f>IF(CU180=0,0,(CV180-CU180)/CU180*100)</f>
        <v>0</v>
      </c>
      <c r="CX180" s="3409"/>
      <c r="CY180" s="3409"/>
      <c r="CZ180" s="1078">
        <f>IF(CX180=0,0,(CY180-CX180)/CX180*100)</f>
        <v>0</v>
      </c>
      <c r="DA180" s="3409"/>
      <c r="DB180" s="3409"/>
      <c r="DC180" s="1078">
        <f>IF(DA180=0,0,(DB180-DA180)/DA180*100)</f>
        <v>0</v>
      </c>
      <c r="DD180" s="3409"/>
      <c r="DE180" s="3409"/>
      <c r="DF180" s="1078">
        <f>IF(DD180=0,0,(DE180-DD180)/DD180*100)</f>
        <v>0</v>
      </c>
      <c r="DG180" s="3409"/>
      <c r="DH180" s="3409"/>
      <c r="DI180" s="1078">
        <f>IF(DG180=0,0,(DH180-DG180)/DG180*100)</f>
        <v>0</v>
      </c>
      <c r="DJ180" s="3409"/>
      <c r="DK180" s="3409"/>
      <c r="DL180" s="1078">
        <f>IF(DJ180=0,0,(DK180-DJ180)/DJ180*100)</f>
        <v>0</v>
      </c>
      <c r="DM180" s="3409"/>
      <c r="DN180" s="3409"/>
      <c r="DO180" s="1078">
        <f>IF(DM180=0,0,(DN180-DM180)/DM180*100)</f>
        <v>0</v>
      </c>
      <c r="DP180" s="3409"/>
      <c r="DQ180" s="3409"/>
      <c r="DR180" s="1078">
        <f>IF(DP180=0,0,(DQ180-DP180)/DP180*100)</f>
        <v>0</v>
      </c>
      <c r="DS180" s="3409"/>
      <c r="DT180" s="3409"/>
      <c r="DU180" s="1078">
        <f>IF(DS180=0,0,(DT180-DS180)/DS180*100)</f>
        <v>0</v>
      </c>
      <c r="DV180" s="3409"/>
      <c r="DW180" s="3409"/>
      <c r="DX180" s="1078">
        <f>IF(DV180=0,0,(DW180-DV180)/DV180*100)</f>
        <v>0</v>
      </c>
      <c r="DY180" s="3409"/>
      <c r="DZ180" s="3409"/>
      <c r="EA180" s="1078">
        <f>IF(DY180=0,0,(DZ180-DY180)/DY180*100)</f>
        <v>0</v>
      </c>
      <c r="EB180" s="3409"/>
      <c r="EC180" s="3409"/>
      <c r="ED180" s="1078">
        <f>IF(EB180=0,0,(EC180-EB180)/EB180*100)</f>
        <v>0</v>
      </c>
      <c r="EE180" s="3409"/>
      <c r="EF180" s="3409"/>
      <c r="EG180" s="1078">
        <f>IF(EE180=0,0,(EF180-EE180)/EE180*100)</f>
        <v>0</v>
      </c>
      <c r="EH180" s="3409"/>
      <c r="EI180" s="3409"/>
      <c r="EJ180" s="1078">
        <f>IF(EH180=0,0,(EI180-EH180)/EH180*100)</f>
        <v>0</v>
      </c>
      <c r="EK180" s="3409"/>
      <c r="EL180" s="3409"/>
      <c r="EM180" s="1078">
        <f>IF(EK180=0,0,(EL180-EK180)/EK180*100)</f>
        <v>0</v>
      </c>
      <c r="EN180" s="3409"/>
      <c r="EO180" s="3409"/>
      <c r="EP180" s="1078">
        <f>IF(EN180=0,0,(EO180-EN180)/EN180*100)</f>
        <v>0</v>
      </c>
      <c r="EQ180" s="3409"/>
      <c r="ER180" s="3409"/>
      <c r="ES180" s="1078">
        <f>IF(EQ180=0,0,(ER180-EQ180)/EQ180*100)</f>
        <v>0</v>
      </c>
      <c r="ET180" s="3409"/>
      <c r="EU180" s="3409"/>
      <c r="EV180" s="1078">
        <f>IF(ET180=0,0,(EU180-ET180)/ET180*100)</f>
        <v>0</v>
      </c>
      <c r="EW180" s="3409"/>
      <c r="EX180" s="3409"/>
      <c r="EY180" s="1078">
        <f>IF(EW180=0,0,(EX180-EW180)/EW180*100)</f>
        <v>0</v>
      </c>
      <c r="EZ180" s="3409"/>
      <c r="FA180" s="3409"/>
      <c r="FB180" s="1078">
        <f>IF(EZ180=0,0,(FA180-EZ180)/EZ180*100)</f>
        <v>0</v>
      </c>
      <c r="FC180" s="3409"/>
      <c r="FD180" s="3409"/>
      <c r="FE180" s="1078">
        <f>IF(FC180=0,0,(FD180-FC180)/FC180*100)</f>
        <v>0</v>
      </c>
      <c r="FF180" s="3409"/>
      <c r="FG180" s="3409"/>
      <c r="FH180" s="1078">
        <f>IF(FF180=0,0,(FG180-FF180)/FF180*100)</f>
        <v>0</v>
      </c>
      <c r="FI180" s="3409"/>
      <c r="FJ180" s="3409"/>
      <c r="FK180" s="1078">
        <f>IF(FI180=0,0,(FJ180-FI180)/FI180*100)</f>
        <v>0</v>
      </c>
      <c r="FL180" s="3409"/>
      <c r="FM180" s="3409"/>
      <c r="FN180" s="1078">
        <f>IF(FL180=0,0,(FM180-FL180)/FL180*100)</f>
        <v>0</v>
      </c>
      <c r="FO180" s="3409"/>
      <c r="FP180" s="3409"/>
      <c r="FQ180" s="1078">
        <f>IF(FO180=0,0,(FP180-FO180)/FO180*100)</f>
        <v>0</v>
      </c>
      <c r="FR180" s="3409"/>
      <c r="FS180" s="3409"/>
      <c r="FT180" s="1078">
        <f>IF(FR180=0,0,(FS180-FR180)/FR180*100)</f>
        <v>0</v>
      </c>
      <c r="FU180" s="3409"/>
      <c r="FV180" s="3409"/>
      <c r="FW180" s="1078">
        <f>IF(FU180=0,0,(FV180-FU180)/FU180*100)</f>
        <v>0</v>
      </c>
      <c r="FX180" s="676"/>
      <c r="FY180" s="676"/>
      <c r="FZ180" s="1039" t="s">
        <v>1559</v>
      </c>
      <c r="GA180" s="1061"/>
      <c r="GB180" s="1061"/>
      <c r="GC180" s="697"/>
      <c r="GD180" s="697"/>
    </row>
    <row s="1621" customFormat="1" customHeight="1" ht="14.25" hidden="1">
      <c r="A181" s="467"/>
      <c r="B181" s="907" cm="1" t="str">
        <f t="array" ref="B181:B181">B180</f>
        <v>false</v>
      </c>
      <c r="C181" s="467"/>
      <c r="D181" s="467"/>
      <c r="E181" s="822">
        <v>15</v>
      </c>
      <c r="F181" s="50" cm="1" t="str">
        <f t="array" ref="F181:F181">OFFSET(E181,-1,1)</f>
        <v>2</v>
      </c>
      <c r="G181" s="467"/>
      <c r="H181" s="467" t="s">
        <v>1536</v>
      </c>
      <c r="I181" s="467" t="s">
        <v>1511</v>
      </c>
      <c r="J181" s="467"/>
      <c r="K181" s="467"/>
      <c r="L181" s="467"/>
      <c r="M181" s="467"/>
      <c r="N181" s="467"/>
      <c r="O181" s="467"/>
      <c r="P181" s="467"/>
      <c r="Q181" s="467"/>
      <c r="R181" s="467"/>
      <c r="S181" s="467"/>
      <c r="T181" s="439" cm="1" t="str">
        <f t="array" ref="T181:T181">T180</f>
        <v>true</v>
      </c>
      <c r="U181" s="467"/>
      <c r="V181" s="467"/>
      <c r="W181" s="467"/>
      <c r="X181" s="1534"/>
      <c r="Y181" s="467"/>
      <c r="Z181" s="1464"/>
      <c r="AA181" s="467"/>
      <c r="AB181" s="886" t="s">
        <v>1537</v>
      </c>
      <c r="AC181" s="846" t="s">
        <v>1538</v>
      </c>
      <c r="AD181" s="3409"/>
      <c r="AE181" s="3409"/>
      <c r="AF181" s="1078">
        <f>IF(AD181=0,0,(AE181-AD181)/AD181*100)</f>
        <v>0</v>
      </c>
      <c r="AG181" s="3409"/>
      <c r="AH181" s="3409"/>
      <c r="AI181" s="1078">
        <f>IF(AG181=0,0,(AH181-AG181)/AG181*100)</f>
        <v>0</v>
      </c>
      <c r="AJ181" s="3409"/>
      <c r="AK181" s="3409"/>
      <c r="AL181" s="1078">
        <f>IF(AJ181=0,0,(AK181-AJ181)/AJ181*100)</f>
        <v>0</v>
      </c>
      <c r="AM181" s="3409"/>
      <c r="AN181" s="3409"/>
      <c r="AO181" s="1078">
        <f>IF(AM181=0,0,(AN181-AM181)/AM181*100)</f>
        <v>0</v>
      </c>
      <c r="AP181" s="3409"/>
      <c r="AQ181" s="3409"/>
      <c r="AR181" s="1078">
        <f>IF(AP181=0,0,(AQ181-AP181)/AP181*100)</f>
        <v>0</v>
      </c>
      <c r="AS181" s="3409"/>
      <c r="AT181" s="3409"/>
      <c r="AU181" s="1078">
        <f>IF(AS181=0,0,(AT181-AS181)/AS181*100)</f>
        <v>0</v>
      </c>
      <c r="AV181" s="3409"/>
      <c r="AW181" s="3409"/>
      <c r="AX181" s="1078">
        <f>IF(AV181=0,0,(AW181-AV181)/AV181*100)</f>
        <v>0</v>
      </c>
      <c r="AY181" s="3409"/>
      <c r="AZ181" s="3409"/>
      <c r="BA181" s="1078">
        <f>IF(AY181=0,0,(AZ181-AY181)/AY181*100)</f>
        <v>0</v>
      </c>
      <c r="BB181" s="3409"/>
      <c r="BC181" s="3409"/>
      <c r="BD181" s="1078">
        <f>IF(BB181=0,0,(BC181-BB181)/BB181*100)</f>
        <v>0</v>
      </c>
      <c r="BE181" s="3409"/>
      <c r="BF181" s="3409"/>
      <c r="BG181" s="1078">
        <f>IF(BE181=0,0,(BF181-BE181)/BE181*100)</f>
        <v>0</v>
      </c>
      <c r="BH181" s="3409"/>
      <c r="BI181" s="3409"/>
      <c r="BJ181" s="1078">
        <f>IF(BH181=0,0,(BI181-BH181)/BH181*100)</f>
        <v>0</v>
      </c>
      <c r="BK181" s="3409"/>
      <c r="BL181" s="3409"/>
      <c r="BM181" s="1078">
        <f>IF(BK181=0,0,(BL181-BK181)/BK181*100)</f>
        <v>0</v>
      </c>
      <c r="BN181" s="3409"/>
      <c r="BO181" s="3409"/>
      <c r="BP181" s="1078">
        <f>IF(BN181=0,0,(BO181-BN181)/BN181*100)</f>
        <v>0</v>
      </c>
      <c r="BQ181" s="3409"/>
      <c r="BR181" s="3409"/>
      <c r="BS181" s="1078">
        <f>IF(BQ181=0,0,(BR181-BQ181)/BQ181*100)</f>
        <v>0</v>
      </c>
      <c r="BT181" s="3409"/>
      <c r="BU181" s="3409"/>
      <c r="BV181" s="1078">
        <f>IF(BT181=0,0,(BU181-BT181)/BT181*100)</f>
        <v>0</v>
      </c>
      <c r="BW181" s="3409"/>
      <c r="BX181" s="3409"/>
      <c r="BY181" s="1078">
        <f>IF(BW181=0,0,(BX181-BW181)/BW181*100)</f>
        <v>0</v>
      </c>
      <c r="BZ181" s="3409"/>
      <c r="CA181" s="3409"/>
      <c r="CB181" s="1078">
        <f>IF(BZ181=0,0,(CA181-BZ181)/BZ181*100)</f>
        <v>0</v>
      </c>
      <c r="CC181" s="3409"/>
      <c r="CD181" s="3409"/>
      <c r="CE181" s="1078">
        <f>IF(CC181=0,0,(CD181-CC181)/CC181*100)</f>
        <v>0</v>
      </c>
      <c r="CF181" s="3409"/>
      <c r="CG181" s="3409"/>
      <c r="CH181" s="1078">
        <f>IF(CF181=0,0,(CG181-CF181)/CF181*100)</f>
        <v>0</v>
      </c>
      <c r="CI181" s="3409"/>
      <c r="CJ181" s="3409"/>
      <c r="CK181" s="1078">
        <f>IF(CI181=0,0,(CJ181-CI181)/CI181*100)</f>
        <v>0</v>
      </c>
      <c r="CL181" s="3409"/>
      <c r="CM181" s="3409"/>
      <c r="CN181" s="1078">
        <f>IF(CL181=0,0,(CM181-CL181)/CL181*100)</f>
        <v>0</v>
      </c>
      <c r="CO181" s="3409"/>
      <c r="CP181" s="3409"/>
      <c r="CQ181" s="1078">
        <f>IF(CO181=0,0,(CP181-CO181)/CO181*100)</f>
        <v>0</v>
      </c>
      <c r="CR181" s="3409"/>
      <c r="CS181" s="3409"/>
      <c r="CT181" s="1078">
        <f>IF(CR181=0,0,(CS181-CR181)/CR181*100)</f>
        <v>0</v>
      </c>
      <c r="CU181" s="3409"/>
      <c r="CV181" s="3409"/>
      <c r="CW181" s="1078">
        <f>IF(CU181=0,0,(CV181-CU181)/CU181*100)</f>
        <v>0</v>
      </c>
      <c r="CX181" s="3409"/>
      <c r="CY181" s="3409"/>
      <c r="CZ181" s="1078">
        <f>IF(CX181=0,0,(CY181-CX181)/CX181*100)</f>
        <v>0</v>
      </c>
      <c r="DA181" s="3409"/>
      <c r="DB181" s="3409"/>
      <c r="DC181" s="1078">
        <f>IF(DA181=0,0,(DB181-DA181)/DA181*100)</f>
        <v>0</v>
      </c>
      <c r="DD181" s="3409"/>
      <c r="DE181" s="3409"/>
      <c r="DF181" s="1078">
        <f>IF(DD181=0,0,(DE181-DD181)/DD181*100)</f>
        <v>0</v>
      </c>
      <c r="DG181" s="3409"/>
      <c r="DH181" s="3409"/>
      <c r="DI181" s="1078">
        <f>IF(DG181=0,0,(DH181-DG181)/DG181*100)</f>
        <v>0</v>
      </c>
      <c r="DJ181" s="3409"/>
      <c r="DK181" s="3409"/>
      <c r="DL181" s="1078">
        <f>IF(DJ181=0,0,(DK181-DJ181)/DJ181*100)</f>
        <v>0</v>
      </c>
      <c r="DM181" s="3409"/>
      <c r="DN181" s="3409"/>
      <c r="DO181" s="1078">
        <f>IF(DM181=0,0,(DN181-DM181)/DM181*100)</f>
        <v>0</v>
      </c>
      <c r="DP181" s="3409"/>
      <c r="DQ181" s="3409"/>
      <c r="DR181" s="1078">
        <f>IF(DP181=0,0,(DQ181-DP181)/DP181*100)</f>
        <v>0</v>
      </c>
      <c r="DS181" s="3409"/>
      <c r="DT181" s="3409"/>
      <c r="DU181" s="1078">
        <f>IF(DS181=0,0,(DT181-DS181)/DS181*100)</f>
        <v>0</v>
      </c>
      <c r="DV181" s="3409"/>
      <c r="DW181" s="3409"/>
      <c r="DX181" s="1078">
        <f>IF(DV181=0,0,(DW181-DV181)/DV181*100)</f>
        <v>0</v>
      </c>
      <c r="DY181" s="3409"/>
      <c r="DZ181" s="3409"/>
      <c r="EA181" s="1078">
        <f>IF(DY181=0,0,(DZ181-DY181)/DY181*100)</f>
        <v>0</v>
      </c>
      <c r="EB181" s="3409"/>
      <c r="EC181" s="3409"/>
      <c r="ED181" s="1078">
        <f>IF(EB181=0,0,(EC181-EB181)/EB181*100)</f>
        <v>0</v>
      </c>
      <c r="EE181" s="3409"/>
      <c r="EF181" s="3409"/>
      <c r="EG181" s="1078">
        <f>IF(EE181=0,0,(EF181-EE181)/EE181*100)</f>
        <v>0</v>
      </c>
      <c r="EH181" s="3409"/>
      <c r="EI181" s="3409"/>
      <c r="EJ181" s="1078">
        <f>IF(EH181=0,0,(EI181-EH181)/EH181*100)</f>
        <v>0</v>
      </c>
      <c r="EK181" s="3409"/>
      <c r="EL181" s="3409"/>
      <c r="EM181" s="1078">
        <f>IF(EK181=0,0,(EL181-EK181)/EK181*100)</f>
        <v>0</v>
      </c>
      <c r="EN181" s="3409"/>
      <c r="EO181" s="3409"/>
      <c r="EP181" s="1078">
        <f>IF(EN181=0,0,(EO181-EN181)/EN181*100)</f>
        <v>0</v>
      </c>
      <c r="EQ181" s="3409"/>
      <c r="ER181" s="3409"/>
      <c r="ES181" s="1078">
        <f>IF(EQ181=0,0,(ER181-EQ181)/EQ181*100)</f>
        <v>0</v>
      </c>
      <c r="ET181" s="3409"/>
      <c r="EU181" s="3409"/>
      <c r="EV181" s="1078">
        <f>IF(ET181=0,0,(EU181-ET181)/ET181*100)</f>
        <v>0</v>
      </c>
      <c r="EW181" s="3409"/>
      <c r="EX181" s="3409"/>
      <c r="EY181" s="1078">
        <f>IF(EW181=0,0,(EX181-EW181)/EW181*100)</f>
        <v>0</v>
      </c>
      <c r="EZ181" s="3409"/>
      <c r="FA181" s="3409"/>
      <c r="FB181" s="1078">
        <f>IF(EZ181=0,0,(FA181-EZ181)/EZ181*100)</f>
        <v>0</v>
      </c>
      <c r="FC181" s="3409"/>
      <c r="FD181" s="3409"/>
      <c r="FE181" s="1078">
        <f>IF(FC181=0,0,(FD181-FC181)/FC181*100)</f>
        <v>0</v>
      </c>
      <c r="FF181" s="3409"/>
      <c r="FG181" s="3409"/>
      <c r="FH181" s="1078">
        <f>IF(FF181=0,0,(FG181-FF181)/FF181*100)</f>
        <v>0</v>
      </c>
      <c r="FI181" s="3409"/>
      <c r="FJ181" s="3409"/>
      <c r="FK181" s="1078">
        <f>IF(FI181=0,0,(FJ181-FI181)/FI181*100)</f>
        <v>0</v>
      </c>
      <c r="FL181" s="3409"/>
      <c r="FM181" s="3409"/>
      <c r="FN181" s="1078">
        <f>IF(FL181=0,0,(FM181-FL181)/FL181*100)</f>
        <v>0</v>
      </c>
      <c r="FO181" s="3409"/>
      <c r="FP181" s="3409"/>
      <c r="FQ181" s="1078">
        <f>IF(FO181=0,0,(FP181-FO181)/FO181*100)</f>
        <v>0</v>
      </c>
      <c r="FR181" s="3409"/>
      <c r="FS181" s="3409"/>
      <c r="FT181" s="1078">
        <f>IF(FR181=0,0,(FS181-FR181)/FR181*100)</f>
        <v>0</v>
      </c>
      <c r="FU181" s="3409"/>
      <c r="FV181" s="3409"/>
      <c r="FW181" s="1078">
        <f>IF(FU181=0,0,(FV181-FU181)/FU181*100)</f>
        <v>0</v>
      </c>
      <c r="FX181" s="676"/>
      <c r="FY181" s="676"/>
      <c r="FZ181" s="1039" t="s">
        <v>1560</v>
      </c>
      <c r="GA181" s="1061"/>
      <c r="GB181" s="1061"/>
      <c r="GC181" s="697"/>
      <c r="GD181" s="697"/>
    </row>
    <row s="1621" customFormat="1" customHeight="1" ht="18" hidden="1">
      <c r="A182" s="467"/>
      <c r="B182" s="907" cm="1" t="str">
        <f t="array" ref="B182:B182">B181</f>
        <v>false</v>
      </c>
      <c r="C182" s="467"/>
      <c r="D182" s="467"/>
      <c r="E182" s="822">
        <v>18.75</v>
      </c>
      <c r="F182" s="50" cm="1" t="str">
        <f t="array" ref="F182:F182">OFFSET(E182,-1,1)</f>
        <v>2</v>
      </c>
      <c r="G182" s="467"/>
      <c r="H182" s="467"/>
      <c r="I182" s="467"/>
      <c r="J182" s="467"/>
      <c r="K182" s="467"/>
      <c r="L182" s="467"/>
      <c r="M182" s="467"/>
      <c r="N182" s="467"/>
      <c r="O182" s="467"/>
      <c r="P182" s="467"/>
      <c r="Q182" s="467"/>
      <c r="R182" s="467"/>
      <c r="S182" s="467"/>
      <c r="T182" s="439">
        <f>AND(F182&gt;0,Y182&gt;0)</f>
        <v>0</v>
      </c>
      <c r="U182" s="467"/>
      <c r="V182" s="467"/>
      <c r="W182" s="467" t="s">
        <v>173</v>
      </c>
      <c r="X182" s="1534"/>
      <c r="Y182" s="1534">
        <v>0</v>
      </c>
      <c r="Z182" s="1464"/>
      <c r="AA182" s="1413" t="s">
        <v>174</v>
      </c>
      <c r="AB182" s="3408"/>
      <c r="AC182" s="847"/>
      <c r="AD182" s="1090"/>
      <c r="AE182" s="1091"/>
      <c r="AF182" s="1091"/>
      <c r="AG182" s="1090"/>
      <c r="AH182" s="1091"/>
      <c r="AI182" s="1091"/>
      <c r="AJ182" s="1090"/>
      <c r="AK182" s="1091"/>
      <c r="AL182" s="1091"/>
      <c r="AM182" s="1090"/>
      <c r="AN182" s="1091"/>
      <c r="AO182" s="1091"/>
      <c r="AP182" s="1090"/>
      <c r="AQ182" s="1091"/>
      <c r="AR182" s="1091"/>
      <c r="AS182" s="1090"/>
      <c r="AT182" s="1091"/>
      <c r="AU182" s="1091"/>
      <c r="AV182" s="1090"/>
      <c r="AW182" s="1091"/>
      <c r="AX182" s="1091"/>
      <c r="AY182" s="1090"/>
      <c r="AZ182" s="1091"/>
      <c r="BA182" s="1091"/>
      <c r="BB182" s="1090"/>
      <c r="BC182" s="1091"/>
      <c r="BD182" s="1091"/>
      <c r="BE182" s="1090"/>
      <c r="BF182" s="1091"/>
      <c r="BG182" s="1091"/>
      <c r="BH182" s="1090"/>
      <c r="BI182" s="1091"/>
      <c r="BJ182" s="1091"/>
      <c r="BK182" s="1090"/>
      <c r="BL182" s="1091"/>
      <c r="BM182" s="1091"/>
      <c r="BN182" s="1090"/>
      <c r="BO182" s="1091"/>
      <c r="BP182" s="1091"/>
      <c r="BQ182" s="1090"/>
      <c r="BR182" s="1091"/>
      <c r="BS182" s="1091"/>
      <c r="BT182" s="1090"/>
      <c r="BU182" s="1091"/>
      <c r="BV182" s="1091"/>
      <c r="BW182" s="1090"/>
      <c r="BX182" s="1091"/>
      <c r="BY182" s="1091"/>
      <c r="BZ182" s="1090"/>
      <c r="CA182" s="1091"/>
      <c r="CB182" s="1091"/>
      <c r="CC182" s="1090"/>
      <c r="CD182" s="1091"/>
      <c r="CE182" s="1091"/>
      <c r="CF182" s="1090"/>
      <c r="CG182" s="1091"/>
      <c r="CH182" s="1091"/>
      <c r="CI182" s="1090"/>
      <c r="CJ182" s="1091"/>
      <c r="CK182" s="1091"/>
      <c r="CL182" s="1090"/>
      <c r="CM182" s="1091"/>
      <c r="CN182" s="1091"/>
      <c r="CO182" s="1090"/>
      <c r="CP182" s="1091"/>
      <c r="CQ182" s="1091"/>
      <c r="CR182" s="1090"/>
      <c r="CS182" s="1091"/>
      <c r="CT182" s="1091"/>
      <c r="CU182" s="1090"/>
      <c r="CV182" s="1091"/>
      <c r="CW182" s="1091"/>
      <c r="CX182" s="1090"/>
      <c r="CY182" s="1091"/>
      <c r="CZ182" s="1091"/>
      <c r="DA182" s="1090"/>
      <c r="DB182" s="1091"/>
      <c r="DC182" s="1091"/>
      <c r="DD182" s="1090"/>
      <c r="DE182" s="1091"/>
      <c r="DF182" s="1091"/>
      <c r="DG182" s="1090"/>
      <c r="DH182" s="1091"/>
      <c r="DI182" s="1091"/>
      <c r="DJ182" s="1090"/>
      <c r="DK182" s="1091"/>
      <c r="DL182" s="1091"/>
      <c r="DM182" s="1090"/>
      <c r="DN182" s="1091"/>
      <c r="DO182" s="1091"/>
      <c r="DP182" s="1090"/>
      <c r="DQ182" s="1091"/>
      <c r="DR182" s="1091"/>
      <c r="DS182" s="1090"/>
      <c r="DT182" s="1091"/>
      <c r="DU182" s="1091"/>
      <c r="DV182" s="1090"/>
      <c r="DW182" s="1091"/>
      <c r="DX182" s="1091"/>
      <c r="DY182" s="1090"/>
      <c r="DZ182" s="1091"/>
      <c r="EA182" s="1091"/>
      <c r="EB182" s="1090"/>
      <c r="EC182" s="1091"/>
      <c r="ED182" s="1091"/>
      <c r="EE182" s="1090"/>
      <c r="EF182" s="1091"/>
      <c r="EG182" s="1091"/>
      <c r="EH182" s="1090"/>
      <c r="EI182" s="1091"/>
      <c r="EJ182" s="1091"/>
      <c r="EK182" s="1090"/>
      <c r="EL182" s="1091"/>
      <c r="EM182" s="1091"/>
      <c r="EN182" s="1090"/>
      <c r="EO182" s="1091"/>
      <c r="EP182" s="1091"/>
      <c r="EQ182" s="1090"/>
      <c r="ER182" s="1091"/>
      <c r="ES182" s="1091"/>
      <c r="ET182" s="1090"/>
      <c r="EU182" s="1091"/>
      <c r="EV182" s="1091"/>
      <c r="EW182" s="1090"/>
      <c r="EX182" s="1091"/>
      <c r="EY182" s="1091"/>
      <c r="EZ182" s="1090"/>
      <c r="FA182" s="1091"/>
      <c r="FB182" s="1091"/>
      <c r="FC182" s="1090"/>
      <c r="FD182" s="1091"/>
      <c r="FE182" s="1091"/>
      <c r="FF182" s="1090"/>
      <c r="FG182" s="1091"/>
      <c r="FH182" s="1091"/>
      <c r="FI182" s="1090"/>
      <c r="FJ182" s="1091"/>
      <c r="FK182" s="1091"/>
      <c r="FL182" s="1090"/>
      <c r="FM182" s="1091"/>
      <c r="FN182" s="1091"/>
      <c r="FO182" s="1090"/>
      <c r="FP182" s="1091"/>
      <c r="FQ182" s="1091"/>
      <c r="FR182" s="1090"/>
      <c r="FS182" s="1091"/>
      <c r="FT182" s="1091"/>
      <c r="FU182" s="1090"/>
      <c r="FV182" s="1091"/>
      <c r="FW182" s="1092"/>
      <c r="FX182" s="676"/>
      <c r="FY182" s="676"/>
      <c r="FZ182" s="1039"/>
      <c r="GA182" s="1061"/>
      <c r="GB182" s="1061"/>
      <c r="GC182" s="697"/>
      <c r="GD182" s="611" t="b">
        <v>1</v>
      </c>
    </row>
    <row s="1621" customFormat="1" customHeight="1" ht="14.25" hidden="1">
      <c r="A183" s="467"/>
      <c r="B183" s="907" cm="1" t="str">
        <f t="array" ref="B183:B183">B182</f>
        <v>false</v>
      </c>
      <c r="C183" s="467"/>
      <c r="D183" s="467"/>
      <c r="E183" s="822">
        <v>15</v>
      </c>
      <c r="F183" s="50" cm="1" t="str">
        <f t="array" ref="F183:F183">OFFSET(E183,-1,1)</f>
        <v>2</v>
      </c>
      <c r="G183" s="467"/>
      <c r="H183" s="467" t="s">
        <v>1445</v>
      </c>
      <c r="I183" s="467" cm="1" t="str">
        <f t="array" ref="I183:I183">AB182</f>
        <v>0</v>
      </c>
      <c r="J183" s="467"/>
      <c r="K183" s="467"/>
      <c r="L183" s="467"/>
      <c r="M183" s="467"/>
      <c r="N183" s="467"/>
      <c r="O183" s="467"/>
      <c r="P183" s="467"/>
      <c r="Q183" s="467"/>
      <c r="R183" s="467"/>
      <c r="S183" s="467"/>
      <c r="T183" s="439" cm="1" t="str">
        <f t="array" ref="T183:T183">T182</f>
        <v>false</v>
      </c>
      <c r="U183" s="467"/>
      <c r="V183" s="467"/>
      <c r="W183" s="467"/>
      <c r="X183" s="1534"/>
      <c r="Y183" s="1534"/>
      <c r="Z183" s="1464"/>
      <c r="AA183" s="1413"/>
      <c r="AB183" s="886" t="s">
        <v>1527</v>
      </c>
      <c r="AC183" s="846" t="s">
        <v>1494</v>
      </c>
      <c r="AD183" s="3409">
        <f>IF(AD185=0,0,(AD184*AD185+AD186*AD187*IF(god=2026,3,6))/AD185)</f>
        <v>0</v>
      </c>
      <c r="AE183" s="3409">
        <f>IF(AE185=0,0,(AE184*AE185+AE186*AE187*IF(god=2026,3,6))/AE185)</f>
        <v>0</v>
      </c>
      <c r="AF183" s="1078">
        <f>IF(AD183=0,0,(AE183-AD183)/AD183*100)</f>
        <v>0</v>
      </c>
      <c r="AG183" s="3409">
        <f>IF(AG185=0,0,(AG184*AG185+AG186*AG187*IF(god=2025,3,6))/AG185)</f>
        <v>0</v>
      </c>
      <c r="AH183" s="3409">
        <f>IF(AH185=0,0,(AH184*AH185+AH186*AH187*IF(god=2025,3,6))/AH185)</f>
        <v>0</v>
      </c>
      <c r="AI183" s="1078">
        <f>IF(AG183=0,0,(AH183-AG183)/AG183*100)</f>
        <v>0</v>
      </c>
      <c r="AJ183" s="3409">
        <f>IF(AJ185=0,0,(AJ184*AJ185+AJ186*AJ187*6)/AJ185)</f>
        <v>0</v>
      </c>
      <c r="AK183" s="3409">
        <f>IF(AK185=0,0,(AK184*AK185+AK186*AK187*6)/AK185)</f>
        <v>0</v>
      </c>
      <c r="AL183" s="1078">
        <f>IF(AJ183=0,0,(AK183-AJ183)/AJ183*100)</f>
        <v>0</v>
      </c>
      <c r="AM183" s="3409">
        <f>IF(AM185=0,0,(AM184*AM185+AM186*AM187*6)/AM185)</f>
        <v>0</v>
      </c>
      <c r="AN183" s="3409">
        <f>IF(AN185=0,0,(AN184*AN185+AN186*AN187*6)/AN185)</f>
        <v>0</v>
      </c>
      <c r="AO183" s="1078">
        <f>IF(AM183=0,0,(AN183-AM183)/AM183*100)</f>
        <v>0</v>
      </c>
      <c r="AP183" s="3409">
        <f>IF(AP185=0,0,(AP184*AP185+AP186*AP187*6)/AP185)</f>
        <v>0</v>
      </c>
      <c r="AQ183" s="3409">
        <f>IF(AQ185=0,0,(AQ184*AQ185+AQ186*AQ187*6)/AQ185)</f>
        <v>0</v>
      </c>
      <c r="AR183" s="1078">
        <f>IF(AP183=0,0,(AQ183-AP183)/AP183*100)</f>
        <v>0</v>
      </c>
      <c r="AS183" s="3409">
        <f>IF(AS185=0,0,(AS184*AS185+AS186*AS187*6)/AS185)</f>
        <v>0</v>
      </c>
      <c r="AT183" s="3409">
        <f>IF(AT185=0,0,(AT184*AT185+AT186*AT187*6)/AT185)</f>
        <v>0</v>
      </c>
      <c r="AU183" s="1078">
        <f>IF(AS183=0,0,(AT183-AS183)/AS183*100)</f>
        <v>0</v>
      </c>
      <c r="AV183" s="3409">
        <f>IF(AV185=0,0,(AV184*AV185+AV186*AV187*6)/AV185)</f>
        <v>0</v>
      </c>
      <c r="AW183" s="3409">
        <f>IF(AW185=0,0,(AW184*AW185+AW186*AW187*6)/AW185)</f>
        <v>0</v>
      </c>
      <c r="AX183" s="1078">
        <f>IF(AV183=0,0,(AW183-AV183)/AV183*100)</f>
        <v>0</v>
      </c>
      <c r="AY183" s="3409">
        <f>IF(AY185=0,0,(AY184*AY185+AY186*AY187*6)/AY185)</f>
        <v>0</v>
      </c>
      <c r="AZ183" s="3409">
        <f>IF(AZ185=0,0,(AZ184*AZ185+AZ186*AZ187*6)/AZ185)</f>
        <v>0</v>
      </c>
      <c r="BA183" s="1078">
        <f>IF(AY183=0,0,(AZ183-AY183)/AY183*100)</f>
        <v>0</v>
      </c>
      <c r="BB183" s="3409">
        <f>IF(BB185=0,0,(BB184*BB185+BB186*BB187*6)/BB185)</f>
        <v>0</v>
      </c>
      <c r="BC183" s="3409">
        <f>IF(BC185=0,0,(BC184*BC185+BC186*BC187*6)/BC185)</f>
        <v>0</v>
      </c>
      <c r="BD183" s="1078">
        <f>IF(BB183=0,0,(BC183-BB183)/BB183*100)</f>
        <v>0</v>
      </c>
      <c r="BE183" s="3409">
        <f>IF(BE185=0,0,(BE184*BE185+BE186*BE187*6)/BE185)</f>
        <v>0</v>
      </c>
      <c r="BF183" s="3409">
        <f>IF(BF185=0,0,(BF184*BF185+BF186*BF187*6)/BF185)</f>
        <v>0</v>
      </c>
      <c r="BG183" s="1078">
        <f>IF(BE183=0,0,(BF183-BE183)/BE183*100)</f>
        <v>0</v>
      </c>
      <c r="BH183" s="3409">
        <f>IF(BH185=0,0,(BH184*BH185+BH186*BH187*6)/BH185)</f>
        <v>0</v>
      </c>
      <c r="BI183" s="3409">
        <f>IF(BI185=0,0,(BI184*BI185+BI186*BI187*6)/BI185)</f>
        <v>0</v>
      </c>
      <c r="BJ183" s="1078">
        <f>IF(BH183=0,0,(BI183-BH183)/BH183*100)</f>
        <v>0</v>
      </c>
      <c r="BK183" s="3409">
        <f>IF(BK185=0,0,(BK184*BK185+BK186*BK187*6)/BK185)</f>
        <v>0</v>
      </c>
      <c r="BL183" s="3409">
        <f>IF(BL185=0,0,(BL184*BL185+BL186*BL187*6)/BL185)</f>
        <v>0</v>
      </c>
      <c r="BM183" s="1078">
        <f>IF(BK183=0,0,(BL183-BK183)/BK183*100)</f>
        <v>0</v>
      </c>
      <c r="BN183" s="3409">
        <f>IF(BN185=0,0,(BN184*BN185+BN186*BN187*6)/BN185)</f>
        <v>0</v>
      </c>
      <c r="BO183" s="3409">
        <f>IF(BO185=0,0,(BO184*BO185+BO186*BO187*6)/BO185)</f>
        <v>0</v>
      </c>
      <c r="BP183" s="1078">
        <f>IF(BN183=0,0,(BO183-BN183)/BN183*100)</f>
        <v>0</v>
      </c>
      <c r="BQ183" s="3409">
        <f>IF(BQ185=0,0,(BQ184*BQ185+BQ186*BQ187*6)/BQ185)</f>
        <v>0</v>
      </c>
      <c r="BR183" s="3409">
        <f>IF(BR185=0,0,(BR184*BR185+BR186*BR187*6)/BR185)</f>
        <v>0</v>
      </c>
      <c r="BS183" s="1078">
        <f>IF(BQ183=0,0,(BR183-BQ183)/BQ183*100)</f>
        <v>0</v>
      </c>
      <c r="BT183" s="3409">
        <f>IF(BT185=0,0,(BT184*BT185+BT186*BT187*6)/BT185)</f>
        <v>0</v>
      </c>
      <c r="BU183" s="3409">
        <f>IF(BU185=0,0,(BU184*BU185+BU186*BU187*6)/BU185)</f>
        <v>0</v>
      </c>
      <c r="BV183" s="1078">
        <f>IF(BT183=0,0,(BU183-BT183)/BT183*100)</f>
        <v>0</v>
      </c>
      <c r="BW183" s="3409">
        <f>IF(BW185=0,0,(BW184*BW185+BW186*BW187*6)/BW185)</f>
        <v>0</v>
      </c>
      <c r="BX183" s="3409">
        <f>IF(BX185=0,0,(BX184*BX185+BX186*BX187*6)/BX185)</f>
        <v>0</v>
      </c>
      <c r="BY183" s="1078">
        <f>IF(BW183=0,0,(BX183-BW183)/BW183*100)</f>
        <v>0</v>
      </c>
      <c r="BZ183" s="3409">
        <f>IF(BZ185=0,0,(BZ184*BZ185+BZ186*BZ187*6)/BZ185)</f>
        <v>0</v>
      </c>
      <c r="CA183" s="3409">
        <f>IF(CA185=0,0,(CA184*CA185+CA186*CA187*6)/CA185)</f>
        <v>0</v>
      </c>
      <c r="CB183" s="1078">
        <f>IF(BZ183=0,0,(CA183-BZ183)/BZ183*100)</f>
        <v>0</v>
      </c>
      <c r="CC183" s="3409">
        <f>IF(CC185=0,0,(CC184*CC185+CC186*CC187*6)/CC185)</f>
        <v>0</v>
      </c>
      <c r="CD183" s="3409">
        <f>IF(CD185=0,0,(CD184*CD185+CD186*CD187*6)/CD185)</f>
        <v>0</v>
      </c>
      <c r="CE183" s="1078">
        <f>IF(CC183=0,0,(CD183-CC183)/CC183*100)</f>
        <v>0</v>
      </c>
      <c r="CF183" s="3409">
        <f>IF(CF185=0,0,(CF184*CF185+CF186*CF187*6)/CF185)</f>
        <v>0</v>
      </c>
      <c r="CG183" s="3409">
        <f>IF(CG185=0,0,(CG184*CG185+CG186*CG187*6)/CG185)</f>
        <v>0</v>
      </c>
      <c r="CH183" s="1078">
        <f>IF(CF183=0,0,(CG183-CF183)/CF183*100)</f>
        <v>0</v>
      </c>
      <c r="CI183" s="3409">
        <f>IF(CI185=0,0,(CI184*CI185+CI186*CI187*6)/CI185)</f>
        <v>0</v>
      </c>
      <c r="CJ183" s="3409">
        <f>IF(CJ185=0,0,(CJ184*CJ185+CJ186*CJ187*6)/CJ185)</f>
        <v>0</v>
      </c>
      <c r="CK183" s="1078">
        <f>IF(CI183=0,0,(CJ183-CI183)/CI183*100)</f>
        <v>0</v>
      </c>
      <c r="CL183" s="3409">
        <f>IF(CL185=0,0,(CL184*CL185+CL186*CL187*6)/CL185)</f>
        <v>0</v>
      </c>
      <c r="CM183" s="3409">
        <f>IF(CM185=0,0,(CM184*CM185+CM186*CM187*6)/CM185)</f>
        <v>0</v>
      </c>
      <c r="CN183" s="1078">
        <f>IF(CL183=0,0,(CM183-CL183)/CL183*100)</f>
        <v>0</v>
      </c>
      <c r="CO183" s="3409">
        <f>IF(CO185=0,0,(CO184*CO185+CO186*CO187*6)/CO185)</f>
        <v>0</v>
      </c>
      <c r="CP183" s="3409">
        <f>IF(CP185=0,0,(CP184*CP185+CP186*CP187*6)/CP185)</f>
        <v>0</v>
      </c>
      <c r="CQ183" s="1078">
        <f>IF(CO183=0,0,(CP183-CO183)/CO183*100)</f>
        <v>0</v>
      </c>
      <c r="CR183" s="3409">
        <f>IF(CR185=0,0,(CR184*CR185+CR186*CR187*6)/CR185)</f>
        <v>0</v>
      </c>
      <c r="CS183" s="3409">
        <f>IF(CS185=0,0,(CS184*CS185+CS186*CS187*6)/CS185)</f>
        <v>0</v>
      </c>
      <c r="CT183" s="1078">
        <f>IF(CR183=0,0,(CS183-CR183)/CR183*100)</f>
        <v>0</v>
      </c>
      <c r="CU183" s="3409">
        <f>IF(CU185=0,0,(CU184*CU185+CU186*CU187*6)/CU185)</f>
        <v>0</v>
      </c>
      <c r="CV183" s="3409">
        <f>IF(CV185=0,0,(CV184*CV185+CV186*CV187*6)/CV185)</f>
        <v>0</v>
      </c>
      <c r="CW183" s="1078">
        <f>IF(CU183=0,0,(CV183-CU183)/CU183*100)</f>
        <v>0</v>
      </c>
      <c r="CX183" s="3409">
        <f>IF(CX185=0,0,(CX184*CX185+CX186*CX187*6)/CX185)</f>
        <v>0</v>
      </c>
      <c r="CY183" s="3409">
        <f>IF(CY185=0,0,(CY184*CY185+CY186*CY187*6)/CY185)</f>
        <v>0</v>
      </c>
      <c r="CZ183" s="1078">
        <f>IF(CX183=0,0,(CY183-CX183)/CX183*100)</f>
        <v>0</v>
      </c>
      <c r="DA183" s="3409">
        <f>IF(DA185=0,0,(DA184*DA185+DA186*DA187*6)/DA185)</f>
        <v>0</v>
      </c>
      <c r="DB183" s="3409">
        <f>IF(DB185=0,0,(DB184*DB185+DB186*DB187*6)/DB185)</f>
        <v>0</v>
      </c>
      <c r="DC183" s="1078">
        <f>IF(DA183=0,0,(DB183-DA183)/DA183*100)</f>
        <v>0</v>
      </c>
      <c r="DD183" s="3409">
        <f>IF(DD185=0,0,(DD184*DD185+DD186*DD187*6)/DD185)</f>
        <v>0</v>
      </c>
      <c r="DE183" s="3409">
        <f>IF(DE185=0,0,(DE184*DE185+DE186*DE187*6)/DE185)</f>
        <v>0</v>
      </c>
      <c r="DF183" s="1078">
        <f>IF(DD183=0,0,(DE183-DD183)/DD183*100)</f>
        <v>0</v>
      </c>
      <c r="DG183" s="3409">
        <f>IF(DG185=0,0,(DG184*DG185+DG186*DG187*6)/DG185)</f>
        <v>0</v>
      </c>
      <c r="DH183" s="3409">
        <f>IF(DH185=0,0,(DH184*DH185+DH186*DH187*6)/DH185)</f>
        <v>0</v>
      </c>
      <c r="DI183" s="1078">
        <f>IF(DG183=0,0,(DH183-DG183)/DG183*100)</f>
        <v>0</v>
      </c>
      <c r="DJ183" s="3409">
        <f>IF(DJ185=0,0,(DJ184*DJ185+DJ186*DJ187*6)/DJ185)</f>
        <v>0</v>
      </c>
      <c r="DK183" s="3409">
        <f>IF(DK185=0,0,(DK184*DK185+DK186*DK187*6)/DK185)</f>
        <v>0</v>
      </c>
      <c r="DL183" s="1078">
        <f>IF(DJ183=0,0,(DK183-DJ183)/DJ183*100)</f>
        <v>0</v>
      </c>
      <c r="DM183" s="3409">
        <f>IF(DM185=0,0,(DM184*DM185+DM186*DM187*6)/DM185)</f>
        <v>0</v>
      </c>
      <c r="DN183" s="3409">
        <f>IF(DN185=0,0,(DN184*DN185+DN186*DN187*6)/DN185)</f>
        <v>0</v>
      </c>
      <c r="DO183" s="1078">
        <f>IF(DM183=0,0,(DN183-DM183)/DM183*100)</f>
        <v>0</v>
      </c>
      <c r="DP183" s="3409">
        <f>IF(DP185=0,0,(DP184*DP185+DP186*DP187*6)/DP185)</f>
        <v>0</v>
      </c>
      <c r="DQ183" s="3409">
        <f>IF(DQ185=0,0,(DQ184*DQ185+DQ186*DQ187*6)/DQ185)</f>
        <v>0</v>
      </c>
      <c r="DR183" s="1078">
        <f>IF(DP183=0,0,(DQ183-DP183)/DP183*100)</f>
        <v>0</v>
      </c>
      <c r="DS183" s="3409">
        <f>IF(DS185=0,0,(DS184*DS185+DS186*DS187*6)/DS185)</f>
        <v>0</v>
      </c>
      <c r="DT183" s="3409">
        <f>IF(DT185=0,0,(DT184*DT185+DT186*DT187*6)/DT185)</f>
        <v>0</v>
      </c>
      <c r="DU183" s="1078">
        <f>IF(DS183=0,0,(DT183-DS183)/DS183*100)</f>
        <v>0</v>
      </c>
      <c r="DV183" s="3409">
        <f>IF(DV185=0,0,(DV184*DV185+DV186*DV187*6)/DV185)</f>
        <v>0</v>
      </c>
      <c r="DW183" s="3409">
        <f>IF(DW185=0,0,(DW184*DW185+DW186*DW187*6)/DW185)</f>
        <v>0</v>
      </c>
      <c r="DX183" s="1078">
        <f>IF(DV183=0,0,(DW183-DV183)/DV183*100)</f>
        <v>0</v>
      </c>
      <c r="DY183" s="3409">
        <f>IF(DY185=0,0,(DY184*DY185+DY186*DY187*6)/DY185)</f>
        <v>0</v>
      </c>
      <c r="DZ183" s="3409">
        <f>IF(DZ185=0,0,(DZ184*DZ185+DZ186*DZ187*6)/DZ185)</f>
        <v>0</v>
      </c>
      <c r="EA183" s="1078">
        <f>IF(DY183=0,0,(DZ183-DY183)/DY183*100)</f>
        <v>0</v>
      </c>
      <c r="EB183" s="3409">
        <f>IF(EB185=0,0,(EB184*EB185+EB186*EB187*6)/EB185)</f>
        <v>0</v>
      </c>
      <c r="EC183" s="3409">
        <f>IF(EC185=0,0,(EC184*EC185+EC186*EC187*6)/EC185)</f>
        <v>0</v>
      </c>
      <c r="ED183" s="1078">
        <f>IF(EB183=0,0,(EC183-EB183)/EB183*100)</f>
        <v>0</v>
      </c>
      <c r="EE183" s="3409">
        <f>IF(EE185=0,0,(EE184*EE185+EE186*EE187*6)/EE185)</f>
        <v>0</v>
      </c>
      <c r="EF183" s="3409">
        <f>IF(EF185=0,0,(EF184*EF185+EF186*EF187*6)/EF185)</f>
        <v>0</v>
      </c>
      <c r="EG183" s="1078">
        <f>IF(EE183=0,0,(EF183-EE183)/EE183*100)</f>
        <v>0</v>
      </c>
      <c r="EH183" s="3409">
        <f>IF(EH185=0,0,(EH184*EH185+EH186*EH187*6)/EH185)</f>
        <v>0</v>
      </c>
      <c r="EI183" s="3409">
        <f>IF(EI185=0,0,(EI184*EI185+EI186*EI187*6)/EI185)</f>
        <v>0</v>
      </c>
      <c r="EJ183" s="1078">
        <f>IF(EH183=0,0,(EI183-EH183)/EH183*100)</f>
        <v>0</v>
      </c>
      <c r="EK183" s="3409">
        <f>IF(EK185=0,0,(EK184*EK185+EK186*EK187*6)/EK185)</f>
        <v>0</v>
      </c>
      <c r="EL183" s="3409">
        <f>IF(EL185=0,0,(EL184*EL185+EL186*EL187*6)/EL185)</f>
        <v>0</v>
      </c>
      <c r="EM183" s="1078">
        <f>IF(EK183=0,0,(EL183-EK183)/EK183*100)</f>
        <v>0</v>
      </c>
      <c r="EN183" s="3409">
        <f>IF(EN185=0,0,(EN184*EN185+EN186*EN187*6)/EN185)</f>
        <v>0</v>
      </c>
      <c r="EO183" s="3409">
        <f>IF(EO185=0,0,(EO184*EO185+EO186*EO187*6)/EO185)</f>
        <v>0</v>
      </c>
      <c r="EP183" s="1078">
        <f>IF(EN183=0,0,(EO183-EN183)/EN183*100)</f>
        <v>0</v>
      </c>
      <c r="EQ183" s="3409">
        <f>IF(EQ185=0,0,(EQ184*EQ185+EQ186*EQ187*6)/EQ185)</f>
        <v>0</v>
      </c>
      <c r="ER183" s="3409">
        <f>IF(ER185=0,0,(ER184*ER185+ER186*ER187*6)/ER185)</f>
        <v>0</v>
      </c>
      <c r="ES183" s="1078">
        <f>IF(EQ183=0,0,(ER183-EQ183)/EQ183*100)</f>
        <v>0</v>
      </c>
      <c r="ET183" s="3409">
        <f>IF(ET185=0,0,(ET184*ET185+ET186*ET187*6)/ET185)</f>
        <v>0</v>
      </c>
      <c r="EU183" s="3409">
        <f>IF(EU185=0,0,(EU184*EU185+EU186*EU187*6)/EU185)</f>
        <v>0</v>
      </c>
      <c r="EV183" s="1078">
        <f>IF(ET183=0,0,(EU183-ET183)/ET183*100)</f>
        <v>0</v>
      </c>
      <c r="EW183" s="3409">
        <f>IF(EW185=0,0,(EW184*EW185+EW186*EW187*6)/EW185)</f>
        <v>0</v>
      </c>
      <c r="EX183" s="3409">
        <f>IF(EX185=0,0,(EX184*EX185+EX186*EX187*6)/EX185)</f>
        <v>0</v>
      </c>
      <c r="EY183" s="1078">
        <f>IF(EW183=0,0,(EX183-EW183)/EW183*100)</f>
        <v>0</v>
      </c>
      <c r="EZ183" s="3409">
        <f>IF(EZ185=0,0,(EZ184*EZ185+EZ186*EZ187*6)/EZ185)</f>
        <v>0</v>
      </c>
      <c r="FA183" s="3409">
        <f>IF(FA185=0,0,(FA184*FA185+FA186*FA187*6)/FA185)</f>
        <v>0</v>
      </c>
      <c r="FB183" s="1078">
        <f>IF(EZ183=0,0,(FA183-EZ183)/EZ183*100)</f>
        <v>0</v>
      </c>
      <c r="FC183" s="3409">
        <f>IF(FC185=0,0,(FC184*FC185+FC186*FC187*6)/FC185)</f>
        <v>0</v>
      </c>
      <c r="FD183" s="3409">
        <f>IF(FD185=0,0,(FD184*FD185+FD186*FD187*6)/FD185)</f>
        <v>0</v>
      </c>
      <c r="FE183" s="1078">
        <f>IF(FC183=0,0,(FD183-FC183)/FC183*100)</f>
        <v>0</v>
      </c>
      <c r="FF183" s="3409">
        <f>IF(FF185=0,0,(FF184*FF185+FF186*FF187*6)/FF185)</f>
        <v>0</v>
      </c>
      <c r="FG183" s="3409">
        <f>IF(FG185=0,0,(FG184*FG185+FG186*FG187*6)/FG185)</f>
        <v>0</v>
      </c>
      <c r="FH183" s="1078">
        <f>IF(FF183=0,0,(FG183-FF183)/FF183*100)</f>
        <v>0</v>
      </c>
      <c r="FI183" s="3409">
        <f>IF(FI185=0,0,(FI184*FI185+FI186*FI187*6)/FI185)</f>
        <v>0</v>
      </c>
      <c r="FJ183" s="3409">
        <f>IF(FJ185=0,0,(FJ184*FJ185+FJ186*FJ187*6)/FJ185)</f>
        <v>0</v>
      </c>
      <c r="FK183" s="1078">
        <f>IF(FI183=0,0,(FJ183-FI183)/FI183*100)</f>
        <v>0</v>
      </c>
      <c r="FL183" s="3409">
        <f>IF(FL185=0,0,(FL184*FL185+FL186*FL187*6)/FL185)</f>
        <v>0</v>
      </c>
      <c r="FM183" s="3409">
        <f>IF(FM185=0,0,(FM184*FM185+FM186*FM187*6)/FM185)</f>
        <v>0</v>
      </c>
      <c r="FN183" s="1078">
        <f>IF(FL183=0,0,(FM183-FL183)/FL183*100)</f>
        <v>0</v>
      </c>
      <c r="FO183" s="3409">
        <f>IF(FO185=0,0,(FO184*FO185+FO186*FO187*6)/FO185)</f>
        <v>0</v>
      </c>
      <c r="FP183" s="3409">
        <f>IF(FP185=0,0,(FP184*FP185+FP186*FP187*6)/FP185)</f>
        <v>0</v>
      </c>
      <c r="FQ183" s="1078">
        <f>IF(FO183=0,0,(FP183-FO183)/FO183*100)</f>
        <v>0</v>
      </c>
      <c r="FR183" s="3409">
        <f>IF(FR185=0,0,(FR184*FR185+FR186*FR187*6)/FR185)</f>
        <v>0</v>
      </c>
      <c r="FS183" s="3409">
        <f>IF(FS185=0,0,(FS184*FS185+FS186*FS187*6)/FS185)</f>
        <v>0</v>
      </c>
      <c r="FT183" s="1078">
        <f>IF(FR183=0,0,(FS183-FR183)/FR183*100)</f>
        <v>0</v>
      </c>
      <c r="FU183" s="3409">
        <f>IF(FU185=0,0,(FU184*FU185+FU186*FU187*6)/FU185)</f>
        <v>0</v>
      </c>
      <c r="FV183" s="3409">
        <f>IF(FV185=0,0,(FV184*FV185+FV186*FV187*6)/FV185)</f>
        <v>0</v>
      </c>
      <c r="FW183" s="1078">
        <f>IF(FU183=0,0,(FV183-FU183)/FU183*100)</f>
        <v>0</v>
      </c>
      <c r="FX183" s="676"/>
      <c r="FY183" s="676"/>
      <c r="FZ183" s="1039" t="s">
        <v>1561</v>
      </c>
      <c r="GA183" s="998" t="s">
        <v>813</v>
      </c>
      <c r="GB183" s="1041" cm="1" t="str">
        <f t="array" ref="GB183:GB183">AB182</f>
        <v>0</v>
      </c>
      <c r="GC183" s="697"/>
      <c r="GD183" s="697"/>
    </row>
    <row s="1621" customFormat="1" customHeight="1" ht="14.25" hidden="1">
      <c r="A184" s="467"/>
      <c r="B184" s="907" cm="1" t="str">
        <f t="array" ref="B184:B184">B183</f>
        <v>false</v>
      </c>
      <c r="C184" s="467"/>
      <c r="D184" s="467"/>
      <c r="E184" s="822">
        <v>15</v>
      </c>
      <c r="F184" s="50" cm="1" t="str">
        <f t="array" ref="F184:F184">OFFSET(E184,-1,1)</f>
        <v>2</v>
      </c>
      <c r="G184" s="467"/>
      <c r="H184" s="467" t="s">
        <v>1449</v>
      </c>
      <c r="I184" s="467" cm="1" t="str">
        <f t="array" ref="I184:I184">I183</f>
        <v>0</v>
      </c>
      <c r="J184" s="467"/>
      <c r="K184" s="467"/>
      <c r="L184" s="467"/>
      <c r="M184" s="467"/>
      <c r="N184" s="467"/>
      <c r="O184" s="467"/>
      <c r="P184" s="467"/>
      <c r="Q184" s="467"/>
      <c r="R184" s="467"/>
      <c r="S184" s="467"/>
      <c r="T184" s="439" cm="1" t="str">
        <f t="array" ref="T184:T184">T183</f>
        <v>false</v>
      </c>
      <c r="U184" s="467"/>
      <c r="V184" s="467"/>
      <c r="W184" s="467"/>
      <c r="X184" s="1534"/>
      <c r="Y184" s="1534"/>
      <c r="Z184" s="1464"/>
      <c r="AA184" s="1413"/>
      <c r="AB184" s="886" t="str">
        <f>"ставка платы за "&amp;IF(Q141="Водоснабжение","потребление 1 куб.м холодной воды","объем принятых сточных вод")</f>
        <v>ставка платы за объем принятых сточных вод</v>
      </c>
      <c r="AC184" s="846" t="s">
        <v>1494</v>
      </c>
      <c r="AD184" s="3409"/>
      <c r="AE184" s="3409"/>
      <c r="AF184" s="1078">
        <f>IF(AD184=0,0,(AE184-AD184)/AD184*100)</f>
        <v>0</v>
      </c>
      <c r="AG184" s="3409"/>
      <c r="AH184" s="3409"/>
      <c r="AI184" s="1078">
        <f>IF(AG184=0,0,(AH184-AG184)/AG184*100)</f>
        <v>0</v>
      </c>
      <c r="AJ184" s="3409"/>
      <c r="AK184" s="3409"/>
      <c r="AL184" s="1078">
        <f>IF(AJ184=0,0,(AK184-AJ184)/AJ184*100)</f>
        <v>0</v>
      </c>
      <c r="AM184" s="3409"/>
      <c r="AN184" s="3409"/>
      <c r="AO184" s="1078">
        <f>IF(AM184=0,0,(AN184-AM184)/AM184*100)</f>
        <v>0</v>
      </c>
      <c r="AP184" s="3409"/>
      <c r="AQ184" s="3409"/>
      <c r="AR184" s="1078">
        <f>IF(AP184=0,0,(AQ184-AP184)/AP184*100)</f>
        <v>0</v>
      </c>
      <c r="AS184" s="3409"/>
      <c r="AT184" s="3409"/>
      <c r="AU184" s="1078">
        <f>IF(AS184=0,0,(AT184-AS184)/AS184*100)</f>
        <v>0</v>
      </c>
      <c r="AV184" s="3409"/>
      <c r="AW184" s="3409"/>
      <c r="AX184" s="1078">
        <f>IF(AV184=0,0,(AW184-AV184)/AV184*100)</f>
        <v>0</v>
      </c>
      <c r="AY184" s="3409"/>
      <c r="AZ184" s="3409"/>
      <c r="BA184" s="1078">
        <f>IF(AY184=0,0,(AZ184-AY184)/AY184*100)</f>
        <v>0</v>
      </c>
      <c r="BB184" s="3409"/>
      <c r="BC184" s="3409"/>
      <c r="BD184" s="1078">
        <f>IF(BB184=0,0,(BC184-BB184)/BB184*100)</f>
        <v>0</v>
      </c>
      <c r="BE184" s="3409"/>
      <c r="BF184" s="3409"/>
      <c r="BG184" s="1078">
        <f>IF(BE184=0,0,(BF184-BE184)/BE184*100)</f>
        <v>0</v>
      </c>
      <c r="BH184" s="3409"/>
      <c r="BI184" s="3409"/>
      <c r="BJ184" s="1078">
        <f>IF(BH184=0,0,(BI184-BH184)/BH184*100)</f>
        <v>0</v>
      </c>
      <c r="BK184" s="3409"/>
      <c r="BL184" s="3409"/>
      <c r="BM184" s="1078">
        <f>IF(BK184=0,0,(BL184-BK184)/BK184*100)</f>
        <v>0</v>
      </c>
      <c r="BN184" s="3409"/>
      <c r="BO184" s="3409"/>
      <c r="BP184" s="1078">
        <f>IF(BN184=0,0,(BO184-BN184)/BN184*100)</f>
        <v>0</v>
      </c>
      <c r="BQ184" s="3409"/>
      <c r="BR184" s="3409"/>
      <c r="BS184" s="1078">
        <f>IF(BQ184=0,0,(BR184-BQ184)/BQ184*100)</f>
        <v>0</v>
      </c>
      <c r="BT184" s="3409"/>
      <c r="BU184" s="3409"/>
      <c r="BV184" s="1078">
        <f>IF(BT184=0,0,(BU184-BT184)/BT184*100)</f>
        <v>0</v>
      </c>
      <c r="BW184" s="3409"/>
      <c r="BX184" s="3409"/>
      <c r="BY184" s="1078">
        <f>IF(BW184=0,0,(BX184-BW184)/BW184*100)</f>
        <v>0</v>
      </c>
      <c r="BZ184" s="3409"/>
      <c r="CA184" s="3409"/>
      <c r="CB184" s="1078">
        <f>IF(BZ184=0,0,(CA184-BZ184)/BZ184*100)</f>
        <v>0</v>
      </c>
      <c r="CC184" s="3409"/>
      <c r="CD184" s="3409"/>
      <c r="CE184" s="1078">
        <f>IF(CC184=0,0,(CD184-CC184)/CC184*100)</f>
        <v>0</v>
      </c>
      <c r="CF184" s="3409"/>
      <c r="CG184" s="3409"/>
      <c r="CH184" s="1078">
        <f>IF(CF184=0,0,(CG184-CF184)/CF184*100)</f>
        <v>0</v>
      </c>
      <c r="CI184" s="3409"/>
      <c r="CJ184" s="3409"/>
      <c r="CK184" s="1078">
        <f>IF(CI184=0,0,(CJ184-CI184)/CI184*100)</f>
        <v>0</v>
      </c>
      <c r="CL184" s="3409"/>
      <c r="CM184" s="3409"/>
      <c r="CN184" s="1078">
        <f>IF(CL184=0,0,(CM184-CL184)/CL184*100)</f>
        <v>0</v>
      </c>
      <c r="CO184" s="3409"/>
      <c r="CP184" s="3409"/>
      <c r="CQ184" s="1078">
        <f>IF(CO184=0,0,(CP184-CO184)/CO184*100)</f>
        <v>0</v>
      </c>
      <c r="CR184" s="3409"/>
      <c r="CS184" s="3409"/>
      <c r="CT184" s="1078">
        <f>IF(CR184=0,0,(CS184-CR184)/CR184*100)</f>
        <v>0</v>
      </c>
      <c r="CU184" s="3409"/>
      <c r="CV184" s="3409"/>
      <c r="CW184" s="1078">
        <f>IF(CU184=0,0,(CV184-CU184)/CU184*100)</f>
        <v>0</v>
      </c>
      <c r="CX184" s="3409"/>
      <c r="CY184" s="3409"/>
      <c r="CZ184" s="1078">
        <f>IF(CX184=0,0,(CY184-CX184)/CX184*100)</f>
        <v>0</v>
      </c>
      <c r="DA184" s="3409"/>
      <c r="DB184" s="3409"/>
      <c r="DC184" s="1078">
        <f>IF(DA184=0,0,(DB184-DA184)/DA184*100)</f>
        <v>0</v>
      </c>
      <c r="DD184" s="3409"/>
      <c r="DE184" s="3409"/>
      <c r="DF184" s="1078">
        <f>IF(DD184=0,0,(DE184-DD184)/DD184*100)</f>
        <v>0</v>
      </c>
      <c r="DG184" s="3409"/>
      <c r="DH184" s="3409"/>
      <c r="DI184" s="1078">
        <f>IF(DG184=0,0,(DH184-DG184)/DG184*100)</f>
        <v>0</v>
      </c>
      <c r="DJ184" s="3409"/>
      <c r="DK184" s="3409"/>
      <c r="DL184" s="1078">
        <f>IF(DJ184=0,0,(DK184-DJ184)/DJ184*100)</f>
        <v>0</v>
      </c>
      <c r="DM184" s="3409"/>
      <c r="DN184" s="3409"/>
      <c r="DO184" s="1078">
        <f>IF(DM184=0,0,(DN184-DM184)/DM184*100)</f>
        <v>0</v>
      </c>
      <c r="DP184" s="3409"/>
      <c r="DQ184" s="3409"/>
      <c r="DR184" s="1078">
        <f>IF(DP184=0,0,(DQ184-DP184)/DP184*100)</f>
        <v>0</v>
      </c>
      <c r="DS184" s="3409"/>
      <c r="DT184" s="3409"/>
      <c r="DU184" s="1078">
        <f>IF(DS184=0,0,(DT184-DS184)/DS184*100)</f>
        <v>0</v>
      </c>
      <c r="DV184" s="3409"/>
      <c r="DW184" s="3409"/>
      <c r="DX184" s="1078">
        <f>IF(DV184=0,0,(DW184-DV184)/DV184*100)</f>
        <v>0</v>
      </c>
      <c r="DY184" s="3409"/>
      <c r="DZ184" s="3409"/>
      <c r="EA184" s="1078">
        <f>IF(DY184=0,0,(DZ184-DY184)/DY184*100)</f>
        <v>0</v>
      </c>
      <c r="EB184" s="3409"/>
      <c r="EC184" s="3409"/>
      <c r="ED184" s="1078">
        <f>IF(EB184=0,0,(EC184-EB184)/EB184*100)</f>
        <v>0</v>
      </c>
      <c r="EE184" s="3409"/>
      <c r="EF184" s="3409"/>
      <c r="EG184" s="1078">
        <f>IF(EE184=0,0,(EF184-EE184)/EE184*100)</f>
        <v>0</v>
      </c>
      <c r="EH184" s="3409"/>
      <c r="EI184" s="3409"/>
      <c r="EJ184" s="1078">
        <f>IF(EH184=0,0,(EI184-EH184)/EH184*100)</f>
        <v>0</v>
      </c>
      <c r="EK184" s="3409"/>
      <c r="EL184" s="3409"/>
      <c r="EM184" s="1078">
        <f>IF(EK184=0,0,(EL184-EK184)/EK184*100)</f>
        <v>0</v>
      </c>
      <c r="EN184" s="3409"/>
      <c r="EO184" s="3409"/>
      <c r="EP184" s="1078">
        <f>IF(EN184=0,0,(EO184-EN184)/EN184*100)</f>
        <v>0</v>
      </c>
      <c r="EQ184" s="3409"/>
      <c r="ER184" s="3409"/>
      <c r="ES184" s="1078">
        <f>IF(EQ184=0,0,(ER184-EQ184)/EQ184*100)</f>
        <v>0</v>
      </c>
      <c r="ET184" s="3409"/>
      <c r="EU184" s="3409"/>
      <c r="EV184" s="1078">
        <f>IF(ET184=0,0,(EU184-ET184)/ET184*100)</f>
        <v>0</v>
      </c>
      <c r="EW184" s="3409"/>
      <c r="EX184" s="3409"/>
      <c r="EY184" s="1078">
        <f>IF(EW184=0,0,(EX184-EW184)/EW184*100)</f>
        <v>0</v>
      </c>
      <c r="EZ184" s="3409"/>
      <c r="FA184" s="3409"/>
      <c r="FB184" s="1078">
        <f>IF(EZ184=0,0,(FA184-EZ184)/EZ184*100)</f>
        <v>0</v>
      </c>
      <c r="FC184" s="3409"/>
      <c r="FD184" s="3409"/>
      <c r="FE184" s="1078">
        <f>IF(FC184=0,0,(FD184-FC184)/FC184*100)</f>
        <v>0</v>
      </c>
      <c r="FF184" s="3409"/>
      <c r="FG184" s="3409"/>
      <c r="FH184" s="1078">
        <f>IF(FF184=0,0,(FG184-FF184)/FF184*100)</f>
        <v>0</v>
      </c>
      <c r="FI184" s="3409"/>
      <c r="FJ184" s="3409"/>
      <c r="FK184" s="1078">
        <f>IF(FI184=0,0,(FJ184-FI184)/FI184*100)</f>
        <v>0</v>
      </c>
      <c r="FL184" s="3409"/>
      <c r="FM184" s="3409"/>
      <c r="FN184" s="1078">
        <f>IF(FL184=0,0,(FM184-FL184)/FL184*100)</f>
        <v>0</v>
      </c>
      <c r="FO184" s="3409"/>
      <c r="FP184" s="3409"/>
      <c r="FQ184" s="1078">
        <f>IF(FO184=0,0,(FP184-FO184)/FO184*100)</f>
        <v>0</v>
      </c>
      <c r="FR184" s="3409"/>
      <c r="FS184" s="3409"/>
      <c r="FT184" s="1078">
        <f>IF(FR184=0,0,(FS184-FR184)/FR184*100)</f>
        <v>0</v>
      </c>
      <c r="FU184" s="3409"/>
      <c r="FV184" s="3409"/>
      <c r="FW184" s="1078">
        <f>IF(FU184=0,0,(FV184-FU184)/FU184*100)</f>
        <v>0</v>
      </c>
      <c r="FX184" s="676"/>
      <c r="FY184" s="676"/>
      <c r="FZ184" s="1039" t="s">
        <v>1562</v>
      </c>
      <c r="GA184" s="998" t="s">
        <v>813</v>
      </c>
      <c r="GB184" s="998" cm="1" t="str">
        <f t="array" ref="GB184:GB184">GB183</f>
        <v>0</v>
      </c>
      <c r="GC184" s="697"/>
      <c r="GD184" s="697"/>
    </row>
    <row s="1621" customFormat="1" customHeight="1" ht="14.25" hidden="1">
      <c r="A185" s="467"/>
      <c r="B185" s="907" cm="1" t="str">
        <f t="array" ref="B185:B185">B184</f>
        <v>false</v>
      </c>
      <c r="C185" s="467"/>
      <c r="D185" s="467"/>
      <c r="E185" s="822">
        <v>15</v>
      </c>
      <c r="F185" s="50" cm="1" t="str">
        <f t="array" ref="F185:F185">OFFSET(E185,-1,1)</f>
        <v>2</v>
      </c>
      <c r="G185" s="467"/>
      <c r="H185" s="467" t="s">
        <v>1531</v>
      </c>
      <c r="I185" s="467" cm="1" t="str">
        <f t="array" ref="I185:I185">I184</f>
        <v>0</v>
      </c>
      <c r="J185" s="467"/>
      <c r="K185" s="467"/>
      <c r="L185" s="467"/>
      <c r="M185" s="467"/>
      <c r="N185" s="467"/>
      <c r="O185" s="467"/>
      <c r="P185" s="467"/>
      <c r="Q185" s="467"/>
      <c r="R185" s="467"/>
      <c r="S185" s="467"/>
      <c r="T185" s="439" cm="1" t="str">
        <f t="array" ref="T185:T185">T184</f>
        <v>false</v>
      </c>
      <c r="U185" s="467"/>
      <c r="V185" s="467"/>
      <c r="W185" s="467"/>
      <c r="X185" s="1534"/>
      <c r="Y185" s="1534"/>
      <c r="Z185" s="1464"/>
      <c r="AA185" s="1413"/>
      <c r="AB185" s="886" t="str">
        <f>"объём "&amp;IF(Q141="Водоснабжение","потребления холодной воды","водоотведения")</f>
        <v>объём водоотведения</v>
      </c>
      <c r="AC185" s="846" t="s">
        <v>512</v>
      </c>
      <c r="AD185" s="3404"/>
      <c r="AE185" s="3404"/>
      <c r="AF185" s="1080">
        <f>IF(AD185=0,0,(AE185-AD185)/AD185*100)</f>
        <v>0</v>
      </c>
      <c r="AG185" s="3404"/>
      <c r="AH185" s="3404"/>
      <c r="AI185" s="1080">
        <f>IF(AG185=0,0,(AH185-AG185)/AG185*100)</f>
        <v>0</v>
      </c>
      <c r="AJ185" s="3404"/>
      <c r="AK185" s="3404"/>
      <c r="AL185" s="1080">
        <f>IF(AJ185=0,0,(AK185-AJ185)/AJ185*100)</f>
        <v>0</v>
      </c>
      <c r="AM185" s="3404"/>
      <c r="AN185" s="3404"/>
      <c r="AO185" s="1080">
        <f>IF(AM185=0,0,(AN185-AM185)/AM185*100)</f>
        <v>0</v>
      </c>
      <c r="AP185" s="3404"/>
      <c r="AQ185" s="3404"/>
      <c r="AR185" s="1080">
        <f>IF(AP185=0,0,(AQ185-AP185)/AP185*100)</f>
        <v>0</v>
      </c>
      <c r="AS185" s="3404"/>
      <c r="AT185" s="3404"/>
      <c r="AU185" s="1080">
        <f>IF(AS185=0,0,(AT185-AS185)/AS185*100)</f>
        <v>0</v>
      </c>
      <c r="AV185" s="3404"/>
      <c r="AW185" s="3404"/>
      <c r="AX185" s="1080">
        <f>IF(AV185=0,0,(AW185-AV185)/AV185*100)</f>
        <v>0</v>
      </c>
      <c r="AY185" s="3404"/>
      <c r="AZ185" s="3404"/>
      <c r="BA185" s="1080">
        <f>IF(AY185=0,0,(AZ185-AY185)/AY185*100)</f>
        <v>0</v>
      </c>
      <c r="BB185" s="3404"/>
      <c r="BC185" s="3404"/>
      <c r="BD185" s="1080">
        <f>IF(BB185=0,0,(BC185-BB185)/BB185*100)</f>
        <v>0</v>
      </c>
      <c r="BE185" s="3404"/>
      <c r="BF185" s="3404"/>
      <c r="BG185" s="1080">
        <f>IF(BE185=0,0,(BF185-BE185)/BE185*100)</f>
        <v>0</v>
      </c>
      <c r="BH185" s="3404"/>
      <c r="BI185" s="3404"/>
      <c r="BJ185" s="1080">
        <f>IF(BH185=0,0,(BI185-BH185)/BH185*100)</f>
        <v>0</v>
      </c>
      <c r="BK185" s="3404"/>
      <c r="BL185" s="3404"/>
      <c r="BM185" s="1080">
        <f>IF(BK185=0,0,(BL185-BK185)/BK185*100)</f>
        <v>0</v>
      </c>
      <c r="BN185" s="3404"/>
      <c r="BO185" s="3404"/>
      <c r="BP185" s="1080">
        <f>IF(BN185=0,0,(BO185-BN185)/BN185*100)</f>
        <v>0</v>
      </c>
      <c r="BQ185" s="3404"/>
      <c r="BR185" s="3404"/>
      <c r="BS185" s="1080">
        <f>IF(BQ185=0,0,(BR185-BQ185)/BQ185*100)</f>
        <v>0</v>
      </c>
      <c r="BT185" s="3404"/>
      <c r="BU185" s="3404"/>
      <c r="BV185" s="1080">
        <f>IF(BT185=0,0,(BU185-BT185)/BT185*100)</f>
        <v>0</v>
      </c>
      <c r="BW185" s="3404"/>
      <c r="BX185" s="3404"/>
      <c r="BY185" s="1080">
        <f>IF(BW185=0,0,(BX185-BW185)/BW185*100)</f>
        <v>0</v>
      </c>
      <c r="BZ185" s="3404"/>
      <c r="CA185" s="3404"/>
      <c r="CB185" s="1080">
        <f>IF(BZ185=0,0,(CA185-BZ185)/BZ185*100)</f>
        <v>0</v>
      </c>
      <c r="CC185" s="3404"/>
      <c r="CD185" s="3404"/>
      <c r="CE185" s="1080">
        <f>IF(CC185=0,0,(CD185-CC185)/CC185*100)</f>
        <v>0</v>
      </c>
      <c r="CF185" s="3404"/>
      <c r="CG185" s="3404"/>
      <c r="CH185" s="1080">
        <f>IF(CF185=0,0,(CG185-CF185)/CF185*100)</f>
        <v>0</v>
      </c>
      <c r="CI185" s="3404"/>
      <c r="CJ185" s="3404"/>
      <c r="CK185" s="1080">
        <f>IF(CI185=0,0,(CJ185-CI185)/CI185*100)</f>
        <v>0</v>
      </c>
      <c r="CL185" s="3404"/>
      <c r="CM185" s="3404"/>
      <c r="CN185" s="1080">
        <f>IF(CL185=0,0,(CM185-CL185)/CL185*100)</f>
        <v>0</v>
      </c>
      <c r="CO185" s="3404"/>
      <c r="CP185" s="3404"/>
      <c r="CQ185" s="1080">
        <f>IF(CO185=0,0,(CP185-CO185)/CO185*100)</f>
        <v>0</v>
      </c>
      <c r="CR185" s="3404"/>
      <c r="CS185" s="3404"/>
      <c r="CT185" s="1080">
        <f>IF(CR185=0,0,(CS185-CR185)/CR185*100)</f>
        <v>0</v>
      </c>
      <c r="CU185" s="3404"/>
      <c r="CV185" s="3404"/>
      <c r="CW185" s="1080">
        <f>IF(CU185=0,0,(CV185-CU185)/CU185*100)</f>
        <v>0</v>
      </c>
      <c r="CX185" s="3404"/>
      <c r="CY185" s="3404"/>
      <c r="CZ185" s="1080">
        <f>IF(CX185=0,0,(CY185-CX185)/CX185*100)</f>
        <v>0</v>
      </c>
      <c r="DA185" s="3404"/>
      <c r="DB185" s="3404"/>
      <c r="DC185" s="1080">
        <f>IF(DA185=0,0,(DB185-DA185)/DA185*100)</f>
        <v>0</v>
      </c>
      <c r="DD185" s="3404"/>
      <c r="DE185" s="3404"/>
      <c r="DF185" s="1080">
        <f>IF(DD185=0,0,(DE185-DD185)/DD185*100)</f>
        <v>0</v>
      </c>
      <c r="DG185" s="3404"/>
      <c r="DH185" s="3404"/>
      <c r="DI185" s="1080">
        <f>IF(DG185=0,0,(DH185-DG185)/DG185*100)</f>
        <v>0</v>
      </c>
      <c r="DJ185" s="3404"/>
      <c r="DK185" s="3404"/>
      <c r="DL185" s="1080">
        <f>IF(DJ185=0,0,(DK185-DJ185)/DJ185*100)</f>
        <v>0</v>
      </c>
      <c r="DM185" s="3404"/>
      <c r="DN185" s="3404"/>
      <c r="DO185" s="1080">
        <f>IF(DM185=0,0,(DN185-DM185)/DM185*100)</f>
        <v>0</v>
      </c>
      <c r="DP185" s="3404"/>
      <c r="DQ185" s="3404"/>
      <c r="DR185" s="1080">
        <f>IF(DP185=0,0,(DQ185-DP185)/DP185*100)</f>
        <v>0</v>
      </c>
      <c r="DS185" s="3404"/>
      <c r="DT185" s="3404"/>
      <c r="DU185" s="1080">
        <f>IF(DS185=0,0,(DT185-DS185)/DS185*100)</f>
        <v>0</v>
      </c>
      <c r="DV185" s="3404"/>
      <c r="DW185" s="3404"/>
      <c r="DX185" s="1080">
        <f>IF(DV185=0,0,(DW185-DV185)/DV185*100)</f>
        <v>0</v>
      </c>
      <c r="DY185" s="3404"/>
      <c r="DZ185" s="3404"/>
      <c r="EA185" s="1080">
        <f>IF(DY185=0,0,(DZ185-DY185)/DY185*100)</f>
        <v>0</v>
      </c>
      <c r="EB185" s="3404"/>
      <c r="EC185" s="3404"/>
      <c r="ED185" s="1080">
        <f>IF(EB185=0,0,(EC185-EB185)/EB185*100)</f>
        <v>0</v>
      </c>
      <c r="EE185" s="3404"/>
      <c r="EF185" s="3404"/>
      <c r="EG185" s="1080">
        <f>IF(EE185=0,0,(EF185-EE185)/EE185*100)</f>
        <v>0</v>
      </c>
      <c r="EH185" s="3404"/>
      <c r="EI185" s="3404"/>
      <c r="EJ185" s="1080">
        <f>IF(EH185=0,0,(EI185-EH185)/EH185*100)</f>
        <v>0</v>
      </c>
      <c r="EK185" s="3404"/>
      <c r="EL185" s="3404"/>
      <c r="EM185" s="1080">
        <f>IF(EK185=0,0,(EL185-EK185)/EK185*100)</f>
        <v>0</v>
      </c>
      <c r="EN185" s="3404"/>
      <c r="EO185" s="3404"/>
      <c r="EP185" s="1080">
        <f>IF(EN185=0,0,(EO185-EN185)/EN185*100)</f>
        <v>0</v>
      </c>
      <c r="EQ185" s="3404"/>
      <c r="ER185" s="3404"/>
      <c r="ES185" s="1080">
        <f>IF(EQ185=0,0,(ER185-EQ185)/EQ185*100)</f>
        <v>0</v>
      </c>
      <c r="ET185" s="3404"/>
      <c r="EU185" s="3404"/>
      <c r="EV185" s="1080">
        <f>IF(ET185=0,0,(EU185-ET185)/ET185*100)</f>
        <v>0</v>
      </c>
      <c r="EW185" s="3404"/>
      <c r="EX185" s="3404"/>
      <c r="EY185" s="1080">
        <f>IF(EW185=0,0,(EX185-EW185)/EW185*100)</f>
        <v>0</v>
      </c>
      <c r="EZ185" s="3404"/>
      <c r="FA185" s="3404"/>
      <c r="FB185" s="1080">
        <f>IF(EZ185=0,0,(FA185-EZ185)/EZ185*100)</f>
        <v>0</v>
      </c>
      <c r="FC185" s="3404"/>
      <c r="FD185" s="3404"/>
      <c r="FE185" s="1080">
        <f>IF(FC185=0,0,(FD185-FC185)/FC185*100)</f>
        <v>0</v>
      </c>
      <c r="FF185" s="3404"/>
      <c r="FG185" s="3404"/>
      <c r="FH185" s="1080">
        <f>IF(FF185=0,0,(FG185-FF185)/FF185*100)</f>
        <v>0</v>
      </c>
      <c r="FI185" s="3404"/>
      <c r="FJ185" s="3404"/>
      <c r="FK185" s="1080">
        <f>IF(FI185=0,0,(FJ185-FI185)/FI185*100)</f>
        <v>0</v>
      </c>
      <c r="FL185" s="3404"/>
      <c r="FM185" s="3404"/>
      <c r="FN185" s="1080">
        <f>IF(FL185=0,0,(FM185-FL185)/FL185*100)</f>
        <v>0</v>
      </c>
      <c r="FO185" s="3404"/>
      <c r="FP185" s="3404"/>
      <c r="FQ185" s="1080">
        <f>IF(FO185=0,0,(FP185-FO185)/FO185*100)</f>
        <v>0</v>
      </c>
      <c r="FR185" s="3404"/>
      <c r="FS185" s="3404"/>
      <c r="FT185" s="1080">
        <f>IF(FR185=0,0,(FS185-FR185)/FR185*100)</f>
        <v>0</v>
      </c>
      <c r="FU185" s="3404"/>
      <c r="FV185" s="3404"/>
      <c r="FW185" s="1080">
        <f>IF(FU185=0,0,(FV185-FU185)/FU185*100)</f>
        <v>0</v>
      </c>
      <c r="FX185" s="676"/>
      <c r="FY185" s="676"/>
      <c r="FZ185" s="1039" t="s">
        <v>1563</v>
      </c>
      <c r="GA185" s="998" t="s">
        <v>813</v>
      </c>
      <c r="GB185" s="998" cm="1" t="str">
        <f t="array" ref="GB185:GB185">GB184</f>
        <v>0</v>
      </c>
      <c r="GC185" s="697"/>
      <c r="GD185" s="697"/>
    </row>
    <row s="1621" customFormat="1" customHeight="1" ht="21.75" hidden="1">
      <c r="A186" s="467"/>
      <c r="B186" s="907" cm="1" t="str">
        <f t="array" ref="B186:B186">B185</f>
        <v>false</v>
      </c>
      <c r="C186" s="467"/>
      <c r="D186" s="467"/>
      <c r="E186" s="822">
        <v>22.5</v>
      </c>
      <c r="F186" s="50" cm="1" t="str">
        <f t="array" ref="F186:F186">OFFSET(E186,-1,1)</f>
        <v>2</v>
      </c>
      <c r="G186" s="467"/>
      <c r="H186" s="467" t="s">
        <v>1533</v>
      </c>
      <c r="I186" s="467" cm="1" t="str">
        <f t="array" ref="I186:I186">I185</f>
        <v>0</v>
      </c>
      <c r="J186" s="467"/>
      <c r="K186" s="467"/>
      <c r="L186" s="467"/>
      <c r="M186" s="467"/>
      <c r="N186" s="467"/>
      <c r="O186" s="467"/>
      <c r="P186" s="467"/>
      <c r="Q186" s="467"/>
      <c r="R186" s="467"/>
      <c r="S186" s="467"/>
      <c r="T186" s="439" cm="1" t="str">
        <f t="array" ref="T186:T186">T185</f>
        <v>false</v>
      </c>
      <c r="U186" s="467"/>
      <c r="V186" s="467"/>
      <c r="W186" s="467"/>
      <c r="X186" s="1534"/>
      <c r="Y186" s="1534"/>
      <c r="Z186" s="1464"/>
      <c r="AA186" s="1413"/>
      <c r="AB186" s="88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846" t="s">
        <v>1534</v>
      </c>
      <c r="AD186" s="3409"/>
      <c r="AE186" s="3409"/>
      <c r="AF186" s="1078">
        <f>IF(AD186=0,0,(AE186-AD186)/AD186*100)</f>
        <v>0</v>
      </c>
      <c r="AG186" s="3409"/>
      <c r="AH186" s="3409"/>
      <c r="AI186" s="1078">
        <f>IF(AG186=0,0,(AH186-AG186)/AG186*100)</f>
        <v>0</v>
      </c>
      <c r="AJ186" s="3409"/>
      <c r="AK186" s="3409"/>
      <c r="AL186" s="1078">
        <f>IF(AJ186=0,0,(AK186-AJ186)/AJ186*100)</f>
        <v>0</v>
      </c>
      <c r="AM186" s="3409"/>
      <c r="AN186" s="3409"/>
      <c r="AO186" s="1078">
        <f>IF(AM186=0,0,(AN186-AM186)/AM186*100)</f>
        <v>0</v>
      </c>
      <c r="AP186" s="3409"/>
      <c r="AQ186" s="3409"/>
      <c r="AR186" s="1078">
        <f>IF(AP186=0,0,(AQ186-AP186)/AP186*100)</f>
        <v>0</v>
      </c>
      <c r="AS186" s="3409"/>
      <c r="AT186" s="3409"/>
      <c r="AU186" s="1078">
        <f>IF(AS186=0,0,(AT186-AS186)/AS186*100)</f>
        <v>0</v>
      </c>
      <c r="AV186" s="3409"/>
      <c r="AW186" s="3409"/>
      <c r="AX186" s="1078">
        <f>IF(AV186=0,0,(AW186-AV186)/AV186*100)</f>
        <v>0</v>
      </c>
      <c r="AY186" s="3409"/>
      <c r="AZ186" s="3409"/>
      <c r="BA186" s="1078">
        <f>IF(AY186=0,0,(AZ186-AY186)/AY186*100)</f>
        <v>0</v>
      </c>
      <c r="BB186" s="3409"/>
      <c r="BC186" s="3409"/>
      <c r="BD186" s="1078">
        <f>IF(BB186=0,0,(BC186-BB186)/BB186*100)</f>
        <v>0</v>
      </c>
      <c r="BE186" s="3409"/>
      <c r="BF186" s="3409"/>
      <c r="BG186" s="1078">
        <f>IF(BE186=0,0,(BF186-BE186)/BE186*100)</f>
        <v>0</v>
      </c>
      <c r="BH186" s="3409"/>
      <c r="BI186" s="3409"/>
      <c r="BJ186" s="1078">
        <f>IF(BH186=0,0,(BI186-BH186)/BH186*100)</f>
        <v>0</v>
      </c>
      <c r="BK186" s="3409"/>
      <c r="BL186" s="3409"/>
      <c r="BM186" s="1078">
        <f>IF(BK186=0,0,(BL186-BK186)/BK186*100)</f>
        <v>0</v>
      </c>
      <c r="BN186" s="3409"/>
      <c r="BO186" s="3409"/>
      <c r="BP186" s="1078">
        <f>IF(BN186=0,0,(BO186-BN186)/BN186*100)</f>
        <v>0</v>
      </c>
      <c r="BQ186" s="3409"/>
      <c r="BR186" s="3409"/>
      <c r="BS186" s="1078">
        <f>IF(BQ186=0,0,(BR186-BQ186)/BQ186*100)</f>
        <v>0</v>
      </c>
      <c r="BT186" s="3409"/>
      <c r="BU186" s="3409"/>
      <c r="BV186" s="1078">
        <f>IF(BT186=0,0,(BU186-BT186)/BT186*100)</f>
        <v>0</v>
      </c>
      <c r="BW186" s="3409"/>
      <c r="BX186" s="3409"/>
      <c r="BY186" s="1078">
        <f>IF(BW186=0,0,(BX186-BW186)/BW186*100)</f>
        <v>0</v>
      </c>
      <c r="BZ186" s="3409"/>
      <c r="CA186" s="3409"/>
      <c r="CB186" s="1078">
        <f>IF(BZ186=0,0,(CA186-BZ186)/BZ186*100)</f>
        <v>0</v>
      </c>
      <c r="CC186" s="3409"/>
      <c r="CD186" s="3409"/>
      <c r="CE186" s="1078">
        <f>IF(CC186=0,0,(CD186-CC186)/CC186*100)</f>
        <v>0</v>
      </c>
      <c r="CF186" s="3409"/>
      <c r="CG186" s="3409"/>
      <c r="CH186" s="1078">
        <f>IF(CF186=0,0,(CG186-CF186)/CF186*100)</f>
        <v>0</v>
      </c>
      <c r="CI186" s="3409"/>
      <c r="CJ186" s="3409"/>
      <c r="CK186" s="1078">
        <f>IF(CI186=0,0,(CJ186-CI186)/CI186*100)</f>
        <v>0</v>
      </c>
      <c r="CL186" s="3409"/>
      <c r="CM186" s="3409"/>
      <c r="CN186" s="1078">
        <f>IF(CL186=0,0,(CM186-CL186)/CL186*100)</f>
        <v>0</v>
      </c>
      <c r="CO186" s="3409"/>
      <c r="CP186" s="3409"/>
      <c r="CQ186" s="1078">
        <f>IF(CO186=0,0,(CP186-CO186)/CO186*100)</f>
        <v>0</v>
      </c>
      <c r="CR186" s="3409"/>
      <c r="CS186" s="3409"/>
      <c r="CT186" s="1078">
        <f>IF(CR186=0,0,(CS186-CR186)/CR186*100)</f>
        <v>0</v>
      </c>
      <c r="CU186" s="3409"/>
      <c r="CV186" s="3409"/>
      <c r="CW186" s="1078">
        <f>IF(CU186=0,0,(CV186-CU186)/CU186*100)</f>
        <v>0</v>
      </c>
      <c r="CX186" s="3409"/>
      <c r="CY186" s="3409"/>
      <c r="CZ186" s="1078">
        <f>IF(CX186=0,0,(CY186-CX186)/CX186*100)</f>
        <v>0</v>
      </c>
      <c r="DA186" s="3409"/>
      <c r="DB186" s="3409"/>
      <c r="DC186" s="1078">
        <f>IF(DA186=0,0,(DB186-DA186)/DA186*100)</f>
        <v>0</v>
      </c>
      <c r="DD186" s="3409"/>
      <c r="DE186" s="3409"/>
      <c r="DF186" s="1078">
        <f>IF(DD186=0,0,(DE186-DD186)/DD186*100)</f>
        <v>0</v>
      </c>
      <c r="DG186" s="3409"/>
      <c r="DH186" s="3409"/>
      <c r="DI186" s="1078">
        <f>IF(DG186=0,0,(DH186-DG186)/DG186*100)</f>
        <v>0</v>
      </c>
      <c r="DJ186" s="3409"/>
      <c r="DK186" s="3409"/>
      <c r="DL186" s="1078">
        <f>IF(DJ186=0,0,(DK186-DJ186)/DJ186*100)</f>
        <v>0</v>
      </c>
      <c r="DM186" s="3409"/>
      <c r="DN186" s="3409"/>
      <c r="DO186" s="1078">
        <f>IF(DM186=0,0,(DN186-DM186)/DM186*100)</f>
        <v>0</v>
      </c>
      <c r="DP186" s="3409"/>
      <c r="DQ186" s="3409"/>
      <c r="DR186" s="1078">
        <f>IF(DP186=0,0,(DQ186-DP186)/DP186*100)</f>
        <v>0</v>
      </c>
      <c r="DS186" s="3409"/>
      <c r="DT186" s="3409"/>
      <c r="DU186" s="1078">
        <f>IF(DS186=0,0,(DT186-DS186)/DS186*100)</f>
        <v>0</v>
      </c>
      <c r="DV186" s="3409"/>
      <c r="DW186" s="3409"/>
      <c r="DX186" s="1078">
        <f>IF(DV186=0,0,(DW186-DV186)/DV186*100)</f>
        <v>0</v>
      </c>
      <c r="DY186" s="3409"/>
      <c r="DZ186" s="3409"/>
      <c r="EA186" s="1078">
        <f>IF(DY186=0,0,(DZ186-DY186)/DY186*100)</f>
        <v>0</v>
      </c>
      <c r="EB186" s="3409"/>
      <c r="EC186" s="3409"/>
      <c r="ED186" s="1078">
        <f>IF(EB186=0,0,(EC186-EB186)/EB186*100)</f>
        <v>0</v>
      </c>
      <c r="EE186" s="3409"/>
      <c r="EF186" s="3409"/>
      <c r="EG186" s="1078">
        <f>IF(EE186=0,0,(EF186-EE186)/EE186*100)</f>
        <v>0</v>
      </c>
      <c r="EH186" s="3409"/>
      <c r="EI186" s="3409"/>
      <c r="EJ186" s="1078">
        <f>IF(EH186=0,0,(EI186-EH186)/EH186*100)</f>
        <v>0</v>
      </c>
      <c r="EK186" s="3409"/>
      <c r="EL186" s="3409"/>
      <c r="EM186" s="1078">
        <f>IF(EK186=0,0,(EL186-EK186)/EK186*100)</f>
        <v>0</v>
      </c>
      <c r="EN186" s="3409"/>
      <c r="EO186" s="3409"/>
      <c r="EP186" s="1078">
        <f>IF(EN186=0,0,(EO186-EN186)/EN186*100)</f>
        <v>0</v>
      </c>
      <c r="EQ186" s="3409"/>
      <c r="ER186" s="3409"/>
      <c r="ES186" s="1078">
        <f>IF(EQ186=0,0,(ER186-EQ186)/EQ186*100)</f>
        <v>0</v>
      </c>
      <c r="ET186" s="3409"/>
      <c r="EU186" s="3409"/>
      <c r="EV186" s="1078">
        <f>IF(ET186=0,0,(EU186-ET186)/ET186*100)</f>
        <v>0</v>
      </c>
      <c r="EW186" s="3409"/>
      <c r="EX186" s="3409"/>
      <c r="EY186" s="1078">
        <f>IF(EW186=0,0,(EX186-EW186)/EW186*100)</f>
        <v>0</v>
      </c>
      <c r="EZ186" s="3409"/>
      <c r="FA186" s="3409"/>
      <c r="FB186" s="1078">
        <f>IF(EZ186=0,0,(FA186-EZ186)/EZ186*100)</f>
        <v>0</v>
      </c>
      <c r="FC186" s="3409"/>
      <c r="FD186" s="3409"/>
      <c r="FE186" s="1078">
        <f>IF(FC186=0,0,(FD186-FC186)/FC186*100)</f>
        <v>0</v>
      </c>
      <c r="FF186" s="3409"/>
      <c r="FG186" s="3409"/>
      <c r="FH186" s="1078">
        <f>IF(FF186=0,0,(FG186-FF186)/FF186*100)</f>
        <v>0</v>
      </c>
      <c r="FI186" s="3409"/>
      <c r="FJ186" s="3409"/>
      <c r="FK186" s="1078">
        <f>IF(FI186=0,0,(FJ186-FI186)/FI186*100)</f>
        <v>0</v>
      </c>
      <c r="FL186" s="3409"/>
      <c r="FM186" s="3409"/>
      <c r="FN186" s="1078">
        <f>IF(FL186=0,0,(FM186-FL186)/FL186*100)</f>
        <v>0</v>
      </c>
      <c r="FO186" s="3409"/>
      <c r="FP186" s="3409"/>
      <c r="FQ186" s="1078">
        <f>IF(FO186=0,0,(FP186-FO186)/FO186*100)</f>
        <v>0</v>
      </c>
      <c r="FR186" s="3409"/>
      <c r="FS186" s="3409"/>
      <c r="FT186" s="1078">
        <f>IF(FR186=0,0,(FS186-FR186)/FR186*100)</f>
        <v>0</v>
      </c>
      <c r="FU186" s="3409"/>
      <c r="FV186" s="3409"/>
      <c r="FW186" s="1078">
        <f>IF(FU186=0,0,(FV186-FU186)/FU186*100)</f>
        <v>0</v>
      </c>
      <c r="FX186" s="676"/>
      <c r="FY186" s="676"/>
      <c r="FZ186" s="1039" t="s">
        <v>1564</v>
      </c>
      <c r="GA186" s="998" t="s">
        <v>813</v>
      </c>
      <c r="GB186" s="998" cm="1" t="str">
        <f t="array" ref="GB186:GB186">GB185</f>
        <v>0</v>
      </c>
      <c r="GC186" s="697"/>
      <c r="GD186" s="697"/>
    </row>
    <row s="1621" customFormat="1" customHeight="1" ht="14.25" hidden="1">
      <c r="A187" s="467"/>
      <c r="B187" s="907" cm="1" t="str">
        <f t="array" ref="B187:B187">B186</f>
        <v>false</v>
      </c>
      <c r="C187" s="467"/>
      <c r="D187" s="467"/>
      <c r="E187" s="822">
        <v>15</v>
      </c>
      <c r="F187" s="50" cm="1" t="str">
        <f t="array" ref="F187:F187">OFFSET(E187,-1,1)</f>
        <v>2</v>
      </c>
      <c r="G187" s="467"/>
      <c r="H187" s="467" t="s">
        <v>1536</v>
      </c>
      <c r="I187" s="467" cm="1" t="str">
        <f t="array" ref="I187:I187">I186</f>
        <v>0</v>
      </c>
      <c r="J187" s="467"/>
      <c r="K187" s="467"/>
      <c r="L187" s="467"/>
      <c r="M187" s="467"/>
      <c r="N187" s="467"/>
      <c r="O187" s="467"/>
      <c r="P187" s="467"/>
      <c r="Q187" s="467"/>
      <c r="R187" s="467"/>
      <c r="S187" s="467"/>
      <c r="T187" s="439" cm="1" t="str">
        <f t="array" ref="T187:T187">T186</f>
        <v>false</v>
      </c>
      <c r="U187" s="467"/>
      <c r="V187" s="467"/>
      <c r="W187" s="467"/>
      <c r="X187" s="1534"/>
      <c r="Y187" s="1534"/>
      <c r="Z187" s="1464"/>
      <c r="AA187" s="1413"/>
      <c r="AB187" s="886" t="s">
        <v>1537</v>
      </c>
      <c r="AC187" s="846" t="s">
        <v>1538</v>
      </c>
      <c r="AD187" s="3409"/>
      <c r="AE187" s="3409"/>
      <c r="AF187" s="1078">
        <f>IF(AD187=0,0,(AE187-AD187)/AD187*100)</f>
        <v>0</v>
      </c>
      <c r="AG187" s="3409"/>
      <c r="AH187" s="3409"/>
      <c r="AI187" s="1078">
        <f>IF(AG187=0,0,(AH187-AG187)/AG187*100)</f>
        <v>0</v>
      </c>
      <c r="AJ187" s="3409"/>
      <c r="AK187" s="3409"/>
      <c r="AL187" s="1078">
        <f>IF(AJ187=0,0,(AK187-AJ187)/AJ187*100)</f>
        <v>0</v>
      </c>
      <c r="AM187" s="3409"/>
      <c r="AN187" s="3409"/>
      <c r="AO187" s="1078">
        <f>IF(AM187=0,0,(AN187-AM187)/AM187*100)</f>
        <v>0</v>
      </c>
      <c r="AP187" s="3409"/>
      <c r="AQ187" s="3409"/>
      <c r="AR187" s="1078">
        <f>IF(AP187=0,0,(AQ187-AP187)/AP187*100)</f>
        <v>0</v>
      </c>
      <c r="AS187" s="3409"/>
      <c r="AT187" s="3409"/>
      <c r="AU187" s="1078">
        <f>IF(AS187=0,0,(AT187-AS187)/AS187*100)</f>
        <v>0</v>
      </c>
      <c r="AV187" s="3409"/>
      <c r="AW187" s="3409"/>
      <c r="AX187" s="1078">
        <f>IF(AV187=0,0,(AW187-AV187)/AV187*100)</f>
        <v>0</v>
      </c>
      <c r="AY187" s="3409"/>
      <c r="AZ187" s="3409"/>
      <c r="BA187" s="1078">
        <f>IF(AY187=0,0,(AZ187-AY187)/AY187*100)</f>
        <v>0</v>
      </c>
      <c r="BB187" s="3409"/>
      <c r="BC187" s="3409"/>
      <c r="BD187" s="1078">
        <f>IF(BB187=0,0,(BC187-BB187)/BB187*100)</f>
        <v>0</v>
      </c>
      <c r="BE187" s="3409"/>
      <c r="BF187" s="3409"/>
      <c r="BG187" s="1078">
        <f>IF(BE187=0,0,(BF187-BE187)/BE187*100)</f>
        <v>0</v>
      </c>
      <c r="BH187" s="3409"/>
      <c r="BI187" s="3409"/>
      <c r="BJ187" s="1078">
        <f>IF(BH187=0,0,(BI187-BH187)/BH187*100)</f>
        <v>0</v>
      </c>
      <c r="BK187" s="3409"/>
      <c r="BL187" s="3409"/>
      <c r="BM187" s="1078">
        <f>IF(BK187=0,0,(BL187-BK187)/BK187*100)</f>
        <v>0</v>
      </c>
      <c r="BN187" s="3409"/>
      <c r="BO187" s="3409"/>
      <c r="BP187" s="1078">
        <f>IF(BN187=0,0,(BO187-BN187)/BN187*100)</f>
        <v>0</v>
      </c>
      <c r="BQ187" s="3409"/>
      <c r="BR187" s="3409"/>
      <c r="BS187" s="1078">
        <f>IF(BQ187=0,0,(BR187-BQ187)/BQ187*100)</f>
        <v>0</v>
      </c>
      <c r="BT187" s="3409"/>
      <c r="BU187" s="3409"/>
      <c r="BV187" s="1078">
        <f>IF(BT187=0,0,(BU187-BT187)/BT187*100)</f>
        <v>0</v>
      </c>
      <c r="BW187" s="3409"/>
      <c r="BX187" s="3409"/>
      <c r="BY187" s="1078">
        <f>IF(BW187=0,0,(BX187-BW187)/BW187*100)</f>
        <v>0</v>
      </c>
      <c r="BZ187" s="3409"/>
      <c r="CA187" s="3409"/>
      <c r="CB187" s="1078">
        <f>IF(BZ187=0,0,(CA187-BZ187)/BZ187*100)</f>
        <v>0</v>
      </c>
      <c r="CC187" s="3409"/>
      <c r="CD187" s="3409"/>
      <c r="CE187" s="1078">
        <f>IF(CC187=0,0,(CD187-CC187)/CC187*100)</f>
        <v>0</v>
      </c>
      <c r="CF187" s="3409"/>
      <c r="CG187" s="3409"/>
      <c r="CH187" s="1078">
        <f>IF(CF187=0,0,(CG187-CF187)/CF187*100)</f>
        <v>0</v>
      </c>
      <c r="CI187" s="3409"/>
      <c r="CJ187" s="3409"/>
      <c r="CK187" s="1078">
        <f>IF(CI187=0,0,(CJ187-CI187)/CI187*100)</f>
        <v>0</v>
      </c>
      <c r="CL187" s="3409"/>
      <c r="CM187" s="3409"/>
      <c r="CN187" s="1078">
        <f>IF(CL187=0,0,(CM187-CL187)/CL187*100)</f>
        <v>0</v>
      </c>
      <c r="CO187" s="3409"/>
      <c r="CP187" s="3409"/>
      <c r="CQ187" s="1078">
        <f>IF(CO187=0,0,(CP187-CO187)/CO187*100)</f>
        <v>0</v>
      </c>
      <c r="CR187" s="3409"/>
      <c r="CS187" s="3409"/>
      <c r="CT187" s="1078">
        <f>IF(CR187=0,0,(CS187-CR187)/CR187*100)</f>
        <v>0</v>
      </c>
      <c r="CU187" s="3409"/>
      <c r="CV187" s="3409"/>
      <c r="CW187" s="1078">
        <f>IF(CU187=0,0,(CV187-CU187)/CU187*100)</f>
        <v>0</v>
      </c>
      <c r="CX187" s="3409"/>
      <c r="CY187" s="3409"/>
      <c r="CZ187" s="1078">
        <f>IF(CX187=0,0,(CY187-CX187)/CX187*100)</f>
        <v>0</v>
      </c>
      <c r="DA187" s="3409"/>
      <c r="DB187" s="3409"/>
      <c r="DC187" s="1078">
        <f>IF(DA187=0,0,(DB187-DA187)/DA187*100)</f>
        <v>0</v>
      </c>
      <c r="DD187" s="3409"/>
      <c r="DE187" s="3409"/>
      <c r="DF187" s="1078">
        <f>IF(DD187=0,0,(DE187-DD187)/DD187*100)</f>
        <v>0</v>
      </c>
      <c r="DG187" s="3409"/>
      <c r="DH187" s="3409"/>
      <c r="DI187" s="1078">
        <f>IF(DG187=0,0,(DH187-DG187)/DG187*100)</f>
        <v>0</v>
      </c>
      <c r="DJ187" s="3409"/>
      <c r="DK187" s="3409"/>
      <c r="DL187" s="1078">
        <f>IF(DJ187=0,0,(DK187-DJ187)/DJ187*100)</f>
        <v>0</v>
      </c>
      <c r="DM187" s="3409"/>
      <c r="DN187" s="3409"/>
      <c r="DO187" s="1078">
        <f>IF(DM187=0,0,(DN187-DM187)/DM187*100)</f>
        <v>0</v>
      </c>
      <c r="DP187" s="3409"/>
      <c r="DQ187" s="3409"/>
      <c r="DR187" s="1078">
        <f>IF(DP187=0,0,(DQ187-DP187)/DP187*100)</f>
        <v>0</v>
      </c>
      <c r="DS187" s="3409"/>
      <c r="DT187" s="3409"/>
      <c r="DU187" s="1078">
        <f>IF(DS187=0,0,(DT187-DS187)/DS187*100)</f>
        <v>0</v>
      </c>
      <c r="DV187" s="3409"/>
      <c r="DW187" s="3409"/>
      <c r="DX187" s="1078">
        <f>IF(DV187=0,0,(DW187-DV187)/DV187*100)</f>
        <v>0</v>
      </c>
      <c r="DY187" s="3409"/>
      <c r="DZ187" s="3409"/>
      <c r="EA187" s="1078">
        <f>IF(DY187=0,0,(DZ187-DY187)/DY187*100)</f>
        <v>0</v>
      </c>
      <c r="EB187" s="3409"/>
      <c r="EC187" s="3409"/>
      <c r="ED187" s="1078">
        <f>IF(EB187=0,0,(EC187-EB187)/EB187*100)</f>
        <v>0</v>
      </c>
      <c r="EE187" s="3409"/>
      <c r="EF187" s="3409"/>
      <c r="EG187" s="1078">
        <f>IF(EE187=0,0,(EF187-EE187)/EE187*100)</f>
        <v>0</v>
      </c>
      <c r="EH187" s="3409"/>
      <c r="EI187" s="3409"/>
      <c r="EJ187" s="1078">
        <f>IF(EH187=0,0,(EI187-EH187)/EH187*100)</f>
        <v>0</v>
      </c>
      <c r="EK187" s="3409"/>
      <c r="EL187" s="3409"/>
      <c r="EM187" s="1078">
        <f>IF(EK187=0,0,(EL187-EK187)/EK187*100)</f>
        <v>0</v>
      </c>
      <c r="EN187" s="3409"/>
      <c r="EO187" s="3409"/>
      <c r="EP187" s="1078">
        <f>IF(EN187=0,0,(EO187-EN187)/EN187*100)</f>
        <v>0</v>
      </c>
      <c r="EQ187" s="3409"/>
      <c r="ER187" s="3409"/>
      <c r="ES187" s="1078">
        <f>IF(EQ187=0,0,(ER187-EQ187)/EQ187*100)</f>
        <v>0</v>
      </c>
      <c r="ET187" s="3409"/>
      <c r="EU187" s="3409"/>
      <c r="EV187" s="1078">
        <f>IF(ET187=0,0,(EU187-ET187)/ET187*100)</f>
        <v>0</v>
      </c>
      <c r="EW187" s="3409"/>
      <c r="EX187" s="3409"/>
      <c r="EY187" s="1078">
        <f>IF(EW187=0,0,(EX187-EW187)/EW187*100)</f>
        <v>0</v>
      </c>
      <c r="EZ187" s="3409"/>
      <c r="FA187" s="3409"/>
      <c r="FB187" s="1078">
        <f>IF(EZ187=0,0,(FA187-EZ187)/EZ187*100)</f>
        <v>0</v>
      </c>
      <c r="FC187" s="3409"/>
      <c r="FD187" s="3409"/>
      <c r="FE187" s="1078">
        <f>IF(FC187=0,0,(FD187-FC187)/FC187*100)</f>
        <v>0</v>
      </c>
      <c r="FF187" s="3409"/>
      <c r="FG187" s="3409"/>
      <c r="FH187" s="1078">
        <f>IF(FF187=0,0,(FG187-FF187)/FF187*100)</f>
        <v>0</v>
      </c>
      <c r="FI187" s="3409"/>
      <c r="FJ187" s="3409"/>
      <c r="FK187" s="1078">
        <f>IF(FI187=0,0,(FJ187-FI187)/FI187*100)</f>
        <v>0</v>
      </c>
      <c r="FL187" s="3409"/>
      <c r="FM187" s="3409"/>
      <c r="FN187" s="1078">
        <f>IF(FL187=0,0,(FM187-FL187)/FL187*100)</f>
        <v>0</v>
      </c>
      <c r="FO187" s="3409"/>
      <c r="FP187" s="3409"/>
      <c r="FQ187" s="1078">
        <f>IF(FO187=0,0,(FP187-FO187)/FO187*100)</f>
        <v>0</v>
      </c>
      <c r="FR187" s="3409"/>
      <c r="FS187" s="3409"/>
      <c r="FT187" s="1078">
        <f>IF(FR187=0,0,(FS187-FR187)/FR187*100)</f>
        <v>0</v>
      </c>
      <c r="FU187" s="3409"/>
      <c r="FV187" s="3409"/>
      <c r="FW187" s="1078">
        <f>IF(FU187=0,0,(FV187-FU187)/FU187*100)</f>
        <v>0</v>
      </c>
      <c r="FX187" s="676"/>
      <c r="FY187" s="676"/>
      <c r="FZ187" s="1039" t="s">
        <v>1565</v>
      </c>
      <c r="GA187" s="998" t="s">
        <v>813</v>
      </c>
      <c r="GB187" s="998" cm="1" t="str">
        <f t="array" ref="GB187:GB187">GB186</f>
        <v>0</v>
      </c>
      <c r="GC187" s="697"/>
      <c r="GD187" s="697"/>
    </row>
    <row s="1621" customFormat="1" customHeight="1" ht="14.25" hidden="1">
      <c r="A188" s="467"/>
      <c r="B188" s="907" cm="1" t="str">
        <f t="array" ref="B188:B188">B187</f>
        <v>false</v>
      </c>
      <c r="C188" s="467"/>
      <c r="D188" s="467"/>
      <c r="E188" s="822">
        <v>15</v>
      </c>
      <c r="F188" s="50" cm="1" t="str">
        <f t="array" ref="F188:F188">OFFSET(E188,-1,1)</f>
        <v>2</v>
      </c>
      <c r="G188" s="467"/>
      <c r="H188" s="467"/>
      <c r="I188" s="64" t="s">
        <v>1566</v>
      </c>
      <c r="J188" s="467"/>
      <c r="K188" s="467"/>
      <c r="L188" s="467"/>
      <c r="M188" s="467"/>
      <c r="N188" s="467"/>
      <c r="O188" s="467"/>
      <c r="P188" s="467"/>
      <c r="Q188" s="467"/>
      <c r="R188" s="467"/>
      <c r="S188" s="467"/>
      <c r="T188" s="439">
        <f>F188&gt;0</f>
        <v>1</v>
      </c>
      <c r="U188" s="467"/>
      <c r="V188" s="676"/>
      <c r="W188" s="738" t="s">
        <v>1524</v>
      </c>
      <c r="X188" s="1534"/>
      <c r="Y188" s="676"/>
      <c r="Z188" s="1464"/>
      <c r="AA188" s="676"/>
      <c r="AB188" s="227" t="s">
        <v>177</v>
      </c>
      <c r="AC188" s="231"/>
      <c r="AD188" s="1083"/>
      <c r="AE188" s="1083"/>
      <c r="AF188" s="1083"/>
      <c r="AG188" s="1083"/>
      <c r="AH188" s="1083"/>
      <c r="AI188" s="1083"/>
      <c r="AJ188" s="1083"/>
      <c r="AK188" s="1083"/>
      <c r="AL188" s="1083"/>
      <c r="AM188" s="1083"/>
      <c r="AN188" s="1083"/>
      <c r="AO188" s="1083"/>
      <c r="AP188" s="1083"/>
      <c r="AQ188" s="1083"/>
      <c r="AR188" s="1083"/>
      <c r="AS188" s="1083"/>
      <c r="AT188" s="1083"/>
      <c r="AU188" s="1083"/>
      <c r="AV188" s="1083"/>
      <c r="AW188" s="1083"/>
      <c r="AX188" s="1083"/>
      <c r="AY188" s="1083"/>
      <c r="AZ188" s="1083"/>
      <c r="BA188" s="1083"/>
      <c r="BB188" s="1083"/>
      <c r="BC188" s="1083"/>
      <c r="BD188" s="1083"/>
      <c r="BE188" s="1083"/>
      <c r="BF188" s="1083"/>
      <c r="BG188" s="1083"/>
      <c r="BH188" s="1083"/>
      <c r="BI188" s="1083"/>
      <c r="BJ188" s="1083"/>
      <c r="BK188" s="1083"/>
      <c r="BL188" s="1083"/>
      <c r="BM188" s="1083"/>
      <c r="BN188" s="1083"/>
      <c r="BO188" s="1083"/>
      <c r="BP188" s="1083"/>
      <c r="BQ188" s="1083"/>
      <c r="BR188" s="1083"/>
      <c r="BS188" s="1083"/>
      <c r="BT188" s="1083"/>
      <c r="BU188" s="1083"/>
      <c r="BV188" s="1083"/>
      <c r="BW188" s="1083"/>
      <c r="BX188" s="1083"/>
      <c r="BY188" s="1083"/>
      <c r="BZ188" s="1083"/>
      <c r="CA188" s="1083"/>
      <c r="CB188" s="1083"/>
      <c r="CC188" s="1083"/>
      <c r="CD188" s="1083"/>
      <c r="CE188" s="1083"/>
      <c r="CF188" s="1083"/>
      <c r="CG188" s="1083"/>
      <c r="CH188" s="1083"/>
      <c r="CI188" s="1083"/>
      <c r="CJ188" s="1083"/>
      <c r="CK188" s="1083"/>
      <c r="CL188" s="1083"/>
      <c r="CM188" s="1083"/>
      <c r="CN188" s="1083"/>
      <c r="CO188" s="1083"/>
      <c r="CP188" s="1083"/>
      <c r="CQ188" s="1083"/>
      <c r="CR188" s="1083"/>
      <c r="CS188" s="1083"/>
      <c r="CT188" s="1083"/>
      <c r="CU188" s="1083"/>
      <c r="CV188" s="1083"/>
      <c r="CW188" s="1083"/>
      <c r="CX188" s="1083"/>
      <c r="CY188" s="1083"/>
      <c r="CZ188" s="1083"/>
      <c r="DA188" s="1083"/>
      <c r="DB188" s="1083"/>
      <c r="DC188" s="1083"/>
      <c r="DD188" s="1083"/>
      <c r="DE188" s="1083"/>
      <c r="DF188" s="1083"/>
      <c r="DG188" s="1083"/>
      <c r="DH188" s="1083"/>
      <c r="DI188" s="1083"/>
      <c r="DJ188" s="1083"/>
      <c r="DK188" s="1083"/>
      <c r="DL188" s="1083"/>
      <c r="DM188" s="1083"/>
      <c r="DN188" s="1083"/>
      <c r="DO188" s="1083"/>
      <c r="DP188" s="1083"/>
      <c r="DQ188" s="1083"/>
      <c r="DR188" s="1083"/>
      <c r="DS188" s="1083"/>
      <c r="DT188" s="1083"/>
      <c r="DU188" s="1083"/>
      <c r="DV188" s="1083"/>
      <c r="DW188" s="1083"/>
      <c r="DX188" s="1083"/>
      <c r="DY188" s="1083"/>
      <c r="DZ188" s="1083"/>
      <c r="EA188" s="1083"/>
      <c r="EB188" s="1083"/>
      <c r="EC188" s="1083"/>
      <c r="ED188" s="1083"/>
      <c r="EE188" s="1083"/>
      <c r="EF188" s="1083"/>
      <c r="EG188" s="1083"/>
      <c r="EH188" s="1083"/>
      <c r="EI188" s="1083"/>
      <c r="EJ188" s="1083"/>
      <c r="EK188" s="1083"/>
      <c r="EL188" s="1083"/>
      <c r="EM188" s="1083"/>
      <c r="EN188" s="1083"/>
      <c r="EO188" s="1083"/>
      <c r="EP188" s="1083"/>
      <c r="EQ188" s="1083"/>
      <c r="ER188" s="1083"/>
      <c r="ES188" s="1083"/>
      <c r="ET188" s="1083"/>
      <c r="EU188" s="1083"/>
      <c r="EV188" s="1083"/>
      <c r="EW188" s="1083"/>
      <c r="EX188" s="1083"/>
      <c r="EY188" s="1083"/>
      <c r="EZ188" s="1083"/>
      <c r="FA188" s="1083"/>
      <c r="FB188" s="1083"/>
      <c r="FC188" s="1083"/>
      <c r="FD188" s="1083"/>
      <c r="FE188" s="1083"/>
      <c r="FF188" s="1083"/>
      <c r="FG188" s="1083"/>
      <c r="FH188" s="1083"/>
      <c r="FI188" s="1083"/>
      <c r="FJ188" s="1083"/>
      <c r="FK188" s="1083"/>
      <c r="FL188" s="1083"/>
      <c r="FM188" s="1083"/>
      <c r="FN188" s="1083"/>
      <c r="FO188" s="1083"/>
      <c r="FP188" s="1083"/>
      <c r="FQ188" s="1083"/>
      <c r="FR188" s="1083"/>
      <c r="FS188" s="1083"/>
      <c r="FT188" s="1083"/>
      <c r="FU188" s="1083"/>
      <c r="FV188" s="1083"/>
      <c r="FW188" s="1084"/>
      <c r="FX188" s="676"/>
      <c r="FY188" s="676"/>
      <c r="FZ188" s="1039" t="s">
        <v>222</v>
      </c>
      <c r="GA188" s="1061"/>
      <c r="GB188" s="1061"/>
      <c r="GC188" s="611" t="s">
        <v>813</v>
      </c>
      <c r="GD188" s="697"/>
    </row>
    <row s="1621" customFormat="1" customHeight="1" ht="11.25" hidden="1">
      <c r="A189" s="456"/>
      <c r="B189" s="907"/>
      <c r="C189" s="456"/>
      <c r="D189" s="456"/>
      <c r="E189" s="848">
        <v>0</v>
      </c>
      <c r="F189" s="1202" cm="1" t="str">
        <f t="array" ref="F189:F189">OFFSET(E189,-1,1)</f>
        <v>2</v>
      </c>
      <c r="G189" s="456"/>
      <c r="H189" s="456"/>
      <c r="I189" s="456"/>
      <c r="J189" s="456"/>
      <c r="K189" s="456"/>
      <c r="L189" s="456"/>
      <c r="M189" s="456"/>
      <c r="N189" s="456"/>
      <c r="O189" s="456"/>
      <c r="P189" s="456"/>
      <c r="Q189" s="456"/>
      <c r="R189" s="456"/>
      <c r="S189" s="456"/>
      <c r="T189" s="439" t="b">
        <v>0</v>
      </c>
      <c r="U189" s="456"/>
      <c r="V189" s="456"/>
      <c r="W189" s="456"/>
      <c r="X189" s="1534"/>
      <c r="Y189" s="456"/>
      <c r="Z189" s="1464"/>
      <c r="AA189" s="456"/>
      <c r="AB189" s="0"/>
      <c r="AC189" s="456"/>
      <c r="AD189" s="1093"/>
      <c r="AE189" s="1093"/>
      <c r="AF189" s="1093"/>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1621"/>
      <c r="FY189" s="1621"/>
      <c r="FZ189" s="1039" t="s">
        <v>222</v>
      </c>
      <c r="GA189" s="1002"/>
      <c r="GB189" s="1042"/>
      <c r="GC189" s="666"/>
      <c r="GD189" s="666"/>
    </row>
    <row s="4210" customFormat="1" customHeight="1" ht="23.25" hidden="1">
      <c r="A190" s="879"/>
      <c r="B190" s="907" cm="1" t="str">
        <f t="array" ref="B190:B190">S141</f>
        <v>false</v>
      </c>
      <c r="C190" s="879"/>
      <c r="D190" s="879"/>
      <c r="E190" s="822">
        <v>24.5</v>
      </c>
      <c r="F190" s="50" cm="1" t="str">
        <f t="array" ref="F190:F190">OFFSET(E190,-1,1)</f>
        <v>2</v>
      </c>
      <c r="G190" s="73" t="s">
        <v>1491</v>
      </c>
      <c r="H190" s="467" t="s">
        <v>441</v>
      </c>
      <c r="I190" s="467" t="s">
        <v>1567</v>
      </c>
      <c r="J190" s="879"/>
      <c r="K190" s="879"/>
      <c r="L190" s="879"/>
      <c r="M190" s="879"/>
      <c r="N190" s="879"/>
      <c r="O190" s="879"/>
      <c r="P190" s="879"/>
      <c r="Q190" s="879"/>
      <c r="R190" s="879"/>
      <c r="S190" s="467"/>
      <c r="T190" s="439" cm="1" t="str">
        <f t="array" ref="T190:T190">T188</f>
        <v>true</v>
      </c>
      <c r="U190" s="879"/>
      <c r="V190" s="879"/>
      <c r="W190" s="879"/>
      <c r="X190" s="1534"/>
      <c r="Y190" s="879"/>
      <c r="Z190" s="1464"/>
      <c r="AA190" s="879"/>
      <c r="AB190" s="186" t="s">
        <v>1568</v>
      </c>
      <c r="AC190" s="201" t="s">
        <v>1494</v>
      </c>
      <c r="AD190" s="3429">
        <f>IF(AND(method_reg="Метод индексации",god&lt;&gt;first_year),_xlfn.SUMIFS(INDEX('Калькуляция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(МИ)'!$AJ$25:$BC$459,,MATCH(AD$8,'Калькуляция (МИ)'!$AJ$8:$BC$8,0)),'Калькуляция (МИ)'!$F$25:$F$459,$F190,'Калькуляция (МИ)'!$G$25:$G$459,$G190))))</f>
        <v>71.32</v>
      </c>
      <c r="AE190" s="3429">
        <f>IF(AND(method_reg="Метод индексации",god&lt;&gt;first_year),_xlfn.SUMIFS(INDEX('Калькуляция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(МИ)'!$AJ$25:$BC$459,,MATCH(AE$8,'Калькуляция (МИ)'!$AJ$8:$BC$8,0)),'Калькуляция (МИ)'!$F$25:$F$459,$F190,'Калькуляция (МИ)'!$G$25:$G$459,$G190))))</f>
        <v>34.89</v>
      </c>
      <c r="AF190" s="263">
        <f>IF(AD190=0,0,(AE190-AD190)/AD190*100)</f>
        <v>-51.0796410544027</v>
      </c>
      <c r="AG190" s="3429">
        <f>IF(AND(method_reg="Метод индексации",god&lt;&gt;first_year),_xlfn.SUMIFS(INDEX('Калькуляция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(МИ)'!$AJ$25:$BC$459,,MATCH(AG$8,'Калькуляция (МИ)'!$AJ$8:$BC$8,0)),'Калькуляция (МИ)'!$F$25:$F$459,$F190,'Калькуляция (МИ)'!$G$25:$G$459,$G190))))</f>
        <v>0</v>
      </c>
      <c r="AH190" s="3429">
        <f>IF(AND(method_reg="Метод индексации",god&lt;&gt;first_year),_xlfn.SUMIFS(INDEX('Калькуляция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(МИ)'!$AJ$25:$BC$459,,MATCH(AH$8,'Калькуляция (МИ)'!$AJ$8:$BC$8,0)),'Калькуляция (МИ)'!$F$25:$F$459,$F190,'Калькуляция (МИ)'!$G$25:$G$459,$G190))))</f>
        <v>38.3799365587</v>
      </c>
      <c r="AI190" s="263">
        <f>IF(AG190=0,0,(AH190-AG190)/AG190*100)</f>
        <v>0</v>
      </c>
      <c r="AJ190" s="3429">
        <f>IF(AND(method_reg="Метод индексации",god&lt;&gt;first_year),_xlfn.SUMIFS(INDEX('Калькуляция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(МИ)'!$AJ$25:$BC$459,,MATCH(AJ$8,'Калькуляция (МИ)'!$AJ$8:$BC$8,0)),'Калькуляция (МИ)'!$F$25:$F$459,$F190,'Калькуляция (МИ)'!$G$25:$G$459,$G190))))</f>
        <v>0</v>
      </c>
      <c r="AK190" s="3429">
        <f>IF(AND(method_reg="Метод индексации",god&lt;&gt;first_year),_xlfn.SUMIFS(INDEX('Калькуляция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(МИ)'!$AJ$25:$BC$459,,MATCH(AK$8,'Калькуляция (МИ)'!$AJ$8:$BC$8,0)),'Калькуляция (МИ)'!$F$25:$F$459,$F190,'Калькуляция (МИ)'!$G$25:$G$459,$G190))))</f>
        <v>0</v>
      </c>
      <c r="AL190" s="263">
        <f>IF(AJ190=0,0,(AK190-AJ190)/AJ190*100)</f>
        <v>0</v>
      </c>
      <c r="AM190" s="3429">
        <f>IF(AND(method_reg="Метод индексации",god&lt;&gt;first_year),_xlfn.SUMIFS(INDEX('Калькуляция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(МИ)'!$AJ$25:$BC$459,,MATCH(AM$8,'Калькуляция (МИ)'!$AJ$8:$BC$8,0)),'Калькуляция (МИ)'!$F$25:$F$459,$F190,'Калькуляция (МИ)'!$G$25:$G$459,$G190))))</f>
        <v>0</v>
      </c>
      <c r="AN190" s="3429">
        <f>IF(AND(method_reg="Метод индексации",god&lt;&gt;first_year),_xlfn.SUMIFS(INDEX('Калькуляция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(МИ)'!$AJ$25:$BC$459,,MATCH(AN$8,'Калькуляция (МИ)'!$AJ$8:$BC$8,0)),'Калькуляция (МИ)'!$F$25:$F$459,$F190,'Калькуляция (МИ)'!$G$25:$G$459,$G190))))</f>
        <v>0</v>
      </c>
      <c r="AO190" s="263">
        <f>IF(AM190=0,0,(AN190-AM190)/AM190*100)</f>
        <v>0</v>
      </c>
      <c r="AP190" s="3429">
        <f>IF(AND(method_reg="Метод индексации",god&lt;&gt;first_year),_xlfn.SUMIFS(INDEX('Калькуляция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(МИ)'!$AJ$25:$BC$459,,MATCH(AP$8,'Калькуляция (МИ)'!$AJ$8:$BC$8,0)),'Калькуляция (МИ)'!$F$25:$F$459,$F190,'Калькуляция (МИ)'!$G$25:$G$459,$G190))))</f>
        <v>0</v>
      </c>
      <c r="AQ190" s="3429">
        <f>IF(AND(method_reg="Метод индексации",god&lt;&gt;first_year),_xlfn.SUMIFS(INDEX('Калькуляция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(МИ)'!$AJ$25:$BC$459,,MATCH(AQ$8,'Калькуляция (МИ)'!$AJ$8:$BC$8,0)),'Калькуляция (МИ)'!$F$25:$F$459,$F190,'Калькуляция (МИ)'!$G$25:$G$459,$G190))))</f>
        <v>0</v>
      </c>
      <c r="AR190" s="263">
        <f>IF(AP190=0,0,(AQ190-AP190)/AP190*100)</f>
        <v>0</v>
      </c>
      <c r="AS190" s="3429">
        <f>IF(AND(method_reg="Метод индексации",god&lt;&gt;first_year),_xlfn.SUMIFS(INDEX('Калькуляция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(МИ)'!$AJ$25:$BC$459,,MATCH(AS$8,'Калькуляция (МИ)'!$AJ$8:$BC$8,0)),'Калькуляция (МИ)'!$F$25:$F$459,$F190,'Калькуляция (МИ)'!$G$25:$G$459,$G190))))</f>
        <v>0</v>
      </c>
      <c r="AT190" s="3429">
        <f>IF(AND(method_reg="Метод индексации",god&lt;&gt;first_year),_xlfn.SUMIFS(INDEX('Калькуляция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(МИ)'!$AJ$25:$BC$459,,MATCH(AT$8,'Калькуляция (МИ)'!$AJ$8:$BC$8,0)),'Калькуляция (МИ)'!$F$25:$F$459,$F190,'Калькуляция (МИ)'!$G$25:$G$459,$G190))))</f>
        <v>0</v>
      </c>
      <c r="AU190" s="263">
        <f>IF(AS190=0,0,(AT190-AS190)/AS190*100)</f>
        <v>0</v>
      </c>
      <c r="AV190" s="3429">
        <f>IF(AND(method_reg="Метод индексации",god&lt;&gt;first_year),_xlfn.SUMIFS(INDEX('Калькуляция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(МИ)'!$AJ$25:$BC$459,,MATCH(AV$8,'Калькуляция (МИ)'!$AJ$8:$BC$8,0)),'Калькуляция (МИ)'!$F$25:$F$459,$F190,'Калькуляция (МИ)'!$G$25:$G$459,$G190))))</f>
        <v>0</v>
      </c>
      <c r="AW190" s="3429">
        <f>IF(AND(method_reg="Метод индексации",god&lt;&gt;first_year),_xlfn.SUMIFS(INDEX('Калькуляция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(МИ)'!$AJ$25:$BC$459,,MATCH(AW$8,'Калькуляция (МИ)'!$AJ$8:$BC$8,0)),'Калькуляция (МИ)'!$F$25:$F$459,$F190,'Калькуляция (МИ)'!$G$25:$G$459,$G190))))</f>
        <v>0</v>
      </c>
      <c r="AX190" s="263">
        <f>IF(AV190=0,0,(AW190-AV190)/AV190*100)</f>
        <v>0</v>
      </c>
      <c r="AY190" s="3429">
        <f>IF(AND(method_reg="Метод индексации",god&lt;&gt;first_year),_xlfn.SUMIFS(INDEX('Калькуляция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(МИ)'!$AJ$25:$BC$459,,MATCH(AY$8,'Калькуляция (МИ)'!$AJ$8:$BC$8,0)),'Калькуляция (МИ)'!$F$25:$F$459,$F190,'Калькуляция (МИ)'!$G$25:$G$459,$G190))))</f>
        <v>0</v>
      </c>
      <c r="AZ190" s="3429">
        <f>IF(AND(method_reg="Метод индексации",god&lt;&gt;first_year),_xlfn.SUMIFS(INDEX('Калькуляция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(МИ)'!$AJ$25:$BC$459,,MATCH(AZ$8,'Калькуляция (МИ)'!$AJ$8:$BC$8,0)),'Калькуляция (МИ)'!$F$25:$F$459,$F190,'Калькуляция (МИ)'!$G$25:$G$459,$G190))))</f>
        <v>0</v>
      </c>
      <c r="BA190" s="263">
        <f>IF(AY190=0,0,(AZ190-AY190)/AY190*100)</f>
        <v>0</v>
      </c>
      <c r="BB190" s="3429">
        <f>IF(AND(method_reg="Метод индексации",god&lt;&gt;first_year),_xlfn.SUMIFS(INDEX('Калькуляция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(МИ)'!$AJ$25:$BC$459,,MATCH(BB$8,'Калькуляция (МИ)'!$AJ$8:$BC$8,0)),'Калькуляция (МИ)'!$F$25:$F$459,$F190,'Калькуляция (МИ)'!$G$25:$G$459,$G190))))</f>
        <v>0</v>
      </c>
      <c r="BC190" s="3429">
        <f>IF(AND(method_reg="Метод индексации",god&lt;&gt;first_year),_xlfn.SUMIFS(INDEX('Калькуляция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(МИ)'!$AJ$25:$BC$459,,MATCH(BC$8,'Калькуляция (МИ)'!$AJ$8:$BC$8,0)),'Калькуляция (МИ)'!$F$25:$F$459,$F190,'Калькуляция (МИ)'!$G$25:$G$459,$G190))))</f>
        <v>0</v>
      </c>
      <c r="BD190" s="263">
        <f>IF(BB190=0,0,(BC190-BB190)/BB190*100)</f>
        <v>0</v>
      </c>
      <c r="BE190" s="3429">
        <f>IF(AND(method_reg="Метод индексации",god&lt;&gt;first_year),_xlfn.SUMIFS(INDEX('Калькуляция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расходов",_xlfn.SUMIFS('Калькуляция (МЭОР)'!$AJ$25:$AJ$282,'Калькуляция (МЭОР)'!$F$25:$F$282,$F190,'Калькуляция (МЭОР)'!$G$25:$G$282,$G190),IF(method_reg="Метод сравнения аналогов",_xlfn.SUMIFS('Калькуляция (МСА)'!$AE$25:$AE$84,'Калькуляция (МСА)'!$F$25:$F$84,$F190,'Калькуляция (МСА)'!$G$25:$G$84,$G190),_xlfn.SUMIFS(INDEX('Калькуляция (МИ)'!$AJ$25:$BC$459,,MATCH(BE$8,'Калькуляция (МИ)'!$AJ$8:$BC$8,0)),'Калькуляция (МИ)'!$F$25:$F$459,$F190,'Калькуляция (МИ)'!$G$25:$G$459,$G190))))</f>
        <v>0</v>
      </c>
      <c r="BF190" s="3429">
        <f>IF(AND(method_reg="Метод индексации",god&lt;&gt;first_year),_xlfn.SUMIFS(INDEX('Калькуляция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расходов",_xlfn.SUMIFS('Калькуляция (МЭОР)'!$AK$25:$AK$282,'Калькуляция (МЭОР)'!$F$25:$F$282,$F190,'Калькуляция (МЭОР)'!$G$25:$G$282,$G190),IF(method_reg="Метод сравнения аналогов",_xlfn.SUMIFS('Калькуляция (МСА)'!$AF$25:$AF$84,'Калькуляция (МСА)'!$F$25:$F$84,$F190,'Калькуляция (МСА)'!$G$25:$G$84,$G190),_xlfn.SUMIFS(INDEX('Калькуляция (МИ)'!$AJ$25:$BC$459,,MATCH(BF$8,'Калькуляция (МИ)'!$AJ$8:$BC$8,0)),'Калькуляция (МИ)'!$F$25:$F$459,$F190,'Калькуляция (МИ)'!$G$25:$G$459,$G190))))</f>
        <v>0</v>
      </c>
      <c r="BG190" s="263">
        <f>IF(BE190=0,0,(BF190-BE190)/BE190*100)</f>
        <v>0</v>
      </c>
      <c r="BH190" s="3429"/>
      <c r="BI190" s="3429"/>
      <c r="BJ190" s="263">
        <f>IF(BH190=0,0,(BI190-BH190)/BH190*100)</f>
        <v>0</v>
      </c>
      <c r="BK190" s="3429"/>
      <c r="BL190" s="3429"/>
      <c r="BM190" s="263">
        <f>IF(BK190=0,0,(BL190-BK190)/BK190*100)</f>
        <v>0</v>
      </c>
      <c r="BN190" s="3429"/>
      <c r="BO190" s="3429"/>
      <c r="BP190" s="263">
        <f>IF(BN190=0,0,(BO190-BN190)/BN190*100)</f>
        <v>0</v>
      </c>
      <c r="BQ190" s="3429"/>
      <c r="BR190" s="3429"/>
      <c r="BS190" s="263">
        <f>IF(BQ190=0,0,(BR190-BQ190)/BQ190*100)</f>
        <v>0</v>
      </c>
      <c r="BT190" s="3429"/>
      <c r="BU190" s="3429"/>
      <c r="BV190" s="263">
        <f>IF(BT190=0,0,(BU190-BT190)/BT190*100)</f>
        <v>0</v>
      </c>
      <c r="BW190" s="3429"/>
      <c r="BX190" s="3429"/>
      <c r="BY190" s="263">
        <f>IF(BW190=0,0,(BX190-BW190)/BW190*100)</f>
        <v>0</v>
      </c>
      <c r="BZ190" s="3429"/>
      <c r="CA190" s="3429"/>
      <c r="CB190" s="263">
        <f>IF(BZ190=0,0,(CA190-BZ190)/BZ190*100)</f>
        <v>0</v>
      </c>
      <c r="CC190" s="3429"/>
      <c r="CD190" s="3429"/>
      <c r="CE190" s="263">
        <f>IF(CC190=0,0,(CD190-CC190)/CC190*100)</f>
        <v>0</v>
      </c>
      <c r="CF190" s="3429"/>
      <c r="CG190" s="3429"/>
      <c r="CH190" s="263">
        <f>IF(CF190=0,0,(CG190-CF190)/CF190*100)</f>
        <v>0</v>
      </c>
      <c r="CI190" s="3429"/>
      <c r="CJ190" s="3429"/>
      <c r="CK190" s="263">
        <f>IF(CI190=0,0,(CJ190-CI190)/CI190*100)</f>
        <v>0</v>
      </c>
      <c r="CL190" s="3429"/>
      <c r="CM190" s="3429"/>
      <c r="CN190" s="263">
        <f>IF(CL190=0,0,(CM190-CL190)/CL190*100)</f>
        <v>0</v>
      </c>
      <c r="CO190" s="3429"/>
      <c r="CP190" s="3429"/>
      <c r="CQ190" s="263">
        <f>IF(CO190=0,0,(CP190-CO190)/CO190*100)</f>
        <v>0</v>
      </c>
      <c r="CR190" s="3429"/>
      <c r="CS190" s="3429"/>
      <c r="CT190" s="263">
        <f>IF(CR190=0,0,(CS190-CR190)/CR190*100)</f>
        <v>0</v>
      </c>
      <c r="CU190" s="3429"/>
      <c r="CV190" s="3429"/>
      <c r="CW190" s="263">
        <f>IF(CU190=0,0,(CV190-CU190)/CU190*100)</f>
        <v>0</v>
      </c>
      <c r="CX190" s="3429"/>
      <c r="CY190" s="3429"/>
      <c r="CZ190" s="263">
        <f>IF(CX190=0,0,(CY190-CX190)/CX190*100)</f>
        <v>0</v>
      </c>
      <c r="DA190" s="3429"/>
      <c r="DB190" s="3429"/>
      <c r="DC190" s="263">
        <f>IF(DA190=0,0,(DB190-DA190)/DA190*100)</f>
        <v>0</v>
      </c>
      <c r="DD190" s="3429"/>
      <c r="DE190" s="3429"/>
      <c r="DF190" s="263">
        <f>IF(DD190=0,0,(DE190-DD190)/DD190*100)</f>
        <v>0</v>
      </c>
      <c r="DG190" s="3429"/>
      <c r="DH190" s="3429"/>
      <c r="DI190" s="263">
        <f>IF(DG190=0,0,(DH190-DG190)/DG190*100)</f>
        <v>0</v>
      </c>
      <c r="DJ190" s="3429"/>
      <c r="DK190" s="3429"/>
      <c r="DL190" s="263">
        <f>IF(DJ190=0,0,(DK190-DJ190)/DJ190*100)</f>
        <v>0</v>
      </c>
      <c r="DM190" s="3429"/>
      <c r="DN190" s="3429"/>
      <c r="DO190" s="263">
        <f>IF(DM190=0,0,(DN190-DM190)/DM190*100)</f>
        <v>0</v>
      </c>
      <c r="DP190" s="3429"/>
      <c r="DQ190" s="3429"/>
      <c r="DR190" s="263">
        <f>IF(DP190=0,0,(DQ190-DP190)/DP190*100)</f>
        <v>0</v>
      </c>
      <c r="DS190" s="3429"/>
      <c r="DT190" s="3429"/>
      <c r="DU190" s="263">
        <f>IF(DS190=0,0,(DT190-DS190)/DS190*100)</f>
        <v>0</v>
      </c>
      <c r="DV190" s="3429"/>
      <c r="DW190" s="3429"/>
      <c r="DX190" s="263">
        <f>IF(DV190=0,0,(DW190-DV190)/DV190*100)</f>
        <v>0</v>
      </c>
      <c r="DY190" s="3429"/>
      <c r="DZ190" s="3429"/>
      <c r="EA190" s="263">
        <f>IF(DY190=0,0,(DZ190-DY190)/DY190*100)</f>
        <v>0</v>
      </c>
      <c r="EB190" s="3429"/>
      <c r="EC190" s="3429"/>
      <c r="ED190" s="263">
        <f>IF(EB190=0,0,(EC190-EB190)/EB190*100)</f>
        <v>0</v>
      </c>
      <c r="EE190" s="3429"/>
      <c r="EF190" s="3429"/>
      <c r="EG190" s="263">
        <f>IF(EE190=0,0,(EF190-EE190)/EE190*100)</f>
        <v>0</v>
      </c>
      <c r="EH190" s="3429"/>
      <c r="EI190" s="3429"/>
      <c r="EJ190" s="263">
        <f>IF(EH190=0,0,(EI190-EH190)/EH190*100)</f>
        <v>0</v>
      </c>
      <c r="EK190" s="3429"/>
      <c r="EL190" s="3429"/>
      <c r="EM190" s="263">
        <f>IF(EK190=0,0,(EL190-EK190)/EK190*100)</f>
        <v>0</v>
      </c>
      <c r="EN190" s="3429"/>
      <c r="EO190" s="3429"/>
      <c r="EP190" s="263">
        <f>IF(EN190=0,0,(EO190-EN190)/EN190*100)</f>
        <v>0</v>
      </c>
      <c r="EQ190" s="3429"/>
      <c r="ER190" s="3429"/>
      <c r="ES190" s="263">
        <f>IF(EQ190=0,0,(ER190-EQ190)/EQ190*100)</f>
        <v>0</v>
      </c>
      <c r="ET190" s="3429"/>
      <c r="EU190" s="3429"/>
      <c r="EV190" s="263">
        <f>IF(ET190=0,0,(EU190-ET190)/ET190*100)</f>
        <v>0</v>
      </c>
      <c r="EW190" s="3429"/>
      <c r="EX190" s="3429"/>
      <c r="EY190" s="263">
        <f>IF(EW190=0,0,(EX190-EW190)/EW190*100)</f>
        <v>0</v>
      </c>
      <c r="EZ190" s="3429"/>
      <c r="FA190" s="3429"/>
      <c r="FB190" s="263">
        <f>IF(EZ190=0,0,(FA190-EZ190)/EZ190*100)</f>
        <v>0</v>
      </c>
      <c r="FC190" s="3429"/>
      <c r="FD190" s="3429"/>
      <c r="FE190" s="263">
        <f>IF(FC190=0,0,(FD190-FC190)/FC190*100)</f>
        <v>0</v>
      </c>
      <c r="FF190" s="3429"/>
      <c r="FG190" s="3429"/>
      <c r="FH190" s="263">
        <f>IF(FF190=0,0,(FG190-FF190)/FF190*100)</f>
        <v>0</v>
      </c>
      <c r="FI190" s="3429"/>
      <c r="FJ190" s="3429"/>
      <c r="FK190" s="263">
        <f>IF(FI190=0,0,(FJ190-FI190)/FI190*100)</f>
        <v>0</v>
      </c>
      <c r="FL190" s="3429"/>
      <c r="FM190" s="3429"/>
      <c r="FN190" s="263">
        <f>IF(FL190=0,0,(FM190-FL190)/FL190*100)</f>
        <v>0</v>
      </c>
      <c r="FO190" s="3429"/>
      <c r="FP190" s="3429"/>
      <c r="FQ190" s="263">
        <f>IF(FO190=0,0,(FP190-FO190)/FO190*100)</f>
        <v>0</v>
      </c>
      <c r="FR190" s="3429"/>
      <c r="FS190" s="3429"/>
      <c r="FT190" s="263">
        <f>IF(FR190=0,0,(FS190-FR190)/FR190*100)</f>
        <v>0</v>
      </c>
      <c r="FU190" s="3429"/>
      <c r="FV190" s="3429"/>
      <c r="FW190" s="263">
        <f>IF(FU190=0,0,(FV190-FU190)/FU190*100)</f>
        <v>0</v>
      </c>
      <c r="FX190" s="259"/>
      <c r="FY190" s="259"/>
      <c r="FZ190" s="1039" t="s">
        <v>1569</v>
      </c>
      <c r="GA190" s="1039"/>
      <c r="GB190" s="1039"/>
      <c r="GC190" s="1040"/>
      <c r="GD190" s="1040"/>
    </row>
    <row s="4211" customFormat="1" customHeight="1" ht="23.25" hidden="1">
      <c r="A191" s="879"/>
      <c r="B191" s="907" cm="1" t="str">
        <f t="array" ref="B191:B191">B190</f>
        <v>false</v>
      </c>
      <c r="C191" s="879"/>
      <c r="D191" s="879"/>
      <c r="E191" s="822">
        <v>24.5</v>
      </c>
      <c r="F191" s="50" cm="1" t="str">
        <f t="array" ref="F191:F191">OFFSET(E191,-1,1)</f>
        <v>2</v>
      </c>
      <c r="G191" s="73" t="s">
        <v>1496</v>
      </c>
      <c r="H191" s="467" t="s">
        <v>441</v>
      </c>
      <c r="I191" s="467" t="s">
        <v>1570</v>
      </c>
      <c r="J191" s="879"/>
      <c r="K191" s="879"/>
      <c r="L191" s="879"/>
      <c r="M191" s="879"/>
      <c r="N191" s="879"/>
      <c r="O191" s="879"/>
      <c r="P191" s="879"/>
      <c r="Q191" s="879"/>
      <c r="R191" s="879"/>
      <c r="S191" s="467"/>
      <c r="T191" s="439" cm="1" t="str">
        <f t="array" ref="T191:T191">T190</f>
        <v>true</v>
      </c>
      <c r="U191" s="879"/>
      <c r="V191" s="879"/>
      <c r="W191" s="879"/>
      <c r="X191" s="1534"/>
      <c r="Y191" s="879"/>
      <c r="Z191" s="1464"/>
      <c r="AA191" s="879"/>
      <c r="AB191" s="186" t="s">
        <v>1571</v>
      </c>
      <c r="AC191" s="201" t="s">
        <v>1494</v>
      </c>
      <c r="AD191" s="3429">
        <f>IF(AND(method_reg="Метод индексации",god&lt;&gt;first_year),_xlfn.SUMIFS(INDEX('Калькуляция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(МИ)'!$AJ$25:$BC$459,,MATCH(AD$8,'Калькуляция (МИ)'!$AJ$8:$BC$8,0)),'Калькуляция (МИ)'!$F$25:$F$459,$F191,'Калькуляция (МИ)'!$G$25:$G$459,$G191))))</f>
        <v>71.3248659614</v>
      </c>
      <c r="AE191" s="3429">
        <f>IF(AND(method_reg="Метод индексации",god&lt;&gt;first_year),_xlfn.SUMIFS(INDEX('Калькуляция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(МИ)'!$AJ$25:$BC$459,,MATCH(AE$8,'Калькуляция (МИ)'!$AJ$8:$BC$8,0)),'Калькуляция (МИ)'!$F$25:$F$459,$F191,'Калькуляция (МИ)'!$G$25:$G$459,$G191))))</f>
        <v>38.3799365587</v>
      </c>
      <c r="AF191" s="263">
        <f>IF(AD191=0,0,(AE191-AD191)/AD191*100)</f>
        <v>-46.1899632878796</v>
      </c>
      <c r="AG191" s="3429">
        <f>IF(AND(method_reg="Метод индексации",god&lt;&gt;first_year),_xlfn.SUMIFS(INDEX('Калькуляция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(МИ)'!$AJ$25:$BC$459,,MATCH(AG$8,'Калькуляция (МИ)'!$AJ$8:$BC$8,0)),'Калькуляция (МИ)'!$F$25:$F$459,$F191,'Калькуляция (МИ)'!$G$25:$G$459,$G191))))</f>
        <v>0</v>
      </c>
      <c r="AH191" s="3429">
        <f>IF(AND(method_reg="Метод индексации",god&lt;&gt;first_year),_xlfn.SUMIFS(INDEX('Калькуляция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(МИ)'!$AJ$25:$BC$459,,MATCH(AH$8,'Калькуляция (МИ)'!$AJ$8:$BC$8,0)),'Калькуляция (МИ)'!$F$25:$F$459,$F191,'Калькуляция (МИ)'!$G$25:$G$459,$G191))))</f>
        <v>0</v>
      </c>
      <c r="AI191" s="263">
        <f>IF(AG191=0,0,(AH191-AG191)/AG191*100)</f>
        <v>0</v>
      </c>
      <c r="AJ191" s="3429">
        <f>IF(AND(method_reg="Метод индексации",god&lt;&gt;first_year),_xlfn.SUMIFS(INDEX('Калькуляция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(МИ)'!$AJ$25:$BC$459,,MATCH(AJ$8,'Калькуляция (МИ)'!$AJ$8:$BC$8,0)),'Калькуляция (МИ)'!$F$25:$F$459,$F191,'Калькуляция (МИ)'!$G$25:$G$459,$G191))))</f>
        <v>0</v>
      </c>
      <c r="AK191" s="3429">
        <f>IF(AND(method_reg="Метод индексации",god&lt;&gt;first_year),_xlfn.SUMIFS(INDEX('Калькуляция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(МИ)'!$AJ$25:$BC$459,,MATCH(AK$8,'Калькуляция (МИ)'!$AJ$8:$BC$8,0)),'Калькуляция (МИ)'!$F$25:$F$459,$F191,'Калькуляция (МИ)'!$G$25:$G$459,$G191))))</f>
        <v>0</v>
      </c>
      <c r="AL191" s="263">
        <f>IF(AJ191=0,0,(AK191-AJ191)/AJ191*100)</f>
        <v>0</v>
      </c>
      <c r="AM191" s="3429">
        <f>IF(AND(method_reg="Метод индексации",god&lt;&gt;first_year),_xlfn.SUMIFS(INDEX('Калькуляция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(МИ)'!$AJ$25:$BC$459,,MATCH(AM$8,'Калькуляция (МИ)'!$AJ$8:$BC$8,0)),'Калькуляция (МИ)'!$F$25:$F$459,$F191,'Калькуляция (МИ)'!$G$25:$G$459,$G191))))</f>
        <v>0</v>
      </c>
      <c r="AN191" s="3429">
        <f>IF(AND(method_reg="Метод индексации",god&lt;&gt;first_year),_xlfn.SUMIFS(INDEX('Калькуляция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(МИ)'!$AJ$25:$BC$459,,MATCH(AN$8,'Калькуляция (МИ)'!$AJ$8:$BC$8,0)),'Калькуляция (МИ)'!$F$25:$F$459,$F191,'Калькуляция (МИ)'!$G$25:$G$459,$G191))))</f>
        <v>0</v>
      </c>
      <c r="AO191" s="263">
        <f>IF(AM191=0,0,(AN191-AM191)/AM191*100)</f>
        <v>0</v>
      </c>
      <c r="AP191" s="3429">
        <f>IF(AND(method_reg="Метод индексации",god&lt;&gt;first_year),_xlfn.SUMIFS(INDEX('Калькуляция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(МИ)'!$AJ$25:$BC$459,,MATCH(AP$8,'Калькуляция (МИ)'!$AJ$8:$BC$8,0)),'Калькуляция (МИ)'!$F$25:$F$459,$F191,'Калькуляция (МИ)'!$G$25:$G$459,$G191))))</f>
        <v>0</v>
      </c>
      <c r="AQ191" s="3429">
        <f>IF(AND(method_reg="Метод индексации",god&lt;&gt;first_year),_xlfn.SUMIFS(INDEX('Калькуляция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(МИ)'!$AJ$25:$BC$459,,MATCH(AQ$8,'Калькуляция (МИ)'!$AJ$8:$BC$8,0)),'Калькуляция (МИ)'!$F$25:$F$459,$F191,'Калькуляция (МИ)'!$G$25:$G$459,$G191))))</f>
        <v>0</v>
      </c>
      <c r="AR191" s="263">
        <f>IF(AP191=0,0,(AQ191-AP191)/AP191*100)</f>
        <v>0</v>
      </c>
      <c r="AS191" s="3429">
        <f>IF(AND(method_reg="Метод индексации",god&lt;&gt;first_year),_xlfn.SUMIFS(INDEX('Калькуляция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(МИ)'!$AJ$25:$BC$459,,MATCH(AS$8,'Калькуляция (МИ)'!$AJ$8:$BC$8,0)),'Калькуляция (МИ)'!$F$25:$F$459,$F191,'Калькуляция (МИ)'!$G$25:$G$459,$G191))))</f>
        <v>0</v>
      </c>
      <c r="AT191" s="3429">
        <f>IF(AND(method_reg="Метод индексации",god&lt;&gt;first_year),_xlfn.SUMIFS(INDEX('Калькуляция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(МИ)'!$AJ$25:$BC$459,,MATCH(AT$8,'Калькуляция (МИ)'!$AJ$8:$BC$8,0)),'Калькуляция (МИ)'!$F$25:$F$459,$F191,'Калькуляция (МИ)'!$G$25:$G$459,$G191))))</f>
        <v>0</v>
      </c>
      <c r="AU191" s="263">
        <f>IF(AS191=0,0,(AT191-AS191)/AS191*100)</f>
        <v>0</v>
      </c>
      <c r="AV191" s="3429">
        <f>IF(AND(method_reg="Метод индексации",god&lt;&gt;first_year),_xlfn.SUMIFS(INDEX('Калькуляция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(МИ)'!$AJ$25:$BC$459,,MATCH(AV$8,'Калькуляция (МИ)'!$AJ$8:$BC$8,0)),'Калькуляция (МИ)'!$F$25:$F$459,$F191,'Калькуляция (МИ)'!$G$25:$G$459,$G191))))</f>
        <v>0</v>
      </c>
      <c r="AW191" s="3429">
        <f>IF(AND(method_reg="Метод индексации",god&lt;&gt;first_year),_xlfn.SUMIFS(INDEX('Калькуляция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(МИ)'!$AJ$25:$BC$459,,MATCH(AW$8,'Калькуляция (МИ)'!$AJ$8:$BC$8,0)),'Калькуляция (МИ)'!$F$25:$F$459,$F191,'Калькуляция (МИ)'!$G$25:$G$459,$G191))))</f>
        <v>0</v>
      </c>
      <c r="AX191" s="263">
        <f>IF(AV191=0,0,(AW191-AV191)/AV191*100)</f>
        <v>0</v>
      </c>
      <c r="AY191" s="3429">
        <f>IF(AND(method_reg="Метод индексации",god&lt;&gt;first_year),_xlfn.SUMIFS(INDEX('Калькуляция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(МИ)'!$AJ$25:$BC$459,,MATCH(AY$8,'Калькуляция (МИ)'!$AJ$8:$BC$8,0)),'Калькуляция (МИ)'!$F$25:$F$459,$F191,'Калькуляция (МИ)'!$G$25:$G$459,$G191))))</f>
        <v>0</v>
      </c>
      <c r="AZ191" s="3429">
        <f>IF(AND(method_reg="Метод индексации",god&lt;&gt;first_year),_xlfn.SUMIFS(INDEX('Калькуляция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(МИ)'!$AJ$25:$BC$459,,MATCH(AZ$8,'Калькуляция (МИ)'!$AJ$8:$BC$8,0)),'Калькуляция (МИ)'!$F$25:$F$459,$F191,'Калькуляция (МИ)'!$G$25:$G$459,$G191))))</f>
        <v>0</v>
      </c>
      <c r="BA191" s="263">
        <f>IF(AY191=0,0,(AZ191-AY191)/AY191*100)</f>
        <v>0</v>
      </c>
      <c r="BB191" s="3429">
        <f>IF(AND(method_reg="Метод индексации",god&lt;&gt;first_year),_xlfn.SUMIFS(INDEX('Калькуляция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(МИ)'!$AJ$25:$BC$459,,MATCH(BB$8,'Калькуляция (МИ)'!$AJ$8:$BC$8,0)),'Калькуляция (МИ)'!$F$25:$F$459,$F191,'Калькуляция (МИ)'!$G$25:$G$459,$G191))))</f>
        <v>0</v>
      </c>
      <c r="BC191" s="3429">
        <f>IF(AND(method_reg="Метод индексации",god&lt;&gt;first_year),_xlfn.SUMIFS(INDEX('Калькуляция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(МИ)'!$AJ$25:$BC$459,,MATCH(BC$8,'Калькуляция (МИ)'!$AJ$8:$BC$8,0)),'Калькуляция (МИ)'!$F$25:$F$459,$F191,'Калькуляция (МИ)'!$G$25:$G$459,$G191))))</f>
        <v>0</v>
      </c>
      <c r="BD191" s="263">
        <f>IF(BB191=0,0,(BC191-BB191)/BB191*100)</f>
        <v>0</v>
      </c>
      <c r="BE191" s="3429">
        <f>IF(AND(method_reg="Метод индексации",god&lt;&gt;first_year),_xlfn.SUMIFS(INDEX('Калькуляция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расходов",_xlfn.SUMIFS('Калькуляция (МЭОР)'!$AJ$25:$AJ$282,'Калькуляция (МЭОР)'!$F$25:$F$282,$F191,'Калькуляция (МЭОР)'!$G$25:$G$282,$G191),IF(method_reg="Метод сравнения аналогов",_xlfn.SUMIFS('Калькуляция (МСА)'!$AE$25:$AE$84,'Калькуляция (МСА)'!$F$25:$F$84,$F191,'Калькуляция (МСА)'!$G$25:$G$84,$G191),_xlfn.SUMIFS(INDEX('Калькуляция (МИ)'!$AJ$25:$BC$459,,MATCH(BE$8,'Калькуляция (МИ)'!$AJ$8:$BC$8,0)),'Калькуляция (МИ)'!$F$25:$F$459,$F191,'Калькуляция (МИ)'!$G$25:$G$459,$G191))))</f>
        <v>0</v>
      </c>
      <c r="BF191" s="3429">
        <f>IF(AND(method_reg="Метод индексации",god&lt;&gt;first_year),_xlfn.SUMIFS(INDEX('Калькуляция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расходов",_xlfn.SUMIFS('Калькуляция (МЭОР)'!$AK$25:$AK$282,'Калькуляция (МЭОР)'!$F$25:$F$282,$F191,'Калькуляция (МЭОР)'!$G$25:$G$282,$G191),IF(method_reg="Метод сравнения аналогов",_xlfn.SUMIFS('Калькуляция (МСА)'!$AF$25:$AF$84,'Калькуляция (МСА)'!$F$25:$F$84,$F191,'Калькуляция (МСА)'!$G$25:$G$84,$G191),_xlfn.SUMIFS(INDEX('Калькуляция (МИ)'!$AJ$25:$BC$459,,MATCH(BF$8,'Калькуляция (МИ)'!$AJ$8:$BC$8,0)),'Калькуляция (МИ)'!$F$25:$F$459,$F191,'Калькуляция (МИ)'!$G$25:$G$459,$G191))))</f>
        <v>0</v>
      </c>
      <c r="BG191" s="263">
        <f>IF(BE191=0,0,(BF191-BE191)/BE191*100)</f>
        <v>0</v>
      </c>
      <c r="BH191" s="3429"/>
      <c r="BI191" s="3429"/>
      <c r="BJ191" s="263">
        <f>IF(BH191=0,0,(BI191-BH191)/BH191*100)</f>
        <v>0</v>
      </c>
      <c r="BK191" s="3429"/>
      <c r="BL191" s="3429"/>
      <c r="BM191" s="263">
        <f>IF(BK191=0,0,(BL191-BK191)/BK191*100)</f>
        <v>0</v>
      </c>
      <c r="BN191" s="3429"/>
      <c r="BO191" s="3429"/>
      <c r="BP191" s="263">
        <f>IF(BN191=0,0,(BO191-BN191)/BN191*100)</f>
        <v>0</v>
      </c>
      <c r="BQ191" s="3429"/>
      <c r="BR191" s="3429"/>
      <c r="BS191" s="263">
        <f>IF(BQ191=0,0,(BR191-BQ191)/BQ191*100)</f>
        <v>0</v>
      </c>
      <c r="BT191" s="3429"/>
      <c r="BU191" s="3429"/>
      <c r="BV191" s="263">
        <f>IF(BT191=0,0,(BU191-BT191)/BT191*100)</f>
        <v>0</v>
      </c>
      <c r="BW191" s="3429"/>
      <c r="BX191" s="3429"/>
      <c r="BY191" s="263">
        <f>IF(BW191=0,0,(BX191-BW191)/BW191*100)</f>
        <v>0</v>
      </c>
      <c r="BZ191" s="3429"/>
      <c r="CA191" s="3429"/>
      <c r="CB191" s="263">
        <f>IF(BZ191=0,0,(CA191-BZ191)/BZ191*100)</f>
        <v>0</v>
      </c>
      <c r="CC191" s="3429"/>
      <c r="CD191" s="3429"/>
      <c r="CE191" s="263">
        <f>IF(CC191=0,0,(CD191-CC191)/CC191*100)</f>
        <v>0</v>
      </c>
      <c r="CF191" s="3429"/>
      <c r="CG191" s="3429"/>
      <c r="CH191" s="263">
        <f>IF(CF191=0,0,(CG191-CF191)/CF191*100)</f>
        <v>0</v>
      </c>
      <c r="CI191" s="3429"/>
      <c r="CJ191" s="3429"/>
      <c r="CK191" s="263">
        <f>IF(CI191=0,0,(CJ191-CI191)/CI191*100)</f>
        <v>0</v>
      </c>
      <c r="CL191" s="3429"/>
      <c r="CM191" s="3429"/>
      <c r="CN191" s="263">
        <f>IF(CL191=0,0,(CM191-CL191)/CL191*100)</f>
        <v>0</v>
      </c>
      <c r="CO191" s="3429"/>
      <c r="CP191" s="3429"/>
      <c r="CQ191" s="263">
        <f>IF(CO191=0,0,(CP191-CO191)/CO191*100)</f>
        <v>0</v>
      </c>
      <c r="CR191" s="3429"/>
      <c r="CS191" s="3429"/>
      <c r="CT191" s="263">
        <f>IF(CR191=0,0,(CS191-CR191)/CR191*100)</f>
        <v>0</v>
      </c>
      <c r="CU191" s="3429"/>
      <c r="CV191" s="3429"/>
      <c r="CW191" s="263">
        <f>IF(CU191=0,0,(CV191-CU191)/CU191*100)</f>
        <v>0</v>
      </c>
      <c r="CX191" s="3429"/>
      <c r="CY191" s="3429"/>
      <c r="CZ191" s="263">
        <f>IF(CX191=0,0,(CY191-CX191)/CX191*100)</f>
        <v>0</v>
      </c>
      <c r="DA191" s="3429"/>
      <c r="DB191" s="3429"/>
      <c r="DC191" s="263">
        <f>IF(DA191=0,0,(DB191-DA191)/DA191*100)</f>
        <v>0</v>
      </c>
      <c r="DD191" s="3429"/>
      <c r="DE191" s="3429"/>
      <c r="DF191" s="263">
        <f>IF(DD191=0,0,(DE191-DD191)/DD191*100)</f>
        <v>0</v>
      </c>
      <c r="DG191" s="3429"/>
      <c r="DH191" s="3429"/>
      <c r="DI191" s="263">
        <f>IF(DG191=0,0,(DH191-DG191)/DG191*100)</f>
        <v>0</v>
      </c>
      <c r="DJ191" s="3429"/>
      <c r="DK191" s="3429"/>
      <c r="DL191" s="263">
        <f>IF(DJ191=0,0,(DK191-DJ191)/DJ191*100)</f>
        <v>0</v>
      </c>
      <c r="DM191" s="3429"/>
      <c r="DN191" s="3429"/>
      <c r="DO191" s="263">
        <f>IF(DM191=0,0,(DN191-DM191)/DM191*100)</f>
        <v>0</v>
      </c>
      <c r="DP191" s="3429"/>
      <c r="DQ191" s="3429"/>
      <c r="DR191" s="263">
        <f>IF(DP191=0,0,(DQ191-DP191)/DP191*100)</f>
        <v>0</v>
      </c>
      <c r="DS191" s="3429"/>
      <c r="DT191" s="3429"/>
      <c r="DU191" s="263">
        <f>IF(DS191=0,0,(DT191-DS191)/DS191*100)</f>
        <v>0</v>
      </c>
      <c r="DV191" s="3429"/>
      <c r="DW191" s="3429"/>
      <c r="DX191" s="263">
        <f>IF(DV191=0,0,(DW191-DV191)/DV191*100)</f>
        <v>0</v>
      </c>
      <c r="DY191" s="3429"/>
      <c r="DZ191" s="3429"/>
      <c r="EA191" s="263">
        <f>IF(DY191=0,0,(DZ191-DY191)/DY191*100)</f>
        <v>0</v>
      </c>
      <c r="EB191" s="3429"/>
      <c r="EC191" s="3429"/>
      <c r="ED191" s="263">
        <f>IF(EB191=0,0,(EC191-EB191)/EB191*100)</f>
        <v>0</v>
      </c>
      <c r="EE191" s="3429"/>
      <c r="EF191" s="3429"/>
      <c r="EG191" s="263">
        <f>IF(EE191=0,0,(EF191-EE191)/EE191*100)</f>
        <v>0</v>
      </c>
      <c r="EH191" s="3429"/>
      <c r="EI191" s="3429"/>
      <c r="EJ191" s="263">
        <f>IF(EH191=0,0,(EI191-EH191)/EH191*100)</f>
        <v>0</v>
      </c>
      <c r="EK191" s="3429"/>
      <c r="EL191" s="3429"/>
      <c r="EM191" s="263">
        <f>IF(EK191=0,0,(EL191-EK191)/EK191*100)</f>
        <v>0</v>
      </c>
      <c r="EN191" s="3429"/>
      <c r="EO191" s="3429"/>
      <c r="EP191" s="263">
        <f>IF(EN191=0,0,(EO191-EN191)/EN191*100)</f>
        <v>0</v>
      </c>
      <c r="EQ191" s="3429"/>
      <c r="ER191" s="3429"/>
      <c r="ES191" s="263">
        <f>IF(EQ191=0,0,(ER191-EQ191)/EQ191*100)</f>
        <v>0</v>
      </c>
      <c r="ET191" s="3429"/>
      <c r="EU191" s="3429"/>
      <c r="EV191" s="263">
        <f>IF(ET191=0,0,(EU191-ET191)/ET191*100)</f>
        <v>0</v>
      </c>
      <c r="EW191" s="3429"/>
      <c r="EX191" s="3429"/>
      <c r="EY191" s="263">
        <f>IF(EW191=0,0,(EX191-EW191)/EW191*100)</f>
        <v>0</v>
      </c>
      <c r="EZ191" s="3429"/>
      <c r="FA191" s="3429"/>
      <c r="FB191" s="263">
        <f>IF(EZ191=0,0,(FA191-EZ191)/EZ191*100)</f>
        <v>0</v>
      </c>
      <c r="FC191" s="3429"/>
      <c r="FD191" s="3429"/>
      <c r="FE191" s="263">
        <f>IF(FC191=0,0,(FD191-FC191)/FC191*100)</f>
        <v>0</v>
      </c>
      <c r="FF191" s="3429"/>
      <c r="FG191" s="3429"/>
      <c r="FH191" s="263">
        <f>IF(FF191=0,0,(FG191-FF191)/FF191*100)</f>
        <v>0</v>
      </c>
      <c r="FI191" s="3429"/>
      <c r="FJ191" s="3429"/>
      <c r="FK191" s="263">
        <f>IF(FI191=0,0,(FJ191-FI191)/FI191*100)</f>
        <v>0</v>
      </c>
      <c r="FL191" s="3429"/>
      <c r="FM191" s="3429"/>
      <c r="FN191" s="263">
        <f>IF(FL191=0,0,(FM191-FL191)/FL191*100)</f>
        <v>0</v>
      </c>
      <c r="FO191" s="3429"/>
      <c r="FP191" s="3429"/>
      <c r="FQ191" s="263">
        <f>IF(FO191=0,0,(FP191-FO191)/FO191*100)</f>
        <v>0</v>
      </c>
      <c r="FR191" s="3429"/>
      <c r="FS191" s="3429"/>
      <c r="FT191" s="263">
        <f>IF(FR191=0,0,(FS191-FR191)/FR191*100)</f>
        <v>0</v>
      </c>
      <c r="FU191" s="3429"/>
      <c r="FV191" s="3429"/>
      <c r="FW191" s="263">
        <f>IF(FU191=0,0,(FV191-FU191)/FU191*100)</f>
        <v>0</v>
      </c>
      <c r="FX191" s="259"/>
      <c r="FY191" s="259"/>
      <c r="FZ191" s="1039" t="s">
        <v>1572</v>
      </c>
      <c r="GA191" s="1039"/>
      <c r="GB191" s="1039"/>
      <c r="GC191" s="1040"/>
      <c r="GD191" s="1040"/>
    </row>
    <row s="1621" customFormat="1" customHeight="1" ht="14.25" hidden="1">
      <c r="A192" s="467"/>
      <c r="B192" s="907" cm="1" t="str">
        <f t="array" ref="B192:B192">B191</f>
        <v>false</v>
      </c>
      <c r="C192" s="467"/>
      <c r="D192" s="467"/>
      <c r="E192" s="822">
        <v>15</v>
      </c>
      <c r="F192" s="50" cm="1" t="str">
        <f t="array" ref="F192:F192">OFFSET(E192,-1,1)</f>
        <v>2</v>
      </c>
      <c r="G192" s="467"/>
      <c r="H192" s="467" t="s">
        <v>445</v>
      </c>
      <c r="I192" s="467"/>
      <c r="J192" s="467"/>
      <c r="K192" s="467"/>
      <c r="L192" s="467"/>
      <c r="M192" s="467"/>
      <c r="N192" s="467"/>
      <c r="O192" s="467"/>
      <c r="P192" s="467"/>
      <c r="Q192" s="467"/>
      <c r="R192" s="467"/>
      <c r="S192" s="467"/>
      <c r="T192" s="439" cm="1" t="str">
        <f t="array" ref="T192:T192">T191</f>
        <v>true</v>
      </c>
      <c r="U192" s="467"/>
      <c r="V192" s="467"/>
      <c r="W192" s="467"/>
      <c r="X192" s="1534"/>
      <c r="Y192" s="467"/>
      <c r="Z192" s="1464"/>
      <c r="AA192" s="467"/>
      <c r="AB192" s="1073" t="s">
        <v>1573</v>
      </c>
      <c r="AC192" s="747" t="s">
        <v>437</v>
      </c>
      <c r="AD192" s="1077">
        <f>IF(AD190=0,0,AD191/AD190)*100</f>
        <v>100.006822716489</v>
      </c>
      <c r="AE192" s="1077">
        <f>IF(AE190=0,0,AE191/AE190)*100</f>
        <v>110.002684318429</v>
      </c>
      <c r="AF192" s="1094"/>
      <c r="AG192" s="1077">
        <f>IF(AG190=0,0,AG191/AG190)*100</f>
        <v>0</v>
      </c>
      <c r="AH192" s="1077">
        <f>IF(AH190=0,0,AH191/AH190)*100</f>
        <v>0</v>
      </c>
      <c r="AI192" s="1094"/>
      <c r="AJ192" s="1077">
        <f>IF(AJ190=0,0,AJ191/AJ190)*100</f>
        <v>0</v>
      </c>
      <c r="AK192" s="1077">
        <f>IF(AK190=0,0,AK191/AK190)*100</f>
        <v>0</v>
      </c>
      <c r="AL192" s="1094"/>
      <c r="AM192" s="1077">
        <f>IF(AM190=0,0,AM191/AM190)*100</f>
        <v>0</v>
      </c>
      <c r="AN192" s="1077">
        <f>IF(AN190=0,0,AN191/AN190)*100</f>
        <v>0</v>
      </c>
      <c r="AO192" s="1094"/>
      <c r="AP192" s="1077">
        <f>IF(AP190=0,0,AP191/AP190)*100</f>
        <v>0</v>
      </c>
      <c r="AQ192" s="1077">
        <f>IF(AQ190=0,0,AQ191/AQ190)*100</f>
        <v>0</v>
      </c>
      <c r="AR192" s="1094"/>
      <c r="AS192" s="1077">
        <f>IF(AS190=0,0,AS191/AS190)*100</f>
        <v>0</v>
      </c>
      <c r="AT192" s="1077">
        <f>IF(AT190=0,0,AT191/AT190)*100</f>
        <v>0</v>
      </c>
      <c r="AU192" s="1094"/>
      <c r="AV192" s="1077">
        <f>IF(AV190=0,0,AV191/AV190)*100</f>
        <v>0</v>
      </c>
      <c r="AW192" s="1077">
        <f>IF(AW190=0,0,AW191/AW190)*100</f>
        <v>0</v>
      </c>
      <c r="AX192" s="1094"/>
      <c r="AY192" s="1077">
        <f>IF(AY190=0,0,AY191/AY190)*100</f>
        <v>0</v>
      </c>
      <c r="AZ192" s="1077">
        <f>IF(AZ190=0,0,AZ191/AZ190)*100</f>
        <v>0</v>
      </c>
      <c r="BA192" s="1094"/>
      <c r="BB192" s="1077">
        <f>IF(BB190=0,0,BB191/BB190)*100</f>
        <v>0</v>
      </c>
      <c r="BC192" s="1077">
        <f>IF(BC190=0,0,BC191/BC190)*100</f>
        <v>0</v>
      </c>
      <c r="BD192" s="1094"/>
      <c r="BE192" s="1077">
        <f>IF(BE190=0,0,BE191/BE190)*100</f>
        <v>0</v>
      </c>
      <c r="BF192" s="1077">
        <f>IF(BF190=0,0,BF191/BF190)*100</f>
        <v>0</v>
      </c>
      <c r="BG192" s="1094"/>
      <c r="BH192" s="1077">
        <f>IF(BH190=0,0,BH191/BH190)*100</f>
        <v>0</v>
      </c>
      <c r="BI192" s="1077">
        <f>IF(BI190=0,0,BI191/BI190)*100</f>
        <v>0</v>
      </c>
      <c r="BJ192" s="1094"/>
      <c r="BK192" s="1077">
        <f>IF(BK190=0,0,BK191/BK190)*100</f>
        <v>0</v>
      </c>
      <c r="BL192" s="1077">
        <f>IF(BL190=0,0,BL191/BL190)*100</f>
        <v>0</v>
      </c>
      <c r="BM192" s="1094"/>
      <c r="BN192" s="1077">
        <f>IF(BN190=0,0,BN191/BN190)*100</f>
        <v>0</v>
      </c>
      <c r="BO192" s="1077">
        <f>IF(BO190=0,0,BO191/BO190)*100</f>
        <v>0</v>
      </c>
      <c r="BP192" s="1094"/>
      <c r="BQ192" s="1077">
        <f>IF(BQ190=0,0,BQ191/BQ190)*100</f>
        <v>0</v>
      </c>
      <c r="BR192" s="1077">
        <f>IF(BR190=0,0,BR191/BR190)*100</f>
        <v>0</v>
      </c>
      <c r="BS192" s="1094"/>
      <c r="BT192" s="1077">
        <f>IF(BT190=0,0,BT191/BT190)*100</f>
        <v>0</v>
      </c>
      <c r="BU192" s="1077">
        <f>IF(BU190=0,0,BU191/BU190)*100</f>
        <v>0</v>
      </c>
      <c r="BV192" s="1094"/>
      <c r="BW192" s="1077">
        <f>IF(BW190=0,0,BW191/BW190)*100</f>
        <v>0</v>
      </c>
      <c r="BX192" s="1077">
        <f>IF(BX190=0,0,BX191/BX190)*100</f>
        <v>0</v>
      </c>
      <c r="BY192" s="1094"/>
      <c r="BZ192" s="1077">
        <f>IF(BZ190=0,0,BZ191/BZ190)*100</f>
        <v>0</v>
      </c>
      <c r="CA192" s="1077">
        <f>IF(CA190=0,0,CA191/CA190)*100</f>
        <v>0</v>
      </c>
      <c r="CB192" s="1094"/>
      <c r="CC192" s="1077">
        <f>IF(CC190=0,0,CC191/CC190)*100</f>
        <v>0</v>
      </c>
      <c r="CD192" s="1077">
        <f>IF(CD190=0,0,CD191/CD190)*100</f>
        <v>0</v>
      </c>
      <c r="CE192" s="1094"/>
      <c r="CF192" s="1077">
        <f>IF(CF190=0,0,CF191/CF190)*100</f>
        <v>0</v>
      </c>
      <c r="CG192" s="1077">
        <f>IF(CG190=0,0,CG191/CG190)*100</f>
        <v>0</v>
      </c>
      <c r="CH192" s="1094"/>
      <c r="CI192" s="1077">
        <f>IF(CI190=0,0,CI191/CI190)*100</f>
        <v>0</v>
      </c>
      <c r="CJ192" s="1077">
        <f>IF(CJ190=0,0,CJ191/CJ190)*100</f>
        <v>0</v>
      </c>
      <c r="CK192" s="1094"/>
      <c r="CL192" s="1077">
        <f>IF(CL190=0,0,CL191/CL190)*100</f>
        <v>0</v>
      </c>
      <c r="CM192" s="1077">
        <f>IF(CM190=0,0,CM191/CM190)*100</f>
        <v>0</v>
      </c>
      <c r="CN192" s="1094"/>
      <c r="CO192" s="1077">
        <f>IF(CO190=0,0,CO191/CO190)*100</f>
        <v>0</v>
      </c>
      <c r="CP192" s="1077">
        <f>IF(CP190=0,0,CP191/CP190)*100</f>
        <v>0</v>
      </c>
      <c r="CQ192" s="1094"/>
      <c r="CR192" s="1077">
        <f>IF(CR190=0,0,CR191/CR190)*100</f>
        <v>0</v>
      </c>
      <c r="CS192" s="1077">
        <f>IF(CS190=0,0,CS191/CS190)*100</f>
        <v>0</v>
      </c>
      <c r="CT192" s="1094"/>
      <c r="CU192" s="1077">
        <f>IF(CU190=0,0,CU191/CU190)*100</f>
        <v>0</v>
      </c>
      <c r="CV192" s="1077">
        <f>IF(CV190=0,0,CV191/CV190)*100</f>
        <v>0</v>
      </c>
      <c r="CW192" s="1094"/>
      <c r="CX192" s="1077">
        <f>IF(CX190=0,0,CX191/CX190)*100</f>
        <v>0</v>
      </c>
      <c r="CY192" s="1077">
        <f>IF(CY190=0,0,CY191/CY190)*100</f>
        <v>0</v>
      </c>
      <c r="CZ192" s="1094"/>
      <c r="DA192" s="1077">
        <f>IF(DA190=0,0,DA191/DA190)*100</f>
        <v>0</v>
      </c>
      <c r="DB192" s="1077">
        <f>IF(DB190=0,0,DB191/DB190)*100</f>
        <v>0</v>
      </c>
      <c r="DC192" s="1094"/>
      <c r="DD192" s="1077">
        <f>IF(DD190=0,0,DD191/DD190)*100</f>
        <v>0</v>
      </c>
      <c r="DE192" s="1077">
        <f>IF(DE190=0,0,DE191/DE190)*100</f>
        <v>0</v>
      </c>
      <c r="DF192" s="1094"/>
      <c r="DG192" s="1077">
        <f>IF(DG190=0,0,DG191/DG190)*100</f>
        <v>0</v>
      </c>
      <c r="DH192" s="1077">
        <f>IF(DH190=0,0,DH191/DH190)*100</f>
        <v>0</v>
      </c>
      <c r="DI192" s="1094"/>
      <c r="DJ192" s="1077">
        <f>IF(DJ190=0,0,DJ191/DJ190)*100</f>
        <v>0</v>
      </c>
      <c r="DK192" s="1077">
        <f>IF(DK190=0,0,DK191/DK190)*100</f>
        <v>0</v>
      </c>
      <c r="DL192" s="1094"/>
      <c r="DM192" s="1077">
        <f>IF(DM190=0,0,DM191/DM190)*100</f>
        <v>0</v>
      </c>
      <c r="DN192" s="1077">
        <f>IF(DN190=0,0,DN191/DN190)*100</f>
        <v>0</v>
      </c>
      <c r="DO192" s="1094"/>
      <c r="DP192" s="1077">
        <f>IF(DP190=0,0,DP191/DP190)*100</f>
        <v>0</v>
      </c>
      <c r="DQ192" s="1077">
        <f>IF(DQ190=0,0,DQ191/DQ190)*100</f>
        <v>0</v>
      </c>
      <c r="DR192" s="1094"/>
      <c r="DS192" s="1077">
        <f>IF(DS190=0,0,DS191/DS190)*100</f>
        <v>0</v>
      </c>
      <c r="DT192" s="1077">
        <f>IF(DT190=0,0,DT191/DT190)*100</f>
        <v>0</v>
      </c>
      <c r="DU192" s="1094"/>
      <c r="DV192" s="1077">
        <f>IF(DV190=0,0,DV191/DV190)*100</f>
        <v>0</v>
      </c>
      <c r="DW192" s="1077">
        <f>IF(DW190=0,0,DW191/DW190)*100</f>
        <v>0</v>
      </c>
      <c r="DX192" s="1094"/>
      <c r="DY192" s="1077">
        <f>IF(DY190=0,0,DY191/DY190)*100</f>
        <v>0</v>
      </c>
      <c r="DZ192" s="1077">
        <f>IF(DZ190=0,0,DZ191/DZ190)*100</f>
        <v>0</v>
      </c>
      <c r="EA192" s="1094"/>
      <c r="EB192" s="1077">
        <f>IF(EB190=0,0,EB191/EB190)*100</f>
        <v>0</v>
      </c>
      <c r="EC192" s="1077">
        <f>IF(EC190=0,0,EC191/EC190)*100</f>
        <v>0</v>
      </c>
      <c r="ED192" s="1094"/>
      <c r="EE192" s="1077">
        <f>IF(EE190=0,0,EE191/EE190)*100</f>
        <v>0</v>
      </c>
      <c r="EF192" s="1077">
        <f>IF(EF190=0,0,EF191/EF190)*100</f>
        <v>0</v>
      </c>
      <c r="EG192" s="1094"/>
      <c r="EH192" s="1077">
        <f>IF(EH190=0,0,EH191/EH190)*100</f>
        <v>0</v>
      </c>
      <c r="EI192" s="1077">
        <f>IF(EI190=0,0,EI191/EI190)*100</f>
        <v>0</v>
      </c>
      <c r="EJ192" s="1094"/>
      <c r="EK192" s="1077">
        <f>IF(EK190=0,0,EK191/EK190)*100</f>
        <v>0</v>
      </c>
      <c r="EL192" s="1077">
        <f>IF(EL190=0,0,EL191/EL190)*100</f>
        <v>0</v>
      </c>
      <c r="EM192" s="1094"/>
      <c r="EN192" s="1077">
        <f>IF(EN190=0,0,EN191/EN190)*100</f>
        <v>0</v>
      </c>
      <c r="EO192" s="1077">
        <f>IF(EO190=0,0,EO191/EO190)*100</f>
        <v>0</v>
      </c>
      <c r="EP192" s="1094"/>
      <c r="EQ192" s="1077">
        <f>IF(EQ190=0,0,EQ191/EQ190)*100</f>
        <v>0</v>
      </c>
      <c r="ER192" s="1077">
        <f>IF(ER190=0,0,ER191/ER190)*100</f>
        <v>0</v>
      </c>
      <c r="ES192" s="1094"/>
      <c r="ET192" s="1077">
        <f>IF(ET190=0,0,ET191/ET190)*100</f>
        <v>0</v>
      </c>
      <c r="EU192" s="1077">
        <f>IF(EU190=0,0,EU191/EU190)*100</f>
        <v>0</v>
      </c>
      <c r="EV192" s="1094"/>
      <c r="EW192" s="1077">
        <f>IF(EW190=0,0,EW191/EW190)*100</f>
        <v>0</v>
      </c>
      <c r="EX192" s="1077">
        <f>IF(EX190=0,0,EX191/EX190)*100</f>
        <v>0</v>
      </c>
      <c r="EY192" s="1094"/>
      <c r="EZ192" s="1077">
        <f>IF(EZ190=0,0,EZ191/EZ190)*100</f>
        <v>0</v>
      </c>
      <c r="FA192" s="1077">
        <f>IF(FA190=0,0,FA191/FA190)*100</f>
        <v>0</v>
      </c>
      <c r="FB192" s="1094"/>
      <c r="FC192" s="1077">
        <f>IF(FC190=0,0,FC191/FC190)*100</f>
        <v>0</v>
      </c>
      <c r="FD192" s="1077">
        <f>IF(FD190=0,0,FD191/FD190)*100</f>
        <v>0</v>
      </c>
      <c r="FE192" s="1094"/>
      <c r="FF192" s="1077">
        <f>IF(FF190=0,0,FF191/FF190)*100</f>
        <v>0</v>
      </c>
      <c r="FG192" s="1077">
        <f>IF(FG190=0,0,FG191/FG190)*100</f>
        <v>0</v>
      </c>
      <c r="FH192" s="1094"/>
      <c r="FI192" s="1077">
        <f>IF(FI190=0,0,FI191/FI190)*100</f>
        <v>0</v>
      </c>
      <c r="FJ192" s="1077">
        <f>IF(FJ190=0,0,FJ191/FJ190)*100</f>
        <v>0</v>
      </c>
      <c r="FK192" s="1094"/>
      <c r="FL192" s="1077">
        <f>IF(FL190=0,0,FL191/FL190)*100</f>
        <v>0</v>
      </c>
      <c r="FM192" s="1077">
        <f>IF(FM190=0,0,FM191/FM190)*100</f>
        <v>0</v>
      </c>
      <c r="FN192" s="1094"/>
      <c r="FO192" s="1077">
        <f>IF(FO190=0,0,FO191/FO190)*100</f>
        <v>0</v>
      </c>
      <c r="FP192" s="1077">
        <f>IF(FP190=0,0,FP191/FP190)*100</f>
        <v>0</v>
      </c>
      <c r="FQ192" s="1094"/>
      <c r="FR192" s="1077">
        <f>IF(FR190=0,0,FR191/FR190)*100</f>
        <v>0</v>
      </c>
      <c r="FS192" s="1077">
        <f>IF(FS190=0,0,FS191/FS190)*100</f>
        <v>0</v>
      </c>
      <c r="FT192" s="1094"/>
      <c r="FU192" s="1077">
        <f>IF(FU190=0,0,FU191/FU190)*100</f>
        <v>0</v>
      </c>
      <c r="FV192" s="1077">
        <f>IF(FV190=0,0,FV191/FV190)*100</f>
        <v>0</v>
      </c>
      <c r="FW192" s="1095"/>
      <c r="FX192" s="259"/>
      <c r="FY192" s="676"/>
      <c r="FZ192" s="1039" t="s">
        <v>1574</v>
      </c>
      <c r="GA192" s="1061"/>
      <c r="GB192" s="1061"/>
      <c r="GC192" s="697"/>
      <c r="GD192" s="697"/>
    </row>
    <row s="1621" customFormat="1" customHeight="1" ht="14.25" hidden="1">
      <c r="A193" s="467"/>
      <c r="B193" s="907" cm="1" t="str">
        <f t="array" ref="B193:B193">B192</f>
        <v>false</v>
      </c>
      <c r="C193" s="467"/>
      <c r="D193" s="467"/>
      <c r="E193" s="822">
        <v>15</v>
      </c>
      <c r="F193" s="50" cm="1" t="str">
        <f t="array" ref="F193:F193">OFFSET(E193,-1,1)</f>
        <v>2</v>
      </c>
      <c r="G193" s="73" t="s">
        <v>1503</v>
      </c>
      <c r="H193" s="467"/>
      <c r="I193" s="467"/>
      <c r="J193" s="467"/>
      <c r="K193" s="467"/>
      <c r="L193" s="467"/>
      <c r="M193" s="467"/>
      <c r="N193" s="467"/>
      <c r="O193" s="467"/>
      <c r="P193" s="467"/>
      <c r="Q193" s="467"/>
      <c r="R193" s="467"/>
      <c r="S193" s="467"/>
      <c r="T193" s="439" cm="1" t="str">
        <f t="array" ref="T193:T193">T192</f>
        <v>true</v>
      </c>
      <c r="U193" s="467"/>
      <c r="V193" s="467"/>
      <c r="W193" s="467"/>
      <c r="X193" s="1534"/>
      <c r="Y193" s="467"/>
      <c r="Z193" s="1464"/>
      <c r="AA193" s="467"/>
      <c r="AB193" s="882" t="s">
        <v>1504</v>
      </c>
      <c r="AC193" s="846" t="s">
        <v>512</v>
      </c>
      <c r="AD193" s="3404">
        <f>IF(AND(method_reg="Метод индексации",god&lt;&gt;first_year),_xlfn.SUMIFS(INDEX('Калькуляция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(МИ)'!$AJ$25:$BC$459,,MATCH(AD$8,'Калькуляция (МИ)'!$AJ$8:$BC$8,0)),'Калькуляция (МИ)'!$F$25:$F$459,$F193,'Калькуляция (МИ)'!$G$25:$G$459,$G193))))</f>
        <v>136.4819</v>
      </c>
      <c r="AE193" s="3404">
        <f>IF(AND(method_reg="Метод индексации",god&lt;&gt;first_year),_xlfn.SUMIFS(INDEX('Калькуляция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(МИ)'!$AJ$25:$BC$459,,MATCH(AE$8,'Калькуляция (МИ)'!$AJ$8:$BC$8,0)),'Калькуляция (МИ)'!$F$25:$F$459,$F193,'Калькуляция (МИ)'!$G$25:$G$459,$G193))))</f>
        <v>136.4819</v>
      </c>
      <c r="AF193" s="1080">
        <f>IF(AD193=0,0,(AE193-AD193)/AD193*100)</f>
        <v>0</v>
      </c>
      <c r="AG193" s="3404">
        <f>IF(AND(method_reg="Метод индексации",god&lt;&gt;first_year),_xlfn.SUMIFS(INDEX('Калькуляция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(МИ)'!$AJ$25:$BC$459,,MATCH(AG$8,'Калькуляция (МИ)'!$AJ$8:$BC$8,0)),'Калькуляция (МИ)'!$F$25:$F$459,$F193,'Калькуляция (МИ)'!$G$25:$G$459,$G193))))</f>
        <v>0</v>
      </c>
      <c r="AH193" s="3404">
        <f>IF(AND(method_reg="Метод индексации",god&lt;&gt;first_year),_xlfn.SUMIFS(INDEX('Калькуляция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(МИ)'!$AJ$25:$BC$459,,MATCH(AH$8,'Калькуляция (МИ)'!$AJ$8:$BC$8,0)),'Калькуляция (МИ)'!$F$25:$F$459,$F193,'Калькуляция (МИ)'!$G$25:$G$459,$G193))))</f>
        <v>0</v>
      </c>
      <c r="AI193" s="1080">
        <f>IF(AG193=0,0,(AH193-AG193)/AG193*100)</f>
        <v>0</v>
      </c>
      <c r="AJ193" s="3404">
        <f>IF(AND(method_reg="Метод индексации",god&lt;&gt;first_year),_xlfn.SUMIFS(INDEX('Калькуляция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(МИ)'!$AJ$25:$BC$459,,MATCH(AJ$8,'Калькуляция (МИ)'!$AJ$8:$BC$8,0)),'Калькуляция (МИ)'!$F$25:$F$459,$F193,'Калькуляция (МИ)'!$G$25:$G$459,$G193))))</f>
        <v>0</v>
      </c>
      <c r="AK193" s="3404">
        <f>IF(AND(method_reg="Метод индексации",god&lt;&gt;first_year),_xlfn.SUMIFS(INDEX('Калькуляция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(МИ)'!$AJ$25:$BC$459,,MATCH(AK$8,'Калькуляция (МИ)'!$AJ$8:$BC$8,0)),'Калькуляция (МИ)'!$F$25:$F$459,$F193,'Калькуляция (МИ)'!$G$25:$G$459,$G193))))</f>
        <v>0</v>
      </c>
      <c r="AL193" s="1080">
        <f>IF(AJ193=0,0,(AK193-AJ193)/AJ193*100)</f>
        <v>0</v>
      </c>
      <c r="AM193" s="3404">
        <f>IF(AND(method_reg="Метод индексации",god&lt;&gt;first_year),_xlfn.SUMIFS(INDEX('Калькуляция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(МИ)'!$AJ$25:$BC$459,,MATCH(AM$8,'Калькуляция (МИ)'!$AJ$8:$BC$8,0)),'Калькуляция (МИ)'!$F$25:$F$459,$F193,'Калькуляция (МИ)'!$G$25:$G$459,$G193))))</f>
        <v>0</v>
      </c>
      <c r="AN193" s="3404">
        <f>IF(AND(method_reg="Метод индексации",god&lt;&gt;first_year),_xlfn.SUMIFS(INDEX('Калькуляция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(МИ)'!$AJ$25:$BC$459,,MATCH(AN$8,'Калькуляция (МИ)'!$AJ$8:$BC$8,0)),'Калькуляция (МИ)'!$F$25:$F$459,$F193,'Калькуляция (МИ)'!$G$25:$G$459,$G193))))</f>
        <v>0</v>
      </c>
      <c r="AO193" s="1080">
        <f>IF(AM193=0,0,(AN193-AM193)/AM193*100)</f>
        <v>0</v>
      </c>
      <c r="AP193" s="3404">
        <f>IF(AND(method_reg="Метод индексации",god&lt;&gt;first_year),_xlfn.SUMIFS(INDEX('Калькуляция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(МИ)'!$AJ$25:$BC$459,,MATCH(AP$8,'Калькуляция (МИ)'!$AJ$8:$BC$8,0)),'Калькуляция (МИ)'!$F$25:$F$459,$F193,'Калькуляция (МИ)'!$G$25:$G$459,$G193))))</f>
        <v>0</v>
      </c>
      <c r="AQ193" s="3404">
        <f>IF(AND(method_reg="Метод индексации",god&lt;&gt;first_year),_xlfn.SUMIFS(INDEX('Калькуляция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(МИ)'!$AJ$25:$BC$459,,MATCH(AQ$8,'Калькуляция (МИ)'!$AJ$8:$BC$8,0)),'Калькуляция (МИ)'!$F$25:$F$459,$F193,'Калькуляция (МИ)'!$G$25:$G$459,$G193))))</f>
        <v>0</v>
      </c>
      <c r="AR193" s="1080">
        <f>IF(AP193=0,0,(AQ193-AP193)/AP193*100)</f>
        <v>0</v>
      </c>
      <c r="AS193" s="3404">
        <f>IF(AND(method_reg="Метод индексации",god&lt;&gt;first_year),_xlfn.SUMIFS(INDEX('Калькуляция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(МИ)'!$AJ$25:$BC$459,,MATCH(AS$8,'Калькуляция (МИ)'!$AJ$8:$BC$8,0)),'Калькуляция (МИ)'!$F$25:$F$459,$F193,'Калькуляция (МИ)'!$G$25:$G$459,$G193))))</f>
        <v>0</v>
      </c>
      <c r="AT193" s="3404">
        <f>IF(AND(method_reg="Метод индексации",god&lt;&gt;first_year),_xlfn.SUMIFS(INDEX('Калькуляция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(МИ)'!$AJ$25:$BC$459,,MATCH(AT$8,'Калькуляция (МИ)'!$AJ$8:$BC$8,0)),'Калькуляция (МИ)'!$F$25:$F$459,$F193,'Калькуляция (МИ)'!$G$25:$G$459,$G193))))</f>
        <v>0</v>
      </c>
      <c r="AU193" s="1080">
        <f>IF(AS193=0,0,(AT193-AS193)/AS193*100)</f>
        <v>0</v>
      </c>
      <c r="AV193" s="3404">
        <f>IF(AND(method_reg="Метод индексации",god&lt;&gt;first_year),_xlfn.SUMIFS(INDEX('Калькуляция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(МИ)'!$AJ$25:$BC$459,,MATCH(AV$8,'Калькуляция (МИ)'!$AJ$8:$BC$8,0)),'Калькуляция (МИ)'!$F$25:$F$459,$F193,'Калькуляция (МИ)'!$G$25:$G$459,$G193))))</f>
        <v>0</v>
      </c>
      <c r="AW193" s="3404">
        <f>IF(AND(method_reg="Метод индексации",god&lt;&gt;first_year),_xlfn.SUMIFS(INDEX('Калькуляция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(МИ)'!$AJ$25:$BC$459,,MATCH(AW$8,'Калькуляция (МИ)'!$AJ$8:$BC$8,0)),'Калькуляция (МИ)'!$F$25:$F$459,$F193,'Калькуляция (МИ)'!$G$25:$G$459,$G193))))</f>
        <v>0</v>
      </c>
      <c r="AX193" s="1080">
        <f>IF(AV193=0,0,(AW193-AV193)/AV193*100)</f>
        <v>0</v>
      </c>
      <c r="AY193" s="3404">
        <f>IF(AND(method_reg="Метод индексации",god&lt;&gt;first_year),_xlfn.SUMIFS(INDEX('Калькуляция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(МИ)'!$AJ$25:$BC$459,,MATCH(AY$8,'Калькуляция (МИ)'!$AJ$8:$BC$8,0)),'Калькуляция (МИ)'!$F$25:$F$459,$F193,'Калькуляция (МИ)'!$G$25:$G$459,$G193))))</f>
        <v>0</v>
      </c>
      <c r="AZ193" s="3404">
        <f>IF(AND(method_reg="Метод индексации",god&lt;&gt;first_year),_xlfn.SUMIFS(INDEX('Калькуляция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(МИ)'!$AJ$25:$BC$459,,MATCH(AZ$8,'Калькуляция (МИ)'!$AJ$8:$BC$8,0)),'Калькуляция (МИ)'!$F$25:$F$459,$F193,'Калькуляция (МИ)'!$G$25:$G$459,$G193))))</f>
        <v>0</v>
      </c>
      <c r="BA193" s="1080">
        <f>IF(AY193=0,0,(AZ193-AY193)/AY193*100)</f>
        <v>0</v>
      </c>
      <c r="BB193" s="3404">
        <f>IF(AND(method_reg="Метод индексации",god&lt;&gt;first_year),_xlfn.SUMIFS(INDEX('Калькуляция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(МИ)'!$AJ$25:$BC$459,,MATCH(BB$8,'Калькуляция (МИ)'!$AJ$8:$BC$8,0)),'Калькуляция (МИ)'!$F$25:$F$459,$F193,'Калькуляция (МИ)'!$G$25:$G$459,$G193))))</f>
        <v>0</v>
      </c>
      <c r="BC193" s="3404">
        <f>IF(AND(method_reg="Метод индексации",god&lt;&gt;first_year),_xlfn.SUMIFS(INDEX('Калькуляция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(МИ)'!$AJ$25:$BC$459,,MATCH(BC$8,'Калькуляция (МИ)'!$AJ$8:$BC$8,0)),'Калькуляция (МИ)'!$F$25:$F$459,$F193,'Калькуляция (МИ)'!$G$25:$G$459,$G193))))</f>
        <v>0</v>
      </c>
      <c r="BD193" s="1080">
        <f>IF(BB193=0,0,(BC193-BB193)/BB193*100)</f>
        <v>0</v>
      </c>
      <c r="BE193" s="3404">
        <f>IF(AND(method_reg="Метод индексации",god&lt;&gt;first_year),_xlfn.SUMIFS(INDEX('Калькуляция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расходов",_xlfn.SUMIFS('Калькуляция (МЭОР)'!$AJ$25:$AJ$282,'Калькуляция (МЭОР)'!$F$25:$F$282,$F193,'Калькуляция (МЭОР)'!$G$25:$G$282,$G193),IF(method_reg="Метод сравнения аналогов",_xlfn.SUMIFS('Калькуляция (МСА)'!$AE$25:$AE$84,'Калькуляция (МСА)'!$F$25:$F$84,$F193,'Калькуляция (МСА)'!$G$25:$G$84,$G193),_xlfn.SUMIFS(INDEX('Калькуляция (МИ)'!$AJ$25:$BC$459,,MATCH(BE$8,'Калькуляция (МИ)'!$AJ$8:$BC$8,0)),'Калькуляция (МИ)'!$F$25:$F$459,$F193,'Калькуляция (МИ)'!$G$25:$G$459,$G193))))</f>
        <v>0</v>
      </c>
      <c r="BF193" s="3404">
        <f>IF(AND(method_reg="Метод индексации",god&lt;&gt;first_year),_xlfn.SUMIFS(INDEX('Калькуляция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расходов",_xlfn.SUMIFS('Калькуляция (МЭОР)'!$AK$25:$AK$282,'Калькуляция (МЭОР)'!$F$25:$F$282,$F193,'Калькуляция (МЭОР)'!$G$25:$G$282,$G193),IF(method_reg="Метод сравнения аналогов",_xlfn.SUMIFS('Калькуляция (МСА)'!$AF$25:$AF$84,'Калькуляция (МСА)'!$F$25:$F$84,$F193,'Калькуляция (МСА)'!$G$25:$G$84,$G193),_xlfn.SUMIFS(INDEX('Калькуляция (МИ)'!$AJ$25:$BC$459,,MATCH(BF$8,'Калькуляция (МИ)'!$AJ$8:$BC$8,0)),'Калькуляция (МИ)'!$F$25:$F$459,$F193,'Калькуляция (МИ)'!$G$25:$G$459,$G193))))</f>
        <v>0</v>
      </c>
      <c r="BG193" s="1080">
        <f>IF(BE193=0,0,(BF193-BE193)/BE193*100)</f>
        <v>0</v>
      </c>
      <c r="BH193" s="3404"/>
      <c r="BI193" s="3404"/>
      <c r="BJ193" s="1080">
        <f>IF(BH193=0,0,(BI193-BH193)/BH193*100)</f>
        <v>0</v>
      </c>
      <c r="BK193" s="3404"/>
      <c r="BL193" s="3404"/>
      <c r="BM193" s="1080">
        <f>IF(BK193=0,0,(BL193-BK193)/BK193*100)</f>
        <v>0</v>
      </c>
      <c r="BN193" s="3404"/>
      <c r="BO193" s="3404"/>
      <c r="BP193" s="1080">
        <f>IF(BN193=0,0,(BO193-BN193)/BN193*100)</f>
        <v>0</v>
      </c>
      <c r="BQ193" s="3404"/>
      <c r="BR193" s="3404"/>
      <c r="BS193" s="1080">
        <f>IF(BQ193=0,0,(BR193-BQ193)/BQ193*100)</f>
        <v>0</v>
      </c>
      <c r="BT193" s="3404"/>
      <c r="BU193" s="3404"/>
      <c r="BV193" s="1080">
        <f>IF(BT193=0,0,(BU193-BT193)/BT193*100)</f>
        <v>0</v>
      </c>
      <c r="BW193" s="3404"/>
      <c r="BX193" s="3404"/>
      <c r="BY193" s="1080">
        <f>IF(BW193=0,0,(BX193-BW193)/BW193*100)</f>
        <v>0</v>
      </c>
      <c r="BZ193" s="3404"/>
      <c r="CA193" s="3404"/>
      <c r="CB193" s="1080">
        <f>IF(BZ193=0,0,(CA193-BZ193)/BZ193*100)</f>
        <v>0</v>
      </c>
      <c r="CC193" s="3404"/>
      <c r="CD193" s="3404"/>
      <c r="CE193" s="1080">
        <f>IF(CC193=0,0,(CD193-CC193)/CC193*100)</f>
        <v>0</v>
      </c>
      <c r="CF193" s="3404"/>
      <c r="CG193" s="3404"/>
      <c r="CH193" s="1080">
        <f>IF(CF193=0,0,(CG193-CF193)/CF193*100)</f>
        <v>0</v>
      </c>
      <c r="CI193" s="3404"/>
      <c r="CJ193" s="3404"/>
      <c r="CK193" s="1080">
        <f>IF(CI193=0,0,(CJ193-CI193)/CI193*100)</f>
        <v>0</v>
      </c>
      <c r="CL193" s="3404"/>
      <c r="CM193" s="3404"/>
      <c r="CN193" s="1080">
        <f>IF(CL193=0,0,(CM193-CL193)/CL193*100)</f>
        <v>0</v>
      </c>
      <c r="CO193" s="3404"/>
      <c r="CP193" s="3404"/>
      <c r="CQ193" s="1080">
        <f>IF(CO193=0,0,(CP193-CO193)/CO193*100)</f>
        <v>0</v>
      </c>
      <c r="CR193" s="3404"/>
      <c r="CS193" s="3404"/>
      <c r="CT193" s="1080">
        <f>IF(CR193=0,0,(CS193-CR193)/CR193*100)</f>
        <v>0</v>
      </c>
      <c r="CU193" s="3404"/>
      <c r="CV193" s="3404"/>
      <c r="CW193" s="1080">
        <f>IF(CU193=0,0,(CV193-CU193)/CU193*100)</f>
        <v>0</v>
      </c>
      <c r="CX193" s="3404"/>
      <c r="CY193" s="3404"/>
      <c r="CZ193" s="1080">
        <f>IF(CX193=0,0,(CY193-CX193)/CX193*100)</f>
        <v>0</v>
      </c>
      <c r="DA193" s="3404"/>
      <c r="DB193" s="3404"/>
      <c r="DC193" s="1080">
        <f>IF(DA193=0,0,(DB193-DA193)/DA193*100)</f>
        <v>0</v>
      </c>
      <c r="DD193" s="3404"/>
      <c r="DE193" s="3404"/>
      <c r="DF193" s="1080">
        <f>IF(DD193=0,0,(DE193-DD193)/DD193*100)</f>
        <v>0</v>
      </c>
      <c r="DG193" s="3404"/>
      <c r="DH193" s="3404"/>
      <c r="DI193" s="1080">
        <f>IF(DG193=0,0,(DH193-DG193)/DG193*100)</f>
        <v>0</v>
      </c>
      <c r="DJ193" s="3404"/>
      <c r="DK193" s="3404"/>
      <c r="DL193" s="1080">
        <f>IF(DJ193=0,0,(DK193-DJ193)/DJ193*100)</f>
        <v>0</v>
      </c>
      <c r="DM193" s="3404"/>
      <c r="DN193" s="3404"/>
      <c r="DO193" s="1080">
        <f>IF(DM193=0,0,(DN193-DM193)/DM193*100)</f>
        <v>0</v>
      </c>
      <c r="DP193" s="3404"/>
      <c r="DQ193" s="3404"/>
      <c r="DR193" s="1080">
        <f>IF(DP193=0,0,(DQ193-DP193)/DP193*100)</f>
        <v>0</v>
      </c>
      <c r="DS193" s="3404"/>
      <c r="DT193" s="3404"/>
      <c r="DU193" s="1080">
        <f>IF(DS193=0,0,(DT193-DS193)/DS193*100)</f>
        <v>0</v>
      </c>
      <c r="DV193" s="3404"/>
      <c r="DW193" s="3404"/>
      <c r="DX193" s="1080">
        <f>IF(DV193=0,0,(DW193-DV193)/DV193*100)</f>
        <v>0</v>
      </c>
      <c r="DY193" s="3404"/>
      <c r="DZ193" s="3404"/>
      <c r="EA193" s="1080">
        <f>IF(DY193=0,0,(DZ193-DY193)/DY193*100)</f>
        <v>0</v>
      </c>
      <c r="EB193" s="3404"/>
      <c r="EC193" s="3404"/>
      <c r="ED193" s="1080">
        <f>IF(EB193=0,0,(EC193-EB193)/EB193*100)</f>
        <v>0</v>
      </c>
      <c r="EE193" s="3404"/>
      <c r="EF193" s="3404"/>
      <c r="EG193" s="1080">
        <f>IF(EE193=0,0,(EF193-EE193)/EE193*100)</f>
        <v>0</v>
      </c>
      <c r="EH193" s="3404"/>
      <c r="EI193" s="3404"/>
      <c r="EJ193" s="1080">
        <f>IF(EH193=0,0,(EI193-EH193)/EH193*100)</f>
        <v>0</v>
      </c>
      <c r="EK193" s="3404"/>
      <c r="EL193" s="3404"/>
      <c r="EM193" s="1080">
        <f>IF(EK193=0,0,(EL193-EK193)/EK193*100)</f>
        <v>0</v>
      </c>
      <c r="EN193" s="3404"/>
      <c r="EO193" s="3404"/>
      <c r="EP193" s="1080">
        <f>IF(EN193=0,0,(EO193-EN193)/EN193*100)</f>
        <v>0</v>
      </c>
      <c r="EQ193" s="3404"/>
      <c r="ER193" s="3404"/>
      <c r="ES193" s="1080">
        <f>IF(EQ193=0,0,(ER193-EQ193)/EQ193*100)</f>
        <v>0</v>
      </c>
      <c r="ET193" s="3404"/>
      <c r="EU193" s="3404"/>
      <c r="EV193" s="1080">
        <f>IF(ET193=0,0,(EU193-ET193)/ET193*100)</f>
        <v>0</v>
      </c>
      <c r="EW193" s="3404"/>
      <c r="EX193" s="3404"/>
      <c r="EY193" s="1080">
        <f>IF(EW193=0,0,(EX193-EW193)/EW193*100)</f>
        <v>0</v>
      </c>
      <c r="EZ193" s="3404"/>
      <c r="FA193" s="3404"/>
      <c r="FB193" s="1080">
        <f>IF(EZ193=0,0,(FA193-EZ193)/EZ193*100)</f>
        <v>0</v>
      </c>
      <c r="FC193" s="3404"/>
      <c r="FD193" s="3404"/>
      <c r="FE193" s="1080">
        <f>IF(FC193=0,0,(FD193-FC193)/FC193*100)</f>
        <v>0</v>
      </c>
      <c r="FF193" s="3404"/>
      <c r="FG193" s="3404"/>
      <c r="FH193" s="1080">
        <f>IF(FF193=0,0,(FG193-FF193)/FF193*100)</f>
        <v>0</v>
      </c>
      <c r="FI193" s="3404"/>
      <c r="FJ193" s="3404"/>
      <c r="FK193" s="1080">
        <f>IF(FI193=0,0,(FJ193-FI193)/FI193*100)</f>
        <v>0</v>
      </c>
      <c r="FL193" s="3404"/>
      <c r="FM193" s="3404"/>
      <c r="FN193" s="1080">
        <f>IF(FL193=0,0,(FM193-FL193)/FL193*100)</f>
        <v>0</v>
      </c>
      <c r="FO193" s="3404"/>
      <c r="FP193" s="3404"/>
      <c r="FQ193" s="1080">
        <f>IF(FO193=0,0,(FP193-FO193)/FO193*100)</f>
        <v>0</v>
      </c>
      <c r="FR193" s="3404"/>
      <c r="FS193" s="3404"/>
      <c r="FT193" s="1080">
        <f>IF(FR193=0,0,(FS193-FR193)/FR193*100)</f>
        <v>0</v>
      </c>
      <c r="FU193" s="3404"/>
      <c r="FV193" s="3404"/>
      <c r="FW193" s="1080">
        <f>IF(FU193=0,0,(FV193-FU193)/FU193*100)</f>
        <v>0</v>
      </c>
      <c r="FX193" s="259"/>
      <c r="FY193" s="676"/>
      <c r="FZ193" s="1039" t="s">
        <v>1575</v>
      </c>
      <c r="GA193" s="1061"/>
      <c r="GB193" s="1061"/>
      <c r="GC193" s="697"/>
      <c r="GD193" s="697"/>
    </row>
    <row s="1621" customFormat="1" customHeight="1" ht="18" hidden="1">
      <c r="A194" s="467"/>
      <c r="B194" s="907" cm="1" t="str">
        <f t="array" ref="B194:B194">B193</f>
        <v>false</v>
      </c>
      <c r="C194" s="467"/>
      <c r="D194" s="467"/>
      <c r="E194" s="822">
        <v>18.75</v>
      </c>
      <c r="F194" s="50" cm="1" t="str">
        <f t="array" ref="F194:F194">OFFSET(E194,-1,1)</f>
        <v>2</v>
      </c>
      <c r="G194" s="467"/>
      <c r="H194" s="467" t="s">
        <v>441</v>
      </c>
      <c r="I194" s="467" cm="1" t="str">
        <f t="array" ref="I194:I194">AB194</f>
        <v>0</v>
      </c>
      <c r="J194" s="467"/>
      <c r="K194" s="467"/>
      <c r="L194" s="467"/>
      <c r="M194" s="467"/>
      <c r="N194" s="467"/>
      <c r="O194" s="467"/>
      <c r="P194" s="467"/>
      <c r="Q194" s="467"/>
      <c r="R194" s="467"/>
      <c r="S194" s="467"/>
      <c r="T194" s="439">
        <f>AND(F194&gt;0,Y194&gt;0)</f>
        <v>0</v>
      </c>
      <c r="U194" s="467"/>
      <c r="V194" s="467"/>
      <c r="W194" s="467" t="s">
        <v>173</v>
      </c>
      <c r="X194" s="1534"/>
      <c r="Y194" s="467">
        <v>0</v>
      </c>
      <c r="Z194" s="1464"/>
      <c r="AA194" s="642" t="s">
        <v>174</v>
      </c>
      <c r="AB194" s="3433"/>
      <c r="AC194" s="846" t="s">
        <v>1494</v>
      </c>
      <c r="AD194" s="3409"/>
      <c r="AE194" s="3410"/>
      <c r="AF194" s="1078">
        <f>IF(AD194=0,0,(AE194-AD194)/AD194*100)</f>
        <v>0</v>
      </c>
      <c r="AG194" s="3410"/>
      <c r="AH194" s="3410"/>
      <c r="AI194" s="1078">
        <f>IF(AG194=0,0,(AH194-AG194)/AG194*100)</f>
        <v>0</v>
      </c>
      <c r="AJ194" s="3410"/>
      <c r="AK194" s="3410"/>
      <c r="AL194" s="1078">
        <f>IF(AJ194=0,0,(AK194-AJ194)/AJ194*100)</f>
        <v>0</v>
      </c>
      <c r="AM194" s="3410"/>
      <c r="AN194" s="3410"/>
      <c r="AO194" s="1078">
        <f>IF(AM194=0,0,(AN194-AM194)/AM194*100)</f>
        <v>0</v>
      </c>
      <c r="AP194" s="3410"/>
      <c r="AQ194" s="3410"/>
      <c r="AR194" s="1078">
        <f>IF(AP194=0,0,(AQ194-AP194)/AP194*100)</f>
        <v>0</v>
      </c>
      <c r="AS194" s="3410"/>
      <c r="AT194" s="3410"/>
      <c r="AU194" s="1078">
        <f>IF(AS194=0,0,(AT194-AS194)/AS194*100)</f>
        <v>0</v>
      </c>
      <c r="AV194" s="3410"/>
      <c r="AW194" s="3410"/>
      <c r="AX194" s="1078">
        <f>IF(AV194=0,0,(AW194-AV194)/AV194*100)</f>
        <v>0</v>
      </c>
      <c r="AY194" s="3410"/>
      <c r="AZ194" s="3410"/>
      <c r="BA194" s="1078">
        <f>IF(AY194=0,0,(AZ194-AY194)/AY194*100)</f>
        <v>0</v>
      </c>
      <c r="BB194" s="3410"/>
      <c r="BC194" s="3410"/>
      <c r="BD194" s="1078">
        <f>IF(BB194=0,0,(BC194-BB194)/BB194*100)</f>
        <v>0</v>
      </c>
      <c r="BE194" s="3410"/>
      <c r="BF194" s="3410"/>
      <c r="BG194" s="1078">
        <f>IF(BE194=0,0,(BF194-BE194)/BE194*100)</f>
        <v>0</v>
      </c>
      <c r="BH194" s="3410"/>
      <c r="BI194" s="3410"/>
      <c r="BJ194" s="1078">
        <f>IF(BH194=0,0,(BI194-BH194)/BH194*100)</f>
        <v>0</v>
      </c>
      <c r="BK194" s="3410"/>
      <c r="BL194" s="3410"/>
      <c r="BM194" s="1078">
        <f>IF(BK194=0,0,(BL194-BK194)/BK194*100)</f>
        <v>0</v>
      </c>
      <c r="BN194" s="3410"/>
      <c r="BO194" s="3410"/>
      <c r="BP194" s="1078">
        <f>IF(BN194=0,0,(BO194-BN194)/BN194*100)</f>
        <v>0</v>
      </c>
      <c r="BQ194" s="3410"/>
      <c r="BR194" s="3410"/>
      <c r="BS194" s="1078">
        <f>IF(BQ194=0,0,(BR194-BQ194)/BQ194*100)</f>
        <v>0</v>
      </c>
      <c r="BT194" s="3410"/>
      <c r="BU194" s="3410"/>
      <c r="BV194" s="1078">
        <f>IF(BT194=0,0,(BU194-BT194)/BT194*100)</f>
        <v>0</v>
      </c>
      <c r="BW194" s="3410"/>
      <c r="BX194" s="3410"/>
      <c r="BY194" s="1078">
        <f>IF(BW194=0,0,(BX194-BW194)/BW194*100)</f>
        <v>0</v>
      </c>
      <c r="BZ194" s="3410"/>
      <c r="CA194" s="3410"/>
      <c r="CB194" s="1078">
        <f>IF(BZ194=0,0,(CA194-BZ194)/BZ194*100)</f>
        <v>0</v>
      </c>
      <c r="CC194" s="3410"/>
      <c r="CD194" s="3410"/>
      <c r="CE194" s="1078">
        <f>IF(CC194=0,0,(CD194-CC194)/CC194*100)</f>
        <v>0</v>
      </c>
      <c r="CF194" s="3410"/>
      <c r="CG194" s="3410"/>
      <c r="CH194" s="1078">
        <f>IF(CF194=0,0,(CG194-CF194)/CF194*100)</f>
        <v>0</v>
      </c>
      <c r="CI194" s="3410"/>
      <c r="CJ194" s="3410"/>
      <c r="CK194" s="1078">
        <f>IF(CI194=0,0,(CJ194-CI194)/CI194*100)</f>
        <v>0</v>
      </c>
      <c r="CL194" s="3410"/>
      <c r="CM194" s="3410"/>
      <c r="CN194" s="1078">
        <f>IF(CL194=0,0,(CM194-CL194)/CL194*100)</f>
        <v>0</v>
      </c>
      <c r="CO194" s="3410"/>
      <c r="CP194" s="3410"/>
      <c r="CQ194" s="1078">
        <f>IF(CO194=0,0,(CP194-CO194)/CO194*100)</f>
        <v>0</v>
      </c>
      <c r="CR194" s="3410"/>
      <c r="CS194" s="3410"/>
      <c r="CT194" s="1078">
        <f>IF(CR194=0,0,(CS194-CR194)/CR194*100)</f>
        <v>0</v>
      </c>
      <c r="CU194" s="3410"/>
      <c r="CV194" s="3410"/>
      <c r="CW194" s="1078">
        <f>IF(CU194=0,0,(CV194-CU194)/CU194*100)</f>
        <v>0</v>
      </c>
      <c r="CX194" s="3410"/>
      <c r="CY194" s="3410"/>
      <c r="CZ194" s="1078">
        <f>IF(CX194=0,0,(CY194-CX194)/CX194*100)</f>
        <v>0</v>
      </c>
      <c r="DA194" s="3410"/>
      <c r="DB194" s="3410"/>
      <c r="DC194" s="1078">
        <f>IF(DA194=0,0,(DB194-DA194)/DA194*100)</f>
        <v>0</v>
      </c>
      <c r="DD194" s="3410"/>
      <c r="DE194" s="3410"/>
      <c r="DF194" s="1078">
        <f>IF(DD194=0,0,(DE194-DD194)/DD194*100)</f>
        <v>0</v>
      </c>
      <c r="DG194" s="3410"/>
      <c r="DH194" s="3410"/>
      <c r="DI194" s="1078">
        <f>IF(DG194=0,0,(DH194-DG194)/DG194*100)</f>
        <v>0</v>
      </c>
      <c r="DJ194" s="3410"/>
      <c r="DK194" s="3410"/>
      <c r="DL194" s="1078">
        <f>IF(DJ194=0,0,(DK194-DJ194)/DJ194*100)</f>
        <v>0</v>
      </c>
      <c r="DM194" s="3410"/>
      <c r="DN194" s="3410"/>
      <c r="DO194" s="1078">
        <f>IF(DM194=0,0,(DN194-DM194)/DM194*100)</f>
        <v>0</v>
      </c>
      <c r="DP194" s="3410"/>
      <c r="DQ194" s="3410"/>
      <c r="DR194" s="1078">
        <f>IF(DP194=0,0,(DQ194-DP194)/DP194*100)</f>
        <v>0</v>
      </c>
      <c r="DS194" s="3410"/>
      <c r="DT194" s="3410"/>
      <c r="DU194" s="1078">
        <f>IF(DS194=0,0,(DT194-DS194)/DS194*100)</f>
        <v>0</v>
      </c>
      <c r="DV194" s="3410"/>
      <c r="DW194" s="3410"/>
      <c r="DX194" s="1078">
        <f>IF(DV194=0,0,(DW194-DV194)/DV194*100)</f>
        <v>0</v>
      </c>
      <c r="DY194" s="3410"/>
      <c r="DZ194" s="3410"/>
      <c r="EA194" s="1078">
        <f>IF(DY194=0,0,(DZ194-DY194)/DY194*100)</f>
        <v>0</v>
      </c>
      <c r="EB194" s="3410"/>
      <c r="EC194" s="3410"/>
      <c r="ED194" s="1078">
        <f>IF(EB194=0,0,(EC194-EB194)/EB194*100)</f>
        <v>0</v>
      </c>
      <c r="EE194" s="3410"/>
      <c r="EF194" s="3410"/>
      <c r="EG194" s="1078">
        <f>IF(EE194=0,0,(EF194-EE194)/EE194*100)</f>
        <v>0</v>
      </c>
      <c r="EH194" s="3410"/>
      <c r="EI194" s="3410"/>
      <c r="EJ194" s="1078">
        <f>IF(EH194=0,0,(EI194-EH194)/EH194*100)</f>
        <v>0</v>
      </c>
      <c r="EK194" s="3410"/>
      <c r="EL194" s="3410"/>
      <c r="EM194" s="1078">
        <f>IF(EK194=0,0,(EL194-EK194)/EK194*100)</f>
        <v>0</v>
      </c>
      <c r="EN194" s="3410"/>
      <c r="EO194" s="3410"/>
      <c r="EP194" s="1078">
        <f>IF(EN194=0,0,(EO194-EN194)/EN194*100)</f>
        <v>0</v>
      </c>
      <c r="EQ194" s="3410"/>
      <c r="ER194" s="3410"/>
      <c r="ES194" s="1078">
        <f>IF(EQ194=0,0,(ER194-EQ194)/EQ194*100)</f>
        <v>0</v>
      </c>
      <c r="ET194" s="3410"/>
      <c r="EU194" s="3410"/>
      <c r="EV194" s="1078">
        <f>IF(ET194=0,0,(EU194-ET194)/ET194*100)</f>
        <v>0</v>
      </c>
      <c r="EW194" s="3410"/>
      <c r="EX194" s="3410"/>
      <c r="EY194" s="1078">
        <f>IF(EW194=0,0,(EX194-EW194)/EW194*100)</f>
        <v>0</v>
      </c>
      <c r="EZ194" s="3410"/>
      <c r="FA194" s="3410"/>
      <c r="FB194" s="1078">
        <f>IF(EZ194=0,0,(FA194-EZ194)/EZ194*100)</f>
        <v>0</v>
      </c>
      <c r="FC194" s="3410"/>
      <c r="FD194" s="3410"/>
      <c r="FE194" s="1078">
        <f>IF(FC194=0,0,(FD194-FC194)/FC194*100)</f>
        <v>0</v>
      </c>
      <c r="FF194" s="3410"/>
      <c r="FG194" s="3410"/>
      <c r="FH194" s="1078">
        <f>IF(FF194=0,0,(FG194-FF194)/FF194*100)</f>
        <v>0</v>
      </c>
      <c r="FI194" s="3410"/>
      <c r="FJ194" s="3410"/>
      <c r="FK194" s="1078">
        <f>IF(FI194=0,0,(FJ194-FI194)/FI194*100)</f>
        <v>0</v>
      </c>
      <c r="FL194" s="3410"/>
      <c r="FM194" s="3410"/>
      <c r="FN194" s="1078">
        <f>IF(FL194=0,0,(FM194-FL194)/FL194*100)</f>
        <v>0</v>
      </c>
      <c r="FO194" s="3410"/>
      <c r="FP194" s="3410"/>
      <c r="FQ194" s="1078">
        <f>IF(FO194=0,0,(FP194-FO194)/FO194*100)</f>
        <v>0</v>
      </c>
      <c r="FR194" s="3410"/>
      <c r="FS194" s="3410"/>
      <c r="FT194" s="1078">
        <f>IF(FR194=0,0,(FS194-FR194)/FR194*100)</f>
        <v>0</v>
      </c>
      <c r="FU194" s="3410"/>
      <c r="FV194" s="3410"/>
      <c r="FW194" s="1078">
        <f>IF(FU194=0,0,(FV194-FU194)/FU194*100)</f>
        <v>0</v>
      </c>
      <c r="FX194" s="259"/>
      <c r="FY194" s="676"/>
      <c r="FZ194" s="1039" t="s">
        <v>1576</v>
      </c>
      <c r="GA194" s="998" t="s">
        <v>1577</v>
      </c>
      <c r="GB194" s="998" cm="1" t="str">
        <f t="array" ref="GB194:GB194">AB194</f>
        <v>0</v>
      </c>
      <c r="GC194" s="697"/>
      <c r="GD194" s="611" t="b">
        <v>1</v>
      </c>
    </row>
    <row s="1621" customFormat="1" customHeight="1" ht="14.25" hidden="1">
      <c r="A195" s="676"/>
      <c r="B195" s="907" cm="1" t="str">
        <f t="array" ref="B195:B195">B194</f>
        <v>false</v>
      </c>
      <c r="C195" s="676"/>
      <c r="D195" s="467"/>
      <c r="E195" s="822">
        <v>15</v>
      </c>
      <c r="F195" s="50" cm="1" t="str">
        <f t="array" ref="F195:F195">OFFSET(E195,-1,1)</f>
        <v>2</v>
      </c>
      <c r="G195" s="467"/>
      <c r="H195" s="676"/>
      <c r="I195" s="64" t="s">
        <v>1578</v>
      </c>
      <c r="J195" s="676"/>
      <c r="K195" s="676"/>
      <c r="L195" s="676"/>
      <c r="M195" s="676"/>
      <c r="N195" s="676"/>
      <c r="O195" s="676"/>
      <c r="P195" s="676"/>
      <c r="Q195" s="676"/>
      <c r="R195" s="676"/>
      <c r="S195" s="676"/>
      <c r="T195" s="439">
        <f>F195&gt;0</f>
        <v>1</v>
      </c>
      <c r="U195" s="676"/>
      <c r="V195" s="676"/>
      <c r="W195" s="738" t="s">
        <v>1524</v>
      </c>
      <c r="X195" s="1534"/>
      <c r="Y195" s="676"/>
      <c r="Z195" s="1464"/>
      <c r="AA195" s="676"/>
      <c r="AB195" s="227" t="s">
        <v>177</v>
      </c>
      <c r="AC195" s="231"/>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9"/>
      <c r="BL195" s="229"/>
      <c r="BM195" s="229"/>
      <c r="BN195" s="229"/>
      <c r="BO195" s="229"/>
      <c r="BP195" s="229"/>
      <c r="BQ195" s="229"/>
      <c r="BR195" s="229"/>
      <c r="BS195" s="229"/>
      <c r="BT195" s="229"/>
      <c r="BU195" s="229"/>
      <c r="BV195" s="229"/>
      <c r="BW195" s="229"/>
      <c r="BX195" s="229"/>
      <c r="BY195" s="229"/>
      <c r="BZ195" s="229"/>
      <c r="CA195" s="229"/>
      <c r="CB195" s="229"/>
      <c r="CC195" s="229"/>
      <c r="CD195" s="229"/>
      <c r="CE195" s="229"/>
      <c r="CF195" s="229"/>
      <c r="CG195" s="229"/>
      <c r="CH195" s="229"/>
      <c r="CI195" s="229"/>
      <c r="CJ195" s="229"/>
      <c r="CK195" s="229"/>
      <c r="CL195" s="229"/>
      <c r="CM195" s="229"/>
      <c r="CN195" s="229"/>
      <c r="CO195" s="229"/>
      <c r="CP195" s="229"/>
      <c r="CQ195" s="229"/>
      <c r="CR195" s="229"/>
      <c r="CS195" s="229"/>
      <c r="CT195" s="229"/>
      <c r="CU195" s="229"/>
      <c r="CV195" s="229"/>
      <c r="CW195" s="229"/>
      <c r="CX195" s="229"/>
      <c r="CY195" s="229"/>
      <c r="CZ195" s="229"/>
      <c r="DA195" s="229"/>
      <c r="DB195" s="229"/>
      <c r="DC195" s="229"/>
      <c r="DD195" s="229"/>
      <c r="DE195" s="229"/>
      <c r="DF195" s="229"/>
      <c r="DG195" s="229"/>
      <c r="DH195" s="229"/>
      <c r="DI195" s="229"/>
      <c r="DJ195" s="229"/>
      <c r="DK195" s="229"/>
      <c r="DL195" s="229"/>
      <c r="DM195" s="229"/>
      <c r="DN195" s="229"/>
      <c r="DO195" s="229"/>
      <c r="DP195" s="229"/>
      <c r="DQ195" s="229"/>
      <c r="DR195" s="229"/>
      <c r="DS195" s="229"/>
      <c r="DT195" s="229"/>
      <c r="DU195" s="229"/>
      <c r="DV195" s="229"/>
      <c r="DW195" s="229"/>
      <c r="DX195" s="229"/>
      <c r="DY195" s="229"/>
      <c r="DZ195" s="229"/>
      <c r="EA195" s="229"/>
      <c r="EB195" s="229"/>
      <c r="EC195" s="229"/>
      <c r="ED195" s="229"/>
      <c r="EE195" s="229"/>
      <c r="EF195" s="229"/>
      <c r="EG195" s="229"/>
      <c r="EH195" s="229"/>
      <c r="EI195" s="229"/>
      <c r="EJ195" s="229"/>
      <c r="EK195" s="229"/>
      <c r="EL195" s="229"/>
      <c r="EM195" s="229"/>
      <c r="EN195" s="229"/>
      <c r="EO195" s="229"/>
      <c r="EP195" s="229"/>
      <c r="EQ195" s="229"/>
      <c r="ER195" s="229"/>
      <c r="ES195" s="229"/>
      <c r="ET195" s="229"/>
      <c r="EU195" s="229"/>
      <c r="EV195" s="229"/>
      <c r="EW195" s="229"/>
      <c r="EX195" s="229"/>
      <c r="EY195" s="229"/>
      <c r="EZ195" s="229"/>
      <c r="FA195" s="229"/>
      <c r="FB195" s="229"/>
      <c r="FC195" s="229"/>
      <c r="FD195" s="229"/>
      <c r="FE195" s="229"/>
      <c r="FF195" s="229"/>
      <c r="FG195" s="229"/>
      <c r="FH195" s="229"/>
      <c r="FI195" s="229"/>
      <c r="FJ195" s="229"/>
      <c r="FK195" s="229"/>
      <c r="FL195" s="229"/>
      <c r="FM195" s="229"/>
      <c r="FN195" s="229"/>
      <c r="FO195" s="229"/>
      <c r="FP195" s="229"/>
      <c r="FQ195" s="229"/>
      <c r="FR195" s="229"/>
      <c r="FS195" s="229"/>
      <c r="FT195" s="229"/>
      <c r="FU195" s="229"/>
      <c r="FV195" s="229"/>
      <c r="FW195" s="230"/>
      <c r="FX195" s="676"/>
      <c r="FY195" s="676"/>
      <c r="FZ195" s="1061"/>
      <c r="GA195" s="1061"/>
      <c r="GB195" s="1061"/>
      <c r="GC195" s="611" t="s">
        <v>1577</v>
      </c>
      <c r="GD195" s="697"/>
    </row>
    <row s="1621" customFormat="1" customHeight="1" ht="10.5">
      <c r="A196" s="64"/>
      <c r="B196" s="887"/>
      <c r="C196" s="64"/>
      <c r="D196" s="467"/>
      <c r="E196" s="822">
        <v>11.5</v>
      </c>
      <c r="F196" s="691"/>
      <c r="G196" s="467"/>
      <c r="H196" s="64"/>
      <c r="I196" s="64"/>
      <c r="J196" s="64"/>
      <c r="K196" s="64"/>
      <c r="L196" s="64"/>
      <c r="M196" s="64"/>
      <c r="N196" s="64"/>
      <c r="O196" s="64"/>
      <c r="P196" s="64"/>
      <c r="Q196" s="64"/>
      <c r="R196" s="64"/>
      <c r="S196" s="64"/>
      <c r="T196" s="439" cm="1" t="str">
        <f t="array" ref="T196:T196">T195</f>
        <v>true</v>
      </c>
      <c r="U196" s="64"/>
      <c r="V196" s="64"/>
      <c r="W196" s="738"/>
      <c r="X196" s="1534"/>
      <c r="Y196" s="64"/>
      <c r="Z196" s="1464"/>
      <c r="AA196" s="64"/>
      <c r="AB196" s="174"/>
      <c r="AC196" s="1187"/>
      <c r="AD196" s="676"/>
      <c r="AE196" s="676"/>
      <c r="AF196" s="676"/>
      <c r="AG196" s="676"/>
      <c r="AH196" s="676"/>
      <c r="AI196" s="676"/>
      <c r="AJ196" s="676"/>
      <c r="AK196" s="676"/>
      <c r="AL196" s="676"/>
      <c r="AM196" s="676"/>
      <c r="AN196" s="676"/>
      <c r="AO196" s="676"/>
      <c r="AP196" s="676"/>
      <c r="AQ196" s="676"/>
      <c r="AR196" s="676"/>
      <c r="AS196" s="676"/>
      <c r="AT196" s="676"/>
      <c r="AU196" s="676"/>
      <c r="AV196" s="676"/>
      <c r="AW196" s="676"/>
      <c r="AX196" s="676"/>
      <c r="AY196" s="676"/>
      <c r="AZ196" s="676"/>
      <c r="BA196" s="676"/>
      <c r="BB196" s="676"/>
      <c r="BC196" s="676"/>
      <c r="BD196" s="676"/>
      <c r="BE196" s="676"/>
      <c r="BF196" s="676"/>
      <c r="BG196" s="676"/>
      <c r="BH196" s="676"/>
      <c r="BI196" s="676"/>
      <c r="BJ196" s="676"/>
      <c r="BK196" s="676"/>
      <c r="BL196" s="676"/>
      <c r="BM196" s="676"/>
      <c r="BN196" s="676"/>
      <c r="BO196" s="676"/>
      <c r="BP196" s="676"/>
      <c r="BQ196" s="676"/>
      <c r="BR196" s="676"/>
      <c r="BS196" s="676"/>
      <c r="BT196" s="676"/>
      <c r="BU196" s="676"/>
      <c r="BV196" s="676"/>
      <c r="BW196" s="676"/>
      <c r="BX196" s="676"/>
      <c r="BY196" s="676"/>
      <c r="BZ196" s="676"/>
      <c r="CA196" s="676"/>
      <c r="CB196" s="676"/>
      <c r="CC196" s="676"/>
      <c r="CD196" s="676"/>
      <c r="CE196" s="676"/>
      <c r="CF196" s="676"/>
      <c r="CG196" s="676"/>
      <c r="CH196" s="676"/>
      <c r="CI196" s="676"/>
      <c r="CJ196" s="676"/>
      <c r="CK196" s="676"/>
      <c r="CL196" s="676"/>
      <c r="CM196" s="676"/>
      <c r="CN196" s="676"/>
      <c r="CO196" s="676"/>
      <c r="CP196" s="676"/>
      <c r="CQ196" s="676"/>
      <c r="CR196" s="676"/>
      <c r="CS196" s="676"/>
      <c r="CT196" s="676"/>
      <c r="CU196" s="676"/>
      <c r="CV196" s="676"/>
      <c r="CW196" s="676"/>
      <c r="CX196" s="676"/>
      <c r="CY196" s="676"/>
      <c r="CZ196" s="676"/>
      <c r="DA196" s="676"/>
      <c r="DB196" s="676"/>
      <c r="DC196" s="676"/>
      <c r="DD196" s="676"/>
      <c r="DE196" s="676"/>
      <c r="DF196" s="676"/>
      <c r="DG196" s="676"/>
      <c r="DH196" s="676"/>
      <c r="DI196" s="676"/>
      <c r="DJ196" s="676"/>
      <c r="DK196" s="676"/>
      <c r="DL196" s="676"/>
      <c r="DM196" s="676"/>
      <c r="DN196" s="676"/>
      <c r="DO196" s="676"/>
      <c r="DP196" s="676"/>
      <c r="DQ196" s="676"/>
      <c r="DR196" s="676"/>
      <c r="DS196" s="676"/>
      <c r="DT196" s="676"/>
      <c r="DU196" s="676"/>
      <c r="DV196" s="676"/>
      <c r="DW196" s="676"/>
      <c r="DX196" s="676"/>
      <c r="DY196" s="676"/>
      <c r="DZ196" s="676"/>
      <c r="EA196" s="676"/>
      <c r="EB196" s="676"/>
      <c r="EC196" s="676"/>
      <c r="ED196" s="676"/>
      <c r="EE196" s="676"/>
      <c r="EF196" s="676"/>
      <c r="EG196" s="676"/>
      <c r="EH196" s="676"/>
      <c r="EI196" s="676"/>
      <c r="EJ196" s="676"/>
      <c r="EK196" s="676"/>
      <c r="EL196" s="676"/>
      <c r="EM196" s="676"/>
      <c r="EN196" s="676"/>
      <c r="EO196" s="676"/>
      <c r="EP196" s="676"/>
      <c r="EQ196" s="676"/>
      <c r="ER196" s="676"/>
      <c r="ES196" s="676"/>
      <c r="ET196" s="676"/>
      <c r="EU196" s="676"/>
      <c r="EV196" s="676"/>
      <c r="EW196" s="676"/>
      <c r="EX196" s="676"/>
      <c r="EY196" s="676"/>
      <c r="EZ196" s="676"/>
      <c r="FA196" s="676"/>
      <c r="FB196" s="676"/>
      <c r="FC196" s="676"/>
      <c r="FD196" s="676"/>
      <c r="FE196" s="676"/>
      <c r="FF196" s="676"/>
      <c r="FG196" s="676"/>
      <c r="FH196" s="676"/>
      <c r="FI196" s="676"/>
      <c r="FJ196" s="676"/>
      <c r="FK196" s="676"/>
      <c r="FL196" s="676"/>
      <c r="FM196" s="676"/>
      <c r="FN196" s="676"/>
      <c r="FO196" s="676"/>
      <c r="FP196" s="676"/>
      <c r="FQ196" s="676"/>
      <c r="FR196" s="676"/>
      <c r="FS196" s="676"/>
      <c r="FT196" s="676"/>
      <c r="FU196" s="676"/>
      <c r="FV196" s="676"/>
      <c r="FW196" s="676"/>
      <c r="FX196" s="676"/>
      <c r="FY196" s="676"/>
      <c r="FZ196" s="989"/>
      <c r="GA196" s="989"/>
      <c r="GB196" s="984"/>
      <c r="GC196" s="655"/>
      <c r="GD196" s="655"/>
    </row>
    <row s="1621" customFormat="1" customHeight="1" ht="10.96875">
      <c r="A197" s="443"/>
      <c r="B197" s="908"/>
      <c r="C197" s="443"/>
      <c r="D197" s="456"/>
      <c r="E197" s="848">
        <v>11.25</v>
      </c>
      <c r="F197" s="911"/>
      <c r="G197" s="456"/>
      <c r="H197" s="443"/>
      <c r="I197" s="443"/>
      <c r="J197" s="443"/>
      <c r="K197" s="443"/>
      <c r="L197" s="443"/>
      <c r="M197" s="443"/>
      <c r="N197" s="443"/>
      <c r="O197" s="443"/>
      <c r="P197" s="443"/>
      <c r="Q197" s="443"/>
      <c r="R197" s="443"/>
      <c r="S197" s="456"/>
      <c r="T197" s="443"/>
      <c r="U197" s="443" t="s">
        <v>177</v>
      </c>
      <c r="V197" s="106" t="s">
        <v>1579</v>
      </c>
      <c r="W197" s="443"/>
      <c r="X197" s="443"/>
      <c r="Y197" s="443"/>
      <c r="Z197" s="443"/>
      <c r="AA197" s="443"/>
      <c r="AC197" s="66"/>
      <c r="AD197" s="66"/>
      <c r="AE197" s="66"/>
      <c r="AF197" s="66"/>
      <c r="AG197" s="1621"/>
      <c r="AH197" s="1621"/>
      <c r="AI197" s="1621"/>
      <c r="AJ197" s="1621"/>
      <c r="AK197" s="1621"/>
      <c r="AL197" s="1621"/>
      <c r="AM197" s="1621"/>
      <c r="AN197" s="1621"/>
      <c r="AO197" s="1621"/>
      <c r="AP197" s="1621"/>
      <c r="AQ197" s="67"/>
      <c r="AR197" s="1621"/>
      <c r="AS197" s="1621"/>
      <c r="AT197" s="1621"/>
      <c r="AU197" s="1621"/>
      <c r="AV197" s="1621"/>
      <c r="AW197" s="1621"/>
      <c r="AX197" s="1621"/>
      <c r="AY197" s="1621"/>
      <c r="AZ197" s="1621"/>
      <c r="BA197" s="1621"/>
      <c r="BB197" s="1621"/>
      <c r="BC197" s="1621"/>
      <c r="BD197" s="1621"/>
      <c r="BE197" s="1621"/>
      <c r="BF197" s="1621"/>
      <c r="BG197" s="1621"/>
      <c r="BH197" s="1621"/>
      <c r="BI197" s="1621"/>
      <c r="BJ197" s="1621"/>
      <c r="BK197" s="1621"/>
      <c r="BL197" s="1621"/>
      <c r="BM197" s="1621"/>
      <c r="BN197" s="1621"/>
      <c r="BO197" s="1621"/>
      <c r="BP197" s="1621"/>
      <c r="BQ197" s="1621"/>
      <c r="BR197" s="1621"/>
      <c r="BS197" s="1621"/>
      <c r="BT197" s="1621"/>
      <c r="BU197" s="1621"/>
      <c r="BV197" s="1621"/>
      <c r="BW197" s="1621"/>
      <c r="BX197" s="1621"/>
      <c r="BY197" s="1621"/>
      <c r="BZ197" s="1621"/>
      <c r="CA197" s="1621"/>
      <c r="CB197" s="1621"/>
      <c r="CC197" s="1621"/>
      <c r="CD197" s="1621"/>
      <c r="CE197" s="1621"/>
      <c r="CF197" s="1621"/>
      <c r="CG197" s="1621"/>
      <c r="CH197" s="1621"/>
      <c r="CI197" s="1621"/>
      <c r="CJ197" s="1621"/>
      <c r="CK197" s="1621"/>
      <c r="CL197" s="1621"/>
      <c r="CM197" s="1621"/>
      <c r="CN197" s="1621"/>
      <c r="CO197" s="1621"/>
      <c r="CP197" s="1621"/>
      <c r="CQ197" s="1621"/>
      <c r="CR197" s="1621"/>
      <c r="CS197" s="1621"/>
      <c r="CT197" s="1621"/>
      <c r="CU197" s="1621"/>
      <c r="CV197" s="1621"/>
      <c r="CW197" s="1621"/>
      <c r="CX197" s="1621"/>
      <c r="CY197" s="1621"/>
      <c r="CZ197" s="1621"/>
      <c r="DA197" s="1621"/>
      <c r="DB197" s="1621"/>
      <c r="DC197" s="1621"/>
      <c r="DD197" s="1621"/>
      <c r="DE197" s="1621"/>
      <c r="DF197" s="1621"/>
      <c r="DG197" s="1621"/>
      <c r="DH197" s="1621"/>
      <c r="DI197" s="1621"/>
      <c r="DJ197" s="1621"/>
      <c r="DK197" s="1621"/>
      <c r="DL197" s="1621"/>
      <c r="DM197" s="1621"/>
      <c r="DN197" s="1621"/>
      <c r="DO197" s="1621"/>
      <c r="DP197" s="1621"/>
      <c r="DQ197" s="1621"/>
      <c r="DR197" s="1621"/>
      <c r="DS197" s="1621"/>
      <c r="DT197" s="1621"/>
      <c r="DU197" s="1621"/>
      <c r="DV197" s="1621"/>
      <c r="DW197" s="1621"/>
      <c r="DX197" s="1621"/>
      <c r="DY197" s="1621"/>
      <c r="DZ197" s="1621"/>
      <c r="EA197" s="1621"/>
      <c r="EB197" s="1621"/>
      <c r="EC197" s="1621"/>
      <c r="ED197" s="1621"/>
      <c r="EE197" s="1621"/>
      <c r="EF197" s="1621"/>
      <c r="EG197" s="1621"/>
      <c r="EH197" s="1621"/>
      <c r="EI197" s="1621"/>
      <c r="EJ197" s="1621"/>
      <c r="EK197" s="1621"/>
      <c r="EL197" s="1621"/>
      <c r="EM197" s="1621"/>
      <c r="EN197" s="1621"/>
      <c r="EO197" s="1621"/>
      <c r="EP197" s="1621"/>
      <c r="EQ197" s="1621"/>
      <c r="ER197" s="1621"/>
      <c r="ES197" s="1621"/>
      <c r="ET197" s="1621"/>
      <c r="EU197" s="1621"/>
      <c r="EV197" s="1621"/>
      <c r="EW197" s="1621"/>
      <c r="EX197" s="1621"/>
      <c r="EY197" s="1621"/>
      <c r="EZ197" s="1621"/>
      <c r="FA197" s="1621"/>
      <c r="FB197" s="1621"/>
      <c r="FC197" s="1621"/>
      <c r="FD197" s="1621"/>
      <c r="FE197" s="1621"/>
      <c r="FF197" s="1621"/>
      <c r="FG197" s="1621"/>
      <c r="FH197" s="1621"/>
      <c r="FI197" s="1621"/>
      <c r="FJ197" s="1621"/>
      <c r="FK197" s="1621"/>
      <c r="FL197" s="1621"/>
      <c r="FM197" s="1621"/>
      <c r="FN197" s="1621"/>
      <c r="FO197" s="1621"/>
      <c r="FP197" s="1621"/>
      <c r="FQ197" s="1621"/>
      <c r="FR197" s="1621"/>
      <c r="FS197" s="1621"/>
      <c r="FT197" s="1621"/>
      <c r="FU197" s="1621"/>
      <c r="FV197" s="1621"/>
      <c r="FW197" s="1621"/>
      <c r="FZ197" s="1002"/>
      <c r="GA197" s="1002"/>
      <c r="GB197" s="1042"/>
      <c r="GC197" s="666"/>
      <c r="GD197" s="666"/>
    </row>
    <row customHeight="1" ht="14.625">
      <c r="E198" s="611">
        <v>15</v>
      </c>
      <c r="AB198" s="1485" t="s">
        <v>398</v>
      </c>
      <c r="AC198" s="1485"/>
      <c r="AD198" s="1485"/>
      <c r="AE198" s="1485"/>
      <c r="AF198" s="1485"/>
      <c r="AG198" s="1485"/>
      <c r="AH198" s="1485"/>
      <c r="AI198" s="1485"/>
      <c r="AJ198" s="1485"/>
      <c r="AK198" s="1485"/>
      <c r="AL198" s="1485"/>
      <c r="AM198" s="1485"/>
      <c r="AN198" s="1485"/>
      <c r="AO198" s="1485"/>
      <c r="AP198" s="1485"/>
      <c r="AQ198" s="1485"/>
      <c r="AR198" s="1485"/>
      <c r="AS198" s="1485"/>
      <c r="AT198" s="1485"/>
      <c r="AU198" s="1485"/>
      <c r="AV198" s="1485"/>
      <c r="AW198" s="1485"/>
      <c r="AX198" s="1485"/>
      <c r="AY198" s="1485"/>
      <c r="AZ198" s="1485"/>
      <c r="BA198" s="1485"/>
      <c r="BB198" s="1485"/>
      <c r="BC198" s="1485"/>
      <c r="BD198" s="1485"/>
      <c r="BE198" s="1485"/>
      <c r="BF198" s="1485"/>
      <c r="BG198" s="1485"/>
      <c r="BH198" s="676"/>
      <c r="BI198" s="676"/>
      <c r="BJ198" s="676"/>
      <c r="BK198" s="676"/>
      <c r="BL198" s="676"/>
      <c r="BM198" s="676"/>
      <c r="BN198" s="676"/>
      <c r="BO198" s="676"/>
      <c r="BP198" s="676"/>
      <c r="BQ198" s="676"/>
      <c r="BR198" s="676"/>
      <c r="BS198" s="676"/>
      <c r="BT198" s="676"/>
      <c r="BU198" s="676"/>
      <c r="BV198" s="676"/>
      <c r="BW198" s="676"/>
      <c r="BX198" s="676"/>
      <c r="BY198" s="676"/>
      <c r="BZ198" s="676"/>
      <c r="CA198" s="676"/>
      <c r="CB198" s="676"/>
      <c r="CC198" s="676"/>
      <c r="CD198" s="676"/>
      <c r="CE198" s="676"/>
      <c r="CF198" s="676"/>
      <c r="CG198" s="676"/>
      <c r="CH198" s="676"/>
      <c r="CI198" s="676"/>
      <c r="CJ198" s="676"/>
      <c r="CK198" s="676"/>
      <c r="CL198" s="676"/>
      <c r="CM198" s="676"/>
      <c r="CN198" s="676"/>
      <c r="CO198" s="676"/>
      <c r="CP198" s="676"/>
      <c r="CQ198" s="676"/>
      <c r="CR198" s="676"/>
      <c r="CS198" s="676"/>
      <c r="CT198" s="676"/>
      <c r="CU198" s="676"/>
      <c r="CV198" s="676"/>
      <c r="CW198" s="676"/>
      <c r="CX198" s="676"/>
      <c r="CY198" s="676"/>
      <c r="CZ198" s="676"/>
      <c r="DA198" s="676"/>
      <c r="DB198" s="676"/>
      <c r="DC198" s="676"/>
      <c r="DD198" s="676"/>
      <c r="DE198" s="676"/>
      <c r="DF198" s="676"/>
      <c r="DG198" s="676"/>
      <c r="DH198" s="676"/>
      <c r="DI198" s="676"/>
      <c r="DJ198" s="676"/>
      <c r="DK198" s="676"/>
      <c r="DL198" s="676"/>
      <c r="DM198" s="676"/>
      <c r="DN198" s="676"/>
      <c r="DO198" s="676"/>
      <c r="DP198" s="676"/>
      <c r="DQ198" s="676"/>
      <c r="DR198" s="676"/>
      <c r="DS198" s="676"/>
      <c r="DT198" s="676"/>
      <c r="DU198" s="676"/>
      <c r="DV198" s="676"/>
      <c r="DW198" s="676"/>
      <c r="DX198" s="676"/>
      <c r="DY198" s="676"/>
      <c r="DZ198" s="676"/>
      <c r="EA198" s="676"/>
      <c r="EB198" s="676"/>
      <c r="EC198" s="676"/>
      <c r="ED198" s="676"/>
      <c r="EE198" s="676"/>
      <c r="EF198" s="676"/>
      <c r="EG198" s="676"/>
      <c r="EH198" s="676"/>
      <c r="EI198" s="676"/>
      <c r="EJ198" s="676"/>
      <c r="EK198" s="676"/>
      <c r="EL198" s="676"/>
      <c r="EM198" s="676"/>
      <c r="EN198" s="676"/>
      <c r="EO198" s="676"/>
      <c r="EP198" s="676"/>
      <c r="EQ198" s="676"/>
      <c r="ER198" s="676"/>
      <c r="ES198" s="676"/>
      <c r="ET198" s="676"/>
      <c r="EU198" s="676"/>
      <c r="EV198" s="676"/>
      <c r="EW198" s="676"/>
      <c r="EX198" s="676"/>
      <c r="EY198" s="676"/>
      <c r="EZ198" s="676"/>
      <c r="FA198" s="676"/>
      <c r="FB198" s="676"/>
      <c r="FC198" s="676"/>
      <c r="FD198" s="676"/>
      <c r="FE198" s="676"/>
      <c r="FF198" s="676"/>
      <c r="FG198" s="676"/>
      <c r="FH198" s="676"/>
      <c r="FI198" s="676"/>
      <c r="FJ198" s="676"/>
      <c r="FK198" s="676"/>
      <c r="FL198" s="676"/>
      <c r="FM198" s="676"/>
      <c r="FN198" s="676"/>
      <c r="FO198" s="676"/>
      <c r="FP198" s="676"/>
      <c r="FQ198" s="676"/>
      <c r="FR198" s="676"/>
      <c r="FS198" s="676"/>
      <c r="FT198" s="676"/>
      <c r="FU198" s="676"/>
      <c r="FV198" s="676"/>
      <c r="FW198" s="676"/>
    </row>
    <row customHeight="1" ht="14.625">
      <c r="E199" s="611">
        <v>15</v>
      </c>
      <c r="AA199" s="641"/>
      <c r="AB199" s="1574"/>
      <c r="AC199" s="1574"/>
      <c r="AD199" s="1574"/>
      <c r="AE199" s="1574"/>
      <c r="AF199" s="1574"/>
      <c r="AG199" s="4364"/>
      <c r="AH199" s="4364"/>
      <c r="AI199" s="4364"/>
      <c r="AJ199" s="4364"/>
      <c r="AK199" s="4364"/>
      <c r="AL199" s="4364"/>
      <c r="AM199" s="4364"/>
      <c r="AN199" s="4364"/>
      <c r="AO199" s="4364"/>
      <c r="AP199" s="4364"/>
      <c r="AQ199" s="4364"/>
      <c r="AR199" s="4364"/>
      <c r="AS199" s="4364"/>
      <c r="AT199" s="4364"/>
      <c r="AU199" s="4364"/>
      <c r="AV199" s="4364"/>
      <c r="AW199" s="4364"/>
      <c r="AX199" s="4364"/>
      <c r="AY199" s="4364"/>
      <c r="AZ199" s="4364"/>
      <c r="BA199" s="4364"/>
      <c r="BB199" s="4364"/>
      <c r="BC199" s="4364"/>
      <c r="BD199" s="4364"/>
      <c r="BE199" s="4364"/>
      <c r="BF199" s="4364"/>
      <c r="BG199" s="4364"/>
      <c r="BH199" s="676"/>
      <c r="BI199" s="676"/>
      <c r="BJ199" s="676"/>
      <c r="BK199" s="676"/>
      <c r="BL199" s="676"/>
      <c r="BM199" s="676"/>
      <c r="BN199" s="676"/>
      <c r="BO199" s="676"/>
      <c r="BP199" s="676"/>
      <c r="BQ199" s="676"/>
      <c r="BR199" s="676"/>
      <c r="BS199" s="676"/>
      <c r="BT199" s="676"/>
      <c r="BU199" s="676"/>
      <c r="BV199" s="676"/>
      <c r="BW199" s="676"/>
      <c r="BX199" s="676"/>
      <c r="BY199" s="676"/>
      <c r="BZ199" s="676"/>
      <c r="CA199" s="676"/>
      <c r="CB199" s="676"/>
      <c r="CC199" s="676"/>
      <c r="CD199" s="676"/>
      <c r="CE199" s="676"/>
      <c r="CF199" s="676"/>
      <c r="CG199" s="676"/>
      <c r="CH199" s="676"/>
      <c r="CI199" s="676"/>
      <c r="CJ199" s="676"/>
      <c r="CK199" s="676"/>
      <c r="CL199" s="676"/>
      <c r="CM199" s="676"/>
      <c r="CN199" s="676"/>
      <c r="CO199" s="676"/>
      <c r="CP199" s="676"/>
      <c r="CQ199" s="676"/>
      <c r="CR199" s="676"/>
      <c r="CS199" s="676"/>
      <c r="CT199" s="676"/>
      <c r="CU199" s="676"/>
      <c r="CV199" s="676"/>
      <c r="CW199" s="676"/>
      <c r="CX199" s="676"/>
      <c r="CY199" s="676"/>
      <c r="CZ199" s="676"/>
      <c r="DA199" s="676"/>
      <c r="DB199" s="676"/>
      <c r="DC199" s="676"/>
      <c r="DD199" s="676"/>
      <c r="DE199" s="676"/>
      <c r="DF199" s="676"/>
      <c r="DG199" s="676"/>
      <c r="DH199" s="676"/>
      <c r="DI199" s="676"/>
      <c r="DJ199" s="676"/>
      <c r="DK199" s="676"/>
      <c r="DL199" s="676"/>
      <c r="DM199" s="676"/>
      <c r="DN199" s="676"/>
      <c r="DO199" s="676"/>
      <c r="DP199" s="676"/>
      <c r="DQ199" s="676"/>
      <c r="DR199" s="676"/>
      <c r="DS199" s="676"/>
      <c r="DT199" s="676"/>
      <c r="DU199" s="676"/>
      <c r="DV199" s="676"/>
      <c r="DW199" s="676"/>
      <c r="DX199" s="676"/>
      <c r="DY199" s="676"/>
      <c r="DZ199" s="676"/>
      <c r="EA199" s="676"/>
      <c r="EB199" s="676"/>
      <c r="EC199" s="676"/>
      <c r="ED199" s="676"/>
      <c r="EE199" s="676"/>
      <c r="EF199" s="676"/>
      <c r="EG199" s="676"/>
      <c r="EH199" s="676"/>
      <c r="EI199" s="676"/>
      <c r="EJ199" s="676"/>
      <c r="EK199" s="676"/>
      <c r="EL199" s="676"/>
      <c r="EM199" s="676"/>
      <c r="EN199" s="676"/>
      <c r="EO199" s="676"/>
      <c r="EP199" s="676"/>
      <c r="EQ199" s="676"/>
      <c r="ER199" s="676"/>
      <c r="ES199" s="676"/>
      <c r="ET199" s="676"/>
      <c r="EU199" s="676"/>
      <c r="EV199" s="676"/>
      <c r="EW199" s="676"/>
      <c r="EX199" s="676"/>
      <c r="EY199" s="676"/>
      <c r="EZ199" s="676"/>
      <c r="FA199" s="676"/>
      <c r="FB199" s="676"/>
      <c r="FC199" s="676"/>
      <c r="FD199" s="676"/>
      <c r="FE199" s="676"/>
      <c r="FF199" s="676"/>
      <c r="FG199" s="676"/>
      <c r="FH199" s="676"/>
      <c r="FI199" s="676"/>
      <c r="FJ199" s="676"/>
      <c r="FK199" s="676"/>
      <c r="FL199" s="676"/>
      <c r="FM199" s="676"/>
      <c r="FN199" s="676"/>
      <c r="FO199" s="676"/>
      <c r="FP199" s="676"/>
      <c r="FQ199" s="676"/>
      <c r="FR199" s="676"/>
      <c r="FS199" s="676"/>
      <c r="FT199" s="676"/>
      <c r="FU199" s="676"/>
      <c r="FV199" s="676"/>
      <c r="FW199" s="676"/>
    </row>
    <row customHeight="1" ht="14.625" hidden="1">
      <c r="A200" s="676"/>
      <c r="B200" s="854"/>
      <c r="C200" s="676"/>
      <c r="D200" s="676"/>
      <c r="E200" s="611">
        <v>15</v>
      </c>
      <c r="F200" s="691"/>
      <c r="G200" s="676"/>
      <c r="H200" s="676"/>
      <c r="I200" s="676"/>
      <c r="J200" s="676"/>
      <c r="K200" s="676"/>
      <c r="L200" s="676"/>
      <c r="M200" s="676"/>
      <c r="N200" s="676"/>
      <c r="O200" s="676"/>
      <c r="P200" s="676"/>
      <c r="Q200" s="676"/>
      <c r="R200" s="676"/>
      <c r="S200" s="676"/>
      <c r="T200" s="439">
        <f>ROW(W200)&gt;ROW(W$200)</f>
        <v>0</v>
      </c>
      <c r="U200" s="676"/>
      <c r="V200" s="676"/>
      <c r="W200" s="64" t="s">
        <v>173</v>
      </c>
      <c r="X200" s="676"/>
      <c r="Y200" s="676"/>
      <c r="Z200" s="676"/>
      <c r="AA200" s="642" t="s">
        <v>174</v>
      </c>
      <c r="AB200" s="4365"/>
      <c r="AC200" s="1831"/>
      <c r="AD200" s="1831"/>
      <c r="AE200" s="1831"/>
      <c r="AF200" s="1831"/>
      <c r="AG200" s="1831"/>
      <c r="AH200" s="1831"/>
      <c r="AI200" s="1831"/>
      <c r="AJ200" s="1831"/>
      <c r="AK200" s="1831"/>
      <c r="AL200" s="1831"/>
      <c r="AM200" s="1831"/>
      <c r="AN200" s="1831"/>
      <c r="AO200" s="1831"/>
      <c r="AP200" s="1831"/>
      <c r="AQ200" s="1831"/>
      <c r="AR200" s="1831"/>
      <c r="AS200" s="1831"/>
      <c r="AT200" s="1831"/>
      <c r="AU200" s="1831"/>
      <c r="AV200" s="1831"/>
      <c r="AW200" s="1831"/>
      <c r="AX200" s="1831"/>
      <c r="AY200" s="1831"/>
      <c r="AZ200" s="1831"/>
      <c r="BA200" s="1831"/>
      <c r="BB200" s="1831"/>
      <c r="BC200" s="1831"/>
      <c r="BD200" s="1831"/>
      <c r="BE200" s="1831"/>
      <c r="BF200" s="1831"/>
      <c r="BG200" s="4366"/>
      <c r="BH200" s="676"/>
      <c r="BI200" s="676"/>
      <c r="BJ200" s="676"/>
      <c r="BK200" s="676"/>
      <c r="BL200" s="676"/>
      <c r="BM200" s="676"/>
      <c r="BN200" s="676"/>
      <c r="BO200" s="676"/>
      <c r="BP200" s="676"/>
      <c r="BQ200" s="676"/>
      <c r="BR200" s="676"/>
      <c r="BS200" s="676"/>
      <c r="BT200" s="676"/>
      <c r="BU200" s="676"/>
      <c r="BV200" s="676"/>
      <c r="BW200" s="676"/>
      <c r="BX200" s="676"/>
      <c r="BY200" s="676"/>
      <c r="BZ200" s="676"/>
      <c r="CA200" s="676"/>
      <c r="CB200" s="676"/>
      <c r="CC200" s="676"/>
      <c r="CD200" s="676"/>
      <c r="CE200" s="676"/>
      <c r="CF200" s="676"/>
      <c r="CG200" s="676"/>
      <c r="CH200" s="676"/>
      <c r="CI200" s="676"/>
      <c r="CJ200" s="676"/>
      <c r="CK200" s="676"/>
      <c r="CL200" s="676"/>
      <c r="CM200" s="676"/>
      <c r="CN200" s="676"/>
      <c r="CO200" s="676"/>
      <c r="CP200" s="676"/>
      <c r="CQ200" s="676"/>
      <c r="CR200" s="676"/>
      <c r="CS200" s="676"/>
      <c r="CT200" s="676"/>
      <c r="CU200" s="676"/>
      <c r="CV200" s="676"/>
      <c r="CW200" s="676"/>
      <c r="CX200" s="676"/>
      <c r="CY200" s="676"/>
      <c r="CZ200" s="676"/>
      <c r="DA200" s="676"/>
      <c r="DB200" s="676"/>
      <c r="DC200" s="676"/>
      <c r="DD200" s="676"/>
      <c r="DE200" s="676"/>
      <c r="DF200" s="676"/>
      <c r="DG200" s="676"/>
      <c r="DH200" s="676"/>
      <c r="DI200" s="676"/>
      <c r="DJ200" s="676"/>
      <c r="DK200" s="676"/>
      <c r="DL200" s="676"/>
      <c r="DM200" s="676"/>
      <c r="DN200" s="676"/>
      <c r="DO200" s="676"/>
      <c r="DP200" s="676"/>
      <c r="DQ200" s="676"/>
      <c r="DR200" s="676"/>
      <c r="DS200" s="676"/>
      <c r="DT200" s="676"/>
      <c r="DU200" s="676"/>
      <c r="DV200" s="676"/>
      <c r="DW200" s="676"/>
      <c r="DX200" s="676"/>
      <c r="DY200" s="676"/>
      <c r="DZ200" s="676"/>
      <c r="EA200" s="676"/>
      <c r="EB200" s="676"/>
      <c r="EC200" s="676"/>
      <c r="ED200" s="676"/>
      <c r="EE200" s="676"/>
      <c r="EF200" s="676"/>
      <c r="EG200" s="676"/>
      <c r="EH200" s="676"/>
      <c r="EI200" s="676"/>
      <c r="EJ200" s="676"/>
      <c r="EK200" s="676"/>
      <c r="EL200" s="676"/>
      <c r="EM200" s="676"/>
      <c r="EN200" s="676"/>
      <c r="EO200" s="676"/>
      <c r="EP200" s="676"/>
      <c r="EQ200" s="676"/>
      <c r="ER200" s="676"/>
      <c r="ES200" s="676"/>
      <c r="ET200" s="676"/>
      <c r="EU200" s="676"/>
      <c r="EV200" s="676"/>
      <c r="EW200" s="676"/>
      <c r="EX200" s="676"/>
      <c r="EY200" s="676"/>
      <c r="EZ200" s="676"/>
      <c r="FA200" s="676"/>
      <c r="FB200" s="676"/>
      <c r="FC200" s="676"/>
      <c r="FD200" s="676"/>
      <c r="FE200" s="676"/>
      <c r="FF200" s="676"/>
      <c r="FG200" s="676"/>
      <c r="FH200" s="676"/>
      <c r="FI200" s="676"/>
      <c r="FJ200" s="676"/>
      <c r="FK200" s="676"/>
      <c r="FL200" s="676"/>
      <c r="FM200" s="676"/>
      <c r="FN200" s="676"/>
      <c r="FO200" s="676"/>
      <c r="FP200" s="676"/>
      <c r="FQ200" s="676"/>
      <c r="FR200" s="676"/>
      <c r="FS200" s="676"/>
      <c r="FT200" s="676"/>
      <c r="FU200" s="676"/>
      <c r="FV200" s="676"/>
      <c r="FW200" s="676"/>
      <c r="FX200" s="676"/>
      <c r="FY200" s="676"/>
      <c r="FZ200" s="1061"/>
      <c r="GA200" s="1061"/>
      <c r="GB200" s="1061"/>
      <c r="GC200" s="697"/>
      <c r="GD200" s="697"/>
    </row>
    <row customHeight="1" ht="14.625">
      <c r="E201" s="611">
        <v>15</v>
      </c>
      <c r="W201" s="738" t="s">
        <v>399</v>
      </c>
      <c r="AB201" s="1572" t="s">
        <v>400</v>
      </c>
      <c r="AC201" s="1573"/>
      <c r="AD201" s="277"/>
      <c r="AE201" s="277"/>
      <c r="AF201" s="277"/>
      <c r="AG201" s="277"/>
      <c r="AH201" s="277"/>
      <c r="AI201" s="277"/>
      <c r="AJ201" s="277"/>
      <c r="AK201" s="277"/>
      <c r="AL201" s="277"/>
      <c r="AM201" s="277"/>
      <c r="AN201" s="277"/>
      <c r="AO201" s="277"/>
      <c r="AP201" s="277"/>
      <c r="AQ201" s="277"/>
      <c r="AR201" s="277"/>
      <c r="AS201" s="277"/>
      <c r="AT201" s="277"/>
      <c r="AU201" s="277"/>
      <c r="AV201" s="277"/>
      <c r="AW201" s="277"/>
      <c r="AX201" s="277"/>
      <c r="AY201" s="277"/>
      <c r="AZ201" s="277"/>
      <c r="BA201" s="277"/>
      <c r="BB201" s="277"/>
      <c r="BC201" s="277"/>
      <c r="BD201" s="277"/>
      <c r="BE201" s="277"/>
      <c r="BF201" s="277"/>
      <c r="BG201" s="242"/>
      <c r="BH201" s="676"/>
      <c r="BI201" s="676"/>
      <c r="BJ201" s="676"/>
      <c r="BK201" s="676"/>
      <c r="BL201" s="676"/>
      <c r="BM201" s="676"/>
      <c r="BN201" s="676"/>
      <c r="BO201" s="676"/>
      <c r="BP201" s="676"/>
      <c r="BQ201" s="676"/>
      <c r="BR201" s="676"/>
      <c r="BS201" s="676"/>
      <c r="BT201" s="676"/>
      <c r="BU201" s="676"/>
      <c r="BV201" s="676"/>
      <c r="BW201" s="676"/>
      <c r="BX201" s="676"/>
      <c r="BY201" s="676"/>
      <c r="BZ201" s="676"/>
      <c r="CA201" s="676"/>
      <c r="CB201" s="676"/>
      <c r="CC201" s="676"/>
      <c r="CD201" s="676"/>
      <c r="CE201" s="676"/>
      <c r="CF201" s="676"/>
      <c r="CG201" s="676"/>
      <c r="CH201" s="676"/>
      <c r="CI201" s="676"/>
      <c r="CJ201" s="676"/>
      <c r="CK201" s="676"/>
      <c r="CL201" s="676"/>
      <c r="CM201" s="676"/>
      <c r="CN201" s="676"/>
      <c r="CO201" s="676"/>
      <c r="CP201" s="676"/>
      <c r="CQ201" s="676"/>
      <c r="CR201" s="676"/>
      <c r="CS201" s="676"/>
      <c r="CT201" s="676"/>
      <c r="CU201" s="676"/>
      <c r="CV201" s="676"/>
      <c r="CW201" s="676"/>
      <c r="CX201" s="676"/>
      <c r="CY201" s="676"/>
      <c r="CZ201" s="676"/>
      <c r="DA201" s="676"/>
      <c r="DB201" s="676"/>
      <c r="DC201" s="676"/>
      <c r="DD201" s="676"/>
      <c r="DE201" s="676"/>
      <c r="DF201" s="676"/>
      <c r="DG201" s="676"/>
      <c r="DH201" s="676"/>
      <c r="DI201" s="676"/>
      <c r="DJ201" s="676"/>
      <c r="DK201" s="676"/>
      <c r="DL201" s="676"/>
      <c r="DM201" s="676"/>
      <c r="DN201" s="676"/>
      <c r="DO201" s="676"/>
      <c r="DP201" s="676"/>
      <c r="DQ201" s="676"/>
      <c r="DR201" s="676"/>
      <c r="DS201" s="676"/>
      <c r="DT201" s="676"/>
      <c r="DU201" s="676"/>
      <c r="DV201" s="676"/>
      <c r="DW201" s="676"/>
      <c r="DX201" s="676"/>
      <c r="DY201" s="676"/>
      <c r="DZ201" s="676"/>
      <c r="EA201" s="676"/>
      <c r="EB201" s="676"/>
      <c r="EC201" s="676"/>
      <c r="ED201" s="676"/>
      <c r="EE201" s="676"/>
      <c r="EF201" s="676"/>
      <c r="EG201" s="676"/>
      <c r="EH201" s="676"/>
      <c r="EI201" s="676"/>
      <c r="EJ201" s="676"/>
      <c r="EK201" s="676"/>
      <c r="EL201" s="676"/>
      <c r="EM201" s="676"/>
      <c r="EN201" s="676"/>
      <c r="EO201" s="676"/>
      <c r="EP201" s="676"/>
      <c r="EQ201" s="676"/>
      <c r="ER201" s="676"/>
      <c r="ES201" s="676"/>
      <c r="ET201" s="676"/>
      <c r="EU201" s="676"/>
      <c r="EV201" s="676"/>
      <c r="EW201" s="676"/>
      <c r="EX201" s="676"/>
      <c r="EY201" s="676"/>
      <c r="EZ201" s="676"/>
      <c r="FA201" s="676"/>
      <c r="FB201" s="676"/>
      <c r="FC201" s="676"/>
      <c r="FD201" s="676"/>
      <c r="FE201" s="676"/>
      <c r="FF201" s="676"/>
      <c r="FG201" s="676"/>
      <c r="FH201" s="676"/>
      <c r="FI201" s="676"/>
      <c r="FJ201" s="676"/>
      <c r="FK201" s="676"/>
      <c r="FL201" s="676"/>
      <c r="FM201" s="676"/>
      <c r="FN201" s="676"/>
      <c r="FO201" s="676"/>
      <c r="FP201" s="676"/>
      <c r="FQ201" s="676"/>
      <c r="FR201" s="676"/>
      <c r="FS201" s="676"/>
      <c r="FT201" s="676"/>
      <c r="FU201" s="676"/>
      <c r="FV201" s="676"/>
      <c r="FW201" s="676"/>
    </row>
    <row customHeight="1" ht="10.96875">
      <c r="E202" s="611">
        <v>11.25</v>
      </c>
      <c r="AG202" s="676"/>
      <c r="AH202" s="676"/>
      <c r="AI202" s="676"/>
      <c r="AJ202" s="676"/>
      <c r="AK202" s="676"/>
      <c r="AL202" s="676"/>
      <c r="AM202" s="676"/>
      <c r="AN202" s="676"/>
      <c r="AO202" s="676"/>
      <c r="AP202" s="676"/>
      <c r="AQ202" s="676"/>
      <c r="AR202" s="676"/>
      <c r="AS202" s="676"/>
      <c r="AT202" s="676"/>
      <c r="AU202" s="676"/>
      <c r="AV202" s="676"/>
      <c r="AW202" s="676"/>
      <c r="AX202" s="676"/>
      <c r="AY202" s="676"/>
      <c r="AZ202" s="676"/>
      <c r="BA202" s="676"/>
      <c r="BB202" s="676"/>
      <c r="BC202" s="676"/>
      <c r="BD202" s="676"/>
      <c r="BE202" s="676"/>
      <c r="BF202" s="676"/>
      <c r="BG202" s="676"/>
      <c r="BH202" s="676"/>
      <c r="BI202" s="676"/>
      <c r="BJ202" s="676"/>
      <c r="BK202" s="676"/>
      <c r="BL202" s="676"/>
      <c r="BM202" s="676"/>
      <c r="BN202" s="676"/>
      <c r="BO202" s="676"/>
      <c r="BP202" s="676"/>
      <c r="BQ202" s="676"/>
      <c r="BR202" s="676"/>
      <c r="BS202" s="676"/>
      <c r="BT202" s="676"/>
      <c r="BU202" s="676"/>
      <c r="BV202" s="676"/>
      <c r="BW202" s="676"/>
      <c r="BX202" s="676"/>
      <c r="BY202" s="676"/>
      <c r="BZ202" s="676"/>
      <c r="CA202" s="676"/>
      <c r="CB202" s="676"/>
      <c r="CC202" s="676"/>
      <c r="CD202" s="676"/>
      <c r="CE202" s="676"/>
      <c r="CF202" s="676"/>
      <c r="CG202" s="676"/>
      <c r="CH202" s="676"/>
      <c r="CI202" s="676"/>
      <c r="CJ202" s="676"/>
      <c r="CK202" s="676"/>
      <c r="CL202" s="676"/>
      <c r="CM202" s="676"/>
      <c r="CN202" s="676"/>
      <c r="CO202" s="676"/>
      <c r="CP202" s="676"/>
      <c r="CQ202" s="676"/>
      <c r="CR202" s="676"/>
      <c r="CS202" s="676"/>
      <c r="CT202" s="676"/>
      <c r="CU202" s="676"/>
      <c r="CV202" s="676"/>
      <c r="CW202" s="676"/>
      <c r="CX202" s="676"/>
      <c r="CY202" s="676"/>
      <c r="CZ202" s="676"/>
      <c r="DA202" s="676"/>
      <c r="DB202" s="676"/>
      <c r="DC202" s="676"/>
      <c r="DD202" s="676"/>
      <c r="DE202" s="676"/>
      <c r="DF202" s="676"/>
      <c r="DG202" s="676"/>
      <c r="DH202" s="676"/>
      <c r="DI202" s="676"/>
      <c r="DJ202" s="676"/>
      <c r="DK202" s="676"/>
      <c r="DL202" s="676"/>
      <c r="DM202" s="676"/>
      <c r="DN202" s="676"/>
      <c r="DO202" s="676"/>
      <c r="DP202" s="676"/>
      <c r="DQ202" s="676"/>
      <c r="DR202" s="676"/>
      <c r="DS202" s="676"/>
      <c r="DT202" s="676"/>
      <c r="DU202" s="676"/>
      <c r="DV202" s="676"/>
      <c r="DW202" s="676"/>
      <c r="DX202" s="676"/>
      <c r="DY202" s="676"/>
      <c r="DZ202" s="676"/>
      <c r="EA202" s="676"/>
      <c r="EB202" s="676"/>
      <c r="EC202" s="676"/>
      <c r="ED202" s="676"/>
      <c r="EE202" s="676"/>
      <c r="EF202" s="676"/>
      <c r="EG202" s="676"/>
      <c r="EH202" s="676"/>
      <c r="EI202" s="676"/>
      <c r="EJ202" s="676"/>
      <c r="EK202" s="676"/>
      <c r="EL202" s="676"/>
      <c r="EM202" s="676"/>
      <c r="EN202" s="676"/>
      <c r="EO202" s="676"/>
      <c r="EP202" s="676"/>
      <c r="EQ202" s="676"/>
      <c r="ER202" s="676"/>
      <c r="ES202" s="676"/>
      <c r="ET202" s="676"/>
      <c r="EU202" s="676"/>
      <c r="EV202" s="676"/>
      <c r="EW202" s="676"/>
      <c r="EX202" s="676"/>
      <c r="EY202" s="676"/>
      <c r="EZ202" s="676"/>
      <c r="FA202" s="676"/>
      <c r="FB202" s="676"/>
      <c r="FC202" s="676"/>
      <c r="FD202" s="676"/>
      <c r="FE202" s="676"/>
      <c r="FF202" s="676"/>
      <c r="FG202" s="676"/>
      <c r="FH202" s="676"/>
      <c r="FI202" s="676"/>
      <c r="FJ202" s="676"/>
      <c r="FK202" s="676"/>
      <c r="FL202" s="676"/>
      <c r="FM202" s="676"/>
      <c r="FN202" s="676"/>
      <c r="FO202" s="676"/>
      <c r="FP202" s="676"/>
      <c r="FQ202" s="676"/>
      <c r="FR202" s="676"/>
      <c r="FS202" s="676"/>
      <c r="FT202" s="676"/>
      <c r="FU202" s="676"/>
      <c r="FV202" s="676"/>
      <c r="FW202" s="676"/>
      <c r="FX202" s="399"/>
    </row>
  </sheetData>
  <sheetProtection formatColumns="0" formatRows="0" insertRows="0" deleteColumns="0" deleteRows="0" sort="0" autoFilter="0" insertColumns="1"/>
  <mergeCells count="86">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01:AC201"/>
    <mergeCell ref="AB199:BG199"/>
    <mergeCell ref="AB198:BG198"/>
    <mergeCell ref="Y70:Y75"/>
    <mergeCell ref="AA70:AA75"/>
    <mergeCell ref="AB200:BG200"/>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126:Y131"/>
    <mergeCell ref="AA126:AA131"/>
    <mergeCell ref="Y98:Y99"/>
    <mergeCell ref="AB85:AC85"/>
    <mergeCell ref="AB86:AC86"/>
    <mergeCell ref="AB87:AC87"/>
    <mergeCell ref="AB88:AC88"/>
    <mergeCell ref="X85:X140"/>
    <mergeCell ref="Z85:Z140"/>
    <mergeCell ref="AA98:AA99"/>
    <mergeCell ref="Y182:Y187"/>
    <mergeCell ref="AA182:AA187"/>
    <mergeCell ref="Y154:Y155"/>
    <mergeCell ref="AB141:AC141"/>
    <mergeCell ref="AB142:AC142"/>
    <mergeCell ref="AB143:AC143"/>
    <mergeCell ref="AB144:AC144"/>
    <mergeCell ref="X141:X196"/>
    <mergeCell ref="Z141:Z196"/>
    <mergeCell ref="AA154:AA15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8DA989-F85D-F548-47D8-307282A9D938}" mc:Ignorable="x14ac xr xr2 xr3">
  <sheetPr>
    <tabColor rgb="FF92D050"/>
    <outlinePr summaryBelow="0"/>
  </sheetPr>
  <dimension ref="A1:AV2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1066" width="4.00390625" hidden="1" customWidth="1"/>
    <col min="2" max="2" style="1066" width="11.00390625" hidden="1" customWidth="1"/>
    <col min="3" max="4" style="1066" width="4.00390625" hidden="1" customWidth="1"/>
    <col min="5" max="5" style="1043" width="4.00390625" hidden="1" customWidth="1"/>
    <col min="6" max="6" style="1066" width="4.00390625" hidden="1" customWidth="1"/>
    <col min="7" max="7" style="1066" width="10.140625" hidden="1" customWidth="1"/>
    <col min="8" max="8" style="1066" width="10.421875" hidden="1" customWidth="1"/>
    <col min="9" max="15" style="1066" width="4.00390625" hidden="1" customWidth="1"/>
    <col min="16" max="16" style="1066" width="3.7109375" hidden="1" customWidth="1"/>
    <col min="17" max="19" style="1066" width="4.00390625" hidden="1" customWidth="1"/>
    <col min="20" max="20" style="1066" width="8.57421875" hidden="1" customWidth="1"/>
    <col min="21" max="21" style="1066" width="5.8515625" hidden="1" customWidth="1"/>
    <col min="22" max="23" style="1066" width="6.140625" hidden="1" customWidth="1"/>
    <col min="24" max="24" style="1066" width="5.7109375" hidden="1" customWidth="1"/>
    <col min="25" max="25" style="1066" width="5.57421875" hidden="1" customWidth="1"/>
    <col min="26" max="26" style="1066" width="5.28125" hidden="1" customWidth="1"/>
    <col min="27" max="27" style="1066" width="3.00390625" customWidth="1"/>
    <col min="28" max="28" style="1066" width="11.00390625" customWidth="1"/>
    <col min="29" max="29" style="1066" width="75.00390625" customWidth="1"/>
    <col min="30" max="30" style="1066" width="11.29296875" customWidth="1"/>
    <col min="31" max="33" style="1066" width="13.00390625" customWidth="1"/>
    <col min="34" max="34" style="1066" width="15.140625" customWidth="1"/>
    <col min="35" max="37" style="1066" width="13.00390625" customWidth="1"/>
    <col min="38" max="38" style="1066" width="23.57421875" customWidth="1"/>
    <col min="39" max="40" style="1066" width="20.00390625" customWidth="1"/>
    <col min="41" max="41" style="1066" width="32.7109375" customWidth="1"/>
    <col min="42" max="42" style="1066" width="3.00390625" customWidth="1"/>
    <col min="43" max="43" style="1066" width="9.140625" hidden="1"/>
    <col min="44" max="46" style="1046" width="9.140625" hidden="1"/>
    <col min="47" max="48" style="1043" width="9.140625" hidden="1"/>
  </cols>
  <sheetData>
    <row customHeight="1" ht="15" hidden="1">
      <c r="E1" s="556"/>
      <c r="F1" s="954" t="s">
        <v>313</v>
      </c>
      <c r="I1" s="954" t="s">
        <v>324</v>
      </c>
      <c r="J1" s="954" t="s">
        <v>351</v>
      </c>
      <c r="T1" s="439" t="s">
        <v>92</v>
      </c>
      <c r="U1" s="439" t="s">
        <v>97</v>
      </c>
      <c r="V1" s="439" t="s">
        <v>93</v>
      </c>
      <c r="W1" s="439" t="s">
        <v>94</v>
      </c>
      <c r="X1" s="439" t="s">
        <v>95</v>
      </c>
      <c r="Y1" s="441" t="s">
        <v>315</v>
      </c>
      <c r="Z1" s="439" t="s">
        <v>99</v>
      </c>
      <c r="AA1" s="441" t="s">
        <v>96</v>
      </c>
      <c r="AC1" s="440" t="s">
        <v>98</v>
      </c>
      <c r="AE1" s="1066"/>
      <c r="AF1" s="1066"/>
      <c r="AG1" s="1066"/>
      <c r="AH1" s="1066"/>
      <c r="AI1" s="1066"/>
      <c r="AR1" s="1046" t="s">
        <v>316</v>
      </c>
      <c r="AS1" s="1046" t="s">
        <v>317</v>
      </c>
      <c r="AT1" s="1046" t="s">
        <v>318</v>
      </c>
      <c r="AU1" s="1043" t="s">
        <v>321</v>
      </c>
      <c r="AV1" s="1043" t="s">
        <v>322</v>
      </c>
    </row>
    <row customHeight="1" ht="15" hidden="1">
      <c r="B2" s="1252" t="s">
        <v>18</v>
      </c>
      <c r="E2" s="556"/>
      <c r="AE2" s="558">
        <f>FIRST_TIME_REG="нет"</f>
        <v>1</v>
      </c>
      <c r="AF2" s="558">
        <f>FIRST_TIME_REG="нет"</f>
        <v>1</v>
      </c>
      <c r="AG2" s="558">
        <f>FIRST_TIME_REG="нет"</f>
        <v>1</v>
      </c>
      <c r="AH2" s="558">
        <f>FIRST_TIME_REG="нет"</f>
        <v>1</v>
      </c>
      <c r="AI2" s="558">
        <f>FIRST_TIME_REG="нет"</f>
        <v>1</v>
      </c>
    </row>
    <row customHeight="1" ht="15" hidden="1">
      <c r="E3" s="556"/>
      <c r="AE3" s="1066"/>
      <c r="AF3" s="1066"/>
      <c r="AG3" s="1066"/>
      <c r="AH3" s="1066"/>
      <c r="AI3" s="1066"/>
    </row>
    <row customHeight="1" ht="15" hidden="1">
      <c r="E4" s="556"/>
      <c r="AE4" s="1066"/>
      <c r="AF4" s="1066"/>
      <c r="AG4" s="1066"/>
      <c r="AH4" s="1066"/>
      <c r="AI4" s="1066"/>
    </row>
    <row s="1043" customFormat="1" customHeight="1" ht="15" hidden="1">
      <c r="A5" s="556"/>
      <c r="B5" s="556"/>
      <c r="C5" s="556"/>
      <c r="D5" s="556"/>
      <c r="E5" s="675" t="s">
        <v>19</v>
      </c>
      <c r="AA5" s="675">
        <v>3</v>
      </c>
      <c r="AB5" s="675">
        <v>11</v>
      </c>
      <c r="AC5" s="675">
        <v>75</v>
      </c>
      <c r="AD5" s="675">
        <v>11.29</v>
      </c>
      <c r="AE5" s="675">
        <v>13</v>
      </c>
      <c r="AF5" s="675">
        <v>13</v>
      </c>
      <c r="AG5" s="675">
        <v>13</v>
      </c>
      <c r="AH5" s="675">
        <v>15.14</v>
      </c>
      <c r="AI5" s="675">
        <v>13</v>
      </c>
      <c r="AJ5" s="675">
        <v>13</v>
      </c>
      <c r="AK5" s="675">
        <v>13</v>
      </c>
      <c r="AL5" s="675">
        <v>23.57</v>
      </c>
      <c r="AM5" s="675">
        <v>20</v>
      </c>
      <c r="AN5" s="675">
        <v>20</v>
      </c>
      <c r="AO5" s="675">
        <v>32.71</v>
      </c>
      <c r="AP5" s="675">
        <v>3</v>
      </c>
      <c r="AR5" s="1044"/>
      <c r="AS5" s="1044"/>
      <c r="AT5" s="1044"/>
    </row>
    <row customHeight="1" ht="11.25" hidden="1">
      <c r="A6" s="1066" t="s">
        <v>1580</v>
      </c>
      <c r="AE6" s="1066"/>
      <c r="AF6" s="1066"/>
      <c r="AG6" s="1066"/>
      <c r="AH6" s="1066"/>
      <c r="AI6" s="1066"/>
      <c r="AM6" s="556" cm="1" t="str">
        <f t="array" ref="AM6:AM6">AM24</f>
        <v>Указание на подтверждающие документы / URL-ссылка на копии подтверждающих документов</v>
      </c>
      <c r="AN6" s="556" cm="1" t="str">
        <f t="array" ref="AN6:AN6">AN24</f>
        <v>Ссылка на правовую норму (основание для принятия показателя в расчет тарифа)</v>
      </c>
      <c r="AO6" s="556" cm="1" t="str">
        <f t="array" ref="AO6: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7" s="954" t="s">
        <v>354</v>
      </c>
      <c r="AE7" s="557">
        <f>god-2</f>
        <v>2024</v>
      </c>
      <c r="AF7" s="557">
        <f>god-2</f>
        <v>2024</v>
      </c>
      <c r="AG7" s="557">
        <f>god-2</f>
        <v>2024</v>
      </c>
      <c r="AH7" s="557">
        <f>god-2</f>
        <v>2024</v>
      </c>
      <c r="AI7" s="558">
        <f>god-1</f>
        <v>2025</v>
      </c>
      <c r="AJ7" s="558" cm="1" t="str">
        <f t="array" ref="AJ7:AJ7">god</f>
        <v>2026</v>
      </c>
      <c r="AK7" s="558" cm="1" t="str">
        <f t="array" ref="AK7:AK7">god</f>
        <v>2026</v>
      </c>
    </row>
    <row customHeight="1" ht="11.25" hidden="1">
      <c r="A8" s="954" t="s">
        <v>355</v>
      </c>
      <c r="AE8" s="558" cm="1" t="str">
        <f t="array" ref="AE8:AE8">AE25</f>
        <v>Принято органом регулирования</v>
      </c>
      <c r="AF8" s="558" cm="1" t="str">
        <f t="array" ref="AF8:AF8">AF25</f>
        <v>Факт по данным организации</v>
      </c>
      <c r="AG8" s="558" cm="1" t="str">
        <f t="array" ref="AG8:AG8">AG25</f>
        <v>Факт, принятый органом регулирования</v>
      </c>
      <c r="AH8" s="558" cm="1" t="str">
        <f t="array" ref="AH8:AH8">AH25</f>
        <v>отклонение факта по данным организации к факту принятому органом регулирования</v>
      </c>
      <c r="AI8" s="558" cm="1" t="str">
        <f t="array" ref="AI8:AI8">AI25</f>
        <v>Принято органом регулирования</v>
      </c>
      <c r="AJ8" s="558" cm="1" t="str">
        <f t="array" ref="AJ8:AJ8">AJ25</f>
        <v>Предложение организации</v>
      </c>
      <c r="AK8" s="558" cm="1" t="str">
        <f t="array" ref="AK8:AK8">AK25</f>
        <v>Принято органом регулирования</v>
      </c>
    </row>
    <row customHeight="1" ht="11.25" hidden="1">
      <c r="AE9" s="558" t="str">
        <f>AE7&amp;AE8</f>
        <v>2024Принято органом регулирования</v>
      </c>
      <c r="AF9" s="558" t="str">
        <f>AF7&amp;AF8</f>
        <v>2024Факт по данным организации</v>
      </c>
      <c r="AG9" s="558" t="str">
        <f>AG7&amp;AG8</f>
        <v>2024Факт, принятый органом регулирования</v>
      </c>
      <c r="AH9" s="558" t="str">
        <f>AH7&amp;AH8</f>
        <v>2024отклонение факта по данным организации к факту принятому органом регулирования</v>
      </c>
      <c r="AI9" s="558" t="str">
        <f>AI7&amp;AI8</f>
        <v>2025Принято органом регулирования</v>
      </c>
      <c r="AJ9" s="558" t="str">
        <f>AJ7&amp;AJ8</f>
        <v>2026Предложение организации</v>
      </c>
      <c r="AK9" s="558" t="str">
        <f>AK7&amp;AK8</f>
        <v>2026Принято органом регулирования</v>
      </c>
    </row>
    <row s="1046" customFormat="1" customHeight="1" ht="11.25" hidden="1">
      <c r="A10" s="1253" t="s">
        <v>359</v>
      </c>
      <c r="AE10" s="1045" cm="1" t="str">
        <f t="array" ref="AE10:AE10">AE7</f>
        <v>2024</v>
      </c>
      <c r="AF10" s="1045" cm="1" t="str">
        <f t="array" ref="AF10:AF10">AF7</f>
        <v>2024</v>
      </c>
      <c r="AG10" s="1045" cm="1" t="str">
        <f t="array" ref="AG10:AG10">AG7</f>
        <v>2024</v>
      </c>
      <c r="AH10" s="1045" cm="1" t="str">
        <f t="array" ref="AH10:AH10">AH7</f>
        <v>2024</v>
      </c>
      <c r="AI10" s="1045" cm="1" t="str">
        <f t="array" ref="AI10:AI10">AI7</f>
        <v>2025</v>
      </c>
      <c r="AJ10" s="1045" cm="1" t="str">
        <f t="array" ref="AJ10:AJ10">AJ7</f>
        <v>2026</v>
      </c>
      <c r="AK10" s="1045" cm="1" t="str">
        <f t="array" ref="AK10:AK10">AK7</f>
        <v>2026</v>
      </c>
      <c r="AL10" s="1045"/>
      <c r="AU10" s="675"/>
      <c r="AV10" s="675"/>
    </row>
    <row s="1046" customFormat="1" customHeight="1" ht="11.25" hidden="1">
      <c r="A11" s="980" t="s">
        <v>360</v>
      </c>
      <c r="AE11" s="1045" cm="1" t="str">
        <f t="array" ref="AE11:AE11">AE25</f>
        <v>Принято органом регулирования</v>
      </c>
      <c r="AF11" s="1045" cm="1" t="str">
        <f t="array" ref="AF11:AF11">AF25</f>
        <v>Факт по данным организации</v>
      </c>
      <c r="AG11" s="1045" cm="1" t="str">
        <f t="array" ref="AG11:AG11">AG25</f>
        <v>Факт, принятый органом регулирования</v>
      </c>
      <c r="AH11" s="1045" cm="1" t="str">
        <f t="array" ref="AH11:AH11">AH25</f>
        <v>отклонение факта по данным организации к факту принятому органом регулирования</v>
      </c>
      <c r="AI11" s="1045" cm="1" t="str">
        <f t="array" ref="AI11:AI11">AI25</f>
        <v>Принято органом регулирования</v>
      </c>
      <c r="AJ11" s="1045" cm="1" t="str">
        <f t="array" ref="AJ11:AJ11">AJ25</f>
        <v>Предложение организации</v>
      </c>
      <c r="AK11" s="1045" cm="1" t="str">
        <f t="array" ref="AK11:AK11">AK25</f>
        <v>Принято органом регулирования</v>
      </c>
      <c r="AL11" s="1045" cm="1" t="str">
        <f t="array" ref="AL11: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75"/>
      <c r="AV11" s="675"/>
    </row>
    <row s="1046" customFormat="1" customHeight="1" ht="11.25" hidden="1">
      <c r="A12" s="980" t="s">
        <v>361</v>
      </c>
      <c r="AE12" s="1045"/>
      <c r="AF12" s="1045"/>
      <c r="AG12" s="1045"/>
      <c r="AH12" s="1045"/>
      <c r="AI12" s="1045"/>
      <c r="AJ12" s="1045"/>
      <c r="AK12" s="1045"/>
      <c r="AM12" s="1044" cm="1" t="str">
        <f t="array" ref="AM12:AM12">AM24</f>
        <v>Указание на подтверждающие документы / URL-ссылка на копии подтверждающих документов</v>
      </c>
      <c r="AN12" s="1044" cm="1" t="str">
        <f t="array" ref="AN12:AN12">AN24</f>
        <v>Ссылка на правовую норму (основание для принятия показателя в расчет тарифа)</v>
      </c>
      <c r="AO12" s="1044" cm="1" t="str">
        <f t="array" ref="AO12: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75"/>
      <c r="AV12" s="675"/>
    </row>
    <row s="1046" customFormat="1" customHeight="1" ht="11.25" hidden="1">
      <c r="A13" s="1046" t="s">
        <v>331</v>
      </c>
      <c r="AC13" s="1046" t="s">
        <v>318</v>
      </c>
      <c r="AE13" s="1045"/>
      <c r="AF13" s="1045"/>
      <c r="AG13" s="1045"/>
      <c r="AH13" s="1045"/>
      <c r="AI13" s="1045"/>
      <c r="AJ13" s="1045"/>
      <c r="AK13" s="1045"/>
      <c r="AU13" s="675"/>
      <c r="AV13" s="675"/>
    </row>
    <row customHeight="1" ht="11.25" hidden="1">
      <c r="AE14" s="1066"/>
      <c r="AF14" s="1066"/>
      <c r="AG14" s="1066"/>
      <c r="AH14" s="1066"/>
      <c r="AI14" s="1066"/>
    </row>
    <row customHeight="1" ht="11.25" hidden="1">
      <c r="AE15" s="1066"/>
      <c r="AF15" s="1066"/>
      <c r="AG15" s="1066"/>
      <c r="AH15" s="1066"/>
      <c r="AI15" s="1066"/>
    </row>
    <row customHeight="1" ht="11.25" hidden="1">
      <c r="AE16" s="1066"/>
      <c r="AF16" s="1066"/>
      <c r="AG16" s="1066"/>
      <c r="AH16" s="1066"/>
      <c r="AI16" s="1066"/>
    </row>
    <row customHeight="1" ht="11.25" hidden="1">
      <c r="AE17" s="1066"/>
      <c r="AF17" s="1066"/>
      <c r="AG17" s="1066"/>
      <c r="AH17" s="1066"/>
      <c r="AI17" s="1066"/>
      <c r="AJ17" s="491"/>
    </row>
    <row customHeight="1" ht="11.25" hidden="1">
      <c r="A18" s="710" t="s">
        <v>332</v>
      </c>
      <c r="AC18" s="710" t="s">
        <v>362</v>
      </c>
      <c r="AE18" s="1066"/>
      <c r="AF18" s="1066"/>
      <c r="AG18" s="1066"/>
      <c r="AH18" s="1066"/>
      <c r="AI18" s="1066"/>
    </row>
    <row customHeight="1" ht="11.25" hidden="1">
      <c r="AE19" s="1066"/>
      <c r="AF19" s="1066"/>
      <c r="AG19" s="1066"/>
      <c r="AH19" s="1066"/>
      <c r="AI19" s="1066"/>
    </row>
    <row customHeight="1" ht="11.25" hidden="1">
      <c r="AE20" s="1066"/>
      <c r="AF20" s="1066"/>
      <c r="AG20" s="1066"/>
      <c r="AH20" s="1066"/>
      <c r="AI20" s="1066"/>
    </row>
    <row customHeight="1" ht="14.625">
      <c r="E21" s="675">
        <v>15</v>
      </c>
      <c r="AA21" s="674"/>
      <c r="AC21" s="559" cm="1" t="str">
        <f t="array" ref="AC21:AC21">tpl_title</f>
        <v>Кемеровская область / 2026 / Филиал АО "УК "Кузбассразрезуголь" "Талдинский угольный разрез" (ИНН:4205049090, КПП:423802002) / ДПР: 2024-2028</v>
      </c>
      <c r="AE21" s="1066"/>
      <c r="AF21" s="1066"/>
      <c r="AG21" s="1066"/>
      <c r="AH21" s="1066"/>
      <c r="AI21" s="1066"/>
    </row>
    <row customHeight="1" ht="19.5">
      <c r="E22" s="675">
        <v>20</v>
      </c>
      <c r="AB22" s="560" t="s">
        <v>1581</v>
      </c>
      <c r="AC22" s="561"/>
      <c r="AD22" s="561"/>
      <c r="AE22" s="561"/>
      <c r="AF22" s="561"/>
      <c r="AG22" s="561"/>
      <c r="AH22" s="561"/>
      <c r="AI22" s="561"/>
      <c r="AJ22" s="561"/>
      <c r="AK22" s="561"/>
      <c r="AL22" s="561"/>
      <c r="AM22" s="561"/>
      <c r="AN22" s="561"/>
      <c r="AO22" s="561"/>
    </row>
    <row customHeight="1" ht="14.625">
      <c r="E23" s="675">
        <v>15</v>
      </c>
      <c r="AB23" s="562"/>
      <c r="AC23" s="562"/>
      <c r="AD23" s="562"/>
      <c r="AE23" s="562"/>
      <c r="AF23" s="562"/>
      <c r="AG23" s="562"/>
      <c r="AH23" s="562"/>
      <c r="AI23" s="562"/>
      <c r="AJ23" s="562"/>
      <c r="AK23" s="562"/>
      <c r="AL23" s="562"/>
      <c r="AM23" s="562"/>
      <c r="AN23" s="562"/>
      <c r="AO23" s="562"/>
    </row>
    <row customHeight="1" ht="25.59375">
      <c r="E24" s="675">
        <v>26.25</v>
      </c>
      <c r="AB24" s="1488" t="s">
        <v>21</v>
      </c>
      <c r="AC24" s="1488" t="s">
        <v>362</v>
      </c>
      <c r="AD24" s="1488" t="s">
        <v>363</v>
      </c>
      <c r="AE24" s="563" t="str">
        <f>god-2&amp;" год"</f>
        <v>2024 год</v>
      </c>
      <c r="AF24" s="1112" t="str">
        <f>god-2&amp;" год"</f>
        <v>2024 год</v>
      </c>
      <c r="AG24" s="563" t="str">
        <f>god-2&amp;" год"</f>
        <v>2024 год</v>
      </c>
      <c r="AH24" s="563" t="str">
        <f>god-2&amp;" год"</f>
        <v>2024 год</v>
      </c>
      <c r="AI24" s="564" t="str">
        <f>god-1&amp;" год"</f>
        <v>2025 год</v>
      </c>
      <c r="AJ24" s="1114" t="str">
        <f>god&amp;" год"</f>
        <v>2026 год</v>
      </c>
      <c r="AK24" s="563" t="str">
        <f>god&amp;" год"</f>
        <v>2026 год</v>
      </c>
      <c r="AL24" s="1485" t="s">
        <v>1582</v>
      </c>
      <c r="AM24" s="1579" t="s">
        <v>1583</v>
      </c>
      <c r="AN24" s="1510" t="s">
        <v>507</v>
      </c>
      <c r="AO24" s="1510" t="s">
        <v>1584</v>
      </c>
    </row>
    <row customHeight="1" ht="77.5125">
      <c r="E25" s="675">
        <v>79.5</v>
      </c>
      <c r="AB25" s="1488"/>
      <c r="AC25" s="1488"/>
      <c r="AD25" s="1488"/>
      <c r="AE25" s="564" t="s">
        <v>356</v>
      </c>
      <c r="AF25" s="1113" t="s">
        <v>431</v>
      </c>
      <c r="AG25" s="564" t="s">
        <v>432</v>
      </c>
      <c r="AH25" s="563" t="s">
        <v>1585</v>
      </c>
      <c r="AI25" s="564" t="s">
        <v>356</v>
      </c>
      <c r="AJ25" s="1115" t="s">
        <v>357</v>
      </c>
      <c r="AK25" s="563" t="s">
        <v>356</v>
      </c>
      <c r="AL25" s="1485"/>
      <c r="AM25" s="1579"/>
      <c r="AN25" s="1510"/>
      <c r="AO25" s="1510"/>
    </row>
    <row customHeight="1" ht="11.25" hidden="1">
      <c r="E26" s="675">
        <v>0</v>
      </c>
      <c r="AB26" s="720"/>
      <c r="AC26" s="721"/>
      <c r="AD26" s="721"/>
      <c r="AE26" s="722"/>
      <c r="AF26" s="722"/>
      <c r="AG26" s="722"/>
      <c r="AH26" s="723"/>
      <c r="AI26" s="722"/>
      <c r="AJ26" s="723"/>
      <c r="AK26" s="723"/>
      <c r="AL26" s="724"/>
      <c r="AM26" s="723"/>
      <c r="AN26" s="723"/>
      <c r="AO26" s="723"/>
    </row>
    <row customHeight="1" ht="14.625" hidden="1">
      <c r="A27" s="1066"/>
      <c r="B27" s="1066"/>
      <c r="C27" s="1066"/>
      <c r="D27" s="1066"/>
      <c r="E27" s="675">
        <v>15</v>
      </c>
      <c r="F27" s="558" cm="1" t="str">
        <f t="array" ref="F27:F27">X27</f>
        <v>0</v>
      </c>
      <c r="G27" s="676" cm="1" t="str">
        <f t="array" ref="G27:G27">INDEX('Общие сведения'!$AK$179:$AK$222,MATCH($X27,'Общие сведения'!$Z$179:$Z$222,0))</f>
        <v>0</v>
      </c>
      <c r="H27" s="1066"/>
      <c r="I27" s="1066"/>
      <c r="J27" s="1066"/>
      <c r="K27" s="1066"/>
      <c r="L27" s="1066"/>
      <c r="M27" s="1066"/>
      <c r="N27" s="1066"/>
      <c r="O27" s="1066"/>
      <c r="P27" s="1066"/>
      <c r="Q27" s="1066"/>
      <c r="R27" s="1066"/>
      <c r="S27" s="1066"/>
      <c r="T27" s="439">
        <f>X27&gt;0</f>
        <v>0</v>
      </c>
      <c r="U27" s="1066"/>
      <c r="V27" s="674" t="s">
        <v>261</v>
      </c>
      <c r="W27" s="1066"/>
      <c r="X27" s="1577">
        <v>0</v>
      </c>
      <c r="Y27" s="1066"/>
      <c r="Z27" s="1578"/>
      <c r="AA27" s="1066"/>
      <c r="AB27" s="1254" cm="1" t="str">
        <f t="array" ref="AB27:AB27">INDEX('Общие сведения'!$AG$179:$AG$222,MATCH($X27,'Общие сведения'!$Z$179:$Z$222,0))</f>
        <v>Тариф 0 () - </v>
      </c>
      <c r="AC27" s="565"/>
      <c r="AD27" s="565"/>
      <c r="AE27" s="565"/>
      <c r="AF27" s="565"/>
      <c r="AG27" s="565"/>
      <c r="AH27" s="565"/>
      <c r="AI27" s="565"/>
      <c r="AJ27" s="565"/>
      <c r="AK27" s="565"/>
      <c r="AL27" s="565"/>
      <c r="AM27" s="565"/>
      <c r="AN27" s="565"/>
      <c r="AO27" s="565"/>
      <c r="AP27" s="1066"/>
      <c r="AQ27" s="1066"/>
      <c r="AR27" s="1046"/>
      <c r="AS27" s="1046"/>
      <c r="AT27" s="1046"/>
      <c r="AU27" s="1043"/>
      <c r="AV27" s="1043"/>
    </row>
    <row customHeight="1" ht="14.625" hidden="1">
      <c r="A28" s="1066"/>
      <c r="B28" s="1066"/>
      <c r="C28" s="1066"/>
      <c r="D28" s="1066"/>
      <c r="E28" s="675">
        <v>15</v>
      </c>
      <c r="F28" s="50" cm="1" t="str">
        <f t="array" ref="F28:F28">OFFSET(E28,-1,1)</f>
        <v>0</v>
      </c>
      <c r="G28" s="1066"/>
      <c r="H28" s="1066"/>
      <c r="I28" s="566" t="s">
        <v>325</v>
      </c>
      <c r="J28" s="566"/>
      <c r="K28" s="566"/>
      <c r="L28" s="566"/>
      <c r="M28" s="566"/>
      <c r="N28" s="566"/>
      <c r="O28" s="566"/>
      <c r="P28" s="566"/>
      <c r="Q28" s="566"/>
      <c r="R28" s="566"/>
      <c r="S28" s="566"/>
      <c r="T28" s="439" cm="1" t="str">
        <f t="array" ref="T28:T28">T27</f>
        <v>false</v>
      </c>
      <c r="U28" s="1066"/>
      <c r="V28" s="1066"/>
      <c r="W28" s="1066"/>
      <c r="X28" s="1577"/>
      <c r="Y28" s="1066"/>
      <c r="Z28" s="1578"/>
      <c r="AA28" s="1066"/>
      <c r="AB28" s="780" t="s">
        <v>272</v>
      </c>
      <c r="AC28" s="781" t="s">
        <v>1586</v>
      </c>
      <c r="AD28" s="740" t="s">
        <v>784</v>
      </c>
      <c r="AE28" s="782">
        <f>AE29+AE33+AE43+AE44+AE47+AE48+AE49</f>
        <v>0</v>
      </c>
      <c r="AF28" s="782">
        <f>AF29+AF33+AF43+AF44+AF47+AF48+AF49</f>
        <v>0</v>
      </c>
      <c r="AG28" s="782">
        <f>AG29+AG33+AG43+AG44+AG47+AG48+AG49</f>
        <v>0</v>
      </c>
      <c r="AH28" s="782">
        <f>AG28-AF28</f>
        <v>0</v>
      </c>
      <c r="AI28" s="782">
        <f>AI29+AI33+AI43+AI44+AI47+AI48+AI49</f>
        <v>0</v>
      </c>
      <c r="AJ28" s="782">
        <f>AJ29+AJ33+AJ43+AJ44+AJ47+AJ48+AJ49</f>
        <v>0</v>
      </c>
      <c r="AK28" s="782">
        <f>AK29+AK33+AK43+AK44+AK47+AK48+AK49</f>
        <v>0</v>
      </c>
      <c r="AL28" s="783">
        <f>IF(AI28=0,0,(AK28-AI28)/AI28*100)</f>
        <v>0</v>
      </c>
      <c r="AM28" s="4392"/>
      <c r="AN28" s="4393"/>
      <c r="AO28" s="4392"/>
      <c r="AP28" s="1066"/>
      <c r="AQ28" s="1066"/>
      <c r="AR28" s="1046" t="s">
        <v>498</v>
      </c>
      <c r="AS28" s="1046"/>
      <c r="AT28" s="1046"/>
      <c r="AU28" s="1043"/>
      <c r="AV28" s="1043"/>
    </row>
    <row s="567" customFormat="1" customHeight="1" ht="21.9375" hidden="1">
      <c r="A29" s="567"/>
      <c r="B29" s="567"/>
      <c r="C29" s="567"/>
      <c r="D29" s="567"/>
      <c r="E29" s="677">
        <v>22.5</v>
      </c>
      <c r="F29" s="50" cm="1" t="str">
        <f t="array" ref="F29:F29">OFFSET(E29,-1,1)</f>
        <v>0</v>
      </c>
      <c r="G29" s="567"/>
      <c r="H29" s="567"/>
      <c r="I29" s="678" t="s">
        <v>441</v>
      </c>
      <c r="J29" s="678"/>
      <c r="K29" s="678"/>
      <c r="L29" s="678"/>
      <c r="M29" s="678"/>
      <c r="N29" s="678"/>
      <c r="O29" s="678"/>
      <c r="P29" s="678"/>
      <c r="Q29" s="678"/>
      <c r="R29" s="678"/>
      <c r="S29" s="678"/>
      <c r="T29" s="439" cm="1" t="str">
        <f t="array" ref="T29:T29">T28</f>
        <v>false</v>
      </c>
      <c r="U29" s="567"/>
      <c r="V29" s="567"/>
      <c r="W29" s="567"/>
      <c r="X29" s="1577"/>
      <c r="Y29" s="567"/>
      <c r="Z29" s="1578"/>
      <c r="AA29" s="567"/>
      <c r="AB29" s="785" t="s">
        <v>845</v>
      </c>
      <c r="AC29" s="786" t="s">
        <v>1587</v>
      </c>
      <c r="AD29" s="569" t="s">
        <v>784</v>
      </c>
      <c r="AE29" s="782">
        <f>SUM(AE30:AE32)</f>
        <v>0</v>
      </c>
      <c r="AF29" s="782">
        <f>SUM(AF30:AF32)</f>
        <v>0</v>
      </c>
      <c r="AG29" s="782">
        <f>SUM(AG30:AG32)</f>
        <v>0</v>
      </c>
      <c r="AH29" s="782">
        <f>AG29-AF29</f>
        <v>0</v>
      </c>
      <c r="AI29" s="782">
        <f>SUM(AI30:AI32)</f>
        <v>0</v>
      </c>
      <c r="AJ29" s="782">
        <f>SUM(AJ30:AJ32)</f>
        <v>0</v>
      </c>
      <c r="AK29" s="782">
        <f>SUM(AK30:AK32)</f>
        <v>0</v>
      </c>
      <c r="AL29" s="782">
        <f>IF(AI29=0,0,(AK29-AI29)/AI29*100)</f>
        <v>0</v>
      </c>
      <c r="AM29" s="4400"/>
      <c r="AN29" s="4400"/>
      <c r="AO29" s="4400"/>
      <c r="AP29" s="567"/>
      <c r="AQ29" s="567"/>
      <c r="AR29" s="1047" t="s">
        <v>1588</v>
      </c>
      <c r="AS29" s="1047"/>
      <c r="AT29" s="1047"/>
      <c r="AU29" s="677"/>
      <c r="AV29" s="677"/>
    </row>
    <row customHeight="1" ht="14.625" hidden="1">
      <c r="A30" s="1066"/>
      <c r="B30" s="1066"/>
      <c r="C30" s="1066"/>
      <c r="D30" s="1066"/>
      <c r="E30" s="675">
        <v>15</v>
      </c>
      <c r="F30" s="50" cm="1" t="str">
        <f t="array" ref="F30:F30">OFFSET(E30,-1,1)</f>
        <v>0</v>
      </c>
      <c r="G30" s="1066"/>
      <c r="H30" s="1066"/>
      <c r="I30" s="566" t="s">
        <v>954</v>
      </c>
      <c r="J30" s="566"/>
      <c r="K30" s="566"/>
      <c r="L30" s="566"/>
      <c r="M30" s="566"/>
      <c r="N30" s="566"/>
      <c r="O30" s="566"/>
      <c r="P30" s="566"/>
      <c r="Q30" s="566"/>
      <c r="R30" s="566"/>
      <c r="S30" s="566"/>
      <c r="T30" s="439" cm="1" t="str">
        <f t="array" ref="T30:T30">T29</f>
        <v>false</v>
      </c>
      <c r="U30" s="1066"/>
      <c r="V30" s="1066"/>
      <c r="W30" s="1066"/>
      <c r="X30" s="1577"/>
      <c r="Y30" s="1066"/>
      <c r="Z30" s="1578"/>
      <c r="AA30" s="1066"/>
      <c r="AB30" s="788" t="s">
        <v>955</v>
      </c>
      <c r="AC30" s="789" t="s">
        <v>1589</v>
      </c>
      <c r="AD30" s="740" t="s">
        <v>784</v>
      </c>
      <c r="AE30" s="783">
        <f>_xlfn.SUMIFS('Сырье и материалы'!AE$25:AE$39,'Сырье и материалы'!$F$25:$F$39,$F30,'Сырье и материалы'!$AC$25:$AC$39,"Всего по тарифу")</f>
        <v>0</v>
      </c>
      <c r="AF30" s="783">
        <f>_xlfn.SUMIFS('Сырье и материалы'!AF$25:AF$39,'Сырье и материалы'!$F$25:$F$39,$F30,'Сырье и материалы'!$AC$25:$AC$39,"Всего по тарифу")</f>
        <v>0</v>
      </c>
      <c r="AG30" s="783">
        <f>_xlfn.SUMIFS('Сырье и материалы'!AG$25:AG$39,'Сырье и материалы'!$F$25:$F$39,$F30,'Сырье и материалы'!$AC$25:$AC$39,"Всего по тарифу")</f>
        <v>0</v>
      </c>
      <c r="AH30" s="783">
        <f>AG30-AF30</f>
        <v>0</v>
      </c>
      <c r="AI30" s="783">
        <f>_xlfn.SUMIFS('Сырье и материалы'!AH$25:AH$39,'Сырье и материалы'!$F$25:$F$39,$F30,'Сырье и материалы'!$AC$25:$AC$39,"Всего по тарифу")</f>
        <v>0</v>
      </c>
      <c r="AJ30" s="783">
        <f>_xlfn.SUMIFS('Сырье и материалы'!AI$25:AI$39,'Сырье и материалы'!$F$25:$F$39,$F30,'Сырье и материалы'!$AC$25:$AC$39,"Всего по тарифу")</f>
        <v>0</v>
      </c>
      <c r="AK30" s="783">
        <f>_xlfn.SUMIFS('Сырье и материалы'!AS$25:AS$39,'Сырье и материалы'!$F$25:$F$39,$F30,'Сырье и материалы'!$AC$25:$AC$39,"Всего по тарифу")</f>
        <v>0</v>
      </c>
      <c r="AL30" s="783">
        <f>IF(AI30=0,0,(AK30-AI30)/AI30*100)</f>
        <v>0</v>
      </c>
      <c r="AM30" s="4392"/>
      <c r="AN30" s="4393" t="str">
        <f>IF(_xlfn.IFERROR(INDEX('Сырье и материалы'!$K$26:$L$39,MATCH($F30&amp;"komm",'Сырье и материалы'!$K$26:$K$39,0),2),"")=0,"",_xlfn.IFERROR(INDEX('Сырье и материалы'!$K$26:$L$39,MATCH($F30&amp;"komm",'Сырье и материалы'!$K$26:$K$39,0),2),""))</f>
        <v/>
      </c>
      <c r="AO30" s="4392"/>
      <c r="AP30" s="1066"/>
      <c r="AQ30" s="1066"/>
      <c r="AR30" s="1046" t="s">
        <v>1590</v>
      </c>
      <c r="AS30" s="1046"/>
      <c r="AT30" s="1046"/>
      <c r="AU30" s="1043"/>
      <c r="AV30" s="1043"/>
    </row>
    <row customHeight="1" ht="14.625" hidden="1">
      <c r="A31" s="1066"/>
      <c r="B31" s="1066"/>
      <c r="C31" s="1066"/>
      <c r="D31" s="1066"/>
      <c r="E31" s="675">
        <v>15</v>
      </c>
      <c r="F31" s="50" cm="1" t="str">
        <f t="array" ref="F31:F31">OFFSET(E31,-1,1)</f>
        <v>0</v>
      </c>
      <c r="G31" s="1066"/>
      <c r="H31" s="1066"/>
      <c r="I31" s="566" t="s">
        <v>958</v>
      </c>
      <c r="J31" s="566"/>
      <c r="K31" s="566"/>
      <c r="L31" s="566"/>
      <c r="M31" s="566"/>
      <c r="N31" s="566"/>
      <c r="O31" s="566"/>
      <c r="P31" s="566"/>
      <c r="Q31" s="566"/>
      <c r="R31" s="566"/>
      <c r="S31" s="566"/>
      <c r="T31" s="439" cm="1" t="str">
        <f t="array" ref="T31:T31">T30</f>
        <v>false</v>
      </c>
      <c r="U31" s="1066"/>
      <c r="V31" s="1066"/>
      <c r="W31" s="1066"/>
      <c r="X31" s="1577"/>
      <c r="Y31" s="1066"/>
      <c r="Z31" s="1578"/>
      <c r="AA31" s="1066"/>
      <c r="AB31" s="788" t="s">
        <v>959</v>
      </c>
      <c r="AC31" s="789" t="s">
        <v>1591</v>
      </c>
      <c r="AD31" s="740" t="s">
        <v>784</v>
      </c>
      <c r="AE31" s="790"/>
      <c r="AF31" s="790"/>
      <c r="AG31" s="790"/>
      <c r="AH31" s="783">
        <f>AG31-AF31</f>
        <v>0</v>
      </c>
      <c r="AI31" s="790"/>
      <c r="AJ31" s="4405"/>
      <c r="AK31" s="4405"/>
      <c r="AL31" s="783">
        <f>IF(AI31=0,0,(AK31-AI31)/AI31*100)</f>
        <v>0</v>
      </c>
      <c r="AM31" s="4392"/>
      <c r="AN31" s="4392"/>
      <c r="AO31" s="4392"/>
      <c r="AP31" s="1066"/>
      <c r="AQ31" s="1066"/>
      <c r="AR31" s="1046" t="s">
        <v>1592</v>
      </c>
      <c r="AS31" s="1046"/>
      <c r="AT31" s="1046"/>
      <c r="AU31" s="1043"/>
      <c r="AV31" s="1043"/>
    </row>
    <row customHeight="1" ht="14.625" hidden="1">
      <c r="A32" s="1066"/>
      <c r="B32" s="1066"/>
      <c r="C32" s="1066"/>
      <c r="D32" s="1066"/>
      <c r="E32" s="675">
        <v>15</v>
      </c>
      <c r="F32" s="50" cm="1" t="str">
        <f t="array" ref="F32:F32">OFFSET(E32,-1,1)</f>
        <v>0</v>
      </c>
      <c r="G32" s="1066"/>
      <c r="H32" s="1066"/>
      <c r="I32" s="566" t="s">
        <v>1194</v>
      </c>
      <c r="J32" s="566"/>
      <c r="K32" s="566"/>
      <c r="L32" s="566"/>
      <c r="M32" s="566"/>
      <c r="N32" s="566"/>
      <c r="O32" s="566"/>
      <c r="P32" s="566"/>
      <c r="Q32" s="566"/>
      <c r="R32" s="566"/>
      <c r="S32" s="566"/>
      <c r="T32" s="439" cm="1" t="str">
        <f t="array" ref="T32:T32">T31</f>
        <v>false</v>
      </c>
      <c r="U32" s="1066"/>
      <c r="V32" s="1066"/>
      <c r="W32" s="1066"/>
      <c r="X32" s="1577"/>
      <c r="Y32" s="1066"/>
      <c r="Z32" s="1578"/>
      <c r="AA32" s="1066"/>
      <c r="AB32" s="788" t="s">
        <v>1195</v>
      </c>
      <c r="AC32" s="789" t="s">
        <v>1593</v>
      </c>
      <c r="AD32" s="740" t="s">
        <v>784</v>
      </c>
      <c r="AE32" s="790"/>
      <c r="AF32" s="790"/>
      <c r="AG32" s="790"/>
      <c r="AH32" s="783">
        <f>AG32-AF32</f>
        <v>0</v>
      </c>
      <c r="AI32" s="790"/>
      <c r="AJ32" s="4405"/>
      <c r="AK32" s="4405"/>
      <c r="AL32" s="783">
        <f>IF(AI32=0,0,(AK32-AI32)/AI32*100)</f>
        <v>0</v>
      </c>
      <c r="AM32" s="4392"/>
      <c r="AN32" s="4392"/>
      <c r="AO32" s="4392"/>
      <c r="AP32" s="1066"/>
      <c r="AQ32" s="1066"/>
      <c r="AR32" s="1046" t="s">
        <v>1594</v>
      </c>
      <c r="AS32" s="1046"/>
      <c r="AT32" s="1046"/>
      <c r="AU32" s="1043"/>
      <c r="AV32" s="1043"/>
    </row>
    <row s="567" customFormat="1" customHeight="1" ht="21.9375" hidden="1">
      <c r="A33" s="567"/>
      <c r="B33" s="567"/>
      <c r="C33" s="567"/>
      <c r="D33" s="567"/>
      <c r="E33" s="677">
        <v>22.5</v>
      </c>
      <c r="F33" s="50" cm="1" t="str">
        <f t="array" ref="F33:F33">OFFSET(E33,-1,1)</f>
        <v>0</v>
      </c>
      <c r="G33" s="567"/>
      <c r="H33" s="567"/>
      <c r="I33" s="678" t="s">
        <v>445</v>
      </c>
      <c r="J33" s="678"/>
      <c r="K33" s="678"/>
      <c r="L33" s="678"/>
      <c r="M33" s="678"/>
      <c r="N33" s="678"/>
      <c r="O33" s="678"/>
      <c r="P33" s="678"/>
      <c r="Q33" s="678"/>
      <c r="R33" s="678"/>
      <c r="S33" s="678"/>
      <c r="T33" s="439" cm="1" t="str">
        <f t="array" ref="T33:T33">T32</f>
        <v>false</v>
      </c>
      <c r="U33" s="567"/>
      <c r="V33" s="567"/>
      <c r="W33" s="567"/>
      <c r="X33" s="1577"/>
      <c r="Y33" s="567"/>
      <c r="Z33" s="1578"/>
      <c r="AA33" s="567"/>
      <c r="AB33" s="785" t="s">
        <v>848</v>
      </c>
      <c r="AC33" s="786" t="s">
        <v>1595</v>
      </c>
      <c r="AD33" s="569" t="s">
        <v>784</v>
      </c>
      <c r="AE33" s="782">
        <f>SUM(AE34:AE42)</f>
        <v>0</v>
      </c>
      <c r="AF33" s="782">
        <f>SUM(AF34:AF42)</f>
        <v>0</v>
      </c>
      <c r="AG33" s="782">
        <f>SUM(AG34:AG42)</f>
        <v>0</v>
      </c>
      <c r="AH33" s="782">
        <f>AG33-AF33</f>
        <v>0</v>
      </c>
      <c r="AI33" s="782">
        <f>SUM(AI34:AI42)</f>
        <v>0</v>
      </c>
      <c r="AJ33" s="782">
        <f>SUM(AJ34:AJ42)</f>
        <v>0</v>
      </c>
      <c r="AK33" s="782">
        <f>SUM(AK34:AK42)</f>
        <v>0</v>
      </c>
      <c r="AL33" s="782">
        <f>IF(AI33=0,0,(AK33-AI33)/AI33*100)</f>
        <v>0</v>
      </c>
      <c r="AM33" s="4400"/>
      <c r="AN33" s="4400"/>
      <c r="AO33" s="4400"/>
      <c r="AP33" s="567"/>
      <c r="AQ33" s="567"/>
      <c r="AR33" s="1047" t="s">
        <v>1596</v>
      </c>
      <c r="AS33" s="1047"/>
      <c r="AT33" s="1047"/>
      <c r="AU33" s="677"/>
      <c r="AV33" s="677"/>
    </row>
    <row customHeight="1" ht="14.625" hidden="1">
      <c r="A34" s="1066"/>
      <c r="B34" s="1066"/>
      <c r="C34" s="1066"/>
      <c r="D34" s="1066"/>
      <c r="E34" s="675">
        <v>15</v>
      </c>
      <c r="F34" s="50" cm="1" t="str">
        <f t="array" ref="F34:F34">OFFSET(E34,-1,1)</f>
        <v>0</v>
      </c>
      <c r="G34" s="1066"/>
      <c r="H34" s="1066"/>
      <c r="I34" s="566" t="s">
        <v>1219</v>
      </c>
      <c r="J34" s="566"/>
      <c r="K34" s="566"/>
      <c r="L34" s="566"/>
      <c r="M34" s="566"/>
      <c r="N34" s="566"/>
      <c r="O34" s="566"/>
      <c r="P34" s="566"/>
      <c r="Q34" s="566"/>
      <c r="R34" s="566"/>
      <c r="S34" s="566"/>
      <c r="T34" s="439" cm="1" t="str">
        <f t="array" ref="T34:T34">T33</f>
        <v>false</v>
      </c>
      <c r="U34" s="1066"/>
      <c r="V34" s="1066"/>
      <c r="W34" s="1066"/>
      <c r="X34" s="1577"/>
      <c r="Y34" s="1066"/>
      <c r="Z34" s="1578"/>
      <c r="AA34" s="1066"/>
      <c r="AB34" s="788" t="s">
        <v>1220</v>
      </c>
      <c r="AC34" s="789" t="s">
        <v>1597</v>
      </c>
      <c r="AD34" s="740" t="s">
        <v>784</v>
      </c>
      <c r="AE34" s="783">
        <f>_xlfn.SUMIFS(ЭЭ!AE$25:AE$93,ЭЭ!$F$25:$F$93,$F34,ЭЭ!$AC$25:$AC$93,"Всего по тарифу")</f>
        <v>0</v>
      </c>
      <c r="AF34" s="783">
        <f>_xlfn.SUMIFS(ЭЭ!AF$25:AF$93,ЭЭ!$F$25:$F$93,$F34,ЭЭ!$AC$25:$AC$93,"Всего по тарифу")</f>
        <v>0</v>
      </c>
      <c r="AG34" s="783">
        <f>_xlfn.SUMIFS(ЭЭ!AG$25:AG$93,ЭЭ!$F$25:$F$93,$F34,ЭЭ!$AC$25:$AC$93,"Всего по тарифу")</f>
        <v>0</v>
      </c>
      <c r="AH34" s="783">
        <f>AG34-AF34</f>
        <v>0</v>
      </c>
      <c r="AI34" s="783">
        <f>_xlfn.SUMIFS(ЭЭ!AH$25:AH$93,ЭЭ!$F$25:$F$93,$F34,ЭЭ!$AC$25:$AC$93,"Всего по тарифу")</f>
        <v>0</v>
      </c>
      <c r="AJ34" s="783">
        <f>_xlfn.SUMIFS(ЭЭ!AI$25:AI$93,ЭЭ!$F$25:$F$93,$F34,ЭЭ!$AC$25:$AC$93,"Всего по тарифу")</f>
        <v>0</v>
      </c>
      <c r="AK34" s="783">
        <f>_xlfn.SUMIFS(ЭЭ!AS$25:AS$93,ЭЭ!$F$25:$F$93,$F34,ЭЭ!$AC$25:$AC$93,"Всего по тарифу")</f>
        <v>0</v>
      </c>
      <c r="AL34" s="783">
        <f>IF(AI34=0,0,(AK34-AI34)/AI34*100)</f>
        <v>0</v>
      </c>
      <c r="AM34" s="4392"/>
      <c r="AN34" s="4393" t="str">
        <f>IF(_xlfn.IFERROR(INDEX(ЭЭ!$K$26:$L$93,MATCH($F34&amp;"komm",ЭЭ!$K$26:$K$93,0),2),"")=0,"",_xlfn.IFERROR(INDEX(ЭЭ!$K$26:$L$93,MATCH($F34&amp;"komm",ЭЭ!$K$26:$K$93,0),2),""))</f>
        <v/>
      </c>
      <c r="AO34" s="4392"/>
      <c r="AP34" s="1066"/>
      <c r="AQ34" s="1066"/>
      <c r="AR34" s="1046" t="s">
        <v>1598</v>
      </c>
      <c r="AS34" s="1046"/>
      <c r="AT34" s="1046"/>
      <c r="AU34" s="1043"/>
      <c r="AV34" s="1043"/>
    </row>
    <row customHeight="1" ht="14.625" hidden="1">
      <c r="A35" s="1066"/>
      <c r="B35" s="1066"/>
      <c r="C35" s="1066"/>
      <c r="D35" s="1066"/>
      <c r="E35" s="675">
        <v>15</v>
      </c>
      <c r="F35" s="50" cm="1" t="str">
        <f t="array" ref="F35:F35">OFFSET(E35,-1,1)</f>
        <v>0</v>
      </c>
      <c r="G35" s="556" t="s">
        <v>1028</v>
      </c>
      <c r="H35" s="1066"/>
      <c r="I35" s="566" t="s">
        <v>1222</v>
      </c>
      <c r="J35" s="566"/>
      <c r="K35" s="566"/>
      <c r="L35" s="566"/>
      <c r="M35" s="566"/>
      <c r="N35" s="566"/>
      <c r="O35" s="566"/>
      <c r="P35" s="566"/>
      <c r="Q35" s="566"/>
      <c r="R35" s="566"/>
      <c r="S35" s="566"/>
      <c r="T35" s="439" cm="1" t="str">
        <f t="array" ref="T35:T35">T34</f>
        <v>false</v>
      </c>
      <c r="U35" s="1066"/>
      <c r="V35" s="1066"/>
      <c r="W35" s="1066"/>
      <c r="X35" s="1577"/>
      <c r="Y35" s="1066"/>
      <c r="Z35" s="1578"/>
      <c r="AA35" s="1066"/>
      <c r="AB35" s="788" t="s">
        <v>1223</v>
      </c>
      <c r="AC35" s="789" t="s">
        <v>1599</v>
      </c>
      <c r="AD35" s="740" t="s">
        <v>784</v>
      </c>
      <c r="AE35" s="783">
        <f>_xlfn.SUMIFS(Покупка!AE$25:AE$117,Покупка!$F$25:$F$117,$F35,Покупка!$AC$25:$AC$117,$G35)</f>
        <v>0</v>
      </c>
      <c r="AF35" s="783">
        <f>_xlfn.SUMIFS(Покупка!AF$25:AF$117,Покупка!$F$25:$F$117,$F35,Покупка!$AC$25:$AC$117,$G35)</f>
        <v>0</v>
      </c>
      <c r="AG35" s="783">
        <f>_xlfn.SUMIFS(Покупка!AG$25:AG$117,Покупка!$F$25:$F$117,$F35,Покупка!$AC$25:$AC$117,$G35)</f>
        <v>0</v>
      </c>
      <c r="AH35" s="783">
        <f>AG35-AF35</f>
        <v>0</v>
      </c>
      <c r="AI35" s="783">
        <f>_xlfn.SUMIFS(Покупка!AH$25:AH$117,Покупка!$F$25:$F$117,$F35,Покупка!$AC$25:$AC$117,$G35)</f>
        <v>0</v>
      </c>
      <c r="AJ35" s="783">
        <f>_xlfn.SUMIFS(Покупка!AI$25:AI$117,Покупка!$F$25:$F$117,$F35,Покупка!$AC$25:$AC$117,$G35)</f>
        <v>0</v>
      </c>
      <c r="AK35" s="783">
        <f>_xlfn.SUMIFS(Покупка!AS$25:AS$117,Покупка!$F$25:$F$117,$F35,Покупка!$AC$25:$AC$117,$G35)</f>
        <v>0</v>
      </c>
      <c r="AL35" s="783">
        <f>IF(AI35=0,0,(AK35-AI35)/AI35*100)</f>
        <v>0</v>
      </c>
      <c r="AM35" s="4392"/>
      <c r="AN35" s="4393" t="str">
        <f>IF(_xlfn.IFERROR(INDEX(Покупка!$K$26:$L$117,MATCH($F35&amp;"6komm",Покупка!$K$26:$K$117,0),2),"")=0,"",_xlfn.IFERROR(INDEX(Покупка!$K$26:$L$117,MATCH($F35&amp;"6komm",Покупка!$K$26:$K$117,0),2),""))</f>
        <v/>
      </c>
      <c r="AO35" s="4392"/>
      <c r="AP35" s="1066"/>
      <c r="AQ35" s="1066"/>
      <c r="AR35" s="1046" t="s">
        <v>1029</v>
      </c>
      <c r="AS35" s="1046"/>
      <c r="AT35" s="1046"/>
      <c r="AU35" s="1043"/>
      <c r="AV35" s="1043"/>
    </row>
    <row customHeight="1" ht="14.625" hidden="1">
      <c r="A36" s="1066"/>
      <c r="B36" s="1066"/>
      <c r="C36" s="1066"/>
      <c r="D36" s="1066"/>
      <c r="E36" s="675">
        <v>15</v>
      </c>
      <c r="F36" s="50" cm="1" t="str">
        <f t="array" ref="F36:F36">OFFSET(E36,-1,1)</f>
        <v>0</v>
      </c>
      <c r="G36" s="556" t="s">
        <v>1030</v>
      </c>
      <c r="H36" s="1066"/>
      <c r="I36" s="566" t="s">
        <v>1226</v>
      </c>
      <c r="J36" s="566"/>
      <c r="K36" s="566"/>
      <c r="L36" s="566"/>
      <c r="M36" s="566"/>
      <c r="N36" s="566"/>
      <c r="O36" s="566"/>
      <c r="P36" s="566"/>
      <c r="Q36" s="566"/>
      <c r="R36" s="566"/>
      <c r="S36" s="566"/>
      <c r="T36" s="439" cm="1" t="str">
        <f t="array" ref="T36:T36">T35</f>
        <v>false</v>
      </c>
      <c r="U36" s="1066"/>
      <c r="V36" s="1066"/>
      <c r="W36" s="1066"/>
      <c r="X36" s="1577"/>
      <c r="Y36" s="1066"/>
      <c r="Z36" s="1578"/>
      <c r="AA36" s="1066"/>
      <c r="AB36" s="788" t="s">
        <v>1227</v>
      </c>
      <c r="AC36" s="789" t="s">
        <v>1600</v>
      </c>
      <c r="AD36" s="740" t="s">
        <v>784</v>
      </c>
      <c r="AE36" s="783">
        <f>_xlfn.SUMIFS(Покупка!AE$25:AE$117,Покупка!$F$25:$F$117,$F36,Покупка!$AC$25:$AC$117,$G36)</f>
        <v>0</v>
      </c>
      <c r="AF36" s="783">
        <f>_xlfn.SUMIFS(Покупка!AF$25:AF$117,Покупка!$F$25:$F$117,$F36,Покупка!$AC$25:$AC$117,$G36)</f>
        <v>0</v>
      </c>
      <c r="AG36" s="783">
        <f>_xlfn.SUMIFS(Покупка!AG$25:AG$117,Покупка!$F$25:$F$117,$F36,Покупка!$AC$25:$AC$117,$G36)</f>
        <v>0</v>
      </c>
      <c r="AH36" s="783">
        <f>AG36-AF36</f>
        <v>0</v>
      </c>
      <c r="AI36" s="783">
        <f>_xlfn.SUMIFS(Покупка!AH$25:AH$117,Покупка!$F$25:$F$117,$F36,Покупка!$AC$25:$AC$117,$G36)</f>
        <v>0</v>
      </c>
      <c r="AJ36" s="783">
        <f>_xlfn.SUMIFS(Покупка!AI$25:AI$117,Покупка!$F$25:$F$117,$F36,Покупка!$AC$25:$AC$117,$G36)</f>
        <v>0</v>
      </c>
      <c r="AK36" s="783">
        <f>_xlfn.SUMIFS(Покупка!AS$25:AS$117,Покупка!$F$25:$F$117,$F36,Покупка!$AC$25:$AC$117,$G36)</f>
        <v>0</v>
      </c>
      <c r="AL36" s="783">
        <f>IF(AI36=0,0,(AK36-AI36)/AI36*100)</f>
        <v>0</v>
      </c>
      <c r="AM36" s="4392"/>
      <c r="AN36" s="4393" t="str">
        <f>IF(_xlfn.IFERROR(INDEX(Покупка!$K$26:$L$117,MATCH($F36&amp;"7komm",Покупка!$K$26:$K$117,0),2),"")=0,"",_xlfn.IFERROR(INDEX(Покупка!$K$26:$L$117,MATCH($F36&amp;"7komm",Покупка!$K$26:$K$117,0),2),""))</f>
        <v/>
      </c>
      <c r="AO36" s="4392"/>
      <c r="AP36" s="1066"/>
      <c r="AQ36" s="1066"/>
      <c r="AR36" s="1046" t="s">
        <v>1031</v>
      </c>
      <c r="AS36" s="1046"/>
      <c r="AT36" s="1046"/>
      <c r="AU36" s="1043"/>
      <c r="AV36" s="1043"/>
    </row>
    <row customHeight="1" ht="14.625" hidden="1">
      <c r="A37" s="1066"/>
      <c r="B37" s="1066"/>
      <c r="C37" s="1066"/>
      <c r="D37" s="1066"/>
      <c r="E37" s="675">
        <v>15</v>
      </c>
      <c r="F37" s="50" cm="1" t="str">
        <f t="array" ref="F37:F37">OFFSET(E37,-1,1)</f>
        <v>0</v>
      </c>
      <c r="G37" s="733" t="s">
        <v>1034</v>
      </c>
      <c r="H37" s="1066"/>
      <c r="I37" s="566" t="s">
        <v>1385</v>
      </c>
      <c r="J37" s="566"/>
      <c r="K37" s="566"/>
      <c r="L37" s="566"/>
      <c r="M37" s="566"/>
      <c r="N37" s="566"/>
      <c r="O37" s="566"/>
      <c r="P37" s="566"/>
      <c r="Q37" s="566"/>
      <c r="R37" s="566"/>
      <c r="S37" s="566"/>
      <c r="T37" s="439" cm="1" t="str">
        <f t="array" ref="T37:T37">T36</f>
        <v>false</v>
      </c>
      <c r="U37" s="1066"/>
      <c r="V37" s="1066"/>
      <c r="W37" s="1066"/>
      <c r="X37" s="1577"/>
      <c r="Y37" s="1066"/>
      <c r="Z37" s="1578"/>
      <c r="AA37" s="1066"/>
      <c r="AB37" s="788" t="s">
        <v>1601</v>
      </c>
      <c r="AC37" s="789" t="s">
        <v>1602</v>
      </c>
      <c r="AD37" s="740" t="s">
        <v>784</v>
      </c>
      <c r="AE37" s="783">
        <f>_xlfn.SUMIFS(Покупка!AE$25:AE$117,Покупка!$F$25:$F$117,$F37,Покупка!$AC$25:$AC$117,$G37)</f>
        <v>0</v>
      </c>
      <c r="AF37" s="783">
        <f>_xlfn.SUMIFS(Покупка!AF$25:AF$117,Покупка!$F$25:$F$117,$F37,Покупка!$AC$25:$AC$117,$G37)</f>
        <v>0</v>
      </c>
      <c r="AG37" s="783">
        <f>_xlfn.SUMIFS(Покупка!AG$25:AG$117,Покупка!$F$25:$F$117,$F37,Покупка!$AC$25:$AC$117,$G37)</f>
        <v>0</v>
      </c>
      <c r="AH37" s="783">
        <f>AG37-AF37</f>
        <v>0</v>
      </c>
      <c r="AI37" s="783">
        <f>_xlfn.SUMIFS(Покупка!AH$25:AH$117,Покупка!$F$25:$F$117,$F37,Покупка!$AC$25:$AC$117,$G37)</f>
        <v>0</v>
      </c>
      <c r="AJ37" s="783">
        <f>_xlfn.SUMIFS(Покупка!AI$25:AI$117,Покупка!$F$25:$F$117,$F37,Покупка!$AC$25:$AC$117,$G37)</f>
        <v>0</v>
      </c>
      <c r="AK37" s="783">
        <f>_xlfn.SUMIFS(Покупка!AS$25:AS$117,Покупка!$F$25:$F$117,$F37,Покупка!$AC$25:$AC$117,$G37)</f>
        <v>0</v>
      </c>
      <c r="AL37" s="783">
        <f>IF(AI37=0,0,(AK37-AI37)/AI37*100)</f>
        <v>0</v>
      </c>
      <c r="AM37" s="4392"/>
      <c r="AN37" s="4393" t="str">
        <f>IF(_xlfn.IFERROR(INDEX(Покупка!$K$26:$L$117,MATCH($F37&amp;"9komm",Покупка!$K$26:$K$117,0),2),"")=0,"",_xlfn.IFERROR(INDEX(Покупка!$K$26:$L$117,MATCH($F37&amp;"9komm",Покупка!$K$26:$K$117,0),2),""))</f>
        <v/>
      </c>
      <c r="AO37" s="4392"/>
      <c r="AP37" s="1066"/>
      <c r="AQ37" s="1066"/>
      <c r="AR37" s="1046" t="s">
        <v>1035</v>
      </c>
      <c r="AS37" s="1046"/>
      <c r="AT37" s="1046"/>
      <c r="AU37" s="1043"/>
      <c r="AV37" s="1043"/>
    </row>
    <row customHeight="1" ht="14.625" hidden="1">
      <c r="A38" s="1066"/>
      <c r="B38" s="1066"/>
      <c r="C38" s="1066"/>
      <c r="D38" s="1066"/>
      <c r="E38" s="675">
        <v>15</v>
      </c>
      <c r="F38" s="50" cm="1" t="str">
        <f t="array" ref="F38:F38">OFFSET(E38,-1,1)</f>
        <v>0</v>
      </c>
      <c r="G38" s="556" t="s">
        <v>996</v>
      </c>
      <c r="H38" s="1066"/>
      <c r="I38" s="566" t="s">
        <v>1389</v>
      </c>
      <c r="J38" s="566"/>
      <c r="K38" s="566"/>
      <c r="L38" s="566"/>
      <c r="M38" s="566"/>
      <c r="N38" s="566"/>
      <c r="O38" s="566"/>
      <c r="P38" s="566"/>
      <c r="Q38" s="566"/>
      <c r="R38" s="566"/>
      <c r="S38" s="566"/>
      <c r="T38" s="439" cm="1" t="str">
        <f t="array" ref="T38:T38">T37</f>
        <v>false</v>
      </c>
      <c r="U38" s="1066"/>
      <c r="V38" s="1066"/>
      <c r="W38" s="1066"/>
      <c r="X38" s="1577"/>
      <c r="Y38" s="1066"/>
      <c r="Z38" s="1578"/>
      <c r="AA38" s="1066"/>
      <c r="AB38" s="788" t="s">
        <v>1603</v>
      </c>
      <c r="AC38" s="789" t="s">
        <v>1604</v>
      </c>
      <c r="AD38" s="740" t="s">
        <v>784</v>
      </c>
      <c r="AE38" s="783">
        <f>_xlfn.SUMIFS(Покупка!AE$25:AE$117,Покупка!$F$25:$F$117,$F38,Покупка!$AC$25:$AC$117,$G38)</f>
        <v>0</v>
      </c>
      <c r="AF38" s="783">
        <f>_xlfn.SUMIFS(Покупка!AF$25:AF$117,Покупка!$F$25:$F$117,$F38,Покупка!$AC$25:$AC$117,$G38)</f>
        <v>0</v>
      </c>
      <c r="AG38" s="783">
        <f>_xlfn.SUMIFS(Покупка!AG$25:AG$117,Покупка!$F$25:$F$117,$F38,Покупка!$AC$25:$AC$117,$G38)</f>
        <v>0</v>
      </c>
      <c r="AH38" s="783">
        <f>AG38-AF38</f>
        <v>0</v>
      </c>
      <c r="AI38" s="783">
        <f>_xlfn.SUMIFS(Покупка!AH$25:AH$117,Покупка!$F$25:$F$117,$F38,Покупка!$AC$25:$AC$117,$G38)</f>
        <v>0</v>
      </c>
      <c r="AJ38" s="783">
        <f>_xlfn.SUMIFS(Покупка!AI$25:AI$117,Покупка!$F$25:$F$117,$F38,Покупка!$AC$25:$AC$117,$G38)</f>
        <v>0</v>
      </c>
      <c r="AK38" s="783">
        <f>_xlfn.SUMIFS(Покупка!AS$25:AS$117,Покупка!$F$25:$F$117,$F38,Покупка!$AC$25:$AC$117,$G38)</f>
        <v>0</v>
      </c>
      <c r="AL38" s="783">
        <f>IF(AI38=0,0,(AK38-AI38)/AI38*100)</f>
        <v>0</v>
      </c>
      <c r="AM38" s="4392"/>
      <c r="AN38" s="4393" t="str">
        <f>IF(_xlfn.IFERROR(INDEX(Покупка!$K$26:$L$117,MATCH($F38&amp;"1komm",Покупка!$K$26:$K$117,0),2),"")=0,"",_xlfn.IFERROR(INDEX(Покупка!$K$26:$L$117,MATCH($F38&amp;"1komm",Покупка!$K$26:$K$117,0),2),""))</f>
        <v/>
      </c>
      <c r="AO38" s="4392"/>
      <c r="AP38" s="1066"/>
      <c r="AQ38" s="1066"/>
      <c r="AR38" s="1046" t="s">
        <v>1605</v>
      </c>
      <c r="AS38" s="1046"/>
      <c r="AT38" s="1046"/>
      <c r="AU38" s="1043"/>
      <c r="AV38" s="1043"/>
    </row>
    <row customHeight="1" ht="14.625" hidden="1">
      <c r="A39" s="1066"/>
      <c r="B39" s="1066"/>
      <c r="C39" s="1066"/>
      <c r="D39" s="1066"/>
      <c r="E39" s="675">
        <v>15</v>
      </c>
      <c r="F39" s="50" cm="1" t="str">
        <f t="array" ref="F39:F39">OFFSET(E39,-1,1)</f>
        <v>0</v>
      </c>
      <c r="G39" s="556" t="s">
        <v>1005</v>
      </c>
      <c r="H39" s="1066"/>
      <c r="I39" s="566" t="s">
        <v>1394</v>
      </c>
      <c r="J39" s="566"/>
      <c r="K39" s="566"/>
      <c r="L39" s="566"/>
      <c r="M39" s="566"/>
      <c r="N39" s="566"/>
      <c r="O39" s="566"/>
      <c r="P39" s="566"/>
      <c r="Q39" s="566"/>
      <c r="R39" s="566"/>
      <c r="S39" s="566"/>
      <c r="T39" s="439" cm="1" t="str">
        <f t="array" ref="T39:T39">T38</f>
        <v>false</v>
      </c>
      <c r="U39" s="1066"/>
      <c r="V39" s="1066"/>
      <c r="W39" s="1066"/>
      <c r="X39" s="1577"/>
      <c r="Y39" s="1066"/>
      <c r="Z39" s="1578"/>
      <c r="AA39" s="1066"/>
      <c r="AB39" s="788" t="s">
        <v>1606</v>
      </c>
      <c r="AC39" s="789" t="s">
        <v>1607</v>
      </c>
      <c r="AD39" s="740" t="s">
        <v>784</v>
      </c>
      <c r="AE39" s="783">
        <f>_xlfn.SUMIFS(Покупка!AE$25:AE$117,Покупка!$F$25:$F$117,$F39,Покупка!$AC$25:$AC$117,$G39)</f>
        <v>0</v>
      </c>
      <c r="AF39" s="783">
        <f>_xlfn.SUMIFS(Покупка!AF$25:AF$117,Покупка!$F$25:$F$117,$F39,Покупка!$AC$25:$AC$117,$G39)</f>
        <v>0</v>
      </c>
      <c r="AG39" s="783">
        <f>_xlfn.SUMIFS(Покупка!AG$25:AG$117,Покупка!$F$25:$F$117,$F39,Покупка!$AC$25:$AC$117,$G39)</f>
        <v>0</v>
      </c>
      <c r="AH39" s="783">
        <f>AG39-AF39</f>
        <v>0</v>
      </c>
      <c r="AI39" s="783">
        <f>_xlfn.SUMIFS(Покупка!AH$25:AH$117,Покупка!$F$25:$F$117,$F39,Покупка!$AC$25:$AC$117,$G39)</f>
        <v>0</v>
      </c>
      <c r="AJ39" s="783">
        <f>_xlfn.SUMIFS(Покупка!AI$25:AI$117,Покупка!$F$25:$F$117,$F39,Покупка!$AC$25:$AC$117,$G39)</f>
        <v>0</v>
      </c>
      <c r="AK39" s="783">
        <f>_xlfn.SUMIFS(Покупка!AS$25:AS$117,Покупка!$F$25:$F$117,$F39,Покупка!$AC$25:$AC$117,$G39)</f>
        <v>0</v>
      </c>
      <c r="AL39" s="783">
        <f>IF(AI39=0,0,(AK39-AI39)/AI39*100)</f>
        <v>0</v>
      </c>
      <c r="AM39" s="4392"/>
      <c r="AN39" s="4393" t="str">
        <f>IF(_xlfn.IFERROR(INDEX(Покупка!$K$26:$L$117,MATCH($F39&amp;"2komm",Покупка!$K$26:$K$117,0),2),"")=0,"",_xlfn.IFERROR(INDEX(Покупка!$K$26:$L$117,MATCH($F39&amp;"2komm",Покупка!$K$26:$K$117,0),2),""))</f>
        <v/>
      </c>
      <c r="AO39" s="4392"/>
      <c r="AP39" s="1066"/>
      <c r="AQ39" s="1066"/>
      <c r="AR39" s="1046" t="s">
        <v>1608</v>
      </c>
      <c r="AS39" s="1046"/>
      <c r="AT39" s="1046"/>
      <c r="AU39" s="1043"/>
      <c r="AV39" s="1043"/>
    </row>
    <row customHeight="1" ht="14.625" hidden="1">
      <c r="A40" s="1066"/>
      <c r="B40" s="1066"/>
      <c r="C40" s="1066"/>
      <c r="D40" s="1066"/>
      <c r="E40" s="675">
        <v>15</v>
      </c>
      <c r="F40" s="50" cm="1" t="str">
        <f t="array" ref="F40:F40">OFFSET(E40,-1,1)</f>
        <v>0</v>
      </c>
      <c r="G40" s="556" t="s">
        <v>1010</v>
      </c>
      <c r="H40" s="1066"/>
      <c r="I40" s="566" t="s">
        <v>1403</v>
      </c>
      <c r="J40" s="566"/>
      <c r="K40" s="566"/>
      <c r="L40" s="566"/>
      <c r="M40" s="566"/>
      <c r="N40" s="566"/>
      <c r="O40" s="566"/>
      <c r="P40" s="566"/>
      <c r="Q40" s="566"/>
      <c r="R40" s="566"/>
      <c r="S40" s="566"/>
      <c r="T40" s="439" cm="1" t="str">
        <f t="array" ref="T40:T40">T39</f>
        <v>false</v>
      </c>
      <c r="U40" s="1066"/>
      <c r="V40" s="1066"/>
      <c r="W40" s="1066"/>
      <c r="X40" s="1577"/>
      <c r="Y40" s="1066"/>
      <c r="Z40" s="1578"/>
      <c r="AA40" s="1066"/>
      <c r="AB40" s="788" t="s">
        <v>1609</v>
      </c>
      <c r="AC40" s="789" t="s">
        <v>1610</v>
      </c>
      <c r="AD40" s="740" t="s">
        <v>784</v>
      </c>
      <c r="AE40" s="783">
        <f>_xlfn.SUMIFS(Покупка!AE$25:AE$117,Покупка!$F$25:$F$117,$F40,Покупка!$AC$25:$AC$117,$G40)</f>
        <v>0</v>
      </c>
      <c r="AF40" s="783">
        <f>_xlfn.SUMIFS(Покупка!AF$25:AF$117,Покупка!$F$25:$F$117,$F40,Покупка!$AC$25:$AC$117,$G40)</f>
        <v>0</v>
      </c>
      <c r="AG40" s="783">
        <f>_xlfn.SUMIFS(Покупка!AG$25:AG$117,Покупка!$F$25:$F$117,$F40,Покупка!$AC$25:$AC$117,$G40)</f>
        <v>0</v>
      </c>
      <c r="AH40" s="783">
        <f>AG40-AF40</f>
        <v>0</v>
      </c>
      <c r="AI40" s="783">
        <f>_xlfn.SUMIFS(Покупка!AH$25:AH$117,Покупка!$F$25:$F$117,$F40,Покупка!$AC$25:$AC$117,$G40)</f>
        <v>0</v>
      </c>
      <c r="AJ40" s="783">
        <f>_xlfn.SUMIFS(Покупка!AI$25:AI$117,Покупка!$F$25:$F$117,$F40,Покупка!$AC$25:$AC$117,$G40)</f>
        <v>0</v>
      </c>
      <c r="AK40" s="783">
        <f>_xlfn.SUMIFS(Покупка!AS$25:AS$117,Покупка!$F$25:$F$117,$F40,Покупка!$AC$25:$AC$117,$G40)</f>
        <v>0</v>
      </c>
      <c r="AL40" s="783">
        <f>IF(AI40=0,0,(AK40-AI40)/AI40*100)</f>
        <v>0</v>
      </c>
      <c r="AM40" s="4392"/>
      <c r="AN40" s="4393" t="str">
        <f>IF(_xlfn.IFERROR(INDEX(Покупка!$K$26:$L$117,MATCH($F40&amp;"3komm",Покупка!$K$26:$K$117,0),2),"")=0,"",_xlfn.IFERROR(INDEX(Покупка!$K$26:$L$117,MATCH($F40&amp;"3komm",Покупка!$K$26:$K$117,0),2),""))</f>
        <v/>
      </c>
      <c r="AO40" s="4392"/>
      <c r="AP40" s="1066"/>
      <c r="AQ40" s="1066"/>
      <c r="AR40" s="1046" t="s">
        <v>1611</v>
      </c>
      <c r="AS40" s="1046"/>
      <c r="AT40" s="1046"/>
      <c r="AU40" s="1043"/>
      <c r="AV40" s="1043"/>
    </row>
    <row customHeight="1" ht="14.625" hidden="1">
      <c r="A41" s="1066"/>
      <c r="B41" s="1066"/>
      <c r="C41" s="1066"/>
      <c r="D41" s="1066"/>
      <c r="E41" s="675">
        <v>15</v>
      </c>
      <c r="F41" s="50" cm="1" t="str">
        <f t="array" ref="F41:F41">OFFSET(E41,-1,1)</f>
        <v>0</v>
      </c>
      <c r="G41" s="556" t="s">
        <v>1016</v>
      </c>
      <c r="H41" s="1066"/>
      <c r="I41" s="566" t="s">
        <v>1408</v>
      </c>
      <c r="J41" s="566"/>
      <c r="K41" s="566"/>
      <c r="L41" s="566"/>
      <c r="M41" s="566"/>
      <c r="N41" s="566"/>
      <c r="O41" s="566"/>
      <c r="P41" s="566"/>
      <c r="Q41" s="566"/>
      <c r="R41" s="566"/>
      <c r="S41" s="566"/>
      <c r="T41" s="439" cm="1" t="str">
        <f t="array" ref="T41:T41">T40</f>
        <v>false</v>
      </c>
      <c r="U41" s="1066"/>
      <c r="V41" s="1066"/>
      <c r="W41" s="1066"/>
      <c r="X41" s="1577"/>
      <c r="Y41" s="1066"/>
      <c r="Z41" s="1578"/>
      <c r="AA41" s="1066"/>
      <c r="AB41" s="788" t="s">
        <v>1612</v>
      </c>
      <c r="AC41" s="789" t="s">
        <v>1613</v>
      </c>
      <c r="AD41" s="740" t="s">
        <v>784</v>
      </c>
      <c r="AE41" s="783">
        <f>_xlfn.SUMIFS(Покупка!AE$25:AE$117,Покупка!$F$25:$F$117,$F41,Покупка!$AC$25:$AC$117,$G41)</f>
        <v>0</v>
      </c>
      <c r="AF41" s="783">
        <f>_xlfn.SUMIFS(Покупка!AF$25:AF$117,Покупка!$F$25:$F$117,$F41,Покупка!$AC$25:$AC$117,$G41)</f>
        <v>0</v>
      </c>
      <c r="AG41" s="783">
        <f>_xlfn.SUMIFS(Покупка!AG$25:AG$117,Покупка!$F$25:$F$117,$F41,Покупка!$AC$25:$AC$117,$G41)</f>
        <v>0</v>
      </c>
      <c r="AH41" s="783">
        <f>AG41-AF41</f>
        <v>0</v>
      </c>
      <c r="AI41" s="783">
        <f>_xlfn.SUMIFS(Покупка!AH$25:AH$117,Покупка!$F$25:$F$117,$F41,Покупка!$AC$25:$AC$117,$G41)</f>
        <v>0</v>
      </c>
      <c r="AJ41" s="783">
        <f>_xlfn.SUMIFS(Покупка!AI$25:AI$117,Покупка!$F$25:$F$117,$F41,Покупка!$AC$25:$AC$117,$G41)</f>
        <v>0</v>
      </c>
      <c r="AK41" s="783">
        <f>_xlfn.SUMIFS(Покупка!AS$25:AS$117,Покупка!$F$25:$F$117,$F41,Покупка!$AC$25:$AC$117,$G41)</f>
        <v>0</v>
      </c>
      <c r="AL41" s="783">
        <f>IF(AI41=0,0,(AK41-AI41)/AI41*100)</f>
        <v>0</v>
      </c>
      <c r="AM41" s="4392"/>
      <c r="AN41" s="4393" t="str">
        <f>IF(_xlfn.IFERROR(INDEX(Покупка!$K$26:$L$117,MATCH($F41&amp;"4komm",Покупка!$K$26:$K$117,0),2),"")=0,"",_xlfn.IFERROR(INDEX(Покупка!$K$26:$L$117,MATCH($F41&amp;"4komm",Покупка!$K$26:$K$117,0),2),""))</f>
        <v/>
      </c>
      <c r="AO41" s="4392"/>
      <c r="AP41" s="1066"/>
      <c r="AQ41" s="1066"/>
      <c r="AR41" s="1046" t="s">
        <v>1614</v>
      </c>
      <c r="AS41" s="1046"/>
      <c r="AT41" s="1046"/>
      <c r="AU41" s="1043"/>
      <c r="AV41" s="1043"/>
    </row>
    <row customHeight="1" ht="14.625" hidden="1">
      <c r="A42" s="1066"/>
      <c r="B42" s="1066"/>
      <c r="C42" s="1066"/>
      <c r="D42" s="1066"/>
      <c r="E42" s="675">
        <v>15</v>
      </c>
      <c r="F42" s="50" cm="1" t="str">
        <f t="array" ref="F42:F42">OFFSET(E42,-1,1)</f>
        <v>0</v>
      </c>
      <c r="G42" s="556" t="s">
        <v>1022</v>
      </c>
      <c r="H42" s="1066"/>
      <c r="I42" s="566" t="s">
        <v>1418</v>
      </c>
      <c r="J42" s="566"/>
      <c r="K42" s="566"/>
      <c r="L42" s="566"/>
      <c r="M42" s="566"/>
      <c r="N42" s="566"/>
      <c r="O42" s="566"/>
      <c r="P42" s="566"/>
      <c r="Q42" s="566"/>
      <c r="R42" s="566"/>
      <c r="S42" s="566"/>
      <c r="T42" s="439" cm="1" t="str">
        <f t="array" ref="T42:T42">T41</f>
        <v>false</v>
      </c>
      <c r="U42" s="1066"/>
      <c r="V42" s="1066"/>
      <c r="W42" s="1066"/>
      <c r="X42" s="1577"/>
      <c r="Y42" s="1066"/>
      <c r="Z42" s="1578"/>
      <c r="AA42" s="1066"/>
      <c r="AB42" s="788" t="s">
        <v>1615</v>
      </c>
      <c r="AC42" s="789" t="s">
        <v>1616</v>
      </c>
      <c r="AD42" s="740" t="s">
        <v>784</v>
      </c>
      <c r="AE42" s="783">
        <f>_xlfn.SUMIFS(Покупка!AE$25:AE$117,Покупка!$F$25:$F$117,$F42,Покупка!$AC$25:$AC$117,$G42)</f>
        <v>0</v>
      </c>
      <c r="AF42" s="783">
        <f>_xlfn.SUMIFS(Покупка!AF$25:AF$117,Покупка!$F$25:$F$117,$F42,Покупка!$AC$25:$AC$117,$G42)</f>
        <v>0</v>
      </c>
      <c r="AG42" s="783">
        <f>_xlfn.SUMIFS(Покупка!AG$25:AG$117,Покупка!$F$25:$F$117,$F42,Покупка!$AC$25:$AC$117,$G42)</f>
        <v>0</v>
      </c>
      <c r="AH42" s="783">
        <f>AG42-AF42</f>
        <v>0</v>
      </c>
      <c r="AI42" s="783">
        <f>_xlfn.SUMIFS(Покупка!AH$25:AH$117,Покупка!$F$25:$F$117,$F42,Покупка!$AC$25:$AC$117,$G42)</f>
        <v>0</v>
      </c>
      <c r="AJ42" s="783">
        <f>_xlfn.SUMIFS(Покупка!AI$25:AI$117,Покупка!$F$25:$F$117,$F42,Покупка!$AC$25:$AC$117,$G42)</f>
        <v>0</v>
      </c>
      <c r="AK42" s="783">
        <f>_xlfn.SUMIFS(Покупка!AS$25:AS$117,Покупка!$F$25:$F$117,$F42,Покупка!$AC$25:$AC$117,$G42)</f>
        <v>0</v>
      </c>
      <c r="AL42" s="783">
        <f>IF(AI42=0,0,(AK42-AI42)/AI42*100)</f>
        <v>0</v>
      </c>
      <c r="AM42" s="4392"/>
      <c r="AN42" s="4393" t="str">
        <f>IF(_xlfn.IFERROR(INDEX(Покупка!$K$26:$L$117,MATCH($F42&amp;"5komm",Покупка!$K$26:$K$117,0),2),"")=0,"",_xlfn.IFERROR(INDEX(Покупка!$K$26:$L$117,MATCH($F42&amp;"5komm",Покупка!$K$26:$K$117,0),2),""))</f>
        <v/>
      </c>
      <c r="AO42" s="4392"/>
      <c r="AP42" s="1066"/>
      <c r="AQ42" s="1066"/>
      <c r="AR42" s="1046" t="s">
        <v>1617</v>
      </c>
      <c r="AS42" s="1046"/>
      <c r="AT42" s="1046"/>
      <c r="AU42" s="1043"/>
      <c r="AV42" s="1043"/>
    </row>
    <row s="567" customFormat="1" customHeight="1" ht="43.875" hidden="1">
      <c r="A43" s="567"/>
      <c r="B43" s="567"/>
      <c r="C43" s="567"/>
      <c r="D43" s="567"/>
      <c r="E43" s="677">
        <v>45</v>
      </c>
      <c r="F43" s="50" cm="1" t="str">
        <f t="array" ref="F43:F43">OFFSET(E43,-1,1)</f>
        <v>0</v>
      </c>
      <c r="G43" s="567"/>
      <c r="H43" s="567"/>
      <c r="I43" s="678" t="s">
        <v>448</v>
      </c>
      <c r="J43" s="678"/>
      <c r="K43" s="678"/>
      <c r="L43" s="678"/>
      <c r="M43" s="678"/>
      <c r="N43" s="678"/>
      <c r="O43" s="678"/>
      <c r="P43" s="678"/>
      <c r="Q43" s="678"/>
      <c r="R43" s="678"/>
      <c r="S43" s="678"/>
      <c r="T43" s="439" cm="1" t="str">
        <f t="array" ref="T43:T43">T42</f>
        <v>false</v>
      </c>
      <c r="U43" s="567"/>
      <c r="V43" s="567"/>
      <c r="W43" s="567"/>
      <c r="X43" s="1577"/>
      <c r="Y43" s="567"/>
      <c r="Z43" s="1578"/>
      <c r="AA43" s="567"/>
      <c r="AB43" s="785" t="s">
        <v>851</v>
      </c>
      <c r="AC43" s="786" t="s">
        <v>1618</v>
      </c>
      <c r="AD43" s="569" t="s">
        <v>784</v>
      </c>
      <c r="AE43" s="791"/>
      <c r="AF43" s="791"/>
      <c r="AG43" s="791"/>
      <c r="AH43" s="782">
        <f>AG43-AF43</f>
        <v>0</v>
      </c>
      <c r="AI43" s="791"/>
      <c r="AJ43" s="4409"/>
      <c r="AK43" s="4409"/>
      <c r="AL43" s="782">
        <f>IF(AI43=0,0,(AK43-AI43)/AI43*100)</f>
        <v>0</v>
      </c>
      <c r="AM43" s="4400"/>
      <c r="AN43" s="4400"/>
      <c r="AO43" s="4400"/>
      <c r="AP43" s="567"/>
      <c r="AQ43" s="567"/>
      <c r="AR43" s="1047" t="s">
        <v>1619</v>
      </c>
      <c r="AS43" s="1047"/>
      <c r="AT43" s="1047"/>
      <c r="AU43" s="677"/>
      <c r="AV43" s="677"/>
    </row>
    <row s="567" customFormat="1" customHeight="1" ht="43.875" hidden="1">
      <c r="A44" s="567"/>
      <c r="B44" s="567"/>
      <c r="C44" s="567"/>
      <c r="D44" s="567"/>
      <c r="E44" s="677">
        <v>45</v>
      </c>
      <c r="F44" s="50" cm="1" t="str">
        <f t="array" ref="F44:F44">OFFSET(E44,-1,1)</f>
        <v>0</v>
      </c>
      <c r="G44" s="567"/>
      <c r="H44" s="567"/>
      <c r="I44" s="678" t="s">
        <v>452</v>
      </c>
      <c r="J44" s="678"/>
      <c r="K44" s="678"/>
      <c r="L44" s="678"/>
      <c r="M44" s="678"/>
      <c r="N44" s="678"/>
      <c r="O44" s="678"/>
      <c r="P44" s="678"/>
      <c r="Q44" s="678"/>
      <c r="R44" s="678"/>
      <c r="S44" s="678"/>
      <c r="T44" s="439" cm="1" t="str">
        <f t="array" ref="T44:T44">T43</f>
        <v>false</v>
      </c>
      <c r="U44" s="567"/>
      <c r="V44" s="567"/>
      <c r="W44" s="567"/>
      <c r="X44" s="1577"/>
      <c r="Y44" s="567"/>
      <c r="Z44" s="1578"/>
      <c r="AA44" s="567"/>
      <c r="AB44" s="785" t="s">
        <v>854</v>
      </c>
      <c r="AC44" s="786" t="s">
        <v>1620</v>
      </c>
      <c r="AD44" s="569" t="s">
        <v>784</v>
      </c>
      <c r="AE44" s="782">
        <f>AE45+AE46</f>
        <v>0</v>
      </c>
      <c r="AF44" s="782">
        <f>AF45+AF46</f>
        <v>0</v>
      </c>
      <c r="AG44" s="782">
        <f>AG45+AG46</f>
        <v>0</v>
      </c>
      <c r="AH44" s="782">
        <f>AG44-AF44</f>
        <v>0</v>
      </c>
      <c r="AI44" s="782">
        <f>AI45+AI46</f>
        <v>0</v>
      </c>
      <c r="AJ44" s="782">
        <f>AJ45+AJ46</f>
        <v>0</v>
      </c>
      <c r="AK44" s="782">
        <f>AK45+AK46</f>
        <v>0</v>
      </c>
      <c r="AL44" s="782">
        <f>IF(AI44=0,0,(AK44-AI44)/AI44*100)</f>
        <v>0</v>
      </c>
      <c r="AM44" s="4400"/>
      <c r="AN44" s="4400"/>
      <c r="AO44" s="4400"/>
      <c r="AP44" s="567"/>
      <c r="AQ44" s="567"/>
      <c r="AR44" s="1047" t="s">
        <v>1621</v>
      </c>
      <c r="AS44" s="1047"/>
      <c r="AT44" s="1047"/>
      <c r="AU44" s="677"/>
      <c r="AV44" s="677"/>
    </row>
    <row customHeight="1" ht="14.625" hidden="1">
      <c r="A45" s="1066"/>
      <c r="B45" s="1066"/>
      <c r="C45" s="1066"/>
      <c r="D45" s="1066"/>
      <c r="E45" s="675">
        <v>15</v>
      </c>
      <c r="F45" s="50" cm="1" t="str">
        <f t="array" ref="F45:F45">OFFSET(E45,-1,1)</f>
        <v>0</v>
      </c>
      <c r="G45" s="679" t="s">
        <v>1038</v>
      </c>
      <c r="H45" s="1066"/>
      <c r="I45" s="566" t="s">
        <v>1246</v>
      </c>
      <c r="J45" s="566"/>
      <c r="K45" s="566"/>
      <c r="L45" s="566"/>
      <c r="M45" s="566"/>
      <c r="N45" s="566"/>
      <c r="O45" s="566"/>
      <c r="P45" s="678"/>
      <c r="Q45" s="566"/>
      <c r="R45" s="566"/>
      <c r="S45" s="566"/>
      <c r="T45" s="439" cm="1" t="str">
        <f t="array" ref="T45:T45">T44</f>
        <v>false</v>
      </c>
      <c r="U45" s="1066"/>
      <c r="V45" s="1066"/>
      <c r="W45" s="1066"/>
      <c r="X45" s="1577"/>
      <c r="Y45" s="1066"/>
      <c r="Z45" s="1578"/>
      <c r="AA45" s="1066"/>
      <c r="AB45" s="788" t="s">
        <v>971</v>
      </c>
      <c r="AC45" s="789" t="s">
        <v>1622</v>
      </c>
      <c r="AD45" s="740" t="s">
        <v>784</v>
      </c>
      <c r="AE45" s="783">
        <f>_xlfn.SUMIFS(ФОТ!AE$25:AE$102,ФОТ!$F$25:$F$102,$F45,ФОТ!$G$25:$G$102,$G45)</f>
        <v>0</v>
      </c>
      <c r="AF45" s="783">
        <f>_xlfn.SUMIFS(ФОТ!AF$25:AF$102,ФОТ!$F$25:$F$102,$F45,ФОТ!$G$25:$G$102,$G45)</f>
        <v>0</v>
      </c>
      <c r="AG45" s="783">
        <f>_xlfn.SUMIFS(ФОТ!AG$25:AG$102,ФОТ!$F$25:$F$102,$F45,ФОТ!$G$25:$G$102,$G45)</f>
        <v>0</v>
      </c>
      <c r="AH45" s="783">
        <f>AG45-AF45</f>
        <v>0</v>
      </c>
      <c r="AI45" s="783">
        <f>_xlfn.SUMIFS(ФОТ!AH$25:AH$102,ФОТ!$F$25:$F$102,$F45,ФОТ!$G$25:$G$102,$G45)</f>
        <v>0</v>
      </c>
      <c r="AJ45" s="783">
        <f>_xlfn.SUMIFS(ФОТ!AI$25:AI$102,ФОТ!$F$25:$F$102,$F45,ФОТ!$G$25:$G$102,$G45)</f>
        <v>0</v>
      </c>
      <c r="AK45" s="783">
        <f>_xlfn.SUMIFS(ФОТ!AJ$25:AJ$102,ФОТ!$F$25:$F$102,$F45,ФОТ!$G$25:$G$102,$G45)</f>
        <v>0</v>
      </c>
      <c r="AL45" s="783">
        <f>IF(AI45=0,0,(AK45-AI45)/AI45*100)</f>
        <v>0</v>
      </c>
      <c r="AM45" s="4392"/>
      <c r="AN45" s="4393" t="str">
        <f>IF(_xlfn.IFERROR(INDEX(ФОТ!$K$26:$L$102,MATCH($F45&amp;"1komm",ФОТ!$K$26:$K$102,0),2),"")=0,"",_xlfn.IFERROR(INDEX(ФОТ!$K$26:$L$102,MATCH($F45&amp;"1komm",ФОТ!$K$26:$K$102,0),2),""))</f>
        <v/>
      </c>
      <c r="AO45" s="4392"/>
      <c r="AP45" s="1066"/>
      <c r="AQ45" s="1066"/>
      <c r="AR45" s="1046" t="s">
        <v>1623</v>
      </c>
      <c r="AS45" s="1046"/>
      <c r="AT45" s="1046"/>
      <c r="AU45" s="1043"/>
      <c r="AV45" s="1043"/>
    </row>
    <row customHeight="1" ht="21.9375" hidden="1">
      <c r="A46" s="1066"/>
      <c r="B46" s="1066"/>
      <c r="C46" s="1066"/>
      <c r="D46" s="1066"/>
      <c r="E46" s="675">
        <v>22.5</v>
      </c>
      <c r="F46" s="50" cm="1" t="str">
        <f t="array" ref="F46:F46">OFFSET(E46,-1,1)</f>
        <v>0</v>
      </c>
      <c r="G46" s="679" t="s">
        <v>1050</v>
      </c>
      <c r="H46" s="1066"/>
      <c r="I46" s="566" t="s">
        <v>1247</v>
      </c>
      <c r="J46" s="566"/>
      <c r="K46" s="566"/>
      <c r="L46" s="566"/>
      <c r="M46" s="566"/>
      <c r="N46" s="566"/>
      <c r="O46" s="566"/>
      <c r="P46" s="678"/>
      <c r="Q46" s="566"/>
      <c r="R46" s="566"/>
      <c r="S46" s="566"/>
      <c r="T46" s="439" cm="1" t="str">
        <f t="array" ref="T46:T46">T45</f>
        <v>false</v>
      </c>
      <c r="U46" s="1066"/>
      <c r="V46" s="1066"/>
      <c r="W46" s="1066"/>
      <c r="X46" s="1577"/>
      <c r="Y46" s="1066"/>
      <c r="Z46" s="1578"/>
      <c r="AA46" s="1066"/>
      <c r="AB46" s="788" t="s">
        <v>974</v>
      </c>
      <c r="AC46" s="789" t="s">
        <v>1624</v>
      </c>
      <c r="AD46" s="740" t="s">
        <v>784</v>
      </c>
      <c r="AE46" s="783">
        <f>_xlfn.SUMIFS(ФОТ!AE$25:AE$102,ФОТ!$F$25:$F$102,$F46,ФОТ!$G$25:$G$102,$G46)</f>
        <v>0</v>
      </c>
      <c r="AF46" s="783">
        <f>_xlfn.SUMIFS(ФОТ!AF$25:AF$102,ФОТ!$F$25:$F$102,$F46,ФОТ!$G$25:$G$102,$G46)</f>
        <v>0</v>
      </c>
      <c r="AG46" s="783">
        <f>_xlfn.SUMIFS(ФОТ!AG$25:AG$102,ФОТ!$F$25:$F$102,$F46,ФОТ!$G$25:$G$102,$G46)</f>
        <v>0</v>
      </c>
      <c r="AH46" s="783">
        <f>AG46-AF46</f>
        <v>0</v>
      </c>
      <c r="AI46" s="783">
        <f>_xlfn.SUMIFS(ФОТ!AH$25:AH$102,ФОТ!$F$25:$F$102,$F46,ФОТ!$G$25:$G$102,$G46)</f>
        <v>0</v>
      </c>
      <c r="AJ46" s="783">
        <f>_xlfn.SUMIFS(ФОТ!AI$25:AI$102,ФОТ!$F$25:$F$102,$F46,ФОТ!$G$25:$G$102,$G46)</f>
        <v>0</v>
      </c>
      <c r="AK46" s="783">
        <f>_xlfn.SUMIFS(ФОТ!AJ$25:AJ$102,ФОТ!$F$25:$F$102,$F46,ФОТ!$G$25:$G$102,$G46)</f>
        <v>0</v>
      </c>
      <c r="AL46" s="783">
        <f>IF(AI46=0,0,(AK46-AI46)/AI46*100)</f>
        <v>0</v>
      </c>
      <c r="AM46" s="4392"/>
      <c r="AN46" s="4393" t="str">
        <f>IF(_xlfn.IFERROR(INDEX(ФОТ!$K$26:$L$102,MATCH($F46&amp;"2komm",ФОТ!$K$26:$K$102,0),2),"")=0,"",_xlfn.IFERROR(INDEX(ФОТ!$K$26:$L$102,MATCH($F46&amp;"2komm",ФОТ!$K$26:$K$102,0),2),""))</f>
        <v/>
      </c>
      <c r="AO46" s="4392"/>
      <c r="AP46" s="1066"/>
      <c r="AQ46" s="1066"/>
      <c r="AR46" s="1046" t="s">
        <v>1625</v>
      </c>
      <c r="AS46" s="1046"/>
      <c r="AT46" s="1046"/>
      <c r="AU46" s="1043"/>
      <c r="AV46" s="1043"/>
    </row>
    <row s="567" customFormat="1" customHeight="1" ht="14.625" hidden="1">
      <c r="A47" s="567"/>
      <c r="B47" s="567"/>
      <c r="C47" s="567"/>
      <c r="D47" s="567"/>
      <c r="E47" s="677">
        <v>15</v>
      </c>
      <c r="F47" s="50" cm="1" t="str">
        <f t="array" ref="F47:F47">OFFSET(E47,-1,1)</f>
        <v>0</v>
      </c>
      <c r="G47" s="567"/>
      <c r="H47" s="567"/>
      <c r="I47" s="678" t="s">
        <v>857</v>
      </c>
      <c r="J47" s="678"/>
      <c r="K47" s="678"/>
      <c r="L47" s="678"/>
      <c r="M47" s="678"/>
      <c r="N47" s="678"/>
      <c r="O47" s="678"/>
      <c r="P47" s="678"/>
      <c r="Q47" s="678"/>
      <c r="R47" s="678"/>
      <c r="S47" s="678"/>
      <c r="T47" s="439" cm="1" t="str">
        <f t="array" ref="T47:T47">T46</f>
        <v>false</v>
      </c>
      <c r="U47" s="567"/>
      <c r="V47" s="567"/>
      <c r="W47" s="567"/>
      <c r="X47" s="1577"/>
      <c r="Y47" s="567"/>
      <c r="Z47" s="1578"/>
      <c r="AA47" s="567"/>
      <c r="AB47" s="785" t="s">
        <v>858</v>
      </c>
      <c r="AC47" s="786" t="s">
        <v>1626</v>
      </c>
      <c r="AD47" s="569" t="s">
        <v>784</v>
      </c>
      <c r="AE47" s="791"/>
      <c r="AF47" s="791"/>
      <c r="AG47" s="791"/>
      <c r="AH47" s="782">
        <f>AG47-AF47</f>
        <v>0</v>
      </c>
      <c r="AI47" s="791"/>
      <c r="AJ47" s="4409"/>
      <c r="AK47" s="4409"/>
      <c r="AL47" s="782">
        <f>IF(AI47=0,0,(AK47-AI47)/AI47*100)</f>
        <v>0</v>
      </c>
      <c r="AM47" s="4400"/>
      <c r="AN47" s="4400"/>
      <c r="AO47" s="4400"/>
      <c r="AP47" s="567"/>
      <c r="AQ47" s="567"/>
      <c r="AR47" s="1047" t="s">
        <v>1225</v>
      </c>
      <c r="AS47" s="1047"/>
      <c r="AT47" s="1047"/>
      <c r="AU47" s="677"/>
      <c r="AV47" s="677"/>
    </row>
    <row s="567" customFormat="1" customHeight="1" ht="14.625" hidden="1">
      <c r="A48" s="567"/>
      <c r="B48" s="567"/>
      <c r="C48" s="567"/>
      <c r="D48" s="567"/>
      <c r="E48" s="677">
        <v>15</v>
      </c>
      <c r="F48" s="50" cm="1" t="str">
        <f t="array" ref="F48:F48">OFFSET(E48,-1,1)</f>
        <v>0</v>
      </c>
      <c r="G48" s="567"/>
      <c r="H48" s="567"/>
      <c r="I48" s="678" t="s">
        <v>1627</v>
      </c>
      <c r="J48" s="678"/>
      <c r="K48" s="678"/>
      <c r="L48" s="678"/>
      <c r="M48" s="678"/>
      <c r="N48" s="678"/>
      <c r="O48" s="678"/>
      <c r="P48" s="678"/>
      <c r="Q48" s="678"/>
      <c r="R48" s="678"/>
      <c r="S48" s="678"/>
      <c r="T48" s="439" cm="1" t="str">
        <f t="array" ref="T48:T48">T47</f>
        <v>false</v>
      </c>
      <c r="U48" s="567"/>
      <c r="V48" s="567"/>
      <c r="W48" s="567"/>
      <c r="X48" s="1577"/>
      <c r="Y48" s="567"/>
      <c r="Z48" s="1578"/>
      <c r="AA48" s="567"/>
      <c r="AB48" s="785" t="s">
        <v>1628</v>
      </c>
      <c r="AC48" s="786" t="s">
        <v>1629</v>
      </c>
      <c r="AD48" s="569" t="s">
        <v>784</v>
      </c>
      <c r="AE48" s="791"/>
      <c r="AF48" s="791"/>
      <c r="AG48" s="791"/>
      <c r="AH48" s="782">
        <f>AG48-AF48</f>
        <v>0</v>
      </c>
      <c r="AI48" s="791"/>
      <c r="AJ48" s="4409"/>
      <c r="AK48" s="4409"/>
      <c r="AL48" s="782">
        <f>IF(AI48=0,0,(AK48-AI48)/AI48*100)</f>
        <v>0</v>
      </c>
      <c r="AM48" s="4400"/>
      <c r="AN48" s="4400"/>
      <c r="AO48" s="4400"/>
      <c r="AP48" s="567"/>
      <c r="AQ48" s="567"/>
      <c r="AR48" s="1047" t="s">
        <v>1630</v>
      </c>
      <c r="AS48" s="1047"/>
      <c r="AT48" s="1047"/>
      <c r="AU48" s="677"/>
      <c r="AV48" s="677"/>
    </row>
    <row s="567" customFormat="1" customHeight="1" ht="14.625" hidden="1">
      <c r="A49" s="567"/>
      <c r="B49" s="567"/>
      <c r="C49" s="567"/>
      <c r="D49" s="567"/>
      <c r="E49" s="677">
        <v>15</v>
      </c>
      <c r="F49" s="50" cm="1" t="str">
        <f t="array" ref="F49:F49">OFFSET(E49,-1,1)</f>
        <v>0</v>
      </c>
      <c r="G49" s="567"/>
      <c r="H49" s="567"/>
      <c r="I49" s="678" t="s">
        <v>1631</v>
      </c>
      <c r="J49" s="678"/>
      <c r="K49" s="678"/>
      <c r="L49" s="678"/>
      <c r="M49" s="678"/>
      <c r="N49" s="678"/>
      <c r="O49" s="678"/>
      <c r="P49" s="678"/>
      <c r="Q49" s="678"/>
      <c r="R49" s="678"/>
      <c r="S49" s="678"/>
      <c r="T49" s="439" cm="1" t="str">
        <f t="array" ref="T49:T49">T48</f>
        <v>false</v>
      </c>
      <c r="U49" s="567"/>
      <c r="V49" s="567"/>
      <c r="W49" s="567"/>
      <c r="X49" s="1577"/>
      <c r="Y49" s="567"/>
      <c r="Z49" s="1578"/>
      <c r="AA49" s="567"/>
      <c r="AB49" s="785" t="s">
        <v>1632</v>
      </c>
      <c r="AC49" s="786" t="s">
        <v>1633</v>
      </c>
      <c r="AD49" s="569" t="s">
        <v>784</v>
      </c>
      <c r="AE49" s="782">
        <f>SUM(AE50:AE55)</f>
        <v>0</v>
      </c>
      <c r="AF49" s="782">
        <f>SUM(AF50:AF55)</f>
        <v>0</v>
      </c>
      <c r="AG49" s="782">
        <f>SUM(AG50:AG55)</f>
        <v>0</v>
      </c>
      <c r="AH49" s="782">
        <f>AG49-AF49</f>
        <v>0</v>
      </c>
      <c r="AI49" s="782">
        <f>SUM(AI50:AI55)</f>
        <v>0</v>
      </c>
      <c r="AJ49" s="782">
        <f>SUM(AJ50:AJ55)</f>
        <v>0</v>
      </c>
      <c r="AK49" s="782">
        <f>SUM(AK50:AK55)</f>
        <v>0</v>
      </c>
      <c r="AL49" s="782">
        <f>IF(AI49=0,0,(AK49-AI49)/AI49*100)</f>
        <v>0</v>
      </c>
      <c r="AM49" s="4400"/>
      <c r="AN49" s="4400"/>
      <c r="AO49" s="4400"/>
      <c r="AP49" s="567"/>
      <c r="AQ49" s="567"/>
      <c r="AR49" s="1047" t="s">
        <v>1634</v>
      </c>
      <c r="AS49" s="1047"/>
      <c r="AT49" s="1047"/>
      <c r="AU49" s="677"/>
      <c r="AV49" s="677"/>
    </row>
    <row customHeight="1" ht="14.625" hidden="1">
      <c r="A50" s="1066"/>
      <c r="B50" s="1066"/>
      <c r="C50" s="1066"/>
      <c r="D50" s="1066"/>
      <c r="E50" s="675">
        <v>15</v>
      </c>
      <c r="F50" s="50" cm="1" t="str">
        <f t="array" ref="F50:F50">OFFSET(E50,-1,1)</f>
        <v>0</v>
      </c>
      <c r="G50" s="1066"/>
      <c r="H50" s="1066"/>
      <c r="I50" s="566" t="s">
        <v>1631</v>
      </c>
      <c r="J50" s="969" t="s">
        <v>1635</v>
      </c>
      <c r="K50" s="1066"/>
      <c r="L50" s="566"/>
      <c r="M50" s="566"/>
      <c r="N50" s="566"/>
      <c r="O50" s="566"/>
      <c r="P50" s="566"/>
      <c r="Q50" s="566"/>
      <c r="R50" s="566"/>
      <c r="S50" s="566"/>
      <c r="T50" s="439" cm="1" t="str">
        <f t="array" ref="T50:T50">T49</f>
        <v>false</v>
      </c>
      <c r="U50" s="1066"/>
      <c r="V50" s="1066"/>
      <c r="W50" s="1066"/>
      <c r="X50" s="1577"/>
      <c r="Y50" s="1066"/>
      <c r="Z50" s="1578"/>
      <c r="AA50" s="1066"/>
      <c r="AB50" s="788" t="s">
        <v>1636</v>
      </c>
      <c r="AC50" s="789" t="s">
        <v>1637</v>
      </c>
      <c r="AD50" s="740" t="s">
        <v>784</v>
      </c>
      <c r="AE50" s="790"/>
      <c r="AF50" s="790"/>
      <c r="AG50" s="790"/>
      <c r="AH50" s="783">
        <f>AG50-AF50</f>
        <v>0</v>
      </c>
      <c r="AI50" s="790"/>
      <c r="AJ50" s="4405"/>
      <c r="AK50" s="4405"/>
      <c r="AL50" s="783">
        <f>IF(AI50=0,0,(AK50-AI50)/AI50*100)</f>
        <v>0</v>
      </c>
      <c r="AM50" s="4392"/>
      <c r="AN50" s="4392"/>
      <c r="AO50" s="4392"/>
      <c r="AP50" s="1066"/>
      <c r="AQ50" s="1066"/>
      <c r="AR50" s="1046" t="s">
        <v>1638</v>
      </c>
      <c r="AS50" s="1046"/>
      <c r="AT50" s="1046"/>
      <c r="AU50" s="1043"/>
      <c r="AV50" s="1043"/>
    </row>
    <row customHeight="1" ht="14.625" hidden="1">
      <c r="A51" s="1066"/>
      <c r="B51" s="1066"/>
      <c r="C51" s="1066"/>
      <c r="D51" s="1066"/>
      <c r="E51" s="675">
        <v>15</v>
      </c>
      <c r="F51" s="50" cm="1" t="str">
        <f t="array" ref="F51:F51">OFFSET(E51,-1,1)</f>
        <v>0</v>
      </c>
      <c r="G51" s="1066"/>
      <c r="H51" s="1066"/>
      <c r="I51" s="566" t="s">
        <v>1631</v>
      </c>
      <c r="J51" s="969" t="s">
        <v>1639</v>
      </c>
      <c r="K51" s="1066"/>
      <c r="L51" s="566"/>
      <c r="M51" s="566"/>
      <c r="N51" s="566"/>
      <c r="O51" s="566"/>
      <c r="P51" s="566"/>
      <c r="Q51" s="566"/>
      <c r="R51" s="566"/>
      <c r="S51" s="566"/>
      <c r="T51" s="439" cm="1" t="str">
        <f t="array" ref="T51:T51">T50</f>
        <v>false</v>
      </c>
      <c r="U51" s="1066"/>
      <c r="V51" s="1066"/>
      <c r="W51" s="1066"/>
      <c r="X51" s="1577"/>
      <c r="Y51" s="1066"/>
      <c r="Z51" s="1578"/>
      <c r="AA51" s="1066"/>
      <c r="AB51" s="788" t="s">
        <v>1640</v>
      </c>
      <c r="AC51" s="789" t="s">
        <v>1641</v>
      </c>
      <c r="AD51" s="740" t="s">
        <v>784</v>
      </c>
      <c r="AE51" s="790"/>
      <c r="AF51" s="790"/>
      <c r="AG51" s="790"/>
      <c r="AH51" s="783">
        <f>AG51-AF51</f>
        <v>0</v>
      </c>
      <c r="AI51" s="790"/>
      <c r="AJ51" s="4405"/>
      <c r="AK51" s="4405"/>
      <c r="AL51" s="783">
        <f>IF(AI51=0,0,(AK51-AI51)/AI51*100)</f>
        <v>0</v>
      </c>
      <c r="AM51" s="4392"/>
      <c r="AN51" s="4392"/>
      <c r="AO51" s="4392"/>
      <c r="AP51" s="1066"/>
      <c r="AQ51" s="1066"/>
      <c r="AR51" s="1046" t="s">
        <v>1642</v>
      </c>
      <c r="AS51" s="1046"/>
      <c r="AT51" s="1046"/>
      <c r="AU51" s="1043"/>
      <c r="AV51" s="1043"/>
    </row>
    <row customHeight="1" ht="14.625" hidden="1">
      <c r="A52" s="1066"/>
      <c r="B52" s="1066"/>
      <c r="C52" s="1066"/>
      <c r="D52" s="1066"/>
      <c r="E52" s="675">
        <v>15</v>
      </c>
      <c r="F52" s="50" cm="1" t="str">
        <f t="array" ref="F52:F52">OFFSET(E52,-1,1)</f>
        <v>0</v>
      </c>
      <c r="G52" s="1066"/>
      <c r="H52" s="1066"/>
      <c r="I52" s="566" t="s">
        <v>1631</v>
      </c>
      <c r="J52" s="969" t="s">
        <v>1643</v>
      </c>
      <c r="K52" s="1066"/>
      <c r="L52" s="566"/>
      <c r="M52" s="566"/>
      <c r="N52" s="566"/>
      <c r="O52" s="566"/>
      <c r="P52" s="566"/>
      <c r="Q52" s="566"/>
      <c r="R52" s="566"/>
      <c r="S52" s="566"/>
      <c r="T52" s="439" cm="1" t="str">
        <f t="array" ref="T52:T52">T51</f>
        <v>false</v>
      </c>
      <c r="U52" s="1066"/>
      <c r="V52" s="1066"/>
      <c r="W52" s="1066"/>
      <c r="X52" s="1577"/>
      <c r="Y52" s="1066"/>
      <c r="Z52" s="1578"/>
      <c r="AA52" s="1066"/>
      <c r="AB52" s="788" t="s">
        <v>1644</v>
      </c>
      <c r="AC52" s="789" t="s">
        <v>1645</v>
      </c>
      <c r="AD52" s="740" t="s">
        <v>784</v>
      </c>
      <c r="AE52" s="790"/>
      <c r="AF52" s="790"/>
      <c r="AG52" s="790"/>
      <c r="AH52" s="783">
        <f>AG52-AF52</f>
        <v>0</v>
      </c>
      <c r="AI52" s="790"/>
      <c r="AJ52" s="4405"/>
      <c r="AK52" s="4405"/>
      <c r="AL52" s="783">
        <f>IF(AI52=0,0,(AK52-AI52)/AI52*100)</f>
        <v>0</v>
      </c>
      <c r="AM52" s="4392"/>
      <c r="AN52" s="4392"/>
      <c r="AO52" s="4392"/>
      <c r="AP52" s="1066"/>
      <c r="AQ52" s="1066"/>
      <c r="AR52" s="1046" t="s">
        <v>1646</v>
      </c>
      <c r="AS52" s="1046"/>
      <c r="AT52" s="1046"/>
      <c r="AU52" s="1043"/>
      <c r="AV52" s="1043"/>
    </row>
    <row customHeight="1" ht="14.625" hidden="1">
      <c r="A53" s="1066"/>
      <c r="B53" s="1066"/>
      <c r="C53" s="1066"/>
      <c r="D53" s="1066"/>
      <c r="E53" s="675">
        <v>15</v>
      </c>
      <c r="F53" s="50" cm="1" t="str">
        <f t="array" ref="F53:F53">OFFSET(E53,-1,1)</f>
        <v>0</v>
      </c>
      <c r="G53" s="1066"/>
      <c r="H53" s="1066"/>
      <c r="I53" s="566" t="s">
        <v>1631</v>
      </c>
      <c r="J53" s="969" t="s">
        <v>1647</v>
      </c>
      <c r="K53" s="1066"/>
      <c r="L53" s="566"/>
      <c r="M53" s="566"/>
      <c r="N53" s="566"/>
      <c r="O53" s="566"/>
      <c r="P53" s="566"/>
      <c r="Q53" s="566"/>
      <c r="R53" s="566"/>
      <c r="S53" s="566"/>
      <c r="T53" s="439" cm="1" t="str">
        <f t="array" ref="T53:T53">T52</f>
        <v>false</v>
      </c>
      <c r="U53" s="1066"/>
      <c r="V53" s="1066"/>
      <c r="W53" s="1066"/>
      <c r="X53" s="1577"/>
      <c r="Y53" s="1066"/>
      <c r="Z53" s="1578"/>
      <c r="AA53" s="1066"/>
      <c r="AB53" s="788" t="s">
        <v>1648</v>
      </c>
      <c r="AC53" s="789" t="s">
        <v>1649</v>
      </c>
      <c r="AD53" s="740" t="s">
        <v>784</v>
      </c>
      <c r="AE53" s="790"/>
      <c r="AF53" s="790"/>
      <c r="AG53" s="790"/>
      <c r="AH53" s="783">
        <f>AG53-AF53</f>
        <v>0</v>
      </c>
      <c r="AI53" s="790"/>
      <c r="AJ53" s="4405"/>
      <c r="AK53" s="4405"/>
      <c r="AL53" s="783">
        <f>IF(AI53=0,0,(AK53-AI53)/AI53*100)</f>
        <v>0</v>
      </c>
      <c r="AM53" s="4392"/>
      <c r="AN53" s="4392"/>
      <c r="AO53" s="4392"/>
      <c r="AP53" s="1066"/>
      <c r="AQ53" s="1066"/>
      <c r="AR53" s="1046" t="s">
        <v>1650</v>
      </c>
      <c r="AS53" s="1046"/>
      <c r="AT53" s="1046"/>
      <c r="AU53" s="1043"/>
      <c r="AV53" s="1043"/>
    </row>
    <row customHeight="1" ht="14.625" hidden="1">
      <c r="A54" s="1066"/>
      <c r="B54" s="1066"/>
      <c r="C54" s="1066"/>
      <c r="D54" s="1066"/>
      <c r="E54" s="675">
        <v>15</v>
      </c>
      <c r="F54" s="50" cm="1" t="str">
        <f t="array" ref="F54:F54">OFFSET(E54,-1,1)</f>
        <v>0</v>
      </c>
      <c r="G54" s="1066"/>
      <c r="H54" s="1066"/>
      <c r="I54" s="566" t="s">
        <v>1631</v>
      </c>
      <c r="J54" s="556" cm="1" t="str">
        <f t="array" ref="J54:J54">AC54</f>
        <v>0</v>
      </c>
      <c r="K54" s="1066"/>
      <c r="L54" s="566"/>
      <c r="M54" s="566"/>
      <c r="N54" s="566"/>
      <c r="O54" s="566"/>
      <c r="P54" s="566"/>
      <c r="Q54" s="566"/>
      <c r="R54" s="566"/>
      <c r="S54" s="566"/>
      <c r="T54" s="439">
        <f>AND(F54&gt;0,Y54&gt;4)</f>
        <v>0</v>
      </c>
      <c r="U54" s="1066"/>
      <c r="V54" s="1066"/>
      <c r="W54" s="738" t="s">
        <v>173</v>
      </c>
      <c r="X54" s="1577"/>
      <c r="Y54" s="556">
        <v>4</v>
      </c>
      <c r="Z54" s="1578"/>
      <c r="AA54" s="1255" t="s">
        <v>174</v>
      </c>
      <c r="AB54" s="681" t="str">
        <f>"1.7."&amp;Y54</f>
        <v>1.7.4</v>
      </c>
      <c r="AC54" s="4414"/>
      <c r="AD54" s="740" t="s">
        <v>784</v>
      </c>
      <c r="AE54" s="790"/>
      <c r="AF54" s="790"/>
      <c r="AG54" s="790"/>
      <c r="AH54" s="783">
        <f>AG54-AF54</f>
        <v>0</v>
      </c>
      <c r="AI54" s="790"/>
      <c r="AJ54" s="4415"/>
      <c r="AK54" s="4415"/>
      <c r="AL54" s="783">
        <f>IF(AI54=0,0,(AK54-AI54)/AI54*100)</f>
        <v>0</v>
      </c>
      <c r="AM54" s="4416"/>
      <c r="AN54" s="4416"/>
      <c r="AO54" s="4416"/>
      <c r="AP54" s="1066"/>
      <c r="AQ54" s="1066"/>
      <c r="AR54" s="1046" t="s">
        <v>1651</v>
      </c>
      <c r="AS54" s="1046" t="s">
        <v>1652</v>
      </c>
      <c r="AT54" s="1044" cm="1" t="str">
        <f t="array" ref="AT54:AT54">AC54</f>
        <v>0</v>
      </c>
      <c r="AU54" s="1043"/>
      <c r="AV54" s="675" t="b">
        <v>1</v>
      </c>
    </row>
    <row customHeight="1" ht="14.625" hidden="1">
      <c r="A55" s="1066"/>
      <c r="B55" s="1066"/>
      <c r="C55" s="1066"/>
      <c r="D55" s="1066"/>
      <c r="E55" s="675">
        <v>15</v>
      </c>
      <c r="F55" s="50" cm="1" t="str">
        <f t="array" ref="F55:F55">OFFSET(E55,-1,1)</f>
        <v>0</v>
      </c>
      <c r="G55" s="1066"/>
      <c r="H55" s="1066"/>
      <c r="I55" s="676"/>
      <c r="J55" s="676" t="s">
        <v>1653</v>
      </c>
      <c r="K55" s="676"/>
      <c r="L55" s="676"/>
      <c r="M55" s="676"/>
      <c r="N55" s="676"/>
      <c r="O55" s="676"/>
      <c r="P55" s="676"/>
      <c r="Q55" s="676"/>
      <c r="R55" s="676"/>
      <c r="S55" s="676"/>
      <c r="T55" s="439">
        <f>F55&gt;0</f>
        <v>0</v>
      </c>
      <c r="U55" s="1066"/>
      <c r="V55" s="1066"/>
      <c r="W55" s="810" t="s">
        <v>392</v>
      </c>
      <c r="X55" s="1577"/>
      <c r="Y55" s="1066"/>
      <c r="Z55" s="1578"/>
      <c r="AA55" s="1066"/>
      <c r="AB55" s="1256"/>
      <c r="AC55" s="1257" t="s">
        <v>177</v>
      </c>
      <c r="AD55" s="1258"/>
      <c r="AE55" s="1258"/>
      <c r="AF55" s="1258"/>
      <c r="AG55" s="1258"/>
      <c r="AH55" s="1258"/>
      <c r="AI55" s="1258"/>
      <c r="AJ55" s="1258"/>
      <c r="AK55" s="1258"/>
      <c r="AL55" s="1258"/>
      <c r="AM55" s="1258"/>
      <c r="AN55" s="1258"/>
      <c r="AO55" s="1259"/>
      <c r="AP55" s="1066"/>
      <c r="AQ55" s="1066"/>
      <c r="AR55" s="1046"/>
      <c r="AS55" s="1046"/>
      <c r="AT55" s="1046"/>
      <c r="AU55" s="1043" t="s">
        <v>1652</v>
      </c>
      <c r="AV55" s="1043"/>
    </row>
    <row s="567" customFormat="1" customHeight="1" ht="14.625" hidden="1">
      <c r="A56" s="567"/>
      <c r="B56" s="567"/>
      <c r="C56" s="567"/>
      <c r="D56" s="567"/>
      <c r="E56" s="677">
        <v>15</v>
      </c>
      <c r="F56" s="50" cm="1" t="str">
        <f t="array" ref="F56:F56">OFFSET(E56,-1,1)</f>
        <v>0</v>
      </c>
      <c r="G56" s="567"/>
      <c r="H56" s="567"/>
      <c r="I56" s="678" t="s">
        <v>326</v>
      </c>
      <c r="J56" s="678"/>
      <c r="K56" s="678"/>
      <c r="L56" s="678"/>
      <c r="M56" s="678"/>
      <c r="N56" s="678"/>
      <c r="O56" s="678"/>
      <c r="P56" s="678"/>
      <c r="Q56" s="678"/>
      <c r="R56" s="678"/>
      <c r="S56" s="678"/>
      <c r="T56" s="439" cm="1" t="str">
        <f t="array" ref="T56:T56">T55</f>
        <v>false</v>
      </c>
      <c r="U56" s="567"/>
      <c r="V56" s="567"/>
      <c r="W56" s="567"/>
      <c r="X56" s="1577"/>
      <c r="Y56" s="567"/>
      <c r="Z56" s="1578"/>
      <c r="AA56" s="567"/>
      <c r="AB56" s="785" t="s">
        <v>283</v>
      </c>
      <c r="AC56" s="781" t="s">
        <v>1654</v>
      </c>
      <c r="AD56" s="793" t="s">
        <v>784</v>
      </c>
      <c r="AE56" s="769">
        <f>AE57+AE58</f>
        <v>0</v>
      </c>
      <c r="AF56" s="769">
        <f>AF57+AF58</f>
        <v>0</v>
      </c>
      <c r="AG56" s="769">
        <f>AG57+AG58</f>
        <v>0</v>
      </c>
      <c r="AH56" s="782">
        <f>AG56-AF56</f>
        <v>0</v>
      </c>
      <c r="AI56" s="769">
        <f>AI57+AI58</f>
        <v>0</v>
      </c>
      <c r="AJ56" s="769">
        <f>AJ57+AJ58</f>
        <v>0</v>
      </c>
      <c r="AK56" s="769">
        <f>AK57+AK58</f>
        <v>0</v>
      </c>
      <c r="AL56" s="782">
        <f>IF(AI56=0,0,(AK56-AI56)/AI56*100)</f>
        <v>0</v>
      </c>
      <c r="AM56" s="4400"/>
      <c r="AN56" s="4400"/>
      <c r="AO56" s="4400"/>
      <c r="AP56" s="567"/>
      <c r="AQ56" s="567"/>
      <c r="AR56" s="1047" t="s">
        <v>1655</v>
      </c>
      <c r="AS56" s="1047"/>
      <c r="AT56" s="1047"/>
      <c r="AU56" s="677"/>
      <c r="AV56" s="677"/>
    </row>
    <row customHeight="1" ht="32.90625" hidden="1">
      <c r="A57" s="1066"/>
      <c r="B57" s="1066"/>
      <c r="C57" s="1066"/>
      <c r="D57" s="1066"/>
      <c r="E57" s="675">
        <v>33.75</v>
      </c>
      <c r="F57" s="50" cm="1" t="str">
        <f t="array" ref="F57:F57">OFFSET(E57,-1,1)</f>
        <v>0</v>
      </c>
      <c r="G57" s="1066"/>
      <c r="H57" s="1066"/>
      <c r="I57" s="566" t="s">
        <v>459</v>
      </c>
      <c r="J57" s="566"/>
      <c r="K57" s="566"/>
      <c r="L57" s="566"/>
      <c r="M57" s="566"/>
      <c r="N57" s="566"/>
      <c r="O57" s="566"/>
      <c r="P57" s="566"/>
      <c r="Q57" s="566"/>
      <c r="R57" s="566"/>
      <c r="S57" s="566"/>
      <c r="T57" s="439" cm="1" t="str">
        <f t="array" ref="T57:T57">T56</f>
        <v>false</v>
      </c>
      <c r="U57" s="1066"/>
      <c r="V57" s="1066"/>
      <c r="W57" s="1066"/>
      <c r="X57" s="1577"/>
      <c r="Y57" s="1066"/>
      <c r="Z57" s="1578"/>
      <c r="AA57" s="1066"/>
      <c r="AB57" s="788" t="s">
        <v>515</v>
      </c>
      <c r="AC57" s="794" t="s">
        <v>1656</v>
      </c>
      <c r="AD57" s="795" t="s">
        <v>784</v>
      </c>
      <c r="AE57" s="790"/>
      <c r="AF57" s="790"/>
      <c r="AG57" s="790"/>
      <c r="AH57" s="783">
        <f>AG57-AF57</f>
        <v>0</v>
      </c>
      <c r="AI57" s="790"/>
      <c r="AJ57" s="4405"/>
      <c r="AK57" s="4405"/>
      <c r="AL57" s="783">
        <f>IF(AI57=0,0,(AK57-AI57)/AI57*100)</f>
        <v>0</v>
      </c>
      <c r="AM57" s="4392"/>
      <c r="AN57" s="4392"/>
      <c r="AO57" s="4392"/>
      <c r="AP57" s="1066"/>
      <c r="AQ57" s="1066"/>
      <c r="AR57" s="1046" t="s">
        <v>1657</v>
      </c>
      <c r="AS57" s="1046"/>
      <c r="AT57" s="1046"/>
      <c r="AU57" s="1043"/>
      <c r="AV57" s="1043"/>
    </row>
    <row customHeight="1" ht="35.1" hidden="1">
      <c r="A58" s="1066"/>
      <c r="B58" s="1066"/>
      <c r="C58" s="1066"/>
      <c r="D58" s="1066"/>
      <c r="E58" s="675">
        <v>36</v>
      </c>
      <c r="F58" s="50" cm="1" t="str">
        <f t="array" ref="F58:F58">OFFSET(E58,-1,1)</f>
        <v>0</v>
      </c>
      <c r="G58" s="1066"/>
      <c r="H58" s="1066"/>
      <c r="I58" s="566" t="s">
        <v>462</v>
      </c>
      <c r="J58" s="566"/>
      <c r="K58" s="566"/>
      <c r="L58" s="566"/>
      <c r="M58" s="566"/>
      <c r="N58" s="566"/>
      <c r="O58" s="566"/>
      <c r="P58" s="566"/>
      <c r="Q58" s="566"/>
      <c r="R58" s="566"/>
      <c r="S58" s="566"/>
      <c r="T58" s="439" cm="1" t="str">
        <f t="array" ref="T58:T58">T57</f>
        <v>false</v>
      </c>
      <c r="U58" s="1066"/>
      <c r="V58" s="1066"/>
      <c r="W58" s="1066"/>
      <c r="X58" s="1577"/>
      <c r="Y58" s="1066"/>
      <c r="Z58" s="1578"/>
      <c r="AA58" s="1066"/>
      <c r="AB58" s="788" t="s">
        <v>519</v>
      </c>
      <c r="AC58" s="794" t="s">
        <v>1658</v>
      </c>
      <c r="AD58" s="795" t="s">
        <v>784</v>
      </c>
      <c r="AE58" s="796">
        <f>AE59+AE60</f>
        <v>0</v>
      </c>
      <c r="AF58" s="796">
        <f>AF59+AF60</f>
        <v>0</v>
      </c>
      <c r="AG58" s="796">
        <f>AG59+AG60</f>
        <v>0</v>
      </c>
      <c r="AH58" s="783">
        <f>AG58-AF58</f>
        <v>0</v>
      </c>
      <c r="AI58" s="796">
        <f>AI59+AI60</f>
        <v>0</v>
      </c>
      <c r="AJ58" s="796">
        <f>AJ59+AJ60</f>
        <v>0</v>
      </c>
      <c r="AK58" s="796">
        <f>AK59+AK60</f>
        <v>0</v>
      </c>
      <c r="AL58" s="783">
        <f>IF(AI58=0,0,(AK58-AI58)/AI58*100)</f>
        <v>0</v>
      </c>
      <c r="AM58" s="4392"/>
      <c r="AN58" s="4392"/>
      <c r="AO58" s="4392"/>
      <c r="AP58" s="1066"/>
      <c r="AQ58" s="1066"/>
      <c r="AR58" s="1046" t="s">
        <v>1659</v>
      </c>
      <c r="AS58" s="1046"/>
      <c r="AT58" s="1046"/>
      <c r="AU58" s="1043"/>
      <c r="AV58" s="1043"/>
    </row>
    <row customHeight="1" ht="14.625" hidden="1">
      <c r="A59" s="1066"/>
      <c r="B59" s="1066"/>
      <c r="C59" s="1066"/>
      <c r="D59" s="1066"/>
      <c r="E59" s="675">
        <v>15</v>
      </c>
      <c r="F59" s="50" cm="1" t="str">
        <f t="array" ref="F59:F59">OFFSET(E59,-1,1)</f>
        <v>0</v>
      </c>
      <c r="G59" s="556" t="s">
        <v>1053</v>
      </c>
      <c r="H59" s="1066"/>
      <c r="I59" s="566" t="s">
        <v>1660</v>
      </c>
      <c r="J59" s="566"/>
      <c r="K59" s="566"/>
      <c r="L59" s="566"/>
      <c r="M59" s="566"/>
      <c r="N59" s="566"/>
      <c r="O59" s="566"/>
      <c r="P59" s="566"/>
      <c r="Q59" s="566"/>
      <c r="R59" s="566"/>
      <c r="S59" s="566"/>
      <c r="T59" s="439" cm="1" t="str">
        <f t="array" ref="T59:T59">T58</f>
        <v>false</v>
      </c>
      <c r="U59" s="1066"/>
      <c r="V59" s="1066"/>
      <c r="W59" s="1066"/>
      <c r="X59" s="1577"/>
      <c r="Y59" s="1066"/>
      <c r="Z59" s="1578"/>
      <c r="AA59" s="1066"/>
      <c r="AB59" s="788" t="s">
        <v>473</v>
      </c>
      <c r="AC59" s="789" t="s">
        <v>1661</v>
      </c>
      <c r="AD59" s="795" t="s">
        <v>784</v>
      </c>
      <c r="AE59" s="783">
        <f>_xlfn.SUMIFS(ФОТ!AE$25:AE$102,ФОТ!$F$25:$F$102,$F59,ФОТ!$G$25:$G$102,$G59)</f>
        <v>0</v>
      </c>
      <c r="AF59" s="783">
        <f>_xlfn.SUMIFS(ФОТ!AF$25:AF$102,ФОТ!$F$25:$F$102,$F59,ФОТ!$G$25:$G$102,$G59)</f>
        <v>0</v>
      </c>
      <c r="AG59" s="783">
        <f>_xlfn.SUMIFS(ФОТ!AG$25:AG$102,ФОТ!$F$25:$F$102,$F59,ФОТ!$G$25:$G$102,$G59)</f>
        <v>0</v>
      </c>
      <c r="AH59" s="783">
        <f>AG59-AF59</f>
        <v>0</v>
      </c>
      <c r="AI59" s="783">
        <f>_xlfn.SUMIFS(ФОТ!AH$25:AH$102,ФОТ!$F$25:$F$102,$F59,ФОТ!$G$25:$G$102,$G59)</f>
        <v>0</v>
      </c>
      <c r="AJ59" s="783">
        <f>_xlfn.SUMIFS(ФОТ!AI$25:AI$102,ФОТ!$F$25:$F$102,$F59,ФОТ!$G$25:$G$102,$G59)</f>
        <v>0</v>
      </c>
      <c r="AK59" s="783">
        <f>_xlfn.SUMIFS(ФОТ!AJ$25:AJ$102,ФОТ!$F$25:$F$102,$F59,ФОТ!$G$25:$G$102,$G59)</f>
        <v>0</v>
      </c>
      <c r="AL59" s="783">
        <f>IF(AI59=0,0,(AK59-AI59)/AI59*100)</f>
        <v>0</v>
      </c>
      <c r="AM59" s="4392"/>
      <c r="AN59" s="4393" t="str">
        <f>IF(_xlfn.IFERROR(INDEX(ФОТ!$K$26:$L$102,MATCH($F59&amp;"3komm",ФОТ!$K$26:$K$102,0),2),"")=0,"",_xlfn.IFERROR(INDEX(ФОТ!$K$26:$L$102,MATCH($F59&amp;"3komm",ФОТ!$K$26:$K$102,0),2),""))</f>
        <v/>
      </c>
      <c r="AO59" s="4392"/>
      <c r="AP59" s="1066"/>
      <c r="AQ59" s="1066"/>
      <c r="AR59" s="1046" t="s">
        <v>1662</v>
      </c>
      <c r="AS59" s="1046"/>
      <c r="AT59" s="1046"/>
      <c r="AU59" s="1043"/>
      <c r="AV59" s="1043"/>
    </row>
    <row customHeight="1" ht="21.9375" hidden="1">
      <c r="A60" s="1066"/>
      <c r="B60" s="1066"/>
      <c r="C60" s="1066"/>
      <c r="D60" s="1066"/>
      <c r="E60" s="675">
        <v>22.5</v>
      </c>
      <c r="F60" s="50" cm="1" t="str">
        <f t="array" ref="F60:F60">OFFSET(E60,-1,1)</f>
        <v>0</v>
      </c>
      <c r="G60" s="556" t="s">
        <v>1058</v>
      </c>
      <c r="H60" s="1066"/>
      <c r="I60" s="566" t="s">
        <v>1663</v>
      </c>
      <c r="J60" s="566"/>
      <c r="K60" s="566"/>
      <c r="L60" s="566"/>
      <c r="M60" s="566"/>
      <c r="N60" s="566"/>
      <c r="O60" s="566"/>
      <c r="P60" s="566"/>
      <c r="Q60" s="566"/>
      <c r="R60" s="566"/>
      <c r="S60" s="566"/>
      <c r="T60" s="439" cm="1" t="str">
        <f t="array" ref="T60:T60">T59</f>
        <v>false</v>
      </c>
      <c r="U60" s="1066"/>
      <c r="V60" s="1066"/>
      <c r="W60" s="1066"/>
      <c r="X60" s="1577"/>
      <c r="Y60" s="1066"/>
      <c r="Z60" s="1578"/>
      <c r="AA60" s="1066"/>
      <c r="AB60" s="788" t="s">
        <v>1321</v>
      </c>
      <c r="AC60" s="789" t="s">
        <v>1664</v>
      </c>
      <c r="AD60" s="795" t="s">
        <v>784</v>
      </c>
      <c r="AE60" s="783">
        <f>_xlfn.SUMIFS(ФОТ!AE$25:AE$102,ФОТ!$F$25:$F$102,$F60,ФОТ!$G$25:$G$102,$G60)</f>
        <v>0</v>
      </c>
      <c r="AF60" s="783">
        <f>_xlfn.SUMIFS(ФОТ!AF$25:AF$102,ФОТ!$F$25:$F$102,$F60,ФОТ!$G$25:$G$102,$G60)</f>
        <v>0</v>
      </c>
      <c r="AG60" s="783">
        <f>_xlfn.SUMIFS(ФОТ!AG$25:AG$102,ФОТ!$F$25:$F$102,$F60,ФОТ!$G$25:$G$102,$G60)</f>
        <v>0</v>
      </c>
      <c r="AH60" s="783">
        <f>AG60-AF60</f>
        <v>0</v>
      </c>
      <c r="AI60" s="783">
        <f>_xlfn.SUMIFS(ФОТ!AH$25:AH$102,ФОТ!$F$25:$F$102,$F60,ФОТ!$G$25:$G$102,$G60)</f>
        <v>0</v>
      </c>
      <c r="AJ60" s="783">
        <f>_xlfn.SUMIFS(ФОТ!AI$25:AI$102,ФОТ!$F$25:$F$102,$F60,ФОТ!$G$25:$G$102,$G60)</f>
        <v>0</v>
      </c>
      <c r="AK60" s="783">
        <f>_xlfn.SUMIFS(ФОТ!AJ$25:AJ$102,ФОТ!$F$25:$F$102,$F60,ФОТ!$G$25:$G$102,$G60)</f>
        <v>0</v>
      </c>
      <c r="AL60" s="783">
        <f>IF(AI60=0,0,(AK60-AI60)/AI60*100)</f>
        <v>0</v>
      </c>
      <c r="AM60" s="4392"/>
      <c r="AN60" s="4393" t="str">
        <f>IF(_xlfn.IFERROR(INDEX(ФОТ!$K$26:$L$102,MATCH($F60&amp;"4komm",ФОТ!$K$26:$K$102,0),2),"")=0,"",_xlfn.IFERROR(INDEX(ФОТ!$K$26:$L$102,MATCH($F60&amp;"4komm",ФОТ!$K$26:$K$102,0),2),""))</f>
        <v/>
      </c>
      <c r="AO60" s="4392"/>
      <c r="AP60" s="1066"/>
      <c r="AQ60" s="1066"/>
      <c r="AR60" s="1046" t="s">
        <v>1665</v>
      </c>
      <c r="AS60" s="1046"/>
      <c r="AT60" s="1046"/>
      <c r="AU60" s="1043"/>
      <c r="AV60" s="1043"/>
    </row>
    <row s="567" customFormat="1" customHeight="1" ht="14.625" hidden="1">
      <c r="A61" s="567"/>
      <c r="B61" s="567"/>
      <c r="C61" s="567"/>
      <c r="D61" s="567"/>
      <c r="E61" s="677">
        <v>15</v>
      </c>
      <c r="F61" s="50" cm="1" t="str">
        <f t="array" ref="F61:F61">OFFSET(E61,-1,1)</f>
        <v>0</v>
      </c>
      <c r="G61" s="567"/>
      <c r="H61" s="567"/>
      <c r="I61" s="678" t="s">
        <v>327</v>
      </c>
      <c r="J61" s="678"/>
      <c r="K61" s="678"/>
      <c r="L61" s="678"/>
      <c r="M61" s="678"/>
      <c r="N61" s="678"/>
      <c r="O61" s="678"/>
      <c r="P61" s="678"/>
      <c r="Q61" s="678"/>
      <c r="R61" s="678"/>
      <c r="S61" s="678"/>
      <c r="T61" s="439" cm="1" t="str">
        <f t="array" ref="T61:T61">T60</f>
        <v>false</v>
      </c>
      <c r="U61" s="567"/>
      <c r="V61" s="567"/>
      <c r="W61" s="567"/>
      <c r="X61" s="1577"/>
      <c r="Y61" s="567"/>
      <c r="Z61" s="1578"/>
      <c r="AA61" s="567"/>
      <c r="AB61" s="785" t="s">
        <v>323</v>
      </c>
      <c r="AC61" s="781" t="s">
        <v>1666</v>
      </c>
      <c r="AD61" s="793" t="s">
        <v>784</v>
      </c>
      <c r="AE61" s="782">
        <f>AE62+AE63+AE66+AE67+AE68+AE69+AE70</f>
        <v>0</v>
      </c>
      <c r="AF61" s="782">
        <f>AF62+AF63+AF66+AF67+AF68+AF69+AF70</f>
        <v>0</v>
      </c>
      <c r="AG61" s="782">
        <f>AG62+AG63+AG66+AG67+AG68+AG69+AG70</f>
        <v>0</v>
      </c>
      <c r="AH61" s="782">
        <f>AG61-AF61</f>
        <v>0</v>
      </c>
      <c r="AI61" s="782">
        <f>AI62+AI63+AI66+AI67+AI68+AI69+AI70</f>
        <v>0</v>
      </c>
      <c r="AJ61" s="782">
        <f>AJ62+AJ63+AJ66+AJ67+AJ68+AJ69+AJ70</f>
        <v>0</v>
      </c>
      <c r="AK61" s="782">
        <f>AK62+AK63+AK66+AK67+AK68+AK69+AK70</f>
        <v>0</v>
      </c>
      <c r="AL61" s="782">
        <f>IF(AI61=0,0,(AK61-AI61)/AI61*100)</f>
        <v>0</v>
      </c>
      <c r="AM61" s="4400"/>
      <c r="AN61" s="4400"/>
      <c r="AO61" s="4400"/>
      <c r="AP61" s="567"/>
      <c r="AQ61" s="567"/>
      <c r="AR61" s="1047" t="s">
        <v>1667</v>
      </c>
      <c r="AS61" s="1047"/>
      <c r="AT61" s="1047"/>
      <c r="AU61" s="677"/>
      <c r="AV61" s="677"/>
    </row>
    <row customHeight="1" ht="21.9375" hidden="1">
      <c r="A62" s="1066"/>
      <c r="B62" s="1066"/>
      <c r="C62" s="1066"/>
      <c r="D62" s="1066"/>
      <c r="E62" s="675">
        <v>22.5</v>
      </c>
      <c r="F62" s="50" cm="1" t="str">
        <f t="array" ref="F62:F62">OFFSET(E62,-1,1)</f>
        <v>0</v>
      </c>
      <c r="G62" s="556" t="s">
        <v>1079</v>
      </c>
      <c r="H62" s="1066"/>
      <c r="I62" s="566" t="s">
        <v>875</v>
      </c>
      <c r="J62" s="566"/>
      <c r="K62" s="566"/>
      <c r="L62" s="566"/>
      <c r="M62" s="566"/>
      <c r="N62" s="566"/>
      <c r="O62" s="566"/>
      <c r="P62" s="566"/>
      <c r="Q62" s="566"/>
      <c r="R62" s="566"/>
      <c r="S62" s="566"/>
      <c r="T62" s="439" cm="1" t="str">
        <f t="array" ref="T62:T62">T61</f>
        <v>false</v>
      </c>
      <c r="U62" s="1066"/>
      <c r="V62" s="1066"/>
      <c r="W62" s="1066"/>
      <c r="X62" s="1577"/>
      <c r="Y62" s="1066"/>
      <c r="Z62" s="1578"/>
      <c r="AA62" s="1066"/>
      <c r="AB62" s="788" t="s">
        <v>529</v>
      </c>
      <c r="AC62" s="794" t="s">
        <v>1668</v>
      </c>
      <c r="AD62" s="795" t="s">
        <v>784</v>
      </c>
      <c r="AE62" s="226">
        <f>_xlfn.SUMIFS(Административные!AE$25:AE$84,Административные!$F$25:$F$84,$F62,Административные!$G$25:$G$84,$G62)</f>
        <v>0</v>
      </c>
      <c r="AF62" s="226">
        <f>_xlfn.SUMIFS(Административные!AF$25:AF$84,Административные!$F$25:$F$84,$F62,Административные!$G$25:$G$84,$G62)</f>
        <v>0</v>
      </c>
      <c r="AG62" s="226">
        <f>_xlfn.SUMIFS(Административные!AG$25:AG$84,Административные!$F$25:$F$84,$F62,Административные!$G$25:$G$84,$G62)</f>
        <v>0</v>
      </c>
      <c r="AH62" s="783">
        <f>AG62-AF62</f>
        <v>0</v>
      </c>
      <c r="AI62" s="226">
        <f>_xlfn.SUMIFS(Административные!AH$25:AH$84,Административные!$F$25:$F$84,$F62,Административные!$G$25:$G$84,$G62)</f>
        <v>0</v>
      </c>
      <c r="AJ62" s="226">
        <f>_xlfn.SUMIFS(Административные!AI$25:AI$84,Административные!$F$25:$F$84,$F62,Административные!$G$25:$G$84,$G62)</f>
        <v>0</v>
      </c>
      <c r="AK62" s="226">
        <f>_xlfn.SUMIFS(Административные!AJ$25:AJ$84,Административные!$F$25:$F$84,$F62,Административные!$G$25:$G$84,$G62)</f>
        <v>0</v>
      </c>
      <c r="AL62" s="783">
        <f>IF(AI62=0,0,(AK62-AI62)/AI62*100)</f>
        <v>0</v>
      </c>
      <c r="AM62" s="4392"/>
      <c r="AN62" s="4393" t="str">
        <f>IF(_xlfn.IFERROR(INDEX(Административные!$K$26:$L$84,MATCH($F62&amp;"17komm",Административные!$K$26:$K$84,0),2),"")=0,"",_xlfn.IFERROR(INDEX(Административные!$K$26:$L$84,MATCH($F62&amp;"17komm",Административные!$K$26:$K$84,0),2),""))</f>
        <v/>
      </c>
      <c r="AO62" s="4392"/>
      <c r="AP62" s="1066"/>
      <c r="AQ62" s="1066"/>
      <c r="AR62" s="1046" t="s">
        <v>1081</v>
      </c>
      <c r="AS62" s="1046"/>
      <c r="AT62" s="1046"/>
      <c r="AU62" s="1043"/>
      <c r="AV62" s="1043"/>
    </row>
    <row customHeight="1" ht="32.90625" hidden="1">
      <c r="A63" s="1066"/>
      <c r="B63" s="1066"/>
      <c r="C63" s="1066"/>
      <c r="D63" s="1066"/>
      <c r="E63" s="675">
        <v>33.75</v>
      </c>
      <c r="F63" s="50" cm="1" t="str">
        <f t="array" ref="F63:F63">OFFSET(E63,-1,1)</f>
        <v>0</v>
      </c>
      <c r="G63" s="1066"/>
      <c r="H63" s="1066"/>
      <c r="I63" s="566" t="s">
        <v>877</v>
      </c>
      <c r="J63" s="566"/>
      <c r="K63" s="566"/>
      <c r="L63" s="566"/>
      <c r="M63" s="566"/>
      <c r="N63" s="566"/>
      <c r="O63" s="566"/>
      <c r="P63" s="566"/>
      <c r="Q63" s="566"/>
      <c r="R63" s="566"/>
      <c r="S63" s="566"/>
      <c r="T63" s="439" cm="1" t="str">
        <f t="array" ref="T63:T63">T62</f>
        <v>false</v>
      </c>
      <c r="U63" s="1066"/>
      <c r="V63" s="1066"/>
      <c r="W63" s="1066"/>
      <c r="X63" s="1577"/>
      <c r="Y63" s="1066"/>
      <c r="Z63" s="1578"/>
      <c r="AA63" s="1066"/>
      <c r="AB63" s="788" t="s">
        <v>533</v>
      </c>
      <c r="AC63" s="794" t="s">
        <v>1669</v>
      </c>
      <c r="AD63" s="795" t="s">
        <v>784</v>
      </c>
      <c r="AE63" s="783">
        <f>AE64+AE65</f>
        <v>0</v>
      </c>
      <c r="AF63" s="783">
        <f>AF64+AF65</f>
        <v>0</v>
      </c>
      <c r="AG63" s="783">
        <f>AG64+AG65</f>
        <v>0</v>
      </c>
      <c r="AH63" s="783">
        <f>AG63-AF63</f>
        <v>0</v>
      </c>
      <c r="AI63" s="783">
        <f>AI64+AI65</f>
        <v>0</v>
      </c>
      <c r="AJ63" s="783">
        <f>AJ64+AJ65</f>
        <v>0</v>
      </c>
      <c r="AK63" s="783">
        <f>AK64+AK65</f>
        <v>0</v>
      </c>
      <c r="AL63" s="783">
        <f>IF(AI63=0,0,(AK63-AI63)/AI63*100)</f>
        <v>0</v>
      </c>
      <c r="AM63" s="4392"/>
      <c r="AN63" s="4392"/>
      <c r="AO63" s="4392"/>
      <c r="AP63" s="1066"/>
      <c r="AQ63" s="1066"/>
      <c r="AR63" s="1046" t="s">
        <v>1670</v>
      </c>
      <c r="AS63" s="1046"/>
      <c r="AT63" s="1046"/>
      <c r="AU63" s="1043"/>
      <c r="AV63" s="1043"/>
    </row>
    <row customHeight="1" ht="21.9375" hidden="1">
      <c r="A64" s="1066"/>
      <c r="B64" s="1066"/>
      <c r="C64" s="1066"/>
      <c r="D64" s="1066"/>
      <c r="E64" s="675">
        <v>22.5</v>
      </c>
      <c r="F64" s="50" cm="1" t="str">
        <f t="array" ref="F64:F64">OFFSET(E64,-1,1)</f>
        <v>0</v>
      </c>
      <c r="G64" s="1260" t="s">
        <v>1061</v>
      </c>
      <c r="H64" s="1066"/>
      <c r="I64" s="566" t="s">
        <v>477</v>
      </c>
      <c r="J64" s="566"/>
      <c r="K64" s="566"/>
      <c r="L64" s="566"/>
      <c r="M64" s="566"/>
      <c r="N64" s="566"/>
      <c r="O64" s="566"/>
      <c r="P64" s="566"/>
      <c r="Q64" s="566"/>
      <c r="R64" s="566"/>
      <c r="S64" s="566"/>
      <c r="T64" s="439" cm="1" t="str">
        <f t="array" ref="T64:T64">T63</f>
        <v>false</v>
      </c>
      <c r="U64" s="1066"/>
      <c r="V64" s="1066"/>
      <c r="W64" s="1066"/>
      <c r="X64" s="1577"/>
      <c r="Y64" s="1066"/>
      <c r="Z64" s="1578"/>
      <c r="AA64" s="1066"/>
      <c r="AB64" s="788" t="s">
        <v>744</v>
      </c>
      <c r="AC64" s="789" t="s">
        <v>1671</v>
      </c>
      <c r="AD64" s="795" t="s">
        <v>784</v>
      </c>
      <c r="AE64" s="783">
        <f>_xlfn.SUMIFS(ФОТ!AE$25:AE$102,ФОТ!$F$25:$F$102,$F64,ФОТ!$G$25:$G$102,$G64)</f>
        <v>0</v>
      </c>
      <c r="AF64" s="783">
        <f>_xlfn.SUMIFS(ФОТ!AF$25:AF$102,ФОТ!$F$25:$F$102,$F64,ФОТ!$G$25:$G$102,$G64)</f>
        <v>0</v>
      </c>
      <c r="AG64" s="783">
        <f>_xlfn.SUMIFS(ФОТ!AG$25:AG$102,ФОТ!$F$25:$F$102,$F64,ФОТ!$G$25:$G$102,$G64)</f>
        <v>0</v>
      </c>
      <c r="AH64" s="783">
        <f>AG64-AF64</f>
        <v>0</v>
      </c>
      <c r="AI64" s="783">
        <f>_xlfn.SUMIFS(ФОТ!AH$25:AH$102,ФОТ!$F$25:$F$102,$F64,ФОТ!$G$25:$G$102,$G64)</f>
        <v>0</v>
      </c>
      <c r="AJ64" s="783">
        <f>_xlfn.SUMIFS(ФОТ!AI$25:AI$102,ФОТ!$F$25:$F$102,$F64,ФОТ!$G$25:$G$102,$G64)</f>
        <v>0</v>
      </c>
      <c r="AK64" s="783">
        <f>_xlfn.SUMIFS(ФОТ!AJ$25:AJ$102,ФОТ!$F$25:$F$102,$F64,ФОТ!$G$25:$G$102,$G64)</f>
        <v>0</v>
      </c>
      <c r="AL64" s="783">
        <f>IF(AI64=0,0,(AK64-AI64)/AI64*100)</f>
        <v>0</v>
      </c>
      <c r="AM64" s="4392"/>
      <c r="AN64" s="4393" t="str">
        <f>IF(_xlfn.IFERROR(INDEX(ФОТ!$K$26:$L$102,MATCH($F64&amp;"5komm",ФОТ!$K$26:$K$102,0),2),"")=0,"",_xlfn.IFERROR(INDEX(ФОТ!$K$26:$L$102,MATCH($F64&amp;"5komm",ФОТ!$K$26:$K$102,0),2),""))</f>
        <v/>
      </c>
      <c r="AO64" s="4392"/>
      <c r="AP64" s="1066"/>
      <c r="AQ64" s="1066"/>
      <c r="AR64" s="1046" t="s">
        <v>1078</v>
      </c>
      <c r="AS64" s="1046"/>
      <c r="AT64" s="1046"/>
      <c r="AU64" s="1043"/>
      <c r="AV64" s="1043"/>
    </row>
    <row customHeight="1" ht="32.90625" hidden="1">
      <c r="A65" s="1066"/>
      <c r="B65" s="1066"/>
      <c r="C65" s="1066"/>
      <c r="D65" s="1066"/>
      <c r="E65" s="675">
        <v>33.75</v>
      </c>
      <c r="F65" s="50" cm="1" t="str">
        <f t="array" ref="F65:F65">OFFSET(E65,-1,1)</f>
        <v>0</v>
      </c>
      <c r="G65" s="472" t="s">
        <v>1066</v>
      </c>
      <c r="H65" s="1066"/>
      <c r="I65" s="566" t="s">
        <v>482</v>
      </c>
      <c r="J65" s="566"/>
      <c r="K65" s="566"/>
      <c r="L65" s="566"/>
      <c r="M65" s="566"/>
      <c r="N65" s="566"/>
      <c r="O65" s="566"/>
      <c r="P65" s="566"/>
      <c r="Q65" s="566"/>
      <c r="R65" s="566"/>
      <c r="S65" s="566"/>
      <c r="T65" s="439" cm="1" t="str">
        <f t="array" ref="T65:T65">T64</f>
        <v>false</v>
      </c>
      <c r="U65" s="1066"/>
      <c r="V65" s="1066"/>
      <c r="W65" s="1066"/>
      <c r="X65" s="1577"/>
      <c r="Y65" s="1066"/>
      <c r="Z65" s="1578"/>
      <c r="AA65" s="1066"/>
      <c r="AB65" s="788" t="s">
        <v>747</v>
      </c>
      <c r="AC65" s="789" t="s">
        <v>1672</v>
      </c>
      <c r="AD65" s="795" t="s">
        <v>784</v>
      </c>
      <c r="AE65" s="783">
        <f>_xlfn.SUMIFS(ФОТ!AE$25:AE$102,ФОТ!$F$25:$F$102,$F65,ФОТ!$G$25:$G$102,$G65)</f>
        <v>0</v>
      </c>
      <c r="AF65" s="783">
        <f>_xlfn.SUMIFS(ФОТ!AF$25:AF$102,ФОТ!$F$25:$F$102,$F65,ФОТ!$G$25:$G$102,$G65)</f>
        <v>0</v>
      </c>
      <c r="AG65" s="783">
        <f>_xlfn.SUMIFS(ФОТ!AG$25:AG$102,ФОТ!$F$25:$F$102,$F65,ФОТ!$G$25:$G$102,$G65)</f>
        <v>0</v>
      </c>
      <c r="AH65" s="783">
        <f>AG65-AF65</f>
        <v>0</v>
      </c>
      <c r="AI65" s="783">
        <f>_xlfn.SUMIFS(ФОТ!AH$25:AH$102,ФОТ!$F$25:$F$102,$F65,ФОТ!$G$25:$G$102,$G65)</f>
        <v>0</v>
      </c>
      <c r="AJ65" s="783">
        <f>_xlfn.SUMIFS(ФОТ!AI$25:AI$102,ФОТ!$F$25:$F$102,$F65,ФОТ!$G$25:$G$102,$G65)</f>
        <v>0</v>
      </c>
      <c r="AK65" s="783">
        <f>_xlfn.SUMIFS(ФОТ!AJ$25:AJ$102,ФОТ!$F$25:$F$102,$F65,ФОТ!$G$25:$G$102,$G65)</f>
        <v>0</v>
      </c>
      <c r="AL65" s="783">
        <f>IF(AI65=0,0,(AK65-AI65)/AI65*100)</f>
        <v>0</v>
      </c>
      <c r="AM65" s="4392"/>
      <c r="AN65" s="4393" t="str">
        <f>IF(_xlfn.IFERROR(INDEX(ФОТ!$K$26:$L$102,MATCH($F65&amp;"6komm",ФОТ!$K$26:$K$102,0),2),"")=0,"",_xlfn.IFERROR(INDEX(ФОТ!$K$26:$L$102,MATCH($F65&amp;"6komm",ФОТ!$K$26:$K$102,0),2),""))</f>
        <v/>
      </c>
      <c r="AO65" s="4392"/>
      <c r="AP65" s="1066"/>
      <c r="AQ65" s="1066"/>
      <c r="AR65" s="1046" t="s">
        <v>1673</v>
      </c>
      <c r="AS65" s="1046"/>
      <c r="AT65" s="1046"/>
      <c r="AU65" s="1043"/>
      <c r="AV65" s="1043"/>
    </row>
    <row customHeight="1" ht="32.90625" hidden="1">
      <c r="A66" s="1066"/>
      <c r="B66" s="1066"/>
      <c r="C66" s="1066"/>
      <c r="D66" s="1066"/>
      <c r="E66" s="675">
        <v>33.75</v>
      </c>
      <c r="F66" s="50" cm="1" t="str">
        <f t="array" ref="F66:F66">OFFSET(E66,-1,1)</f>
        <v>0</v>
      </c>
      <c r="G66" s="556" t="s">
        <v>1107</v>
      </c>
      <c r="H66" s="1066"/>
      <c r="I66" s="566" t="s">
        <v>879</v>
      </c>
      <c r="J66" s="566"/>
      <c r="K66" s="566"/>
      <c r="L66" s="566"/>
      <c r="M66" s="566"/>
      <c r="N66" s="566"/>
      <c r="O66" s="566"/>
      <c r="P66" s="566"/>
      <c r="Q66" s="566"/>
      <c r="R66" s="566"/>
      <c r="S66" s="566"/>
      <c r="T66" s="439" cm="1" t="str">
        <f t="array" ref="T66:T66">T65</f>
        <v>false</v>
      </c>
      <c r="U66" s="1066"/>
      <c r="V66" s="1066"/>
      <c r="W66" s="1066"/>
      <c r="X66" s="1577"/>
      <c r="Y66" s="1066"/>
      <c r="Z66" s="1578"/>
      <c r="AA66" s="1066"/>
      <c r="AB66" s="788" t="s">
        <v>750</v>
      </c>
      <c r="AC66" s="794" t="s">
        <v>1674</v>
      </c>
      <c r="AD66" s="795" t="s">
        <v>784</v>
      </c>
      <c r="AE66" s="783">
        <f>_xlfn.SUMIFS(Административные!AE$25:AE$84,Административные!$F$25:$F$84,$F66,Административные!$G$25:$G$84,$G66)</f>
        <v>0</v>
      </c>
      <c r="AF66" s="783">
        <f>_xlfn.SUMIFS(Административные!AF$25:AF$84,Административные!$F$25:$F$84,$F66,Административные!$G$25:$G$84,$G66)</f>
        <v>0</v>
      </c>
      <c r="AG66" s="783">
        <f>_xlfn.SUMIFS(Административные!AG$25:AG$84,Административные!$F$25:$F$84,$F66,Административные!$G$25:$G$84,$G66)</f>
        <v>0</v>
      </c>
      <c r="AH66" s="783">
        <f>AG66-AF66</f>
        <v>0</v>
      </c>
      <c r="AI66" s="783">
        <f>_xlfn.SUMIFS(Административные!AH$25:AH$84,Административные!$F$25:$F$84,$F66,Административные!$G$25:$G$84,$G66)</f>
        <v>0</v>
      </c>
      <c r="AJ66" s="783">
        <f>_xlfn.SUMIFS(Административные!AI$25:AI$84,Административные!$F$25:$F$84,$F66,Административные!$G$25:$G$84,$G66)</f>
        <v>0</v>
      </c>
      <c r="AK66" s="783">
        <f>_xlfn.SUMIFS(Административные!AJ$25:AJ$84,Административные!$F$25:$F$84,$F66,Административные!$G$25:$G$84,$G66)</f>
        <v>0</v>
      </c>
      <c r="AL66" s="783">
        <f>IF(AI66=0,0,(AK66-AI66)/AI66*100)</f>
        <v>0</v>
      </c>
      <c r="AM66" s="4392"/>
      <c r="AN66" s="4393" t="str">
        <f>IF(_xlfn.IFERROR(INDEX(Административные!$K$26:$L$84,MATCH($F66&amp;"2komm",Административные!$K$26:$K$84,0),2),"")=0,"",_xlfn.IFERROR(INDEX(Административные!$K$26:$L$84,MATCH($F66&amp;"2komm",Административные!$K$26:$K$84,0),2),""))</f>
        <v/>
      </c>
      <c r="AO66" s="4392"/>
      <c r="AP66" s="1066"/>
      <c r="AQ66" s="1066"/>
      <c r="AR66" s="1046" t="s">
        <v>1109</v>
      </c>
      <c r="AS66" s="1046"/>
      <c r="AT66" s="1046"/>
      <c r="AU66" s="1043"/>
      <c r="AV66" s="1043"/>
    </row>
    <row customHeight="1" ht="14.625" hidden="1">
      <c r="A67" s="1066"/>
      <c r="B67" s="1066"/>
      <c r="C67" s="1066"/>
      <c r="D67" s="1066"/>
      <c r="E67" s="675">
        <v>15</v>
      </c>
      <c r="F67" s="50" cm="1" t="str">
        <f t="array" ref="F67:F67">OFFSET(E67,-1,1)</f>
        <v>0</v>
      </c>
      <c r="G67" s="556" t="s">
        <v>1110</v>
      </c>
      <c r="H67" s="1066"/>
      <c r="I67" s="566" t="s">
        <v>881</v>
      </c>
      <c r="J67" s="566"/>
      <c r="K67" s="566"/>
      <c r="L67" s="566"/>
      <c r="M67" s="566"/>
      <c r="N67" s="566"/>
      <c r="O67" s="566"/>
      <c r="P67" s="566"/>
      <c r="Q67" s="566"/>
      <c r="R67" s="566"/>
      <c r="S67" s="566"/>
      <c r="T67" s="439" cm="1" t="str">
        <f t="array" ref="T67:T67">T66</f>
        <v>false</v>
      </c>
      <c r="U67" s="1066"/>
      <c r="V67" s="1066"/>
      <c r="W67" s="1066"/>
      <c r="X67" s="1577"/>
      <c r="Y67" s="1066"/>
      <c r="Z67" s="1578"/>
      <c r="AA67" s="1066"/>
      <c r="AB67" s="788" t="s">
        <v>882</v>
      </c>
      <c r="AC67" s="794" t="s">
        <v>1111</v>
      </c>
      <c r="AD67" s="795" t="s">
        <v>784</v>
      </c>
      <c r="AE67" s="783">
        <f>_xlfn.SUMIFS(Административные!AE$25:AE$84,Административные!$F$25:$F$84,$F67,Административные!$G$25:$G$84,$G67)</f>
        <v>0</v>
      </c>
      <c r="AF67" s="783">
        <f>_xlfn.SUMIFS(Административные!AF$25:AF$84,Административные!$F$25:$F$84,$F67,Административные!$G$25:$G$84,$G67)</f>
        <v>0</v>
      </c>
      <c r="AG67" s="783">
        <f>_xlfn.SUMIFS(Административные!AG$25:AG$84,Административные!$F$25:$F$84,$F67,Административные!$G$25:$G$84,$G67)</f>
        <v>0</v>
      </c>
      <c r="AH67" s="783">
        <f>AG67-AF67</f>
        <v>0</v>
      </c>
      <c r="AI67" s="783">
        <f>_xlfn.SUMIFS(Административные!AH$25:AH$84,Административные!$F$25:$F$84,$F67,Административные!$G$25:$G$84,$G67)</f>
        <v>0</v>
      </c>
      <c r="AJ67" s="783">
        <f>_xlfn.SUMIFS(Административные!AI$25:AI$84,Административные!$F$25:$F$84,$F67,Административные!$G$25:$G$84,$G67)</f>
        <v>0</v>
      </c>
      <c r="AK67" s="783">
        <f>_xlfn.SUMIFS(Административные!AJ$25:AJ$84,Административные!$F$25:$F$84,$F67,Административные!$G$25:$G$84,$G67)</f>
        <v>0</v>
      </c>
      <c r="AL67" s="783">
        <f>IF(AI67=0,0,(AK67-AI67)/AI67*100)</f>
        <v>0</v>
      </c>
      <c r="AM67" s="4392"/>
      <c r="AN67" s="4393" t="str">
        <f>IF(_xlfn.IFERROR(INDEX(Административные!$K$26:$L$84,MATCH($F67&amp;"3komm",Административные!$K$26:$K$84,0),2),"")=0,"",_xlfn.IFERROR(INDEX(Административные!$K$26:$L$84,MATCH($F67&amp;"3komm",Административные!$K$26:$K$84,0),2),""))</f>
        <v/>
      </c>
      <c r="AO67" s="4392"/>
      <c r="AP67" s="1066"/>
      <c r="AQ67" s="1066"/>
      <c r="AR67" s="1046" t="s">
        <v>1112</v>
      </c>
      <c r="AS67" s="1046"/>
      <c r="AT67" s="1046"/>
      <c r="AU67" s="1043"/>
      <c r="AV67" s="1043"/>
    </row>
    <row customHeight="1" ht="14.625" hidden="1">
      <c r="A68" s="1066"/>
      <c r="B68" s="1066"/>
      <c r="C68" s="1066"/>
      <c r="D68" s="1066"/>
      <c r="E68" s="675">
        <v>15</v>
      </c>
      <c r="F68" s="50" cm="1" t="str">
        <f t="array" ref="F68:F68">OFFSET(E68,-1,1)</f>
        <v>0</v>
      </c>
      <c r="G68" s="556" t="s">
        <v>1113</v>
      </c>
      <c r="H68" s="1066"/>
      <c r="I68" s="566" t="s">
        <v>884</v>
      </c>
      <c r="J68" s="566"/>
      <c r="K68" s="566"/>
      <c r="L68" s="566"/>
      <c r="M68" s="566"/>
      <c r="N68" s="566"/>
      <c r="O68" s="566"/>
      <c r="P68" s="566"/>
      <c r="Q68" s="566"/>
      <c r="R68" s="566"/>
      <c r="S68" s="566"/>
      <c r="T68" s="439" cm="1" t="str">
        <f t="array" ref="T68:T68">T67</f>
        <v>false</v>
      </c>
      <c r="U68" s="1066"/>
      <c r="V68" s="1066"/>
      <c r="W68" s="1066"/>
      <c r="X68" s="1577"/>
      <c r="Y68" s="1066"/>
      <c r="Z68" s="1578"/>
      <c r="AA68" s="1066"/>
      <c r="AB68" s="788" t="s">
        <v>885</v>
      </c>
      <c r="AC68" s="794" t="s">
        <v>1114</v>
      </c>
      <c r="AD68" s="795" t="s">
        <v>784</v>
      </c>
      <c r="AE68" s="783">
        <f>_xlfn.SUMIFS(Административные!AE$25:AE$84,Административные!$F$25:$F$84,$F68,Административные!$G$25:$G$84,$G68)</f>
        <v>0</v>
      </c>
      <c r="AF68" s="783">
        <f>_xlfn.SUMIFS(Административные!AF$25:AF$84,Административные!$F$25:$F$84,$F68,Административные!$G$25:$G$84,$G68)</f>
        <v>0</v>
      </c>
      <c r="AG68" s="783">
        <f>_xlfn.SUMIFS(Административные!AG$25:AG$84,Административные!$F$25:$F$84,$F68,Административные!$G$25:$G$84,$G68)</f>
        <v>0</v>
      </c>
      <c r="AH68" s="783">
        <f>AG68-AF68</f>
        <v>0</v>
      </c>
      <c r="AI68" s="783">
        <f>_xlfn.SUMIFS(Административные!AH$25:AH$84,Административные!$F$25:$F$84,$F68,Административные!$G$25:$G$84,$G68)</f>
        <v>0</v>
      </c>
      <c r="AJ68" s="783">
        <f>_xlfn.SUMIFS(Административные!AI$25:AI$84,Административные!$F$25:$F$84,$F68,Административные!$G$25:$G$84,$G68)</f>
        <v>0</v>
      </c>
      <c r="AK68" s="783">
        <f>_xlfn.SUMIFS(Административные!AJ$25:AJ$84,Административные!$F$25:$F$84,$F68,Административные!$G$25:$G$84,$G68)</f>
        <v>0</v>
      </c>
      <c r="AL68" s="783">
        <f>IF(AI68=0,0,(AK68-AI68)/AI68*100)</f>
        <v>0</v>
      </c>
      <c r="AM68" s="4392"/>
      <c r="AN68" s="4393" t="str">
        <f>IF(_xlfn.IFERROR(INDEX(Административные!$K$26:$L$84,MATCH($F68&amp;"4komm",Административные!$K$26:$K$84,0),2),"")=0,"",_xlfn.IFERROR(INDEX(Административные!$K$26:$L$84,MATCH($F68&amp;"4komm",Административные!$K$26:$K$84,0),2),""))</f>
        <v/>
      </c>
      <c r="AO68" s="4392"/>
      <c r="AP68" s="1066"/>
      <c r="AQ68" s="1066"/>
      <c r="AR68" s="1046" t="s">
        <v>1115</v>
      </c>
      <c r="AS68" s="1046"/>
      <c r="AT68" s="1046"/>
      <c r="AU68" s="1043"/>
      <c r="AV68" s="1043"/>
    </row>
    <row customHeight="1" ht="14.625" hidden="1">
      <c r="A69" s="1066"/>
      <c r="B69" s="1066"/>
      <c r="C69" s="1066"/>
      <c r="D69" s="1066"/>
      <c r="E69" s="675">
        <v>15</v>
      </c>
      <c r="F69" s="50" cm="1" t="str">
        <f t="array" ref="F69:F69">OFFSET(E69,-1,1)</f>
        <v>0</v>
      </c>
      <c r="G69" s="556" t="s">
        <v>1116</v>
      </c>
      <c r="H69" s="1066"/>
      <c r="I69" s="566" t="s">
        <v>1098</v>
      </c>
      <c r="J69" s="566"/>
      <c r="K69" s="566"/>
      <c r="L69" s="566"/>
      <c r="M69" s="566"/>
      <c r="N69" s="566"/>
      <c r="O69" s="566"/>
      <c r="P69" s="566"/>
      <c r="Q69" s="566"/>
      <c r="R69" s="566"/>
      <c r="S69" s="566"/>
      <c r="T69" s="439" cm="1" t="str">
        <f t="array" ref="T69:T69">T68</f>
        <v>false</v>
      </c>
      <c r="U69" s="1066"/>
      <c r="V69" s="1066"/>
      <c r="W69" s="1066"/>
      <c r="X69" s="1577"/>
      <c r="Y69" s="1066"/>
      <c r="Z69" s="1578"/>
      <c r="AA69" s="1066"/>
      <c r="AB69" s="788" t="s">
        <v>1099</v>
      </c>
      <c r="AC69" s="794" t="s">
        <v>1117</v>
      </c>
      <c r="AD69" s="795" t="s">
        <v>784</v>
      </c>
      <c r="AE69" s="783">
        <f>_xlfn.SUMIFS(Административные!AE$25:AE$84,Административные!$F$25:$F$84,$F69,Административные!$G$25:$G$84,$G69)</f>
        <v>0</v>
      </c>
      <c r="AF69" s="783">
        <f>_xlfn.SUMIFS(Административные!AF$25:AF$84,Административные!$F$25:$F$84,$F69,Административные!$G$25:$G$84,$G69)</f>
        <v>0</v>
      </c>
      <c r="AG69" s="783">
        <f>_xlfn.SUMIFS(Административные!AG$25:AG$84,Административные!$F$25:$F$84,$F69,Административные!$G$25:$G$84,$G69)</f>
        <v>0</v>
      </c>
      <c r="AH69" s="783">
        <f>AG69-AF69</f>
        <v>0</v>
      </c>
      <c r="AI69" s="783">
        <f>_xlfn.SUMIFS(Административные!AH$25:AH$84,Административные!$F$25:$F$84,$F69,Административные!$G$25:$G$84,$G69)</f>
        <v>0</v>
      </c>
      <c r="AJ69" s="783">
        <f>_xlfn.SUMIFS(Административные!AI$25:AI$84,Административные!$F$25:$F$84,$F69,Административные!$G$25:$G$84,$G69)</f>
        <v>0</v>
      </c>
      <c r="AK69" s="783">
        <f>_xlfn.SUMIFS(Административные!AJ$25:AJ$84,Административные!$F$25:$F$84,$F69,Административные!$G$25:$G$84,$G69)</f>
        <v>0</v>
      </c>
      <c r="AL69" s="783">
        <f>IF(AI69=0,0,(AK69-AI69)/AI69*100)</f>
        <v>0</v>
      </c>
      <c r="AM69" s="4392"/>
      <c r="AN69" s="4393" t="str">
        <f>IF(_xlfn.IFERROR(INDEX(Административные!$K$26:$L$84,MATCH($F65&amp;"5komm",Административные!$K$26:$K$84,0),2),"")=0,"",_xlfn.IFERROR(INDEX(Административные!$K$26:$L$84,MATCH($F65&amp;"5komm",Административные!$K$26:$K$84,0),2),""))</f>
        <v/>
      </c>
      <c r="AO69" s="4392"/>
      <c r="AP69" s="1066"/>
      <c r="AQ69" s="1066"/>
      <c r="AR69" s="1046" t="s">
        <v>1675</v>
      </c>
      <c r="AS69" s="1046"/>
      <c r="AT69" s="1046"/>
      <c r="AU69" s="1043"/>
      <c r="AV69" s="1043"/>
    </row>
    <row customHeight="1" ht="14.625" hidden="1">
      <c r="A70" s="1066"/>
      <c r="B70" s="1066"/>
      <c r="C70" s="1066"/>
      <c r="D70" s="1066"/>
      <c r="E70" s="675">
        <v>15</v>
      </c>
      <c r="F70" s="50" cm="1" t="str">
        <f t="array" ref="F70:F70">OFFSET(E70,-1,1)</f>
        <v>0</v>
      </c>
      <c r="G70" s="556" t="s">
        <v>1119</v>
      </c>
      <c r="H70" s="1066"/>
      <c r="I70" s="566" t="s">
        <v>1103</v>
      </c>
      <c r="J70" s="566"/>
      <c r="K70" s="566"/>
      <c r="L70" s="566"/>
      <c r="M70" s="566"/>
      <c r="N70" s="566"/>
      <c r="O70" s="566"/>
      <c r="P70" s="566"/>
      <c r="Q70" s="566"/>
      <c r="R70" s="566"/>
      <c r="S70" s="566"/>
      <c r="T70" s="439" cm="1" t="str">
        <f t="array" ref="T70:T70">T69</f>
        <v>false</v>
      </c>
      <c r="U70" s="1066"/>
      <c r="V70" s="1066"/>
      <c r="W70" s="1066"/>
      <c r="X70" s="1577"/>
      <c r="Y70" s="1066"/>
      <c r="Z70" s="1578"/>
      <c r="AA70" s="1066"/>
      <c r="AB70" s="788" t="s">
        <v>1104</v>
      </c>
      <c r="AC70" s="794" t="s">
        <v>1676</v>
      </c>
      <c r="AD70" s="795" t="s">
        <v>784</v>
      </c>
      <c r="AE70" s="783">
        <f>_xlfn.SUMIFS(Административные!AE$25:AE$84,Административные!$F$25:$F$84,$F70,Административные!$G$25:$G$84,$G70)</f>
        <v>0</v>
      </c>
      <c r="AF70" s="783">
        <f>_xlfn.SUMIFS(Административные!AF$25:AF$84,Административные!$F$25:$F$84,$F70,Административные!$G$25:$G$84,$G70)</f>
        <v>0</v>
      </c>
      <c r="AG70" s="783">
        <f>_xlfn.SUMIFS(Административные!AG$25:AG$84,Административные!$F$25:$F$84,$F70,Административные!$G$25:$G$84,$G70)</f>
        <v>0</v>
      </c>
      <c r="AH70" s="783">
        <f>AG70-AF70</f>
        <v>0</v>
      </c>
      <c r="AI70" s="783">
        <f>_xlfn.SUMIFS(Административные!AH$25:AH$84,Административные!$F$25:$F$84,$F70,Административные!$G$25:$G$84,$G70)</f>
        <v>0</v>
      </c>
      <c r="AJ70" s="783">
        <f>_xlfn.SUMIFS(Административные!AI$25:AI$84,Административные!$F$25:$F$84,$F70,Административные!$G$25:$G$84,$G70)</f>
        <v>0</v>
      </c>
      <c r="AK70" s="783">
        <f>_xlfn.SUMIFS(Административные!AJ$25:AJ$84,Административные!$F$25:$F$84,$F70,Административные!$G$25:$G$84,$G70)</f>
        <v>0</v>
      </c>
      <c r="AL70" s="783">
        <f>IF(AI70=0,0,(AK70-AI70)/AI70*100)</f>
        <v>0</v>
      </c>
      <c r="AM70" s="4392"/>
      <c r="AN70" s="4393" t="str">
        <f>IF(_xlfn.IFERROR(INDEX(Административные!$K$26:$L$84,MATCH($F70&amp;"6komm",Административные!$K$26:$K$84,0),2),"")=0,"",_xlfn.IFERROR(INDEX(Административные!$K$26:$L$84,MATCH($F65&amp;"6komm",Административные!$K$26:$K$84,0),2),""))</f>
        <v/>
      </c>
      <c r="AO70" s="4392"/>
      <c r="AP70" s="1066"/>
      <c r="AQ70" s="1066"/>
      <c r="AR70" s="1046" t="s">
        <v>1677</v>
      </c>
      <c r="AS70" s="1046"/>
      <c r="AT70" s="1046"/>
      <c r="AU70" s="1043"/>
      <c r="AV70" s="1043"/>
    </row>
    <row customHeight="1" ht="14.625" hidden="1">
      <c r="A71" s="1066"/>
      <c r="B71" s="1066"/>
      <c r="C71" s="1066"/>
      <c r="D71" s="1066"/>
      <c r="E71" s="675">
        <v>15</v>
      </c>
      <c r="F71" s="50" cm="1" t="str">
        <f t="array" ref="F71:F71">OFFSET(E71,-1,1)</f>
        <v>0</v>
      </c>
      <c r="G71" s="556" t="s">
        <v>1121</v>
      </c>
      <c r="H71" s="1066"/>
      <c r="I71" s="566" t="s">
        <v>1678</v>
      </c>
      <c r="J71" s="566"/>
      <c r="K71" s="566"/>
      <c r="L71" s="566"/>
      <c r="M71" s="566"/>
      <c r="N71" s="566"/>
      <c r="O71" s="566"/>
      <c r="P71" s="566"/>
      <c r="Q71" s="566"/>
      <c r="R71" s="566"/>
      <c r="S71" s="566"/>
      <c r="T71" s="439" cm="1" t="str">
        <f t="array" ref="T71:T71">T70</f>
        <v>false</v>
      </c>
      <c r="U71" s="1066"/>
      <c r="V71" s="1066"/>
      <c r="W71" s="1066"/>
      <c r="X71" s="1577"/>
      <c r="Y71" s="1066"/>
      <c r="Z71" s="1578"/>
      <c r="AA71" s="1066"/>
      <c r="AB71" s="788" t="s">
        <v>1679</v>
      </c>
      <c r="AC71" s="789" t="s">
        <v>1680</v>
      </c>
      <c r="AD71" s="795" t="s">
        <v>784</v>
      </c>
      <c r="AE71" s="783">
        <f>_xlfn.SUMIFS(Административные!AE$25:AE$84,Административные!$F$25:$F$84,$F71,Административные!$G$25:$G$84,$G71)</f>
        <v>0</v>
      </c>
      <c r="AF71" s="783">
        <f>_xlfn.SUMIFS(Административные!AF$25:AF$84,Административные!$F$25:$F$84,$F71,Административные!$G$25:$G$84,$G71)</f>
        <v>0</v>
      </c>
      <c r="AG71" s="783">
        <f>_xlfn.SUMIFS(Административные!AG$25:AG$84,Административные!$F$25:$F$84,$F71,Административные!$G$25:$G$84,$G71)</f>
        <v>0</v>
      </c>
      <c r="AH71" s="783">
        <f>AG71-AF71</f>
        <v>0</v>
      </c>
      <c r="AI71" s="783">
        <f>_xlfn.SUMIFS(Административные!AH$25:AH$84,Административные!$F$25:$F$84,$F71,Административные!$G$25:$G$84,$G71)</f>
        <v>0</v>
      </c>
      <c r="AJ71" s="783">
        <f>_xlfn.SUMIFS(Административные!AI$25:AI$84,Административные!$F$25:$F$84,$F71,Административные!$G$25:$G$84,$G71)</f>
        <v>0</v>
      </c>
      <c r="AK71" s="783">
        <f>_xlfn.SUMIFS(Административные!AJ$25:AJ$84,Административные!$F$25:$F$84,$F71,Административные!$G$25:$G$84,$G71)</f>
        <v>0</v>
      </c>
      <c r="AL71" s="783">
        <f>IF(AI71=0,0,(AK71-AI71)/AI71*100)</f>
        <v>0</v>
      </c>
      <c r="AM71" s="4392"/>
      <c r="AN71" s="4393" t="str">
        <f>IF(_xlfn.IFERROR(INDEX(Административные!$K$26:$L$84,MATCH($F71&amp;"7komm",Административные!$K$26:$K$84,0),2),"")=0,"",_xlfn.IFERROR(INDEX(Административные!$K$26:$L$84,MATCH($F66&amp;"7komm",Административные!$K$26:$K$84,0),2),""))</f>
        <v/>
      </c>
      <c r="AO71" s="4392"/>
      <c r="AP71" s="1066"/>
      <c r="AQ71" s="1066"/>
      <c r="AR71" s="1046" t="s">
        <v>1681</v>
      </c>
      <c r="AS71" s="1046"/>
      <c r="AT71" s="1046"/>
      <c r="AU71" s="1043"/>
      <c r="AV71" s="1043"/>
    </row>
    <row customHeight="1" ht="43.875" hidden="1">
      <c r="A72" s="1066"/>
      <c r="B72" s="1066"/>
      <c r="C72" s="1066"/>
      <c r="D72" s="1066"/>
      <c r="E72" s="675">
        <v>45</v>
      </c>
      <c r="F72" s="50" cm="1" t="str">
        <f t="array" ref="F72:F72">OFFSET(E72,-1,1)</f>
        <v>0</v>
      </c>
      <c r="G72" s="556" t="s">
        <v>1124</v>
      </c>
      <c r="H72" s="1066"/>
      <c r="I72" s="566" t="s">
        <v>1682</v>
      </c>
      <c r="J72" s="566"/>
      <c r="K72" s="566"/>
      <c r="L72" s="566"/>
      <c r="M72" s="566"/>
      <c r="N72" s="566"/>
      <c r="O72" s="566"/>
      <c r="P72" s="566"/>
      <c r="Q72" s="566"/>
      <c r="R72" s="566"/>
      <c r="S72" s="566"/>
      <c r="T72" s="439" cm="1" t="str">
        <f t="array" ref="T72:T72">T71</f>
        <v>false</v>
      </c>
      <c r="U72" s="1066"/>
      <c r="V72" s="1066"/>
      <c r="W72" s="1066"/>
      <c r="X72" s="1577"/>
      <c r="Y72" s="1066"/>
      <c r="Z72" s="1578"/>
      <c r="AA72" s="1066"/>
      <c r="AB72" s="788" t="s">
        <v>1683</v>
      </c>
      <c r="AC72" s="743" t="s">
        <v>1125</v>
      </c>
      <c r="AD72" s="795" t="s">
        <v>784</v>
      </c>
      <c r="AE72" s="783">
        <f>_xlfn.SUMIFS(Административные!AE$25:AE$84,Административные!$F$25:$F$84,$F72,Административные!$G$25:$G$84,$G72)</f>
        <v>0</v>
      </c>
      <c r="AF72" s="783">
        <f>_xlfn.SUMIFS(Административные!AF$25:AF$84,Административные!$F$25:$F$84,$F72,Административные!$G$25:$G$84,$G72)</f>
        <v>0</v>
      </c>
      <c r="AG72" s="783">
        <f>_xlfn.SUMIFS(Административные!AG$25:AG$84,Административные!$F$25:$F$84,$F72,Административные!$G$25:$G$84,$G72)</f>
        <v>0</v>
      </c>
      <c r="AH72" s="783">
        <f>AG72-AF72</f>
        <v>0</v>
      </c>
      <c r="AI72" s="783">
        <f>_xlfn.SUMIFS(Административные!AH$25:AH$84,Административные!$F$25:$F$84,$F72,Административные!$G$25:$G$84,$G72)</f>
        <v>0</v>
      </c>
      <c r="AJ72" s="783">
        <f>_xlfn.SUMIFS(Административные!AI$25:AI$84,Административные!$F$25:$F$84,$F72,Административные!$G$25:$G$84,$G72)</f>
        <v>0</v>
      </c>
      <c r="AK72" s="783">
        <f>_xlfn.SUMIFS(Административные!AJ$25:AJ$84,Административные!$F$25:$F$84,$F72,Административные!$G$25:$G$84,$G72)</f>
        <v>0</v>
      </c>
      <c r="AL72" s="783">
        <f>IF(AI72=0,0,(AK72-AI72)/AI72*100)</f>
        <v>0</v>
      </c>
      <c r="AM72" s="4392"/>
      <c r="AN72" s="4393" t="str">
        <f>IF(_xlfn.IFERROR(INDEX(Административные!$K$26:$L$84,MATCH($F72&amp;"8komm",Административные!$K$26:$K$84,0),2),"")=0,"",_xlfn.IFERROR(INDEX(Административные!$K$26:$L$84,MATCH($F67&amp;"8komm",Административные!$K$26:$K$84,0),2),""))</f>
        <v/>
      </c>
      <c r="AO72" s="4392"/>
      <c r="AP72" s="1066"/>
      <c r="AQ72" s="1066"/>
      <c r="AR72" s="1046" t="s">
        <v>1684</v>
      </c>
      <c r="AS72" s="1046"/>
      <c r="AT72" s="1046"/>
      <c r="AU72" s="1043"/>
      <c r="AV72" s="1043"/>
    </row>
    <row customHeight="1" ht="14.625" hidden="1">
      <c r="A73" s="1066"/>
      <c r="B73" s="1066"/>
      <c r="C73" s="1066"/>
      <c r="D73" s="1066"/>
      <c r="E73" s="675">
        <v>15</v>
      </c>
      <c r="F73" s="50" cm="1" t="str">
        <f t="array" ref="F73:F73">OFFSET(E73,-1,1)</f>
        <v>0</v>
      </c>
      <c r="G73" s="556" t="s">
        <v>1127</v>
      </c>
      <c r="H73" s="1066"/>
      <c r="I73" s="566" t="s">
        <v>1685</v>
      </c>
      <c r="J73" s="566"/>
      <c r="K73" s="566"/>
      <c r="L73" s="566"/>
      <c r="M73" s="566"/>
      <c r="N73" s="566"/>
      <c r="O73" s="566"/>
      <c r="P73" s="566"/>
      <c r="Q73" s="566"/>
      <c r="R73" s="566"/>
      <c r="S73" s="566"/>
      <c r="T73" s="439" cm="1" t="str">
        <f t="array" ref="T73:T73">T72</f>
        <v>false</v>
      </c>
      <c r="U73" s="1066"/>
      <c r="V73" s="1066"/>
      <c r="W73" s="1066"/>
      <c r="X73" s="1577"/>
      <c r="Y73" s="1066"/>
      <c r="Z73" s="1578"/>
      <c r="AA73" s="1066"/>
      <c r="AB73" s="788" t="s">
        <v>1686</v>
      </c>
      <c r="AC73" s="789" t="s">
        <v>1128</v>
      </c>
      <c r="AD73" s="795" t="s">
        <v>784</v>
      </c>
      <c r="AE73" s="783">
        <f>_xlfn.SUMIFS(Административные!AE$25:AE$84,Административные!$F$25:$F$84,$F73,Административные!$G$25:$G$84,$G73)</f>
        <v>0</v>
      </c>
      <c r="AF73" s="783">
        <f>_xlfn.SUMIFS(Административные!AF$25:AF$84,Административные!$F$25:$F$84,$F73,Административные!$G$25:$G$84,$G73)</f>
        <v>0</v>
      </c>
      <c r="AG73" s="783">
        <f>_xlfn.SUMIFS(Административные!AG$25:AG$84,Административные!$F$25:$F$84,$F73,Административные!$G$25:$G$84,$G73)</f>
        <v>0</v>
      </c>
      <c r="AH73" s="783">
        <f>AG73-AF73</f>
        <v>0</v>
      </c>
      <c r="AI73" s="783">
        <f>_xlfn.SUMIFS(Административные!AH$25:AH$84,Административные!$F$25:$F$84,$F73,Административные!$G$25:$G$84,$G73)</f>
        <v>0</v>
      </c>
      <c r="AJ73" s="1101">
        <f>_xlfn.SUMIFS(Административные!AI$25:AI$84,Административные!$F$25:$F$84,$F73,Административные!$G$25:$G$84,$G73)</f>
        <v>0</v>
      </c>
      <c r="AK73" s="1101">
        <f>_xlfn.SUMIFS(Административные!AJ$25:AJ$84,Административные!$F$25:$F$84,$F73,Административные!$G$25:$G$84,$G73)</f>
        <v>0</v>
      </c>
      <c r="AL73" s="783">
        <f>IF(AI73=0,0,(AK73-AI73)/AI73*100)</f>
        <v>0</v>
      </c>
      <c r="AM73" s="4392"/>
      <c r="AN73" s="4393" t="str">
        <f>IF(_xlfn.IFERROR(INDEX(Административные!$K$26:$L$84,MATCH($F73&amp;"9komm",Административные!$K$26:$K$84,0),2),"")=0,"",_xlfn.IFERROR(INDEX(Административные!$K$26:$L$84,MATCH($F68&amp;"9komm",Административные!$K$26:$K$84,0),2),""))</f>
        <v/>
      </c>
      <c r="AO73" s="4392"/>
      <c r="AP73" s="1066"/>
      <c r="AQ73" s="1066"/>
      <c r="AR73" s="1046" t="s">
        <v>1687</v>
      </c>
      <c r="AS73" s="1046"/>
      <c r="AT73" s="1046"/>
      <c r="AU73" s="1043"/>
      <c r="AV73" s="1043"/>
    </row>
    <row s="567" customFormat="1" customHeight="1" ht="14.625" hidden="1">
      <c r="A74" s="567"/>
      <c r="B74" s="567">
        <f>STATUS_GO="да"</f>
        <v>0</v>
      </c>
      <c r="C74" s="567"/>
      <c r="D74" s="567"/>
      <c r="E74" s="677">
        <v>15</v>
      </c>
      <c r="F74" s="50" cm="1" t="str">
        <f t="array" ref="F74:F74">OFFSET(E74,-1,1)</f>
        <v>0</v>
      </c>
      <c r="G74" s="567"/>
      <c r="H74" s="567"/>
      <c r="I74" s="678" t="s">
        <v>329</v>
      </c>
      <c r="J74" s="678"/>
      <c r="K74" s="678"/>
      <c r="L74" s="678"/>
      <c r="M74" s="678"/>
      <c r="N74" s="678"/>
      <c r="O74" s="678"/>
      <c r="P74" s="678"/>
      <c r="Q74" s="678"/>
      <c r="R74" s="678"/>
      <c r="S74" s="678"/>
      <c r="T74" s="439" cm="1" t="str">
        <f t="array" ref="T74:T74">T73</f>
        <v>false</v>
      </c>
      <c r="U74" s="567"/>
      <c r="V74" s="567"/>
      <c r="W74" s="567"/>
      <c r="X74" s="1577"/>
      <c r="Y74" s="567"/>
      <c r="Z74" s="1578"/>
      <c r="AA74" s="567"/>
      <c r="AB74" s="785" t="s">
        <v>536</v>
      </c>
      <c r="AC74" s="781" t="s">
        <v>1688</v>
      </c>
      <c r="AD74" s="793" t="s">
        <v>784</v>
      </c>
      <c r="AE74" s="782">
        <f>_xlfn.SUMIFS('Сбытовые расходы ГО'!AE$25:AE$63,'Сбытовые расходы ГО'!$F$25:$F$63,$F74,'Сбытовые расходы ГО'!$G$25:$G$63,"l0")</f>
        <v>0</v>
      </c>
      <c r="AF74" s="782">
        <f>_xlfn.SUMIFS('Сбытовые расходы ГО'!AF$25:AF$63,'Сбытовые расходы ГО'!$F$25:$F$63,$F74,'Сбытовые расходы ГО'!$G$25:$G$63,"l0")</f>
        <v>0</v>
      </c>
      <c r="AG74" s="782">
        <f>_xlfn.SUMIFS('Сбытовые расходы ГО'!AG$25:AG$63,'Сбытовые расходы ГО'!$F$25:$F$63,$F74,'Сбытовые расходы ГО'!$G$25:$G$63,"l0")</f>
        <v>0</v>
      </c>
      <c r="AH74" s="782">
        <f>AG74-AF74</f>
        <v>0</v>
      </c>
      <c r="AI74" s="782">
        <f>_xlfn.SUMIFS('Сбытовые расходы ГО'!AH$25:AH$63,'Сбытовые расходы ГО'!$F$25:$F$63,$F74,'Сбытовые расходы ГО'!$G$25:$G$63,"l0")</f>
        <v>0</v>
      </c>
      <c r="AJ74" s="782">
        <f>_xlfn.SUMIFS('Сбытовые расходы ГО'!AI$25:AI$63,'Сбытовые расходы ГО'!$F$25:$F$63,$F74,'Сбытовые расходы ГО'!$G$25:$G$63,"l0")</f>
        <v>0</v>
      </c>
      <c r="AK74" s="782">
        <f>_xlfn.SUMIFS('Сбытовые расходы ГО'!AJ$25:AJ$63,'Сбытовые расходы ГО'!$F$25:$F$63,$F74,'Сбытовые расходы ГО'!$G$25:$G$63,"l0")</f>
        <v>0</v>
      </c>
      <c r="AL74" s="782">
        <f>IF(AI74=0,0,(AK74-AI74)/AI74*100)</f>
        <v>0</v>
      </c>
      <c r="AM74" s="4400"/>
      <c r="AN74" s="4393"/>
      <c r="AO74" s="4400"/>
      <c r="AP74" s="567"/>
      <c r="AQ74" s="567"/>
      <c r="AR74" s="1047" t="s">
        <v>1689</v>
      </c>
      <c r="AS74" s="1047"/>
      <c r="AT74" s="1047"/>
      <c r="AU74" s="677"/>
      <c r="AV74" s="677"/>
    </row>
    <row s="567" customFormat="1" customHeight="1" ht="14.625" hidden="1">
      <c r="A75" s="567"/>
      <c r="B75" s="567"/>
      <c r="C75" s="567"/>
      <c r="D75" s="567"/>
      <c r="E75" s="677">
        <v>15</v>
      </c>
      <c r="F75" s="50" cm="1" t="str">
        <f t="array" ref="F75:F75">OFFSET(E75,-1,1)</f>
        <v>0</v>
      </c>
      <c r="G75" s="567"/>
      <c r="H75" s="567"/>
      <c r="I75" s="678" t="s">
        <v>328</v>
      </c>
      <c r="J75" s="678"/>
      <c r="K75" s="678"/>
      <c r="L75" s="678"/>
      <c r="M75" s="678"/>
      <c r="N75" s="678"/>
      <c r="O75" s="678"/>
      <c r="P75" s="678"/>
      <c r="Q75" s="678"/>
      <c r="R75" s="678"/>
      <c r="S75" s="678"/>
      <c r="T75" s="439" cm="1" t="str">
        <f t="array" ref="T75:T75">T74</f>
        <v>false</v>
      </c>
      <c r="U75" s="567"/>
      <c r="V75" s="567"/>
      <c r="W75" s="567"/>
      <c r="X75" s="1577"/>
      <c r="Y75" s="567"/>
      <c r="Z75" s="1578"/>
      <c r="AA75" s="567"/>
      <c r="AB75" s="785" t="s">
        <v>492</v>
      </c>
      <c r="AC75" s="568" t="s">
        <v>1690</v>
      </c>
      <c r="AD75" s="793" t="s">
        <v>784</v>
      </c>
      <c r="AE75" s="782">
        <f>_xlfn.SUMIFS(Амортизация!AE$25:AE$174,Амортизация!$F$25:$F$174,$F75,Амортизация!$AC$25:$AC$174,"Сумма амортизационных отчислений")</f>
        <v>0</v>
      </c>
      <c r="AF75" s="782">
        <f>_xlfn.SUMIFS(Амортизация!AF$25:AF$174,Амортизация!$F$25:$F$174,$F75,Амортизация!$AC$25:$AC$174,"Сумма амортизационных отчислений")</f>
        <v>0</v>
      </c>
      <c r="AG75" s="782">
        <f>_xlfn.SUMIFS(Амортизация!AG$25:AG$174,Амортизация!$F$25:$F$174,$F75,Амортизация!$AC$25:$AC$174,"Сумма амортизационных отчислений")</f>
        <v>0</v>
      </c>
      <c r="AH75" s="782">
        <f>AG75-AF75</f>
        <v>0</v>
      </c>
      <c r="AI75" s="782">
        <f>_xlfn.SUMIFS(Амортизация!AH$25:AH$174,Амортизация!$F$25:$F$174,$F75,Амортизация!$AC$25:$AC$174,"Сумма амортизационных отчислений")</f>
        <v>0</v>
      </c>
      <c r="AJ75" s="782">
        <f>_xlfn.SUMIFS(Амортизация!AI$25:AI$174,Амортизация!$F$25:$F$174,$F75,Амортизация!$AC$25:$AC$174,"Сумма амортизационных отчислений")</f>
        <v>0</v>
      </c>
      <c r="AK75" s="782">
        <f>_xlfn.SUMIFS(Амортизация!AS$25:AS$174,Амортизация!$F$25:$F$174,$F75,Амортизация!$AC$25:$AC$174,"Сумма амортизационных отчислений")</f>
        <v>0</v>
      </c>
      <c r="AL75" s="782">
        <f>IF(AI75=0,0,(AK75-AI75)/AI75*100)</f>
        <v>0</v>
      </c>
      <c r="AM75" s="4400"/>
      <c r="AN75" s="4393" t="str">
        <f>IF(_xlfn.IFERROR(INDEX(Амортизация!$K$26:$L$174,MATCH($F75&amp;"komm",Амортизация!$K$26:$K$577,0),2),"")=0,"",_xlfn.IFERROR(INDEX(Амортизация!$K$26:$L$174,MATCH($F75&amp;"komm",Амортизация!$K$26:$K$577,0),2),""))</f>
        <v/>
      </c>
      <c r="AO75" s="4400"/>
      <c r="AP75" s="567"/>
      <c r="AQ75" s="567"/>
      <c r="AR75" s="1047" t="s">
        <v>1123</v>
      </c>
      <c r="AS75" s="1047"/>
      <c r="AT75" s="1047"/>
      <c r="AU75" s="677"/>
      <c r="AV75" s="677"/>
    </row>
    <row customHeight="1" ht="14.625" hidden="1">
      <c r="A76" s="1066"/>
      <c r="B76" s="1066"/>
      <c r="C76" s="1066"/>
      <c r="D76" s="1066"/>
      <c r="E76" s="675">
        <v>15</v>
      </c>
      <c r="F76" s="50" cm="1" t="str">
        <f t="array" ref="F76:F76">OFFSET(E76,-1,1)</f>
        <v>0</v>
      </c>
      <c r="G76" s="1066"/>
      <c r="H76" s="1066"/>
      <c r="I76" s="566" t="s">
        <v>528</v>
      </c>
      <c r="J76" s="566"/>
      <c r="K76" s="566"/>
      <c r="L76" s="566"/>
      <c r="M76" s="566"/>
      <c r="N76" s="566"/>
      <c r="O76" s="566"/>
      <c r="P76" s="566"/>
      <c r="Q76" s="566"/>
      <c r="R76" s="566"/>
      <c r="S76" s="566"/>
      <c r="T76" s="439" cm="1" t="str">
        <f t="array" ref="T76:T76">T75</f>
        <v>false</v>
      </c>
      <c r="U76" s="1066"/>
      <c r="V76" s="1066"/>
      <c r="W76" s="1066"/>
      <c r="X76" s="1577"/>
      <c r="Y76" s="1066"/>
      <c r="Z76" s="1578"/>
      <c r="AA76" s="1066"/>
      <c r="AB76" s="788" t="s">
        <v>659</v>
      </c>
      <c r="AC76" s="794" t="s">
        <v>1691</v>
      </c>
      <c r="AD76" s="795" t="s">
        <v>784</v>
      </c>
      <c r="AE76" s="790">
        <f>_xlfn.SUMIFS('ИП + источники'!AF$27:AF$116,'ИП + источники'!$F$27:$F$116,$F76,'ИП + источники'!$AC$27:$AC$116,"Амортизационные отчисления")+_xlfn.SUMIFS('ИП + источники'!AF$27:AF$116,'ИП + источники'!$F$27:$F$116,$F76,'ИП + источники'!$AC$27:$AC$116,"погашение займов и кредитов из амортизации")</f>
        <v>0</v>
      </c>
      <c r="AF76" s="790">
        <f>_xlfn.SUMIFS('ИП + источники'!AG$27:AG$116,'ИП + источники'!$F$27:$F$116,$F76,'ИП + источники'!$AC$27:$AC$116,"Амортизационные отчисления")+_xlfn.SUMIFS('ИП + источники'!AG$27:AG$116,'ИП + источники'!$F$27:$F$116,$F76,'ИП + источники'!$AC$27:$AC$116,"погашение займов и кредитов из амортизации")</f>
        <v>0</v>
      </c>
      <c r="AG76" s="790">
        <f>_xlfn.SUMIFS('ИП + источники'!AH$27:AH$116,'ИП + источники'!$F$27:$F$116,$F76,'ИП + источники'!$AC$27:$AC$116,"Амортизационные отчисления")+_xlfn.SUMIFS('ИП + источники'!AH$27:AH$116,'ИП + источники'!$F$27:$F$116,$F76,'ИП + источники'!$AC$27:$AC$116,"погашение займов и кредитов из амортизации")</f>
        <v>0</v>
      </c>
      <c r="AH76" s="783">
        <f>AG76-AF76</f>
        <v>0</v>
      </c>
      <c r="AI76" s="790">
        <f>_xlfn.SUMIFS('ИП + источники'!AH$27:AH$116,'ИП + источники'!$F$27:$F$116,$F76,'ИП + источники'!$AC$27:$AC$116,"Амортизационные отчисления")+_xlfn.SUMIFS('ИП + источники'!AH$27:AH$116,'ИП + источники'!$F$27:$F$116,$F76,'ИП + источники'!$AC$27:$AC$116,"погашение займов и кредитов из амортизации")</f>
        <v>0</v>
      </c>
      <c r="AJ76" s="4405">
        <f>_xlfn.SUMIFS('ИП + источники'!AI$27:AI$116,'ИП + источники'!$F$27:$F$116,$F76,'ИП + источники'!$AC$27:$AC$116,"Амортизационные отчисления")+_xlfn.SUMIFS('ИП + источники'!AI$27:AI$116,'ИП + источники'!$F$27:$F$116,$F76,'ИП + источники'!$AC$27:$AC$116,"погашение займов и кредитов из амортизации")</f>
        <v>0</v>
      </c>
      <c r="AK76" s="4405">
        <f>_xlfn.SUMIFS('ИП + источники'!AJ$27:AJ$116,'ИП + источники'!$F$27:$F$116,$F76,'ИП + источники'!$AC$27:$AC$116,"Амортизационные отчисления")+_xlfn.SUMIFS('ИП + источники'!AJ$27:AJ$116,'ИП + источники'!$F$27:$F$116,$F76,'ИП + источники'!$AC$27:$AC$116,"погашение займов и кредитов из амортизации")</f>
        <v>0</v>
      </c>
      <c r="AL76" s="783">
        <f>IF(AI76=0,0,(AK76-AI76)/AI76*100)</f>
        <v>0</v>
      </c>
      <c r="AM76" s="4392"/>
      <c r="AN76" s="4392"/>
      <c r="AO76" s="4392"/>
      <c r="AP76" s="1066"/>
      <c r="AQ76" s="1066"/>
      <c r="AR76" s="1046" t="s">
        <v>1692</v>
      </c>
      <c r="AS76" s="1046"/>
      <c r="AT76" s="1046"/>
      <c r="AU76" s="1043"/>
      <c r="AV76" s="1043"/>
    </row>
    <row s="567" customFormat="1" customHeight="1" ht="21.9375" hidden="1">
      <c r="A77" s="567"/>
      <c r="B77" s="567"/>
      <c r="C77" s="567"/>
      <c r="D77" s="567"/>
      <c r="E77" s="677">
        <v>22.5</v>
      </c>
      <c r="F77" s="50" cm="1" t="str">
        <f t="array" ref="F77:F77">OFFSET(E77,-1,1)</f>
        <v>0</v>
      </c>
      <c r="G77" s="567"/>
      <c r="H77" s="567"/>
      <c r="I77" s="678" t="s">
        <v>491</v>
      </c>
      <c r="J77" s="678"/>
      <c r="K77" s="678"/>
      <c r="L77" s="678"/>
      <c r="M77" s="678"/>
      <c r="N77" s="678"/>
      <c r="O77" s="678"/>
      <c r="P77" s="678"/>
      <c r="Q77" s="678"/>
      <c r="R77" s="678"/>
      <c r="S77" s="678"/>
      <c r="T77" s="439" cm="1" t="str">
        <f t="array" ref="T77:T77">T76</f>
        <v>false</v>
      </c>
      <c r="U77" s="567"/>
      <c r="V77" s="567"/>
      <c r="W77" s="567"/>
      <c r="X77" s="1577"/>
      <c r="Y77" s="567"/>
      <c r="Z77" s="1578"/>
      <c r="AA77" s="567"/>
      <c r="AB77" s="785" t="s">
        <v>496</v>
      </c>
      <c r="AC77" s="568" t="s">
        <v>1693</v>
      </c>
      <c r="AD77" s="793" t="s">
        <v>784</v>
      </c>
      <c r="AE77" s="782">
        <f>_xlfn.SUMIFS(Аренда!AE$25:AE$57,Аренда!$F$25:$F$57,$F77,Аренда!$G$25:$G$57,"Арендная и концессионная плата, лизинговые платежи")</f>
        <v>0</v>
      </c>
      <c r="AF77" s="782">
        <f>_xlfn.SUMIFS(Аренда!AF$25:AF$57,Аренда!$F$25:$F$57,$F77,Аренда!$G$25:$G$57,"Арендная и концессионная плата, лизинговые платежи")</f>
        <v>0</v>
      </c>
      <c r="AG77" s="782">
        <f>_xlfn.SUMIFS(Аренда!AG$25:AG$57,Аренда!$F$25:$F$57,$F77,Аренда!$G$25:$G$57,"Арендная и концессионная плата, лизинговые платежи")</f>
        <v>0</v>
      </c>
      <c r="AH77" s="782">
        <f>AG77-AF77</f>
        <v>0</v>
      </c>
      <c r="AI77" s="782">
        <f>_xlfn.SUMIFS(Аренда!AH$25:AH$57,Аренда!$F$25:$F$57,$F77,Аренда!$G$25:$G$57,"Арендная и концессионная плата, лизинговые платежи")</f>
        <v>0</v>
      </c>
      <c r="AJ77" s="782">
        <f>_xlfn.SUMIFS(Аренда!AI$25:AI$57,Аренда!$F$25:$F$57,$F77,Аренда!$G$25:$G$57,"Арендная и концессионная плата, лизинговые платежи")</f>
        <v>0</v>
      </c>
      <c r="AK77" s="782">
        <f>_xlfn.SUMIFS(Аренда!AS$25:AS$57,Аренда!$F$25:$F$57,$F77,Аренда!$G$25:$G$57,"Арендная и концессионная плата, лизинговые платежи")</f>
        <v>0</v>
      </c>
      <c r="AL77" s="782">
        <f>IF(AI77=0,0,(AK77-AI77)/AI77*100)</f>
        <v>0</v>
      </c>
      <c r="AM77" s="4400"/>
      <c r="AN77" s="4393" t="str">
        <f>IF(_xlfn.IFERROR(INDEX(Аренда!$K$26:$L$57,MATCH($F77&amp;"komm",Аренда!$K$26:$K$57,0),2),"")=0,"",_xlfn.IFERROR(INDEX(Аренда!$K$26:$L$57,MATCH($F77&amp;"komm",Аренда!$K$26:$K$57,0),2),""))</f>
        <v/>
      </c>
      <c r="AO77" s="4400"/>
      <c r="AP77" s="567"/>
      <c r="AQ77" s="567"/>
      <c r="AR77" s="1047" t="s">
        <v>1694</v>
      </c>
      <c r="AS77" s="1047"/>
      <c r="AT77" s="1047"/>
      <c r="AU77" s="677"/>
      <c r="AV77" s="677"/>
    </row>
    <row s="567" customFormat="1" customHeight="1" ht="14.625" hidden="1">
      <c r="A78" s="567"/>
      <c r="B78" s="567"/>
      <c r="C78" s="567"/>
      <c r="D78" s="567"/>
      <c r="E78" s="677">
        <v>15</v>
      </c>
      <c r="F78" s="50" cm="1" t="str">
        <f t="array" ref="F78:F78">OFFSET(E78,-1,1)</f>
        <v>0</v>
      </c>
      <c r="G78" s="567"/>
      <c r="H78" s="567"/>
      <c r="I78" s="678" t="s">
        <v>495</v>
      </c>
      <c r="J78" s="678"/>
      <c r="K78" s="678"/>
      <c r="L78" s="678"/>
      <c r="M78" s="678"/>
      <c r="N78" s="678"/>
      <c r="O78" s="678"/>
      <c r="P78" s="678"/>
      <c r="Q78" s="678"/>
      <c r="R78" s="678"/>
      <c r="S78" s="678"/>
      <c r="T78" s="439" cm="1" t="str">
        <f t="array" ref="T78:T78">T77</f>
        <v>false</v>
      </c>
      <c r="U78" s="567"/>
      <c r="V78" s="567"/>
      <c r="W78" s="567"/>
      <c r="X78" s="1577"/>
      <c r="Y78" s="567"/>
      <c r="Z78" s="1578"/>
      <c r="AA78" s="567"/>
      <c r="AB78" s="785" t="s">
        <v>557</v>
      </c>
      <c r="AC78" s="568" t="s">
        <v>1695</v>
      </c>
      <c r="AD78" s="793" t="s">
        <v>784</v>
      </c>
      <c r="AE78" s="782">
        <f>_xlfn.SUMIFS(Налоги!AE$25:AE$69,Налоги!$F$25:$F$69,$F78,Налоги!$AC$25:$AC$69,"Налоги и платежи, относимые на указанный вид деятельности")</f>
        <v>0</v>
      </c>
      <c r="AF78" s="782">
        <f>_xlfn.SUMIFS(Налоги!AF$25:AF$69,Налоги!$F$25:$F$69,$F78,Налоги!$AC$25:$AC$69,"Налоги и платежи, относимые на указанный вид деятельности")</f>
        <v>0</v>
      </c>
      <c r="AG78" s="782">
        <f>_xlfn.SUMIFS(Налоги!AG$25:AG$69,Налоги!$F$25:$F$69,$F78,Налоги!$AC$25:$AC$69,"Налоги и платежи, относимые на указанный вид деятельности")</f>
        <v>0</v>
      </c>
      <c r="AH78" s="782">
        <f>AG78-AF78</f>
        <v>0</v>
      </c>
      <c r="AI78" s="782">
        <f>_xlfn.SUMIFS(Налоги!AH$25:AH$69,Налоги!$F$25:$F$69,$F78,Налоги!$AC$25:$AC$69,"Налоги и платежи, относимые на указанный вид деятельности")</f>
        <v>0</v>
      </c>
      <c r="AJ78" s="782">
        <f>_xlfn.SUMIFS(Налоги!AI$25:AI$69,Налоги!$F$25:$F$69,$F78,Налоги!$AC$25:$AC$69,"Налоги и платежи, относимые на указанный вид деятельности")</f>
        <v>0</v>
      </c>
      <c r="AK78" s="782">
        <f>_xlfn.SUMIFS(Налоги!AS$25:AS$69,Налоги!$F$25:$F$69,$F78,Налоги!$AC$25:$AC$69,"Налоги и платежи, относимые на указанный вид деятельности")</f>
        <v>0</v>
      </c>
      <c r="AL78" s="782">
        <f>IF(AI78=0,0,(AK78-AI78)/AI78*100)</f>
        <v>0</v>
      </c>
      <c r="AM78" s="4400"/>
      <c r="AN78" s="4393" t="str">
        <f>IF(_xlfn.IFERROR(INDEX(Налоги!$K$26:$L$69,MATCH($F78&amp;"komm",Налоги!$K$26:$K$69,0),2),"")=0,"",_xlfn.IFERROR(INDEX(Налоги!$K$26:$L$69,MATCH($F78&amp;"komm",Налоги!$K$26:$K$69,0),2),""))</f>
        <v/>
      </c>
      <c r="AO78" s="4400"/>
      <c r="AP78" s="567"/>
      <c r="AQ78" s="567"/>
      <c r="AR78" s="1047" t="s">
        <v>1151</v>
      </c>
      <c r="AS78" s="1047"/>
      <c r="AT78" s="1047"/>
      <c r="AU78" s="677"/>
      <c r="AV78" s="677"/>
    </row>
    <row s="567" customFormat="1" customHeight="1" ht="14.625" hidden="1">
      <c r="A79" s="567"/>
      <c r="B79" s="567"/>
      <c r="C79" s="567"/>
      <c r="D79" s="567"/>
      <c r="E79" s="677">
        <v>15</v>
      </c>
      <c r="F79" s="50" cm="1" t="str">
        <f t="array" ref="F79:F79">OFFSET(E79,-1,1)</f>
        <v>0</v>
      </c>
      <c r="G79" s="567"/>
      <c r="H79" s="567"/>
      <c r="I79" s="678" t="s">
        <v>541</v>
      </c>
      <c r="J79" s="678"/>
      <c r="K79" s="678"/>
      <c r="L79" s="678"/>
      <c r="M79" s="678"/>
      <c r="N79" s="678"/>
      <c r="O79" s="678"/>
      <c r="P79" s="678"/>
      <c r="Q79" s="678"/>
      <c r="R79" s="678"/>
      <c r="S79" s="678"/>
      <c r="T79" s="439" cm="1" t="str">
        <f t="array" ref="T79:T79">T78</f>
        <v>false</v>
      </c>
      <c r="U79" s="567"/>
      <c r="V79" s="567"/>
      <c r="W79" s="567"/>
      <c r="X79" s="1577"/>
      <c r="Y79" s="567"/>
      <c r="Z79" s="1578"/>
      <c r="AA79" s="567"/>
      <c r="AB79" s="785" t="s">
        <v>565</v>
      </c>
      <c r="AC79" s="568" t="s">
        <v>1696</v>
      </c>
      <c r="AD79" s="569" t="s">
        <v>784</v>
      </c>
      <c r="AE79" s="769">
        <f>AE80+AE81+AE82</f>
        <v>0</v>
      </c>
      <c r="AF79" s="769">
        <f>AF80+AF81+AF82</f>
        <v>0</v>
      </c>
      <c r="AG79" s="769">
        <f>AG80+AG81+AG82</f>
        <v>0</v>
      </c>
      <c r="AH79" s="769">
        <f>AG79-AF79</f>
        <v>0</v>
      </c>
      <c r="AI79" s="769">
        <f>AI80+AI81+AI82</f>
        <v>0</v>
      </c>
      <c r="AJ79" s="769">
        <f>AJ80+AJ81+AJ82</f>
        <v>0</v>
      </c>
      <c r="AK79" s="769">
        <f>AK80+AK81+AK82</f>
        <v>0</v>
      </c>
      <c r="AL79" s="782">
        <f>IF(AI79=0,0,(AK79-AI79)/AI79*100)</f>
        <v>0</v>
      </c>
      <c r="AM79" s="4400"/>
      <c r="AN79" s="4393"/>
      <c r="AO79" s="4400"/>
      <c r="AP79" s="567"/>
      <c r="AQ79" s="567"/>
      <c r="AR79" s="1047" t="s">
        <v>1392</v>
      </c>
      <c r="AS79" s="1047"/>
      <c r="AT79" s="1047"/>
      <c r="AU79" s="677"/>
      <c r="AV79" s="677"/>
    </row>
    <row customHeight="1" ht="14.625" hidden="1">
      <c r="A80" s="1066"/>
      <c r="B80" s="1066"/>
      <c r="C80" s="1066"/>
      <c r="D80" s="1066"/>
      <c r="E80" s="675">
        <v>15</v>
      </c>
      <c r="F80" s="50" cm="1" t="str">
        <f t="array" ref="F80:F80">OFFSET(E80,-1,1)</f>
        <v>0</v>
      </c>
      <c r="G80" s="1066"/>
      <c r="H80" s="1066"/>
      <c r="I80" s="566" t="s">
        <v>544</v>
      </c>
      <c r="J80" s="566"/>
      <c r="K80" s="566"/>
      <c r="L80" s="566"/>
      <c r="M80" s="566"/>
      <c r="N80" s="566"/>
      <c r="O80" s="566"/>
      <c r="P80" s="566"/>
      <c r="Q80" s="566"/>
      <c r="R80" s="566"/>
      <c r="S80" s="566"/>
      <c r="T80" s="439" cm="1" t="str">
        <f t="array" ref="T80:T80">T79</f>
        <v>false</v>
      </c>
      <c r="U80" s="1066"/>
      <c r="V80" s="1066"/>
      <c r="W80" s="1066"/>
      <c r="X80" s="1577"/>
      <c r="Y80" s="1066"/>
      <c r="Z80" s="1578"/>
      <c r="AA80" s="1066"/>
      <c r="AB80" s="788" t="s">
        <v>569</v>
      </c>
      <c r="AC80" s="794" t="s">
        <v>1697</v>
      </c>
      <c r="AD80" s="795" t="s">
        <v>784</v>
      </c>
      <c r="AE80" s="790">
        <f>_xlfn.SUMIFS('ИП + источники'!AF$26:AF$116,'ИП + источники'!$F$26:$F$116,$F80,'ИП + источники'!$AC$26:$AC$116,"погашение займов и кредитов из нормативной прибыли")+_xlfn.SUMIFS('ИП + источники'!AF$26:AF$116,'ИП + источники'!$F$26:$F$116,$F80,'ИП + источники'!$AC$26:$AC$116,"уплата процентов по кредитам из нормативной прибыли")</f>
        <v>0</v>
      </c>
      <c r="AF80" s="790">
        <f>_xlfn.SUMIFS('ИП + источники'!AG$26:AG$116,'ИП + источники'!$F$26:$F$116,$F80,'ИП + источники'!$AC$26:$AC$116,"погашение займов и кредитов из нормативной прибыли")+_xlfn.SUMIFS('ИП + источники'!AG$26:AG$116,'ИП + источники'!$F$26:$F$116,$F80,'ИП + источники'!$AC$26:$AC$116,"уплата процентов по кредитам из нормативной прибыли")</f>
        <v>0</v>
      </c>
      <c r="AG80" s="790">
        <f>_xlfn.SUMIFS('ИП + источники'!AH$26:AH$116,'ИП + источники'!$F$26:$F$116,$F80,'ИП + источники'!$AC$26:$AC$116,"погашение займов и кредитов из нормативной прибыли")+_xlfn.SUMIFS('ИП + источники'!AH$26:AH$116,'ИП + источники'!$F$26:$F$116,$F80,'ИП + источники'!$AC$26:$AC$116,"уплата процентов по кредитам из нормативной прибыли")</f>
        <v>0</v>
      </c>
      <c r="AH80" s="783">
        <f>AG80-AF80</f>
        <v>0</v>
      </c>
      <c r="AI80" s="790">
        <f>_xlfn.SUMIFS('ИП + источники'!AJ$26:AJ$116,'ИП + источники'!$F$26:$F$116,$F80,'ИП + источники'!$AC$26:$AC$116,"погашение займов и кредитов из нормативной прибыли")+_xlfn.SUMIFS('ИП + источники'!AJ$26:AJ$116,'ИП + источники'!$F$26:$F$116,$F80,'ИП + источники'!$AC$26:$AC$116,"уплата процентов по кредитам из нормативной прибыли")</f>
        <v>0</v>
      </c>
      <c r="AJ80" s="4405">
        <f>_xlfn.SUMIFS('ИП + источники'!AK$26:AK$116,'ИП + источники'!$F$26:$F$116,$F80,'ИП + источники'!$AC$26:$AC$116,"погашение займов и кредитов из нормативной прибыли")+_xlfn.SUMIFS('ИП + источники'!AK$26:AK$116,'ИП + источники'!$F$26:$F$116,$F80,'ИП + источники'!$AC$26:$AC$116,"уплата процентов по кредитам из нормативной прибыли")</f>
        <v>0</v>
      </c>
      <c r="AK80" s="4405">
        <f>_xlfn.SUMIFS('ИП + источники'!AU$26:AU$116,'ИП + источники'!$F$26:$F$116,$F80,'ИП + источники'!$AC$26:$AC$116,"погашение займов и кредитов из нормативной прибыли")+_xlfn.SUMIFS('ИП + источники'!AU$26:AU$116,'ИП + источники'!$F$26:$F$116,$F80,'ИП + источники'!$AC$26:$AC$116,"уплата процентов по кредитам из нормативной прибыли")</f>
        <v>0</v>
      </c>
      <c r="AL80" s="783">
        <f>IF(AI80=0,0,(AK80-AI80)/AI80*100)</f>
        <v>0</v>
      </c>
      <c r="AM80" s="4392"/>
      <c r="AN80" s="4393" t="str">
        <f>IF(_xlfn.IFERROR(INDEX('ИП + источники'!$K$28:$L$116,MATCH($F80&amp;"1komm",'ИП + источники'!$K$28:$K$116,0),2),"")=0,"",_xlfn.IFERROR(INDEX('ИП + источники'!$K$28:$L$116,MATCH($F80&amp;"1komm",'ИП + источники'!$K$28:$K$116,0),2),""))</f>
        <v/>
      </c>
      <c r="AO80" s="4392"/>
      <c r="AP80" s="1066"/>
      <c r="AQ80" s="1066"/>
      <c r="AR80" s="1046" t="s">
        <v>1144</v>
      </c>
      <c r="AS80" s="1046"/>
      <c r="AT80" s="1046"/>
      <c r="AU80" s="1043"/>
      <c r="AV80" s="1043"/>
    </row>
    <row customHeight="1" ht="14.625" hidden="1">
      <c r="A81" s="1066"/>
      <c r="B81" s="1066"/>
      <c r="C81" s="1066"/>
      <c r="D81" s="1066"/>
      <c r="E81" s="675">
        <v>15</v>
      </c>
      <c r="F81" s="50" cm="1" t="str">
        <f t="array" ref="F81:F81">OFFSET(E81,-1,1)</f>
        <v>0</v>
      </c>
      <c r="G81" s="1066"/>
      <c r="H81" s="1066"/>
      <c r="I81" s="566" t="s">
        <v>548</v>
      </c>
      <c r="J81" s="566"/>
      <c r="K81" s="566"/>
      <c r="L81" s="566"/>
      <c r="M81" s="566"/>
      <c r="N81" s="566"/>
      <c r="O81" s="566"/>
      <c r="P81" s="566"/>
      <c r="Q81" s="566"/>
      <c r="R81" s="566"/>
      <c r="S81" s="566"/>
      <c r="T81" s="439" cm="1" t="str">
        <f t="array" ref="T81:T81">T80</f>
        <v>false</v>
      </c>
      <c r="U81" s="1066"/>
      <c r="V81" s="1066"/>
      <c r="W81" s="1066"/>
      <c r="X81" s="1577"/>
      <c r="Y81" s="1066"/>
      <c r="Z81" s="1578"/>
      <c r="AA81" s="1066"/>
      <c r="AB81" s="788" t="s">
        <v>586</v>
      </c>
      <c r="AC81" s="794" t="s">
        <v>1698</v>
      </c>
      <c r="AD81" s="795" t="s">
        <v>784</v>
      </c>
      <c r="AE81" s="790">
        <f>_xlfn.SUMIFS('ИП + источники'!AF$27:AF$116,'ИП + источники'!$F$27:$F$116,$F81,'ИП + источники'!$AC$27:$AC$116,"Прибыль на капвложения")</f>
        <v>0</v>
      </c>
      <c r="AF81" s="790">
        <f>_xlfn.SUMIFS('ИП + источники'!AG$27:AG$116,'ИП + источники'!$F$27:$F$116,$F81,'ИП + источники'!$AC$27:$AC$116,"Прибыль на капвложения")</f>
        <v>0</v>
      </c>
      <c r="AG81" s="790">
        <f>_xlfn.SUMIFS('ИП + источники'!AH$27:AH$116,'ИП + источники'!$F$27:$F$116,$F81,'ИП + источники'!$AC$27:$AC$116,"Прибыль на капвложения")</f>
        <v>0</v>
      </c>
      <c r="AH81" s="783">
        <f>AG81-AF81</f>
        <v>0</v>
      </c>
      <c r="AI81" s="790">
        <f>_xlfn.SUMIFS('ИП + источники'!AJ$27:AJ$116,'ИП + источники'!$F$27:$F$116,$F81,'ИП + источники'!$AC$27:$AC$116,"Прибыль на капвложения")</f>
        <v>0</v>
      </c>
      <c r="AJ81" s="4405">
        <f>_xlfn.SUMIFS('ИП + источники'!AK$27:AK$116,'ИП + источники'!$F$27:$F$116,$F81,'ИП + источники'!$AC$27:$AC$116,"Прибыль на капвложения")</f>
        <v>0</v>
      </c>
      <c r="AK81" s="4405">
        <f>_xlfn.SUMIFS('ИП + источники'!AU$27:AU$116,'ИП + источники'!$F$27:$F$116,$F81,'ИП + источники'!$AC$27:$AC$116,"Прибыль на капвложения")</f>
        <v>0</v>
      </c>
      <c r="AL81" s="783">
        <f>IF(AI81=0,0,(AK81-AI81)/AI81*100)</f>
        <v>0</v>
      </c>
      <c r="AM81" s="4392"/>
      <c r="AN81" s="4393" t="str">
        <f>IF(_xlfn.IFERROR(INDEX('ИП + источники'!$K$28:$L$116,MATCH($F81&amp;"2komm",'ИП + источники'!$K$28:$K$116,0),2),"")=0,"",_xlfn.IFERROR(INDEX('ИП + источники'!$K$28:$L$116,MATCH($F81&amp;"2komm",'ИП + источники'!$K$28:$K$116,0),2),""))</f>
        <v/>
      </c>
      <c r="AO81" s="4392"/>
      <c r="AP81" s="1066"/>
      <c r="AQ81" s="1066"/>
      <c r="AR81" s="1046" t="s">
        <v>1699</v>
      </c>
      <c r="AS81" s="1046"/>
      <c r="AT81" s="1046"/>
      <c r="AU81" s="1043"/>
      <c r="AV81" s="1043"/>
    </row>
    <row customHeight="1" ht="21.9375" hidden="1">
      <c r="A82" s="1066"/>
      <c r="B82" s="1066"/>
      <c r="C82" s="1066"/>
      <c r="D82" s="1066"/>
      <c r="E82" s="675">
        <v>22.5</v>
      </c>
      <c r="F82" s="50" cm="1" t="str">
        <f t="array" ref="F82:F82">OFFSET(E82,-1,1)</f>
        <v>0</v>
      </c>
      <c r="G82" s="1066"/>
      <c r="H82" s="1066"/>
      <c r="I82" s="566" t="s">
        <v>552</v>
      </c>
      <c r="J82" s="566"/>
      <c r="K82" s="566"/>
      <c r="L82" s="566"/>
      <c r="M82" s="566"/>
      <c r="N82" s="566"/>
      <c r="O82" s="566"/>
      <c r="P82" s="566"/>
      <c r="Q82" s="566"/>
      <c r="R82" s="566"/>
      <c r="S82" s="566"/>
      <c r="T82" s="439" cm="1" t="str">
        <f t="array" ref="T82:T82">T81</f>
        <v>false</v>
      </c>
      <c r="U82" s="1066"/>
      <c r="V82" s="1066"/>
      <c r="W82" s="1066"/>
      <c r="X82" s="1577"/>
      <c r="Y82" s="1066"/>
      <c r="Z82" s="1578"/>
      <c r="AA82" s="1066"/>
      <c r="AB82" s="788" t="s">
        <v>598</v>
      </c>
      <c r="AC82" s="794" t="s">
        <v>1700</v>
      </c>
      <c r="AD82" s="795" t="s">
        <v>784</v>
      </c>
      <c r="AE82" s="790"/>
      <c r="AF82" s="790"/>
      <c r="AG82" s="790"/>
      <c r="AH82" s="783"/>
      <c r="AI82" s="790"/>
      <c r="AJ82" s="4405"/>
      <c r="AK82" s="4405"/>
      <c r="AL82" s="783">
        <f>IF(AI82=0,0,(AK82-AI82)/AI82*100)</f>
        <v>0</v>
      </c>
      <c r="AM82" s="4392"/>
      <c r="AN82" s="4392"/>
      <c r="AO82" s="4392"/>
      <c r="AP82" s="1066"/>
      <c r="AQ82" s="1066"/>
      <c r="AR82" s="1046" t="s">
        <v>1701</v>
      </c>
      <c r="AS82" s="1046"/>
      <c r="AT82" s="1046"/>
      <c r="AU82" s="1043"/>
      <c r="AV82" s="1043"/>
    </row>
    <row s="567" customFormat="1" customHeight="1" ht="21.9375" hidden="1">
      <c r="A83" s="567"/>
      <c r="B83" s="567">
        <f>STATUS_GO="да"</f>
        <v>0</v>
      </c>
      <c r="C83" s="567"/>
      <c r="D83" s="567"/>
      <c r="E83" s="677">
        <v>22.5</v>
      </c>
      <c r="F83" s="50" cm="1" t="str">
        <f t="array" ref="F83:F83">OFFSET(E83,-1,1)</f>
        <v>0</v>
      </c>
      <c r="G83" s="567"/>
      <c r="H83" s="567"/>
      <c r="I83" s="678" t="s">
        <v>556</v>
      </c>
      <c r="J83" s="678"/>
      <c r="K83" s="678"/>
      <c r="L83" s="678"/>
      <c r="M83" s="678"/>
      <c r="N83" s="678"/>
      <c r="O83" s="678"/>
      <c r="P83" s="678"/>
      <c r="Q83" s="678"/>
      <c r="R83" s="678"/>
      <c r="S83" s="678"/>
      <c r="T83" s="439" cm="1" t="str">
        <f t="array" ref="T83:T83">T82</f>
        <v>false</v>
      </c>
      <c r="U83" s="567"/>
      <c r="V83" s="567"/>
      <c r="W83" s="567"/>
      <c r="X83" s="1577"/>
      <c r="Y83" s="567"/>
      <c r="Z83" s="1578"/>
      <c r="AA83" s="567"/>
      <c r="AB83" s="785" t="s">
        <v>723</v>
      </c>
      <c r="AC83" s="781" t="s">
        <v>1702</v>
      </c>
      <c r="AD83" s="793" t="s">
        <v>784</v>
      </c>
      <c r="AE83" s="791"/>
      <c r="AF83" s="791"/>
      <c r="AG83" s="791"/>
      <c r="AH83" s="782">
        <f>AG83-AF83</f>
        <v>0</v>
      </c>
      <c r="AI83" s="791"/>
      <c r="AJ83" s="4409"/>
      <c r="AK83" s="4409"/>
      <c r="AL83" s="782">
        <f>IF(AI83=0,0,(AK83-AI83)/AI83*100)</f>
        <v>0</v>
      </c>
      <c r="AM83" s="4400"/>
      <c r="AN83" s="4400"/>
      <c r="AO83" s="4400"/>
      <c r="AP83" s="567"/>
      <c r="AQ83" s="567"/>
      <c r="AR83" s="1047" t="s">
        <v>1703</v>
      </c>
      <c r="AS83" s="1047"/>
      <c r="AT83" s="1047"/>
      <c r="AU83" s="677"/>
      <c r="AV83" s="677"/>
    </row>
    <row customHeight="1" ht="14.625" hidden="1">
      <c r="A84" s="1066"/>
      <c r="B84" s="1066"/>
      <c r="C84" s="1066"/>
      <c r="D84" s="1066"/>
      <c r="E84" s="675">
        <v>15</v>
      </c>
      <c r="F84" s="50" cm="1" t="str">
        <f t="array" ref="F84:F84">OFFSET(E84,-1,1)</f>
        <v>0</v>
      </c>
      <c r="G84" s="1066"/>
      <c r="H84" s="1066"/>
      <c r="I84" s="566" t="s">
        <v>564</v>
      </c>
      <c r="J84" s="566"/>
      <c r="K84" s="566"/>
      <c r="L84" s="566"/>
      <c r="M84" s="566"/>
      <c r="N84" s="566"/>
      <c r="O84" s="566"/>
      <c r="P84" s="566"/>
      <c r="Q84" s="566"/>
      <c r="R84" s="566"/>
      <c r="S84" s="566"/>
      <c r="T84" s="439" cm="1" t="str">
        <f t="array" ref="T84:T84">T83</f>
        <v>false</v>
      </c>
      <c r="U84" s="1066"/>
      <c r="V84" s="1066"/>
      <c r="W84" s="1066"/>
      <c r="X84" s="1577"/>
      <c r="Y84" s="1066"/>
      <c r="Z84" s="1578"/>
      <c r="AA84" s="1066"/>
      <c r="AB84" s="788" t="s">
        <v>726</v>
      </c>
      <c r="AC84" s="797" t="s">
        <v>1347</v>
      </c>
      <c r="AD84" s="795" t="s">
        <v>784</v>
      </c>
      <c r="AE84" s="790"/>
      <c r="AF84" s="790"/>
      <c r="AG84" s="790"/>
      <c r="AH84" s="783"/>
      <c r="AI84" s="4435"/>
      <c r="AJ84" s="4435"/>
      <c r="AK84" s="4435"/>
      <c r="AL84" s="783">
        <f>IF(AI84=0,0,(AK84-AI84)/AI84*100)</f>
        <v>0</v>
      </c>
      <c r="AM84" s="4392"/>
      <c r="AN84" s="4392"/>
      <c r="AO84" s="4392"/>
      <c r="AP84" s="1066"/>
      <c r="AQ84" s="1066"/>
      <c r="AR84" s="1046" t="s">
        <v>1704</v>
      </c>
      <c r="AS84" s="1046"/>
      <c r="AT84" s="1046"/>
      <c r="AU84" s="1043"/>
      <c r="AV84" s="1043"/>
    </row>
    <row customHeight="1" ht="101.25" hidden="1">
      <c r="A85" s="1066"/>
      <c r="B85" s="1066"/>
      <c r="C85" s="1066"/>
      <c r="D85" s="1066"/>
      <c r="E85" s="675">
        <v>0</v>
      </c>
      <c r="F85" s="50" cm="1" t="str">
        <f t="array" ref="F85:F85">OFFSET(E85,-1,1)</f>
        <v>0</v>
      </c>
      <c r="G85" s="1066"/>
      <c r="H85" s="491">
        <f>ISERR(SEARCH("Водоснабжение",AB27))</f>
        <v>1</v>
      </c>
      <c r="I85" s="566" t="s">
        <v>722</v>
      </c>
      <c r="J85" s="566"/>
      <c r="K85" s="566"/>
      <c r="L85" s="566"/>
      <c r="M85" s="566"/>
      <c r="N85" s="566"/>
      <c r="O85" s="566"/>
      <c r="P85" s="566"/>
      <c r="Q85" s="566"/>
      <c r="R85" s="566"/>
      <c r="S85" s="566"/>
      <c r="T85" s="439" cm="1" t="str">
        <f t="array" ref="T85:T85">T84</f>
        <v>false</v>
      </c>
      <c r="U85" s="1066"/>
      <c r="V85" s="1066"/>
      <c r="W85" s="1066"/>
      <c r="X85" s="1577"/>
      <c r="Y85" s="1066"/>
      <c r="Z85" s="1578"/>
      <c r="AA85" s="1066"/>
      <c r="AB85" s="788" t="s">
        <v>978</v>
      </c>
      <c r="AC85" s="797" t="s">
        <v>1705</v>
      </c>
      <c r="AD85" s="740" t="s">
        <v>784</v>
      </c>
      <c r="AE85" s="790"/>
      <c r="AF85" s="790"/>
      <c r="AG85" s="790"/>
      <c r="AH85" s="783">
        <f>AG85-AF85</f>
        <v>0</v>
      </c>
      <c r="AI85" s="790"/>
      <c r="AJ85" s="4405"/>
      <c r="AK85" s="4405">
        <f>_xlfn.IFERROR(_xlfn.SUMIFS('Плата за негативное возд'!$AL$25:$AL$35,'Плата за негативное возд'!$F$25:$F$35,F85,'Плата за негативное возд'!$G$25:$G$35,"1"),0)</f>
        <v>0</v>
      </c>
      <c r="AL85" s="783">
        <f>IF(AI85=0,0,(AK85-AI85)/AI85*100)</f>
        <v>0</v>
      </c>
      <c r="AM85" s="4392"/>
      <c r="AN85" s="4392"/>
      <c r="AO85" s="4392"/>
      <c r="AP85" s="1066"/>
      <c r="AQ85" s="1066"/>
      <c r="AR85" s="1046" t="s">
        <v>1249</v>
      </c>
      <c r="AS85" s="1046"/>
      <c r="AT85" s="1046"/>
      <c r="AU85" s="1043"/>
      <c r="AV85" s="1043"/>
    </row>
    <row customHeight="1" ht="67.5" hidden="1">
      <c r="A86" s="1066"/>
      <c r="B86" s="1066"/>
      <c r="C86" s="1066"/>
      <c r="D86" s="1066"/>
      <c r="E86" s="675">
        <v>0</v>
      </c>
      <c r="F86" s="50" cm="1" t="str">
        <f t="array" ref="F86:F86">OFFSET(E86,-1,1)</f>
        <v>0</v>
      </c>
      <c r="G86" s="1066"/>
      <c r="H86" s="491">
        <f>ISERR(SEARCH("Водоснабжение",AB27))</f>
        <v>1</v>
      </c>
      <c r="I86" s="566" t="s">
        <v>725</v>
      </c>
      <c r="J86" s="566"/>
      <c r="K86" s="566"/>
      <c r="L86" s="566"/>
      <c r="M86" s="566"/>
      <c r="N86" s="566"/>
      <c r="O86" s="566"/>
      <c r="P86" s="566"/>
      <c r="Q86" s="566"/>
      <c r="R86" s="566"/>
      <c r="S86" s="566"/>
      <c r="T86" s="439" cm="1" t="str">
        <f t="array" ref="T86:T86">T85</f>
        <v>false</v>
      </c>
      <c r="U86" s="1066"/>
      <c r="V86" s="1066"/>
      <c r="W86" s="1066"/>
      <c r="X86" s="1577"/>
      <c r="Y86" s="1066"/>
      <c r="Z86" s="1578"/>
      <c r="AA86" s="1066"/>
      <c r="AB86" s="788" t="s">
        <v>1706</v>
      </c>
      <c r="AC86" s="797" t="s">
        <v>1707</v>
      </c>
      <c r="AD86" s="740" t="s">
        <v>784</v>
      </c>
      <c r="AE86" s="790"/>
      <c r="AF86" s="790"/>
      <c r="AG86" s="790"/>
      <c r="AH86" s="783">
        <f>AG86-AF86</f>
        <v>0</v>
      </c>
      <c r="AI86" s="790"/>
      <c r="AJ86" s="4405"/>
      <c r="AK86" s="4405">
        <f>_xlfn.IFERROR(_xlfn.SUMIFS('Плата за негативное возд'!$AL$25:$AL$35,'Плата за негативное возд'!$F$25:$F$35,F86,'Плата за негативное возд'!$G$25:$G$35,"2"),0)</f>
        <v>0</v>
      </c>
      <c r="AL86" s="783">
        <f>IF(AI86=0,0,(AK86-AI86)/AI86*100)</f>
        <v>0</v>
      </c>
      <c r="AM86" s="4392"/>
      <c r="AN86" s="4392"/>
      <c r="AO86" s="4392"/>
      <c r="AP86" s="1066"/>
      <c r="AQ86" s="1066"/>
      <c r="AR86" s="1046" t="s">
        <v>1253</v>
      </c>
      <c r="AS86" s="1046"/>
      <c r="AT86" s="1046"/>
      <c r="AU86" s="1043"/>
      <c r="AV86" s="1043"/>
    </row>
    <row customHeight="1" ht="14.625" hidden="1">
      <c r="A87" s="1066"/>
      <c r="B87" s="1066"/>
      <c r="C87" s="1066"/>
      <c r="D87" s="1066"/>
      <c r="E87" s="675">
        <v>15</v>
      </c>
      <c r="F87" s="50" cm="1" t="str">
        <f t="array" ref="F87:F87">OFFSET(E87,-1,1)</f>
        <v>0</v>
      </c>
      <c r="G87" s="1066"/>
      <c r="H87" s="1066"/>
      <c r="I87" s="566" t="s">
        <v>762</v>
      </c>
      <c r="J87" s="566"/>
      <c r="K87" s="566"/>
      <c r="L87" s="566"/>
      <c r="M87" s="566"/>
      <c r="N87" s="566"/>
      <c r="O87" s="566"/>
      <c r="P87" s="566"/>
      <c r="Q87" s="566"/>
      <c r="R87" s="566"/>
      <c r="S87" s="566"/>
      <c r="T87" s="439" cm="1" t="str">
        <f t="array" ref="T87:T87">T86</f>
        <v>false</v>
      </c>
      <c r="U87" s="1066"/>
      <c r="V87" s="1066"/>
      <c r="W87" s="1066"/>
      <c r="X87" s="1577"/>
      <c r="Y87" s="1066"/>
      <c r="Z87" s="1578"/>
      <c r="AA87" s="1066"/>
      <c r="AB87" s="788" t="s">
        <v>1708</v>
      </c>
      <c r="AC87" s="799" t="s">
        <v>1709</v>
      </c>
      <c r="AD87" s="795" t="s">
        <v>784</v>
      </c>
      <c r="AE87" s="790"/>
      <c r="AF87" s="790"/>
      <c r="AG87" s="790"/>
      <c r="AH87" s="783">
        <f>AG87-AF87</f>
        <v>0</v>
      </c>
      <c r="AI87" s="790"/>
      <c r="AJ87" s="4405"/>
      <c r="AK87" s="4405"/>
      <c r="AL87" s="783">
        <f>IF(AI87=0,0,(AK87-AI87)/AI87*100)</f>
        <v>0</v>
      </c>
      <c r="AM87" s="4392"/>
      <c r="AN87" s="4392"/>
      <c r="AO87" s="4392"/>
      <c r="AP87" s="1066"/>
      <c r="AQ87" s="1066"/>
      <c r="AR87" s="1046" t="s">
        <v>1129</v>
      </c>
      <c r="AS87" s="1046"/>
      <c r="AT87" s="1046"/>
      <c r="AU87" s="1043"/>
      <c r="AV87" s="1043"/>
    </row>
    <row s="567" customFormat="1" customHeight="1" ht="21.9375" hidden="1">
      <c r="A88" s="567"/>
      <c r="B88" s="567"/>
      <c r="C88" s="567"/>
      <c r="D88" s="567"/>
      <c r="E88" s="677">
        <v>22.5</v>
      </c>
      <c r="F88" s="50" cm="1" t="str">
        <f t="array" ref="F88:F88">OFFSET(E88,-1,1)</f>
        <v>0</v>
      </c>
      <c r="G88" s="567"/>
      <c r="H88" s="567"/>
      <c r="I88" s="678" t="s">
        <v>763</v>
      </c>
      <c r="J88" s="678"/>
      <c r="K88" s="678"/>
      <c r="L88" s="678"/>
      <c r="M88" s="678"/>
      <c r="N88" s="678"/>
      <c r="O88" s="678"/>
      <c r="P88" s="678"/>
      <c r="Q88" s="678"/>
      <c r="R88" s="678"/>
      <c r="S88" s="678"/>
      <c r="T88" s="439" cm="1" t="str">
        <f t="array" ref="T88:T88">T87</f>
        <v>false</v>
      </c>
      <c r="U88" s="567"/>
      <c r="V88" s="567"/>
      <c r="W88" s="567"/>
      <c r="X88" s="1577"/>
      <c r="Y88" s="567"/>
      <c r="Z88" s="1578"/>
      <c r="AA88" s="567"/>
      <c r="AB88" s="785" t="s">
        <v>1710</v>
      </c>
      <c r="AC88" s="568" t="s">
        <v>1711</v>
      </c>
      <c r="AD88" s="793" t="s">
        <v>784</v>
      </c>
      <c r="AE88" s="769">
        <f>AE89+AE90</f>
        <v>0</v>
      </c>
      <c r="AF88" s="769">
        <f>AF89+AF90</f>
        <v>0</v>
      </c>
      <c r="AG88" s="769">
        <f>AG89+AG90</f>
        <v>0</v>
      </c>
      <c r="AH88" s="782">
        <f>AG88-AF88</f>
        <v>0</v>
      </c>
      <c r="AI88" s="769">
        <f>AI89+AI90</f>
        <v>0</v>
      </c>
      <c r="AJ88" s="769">
        <f>AJ89+AJ90</f>
        <v>0</v>
      </c>
      <c r="AK88" s="769">
        <f>AK89+AK90</f>
        <v>0</v>
      </c>
      <c r="AL88" s="782">
        <f>IF(AI88=0,0,(AK88-AI88)/AI88*100)</f>
        <v>0</v>
      </c>
      <c r="AM88" s="4400"/>
      <c r="AN88" s="4400"/>
      <c r="AO88" s="4400"/>
      <c r="AP88" s="567"/>
      <c r="AQ88" s="567"/>
      <c r="AR88" s="1047" t="s">
        <v>1430</v>
      </c>
      <c r="AS88" s="1047"/>
      <c r="AT88" s="1047"/>
      <c r="AU88" s="677"/>
      <c r="AV88" s="677"/>
    </row>
    <row customHeight="1" ht="21.9375" hidden="1">
      <c r="A89" s="1066"/>
      <c r="B89" s="1066"/>
      <c r="C89" s="1066"/>
      <c r="D89" s="1066"/>
      <c r="E89" s="675">
        <v>22.5</v>
      </c>
      <c r="F89" s="50" cm="1" t="str">
        <f t="array" ref="F89:F89">OFFSET(E89,-1,1)</f>
        <v>0</v>
      </c>
      <c r="G89" s="1066"/>
      <c r="H89" s="1066"/>
      <c r="I89" s="566" t="s">
        <v>1712</v>
      </c>
      <c r="J89" s="566"/>
      <c r="K89" s="566"/>
      <c r="L89" s="566"/>
      <c r="M89" s="566"/>
      <c r="N89" s="566"/>
      <c r="O89" s="566"/>
      <c r="P89" s="566"/>
      <c r="Q89" s="566"/>
      <c r="R89" s="566"/>
      <c r="S89" s="566"/>
      <c r="T89" s="439" cm="1" t="str">
        <f t="array" ref="T89:T89">T88</f>
        <v>false</v>
      </c>
      <c r="U89" s="1066"/>
      <c r="V89" s="1066"/>
      <c r="W89" s="1066"/>
      <c r="X89" s="1577"/>
      <c r="Y89" s="1066"/>
      <c r="Z89" s="1578"/>
      <c r="AA89" s="1066"/>
      <c r="AB89" s="788" t="s">
        <v>1713</v>
      </c>
      <c r="AC89" s="800" t="s">
        <v>1431</v>
      </c>
      <c r="AD89" s="795" t="s">
        <v>784</v>
      </c>
      <c r="AE89" s="790"/>
      <c r="AF89" s="790"/>
      <c r="AG89" s="790"/>
      <c r="AH89" s="783">
        <f>AG89-AF89</f>
        <v>0</v>
      </c>
      <c r="AI89" s="790"/>
      <c r="AJ89" s="4405"/>
      <c r="AK89" s="4405"/>
      <c r="AL89" s="783">
        <f>IF(AI89=0,0,(AK89-AI89)/AI89*100)</f>
        <v>0</v>
      </c>
      <c r="AM89" s="4392"/>
      <c r="AN89" s="4392"/>
      <c r="AO89" s="4392"/>
      <c r="AP89" s="1066"/>
      <c r="AQ89" s="1066"/>
      <c r="AR89" s="1046" t="s">
        <v>1469</v>
      </c>
      <c r="AS89" s="1046"/>
      <c r="AT89" s="1046"/>
      <c r="AU89" s="1043"/>
      <c r="AV89" s="1043"/>
    </row>
    <row customHeight="1" ht="21.9375" hidden="1">
      <c r="A90" s="1066"/>
      <c r="B90" s="1066"/>
      <c r="C90" s="1066"/>
      <c r="D90" s="1066"/>
      <c r="E90" s="675">
        <v>22.5</v>
      </c>
      <c r="F90" s="50" cm="1" t="str">
        <f t="array" ref="F90:F90">OFFSET(E90,-1,1)</f>
        <v>0</v>
      </c>
      <c r="G90" s="1066"/>
      <c r="H90" s="1066"/>
      <c r="I90" s="566" t="s">
        <v>1714</v>
      </c>
      <c r="J90" s="566"/>
      <c r="K90" s="566"/>
      <c r="L90" s="566"/>
      <c r="M90" s="566"/>
      <c r="N90" s="566"/>
      <c r="O90" s="566"/>
      <c r="P90" s="566"/>
      <c r="Q90" s="566"/>
      <c r="R90" s="566"/>
      <c r="S90" s="566"/>
      <c r="T90" s="439" cm="1" t="str">
        <f t="array" ref="T90:T90">T89</f>
        <v>false</v>
      </c>
      <c r="U90" s="1066"/>
      <c r="V90" s="1066"/>
      <c r="W90" s="1066"/>
      <c r="X90" s="1577"/>
      <c r="Y90" s="1066"/>
      <c r="Z90" s="1578"/>
      <c r="AA90" s="1066"/>
      <c r="AB90" s="788" t="s">
        <v>1715</v>
      </c>
      <c r="AC90" s="800" t="s">
        <v>1433</v>
      </c>
      <c r="AD90" s="795" t="s">
        <v>784</v>
      </c>
      <c r="AE90" s="790"/>
      <c r="AF90" s="790"/>
      <c r="AG90" s="790"/>
      <c r="AH90" s="783">
        <f>AG90-AF90</f>
        <v>0</v>
      </c>
      <c r="AI90" s="790"/>
      <c r="AJ90" s="4405"/>
      <c r="AK90" s="4405"/>
      <c r="AL90" s="783">
        <f>IF(AI90=0,0,(AK90-AI90)/AI90*100)</f>
        <v>0</v>
      </c>
      <c r="AM90" s="4392"/>
      <c r="AN90" s="4392"/>
      <c r="AO90" s="4392"/>
      <c r="AP90" s="1066"/>
      <c r="AQ90" s="1066"/>
      <c r="AR90" s="1046" t="s">
        <v>1716</v>
      </c>
      <c r="AS90" s="1046"/>
      <c r="AT90" s="1046"/>
      <c r="AU90" s="1043"/>
      <c r="AV90" s="1043"/>
    </row>
    <row customHeight="1" ht="14.625" hidden="1">
      <c r="A91" s="1066"/>
      <c r="B91" s="1066"/>
      <c r="C91" s="1066"/>
      <c r="D91" s="1066"/>
      <c r="E91" s="675">
        <v>15</v>
      </c>
      <c r="F91" s="50" cm="1" t="str">
        <f t="array" ref="F91:F91">OFFSET(E91,-1,1)</f>
        <v>0</v>
      </c>
      <c r="G91" s="1066"/>
      <c r="H91" s="1066"/>
      <c r="I91" s="566" t="s">
        <v>1717</v>
      </c>
      <c r="J91" s="566"/>
      <c r="K91" s="566"/>
      <c r="L91" s="566"/>
      <c r="M91" s="566"/>
      <c r="N91" s="566"/>
      <c r="O91" s="566"/>
      <c r="P91" s="566"/>
      <c r="Q91" s="566"/>
      <c r="R91" s="566"/>
      <c r="S91" s="566"/>
      <c r="T91" s="439" cm="1" t="str">
        <f t="array" ref="T91:T91">T90</f>
        <v>false</v>
      </c>
      <c r="U91" s="1066"/>
      <c r="V91" s="1066"/>
      <c r="W91" s="1066"/>
      <c r="X91" s="1577"/>
      <c r="Y91" s="1066"/>
      <c r="Z91" s="1578"/>
      <c r="AA91" s="1066"/>
      <c r="AB91" s="801" t="s">
        <v>335</v>
      </c>
      <c r="AC91" s="802" t="s">
        <v>1435</v>
      </c>
      <c r="AD91" s="795" t="s">
        <v>784</v>
      </c>
      <c r="AE91" s="790"/>
      <c r="AF91" s="790"/>
      <c r="AG91" s="790"/>
      <c r="AH91" s="783">
        <f>AG91-AF91</f>
        <v>0</v>
      </c>
      <c r="AI91" s="790"/>
      <c r="AJ91" s="4405"/>
      <c r="AK91" s="4405"/>
      <c r="AL91" s="783">
        <f>IF(AI91=0,0,(AK91-AI91)/AI91*100)</f>
        <v>0</v>
      </c>
      <c r="AM91" s="4392"/>
      <c r="AN91" s="4392"/>
      <c r="AO91" s="4392"/>
      <c r="AP91" s="1066"/>
      <c r="AQ91" s="1066"/>
      <c r="AR91" s="1046" t="s">
        <v>1436</v>
      </c>
      <c r="AS91" s="1046"/>
      <c r="AT91" s="1046"/>
      <c r="AU91" s="1043"/>
      <c r="AV91" s="1043"/>
    </row>
    <row customHeight="1" ht="14.625" hidden="1">
      <c r="A92" s="1066"/>
      <c r="B92" s="1066"/>
      <c r="C92" s="1066"/>
      <c r="D92" s="1066"/>
      <c r="E92" s="675">
        <v>15</v>
      </c>
      <c r="F92" s="50" cm="1" t="str">
        <f t="array" ref="F92:F92">OFFSET(E92,-1,1)</f>
        <v>0</v>
      </c>
      <c r="G92" s="1066"/>
      <c r="H92" s="1066"/>
      <c r="I92" s="566" t="s">
        <v>1718</v>
      </c>
      <c r="J92" s="566"/>
      <c r="K92" s="566"/>
      <c r="L92" s="566"/>
      <c r="M92" s="566"/>
      <c r="N92" s="566"/>
      <c r="O92" s="566"/>
      <c r="P92" s="566"/>
      <c r="Q92" s="566"/>
      <c r="R92" s="566"/>
      <c r="S92" s="566"/>
      <c r="T92" s="439" cm="1" t="str">
        <f t="array" ref="T92:T92">T91</f>
        <v>false</v>
      </c>
      <c r="U92" s="1066"/>
      <c r="V92" s="1066"/>
      <c r="W92" s="1066"/>
      <c r="X92" s="1577"/>
      <c r="Y92" s="1066"/>
      <c r="Z92" s="1578"/>
      <c r="AA92" s="1066"/>
      <c r="AB92" s="801" t="s">
        <v>1719</v>
      </c>
      <c r="AC92" s="802" t="s">
        <v>1437</v>
      </c>
      <c r="AD92" s="795" t="s">
        <v>784</v>
      </c>
      <c r="AE92" s="790"/>
      <c r="AF92" s="790"/>
      <c r="AG92" s="790"/>
      <c r="AH92" s="783">
        <f>AG92-AF92</f>
        <v>0</v>
      </c>
      <c r="AI92" s="790"/>
      <c r="AJ92" s="4405"/>
      <c r="AK92" s="4405"/>
      <c r="AL92" s="783">
        <f>IF(AI92=0,0,(AK92-AI92)/AI92*100)</f>
        <v>0</v>
      </c>
      <c r="AM92" s="4392"/>
      <c r="AN92" s="4392"/>
      <c r="AO92" s="4392"/>
      <c r="AP92" s="1066"/>
      <c r="AQ92" s="1066"/>
      <c r="AR92" s="1046" t="s">
        <v>1438</v>
      </c>
      <c r="AS92" s="1046"/>
      <c r="AT92" s="1046"/>
      <c r="AU92" s="1043"/>
      <c r="AV92" s="1043"/>
    </row>
    <row s="567" customFormat="1" customHeight="1" ht="14.625" hidden="1">
      <c r="A93" s="567"/>
      <c r="B93" s="567"/>
      <c r="C93" s="567"/>
      <c r="D93" s="567"/>
      <c r="E93" s="677">
        <v>15</v>
      </c>
      <c r="F93" s="50" cm="1" t="str">
        <f t="array" ref="F93:F93">OFFSET(E93,-1,1)</f>
        <v>0</v>
      </c>
      <c r="G93" s="567"/>
      <c r="H93" s="567"/>
      <c r="I93" s="678" t="s">
        <v>1720</v>
      </c>
      <c r="J93" s="678"/>
      <c r="K93" s="678"/>
      <c r="L93" s="678"/>
      <c r="M93" s="678"/>
      <c r="N93" s="678"/>
      <c r="O93" s="678"/>
      <c r="P93" s="678"/>
      <c r="Q93" s="678"/>
      <c r="R93" s="678"/>
      <c r="S93" s="678"/>
      <c r="T93" s="439" cm="1" t="str">
        <f t="array" ref="T93:T93">T92</f>
        <v>false</v>
      </c>
      <c r="U93" s="567"/>
      <c r="V93" s="567"/>
      <c r="W93" s="567"/>
      <c r="X93" s="1577"/>
      <c r="Y93" s="567"/>
      <c r="Z93" s="1578"/>
      <c r="AA93" s="567"/>
      <c r="AB93" s="785" t="s">
        <v>1721</v>
      </c>
      <c r="AC93" s="568" t="s">
        <v>1722</v>
      </c>
      <c r="AD93" s="793" t="s">
        <v>784</v>
      </c>
      <c r="AE93" s="769">
        <f>AE28+AE56+AE61+AE74+AE75+AE77+AE78+AE79+AE83+AE84-AE85-AE86+AE87-AE88+AE91+AE92</f>
        <v>0</v>
      </c>
      <c r="AF93" s="769">
        <f>AF28+AF56+AF61+AF74+AF75+AF77+AF78+AF79+AF83+AF84-AF85-AF86+AF87-AF88+AF91+AF92</f>
        <v>0</v>
      </c>
      <c r="AG93" s="769">
        <f>AG28+AG56+AG61+AG74+AG75+AG77+AG78+AG79+AG83+AG84-AG85-AG86+AG87-AG88+AG91+AG92</f>
        <v>0</v>
      </c>
      <c r="AH93" s="782">
        <f>AG93-AF93</f>
        <v>0</v>
      </c>
      <c r="AI93" s="769">
        <f>AI28+AI56+AI61+AI74+AI75+AI77+AI78+AI79+AI83+AI84-AI85-AI86+AI87-AI88+AI91+AI92</f>
        <v>0</v>
      </c>
      <c r="AJ93" s="769">
        <f>AJ28+AJ56+AJ61+AJ74+AJ75+AJ77+AJ78+AJ79+AJ83+AJ84-AJ85-AJ86+AJ87-AJ88+AJ91+AJ92</f>
        <v>0</v>
      </c>
      <c r="AK93" s="769">
        <f>AK28+AK56+AK61+AK74+AK75+AK77+AK78+AK79+AK83+AK84-AK85-AK86+AK87-AK88+AK91+AK92</f>
        <v>0</v>
      </c>
      <c r="AL93" s="782">
        <f>IF(AI93=0,0,(AK93-AI93)/AI93*100)</f>
        <v>0</v>
      </c>
      <c r="AM93" s="4400"/>
      <c r="AN93" s="4400"/>
      <c r="AO93" s="4400"/>
      <c r="AP93" s="567"/>
      <c r="AQ93" s="567"/>
      <c r="AR93" s="1047" t="s">
        <v>1723</v>
      </c>
      <c r="AS93" s="1047"/>
      <c r="AT93" s="1047"/>
      <c r="AU93" s="677"/>
      <c r="AV93" s="677"/>
    </row>
    <row customHeight="1" ht="15" hidden="1">
      <c r="A94" s="1066"/>
      <c r="B94" s="556">
        <f>G27="двухставочный"</f>
        <v>0</v>
      </c>
      <c r="C94" s="1066"/>
      <c r="D94" s="1066"/>
      <c r="E94" s="675">
        <v>0</v>
      </c>
      <c r="F94" s="50" cm="1" t="str">
        <f t="array" ref="F94:F94">OFFSET(E94,-1,1)</f>
        <v>0</v>
      </c>
      <c r="G94" s="1066"/>
      <c r="H94" s="1066"/>
      <c r="I94" s="566" t="s">
        <v>1724</v>
      </c>
      <c r="J94" s="566"/>
      <c r="K94" s="566"/>
      <c r="L94" s="566"/>
      <c r="M94" s="566"/>
      <c r="N94" s="566"/>
      <c r="O94" s="566"/>
      <c r="P94" s="566"/>
      <c r="Q94" s="566"/>
      <c r="R94" s="566"/>
      <c r="S94" s="566"/>
      <c r="T94" s="439" cm="1" t="str">
        <f t="array" ref="T94:T94">T93</f>
        <v>false</v>
      </c>
      <c r="U94" s="1066"/>
      <c r="V94" s="1066"/>
      <c r="W94" s="1066"/>
      <c r="X94" s="1577"/>
      <c r="Y94" s="1066"/>
      <c r="Z94" s="1578"/>
      <c r="AA94" s="1066"/>
      <c r="AB94" s="788" t="s">
        <v>1725</v>
      </c>
      <c r="AC94" s="800" t="s">
        <v>1726</v>
      </c>
      <c r="AD94" s="795" t="s">
        <v>784</v>
      </c>
      <c r="AE94" s="790"/>
      <c r="AF94" s="790"/>
      <c r="AG94" s="790"/>
      <c r="AH94" s="783">
        <f>AG94-AF94</f>
        <v>0</v>
      </c>
      <c r="AI94" s="790"/>
      <c r="AJ94" s="4405"/>
      <c r="AK94" s="4405"/>
      <c r="AL94" s="783">
        <f>IF(AI94=0,0,(AK94-AI94)/AI94*100)</f>
        <v>0</v>
      </c>
      <c r="AM94" s="4392"/>
      <c r="AN94" s="4392"/>
      <c r="AO94" s="4392"/>
      <c r="AP94" s="1066"/>
      <c r="AQ94" s="1066"/>
      <c r="AR94" s="1046" t="s">
        <v>1727</v>
      </c>
      <c r="AS94" s="1046"/>
      <c r="AT94" s="1046"/>
      <c r="AU94" s="1043"/>
      <c r="AV94" s="1043"/>
    </row>
    <row customHeight="1" ht="15" hidden="1">
      <c r="A95" s="1066"/>
      <c r="B95" s="556">
        <f>G27="двухставочный"</f>
        <v>0</v>
      </c>
      <c r="C95" s="1066"/>
      <c r="D95" s="1066"/>
      <c r="E95" s="675">
        <v>0</v>
      </c>
      <c r="F95" s="50" cm="1" t="str">
        <f t="array" ref="F95:F95">OFFSET(E95,-1,1)</f>
        <v>0</v>
      </c>
      <c r="G95" s="1066"/>
      <c r="H95" s="1066"/>
      <c r="I95" s="566" t="s">
        <v>1728</v>
      </c>
      <c r="J95" s="566"/>
      <c r="K95" s="566"/>
      <c r="L95" s="566"/>
      <c r="M95" s="566"/>
      <c r="N95" s="566"/>
      <c r="O95" s="566"/>
      <c r="P95" s="566"/>
      <c r="Q95" s="566"/>
      <c r="R95" s="566"/>
      <c r="S95" s="566"/>
      <c r="T95" s="439" cm="1" t="str">
        <f t="array" ref="T95:T95">T94</f>
        <v>false</v>
      </c>
      <c r="U95" s="1066"/>
      <c r="V95" s="1066"/>
      <c r="W95" s="1066"/>
      <c r="X95" s="1577"/>
      <c r="Y95" s="1066"/>
      <c r="Z95" s="1578"/>
      <c r="AA95" s="1066"/>
      <c r="AB95" s="788" t="s">
        <v>1729</v>
      </c>
      <c r="AC95" s="800" t="s">
        <v>1730</v>
      </c>
      <c r="AD95" s="795" t="s">
        <v>784</v>
      </c>
      <c r="AE95" s="790"/>
      <c r="AF95" s="790"/>
      <c r="AG95" s="790"/>
      <c r="AH95" s="783">
        <f>AG95-AF95</f>
        <v>0</v>
      </c>
      <c r="AI95" s="790"/>
      <c r="AJ95" s="4405"/>
      <c r="AK95" s="4405"/>
      <c r="AL95" s="783">
        <f>IF(AI95=0,0,(AK95-AI95)/AI95*100)</f>
        <v>0</v>
      </c>
      <c r="AM95" s="4392"/>
      <c r="AN95" s="4392"/>
      <c r="AO95" s="4392"/>
      <c r="AP95" s="1066"/>
      <c r="AQ95" s="1066"/>
      <c r="AR95" s="1046" t="s">
        <v>1731</v>
      </c>
      <c r="AS95" s="1046"/>
      <c r="AT95" s="1046"/>
      <c r="AU95" s="1043"/>
      <c r="AV95" s="1043"/>
    </row>
    <row s="567" customFormat="1" customHeight="1" ht="14.625" hidden="1">
      <c r="A96" s="567"/>
      <c r="B96" s="567"/>
      <c r="C96" s="567"/>
      <c r="D96" s="567"/>
      <c r="E96" s="677">
        <v>15</v>
      </c>
      <c r="F96" s="50" cm="1" t="str">
        <f t="array" ref="F96:F96">OFFSET(E96,-1,1)</f>
        <v>0</v>
      </c>
      <c r="G96" s="557" t="s">
        <v>1503</v>
      </c>
      <c r="H96" s="567"/>
      <c r="I96" s="678" t="s">
        <v>1732</v>
      </c>
      <c r="J96" s="678"/>
      <c r="K96" s="678"/>
      <c r="L96" s="678"/>
      <c r="M96" s="678"/>
      <c r="N96" s="678"/>
      <c r="O96" s="678"/>
      <c r="P96" s="678"/>
      <c r="Q96" s="678"/>
      <c r="R96" s="678"/>
      <c r="S96" s="678"/>
      <c r="T96" s="439" cm="1" t="str">
        <f t="array" ref="T96:T96">T95</f>
        <v>false</v>
      </c>
      <c r="U96" s="567"/>
      <c r="V96" s="567"/>
      <c r="W96" s="567"/>
      <c r="X96" s="1577"/>
      <c r="Y96" s="567"/>
      <c r="Z96" s="1578"/>
      <c r="AA96" s="567"/>
      <c r="AB96" s="785" t="s">
        <v>1733</v>
      </c>
      <c r="AC96" s="568" t="s">
        <v>1734</v>
      </c>
      <c r="AD96" s="793" t="s">
        <v>512</v>
      </c>
      <c r="AE96" s="803">
        <f>_xlfn.SUMIFS(Баланс!AE$26:AE$300,Баланс!$F$26:$F$300,$F96,Баланс!$G$26:$G$300,"ПО")</f>
        <v>0</v>
      </c>
      <c r="AF96" s="803">
        <f>_xlfn.SUMIFS(Баланс!AF$26:AF$300,Баланс!$F$26:$F$300,$F96,Баланс!$G$26:$G$300,"ПО")</f>
        <v>0</v>
      </c>
      <c r="AG96" s="803">
        <f>_xlfn.SUMIFS(Баланс!AG$26:AG$300,Баланс!$F$26:$F$300,$F96,Баланс!$G$26:$G$300,"ПО")</f>
        <v>0</v>
      </c>
      <c r="AH96" s="803">
        <f>AG96-AF96</f>
        <v>0</v>
      </c>
      <c r="AI96" s="803">
        <f>_xlfn.SUMIFS(Баланс!AH$26:AH$300,Баланс!$F$26:$F$300,$F96,Баланс!$G$26:$G$300,"ПО")</f>
        <v>0</v>
      </c>
      <c r="AJ96" s="803">
        <f>_xlfn.SUMIFS(Баланс!AI$26:AI$300,Баланс!$F$26:$F$300,$F96,Баланс!$G$26:$G$300,"ПО")</f>
        <v>0</v>
      </c>
      <c r="AK96" s="803">
        <f>_xlfn.SUMIFS(Баланс!AS$26:AS$300,Баланс!$F$26:$F$300,$F96,Баланс!$G$26:$G$300,"ПО")</f>
        <v>0</v>
      </c>
      <c r="AL96" s="804"/>
      <c r="AM96" s="4400"/>
      <c r="AN96" s="4400"/>
      <c r="AO96" s="4400"/>
      <c r="AP96" s="567"/>
      <c r="AQ96" s="567"/>
      <c r="AR96" s="1047" t="s">
        <v>1735</v>
      </c>
      <c r="AS96" s="1047"/>
      <c r="AT96" s="1047"/>
      <c r="AU96" s="677"/>
      <c r="AV96" s="677"/>
    </row>
    <row customHeight="1" ht="14.625" hidden="1">
      <c r="A97" s="1066"/>
      <c r="B97" s="1066"/>
      <c r="C97" s="1066"/>
      <c r="D97" s="1066"/>
      <c r="E97" s="675">
        <v>15</v>
      </c>
      <c r="F97" s="50" cm="1" t="str">
        <f t="array" ref="F97:F97">OFFSET(E97,-1,1)</f>
        <v>0</v>
      </c>
      <c r="G97" s="557" t="s">
        <v>1530</v>
      </c>
      <c r="H97" s="1066"/>
      <c r="I97" s="566" t="s">
        <v>1736</v>
      </c>
      <c r="J97" s="566"/>
      <c r="K97" s="566"/>
      <c r="L97" s="566"/>
      <c r="M97" s="566"/>
      <c r="N97" s="566"/>
      <c r="O97" s="566"/>
      <c r="P97" s="566"/>
      <c r="Q97" s="566"/>
      <c r="R97" s="566"/>
      <c r="S97" s="566"/>
      <c r="T97" s="439" cm="1" t="str">
        <f t="array" ref="T97:T97">T96</f>
        <v>false</v>
      </c>
      <c r="U97" s="1066"/>
      <c r="V97" s="1066"/>
      <c r="W97" s="1066"/>
      <c r="X97" s="1577"/>
      <c r="Y97" s="1066"/>
      <c r="Z97" s="1578"/>
      <c r="AA97" s="1066"/>
      <c r="AB97" s="788" t="s">
        <v>1737</v>
      </c>
      <c r="AC97" s="1096" t="s">
        <v>1738</v>
      </c>
      <c r="AD97" s="795" t="s">
        <v>512</v>
      </c>
      <c r="AE97" s="805">
        <f>AE96/2</f>
        <v>0</v>
      </c>
      <c r="AF97" s="805">
        <f>AF96/2</f>
        <v>0</v>
      </c>
      <c r="AG97" s="805">
        <f>AG96/2</f>
        <v>0</v>
      </c>
      <c r="AH97" s="806">
        <f>AG97-AF97</f>
        <v>0</v>
      </c>
      <c r="AI97" s="805">
        <f>AI96/2</f>
        <v>0</v>
      </c>
      <c r="AJ97" s="4446">
        <f>IF(god=2026,AJ96/12*9,AJ96/2)</f>
        <v>0</v>
      </c>
      <c r="AK97" s="4446">
        <f>IF(god=2026,AK96/12*9,AK96/2)</f>
        <v>0</v>
      </c>
      <c r="AL97" s="798"/>
      <c r="AM97" s="4392"/>
      <c r="AN97" s="4392"/>
      <c r="AO97" s="4392"/>
      <c r="AP97" s="1066"/>
      <c r="AQ97" s="1066"/>
      <c r="AR97" s="1046" t="s">
        <v>1739</v>
      </c>
      <c r="AS97" s="1046"/>
      <c r="AT97" s="1046"/>
      <c r="AU97" s="1043"/>
      <c r="AV97" s="1043"/>
    </row>
    <row customHeight="1" ht="14.625" hidden="1">
      <c r="A98" s="1066"/>
      <c r="B98" s="1066"/>
      <c r="C98" s="1066"/>
      <c r="D98" s="1066"/>
      <c r="E98" s="675">
        <v>15</v>
      </c>
      <c r="F98" s="50" cm="1" t="str">
        <f t="array" ref="F98:F98">OFFSET(E98,-1,1)</f>
        <v>0</v>
      </c>
      <c r="G98" s="557" t="s">
        <v>1491</v>
      </c>
      <c r="H98" s="1066"/>
      <c r="I98" s="566" t="s">
        <v>1740</v>
      </c>
      <c r="J98" s="566"/>
      <c r="K98" s="566"/>
      <c r="L98" s="566"/>
      <c r="M98" s="566"/>
      <c r="N98" s="566"/>
      <c r="O98" s="566"/>
      <c r="P98" s="566"/>
      <c r="Q98" s="566"/>
      <c r="R98" s="566"/>
      <c r="S98" s="566"/>
      <c r="T98" s="439" cm="1" t="str">
        <f t="array" ref="T98:T98">T97</f>
        <v>false</v>
      </c>
      <c r="U98" s="1066"/>
      <c r="V98" s="1066"/>
      <c r="W98" s="1066"/>
      <c r="X98" s="1577"/>
      <c r="Y98" s="1066"/>
      <c r="Z98" s="1578"/>
      <c r="AA98" s="1066"/>
      <c r="AB98" s="788" t="s">
        <v>1741</v>
      </c>
      <c r="AC98" s="1096" t="s">
        <v>1742</v>
      </c>
      <c r="AD98" s="795" t="s">
        <v>1494</v>
      </c>
      <c r="AE98" s="790"/>
      <c r="AF98" s="790"/>
      <c r="AG98" s="790"/>
      <c r="AH98" s="783">
        <f>AG98-AF98</f>
        <v>0</v>
      </c>
      <c r="AI98" s="790"/>
      <c r="AJ98" s="4405"/>
      <c r="AK98" s="4405"/>
      <c r="AL98" s="798"/>
      <c r="AM98" s="4392"/>
      <c r="AN98" s="4392"/>
      <c r="AO98" s="4392"/>
      <c r="AP98" s="1066"/>
      <c r="AQ98" s="1066"/>
      <c r="AR98" s="1046" t="s">
        <v>1743</v>
      </c>
      <c r="AS98" s="1046"/>
      <c r="AT98" s="1046"/>
      <c r="AU98" s="1043"/>
      <c r="AV98" s="1043"/>
    </row>
    <row customHeight="1" ht="14.625" hidden="1">
      <c r="A99" s="1066"/>
      <c r="B99" s="1066"/>
      <c r="C99" s="1066"/>
      <c r="D99" s="1066"/>
      <c r="E99" s="675">
        <v>15</v>
      </c>
      <c r="F99" s="50" cm="1" t="str">
        <f t="array" ref="F99:F99">OFFSET(E99,-1,1)</f>
        <v>0</v>
      </c>
      <c r="G99" s="557" t="s">
        <v>1543</v>
      </c>
      <c r="H99" s="1066"/>
      <c r="I99" s="566" t="s">
        <v>1744</v>
      </c>
      <c r="J99" s="566"/>
      <c r="K99" s="566"/>
      <c r="L99" s="566"/>
      <c r="M99" s="566"/>
      <c r="N99" s="566"/>
      <c r="O99" s="566"/>
      <c r="P99" s="566"/>
      <c r="Q99" s="566"/>
      <c r="R99" s="566"/>
      <c r="S99" s="566"/>
      <c r="T99" s="439" cm="1" t="str">
        <f t="array" ref="T99:T99">T98</f>
        <v>false</v>
      </c>
      <c r="U99" s="1066"/>
      <c r="V99" s="1066"/>
      <c r="W99" s="1066"/>
      <c r="X99" s="1577"/>
      <c r="Y99" s="1066"/>
      <c r="Z99" s="1578"/>
      <c r="AA99" s="1066"/>
      <c r="AB99" s="788" t="s">
        <v>1745</v>
      </c>
      <c r="AC99" s="1096" t="s">
        <v>1746</v>
      </c>
      <c r="AD99" s="795" t="s">
        <v>512</v>
      </c>
      <c r="AE99" s="806">
        <f>AE96-AE97</f>
        <v>0</v>
      </c>
      <c r="AF99" s="806">
        <f>AF96-AF97</f>
        <v>0</v>
      </c>
      <c r="AG99" s="806">
        <f>AG96-AG97</f>
        <v>0</v>
      </c>
      <c r="AH99" s="806">
        <f>AG99-AF99</f>
        <v>0</v>
      </c>
      <c r="AI99" s="806">
        <f>AI96-AI97</f>
        <v>0</v>
      </c>
      <c r="AJ99" s="806">
        <f>AJ96-AJ97</f>
        <v>0</v>
      </c>
      <c r="AK99" s="806">
        <f>AK96-AK97</f>
        <v>0</v>
      </c>
      <c r="AL99" s="798"/>
      <c r="AM99" s="4392"/>
      <c r="AN99" s="4392"/>
      <c r="AO99" s="4392"/>
      <c r="AP99" s="1066"/>
      <c r="AQ99" s="1066"/>
      <c r="AR99" s="1046" t="s">
        <v>1747</v>
      </c>
      <c r="AS99" s="1046"/>
      <c r="AT99" s="1046"/>
      <c r="AU99" s="1043"/>
      <c r="AV99" s="1043"/>
    </row>
    <row customHeight="1" ht="14.625" hidden="1">
      <c r="A100" s="1066"/>
      <c r="B100" s="1066"/>
      <c r="C100" s="1066"/>
      <c r="D100" s="1066"/>
      <c r="E100" s="675">
        <v>15</v>
      </c>
      <c r="F100" s="50" cm="1" t="str">
        <f t="array" ref="F100:F100">OFFSET(E100,-1,1)</f>
        <v>0</v>
      </c>
      <c r="G100" s="557" t="s">
        <v>1496</v>
      </c>
      <c r="H100" s="1066"/>
      <c r="I100" s="566" t="s">
        <v>1748</v>
      </c>
      <c r="J100" s="566"/>
      <c r="K100" s="566"/>
      <c r="L100" s="566"/>
      <c r="M100" s="566"/>
      <c r="N100" s="566"/>
      <c r="O100" s="566"/>
      <c r="P100" s="566"/>
      <c r="Q100" s="566"/>
      <c r="R100" s="566"/>
      <c r="S100" s="566"/>
      <c r="T100" s="439" cm="1" t="str">
        <f t="array" ref="T100:T100">T99</f>
        <v>false</v>
      </c>
      <c r="U100" s="1066"/>
      <c r="V100" s="1066"/>
      <c r="W100" s="1066"/>
      <c r="X100" s="1577"/>
      <c r="Y100" s="1066"/>
      <c r="Z100" s="1578"/>
      <c r="AA100" s="1066"/>
      <c r="AB100" s="788" t="s">
        <v>1749</v>
      </c>
      <c r="AC100" s="1096" t="s">
        <v>1750</v>
      </c>
      <c r="AD100" s="795" t="s">
        <v>1494</v>
      </c>
      <c r="AE100" s="790">
        <f>IF(AE99=0,0,(AE93-AE97*AE98)/AE99)</f>
        <v>0</v>
      </c>
      <c r="AF100" s="790">
        <f>IF(AF99=0,0,(AF93-AF97*AF98)/AF99)</f>
        <v>0</v>
      </c>
      <c r="AG100" s="790">
        <f>IF(AG99=0,0,(AG93-AG97*AG98)/AG99)</f>
        <v>0</v>
      </c>
      <c r="AH100" s="783">
        <f>AG100-AF100</f>
        <v>0</v>
      </c>
      <c r="AI100" s="790">
        <f>IF(AI99=0,0,(AI93-AI97*AI98)/AI99)</f>
        <v>0</v>
      </c>
      <c r="AJ100" s="4405">
        <f>IF(AJ99=0,0,(AJ93-AJ97*AJ98)/AJ99)</f>
        <v>0</v>
      </c>
      <c r="AK100" s="4405">
        <f>IF(AK99=0,0,(AK93-AK97*AK98)/AK99)</f>
        <v>0</v>
      </c>
      <c r="AL100" s="798"/>
      <c r="AM100" s="4392"/>
      <c r="AN100" s="4392"/>
      <c r="AO100" s="4392"/>
      <c r="AP100" s="1066"/>
      <c r="AQ100" s="1066"/>
      <c r="AR100" s="1046" t="s">
        <v>1751</v>
      </c>
      <c r="AS100" s="1046"/>
      <c r="AT100" s="1046"/>
      <c r="AU100" s="1043"/>
      <c r="AV100" s="1043"/>
    </row>
    <row customHeight="1" ht="14.625" hidden="1">
      <c r="A101" s="1066"/>
      <c r="B101" s="1066"/>
      <c r="C101" s="1066"/>
      <c r="D101" s="1066"/>
      <c r="E101" s="675">
        <v>15</v>
      </c>
      <c r="F101" s="50" cm="1" t="str">
        <f t="array" ref="F101:F101">OFFSET(E101,-1,1)</f>
        <v>0</v>
      </c>
      <c r="G101" s="557"/>
      <c r="H101" s="1066"/>
      <c r="I101" s="566" t="s">
        <v>1752</v>
      </c>
      <c r="J101" s="566"/>
      <c r="K101" s="566"/>
      <c r="L101" s="566"/>
      <c r="M101" s="566"/>
      <c r="N101" s="566"/>
      <c r="O101" s="566"/>
      <c r="P101" s="566"/>
      <c r="Q101" s="566"/>
      <c r="R101" s="566"/>
      <c r="S101" s="566"/>
      <c r="T101" s="439" cm="1" t="str">
        <f t="array" ref="T101:T101">T100</f>
        <v>false</v>
      </c>
      <c r="U101" s="1066"/>
      <c r="V101" s="1066"/>
      <c r="W101" s="1066"/>
      <c r="X101" s="1577"/>
      <c r="Y101" s="1066"/>
      <c r="Z101" s="1578"/>
      <c r="AA101" s="1066"/>
      <c r="AB101" s="788" t="s">
        <v>1753</v>
      </c>
      <c r="AC101" s="1096" t="s">
        <v>1754</v>
      </c>
      <c r="AD101" s="795" t="s">
        <v>437</v>
      </c>
      <c r="AE101" s="783">
        <f>IF(AE98=0,0,AE100/AE98*100)</f>
        <v>0</v>
      </c>
      <c r="AF101" s="783">
        <f>IF(AF98=0,0,AF100/AF98*100)</f>
        <v>0</v>
      </c>
      <c r="AG101" s="783">
        <f>IF(AG98=0,0,AG100/AG98*100)</f>
        <v>0</v>
      </c>
      <c r="AH101" s="798"/>
      <c r="AI101" s="783">
        <f>IF(AI98=0,0,AI100/AI98*100)</f>
        <v>0</v>
      </c>
      <c r="AJ101" s="783">
        <f>IF(AJ98=0,0,AJ100/AJ98*100)</f>
        <v>0</v>
      </c>
      <c r="AK101" s="783">
        <f>IF(AK98=0,0,AK100/AK98*100)</f>
        <v>0</v>
      </c>
      <c r="AL101" s="798"/>
      <c r="AM101" s="4392"/>
      <c r="AN101" s="4392"/>
      <c r="AO101" s="4392"/>
      <c r="AP101" s="1066"/>
      <c r="AQ101" s="1066"/>
      <c r="AR101" s="1046" t="s">
        <v>1755</v>
      </c>
      <c r="AS101" s="1046"/>
      <c r="AT101" s="1046"/>
      <c r="AU101" s="1043"/>
      <c r="AV101" s="1043"/>
    </row>
    <row customHeight="1" ht="14.625" hidden="1">
      <c r="A102" s="1066"/>
      <c r="B102" s="1066"/>
      <c r="C102" s="1066"/>
      <c r="D102" s="1066"/>
      <c r="E102" s="675">
        <v>15</v>
      </c>
      <c r="F102" s="50" cm="1" t="str">
        <f t="array" ref="F102:F102">OFFSET(E102,-1,1)</f>
        <v>0</v>
      </c>
      <c r="G102" s="557"/>
      <c r="H102" s="1066"/>
      <c r="I102" s="566" t="s">
        <v>1756</v>
      </c>
      <c r="J102" s="566"/>
      <c r="K102" s="566"/>
      <c r="L102" s="566"/>
      <c r="M102" s="566"/>
      <c r="N102" s="566"/>
      <c r="O102" s="566"/>
      <c r="P102" s="566"/>
      <c r="Q102" s="566"/>
      <c r="R102" s="566"/>
      <c r="S102" s="566"/>
      <c r="T102" s="439" cm="1" t="str">
        <f t="array" ref="T102:T102">T101</f>
        <v>false</v>
      </c>
      <c r="U102" s="1066"/>
      <c r="V102" s="1066"/>
      <c r="W102" s="1066"/>
      <c r="X102" s="1577"/>
      <c r="Y102" s="1066"/>
      <c r="Z102" s="1578"/>
      <c r="AA102" s="1066"/>
      <c r="AB102" s="788" t="s">
        <v>1757</v>
      </c>
      <c r="AC102" s="1096" t="s">
        <v>1758</v>
      </c>
      <c r="AD102" s="795" t="s">
        <v>1494</v>
      </c>
      <c r="AE102" s="790">
        <f>IF(AE96=0,0,AE93/AE96)</f>
        <v>0</v>
      </c>
      <c r="AF102" s="790">
        <f>IF(AF96=0,0,AF93/AF96)</f>
        <v>0</v>
      </c>
      <c r="AG102" s="790">
        <f>IF(AG96=0,0,AG93/AG96)</f>
        <v>0</v>
      </c>
      <c r="AH102" s="783">
        <f>AG102-AF102</f>
        <v>0</v>
      </c>
      <c r="AI102" s="790">
        <f>IF(AI96=0,0,AI93/AI96)</f>
        <v>0</v>
      </c>
      <c r="AJ102" s="4405">
        <f>IF(AJ96=0,0,AJ93/AJ96)</f>
        <v>0</v>
      </c>
      <c r="AK102" s="4405">
        <f>IF(AK96=0,0,AK93/AK96)</f>
        <v>0</v>
      </c>
      <c r="AL102" s="798"/>
      <c r="AM102" s="4392"/>
      <c r="AN102" s="4392"/>
      <c r="AO102" s="4392"/>
      <c r="AP102" s="1066"/>
      <c r="AQ102" s="1066"/>
      <c r="AR102" s="1046" t="s">
        <v>1759</v>
      </c>
      <c r="AS102" s="1046"/>
      <c r="AT102" s="1046"/>
      <c r="AU102" s="1043"/>
      <c r="AV102" s="1043"/>
    </row>
    <row s="567" customFormat="1" customHeight="1" ht="14.625" hidden="1">
      <c r="A103" s="567"/>
      <c r="B103" s="567"/>
      <c r="C103" s="567"/>
      <c r="D103" s="567"/>
      <c r="E103" s="677">
        <v>15</v>
      </c>
      <c r="F103" s="50" cm="1" t="str">
        <f t="array" ref="F103:F103">OFFSET(E103,-1,1)</f>
        <v>0</v>
      </c>
      <c r="G103" s="680"/>
      <c r="H103" s="567"/>
      <c r="I103" s="678" t="s">
        <v>1760</v>
      </c>
      <c r="J103" s="678"/>
      <c r="K103" s="678"/>
      <c r="L103" s="678"/>
      <c r="M103" s="678"/>
      <c r="N103" s="678"/>
      <c r="O103" s="678"/>
      <c r="P103" s="678"/>
      <c r="Q103" s="678"/>
      <c r="R103" s="678"/>
      <c r="S103" s="678"/>
      <c r="T103" s="439" cm="1" t="str">
        <f t="array" ref="T103:T103">T102</f>
        <v>false</v>
      </c>
      <c r="U103" s="567"/>
      <c r="V103" s="567"/>
      <c r="W103" s="567"/>
      <c r="X103" s="1577"/>
      <c r="Y103" s="567"/>
      <c r="Z103" s="1578"/>
      <c r="AA103" s="567"/>
      <c r="AB103" s="785" t="s">
        <v>1761</v>
      </c>
      <c r="AC103" s="179" t="s">
        <v>1762</v>
      </c>
      <c r="AD103" s="793" t="s">
        <v>784</v>
      </c>
      <c r="AE103" s="1261">
        <f>IF(AE96=0,0,AE93/AE96*AE104)</f>
        <v>0</v>
      </c>
      <c r="AF103" s="1261">
        <f>IF(AF96=0,0,AF93/AF96*AF104)</f>
        <v>0</v>
      </c>
      <c r="AG103" s="1261">
        <f>IF(AG96=0,0,AG93/AG96*AG104)</f>
        <v>0</v>
      </c>
      <c r="AH103" s="769">
        <f>AH105*AH106+AH107*AH108</f>
        <v>0</v>
      </c>
      <c r="AI103" s="1261">
        <f>IF(AI96=0,0,AI93/AI96*AI104)</f>
        <v>0</v>
      </c>
      <c r="AJ103" s="4450">
        <f>IF(AJ96=0,0,AJ93/AJ96*AJ104)</f>
        <v>0</v>
      </c>
      <c r="AK103" s="4450">
        <f>IF(AK96=0,0,AK93/AK96*AK104)</f>
        <v>0</v>
      </c>
      <c r="AL103" s="782">
        <f>IF(AI103=0,0,(AK103-AI103)/AI103*100)</f>
        <v>0</v>
      </c>
      <c r="AM103" s="4400"/>
      <c r="AN103" s="4400"/>
      <c r="AO103" s="4400"/>
      <c r="AP103" s="567"/>
      <c r="AQ103" s="567"/>
      <c r="AR103" s="1047" t="s">
        <v>1763</v>
      </c>
      <c r="AS103" s="1047"/>
      <c r="AT103" s="1047"/>
      <c r="AU103" s="677"/>
      <c r="AV103" s="677"/>
    </row>
    <row s="567" customFormat="1" customHeight="1" ht="14.625" hidden="1">
      <c r="A104" s="567"/>
      <c r="B104" s="567"/>
      <c r="C104" s="567"/>
      <c r="D104" s="567"/>
      <c r="E104" s="677">
        <v>15</v>
      </c>
      <c r="F104" s="50" cm="1" t="str">
        <f t="array" ref="F104:F104">OFFSET(E104,-1,1)</f>
        <v>0</v>
      </c>
      <c r="G104" s="557" t="s">
        <v>1516</v>
      </c>
      <c r="H104" s="567"/>
      <c r="I104" s="678" t="s">
        <v>1764</v>
      </c>
      <c r="J104" s="678"/>
      <c r="K104" s="678"/>
      <c r="L104" s="678"/>
      <c r="M104" s="678"/>
      <c r="N104" s="678"/>
      <c r="O104" s="678"/>
      <c r="P104" s="678"/>
      <c r="Q104" s="678"/>
      <c r="R104" s="678"/>
      <c r="S104" s="678"/>
      <c r="T104" s="439" cm="1" t="str">
        <f t="array" ref="T104:T104">T103</f>
        <v>false</v>
      </c>
      <c r="U104" s="567"/>
      <c r="V104" s="567"/>
      <c r="W104" s="567"/>
      <c r="X104" s="1577"/>
      <c r="Y104" s="567"/>
      <c r="Z104" s="1578"/>
      <c r="AA104" s="567"/>
      <c r="AB104" s="785" t="s">
        <v>1765</v>
      </c>
      <c r="AC104" s="179" t="s">
        <v>1766</v>
      </c>
      <c r="AD104" s="793" t="s">
        <v>512</v>
      </c>
      <c r="AE104" s="803">
        <f>_xlfn.SUMIFS(Баланс!AE$26:AE$300,Баланс!$F$26:$F$300,$F104,Баланс!$G$26:$G$300,"население")</f>
        <v>0</v>
      </c>
      <c r="AF104" s="803">
        <f>_xlfn.SUMIFS(Баланс!AF$26:AF$300,Баланс!$F$26:$F$300,$F104,Баланс!$G$26:$G$300,"население")</f>
        <v>0</v>
      </c>
      <c r="AG104" s="803">
        <f>_xlfn.SUMIFS(Баланс!AG$26:AG$300,Баланс!$F$26:$F$300,$F104,Баланс!$G$26:$G$300,"население")</f>
        <v>0</v>
      </c>
      <c r="AH104" s="803">
        <f>AG104-AF104</f>
        <v>0</v>
      </c>
      <c r="AI104" s="803">
        <f>_xlfn.SUMIFS(Баланс!AH$26:AH$300,Баланс!$F$26:$F$300,$F104,Баланс!$G$26:$G$300,"население")</f>
        <v>0</v>
      </c>
      <c r="AJ104" s="803">
        <f>_xlfn.SUMIFS(Баланс!AI$26:AI$300,Баланс!$F$26:$F$300,$F104,Баланс!$G$26:$G$300,"население")</f>
        <v>0</v>
      </c>
      <c r="AK104" s="803">
        <f>_xlfn.SUMIFS(Баланс!AS$26:AS$300,Баланс!$F$26:$F$300,$F104,Баланс!$G$26:$G$300,"население")</f>
        <v>0</v>
      </c>
      <c r="AL104" s="804"/>
      <c r="AM104" s="4400"/>
      <c r="AN104" s="4400"/>
      <c r="AO104" s="4400"/>
      <c r="AP104" s="567"/>
      <c r="AQ104" s="567"/>
      <c r="AR104" s="1047" t="s">
        <v>1767</v>
      </c>
      <c r="AS104" s="1047"/>
      <c r="AT104" s="1047"/>
      <c r="AU104" s="677"/>
      <c r="AV104" s="677"/>
    </row>
    <row customHeight="1" ht="14.625" hidden="1">
      <c r="A105" s="1066"/>
      <c r="B105" s="1066"/>
      <c r="C105" s="1066"/>
      <c r="D105" s="1066"/>
      <c r="E105" s="675">
        <v>15</v>
      </c>
      <c r="F105" s="50" cm="1" t="str">
        <f t="array" ref="F105:F105">OFFSET(E105,-1,1)</f>
        <v>0</v>
      </c>
      <c r="G105" s="557" t="s">
        <v>1550</v>
      </c>
      <c r="H105" s="1066"/>
      <c r="I105" s="566" t="s">
        <v>1768</v>
      </c>
      <c r="J105" s="566"/>
      <c r="K105" s="566"/>
      <c r="L105" s="566"/>
      <c r="M105" s="566"/>
      <c r="N105" s="566"/>
      <c r="O105" s="566"/>
      <c r="P105" s="566"/>
      <c r="Q105" s="566"/>
      <c r="R105" s="566"/>
      <c r="S105" s="566"/>
      <c r="T105" s="439" cm="1" t="str">
        <f t="array" ref="T105:T105">T104</f>
        <v>false</v>
      </c>
      <c r="U105" s="1066"/>
      <c r="V105" s="1066"/>
      <c r="W105" s="1066"/>
      <c r="X105" s="1577"/>
      <c r="Y105" s="1066"/>
      <c r="Z105" s="1578"/>
      <c r="AA105" s="1066"/>
      <c r="AB105" s="788" t="s">
        <v>1769</v>
      </c>
      <c r="AC105" s="1096" t="s">
        <v>1770</v>
      </c>
      <c r="AD105" s="795" t="s">
        <v>512</v>
      </c>
      <c r="AE105" s="805">
        <f>AE104/2</f>
        <v>0</v>
      </c>
      <c r="AF105" s="805">
        <f>AF104/2</f>
        <v>0</v>
      </c>
      <c r="AG105" s="805">
        <f>AG104/2</f>
        <v>0</v>
      </c>
      <c r="AH105" s="806">
        <f>AG105-AF105</f>
        <v>0</v>
      </c>
      <c r="AI105" s="805">
        <f>AI104/2</f>
        <v>0</v>
      </c>
      <c r="AJ105" s="4446">
        <f>IF(god=2026,AJ104/12*9,AJ104/2)</f>
        <v>0</v>
      </c>
      <c r="AK105" s="4446">
        <f>IF(god=2026,AK104/12*9,AK104/2)</f>
        <v>0</v>
      </c>
      <c r="AL105" s="798"/>
      <c r="AM105" s="4392"/>
      <c r="AN105" s="4392"/>
      <c r="AO105" s="4392"/>
      <c r="AP105" s="1066"/>
      <c r="AQ105" s="1066"/>
      <c r="AR105" s="1046" t="s">
        <v>1771</v>
      </c>
      <c r="AS105" s="1046"/>
      <c r="AT105" s="1046"/>
      <c r="AU105" s="1043"/>
      <c r="AV105" s="1043"/>
    </row>
    <row customHeight="1" ht="14.625" hidden="1">
      <c r="A106" s="1066"/>
      <c r="B106" s="1066"/>
      <c r="C106" s="1066"/>
      <c r="D106" s="1066"/>
      <c r="E106" s="675">
        <v>15</v>
      </c>
      <c r="F106" s="50" cm="1" t="str">
        <f t="array" ref="F106:F106">OFFSET(E106,-1,1)</f>
        <v>0</v>
      </c>
      <c r="G106" s="557" t="s">
        <v>1506</v>
      </c>
      <c r="H106" s="1066"/>
      <c r="I106" s="566" t="s">
        <v>1772</v>
      </c>
      <c r="J106" s="566"/>
      <c r="K106" s="566"/>
      <c r="L106" s="566"/>
      <c r="M106" s="566"/>
      <c r="N106" s="566"/>
      <c r="O106" s="566"/>
      <c r="P106" s="566"/>
      <c r="Q106" s="566"/>
      <c r="R106" s="566"/>
      <c r="S106" s="566"/>
      <c r="T106" s="439" cm="1" t="str">
        <f t="array" ref="T106:T106">T105</f>
        <v>false</v>
      </c>
      <c r="U106" s="1066"/>
      <c r="V106" s="1066"/>
      <c r="W106" s="1066"/>
      <c r="X106" s="1577"/>
      <c r="Y106" s="1066"/>
      <c r="Z106" s="1578"/>
      <c r="AA106" s="1066"/>
      <c r="AB106" s="788" t="s">
        <v>1773</v>
      </c>
      <c r="AC106" s="1096" t="s">
        <v>1774</v>
      </c>
      <c r="AD106" s="795" t="s">
        <v>1494</v>
      </c>
      <c r="AE106" s="1602">
        <f>IF(AE104=0,0,AE98*(1+Сценарии!AE$26/100))</f>
        <v>0</v>
      </c>
      <c r="AF106" s="1602">
        <f>IF(AF104=0,0,AF98*(1+Сценарии!AF$26/100))</f>
        <v>0</v>
      </c>
      <c r="AG106" s="1602">
        <f>IF(AG104=0,0,AG98*(1+Сценарии!AG$26/100))</f>
        <v>0</v>
      </c>
      <c r="AH106" s="783">
        <f>AG106-AF106</f>
        <v>0</v>
      </c>
      <c r="AI106" s="1602">
        <f>IF(AI104=0,0,AI98*(1+Сценарии!AI$26/100))</f>
        <v>0</v>
      </c>
      <c r="AJ106" s="4452">
        <f>IF(AJ104=0,0,AJ98*(1+Сценарии!AJ$26/100))</f>
        <v>0</v>
      </c>
      <c r="AK106" s="4452">
        <f>IF(AK104=0,0,AK98*(1+Сценарии!AK$26/100))</f>
        <v>0</v>
      </c>
      <c r="AL106" s="798"/>
      <c r="AM106" s="4392"/>
      <c r="AN106" s="4392"/>
      <c r="AO106" s="4392"/>
      <c r="AP106" s="1066"/>
      <c r="AQ106" s="1066"/>
      <c r="AR106" s="1046" t="s">
        <v>1775</v>
      </c>
      <c r="AS106" s="1046"/>
      <c r="AT106" s="1046"/>
      <c r="AU106" s="1043"/>
      <c r="AV106" s="1043"/>
    </row>
    <row customHeight="1" ht="14.625" hidden="1">
      <c r="A107" s="1066"/>
      <c r="B107" s="1066"/>
      <c r="C107" s="1066"/>
      <c r="D107" s="1066"/>
      <c r="E107" s="675">
        <v>15</v>
      </c>
      <c r="F107" s="50" cm="1" t="str">
        <f t="array" ref="F107:F107">OFFSET(E107,-1,1)</f>
        <v>0</v>
      </c>
      <c r="G107" s="557" t="s">
        <v>1557</v>
      </c>
      <c r="H107" s="1066"/>
      <c r="I107" s="566" t="s">
        <v>1776</v>
      </c>
      <c r="J107" s="566"/>
      <c r="K107" s="566"/>
      <c r="L107" s="566"/>
      <c r="M107" s="566"/>
      <c r="N107" s="566"/>
      <c r="O107" s="566"/>
      <c r="P107" s="566"/>
      <c r="Q107" s="566"/>
      <c r="R107" s="566"/>
      <c r="S107" s="566"/>
      <c r="T107" s="439" cm="1" t="str">
        <f t="array" ref="T107:T107">T106</f>
        <v>false</v>
      </c>
      <c r="U107" s="1066"/>
      <c r="V107" s="1066"/>
      <c r="W107" s="1066"/>
      <c r="X107" s="1577"/>
      <c r="Y107" s="1066"/>
      <c r="Z107" s="1578"/>
      <c r="AA107" s="1066"/>
      <c r="AB107" s="788" t="s">
        <v>1777</v>
      </c>
      <c r="AC107" s="1096" t="s">
        <v>1746</v>
      </c>
      <c r="AD107" s="795" t="s">
        <v>512</v>
      </c>
      <c r="AE107" s="806">
        <f>AE104-AE105</f>
        <v>0</v>
      </c>
      <c r="AF107" s="806">
        <f>AF104-AF105</f>
        <v>0</v>
      </c>
      <c r="AG107" s="806">
        <f>AG104-AG105</f>
        <v>0</v>
      </c>
      <c r="AH107" s="806">
        <f>AG107-AF107</f>
        <v>0</v>
      </c>
      <c r="AI107" s="806">
        <f>AI104-AI105</f>
        <v>0</v>
      </c>
      <c r="AJ107" s="806">
        <f>AJ104-AJ105</f>
        <v>0</v>
      </c>
      <c r="AK107" s="806">
        <f>AK104-AK105</f>
        <v>0</v>
      </c>
      <c r="AL107" s="798"/>
      <c r="AM107" s="4392"/>
      <c r="AN107" s="4392"/>
      <c r="AO107" s="4392"/>
      <c r="AP107" s="1066"/>
      <c r="AQ107" s="1066"/>
      <c r="AR107" s="1046" t="s">
        <v>1778</v>
      </c>
      <c r="AS107" s="1046"/>
      <c r="AT107" s="1046"/>
      <c r="AU107" s="1043"/>
      <c r="AV107" s="1043"/>
    </row>
    <row customHeight="1" ht="14.625" hidden="1">
      <c r="A108" s="1066"/>
      <c r="B108" s="1066"/>
      <c r="C108" s="1066"/>
      <c r="D108" s="1066"/>
      <c r="E108" s="675">
        <v>15</v>
      </c>
      <c r="F108" s="50" cm="1" t="str">
        <f t="array" ref="F108:F108">OFFSET(E108,-1,1)</f>
        <v>0</v>
      </c>
      <c r="G108" s="557" t="s">
        <v>1510</v>
      </c>
      <c r="H108" s="1066"/>
      <c r="I108" s="566" t="s">
        <v>1779</v>
      </c>
      <c r="J108" s="566"/>
      <c r="K108" s="566"/>
      <c r="L108" s="566"/>
      <c r="M108" s="566"/>
      <c r="N108" s="566"/>
      <c r="O108" s="566"/>
      <c r="P108" s="566"/>
      <c r="Q108" s="566"/>
      <c r="R108" s="566"/>
      <c r="S108" s="566"/>
      <c r="T108" s="439" cm="1" t="str">
        <f t="array" ref="T108:T108">T107</f>
        <v>false</v>
      </c>
      <c r="U108" s="1066"/>
      <c r="V108" s="1066"/>
      <c r="W108" s="1066"/>
      <c r="X108" s="1577"/>
      <c r="Y108" s="1066"/>
      <c r="Z108" s="1578"/>
      <c r="AA108" s="1066"/>
      <c r="AB108" s="788" t="s">
        <v>1780</v>
      </c>
      <c r="AC108" s="1096" t="s">
        <v>1781</v>
      </c>
      <c r="AD108" s="795" t="s">
        <v>1494</v>
      </c>
      <c r="AE108" s="790">
        <f>IF(AE104=0,0,AE100*(1+Сценарии!AE$26/100))</f>
        <v>0</v>
      </c>
      <c r="AF108" s="790">
        <f>IF(AF104=0,0,AF100*(1+Сценарии!AF$26/100))</f>
        <v>0</v>
      </c>
      <c r="AG108" s="790">
        <f>IF(AG104=0,0,AG100*(1+Сценарии!AG$26/100))</f>
        <v>0</v>
      </c>
      <c r="AH108" s="783">
        <f>AG108-AF108</f>
        <v>0</v>
      </c>
      <c r="AI108" s="790">
        <f>IF(AI104=0,0,AI100*(1+Сценарии!AI$26/100))</f>
        <v>0</v>
      </c>
      <c r="AJ108" s="4405">
        <f>IF(AJ104=0,0,AJ100*(1+Сценарии!AJ$26/100))</f>
        <v>0</v>
      </c>
      <c r="AK108" s="4405">
        <f>IF(AK104=0,0,AK100*(1+Сценарии!AK$26/100))</f>
        <v>0</v>
      </c>
      <c r="AL108" s="798"/>
      <c r="AM108" s="4392"/>
      <c r="AN108" s="4392"/>
      <c r="AO108" s="4392"/>
      <c r="AP108" s="1066"/>
      <c r="AQ108" s="1066"/>
      <c r="AR108" s="1046" t="s">
        <v>1782</v>
      </c>
      <c r="AS108" s="1046"/>
      <c r="AT108" s="1046"/>
      <c r="AU108" s="1043"/>
      <c r="AV108" s="1043"/>
    </row>
    <row customHeight="1" ht="14.625" hidden="1">
      <c r="A109" s="1066"/>
      <c r="B109" s="1066"/>
      <c r="C109" s="1066"/>
      <c r="D109" s="1066"/>
      <c r="E109" s="675">
        <v>15</v>
      </c>
      <c r="F109" s="50" cm="1" t="str">
        <f t="array" ref="F109:F109">OFFSET(E109,-1,1)</f>
        <v>0</v>
      </c>
      <c r="G109" s="557"/>
      <c r="H109" s="1066"/>
      <c r="I109" s="566"/>
      <c r="J109" s="566"/>
      <c r="K109" s="566"/>
      <c r="L109" s="566"/>
      <c r="M109" s="566"/>
      <c r="N109" s="566"/>
      <c r="O109" s="566"/>
      <c r="P109" s="566"/>
      <c r="Q109" s="566"/>
      <c r="R109" s="566"/>
      <c r="S109" s="566"/>
      <c r="T109" s="439" cm="1" t="str">
        <f t="array" ref="T109:T109">T108</f>
        <v>false</v>
      </c>
      <c r="U109" s="1066"/>
      <c r="V109" s="1066"/>
      <c r="W109" s="1066"/>
      <c r="X109" s="1577"/>
      <c r="Y109" s="1066"/>
      <c r="Z109" s="1578"/>
      <c r="AA109" s="1066"/>
      <c r="AB109" s="185" t="s">
        <v>1783</v>
      </c>
      <c r="AC109" s="179" t="s">
        <v>1784</v>
      </c>
      <c r="AD109" s="178" t="s">
        <v>784</v>
      </c>
      <c r="AE109" s="790"/>
      <c r="AF109" s="790"/>
      <c r="AG109" s="790"/>
      <c r="AH109" s="783">
        <f>AG109-AF109</f>
        <v>0</v>
      </c>
      <c r="AI109" s="790"/>
      <c r="AJ109" s="4405"/>
      <c r="AK109" s="4405"/>
      <c r="AL109" s="798"/>
      <c r="AM109" s="4392"/>
      <c r="AN109" s="4392"/>
      <c r="AO109" s="4392"/>
      <c r="AP109" s="1066"/>
      <c r="AQ109" s="1066"/>
      <c r="AR109" s="1046" t="s">
        <v>1785</v>
      </c>
      <c r="AS109" s="1046"/>
      <c r="AT109" s="1046"/>
      <c r="AU109" s="1043"/>
      <c r="AV109" s="1043"/>
    </row>
    <row customHeight="1" ht="21.9375" hidden="1">
      <c r="A110" s="1066"/>
      <c r="B110" s="1066"/>
      <c r="C110" s="1066"/>
      <c r="D110" s="1066"/>
      <c r="E110" s="675">
        <v>22.5</v>
      </c>
      <c r="F110" s="50" cm="1" t="str">
        <f t="array" ref="F110:F110">OFFSET(E110,-1,1)</f>
        <v>0</v>
      </c>
      <c r="G110" s="557"/>
      <c r="H110" s="1066"/>
      <c r="I110" s="566"/>
      <c r="J110" s="566"/>
      <c r="K110" s="566"/>
      <c r="L110" s="566"/>
      <c r="M110" s="566"/>
      <c r="N110" s="566"/>
      <c r="O110" s="566"/>
      <c r="P110" s="566"/>
      <c r="Q110" s="566"/>
      <c r="R110" s="566"/>
      <c r="S110" s="566"/>
      <c r="T110" s="439" cm="1" t="str">
        <f t="array" ref="T110:T110">T109</f>
        <v>false</v>
      </c>
      <c r="U110" s="1066"/>
      <c r="V110" s="1066"/>
      <c r="W110" s="1066"/>
      <c r="X110" s="1577"/>
      <c r="Y110" s="1066"/>
      <c r="Z110" s="1578"/>
      <c r="AA110" s="1066"/>
      <c r="AB110" s="266" t="s">
        <v>1786</v>
      </c>
      <c r="AC110" s="743" t="s">
        <v>1787</v>
      </c>
      <c r="AD110" s="267" t="s">
        <v>784</v>
      </c>
      <c r="AE110" s="790"/>
      <c r="AF110" s="790"/>
      <c r="AG110" s="790"/>
      <c r="AH110" s="783">
        <f>AG110-AF110</f>
        <v>0</v>
      </c>
      <c r="AI110" s="790"/>
      <c r="AJ110" s="4405"/>
      <c r="AK110" s="4405"/>
      <c r="AL110" s="798"/>
      <c r="AM110" s="4392"/>
      <c r="AN110" s="4392"/>
      <c r="AO110" s="4392"/>
      <c r="AP110" s="1066"/>
      <c r="AQ110" s="1066"/>
      <c r="AR110" s="1046" t="s">
        <v>1788</v>
      </c>
      <c r="AS110" s="1046"/>
      <c r="AT110" s="1046"/>
      <c r="AU110" s="1043"/>
      <c r="AV110" s="1043"/>
    </row>
    <row customHeight="1" ht="70.2" hidden="1">
      <c r="A111" s="1066"/>
      <c r="B111" s="1066"/>
      <c r="C111" s="1066"/>
      <c r="D111" s="1066"/>
      <c r="E111" s="675">
        <v>72</v>
      </c>
      <c r="F111" s="50" cm="1" t="str">
        <f t="array" ref="F111:F111">OFFSET(E111,-1,1)</f>
        <v>0</v>
      </c>
      <c r="G111" s="557"/>
      <c r="H111" s="1066"/>
      <c r="I111" s="566"/>
      <c r="J111" s="566"/>
      <c r="K111" s="566"/>
      <c r="L111" s="566"/>
      <c r="M111" s="566"/>
      <c r="N111" s="566"/>
      <c r="O111" s="566"/>
      <c r="P111" s="566"/>
      <c r="Q111" s="566"/>
      <c r="R111" s="566"/>
      <c r="S111" s="566"/>
      <c r="T111" s="439" cm="1" t="str">
        <f t="array" ref="T111:T111">T110</f>
        <v>false</v>
      </c>
      <c r="U111" s="1066"/>
      <c r="V111" s="1066"/>
      <c r="W111" s="1066"/>
      <c r="X111" s="1577"/>
      <c r="Y111" s="1066"/>
      <c r="Z111" s="1578"/>
      <c r="AA111" s="1066"/>
      <c r="AB111" s="266" t="s">
        <v>1789</v>
      </c>
      <c r="AC111" s="743" t="s">
        <v>1790</v>
      </c>
      <c r="AD111" s="267" t="s">
        <v>784</v>
      </c>
      <c r="AE111" s="790"/>
      <c r="AF111" s="790"/>
      <c r="AG111" s="790"/>
      <c r="AH111" s="783">
        <f>AG111-AF111</f>
        <v>0</v>
      </c>
      <c r="AI111" s="790"/>
      <c r="AJ111" s="4405"/>
      <c r="AK111" s="4405"/>
      <c r="AL111" s="798"/>
      <c r="AM111" s="4392"/>
      <c r="AN111" s="4392"/>
      <c r="AO111" s="4392"/>
      <c r="AP111" s="1066"/>
      <c r="AQ111" s="1066"/>
      <c r="AR111" s="1046" t="s">
        <v>1791</v>
      </c>
      <c r="AS111" s="1046"/>
      <c r="AT111" s="1046"/>
      <c r="AU111" s="1043"/>
      <c r="AV111" s="1043"/>
    </row>
    <row s="1621" customFormat="1" customHeight="1" ht="14.25">
      <c r="A112" s="1066"/>
      <c r="B112" s="1066"/>
      <c r="C112" s="1066"/>
      <c r="D112" s="1066"/>
      <c r="E112" s="675">
        <v>15</v>
      </c>
      <c r="F112" s="558" cm="1" t="str">
        <f t="array" ref="F112:F112">X112</f>
        <v>1</v>
      </c>
      <c r="G112" s="676" cm="1" t="str">
        <f t="array" ref="G112:G112">INDEX('Общие сведения'!$AK$179:$AK$222,MATCH($X112,'Общие сведения'!$Z$179:$Z$222,0))</f>
        <v>одноставочный</v>
      </c>
      <c r="H112" s="1066"/>
      <c r="I112" s="1066"/>
      <c r="J112" s="1066"/>
      <c r="K112" s="1066"/>
      <c r="L112" s="1066"/>
      <c r="M112" s="1066"/>
      <c r="N112" s="1066"/>
      <c r="O112" s="1066"/>
      <c r="P112" s="1066"/>
      <c r="Q112" s="1066"/>
      <c r="R112" s="1066"/>
      <c r="S112" s="1066"/>
      <c r="T112" s="439">
        <f>X112&gt;0</f>
        <v>1</v>
      </c>
      <c r="U112" s="1066"/>
      <c r="V112" s="674" cm="1" t="str">
        <f t="array" ref="V112:V112">ТМ!$AD$85</f>
        <v>Тариф 1 (Водоснабжение) - тариф на техническую воду (Оказание услуг на территории: Прокопьевский муниципальный округ (ОКТМО: 32522000) - п Калачево)</v>
      </c>
      <c r="W112" s="1066"/>
      <c r="X112" s="1577" t="s">
        <v>272</v>
      </c>
      <c r="Y112" s="1066"/>
      <c r="Z112" s="1578"/>
      <c r="AA112" s="1066"/>
      <c r="AB112" s="1254" cm="1" t="str">
        <f t="array" ref="AB112:AB112">ТМ!$AD$85</f>
        <v>Тариф 1 (Водоснабжение) - тариф на техническую воду (Оказание услуг на территории: Прокопьевский муниципальный округ (ОКТМО: 32522000) - п Калачево)</v>
      </c>
      <c r="AC112" s="565"/>
      <c r="AD112" s="565"/>
      <c r="AE112" s="565"/>
      <c r="AF112" s="565"/>
      <c r="AG112" s="565"/>
      <c r="AH112" s="565"/>
      <c r="AI112" s="565"/>
      <c r="AJ112" s="565"/>
      <c r="AK112" s="565"/>
      <c r="AL112" s="565"/>
      <c r="AM112" s="565"/>
      <c r="AN112" s="565"/>
      <c r="AO112" s="565"/>
      <c r="AP112" s="1066"/>
      <c r="AQ112" s="1066"/>
      <c r="AR112" s="1046"/>
      <c r="AS112" s="1046"/>
      <c r="AT112" s="1046"/>
      <c r="AU112" s="1043"/>
      <c r="AV112" s="1043"/>
    </row>
    <row s="1621" customFormat="1" customHeight="1" ht="14.25">
      <c r="A113" s="1066"/>
      <c r="B113" s="1066"/>
      <c r="C113" s="1066"/>
      <c r="D113" s="1066"/>
      <c r="E113" s="675">
        <v>15</v>
      </c>
      <c r="F113" s="50" cm="1" t="str">
        <f t="array" ref="F113:F113">OFFSET(E113,-1,1)</f>
        <v>1</v>
      </c>
      <c r="G113" s="1066"/>
      <c r="H113" s="1066"/>
      <c r="I113" s="566" t="s">
        <v>325</v>
      </c>
      <c r="J113" s="566"/>
      <c r="K113" s="566"/>
      <c r="L113" s="566"/>
      <c r="M113" s="566"/>
      <c r="N113" s="566"/>
      <c r="O113" s="566"/>
      <c r="P113" s="566"/>
      <c r="Q113" s="566"/>
      <c r="R113" s="566"/>
      <c r="S113" s="566"/>
      <c r="T113" s="439" cm="1" t="str">
        <f t="array" ref="T113:T113">T112</f>
        <v>true</v>
      </c>
      <c r="U113" s="1066"/>
      <c r="V113" s="1066"/>
      <c r="W113" s="1066"/>
      <c r="X113" s="1577"/>
      <c r="Y113" s="1066"/>
      <c r="Z113" s="1578"/>
      <c r="AA113" s="1066"/>
      <c r="AB113" s="780" t="s">
        <v>272</v>
      </c>
      <c r="AC113" s="781" t="s">
        <v>1586</v>
      </c>
      <c r="AD113" s="740" t="s">
        <v>784</v>
      </c>
      <c r="AE113" s="782">
        <f>AE114+AE118+AE128+AE129+AE132+AE133+AE134</f>
        <v>609.8370458186</v>
      </c>
      <c r="AF113" s="782">
        <f>AF114+AF118+AF128+AF129+AF132+AF133+AF134</f>
        <v>589.5074299695</v>
      </c>
      <c r="AG113" s="782">
        <f>AG114+AG118+AG128+AG129+AG132+AG133+AG134</f>
        <v>589.5074299695</v>
      </c>
      <c r="AH113" s="782">
        <f>AG113-AF113</f>
        <v>0</v>
      </c>
      <c r="AI113" s="782">
        <f>AI114+AI118+AI128+AI129+AI132+AI133+AI134</f>
        <v>601.3424488914</v>
      </c>
      <c r="AJ113" s="782">
        <f>AJ114+AJ118+AJ128+AJ129+AJ132+AJ133+AJ134</f>
        <v>612.4689</v>
      </c>
      <c r="AK113" s="782">
        <f>AK114+AK118+AK128+AK129+AK132+AK133+AK134</f>
        <v>678.5030226358</v>
      </c>
      <c r="AL113" s="783">
        <f>IF(AI113=0,0,(AK113-AI113)/AI113*100)</f>
        <v>12.8313864897861</v>
      </c>
      <c r="AM113" s="784"/>
      <c r="AN113" s="892"/>
      <c r="AO113" s="784"/>
      <c r="AP113" s="1066"/>
      <c r="AQ113" s="1066"/>
      <c r="AR113" s="1046" t="s">
        <v>498</v>
      </c>
      <c r="AS113" s="1046"/>
      <c r="AT113" s="1046"/>
      <c r="AU113" s="1043"/>
      <c r="AV113" s="1043"/>
    </row>
    <row s="4455" customFormat="1" customHeight="1" ht="21.75">
      <c r="A114" s="567"/>
      <c r="B114" s="567"/>
      <c r="C114" s="567"/>
      <c r="D114" s="567"/>
      <c r="E114" s="677">
        <v>22.5</v>
      </c>
      <c r="F114" s="50" cm="1" t="str">
        <f t="array" ref="F114:F114">OFFSET(E114,-1,1)</f>
        <v>1</v>
      </c>
      <c r="G114" s="567"/>
      <c r="H114" s="567"/>
      <c r="I114" s="678" t="s">
        <v>441</v>
      </c>
      <c r="J114" s="678"/>
      <c r="K114" s="678"/>
      <c r="L114" s="678"/>
      <c r="M114" s="678"/>
      <c r="N114" s="678"/>
      <c r="O114" s="678"/>
      <c r="P114" s="678"/>
      <c r="Q114" s="678"/>
      <c r="R114" s="678"/>
      <c r="S114" s="678"/>
      <c r="T114" s="439" cm="1" t="str">
        <f t="array" ref="T114:T114">T113</f>
        <v>true</v>
      </c>
      <c r="U114" s="567"/>
      <c r="V114" s="567"/>
      <c r="W114" s="567"/>
      <c r="X114" s="1577"/>
      <c r="Y114" s="567"/>
      <c r="Z114" s="1578"/>
      <c r="AA114" s="567"/>
      <c r="AB114" s="785" t="s">
        <v>845</v>
      </c>
      <c r="AC114" s="786" t="s">
        <v>1587</v>
      </c>
      <c r="AD114" s="569" t="s">
        <v>784</v>
      </c>
      <c r="AE114" s="782">
        <f>SUM(AE115:AE117)</f>
        <v>0</v>
      </c>
      <c r="AF114" s="782">
        <f>SUM(AF115:AF117)</f>
        <v>0</v>
      </c>
      <c r="AG114" s="782">
        <f>SUM(AG115:AG117)</f>
        <v>0</v>
      </c>
      <c r="AH114" s="782">
        <f>AG114-AF114</f>
        <v>0</v>
      </c>
      <c r="AI114" s="782">
        <f>SUM(AI115:AI117)</f>
        <v>0</v>
      </c>
      <c r="AJ114" s="782">
        <f>SUM(AJ115:AJ117)</f>
        <v>0</v>
      </c>
      <c r="AK114" s="782">
        <f>SUM(AK115:AK117)</f>
        <v>0</v>
      </c>
      <c r="AL114" s="782">
        <f>IF(AI114=0,0,(AK114-AI114)/AI114*100)</f>
        <v>0</v>
      </c>
      <c r="AM114" s="787"/>
      <c r="AN114" s="787"/>
      <c r="AO114" s="787"/>
      <c r="AP114" s="567"/>
      <c r="AQ114" s="567"/>
      <c r="AR114" s="1047" t="s">
        <v>1588</v>
      </c>
      <c r="AS114" s="1047"/>
      <c r="AT114" s="1047"/>
      <c r="AU114" s="677"/>
      <c r="AV114" s="677"/>
    </row>
    <row s="1621" customFormat="1" customHeight="1" ht="14.25">
      <c r="A115" s="1066"/>
      <c r="B115" s="1066"/>
      <c r="C115" s="1066"/>
      <c r="D115" s="1066"/>
      <c r="E115" s="675">
        <v>15</v>
      </c>
      <c r="F115" s="50" cm="1" t="str">
        <f t="array" ref="F115:F115">OFFSET(E115,-1,1)</f>
        <v>1</v>
      </c>
      <c r="G115" s="1066"/>
      <c r="H115" s="1066"/>
      <c r="I115" s="566" t="s">
        <v>954</v>
      </c>
      <c r="J115" s="566"/>
      <c r="K115" s="566"/>
      <c r="L115" s="566"/>
      <c r="M115" s="566"/>
      <c r="N115" s="566"/>
      <c r="O115" s="566"/>
      <c r="P115" s="566"/>
      <c r="Q115" s="566"/>
      <c r="R115" s="566"/>
      <c r="S115" s="566"/>
      <c r="T115" s="439" cm="1" t="str">
        <f t="array" ref="T115:T115">T114</f>
        <v>true</v>
      </c>
      <c r="U115" s="1066"/>
      <c r="V115" s="1066"/>
      <c r="W115" s="1066"/>
      <c r="X115" s="1577"/>
      <c r="Y115" s="1066"/>
      <c r="Z115" s="1578"/>
      <c r="AA115" s="1066"/>
      <c r="AB115" s="788" t="s">
        <v>955</v>
      </c>
      <c r="AC115" s="789" t="s">
        <v>1589</v>
      </c>
      <c r="AD115" s="740" t="s">
        <v>784</v>
      </c>
      <c r="AE115" s="783">
        <f>_xlfn.SUMIFS('Сырье и материалы'!AE$25:AE$39,'Сырье и материалы'!$F$25:$F$39,$F115,'Сырье и материалы'!$AC$25:$AC$39,"Всего по тарифу")</f>
        <v>0</v>
      </c>
      <c r="AF115" s="783">
        <f>_xlfn.SUMIFS('Сырье и материалы'!AF$25:AF$39,'Сырье и материалы'!$F$25:$F$39,$F115,'Сырье и материалы'!$AC$25:$AC$39,"Всего по тарифу")</f>
        <v>0</v>
      </c>
      <c r="AG115" s="783">
        <f>_xlfn.SUMIFS('Сырье и материалы'!AG$25:AG$39,'Сырье и материалы'!$F$25:$F$39,$F115,'Сырье и материалы'!$AC$25:$AC$39,"Всего по тарифу")</f>
        <v>0</v>
      </c>
      <c r="AH115" s="783">
        <f>AG115-AF115</f>
        <v>0</v>
      </c>
      <c r="AI115" s="783">
        <f>_xlfn.SUMIFS('Сырье и материалы'!AH$25:AH$39,'Сырье и материалы'!$F$25:$F$39,$F115,'Сырье и материалы'!$AC$25:$AC$39,"Всего по тарифу")</f>
        <v>0</v>
      </c>
      <c r="AJ115" s="783">
        <f>_xlfn.SUMIFS('Сырье и материалы'!AI$25:AI$39,'Сырье и материалы'!$F$25:$F$39,$F115,'Сырье и материалы'!$AC$25:$AC$39,"Всего по тарифу")</f>
        <v>0</v>
      </c>
      <c r="AK115" s="783">
        <f>_xlfn.SUMIFS('Сырье и материалы'!AS$25:AS$39,'Сырье и материалы'!$F$25:$F$39,$F115,'Сырье и материалы'!$AC$25:$AC$39,"Всего по тарифу")</f>
        <v>0</v>
      </c>
      <c r="AL115" s="783">
        <f>IF(AI115=0,0,(AK115-AI115)/AI115*100)</f>
        <v>0</v>
      </c>
      <c r="AM115" s="784"/>
      <c r="AN115" s="892" t="str">
        <f>IF(_xlfn.IFERROR(INDEX('Сырье и материалы'!$K$26:$L$39,MATCH($F115&amp;"komm",'Сырье и материалы'!$K$26:$K$39,0),2),"")=0,"",_xlfn.IFERROR(INDEX('Сырье и материалы'!$K$26:$L$39,MATCH($F115&amp;"komm",'Сырье и материалы'!$K$26:$K$39,0),2),""))</f>
        <v/>
      </c>
      <c r="AO115" s="784"/>
      <c r="AP115" s="1066"/>
      <c r="AQ115" s="1066"/>
      <c r="AR115" s="1046" t="s">
        <v>1590</v>
      </c>
      <c r="AS115" s="1046"/>
      <c r="AT115" s="1046"/>
      <c r="AU115" s="1043"/>
      <c r="AV115" s="1043"/>
    </row>
    <row s="1621" customFormat="1" customHeight="1" ht="14.25">
      <c r="A116" s="1066"/>
      <c r="B116" s="1066"/>
      <c r="C116" s="1066"/>
      <c r="D116" s="1066"/>
      <c r="E116" s="675">
        <v>15</v>
      </c>
      <c r="F116" s="50" cm="1" t="str">
        <f t="array" ref="F116:F116">OFFSET(E116,-1,1)</f>
        <v>1</v>
      </c>
      <c r="G116" s="1066"/>
      <c r="H116" s="1066"/>
      <c r="I116" s="566" t="s">
        <v>958</v>
      </c>
      <c r="J116" s="566"/>
      <c r="K116" s="566"/>
      <c r="L116" s="566"/>
      <c r="M116" s="566"/>
      <c r="N116" s="566"/>
      <c r="O116" s="566"/>
      <c r="P116" s="566"/>
      <c r="Q116" s="566"/>
      <c r="R116" s="566"/>
      <c r="S116" s="566"/>
      <c r="T116" s="439" cm="1" t="str">
        <f t="array" ref="T116:T116">T115</f>
        <v>true</v>
      </c>
      <c r="U116" s="1066"/>
      <c r="V116" s="1066"/>
      <c r="W116" s="1066"/>
      <c r="X116" s="1577"/>
      <c r="Y116" s="1066"/>
      <c r="Z116" s="1578"/>
      <c r="AA116" s="1066"/>
      <c r="AB116" s="788" t="s">
        <v>959</v>
      </c>
      <c r="AC116" s="789" t="s">
        <v>1591</v>
      </c>
      <c r="AD116" s="740" t="s">
        <v>784</v>
      </c>
      <c r="AE116" s="790"/>
      <c r="AF116" s="790"/>
      <c r="AG116" s="790"/>
      <c r="AH116" s="783">
        <f>AG116-AF116</f>
        <v>0</v>
      </c>
      <c r="AI116" s="790"/>
      <c r="AJ116" s="790"/>
      <c r="AK116" s="790"/>
      <c r="AL116" s="783">
        <f>IF(AI116=0,0,(AK116-AI116)/AI116*100)</f>
        <v>0</v>
      </c>
      <c r="AM116" s="784"/>
      <c r="AN116" s="784"/>
      <c r="AO116" s="784"/>
      <c r="AP116" s="1066"/>
      <c r="AQ116" s="1066"/>
      <c r="AR116" s="1046" t="s">
        <v>1592</v>
      </c>
      <c r="AS116" s="1046"/>
      <c r="AT116" s="1046"/>
      <c r="AU116" s="1043"/>
      <c r="AV116" s="1043"/>
    </row>
    <row s="1621" customFormat="1" customHeight="1" ht="14.25">
      <c r="A117" s="1066"/>
      <c r="B117" s="1066"/>
      <c r="C117" s="1066"/>
      <c r="D117" s="1066"/>
      <c r="E117" s="675">
        <v>15</v>
      </c>
      <c r="F117" s="50" cm="1" t="str">
        <f t="array" ref="F117:F117">OFFSET(E117,-1,1)</f>
        <v>1</v>
      </c>
      <c r="G117" s="1066"/>
      <c r="H117" s="1066"/>
      <c r="I117" s="566" t="s">
        <v>1194</v>
      </c>
      <c r="J117" s="566"/>
      <c r="K117" s="566"/>
      <c r="L117" s="566"/>
      <c r="M117" s="566"/>
      <c r="N117" s="566"/>
      <c r="O117" s="566"/>
      <c r="P117" s="566"/>
      <c r="Q117" s="566"/>
      <c r="R117" s="566"/>
      <c r="S117" s="566"/>
      <c r="T117" s="439" cm="1" t="str">
        <f t="array" ref="T117:T117">T116</f>
        <v>true</v>
      </c>
      <c r="U117" s="1066"/>
      <c r="V117" s="1066"/>
      <c r="W117" s="1066"/>
      <c r="X117" s="1577"/>
      <c r="Y117" s="1066"/>
      <c r="Z117" s="1578"/>
      <c r="AA117" s="1066"/>
      <c r="AB117" s="788" t="s">
        <v>1195</v>
      </c>
      <c r="AC117" s="789" t="s">
        <v>1593</v>
      </c>
      <c r="AD117" s="740" t="s">
        <v>784</v>
      </c>
      <c r="AE117" s="790"/>
      <c r="AF117" s="790"/>
      <c r="AG117" s="790"/>
      <c r="AH117" s="783">
        <f>AG117-AF117</f>
        <v>0</v>
      </c>
      <c r="AI117" s="790"/>
      <c r="AJ117" s="790"/>
      <c r="AK117" s="790"/>
      <c r="AL117" s="783">
        <f>IF(AI117=0,0,(AK117-AI117)/AI117*100)</f>
        <v>0</v>
      </c>
      <c r="AM117" s="784"/>
      <c r="AN117" s="784"/>
      <c r="AO117" s="784"/>
      <c r="AP117" s="1066"/>
      <c r="AQ117" s="1066"/>
      <c r="AR117" s="1046" t="s">
        <v>1594</v>
      </c>
      <c r="AS117" s="1046"/>
      <c r="AT117" s="1046"/>
      <c r="AU117" s="1043"/>
      <c r="AV117" s="1043"/>
    </row>
    <row s="4457" customFormat="1" customHeight="1" ht="21.75">
      <c r="A118" s="567"/>
      <c r="B118" s="567"/>
      <c r="C118" s="567"/>
      <c r="D118" s="567"/>
      <c r="E118" s="677">
        <v>22.5</v>
      </c>
      <c r="F118" s="50" cm="1" t="str">
        <f t="array" ref="F118:F118">OFFSET(E118,-1,1)</f>
        <v>1</v>
      </c>
      <c r="G118" s="567"/>
      <c r="H118" s="567"/>
      <c r="I118" s="678" t="s">
        <v>445</v>
      </c>
      <c r="J118" s="678"/>
      <c r="K118" s="678"/>
      <c r="L118" s="678"/>
      <c r="M118" s="678"/>
      <c r="N118" s="678"/>
      <c r="O118" s="678"/>
      <c r="P118" s="678"/>
      <c r="Q118" s="678"/>
      <c r="R118" s="678"/>
      <c r="S118" s="678"/>
      <c r="T118" s="439" cm="1" t="str">
        <f t="array" ref="T118:T118">T117</f>
        <v>true</v>
      </c>
      <c r="U118" s="567"/>
      <c r="V118" s="567"/>
      <c r="W118" s="567"/>
      <c r="X118" s="1577"/>
      <c r="Y118" s="567"/>
      <c r="Z118" s="1578"/>
      <c r="AA118" s="567"/>
      <c r="AB118" s="785" t="s">
        <v>848</v>
      </c>
      <c r="AC118" s="786" t="s">
        <v>1595</v>
      </c>
      <c r="AD118" s="569" t="s">
        <v>784</v>
      </c>
      <c r="AE118" s="782">
        <f>SUM(AE119:AE127)</f>
        <v>609.8370458186</v>
      </c>
      <c r="AF118" s="782">
        <f>SUM(AF119:AF127)</f>
        <v>589.5074299695</v>
      </c>
      <c r="AG118" s="782">
        <f>SUM(AG119:AG127)</f>
        <v>589.5074299695</v>
      </c>
      <c r="AH118" s="782">
        <f>AG118-AF118</f>
        <v>0</v>
      </c>
      <c r="AI118" s="782">
        <f>SUM(AI119:AI127)</f>
        <v>601.3424488914</v>
      </c>
      <c r="AJ118" s="782">
        <f>SUM(AJ119:AJ127)</f>
        <v>612.4689</v>
      </c>
      <c r="AK118" s="782">
        <f>SUM(AK119:AK127)</f>
        <v>678.5030226358</v>
      </c>
      <c r="AL118" s="782">
        <f>IF(AI118=0,0,(AK118-AI118)/AI118*100)</f>
        <v>12.8313864897861</v>
      </c>
      <c r="AM118" s="787"/>
      <c r="AN118" s="787"/>
      <c r="AO118" s="787"/>
      <c r="AP118" s="567"/>
      <c r="AQ118" s="567"/>
      <c r="AR118" s="1047" t="s">
        <v>1596</v>
      </c>
      <c r="AS118" s="1047"/>
      <c r="AT118" s="1047"/>
      <c r="AU118" s="677"/>
      <c r="AV118" s="677"/>
    </row>
    <row s="1621" customFormat="1" customHeight="1" ht="14.25">
      <c r="A119" s="1066"/>
      <c r="B119" s="1066"/>
      <c r="C119" s="1066"/>
      <c r="D119" s="1066"/>
      <c r="E119" s="675">
        <v>15</v>
      </c>
      <c r="F119" s="50" cm="1" t="str">
        <f t="array" ref="F119:F119">OFFSET(E119,-1,1)</f>
        <v>1</v>
      </c>
      <c r="G119" s="1066"/>
      <c r="H119" s="1066"/>
      <c r="I119" s="566" t="s">
        <v>1219</v>
      </c>
      <c r="J119" s="566"/>
      <c r="K119" s="566"/>
      <c r="L119" s="566"/>
      <c r="M119" s="566"/>
      <c r="N119" s="566"/>
      <c r="O119" s="566"/>
      <c r="P119" s="566"/>
      <c r="Q119" s="566"/>
      <c r="R119" s="566"/>
      <c r="S119" s="566"/>
      <c r="T119" s="439" cm="1" t="str">
        <f t="array" ref="T119:T119">T118</f>
        <v>true</v>
      </c>
      <c r="U119" s="1066"/>
      <c r="V119" s="1066"/>
      <c r="W119" s="1066"/>
      <c r="X119" s="1577"/>
      <c r="Y119" s="1066"/>
      <c r="Z119" s="1578"/>
      <c r="AA119" s="1066"/>
      <c r="AB119" s="788" t="s">
        <v>1220</v>
      </c>
      <c r="AC119" s="789" t="s">
        <v>1597</v>
      </c>
      <c r="AD119" s="740" t="s">
        <v>784</v>
      </c>
      <c r="AE119" s="783">
        <f>_xlfn.SUMIFS(ЭЭ!AE$25:AE$93,ЭЭ!$F$25:$F$93,$F119,ЭЭ!$AC$25:$AC$93,"Всего по тарифу")</f>
        <v>609.8370458186</v>
      </c>
      <c r="AF119" s="783">
        <f>_xlfn.SUMIFS(ЭЭ!AF$25:AF$93,ЭЭ!$F$25:$F$93,$F119,ЭЭ!$AC$25:$AC$93,"Всего по тарифу")</f>
        <v>589.5074299695</v>
      </c>
      <c r="AG119" s="783">
        <f>_xlfn.SUMIFS(ЭЭ!AG$25:AG$93,ЭЭ!$F$25:$F$93,$F119,ЭЭ!$AC$25:$AC$93,"Всего по тарифу")</f>
        <v>589.5074299695</v>
      </c>
      <c r="AH119" s="783">
        <f>AG119-AF119</f>
        <v>0</v>
      </c>
      <c r="AI119" s="783">
        <f>_xlfn.SUMIFS(ЭЭ!AH$25:AH$93,ЭЭ!$F$25:$F$93,$F119,ЭЭ!$AC$25:$AC$93,"Всего по тарифу")</f>
        <v>601.3424488914</v>
      </c>
      <c r="AJ119" s="783">
        <f>_xlfn.SUMIFS(ЭЭ!AI$25:AI$93,ЭЭ!$F$25:$F$93,$F119,ЭЭ!$AC$25:$AC$93,"Всего по тарифу")</f>
        <v>612.4689</v>
      </c>
      <c r="AK119" s="783">
        <f>_xlfn.SUMIFS(ЭЭ!AS$25:AS$93,ЭЭ!$F$25:$F$93,$F119,ЭЭ!$AC$25:$AC$93,"Всего по тарифу")</f>
        <v>678.5030226358</v>
      </c>
      <c r="AL119" s="783">
        <f>IF(AI119=0,0,(AK119-AI119)/AI119*100)</f>
        <v>12.8313864897861</v>
      </c>
      <c r="AM119" s="784"/>
      <c r="AN119" s="892" t="str">
        <f>IF(_xlfn.IFERROR(INDEX(ЭЭ!$K$26:$L$93,MATCH($F119&amp;"komm",ЭЭ!$K$26:$K$93,0),2),"")=0,"",_xlfn.IFERROR(INDEX(ЭЭ!$K$26:$L$93,MATCH($F119&amp;"komm",ЭЭ!$K$26:$K$93,0),2),""))</f>
        <v/>
      </c>
      <c r="AO119" s="784"/>
      <c r="AP119" s="1066"/>
      <c r="AQ119" s="1066"/>
      <c r="AR119" s="1046" t="s">
        <v>1598</v>
      </c>
      <c r="AS119" s="1046"/>
      <c r="AT119" s="1046"/>
      <c r="AU119" s="1043"/>
      <c r="AV119" s="1043"/>
    </row>
    <row s="1621" customFormat="1" customHeight="1" ht="14.25">
      <c r="A120" s="1066"/>
      <c r="B120" s="1066"/>
      <c r="C120" s="1066"/>
      <c r="D120" s="1066"/>
      <c r="E120" s="675">
        <v>15</v>
      </c>
      <c r="F120" s="50" cm="1" t="str">
        <f t="array" ref="F120:F120">OFFSET(E120,-1,1)</f>
        <v>1</v>
      </c>
      <c r="G120" s="556" t="s">
        <v>1028</v>
      </c>
      <c r="H120" s="1066"/>
      <c r="I120" s="566" t="s">
        <v>1222</v>
      </c>
      <c r="J120" s="566"/>
      <c r="K120" s="566"/>
      <c r="L120" s="566"/>
      <c r="M120" s="566"/>
      <c r="N120" s="566"/>
      <c r="O120" s="566"/>
      <c r="P120" s="566"/>
      <c r="Q120" s="566"/>
      <c r="R120" s="566"/>
      <c r="S120" s="566"/>
      <c r="T120" s="439" cm="1" t="str">
        <f t="array" ref="T120:T120">T119</f>
        <v>true</v>
      </c>
      <c r="U120" s="1066"/>
      <c r="V120" s="1066"/>
      <c r="W120" s="1066"/>
      <c r="X120" s="1577"/>
      <c r="Y120" s="1066"/>
      <c r="Z120" s="1578"/>
      <c r="AA120" s="1066"/>
      <c r="AB120" s="788" t="s">
        <v>1223</v>
      </c>
      <c r="AC120" s="789" t="s">
        <v>1599</v>
      </c>
      <c r="AD120" s="740" t="s">
        <v>784</v>
      </c>
      <c r="AE120" s="783">
        <f>_xlfn.SUMIFS(Покупка!AE$25:AE$117,Покупка!$F$25:$F$117,$F120,Покупка!$AC$25:$AC$117,$G120)</f>
        <v>0</v>
      </c>
      <c r="AF120" s="783">
        <f>_xlfn.SUMIFS(Покупка!AF$25:AF$117,Покупка!$F$25:$F$117,$F120,Покупка!$AC$25:$AC$117,$G120)</f>
        <v>0</v>
      </c>
      <c r="AG120" s="783">
        <f>_xlfn.SUMIFS(Покупка!AG$25:AG$117,Покупка!$F$25:$F$117,$F120,Покупка!$AC$25:$AC$117,$G120)</f>
        <v>0</v>
      </c>
      <c r="AH120" s="783">
        <f>AG120-AF120</f>
        <v>0</v>
      </c>
      <c r="AI120" s="783">
        <f>_xlfn.SUMIFS(Покупка!AH$25:AH$117,Покупка!$F$25:$F$117,$F120,Покупка!$AC$25:$AC$117,$G120)</f>
        <v>0</v>
      </c>
      <c r="AJ120" s="783">
        <f>_xlfn.SUMIFS(Покупка!AI$25:AI$117,Покупка!$F$25:$F$117,$F120,Покупка!$AC$25:$AC$117,$G120)</f>
        <v>0</v>
      </c>
      <c r="AK120" s="783">
        <f>_xlfn.SUMIFS(Покупка!AS$25:AS$117,Покупка!$F$25:$F$117,$F120,Покупка!$AC$25:$AC$117,$G120)</f>
        <v>0</v>
      </c>
      <c r="AL120" s="783">
        <f>IF(AI120=0,0,(AK120-AI120)/AI120*100)</f>
        <v>0</v>
      </c>
      <c r="AM120" s="784"/>
      <c r="AN120" s="892" t="str">
        <f>IF(_xlfn.IFERROR(INDEX(Покупка!$K$26:$L$117,MATCH($F120&amp;"6komm",Покупка!$K$26:$K$117,0),2),"")=0,"",_xlfn.IFERROR(INDEX(Покупка!$K$26:$L$117,MATCH($F120&amp;"6komm",Покупка!$K$26:$K$117,0),2),""))</f>
        <v/>
      </c>
      <c r="AO120" s="784"/>
      <c r="AP120" s="1066"/>
      <c r="AQ120" s="1066"/>
      <c r="AR120" s="1046" t="s">
        <v>1029</v>
      </c>
      <c r="AS120" s="1046"/>
      <c r="AT120" s="1046"/>
      <c r="AU120" s="1043"/>
      <c r="AV120" s="1043"/>
    </row>
    <row s="1621" customFormat="1" customHeight="1" ht="14.25">
      <c r="A121" s="1066"/>
      <c r="B121" s="1066"/>
      <c r="C121" s="1066"/>
      <c r="D121" s="1066"/>
      <c r="E121" s="675">
        <v>15</v>
      </c>
      <c r="F121" s="50" cm="1" t="str">
        <f t="array" ref="F121:F121">OFFSET(E121,-1,1)</f>
        <v>1</v>
      </c>
      <c r="G121" s="556" t="s">
        <v>1030</v>
      </c>
      <c r="H121" s="1066"/>
      <c r="I121" s="566" t="s">
        <v>1226</v>
      </c>
      <c r="J121" s="566"/>
      <c r="K121" s="566"/>
      <c r="L121" s="566"/>
      <c r="M121" s="566"/>
      <c r="N121" s="566"/>
      <c r="O121" s="566"/>
      <c r="P121" s="566"/>
      <c r="Q121" s="566"/>
      <c r="R121" s="566"/>
      <c r="S121" s="566"/>
      <c r="T121" s="439" cm="1" t="str">
        <f t="array" ref="T121:T121">T120</f>
        <v>true</v>
      </c>
      <c r="U121" s="1066"/>
      <c r="V121" s="1066"/>
      <c r="W121" s="1066"/>
      <c r="X121" s="1577"/>
      <c r="Y121" s="1066"/>
      <c r="Z121" s="1578"/>
      <c r="AA121" s="1066"/>
      <c r="AB121" s="788" t="s">
        <v>1227</v>
      </c>
      <c r="AC121" s="789" t="s">
        <v>1600</v>
      </c>
      <c r="AD121" s="740" t="s">
        <v>784</v>
      </c>
      <c r="AE121" s="783">
        <f>_xlfn.SUMIFS(Покупка!AE$25:AE$117,Покупка!$F$25:$F$117,$F121,Покупка!$AC$25:$AC$117,$G121)</f>
        <v>0</v>
      </c>
      <c r="AF121" s="783">
        <f>_xlfn.SUMIFS(Покупка!AF$25:AF$117,Покупка!$F$25:$F$117,$F121,Покупка!$AC$25:$AC$117,$G121)</f>
        <v>0</v>
      </c>
      <c r="AG121" s="783">
        <f>_xlfn.SUMIFS(Покупка!AG$25:AG$117,Покупка!$F$25:$F$117,$F121,Покупка!$AC$25:$AC$117,$G121)</f>
        <v>0</v>
      </c>
      <c r="AH121" s="783">
        <f>AG121-AF121</f>
        <v>0</v>
      </c>
      <c r="AI121" s="783">
        <f>_xlfn.SUMIFS(Покупка!AH$25:AH$117,Покупка!$F$25:$F$117,$F121,Покупка!$AC$25:$AC$117,$G121)</f>
        <v>0</v>
      </c>
      <c r="AJ121" s="783">
        <f>_xlfn.SUMIFS(Покупка!AI$25:AI$117,Покупка!$F$25:$F$117,$F121,Покупка!$AC$25:$AC$117,$G121)</f>
        <v>0</v>
      </c>
      <c r="AK121" s="783">
        <f>_xlfn.SUMIFS(Покупка!AS$25:AS$117,Покупка!$F$25:$F$117,$F121,Покупка!$AC$25:$AC$117,$G121)</f>
        <v>0</v>
      </c>
      <c r="AL121" s="783">
        <f>IF(AI121=0,0,(AK121-AI121)/AI121*100)</f>
        <v>0</v>
      </c>
      <c r="AM121" s="784"/>
      <c r="AN121" s="892" t="str">
        <f>IF(_xlfn.IFERROR(INDEX(Покупка!$K$26:$L$117,MATCH($F121&amp;"7komm",Покупка!$K$26:$K$117,0),2),"")=0,"",_xlfn.IFERROR(INDEX(Покупка!$K$26:$L$117,MATCH($F121&amp;"7komm",Покупка!$K$26:$K$117,0),2),""))</f>
        <v/>
      </c>
      <c r="AO121" s="784"/>
      <c r="AP121" s="1066"/>
      <c r="AQ121" s="1066"/>
      <c r="AR121" s="1046" t="s">
        <v>1031</v>
      </c>
      <c r="AS121" s="1046"/>
      <c r="AT121" s="1046"/>
      <c r="AU121" s="1043"/>
      <c r="AV121" s="1043"/>
    </row>
    <row s="1621" customFormat="1" customHeight="1" ht="14.25">
      <c r="A122" s="1066"/>
      <c r="B122" s="1066"/>
      <c r="C122" s="1066"/>
      <c r="D122" s="1066"/>
      <c r="E122" s="675">
        <v>15</v>
      </c>
      <c r="F122" s="50" cm="1" t="str">
        <f t="array" ref="F122:F122">OFFSET(E122,-1,1)</f>
        <v>1</v>
      </c>
      <c r="G122" s="733" t="s">
        <v>1034</v>
      </c>
      <c r="H122" s="1066"/>
      <c r="I122" s="566" t="s">
        <v>1385</v>
      </c>
      <c r="J122" s="566"/>
      <c r="K122" s="566"/>
      <c r="L122" s="566"/>
      <c r="M122" s="566"/>
      <c r="N122" s="566"/>
      <c r="O122" s="566"/>
      <c r="P122" s="566"/>
      <c r="Q122" s="566"/>
      <c r="R122" s="566"/>
      <c r="S122" s="566"/>
      <c r="T122" s="439" cm="1" t="str">
        <f t="array" ref="T122:T122">T121</f>
        <v>true</v>
      </c>
      <c r="U122" s="1066"/>
      <c r="V122" s="1066"/>
      <c r="W122" s="1066"/>
      <c r="X122" s="1577"/>
      <c r="Y122" s="1066"/>
      <c r="Z122" s="1578"/>
      <c r="AA122" s="1066"/>
      <c r="AB122" s="788" t="s">
        <v>1601</v>
      </c>
      <c r="AC122" s="789" t="s">
        <v>1602</v>
      </c>
      <c r="AD122" s="740" t="s">
        <v>784</v>
      </c>
      <c r="AE122" s="783">
        <f>_xlfn.SUMIFS(Покупка!AE$25:AE$117,Покупка!$F$25:$F$117,$F122,Покупка!$AC$25:$AC$117,$G122)</f>
        <v>0</v>
      </c>
      <c r="AF122" s="783">
        <f>_xlfn.SUMIFS(Покупка!AF$25:AF$117,Покупка!$F$25:$F$117,$F122,Покупка!$AC$25:$AC$117,$G122)</f>
        <v>0</v>
      </c>
      <c r="AG122" s="783">
        <f>_xlfn.SUMIFS(Покупка!AG$25:AG$117,Покупка!$F$25:$F$117,$F122,Покупка!$AC$25:$AC$117,$G122)</f>
        <v>0</v>
      </c>
      <c r="AH122" s="783">
        <f>AG122-AF122</f>
        <v>0</v>
      </c>
      <c r="AI122" s="783">
        <f>_xlfn.SUMIFS(Покупка!AH$25:AH$117,Покупка!$F$25:$F$117,$F122,Покупка!$AC$25:$AC$117,$G122)</f>
        <v>0</v>
      </c>
      <c r="AJ122" s="783">
        <f>_xlfn.SUMIFS(Покупка!AI$25:AI$117,Покупка!$F$25:$F$117,$F122,Покупка!$AC$25:$AC$117,$G122)</f>
        <v>0</v>
      </c>
      <c r="AK122" s="783">
        <f>_xlfn.SUMIFS(Покупка!AS$25:AS$117,Покупка!$F$25:$F$117,$F122,Покупка!$AC$25:$AC$117,$G122)</f>
        <v>0</v>
      </c>
      <c r="AL122" s="783">
        <f>IF(AI122=0,0,(AK122-AI122)/AI122*100)</f>
        <v>0</v>
      </c>
      <c r="AM122" s="784"/>
      <c r="AN122" s="892" t="str">
        <f>IF(_xlfn.IFERROR(INDEX(Покупка!$K$26:$L$117,MATCH($F122&amp;"9komm",Покупка!$K$26:$K$117,0),2),"")=0,"",_xlfn.IFERROR(INDEX(Покупка!$K$26:$L$117,MATCH($F122&amp;"9komm",Покупка!$K$26:$K$117,0),2),""))</f>
        <v/>
      </c>
      <c r="AO122" s="784"/>
      <c r="AP122" s="1066"/>
      <c r="AQ122" s="1066"/>
      <c r="AR122" s="1046" t="s">
        <v>1035</v>
      </c>
      <c r="AS122" s="1046"/>
      <c r="AT122" s="1046"/>
      <c r="AU122" s="1043"/>
      <c r="AV122" s="1043"/>
    </row>
    <row s="1621" customFormat="1" customHeight="1" ht="14.25">
      <c r="A123" s="1066"/>
      <c r="B123" s="1066"/>
      <c r="C123" s="1066"/>
      <c r="D123" s="1066"/>
      <c r="E123" s="675">
        <v>15</v>
      </c>
      <c r="F123" s="50" cm="1" t="str">
        <f t="array" ref="F123:F123">OFFSET(E123,-1,1)</f>
        <v>1</v>
      </c>
      <c r="G123" s="556" t="s">
        <v>996</v>
      </c>
      <c r="H123" s="1066"/>
      <c r="I123" s="566" t="s">
        <v>1389</v>
      </c>
      <c r="J123" s="566"/>
      <c r="K123" s="566"/>
      <c r="L123" s="566"/>
      <c r="M123" s="566"/>
      <c r="N123" s="566"/>
      <c r="O123" s="566"/>
      <c r="P123" s="566"/>
      <c r="Q123" s="566"/>
      <c r="R123" s="566"/>
      <c r="S123" s="566"/>
      <c r="T123" s="439" cm="1" t="str">
        <f t="array" ref="T123:T123">T122</f>
        <v>true</v>
      </c>
      <c r="U123" s="1066"/>
      <c r="V123" s="1066"/>
      <c r="W123" s="1066"/>
      <c r="X123" s="1577"/>
      <c r="Y123" s="1066"/>
      <c r="Z123" s="1578"/>
      <c r="AA123" s="1066"/>
      <c r="AB123" s="788" t="s">
        <v>1603</v>
      </c>
      <c r="AC123" s="789" t="s">
        <v>1604</v>
      </c>
      <c r="AD123" s="740" t="s">
        <v>784</v>
      </c>
      <c r="AE123" s="783">
        <f>_xlfn.SUMIFS(Покупка!AE$25:AE$117,Покупка!$F$25:$F$117,$F123,Покупка!$AC$25:$AC$117,$G123)</f>
        <v>0</v>
      </c>
      <c r="AF123" s="783">
        <f>_xlfn.SUMIFS(Покупка!AF$25:AF$117,Покупка!$F$25:$F$117,$F123,Покупка!$AC$25:$AC$117,$G123)</f>
        <v>0</v>
      </c>
      <c r="AG123" s="783">
        <f>_xlfn.SUMIFS(Покупка!AG$25:AG$117,Покупка!$F$25:$F$117,$F123,Покупка!$AC$25:$AC$117,$G123)</f>
        <v>0</v>
      </c>
      <c r="AH123" s="783">
        <f>AG123-AF123</f>
        <v>0</v>
      </c>
      <c r="AI123" s="783">
        <f>_xlfn.SUMIFS(Покупка!AH$25:AH$117,Покупка!$F$25:$F$117,$F123,Покупка!$AC$25:$AC$117,$G123)</f>
        <v>0</v>
      </c>
      <c r="AJ123" s="783">
        <f>_xlfn.SUMIFS(Покупка!AI$25:AI$117,Покупка!$F$25:$F$117,$F123,Покупка!$AC$25:$AC$117,$G123)</f>
        <v>0</v>
      </c>
      <c r="AK123" s="783">
        <f>_xlfn.SUMIFS(Покупка!AS$25:AS$117,Покупка!$F$25:$F$117,$F123,Покупка!$AC$25:$AC$117,$G123)</f>
        <v>0</v>
      </c>
      <c r="AL123" s="783">
        <f>IF(AI123=0,0,(AK123-AI123)/AI123*100)</f>
        <v>0</v>
      </c>
      <c r="AM123" s="784"/>
      <c r="AN123" s="892" t="str">
        <f>IF(_xlfn.IFERROR(INDEX(Покупка!$K$26:$L$117,MATCH($F123&amp;"1komm",Покупка!$K$26:$K$117,0),2),"")=0,"",_xlfn.IFERROR(INDEX(Покупка!$K$26:$L$117,MATCH($F123&amp;"1komm",Покупка!$K$26:$K$117,0),2),""))</f>
        <v/>
      </c>
      <c r="AO123" s="784"/>
      <c r="AP123" s="1066"/>
      <c r="AQ123" s="1066"/>
      <c r="AR123" s="1046" t="s">
        <v>1605</v>
      </c>
      <c r="AS123" s="1046"/>
      <c r="AT123" s="1046"/>
      <c r="AU123" s="1043"/>
      <c r="AV123" s="1043"/>
    </row>
    <row s="1621" customFormat="1" customHeight="1" ht="14.25">
      <c r="A124" s="1066"/>
      <c r="B124" s="1066"/>
      <c r="C124" s="1066"/>
      <c r="D124" s="1066"/>
      <c r="E124" s="675">
        <v>15</v>
      </c>
      <c r="F124" s="50" cm="1" t="str">
        <f t="array" ref="F124:F124">OFFSET(E124,-1,1)</f>
        <v>1</v>
      </c>
      <c r="G124" s="556" t="s">
        <v>1005</v>
      </c>
      <c r="H124" s="1066"/>
      <c r="I124" s="566" t="s">
        <v>1394</v>
      </c>
      <c r="J124" s="566"/>
      <c r="K124" s="566"/>
      <c r="L124" s="566"/>
      <c r="M124" s="566"/>
      <c r="N124" s="566"/>
      <c r="O124" s="566"/>
      <c r="P124" s="566"/>
      <c r="Q124" s="566"/>
      <c r="R124" s="566"/>
      <c r="S124" s="566"/>
      <c r="T124" s="439" cm="1" t="str">
        <f t="array" ref="T124:T124">T123</f>
        <v>true</v>
      </c>
      <c r="U124" s="1066"/>
      <c r="V124" s="1066"/>
      <c r="W124" s="1066"/>
      <c r="X124" s="1577"/>
      <c r="Y124" s="1066"/>
      <c r="Z124" s="1578"/>
      <c r="AA124" s="1066"/>
      <c r="AB124" s="788" t="s">
        <v>1606</v>
      </c>
      <c r="AC124" s="789" t="s">
        <v>1607</v>
      </c>
      <c r="AD124" s="740" t="s">
        <v>784</v>
      </c>
      <c r="AE124" s="783">
        <f>_xlfn.SUMIFS(Покупка!AE$25:AE$117,Покупка!$F$25:$F$117,$F124,Покупка!$AC$25:$AC$117,$G124)</f>
        <v>0</v>
      </c>
      <c r="AF124" s="783">
        <f>_xlfn.SUMIFS(Покупка!AF$25:AF$117,Покупка!$F$25:$F$117,$F124,Покупка!$AC$25:$AC$117,$G124)</f>
        <v>0</v>
      </c>
      <c r="AG124" s="783">
        <f>_xlfn.SUMIFS(Покупка!AG$25:AG$117,Покупка!$F$25:$F$117,$F124,Покупка!$AC$25:$AC$117,$G124)</f>
        <v>0</v>
      </c>
      <c r="AH124" s="783">
        <f>AG124-AF124</f>
        <v>0</v>
      </c>
      <c r="AI124" s="783">
        <f>_xlfn.SUMIFS(Покупка!AH$25:AH$117,Покупка!$F$25:$F$117,$F124,Покупка!$AC$25:$AC$117,$G124)</f>
        <v>0</v>
      </c>
      <c r="AJ124" s="783">
        <f>_xlfn.SUMIFS(Покупка!AI$25:AI$117,Покупка!$F$25:$F$117,$F124,Покупка!$AC$25:$AC$117,$G124)</f>
        <v>0</v>
      </c>
      <c r="AK124" s="783">
        <f>_xlfn.SUMIFS(Покупка!AS$25:AS$117,Покупка!$F$25:$F$117,$F124,Покупка!$AC$25:$AC$117,$G124)</f>
        <v>0</v>
      </c>
      <c r="AL124" s="783">
        <f>IF(AI124=0,0,(AK124-AI124)/AI124*100)</f>
        <v>0</v>
      </c>
      <c r="AM124" s="784"/>
      <c r="AN124" s="892" t="str">
        <f>IF(_xlfn.IFERROR(INDEX(Покупка!$K$26:$L$117,MATCH($F124&amp;"2komm",Покупка!$K$26:$K$117,0),2),"")=0,"",_xlfn.IFERROR(INDEX(Покупка!$K$26:$L$117,MATCH($F124&amp;"2komm",Покупка!$K$26:$K$117,0),2),""))</f>
        <v/>
      </c>
      <c r="AO124" s="784"/>
      <c r="AP124" s="1066"/>
      <c r="AQ124" s="1066"/>
      <c r="AR124" s="1046" t="s">
        <v>1608</v>
      </c>
      <c r="AS124" s="1046"/>
      <c r="AT124" s="1046"/>
      <c r="AU124" s="1043"/>
      <c r="AV124" s="1043"/>
    </row>
    <row s="1621" customFormat="1" customHeight="1" ht="14.25">
      <c r="A125" s="1066"/>
      <c r="B125" s="1066"/>
      <c r="C125" s="1066"/>
      <c r="D125" s="1066"/>
      <c r="E125" s="675">
        <v>15</v>
      </c>
      <c r="F125" s="50" cm="1" t="str">
        <f t="array" ref="F125:F125">OFFSET(E125,-1,1)</f>
        <v>1</v>
      </c>
      <c r="G125" s="556" t="s">
        <v>1010</v>
      </c>
      <c r="H125" s="1066"/>
      <c r="I125" s="566" t="s">
        <v>1403</v>
      </c>
      <c r="J125" s="566"/>
      <c r="K125" s="566"/>
      <c r="L125" s="566"/>
      <c r="M125" s="566"/>
      <c r="N125" s="566"/>
      <c r="O125" s="566"/>
      <c r="P125" s="566"/>
      <c r="Q125" s="566"/>
      <c r="R125" s="566"/>
      <c r="S125" s="566"/>
      <c r="T125" s="439" cm="1" t="str">
        <f t="array" ref="T125:T125">T124</f>
        <v>true</v>
      </c>
      <c r="U125" s="1066"/>
      <c r="V125" s="1066"/>
      <c r="W125" s="1066"/>
      <c r="X125" s="1577"/>
      <c r="Y125" s="1066"/>
      <c r="Z125" s="1578"/>
      <c r="AA125" s="1066"/>
      <c r="AB125" s="788" t="s">
        <v>1609</v>
      </c>
      <c r="AC125" s="789" t="s">
        <v>1610</v>
      </c>
      <c r="AD125" s="740" t="s">
        <v>784</v>
      </c>
      <c r="AE125" s="783">
        <f>_xlfn.SUMIFS(Покупка!AE$25:AE$117,Покупка!$F$25:$F$117,$F125,Покупка!$AC$25:$AC$117,$G125)</f>
        <v>0</v>
      </c>
      <c r="AF125" s="783">
        <f>_xlfn.SUMIFS(Покупка!AF$25:AF$117,Покупка!$F$25:$F$117,$F125,Покупка!$AC$25:$AC$117,$G125)</f>
        <v>0</v>
      </c>
      <c r="AG125" s="783">
        <f>_xlfn.SUMIFS(Покупка!AG$25:AG$117,Покупка!$F$25:$F$117,$F125,Покупка!$AC$25:$AC$117,$G125)</f>
        <v>0</v>
      </c>
      <c r="AH125" s="783">
        <f>AG125-AF125</f>
        <v>0</v>
      </c>
      <c r="AI125" s="783">
        <f>_xlfn.SUMIFS(Покупка!AH$25:AH$117,Покупка!$F$25:$F$117,$F125,Покупка!$AC$25:$AC$117,$G125)</f>
        <v>0</v>
      </c>
      <c r="AJ125" s="783">
        <f>_xlfn.SUMIFS(Покупка!AI$25:AI$117,Покупка!$F$25:$F$117,$F125,Покупка!$AC$25:$AC$117,$G125)</f>
        <v>0</v>
      </c>
      <c r="AK125" s="783">
        <f>_xlfn.SUMIFS(Покупка!AS$25:AS$117,Покупка!$F$25:$F$117,$F125,Покупка!$AC$25:$AC$117,$G125)</f>
        <v>0</v>
      </c>
      <c r="AL125" s="783">
        <f>IF(AI125=0,0,(AK125-AI125)/AI125*100)</f>
        <v>0</v>
      </c>
      <c r="AM125" s="784"/>
      <c r="AN125" s="892" t="str">
        <f>IF(_xlfn.IFERROR(INDEX(Покупка!$K$26:$L$117,MATCH($F125&amp;"3komm",Покупка!$K$26:$K$117,0),2),"")=0,"",_xlfn.IFERROR(INDEX(Покупка!$K$26:$L$117,MATCH($F125&amp;"3komm",Покупка!$K$26:$K$117,0),2),""))</f>
        <v/>
      </c>
      <c r="AO125" s="784"/>
      <c r="AP125" s="1066"/>
      <c r="AQ125" s="1066"/>
      <c r="AR125" s="1046" t="s">
        <v>1611</v>
      </c>
      <c r="AS125" s="1046"/>
      <c r="AT125" s="1046"/>
      <c r="AU125" s="1043"/>
      <c r="AV125" s="1043"/>
    </row>
    <row s="1621" customFormat="1" customHeight="1" ht="14.25">
      <c r="A126" s="1066"/>
      <c r="B126" s="1066"/>
      <c r="C126" s="1066"/>
      <c r="D126" s="1066"/>
      <c r="E126" s="675">
        <v>15</v>
      </c>
      <c r="F126" s="50" cm="1" t="str">
        <f t="array" ref="F126:F126">OFFSET(E126,-1,1)</f>
        <v>1</v>
      </c>
      <c r="G126" s="556" t="s">
        <v>1016</v>
      </c>
      <c r="H126" s="1066"/>
      <c r="I126" s="566" t="s">
        <v>1408</v>
      </c>
      <c r="J126" s="566"/>
      <c r="K126" s="566"/>
      <c r="L126" s="566"/>
      <c r="M126" s="566"/>
      <c r="N126" s="566"/>
      <c r="O126" s="566"/>
      <c r="P126" s="566"/>
      <c r="Q126" s="566"/>
      <c r="R126" s="566"/>
      <c r="S126" s="566"/>
      <c r="T126" s="439" cm="1" t="str">
        <f t="array" ref="T126:T126">T125</f>
        <v>true</v>
      </c>
      <c r="U126" s="1066"/>
      <c r="V126" s="1066"/>
      <c r="W126" s="1066"/>
      <c r="X126" s="1577"/>
      <c r="Y126" s="1066"/>
      <c r="Z126" s="1578"/>
      <c r="AA126" s="1066"/>
      <c r="AB126" s="788" t="s">
        <v>1612</v>
      </c>
      <c r="AC126" s="789" t="s">
        <v>1613</v>
      </c>
      <c r="AD126" s="740" t="s">
        <v>784</v>
      </c>
      <c r="AE126" s="783">
        <f>_xlfn.SUMIFS(Покупка!AE$25:AE$117,Покупка!$F$25:$F$117,$F126,Покупка!$AC$25:$AC$117,$G126)</f>
        <v>0</v>
      </c>
      <c r="AF126" s="783">
        <f>_xlfn.SUMIFS(Покупка!AF$25:AF$117,Покупка!$F$25:$F$117,$F126,Покупка!$AC$25:$AC$117,$G126)</f>
        <v>0</v>
      </c>
      <c r="AG126" s="783">
        <f>_xlfn.SUMIFS(Покупка!AG$25:AG$117,Покупка!$F$25:$F$117,$F126,Покупка!$AC$25:$AC$117,$G126)</f>
        <v>0</v>
      </c>
      <c r="AH126" s="783">
        <f>AG126-AF126</f>
        <v>0</v>
      </c>
      <c r="AI126" s="783">
        <f>_xlfn.SUMIFS(Покупка!AH$25:AH$117,Покупка!$F$25:$F$117,$F126,Покупка!$AC$25:$AC$117,$G126)</f>
        <v>0</v>
      </c>
      <c r="AJ126" s="783">
        <f>_xlfn.SUMIFS(Покупка!AI$25:AI$117,Покупка!$F$25:$F$117,$F126,Покупка!$AC$25:$AC$117,$G126)</f>
        <v>0</v>
      </c>
      <c r="AK126" s="783">
        <f>_xlfn.SUMIFS(Покупка!AS$25:AS$117,Покупка!$F$25:$F$117,$F126,Покупка!$AC$25:$AC$117,$G126)</f>
        <v>0</v>
      </c>
      <c r="AL126" s="783">
        <f>IF(AI126=0,0,(AK126-AI126)/AI126*100)</f>
        <v>0</v>
      </c>
      <c r="AM126" s="784"/>
      <c r="AN126" s="892" t="str">
        <f>IF(_xlfn.IFERROR(INDEX(Покупка!$K$26:$L$117,MATCH($F126&amp;"4komm",Покупка!$K$26:$K$117,0),2),"")=0,"",_xlfn.IFERROR(INDEX(Покупка!$K$26:$L$117,MATCH($F126&amp;"4komm",Покупка!$K$26:$K$117,0),2),""))</f>
        <v/>
      </c>
      <c r="AO126" s="784"/>
      <c r="AP126" s="1066"/>
      <c r="AQ126" s="1066"/>
      <c r="AR126" s="1046" t="s">
        <v>1614</v>
      </c>
      <c r="AS126" s="1046"/>
      <c r="AT126" s="1046"/>
      <c r="AU126" s="1043"/>
      <c r="AV126" s="1043"/>
    </row>
    <row s="1621" customFormat="1" customHeight="1" ht="14.25">
      <c r="A127" s="1066"/>
      <c r="B127" s="1066"/>
      <c r="C127" s="1066"/>
      <c r="D127" s="1066"/>
      <c r="E127" s="675">
        <v>15</v>
      </c>
      <c r="F127" s="50" cm="1" t="str">
        <f t="array" ref="F127:F127">OFFSET(E127,-1,1)</f>
        <v>1</v>
      </c>
      <c r="G127" s="556" t="s">
        <v>1022</v>
      </c>
      <c r="H127" s="1066"/>
      <c r="I127" s="566" t="s">
        <v>1418</v>
      </c>
      <c r="J127" s="566"/>
      <c r="K127" s="566"/>
      <c r="L127" s="566"/>
      <c r="M127" s="566"/>
      <c r="N127" s="566"/>
      <c r="O127" s="566"/>
      <c r="P127" s="566"/>
      <c r="Q127" s="566"/>
      <c r="R127" s="566"/>
      <c r="S127" s="566"/>
      <c r="T127" s="439" cm="1" t="str">
        <f t="array" ref="T127:T127">T126</f>
        <v>true</v>
      </c>
      <c r="U127" s="1066"/>
      <c r="V127" s="1066"/>
      <c r="W127" s="1066"/>
      <c r="X127" s="1577"/>
      <c r="Y127" s="1066"/>
      <c r="Z127" s="1578"/>
      <c r="AA127" s="1066"/>
      <c r="AB127" s="788" t="s">
        <v>1615</v>
      </c>
      <c r="AC127" s="789" t="s">
        <v>1616</v>
      </c>
      <c r="AD127" s="740" t="s">
        <v>784</v>
      </c>
      <c r="AE127" s="783">
        <f>_xlfn.SUMIFS(Покупка!AE$25:AE$117,Покупка!$F$25:$F$117,$F127,Покупка!$AC$25:$AC$117,$G127)</f>
        <v>0</v>
      </c>
      <c r="AF127" s="783">
        <f>_xlfn.SUMIFS(Покупка!AF$25:AF$117,Покупка!$F$25:$F$117,$F127,Покупка!$AC$25:$AC$117,$G127)</f>
        <v>0</v>
      </c>
      <c r="AG127" s="783">
        <f>_xlfn.SUMIFS(Покупка!AG$25:AG$117,Покупка!$F$25:$F$117,$F127,Покупка!$AC$25:$AC$117,$G127)</f>
        <v>0</v>
      </c>
      <c r="AH127" s="783">
        <f>AG127-AF127</f>
        <v>0</v>
      </c>
      <c r="AI127" s="783">
        <f>_xlfn.SUMIFS(Покупка!AH$25:AH$117,Покупка!$F$25:$F$117,$F127,Покупка!$AC$25:$AC$117,$G127)</f>
        <v>0</v>
      </c>
      <c r="AJ127" s="783">
        <f>_xlfn.SUMIFS(Покупка!AI$25:AI$117,Покупка!$F$25:$F$117,$F127,Покупка!$AC$25:$AC$117,$G127)</f>
        <v>0</v>
      </c>
      <c r="AK127" s="783">
        <f>_xlfn.SUMIFS(Покупка!AS$25:AS$117,Покупка!$F$25:$F$117,$F127,Покупка!$AC$25:$AC$117,$G127)</f>
        <v>0</v>
      </c>
      <c r="AL127" s="783">
        <f>IF(AI127=0,0,(AK127-AI127)/AI127*100)</f>
        <v>0</v>
      </c>
      <c r="AM127" s="784"/>
      <c r="AN127" s="892" t="str">
        <f>IF(_xlfn.IFERROR(INDEX(Покупка!$K$26:$L$117,MATCH($F127&amp;"5komm",Покупка!$K$26:$K$117,0),2),"")=0,"",_xlfn.IFERROR(INDEX(Покупка!$K$26:$L$117,MATCH($F127&amp;"5komm",Покупка!$K$26:$K$117,0),2),""))</f>
        <v/>
      </c>
      <c r="AO127" s="784"/>
      <c r="AP127" s="1066"/>
      <c r="AQ127" s="1066"/>
      <c r="AR127" s="1046" t="s">
        <v>1617</v>
      </c>
      <c r="AS127" s="1046"/>
      <c r="AT127" s="1046"/>
      <c r="AU127" s="1043"/>
      <c r="AV127" s="1043"/>
    </row>
    <row s="4458" customFormat="1" customHeight="1" ht="43.5">
      <c r="A128" s="567"/>
      <c r="B128" s="567"/>
      <c r="C128" s="567"/>
      <c r="D128" s="567"/>
      <c r="E128" s="677">
        <v>45</v>
      </c>
      <c r="F128" s="50" cm="1" t="str">
        <f t="array" ref="F128:F128">OFFSET(E128,-1,1)</f>
        <v>1</v>
      </c>
      <c r="G128" s="567"/>
      <c r="H128" s="567"/>
      <c r="I128" s="678" t="s">
        <v>448</v>
      </c>
      <c r="J128" s="678"/>
      <c r="K128" s="678"/>
      <c r="L128" s="678"/>
      <c r="M128" s="678"/>
      <c r="N128" s="678"/>
      <c r="O128" s="678"/>
      <c r="P128" s="678"/>
      <c r="Q128" s="678"/>
      <c r="R128" s="678"/>
      <c r="S128" s="678"/>
      <c r="T128" s="439" cm="1" t="str">
        <f t="array" ref="T128:T128">T127</f>
        <v>true</v>
      </c>
      <c r="U128" s="567"/>
      <c r="V128" s="567"/>
      <c r="W128" s="567"/>
      <c r="X128" s="1577"/>
      <c r="Y128" s="567"/>
      <c r="Z128" s="1578"/>
      <c r="AA128" s="567"/>
      <c r="AB128" s="785" t="s">
        <v>851</v>
      </c>
      <c r="AC128" s="786" t="s">
        <v>1618</v>
      </c>
      <c r="AD128" s="569" t="s">
        <v>784</v>
      </c>
      <c r="AE128" s="791"/>
      <c r="AF128" s="791"/>
      <c r="AG128" s="791"/>
      <c r="AH128" s="782">
        <f>AG128-AF128</f>
        <v>0</v>
      </c>
      <c r="AI128" s="791"/>
      <c r="AJ128" s="791"/>
      <c r="AK128" s="791"/>
      <c r="AL128" s="782">
        <f>IF(AI128=0,0,(AK128-AI128)/AI128*100)</f>
        <v>0</v>
      </c>
      <c r="AM128" s="787"/>
      <c r="AN128" s="787"/>
      <c r="AO128" s="787"/>
      <c r="AP128" s="567"/>
      <c r="AQ128" s="567"/>
      <c r="AR128" s="1047" t="s">
        <v>1619</v>
      </c>
      <c r="AS128" s="1047"/>
      <c r="AT128" s="1047"/>
      <c r="AU128" s="677"/>
      <c r="AV128" s="677"/>
    </row>
    <row s="4459" customFormat="1" customHeight="1" ht="43.5">
      <c r="A129" s="567"/>
      <c r="B129" s="567"/>
      <c r="C129" s="567"/>
      <c r="D129" s="567"/>
      <c r="E129" s="677">
        <v>45</v>
      </c>
      <c r="F129" s="50" cm="1" t="str">
        <f t="array" ref="F129:F129">OFFSET(E129,-1,1)</f>
        <v>1</v>
      </c>
      <c r="G129" s="567"/>
      <c r="H129" s="567"/>
      <c r="I129" s="678" t="s">
        <v>452</v>
      </c>
      <c r="J129" s="678"/>
      <c r="K129" s="678"/>
      <c r="L129" s="678"/>
      <c r="M129" s="678"/>
      <c r="N129" s="678"/>
      <c r="O129" s="678"/>
      <c r="P129" s="678"/>
      <c r="Q129" s="678"/>
      <c r="R129" s="678"/>
      <c r="S129" s="678"/>
      <c r="T129" s="439" cm="1" t="str">
        <f t="array" ref="T129:T129">T128</f>
        <v>true</v>
      </c>
      <c r="U129" s="567"/>
      <c r="V129" s="567"/>
      <c r="W129" s="567"/>
      <c r="X129" s="1577"/>
      <c r="Y129" s="567"/>
      <c r="Z129" s="1578"/>
      <c r="AA129" s="567"/>
      <c r="AB129" s="785" t="s">
        <v>854</v>
      </c>
      <c r="AC129" s="786" t="s">
        <v>1620</v>
      </c>
      <c r="AD129" s="569" t="s">
        <v>784</v>
      </c>
      <c r="AE129" s="782">
        <f>AE130+AE131</f>
        <v>0</v>
      </c>
      <c r="AF129" s="782">
        <f>AF130+AF131</f>
        <v>0</v>
      </c>
      <c r="AG129" s="782">
        <f>AG130+AG131</f>
        <v>0</v>
      </c>
      <c r="AH129" s="782">
        <f>AG129-AF129</f>
        <v>0</v>
      </c>
      <c r="AI129" s="782">
        <f>AI130+AI131</f>
        <v>0</v>
      </c>
      <c r="AJ129" s="782">
        <f>AJ130+AJ131</f>
        <v>0</v>
      </c>
      <c r="AK129" s="782">
        <f>AK130+AK131</f>
        <v>0</v>
      </c>
      <c r="AL129" s="782">
        <f>IF(AI129=0,0,(AK129-AI129)/AI129*100)</f>
        <v>0</v>
      </c>
      <c r="AM129" s="787"/>
      <c r="AN129" s="787"/>
      <c r="AO129" s="787"/>
      <c r="AP129" s="567"/>
      <c r="AQ129" s="567"/>
      <c r="AR129" s="1047" t="s">
        <v>1621</v>
      </c>
      <c r="AS129" s="1047"/>
      <c r="AT129" s="1047"/>
      <c r="AU129" s="677"/>
      <c r="AV129" s="677"/>
    </row>
    <row s="1621" customFormat="1" customHeight="1" ht="14.25">
      <c r="A130" s="1066"/>
      <c r="B130" s="1066"/>
      <c r="C130" s="1066"/>
      <c r="D130" s="1066"/>
      <c r="E130" s="675">
        <v>15</v>
      </c>
      <c r="F130" s="50" cm="1" t="str">
        <f t="array" ref="F130:F130">OFFSET(E130,-1,1)</f>
        <v>1</v>
      </c>
      <c r="G130" s="679" t="s">
        <v>1038</v>
      </c>
      <c r="H130" s="1066"/>
      <c r="I130" s="566" t="s">
        <v>1246</v>
      </c>
      <c r="J130" s="566"/>
      <c r="K130" s="566"/>
      <c r="L130" s="566"/>
      <c r="M130" s="566"/>
      <c r="N130" s="566"/>
      <c r="O130" s="566"/>
      <c r="P130" s="678"/>
      <c r="Q130" s="566"/>
      <c r="R130" s="566"/>
      <c r="S130" s="566"/>
      <c r="T130" s="439" cm="1" t="str">
        <f t="array" ref="T130:T130">T129</f>
        <v>true</v>
      </c>
      <c r="U130" s="1066"/>
      <c r="V130" s="1066"/>
      <c r="W130" s="1066"/>
      <c r="X130" s="1577"/>
      <c r="Y130" s="1066"/>
      <c r="Z130" s="1578"/>
      <c r="AA130" s="1066"/>
      <c r="AB130" s="788" t="s">
        <v>971</v>
      </c>
      <c r="AC130" s="789" t="s">
        <v>1622</v>
      </c>
      <c r="AD130" s="740" t="s">
        <v>784</v>
      </c>
      <c r="AE130" s="783">
        <f>_xlfn.SUMIFS(ФОТ!AE$25:AE$102,ФОТ!$F$25:$F$102,$F130,ФОТ!$G$25:$G$102,$G130)</f>
        <v>0</v>
      </c>
      <c r="AF130" s="783">
        <f>_xlfn.SUMIFS(ФОТ!AF$25:AF$102,ФОТ!$F$25:$F$102,$F130,ФОТ!$G$25:$G$102,$G130)</f>
        <v>0</v>
      </c>
      <c r="AG130" s="783">
        <f>_xlfn.SUMIFS(ФОТ!AG$25:AG$102,ФОТ!$F$25:$F$102,$F130,ФОТ!$G$25:$G$102,$G130)</f>
        <v>0</v>
      </c>
      <c r="AH130" s="783">
        <f>AG130-AF130</f>
        <v>0</v>
      </c>
      <c r="AI130" s="783">
        <f>_xlfn.SUMIFS(ФОТ!AH$25:AH$102,ФОТ!$F$25:$F$102,$F130,ФОТ!$G$25:$G$102,$G130)</f>
        <v>0</v>
      </c>
      <c r="AJ130" s="783">
        <f>_xlfn.SUMIFS(ФОТ!AI$25:AI$102,ФОТ!$F$25:$F$102,$F130,ФОТ!$G$25:$G$102,$G130)</f>
        <v>0</v>
      </c>
      <c r="AK130" s="783">
        <f>_xlfn.SUMIFS(ФОТ!AJ$25:AJ$102,ФОТ!$F$25:$F$102,$F130,ФОТ!$G$25:$G$102,$G130)</f>
        <v>0</v>
      </c>
      <c r="AL130" s="783">
        <f>IF(AI130=0,0,(AK130-AI130)/AI130*100)</f>
        <v>0</v>
      </c>
      <c r="AM130" s="784"/>
      <c r="AN130" s="892" t="str">
        <f>IF(_xlfn.IFERROR(INDEX(ФОТ!$K$26:$L$102,MATCH($F130&amp;"1komm",ФОТ!$K$26:$K$102,0),2),"")=0,"",_xlfn.IFERROR(INDEX(ФОТ!$K$26:$L$102,MATCH($F130&amp;"1komm",ФОТ!$K$26:$K$102,0),2),""))</f>
        <v/>
      </c>
      <c r="AO130" s="784"/>
      <c r="AP130" s="1066"/>
      <c r="AQ130" s="1066"/>
      <c r="AR130" s="1046" t="s">
        <v>1623</v>
      </c>
      <c r="AS130" s="1046"/>
      <c r="AT130" s="1046"/>
      <c r="AU130" s="1043"/>
      <c r="AV130" s="1043"/>
    </row>
    <row s="1621" customFormat="1" customHeight="1" ht="21.75">
      <c r="A131" s="1066"/>
      <c r="B131" s="1066"/>
      <c r="C131" s="1066"/>
      <c r="D131" s="1066"/>
      <c r="E131" s="675">
        <v>22.5</v>
      </c>
      <c r="F131" s="50" cm="1" t="str">
        <f t="array" ref="F131:F131">OFFSET(E131,-1,1)</f>
        <v>1</v>
      </c>
      <c r="G131" s="679" t="s">
        <v>1050</v>
      </c>
      <c r="H131" s="1066"/>
      <c r="I131" s="566" t="s">
        <v>1247</v>
      </c>
      <c r="J131" s="566"/>
      <c r="K131" s="566"/>
      <c r="L131" s="566"/>
      <c r="M131" s="566"/>
      <c r="N131" s="566"/>
      <c r="O131" s="566"/>
      <c r="P131" s="678"/>
      <c r="Q131" s="566"/>
      <c r="R131" s="566"/>
      <c r="S131" s="566"/>
      <c r="T131" s="439" cm="1" t="str">
        <f t="array" ref="T131:T131">T130</f>
        <v>true</v>
      </c>
      <c r="U131" s="1066"/>
      <c r="V131" s="1066"/>
      <c r="W131" s="1066"/>
      <c r="X131" s="1577"/>
      <c r="Y131" s="1066"/>
      <c r="Z131" s="1578"/>
      <c r="AA131" s="1066"/>
      <c r="AB131" s="788" t="s">
        <v>974</v>
      </c>
      <c r="AC131" s="789" t="s">
        <v>1624</v>
      </c>
      <c r="AD131" s="740" t="s">
        <v>784</v>
      </c>
      <c r="AE131" s="783">
        <f>_xlfn.SUMIFS(ФОТ!AE$25:AE$102,ФОТ!$F$25:$F$102,$F131,ФОТ!$G$25:$G$102,$G131)</f>
        <v>0</v>
      </c>
      <c r="AF131" s="783">
        <f>_xlfn.SUMIFS(ФОТ!AF$25:AF$102,ФОТ!$F$25:$F$102,$F131,ФОТ!$G$25:$G$102,$G131)</f>
        <v>0</v>
      </c>
      <c r="AG131" s="783">
        <f>_xlfn.SUMIFS(ФОТ!AG$25:AG$102,ФОТ!$F$25:$F$102,$F131,ФОТ!$G$25:$G$102,$G131)</f>
        <v>0</v>
      </c>
      <c r="AH131" s="783">
        <f>AG131-AF131</f>
        <v>0</v>
      </c>
      <c r="AI131" s="783">
        <f>_xlfn.SUMIFS(ФОТ!AH$25:AH$102,ФОТ!$F$25:$F$102,$F131,ФОТ!$G$25:$G$102,$G131)</f>
        <v>0</v>
      </c>
      <c r="AJ131" s="783">
        <f>_xlfn.SUMIFS(ФОТ!AI$25:AI$102,ФОТ!$F$25:$F$102,$F131,ФОТ!$G$25:$G$102,$G131)</f>
        <v>0</v>
      </c>
      <c r="AK131" s="783">
        <f>_xlfn.SUMIFS(ФОТ!AJ$25:AJ$102,ФОТ!$F$25:$F$102,$F131,ФОТ!$G$25:$G$102,$G131)</f>
        <v>0</v>
      </c>
      <c r="AL131" s="783">
        <f>IF(AI131=0,0,(AK131-AI131)/AI131*100)</f>
        <v>0</v>
      </c>
      <c r="AM131" s="784"/>
      <c r="AN131" s="892" t="str">
        <f>IF(_xlfn.IFERROR(INDEX(ФОТ!$K$26:$L$102,MATCH($F131&amp;"2komm",ФОТ!$K$26:$K$102,0),2),"")=0,"",_xlfn.IFERROR(INDEX(ФОТ!$K$26:$L$102,MATCH($F131&amp;"2komm",ФОТ!$K$26:$K$102,0),2),""))</f>
        <v/>
      </c>
      <c r="AO131" s="784"/>
      <c r="AP131" s="1066"/>
      <c r="AQ131" s="1066"/>
      <c r="AR131" s="1046" t="s">
        <v>1625</v>
      </c>
      <c r="AS131" s="1046"/>
      <c r="AT131" s="1046"/>
      <c r="AU131" s="1043"/>
      <c r="AV131" s="1043"/>
    </row>
    <row s="4460" customFormat="1" customHeight="1" ht="14.25">
      <c r="A132" s="567"/>
      <c r="B132" s="567"/>
      <c r="C132" s="567"/>
      <c r="D132" s="567"/>
      <c r="E132" s="677">
        <v>15</v>
      </c>
      <c r="F132" s="50" cm="1" t="str">
        <f t="array" ref="F132:F132">OFFSET(E132,-1,1)</f>
        <v>1</v>
      </c>
      <c r="G132" s="567"/>
      <c r="H132" s="567"/>
      <c r="I132" s="678" t="s">
        <v>857</v>
      </c>
      <c r="J132" s="678"/>
      <c r="K132" s="678"/>
      <c r="L132" s="678"/>
      <c r="M132" s="678"/>
      <c r="N132" s="678"/>
      <c r="O132" s="678"/>
      <c r="P132" s="678"/>
      <c r="Q132" s="678"/>
      <c r="R132" s="678"/>
      <c r="S132" s="678"/>
      <c r="T132" s="439" cm="1" t="str">
        <f t="array" ref="T132:T132">T131</f>
        <v>true</v>
      </c>
      <c r="U132" s="567"/>
      <c r="V132" s="567"/>
      <c r="W132" s="567"/>
      <c r="X132" s="1577"/>
      <c r="Y132" s="567"/>
      <c r="Z132" s="1578"/>
      <c r="AA132" s="567"/>
      <c r="AB132" s="785" t="s">
        <v>858</v>
      </c>
      <c r="AC132" s="786" t="s">
        <v>1626</v>
      </c>
      <c r="AD132" s="569" t="s">
        <v>784</v>
      </c>
      <c r="AE132" s="791"/>
      <c r="AF132" s="791"/>
      <c r="AG132" s="791"/>
      <c r="AH132" s="782">
        <f>AG132-AF132</f>
        <v>0</v>
      </c>
      <c r="AI132" s="791"/>
      <c r="AJ132" s="791"/>
      <c r="AK132" s="791"/>
      <c r="AL132" s="782">
        <f>IF(AI132=0,0,(AK132-AI132)/AI132*100)</f>
        <v>0</v>
      </c>
      <c r="AM132" s="787"/>
      <c r="AN132" s="787"/>
      <c r="AO132" s="787"/>
      <c r="AP132" s="567"/>
      <c r="AQ132" s="567"/>
      <c r="AR132" s="1047" t="s">
        <v>1225</v>
      </c>
      <c r="AS132" s="1047"/>
      <c r="AT132" s="1047"/>
      <c r="AU132" s="677"/>
      <c r="AV132" s="677"/>
    </row>
    <row s="4461" customFormat="1" customHeight="1" ht="14.25">
      <c r="A133" s="567"/>
      <c r="B133" s="567"/>
      <c r="C133" s="567"/>
      <c r="D133" s="567"/>
      <c r="E133" s="677">
        <v>15</v>
      </c>
      <c r="F133" s="50" cm="1" t="str">
        <f t="array" ref="F133:F133">OFFSET(E133,-1,1)</f>
        <v>1</v>
      </c>
      <c r="G133" s="567"/>
      <c r="H133" s="567"/>
      <c r="I133" s="678" t="s">
        <v>1627</v>
      </c>
      <c r="J133" s="678"/>
      <c r="K133" s="678"/>
      <c r="L133" s="678"/>
      <c r="M133" s="678"/>
      <c r="N133" s="678"/>
      <c r="O133" s="678"/>
      <c r="P133" s="678"/>
      <c r="Q133" s="678"/>
      <c r="R133" s="678"/>
      <c r="S133" s="678"/>
      <c r="T133" s="439" cm="1" t="str">
        <f t="array" ref="T133:T133">T132</f>
        <v>true</v>
      </c>
      <c r="U133" s="567"/>
      <c r="V133" s="567"/>
      <c r="W133" s="567"/>
      <c r="X133" s="1577"/>
      <c r="Y133" s="567"/>
      <c r="Z133" s="1578"/>
      <c r="AA133" s="567"/>
      <c r="AB133" s="785" t="s">
        <v>1628</v>
      </c>
      <c r="AC133" s="786" t="s">
        <v>1629</v>
      </c>
      <c r="AD133" s="569" t="s">
        <v>784</v>
      </c>
      <c r="AE133" s="791"/>
      <c r="AF133" s="791"/>
      <c r="AG133" s="791"/>
      <c r="AH133" s="782">
        <f>AG133-AF133</f>
        <v>0</v>
      </c>
      <c r="AI133" s="791"/>
      <c r="AJ133" s="791"/>
      <c r="AK133" s="791"/>
      <c r="AL133" s="782">
        <f>IF(AI133=0,0,(AK133-AI133)/AI133*100)</f>
        <v>0</v>
      </c>
      <c r="AM133" s="787"/>
      <c r="AN133" s="787"/>
      <c r="AO133" s="787"/>
      <c r="AP133" s="567"/>
      <c r="AQ133" s="567"/>
      <c r="AR133" s="1047" t="s">
        <v>1630</v>
      </c>
      <c r="AS133" s="1047"/>
      <c r="AT133" s="1047"/>
      <c r="AU133" s="677"/>
      <c r="AV133" s="677"/>
    </row>
    <row s="4462" customFormat="1" customHeight="1" ht="14.25">
      <c r="A134" s="567"/>
      <c r="B134" s="567"/>
      <c r="C134" s="567"/>
      <c r="D134" s="567"/>
      <c r="E134" s="677">
        <v>15</v>
      </c>
      <c r="F134" s="50" cm="1" t="str">
        <f t="array" ref="F134:F134">OFFSET(E134,-1,1)</f>
        <v>1</v>
      </c>
      <c r="G134" s="567"/>
      <c r="H134" s="567"/>
      <c r="I134" s="678" t="s">
        <v>1631</v>
      </c>
      <c r="J134" s="678"/>
      <c r="K134" s="678"/>
      <c r="L134" s="678"/>
      <c r="M134" s="678"/>
      <c r="N134" s="678"/>
      <c r="O134" s="678"/>
      <c r="P134" s="678"/>
      <c r="Q134" s="678"/>
      <c r="R134" s="678"/>
      <c r="S134" s="678"/>
      <c r="T134" s="439" cm="1" t="str">
        <f t="array" ref="T134:T134">T133</f>
        <v>true</v>
      </c>
      <c r="U134" s="567"/>
      <c r="V134" s="567"/>
      <c r="W134" s="567"/>
      <c r="X134" s="1577"/>
      <c r="Y134" s="567"/>
      <c r="Z134" s="1578"/>
      <c r="AA134" s="567"/>
      <c r="AB134" s="785" t="s">
        <v>1632</v>
      </c>
      <c r="AC134" s="786" t="s">
        <v>1633</v>
      </c>
      <c r="AD134" s="569" t="s">
        <v>784</v>
      </c>
      <c r="AE134" s="782">
        <f>SUM(AE135:AE140)</f>
        <v>0</v>
      </c>
      <c r="AF134" s="782">
        <f>SUM(AF135:AF140)</f>
        <v>0</v>
      </c>
      <c r="AG134" s="782">
        <f>SUM(AG135:AG140)</f>
        <v>0</v>
      </c>
      <c r="AH134" s="782">
        <f>AG134-AF134</f>
        <v>0</v>
      </c>
      <c r="AI134" s="782">
        <f>SUM(AI135:AI140)</f>
        <v>0</v>
      </c>
      <c r="AJ134" s="782">
        <f>SUM(AJ135:AJ140)</f>
        <v>0</v>
      </c>
      <c r="AK134" s="782">
        <f>SUM(AK135:AK140)</f>
        <v>0</v>
      </c>
      <c r="AL134" s="782">
        <f>IF(AI134=0,0,(AK134-AI134)/AI134*100)</f>
        <v>0</v>
      </c>
      <c r="AM134" s="787"/>
      <c r="AN134" s="787"/>
      <c r="AO134" s="787"/>
      <c r="AP134" s="567"/>
      <c r="AQ134" s="567"/>
      <c r="AR134" s="1047" t="s">
        <v>1634</v>
      </c>
      <c r="AS134" s="1047"/>
      <c r="AT134" s="1047"/>
      <c r="AU134" s="677"/>
      <c r="AV134" s="677"/>
    </row>
    <row s="1621" customFormat="1" customHeight="1" ht="14.25">
      <c r="A135" s="1066"/>
      <c r="B135" s="1066"/>
      <c r="C135" s="1066"/>
      <c r="D135" s="1066"/>
      <c r="E135" s="675">
        <v>15</v>
      </c>
      <c r="F135" s="50" cm="1" t="str">
        <f t="array" ref="F135:F135">OFFSET(E135,-1,1)</f>
        <v>1</v>
      </c>
      <c r="G135" s="1066"/>
      <c r="H135" s="1066"/>
      <c r="I135" s="566" t="s">
        <v>1631</v>
      </c>
      <c r="J135" s="969" t="s">
        <v>1635</v>
      </c>
      <c r="K135" s="1066"/>
      <c r="L135" s="566"/>
      <c r="M135" s="566"/>
      <c r="N135" s="566"/>
      <c r="O135" s="566"/>
      <c r="P135" s="566"/>
      <c r="Q135" s="566"/>
      <c r="R135" s="566"/>
      <c r="S135" s="566"/>
      <c r="T135" s="439" cm="1" t="str">
        <f t="array" ref="T135:T135">T134</f>
        <v>true</v>
      </c>
      <c r="U135" s="1066"/>
      <c r="V135" s="1066"/>
      <c r="W135" s="1066"/>
      <c r="X135" s="1577"/>
      <c r="Y135" s="1066"/>
      <c r="Z135" s="1578"/>
      <c r="AA135" s="1066"/>
      <c r="AB135" s="788" t="s">
        <v>1636</v>
      </c>
      <c r="AC135" s="789" t="s">
        <v>1637</v>
      </c>
      <c r="AD135" s="740" t="s">
        <v>784</v>
      </c>
      <c r="AE135" s="790"/>
      <c r="AF135" s="790"/>
      <c r="AG135" s="790"/>
      <c r="AH135" s="783">
        <f>AG135-AF135</f>
        <v>0</v>
      </c>
      <c r="AI135" s="790"/>
      <c r="AJ135" s="790"/>
      <c r="AK135" s="790"/>
      <c r="AL135" s="783">
        <f>IF(AI135=0,0,(AK135-AI135)/AI135*100)</f>
        <v>0</v>
      </c>
      <c r="AM135" s="784"/>
      <c r="AN135" s="784"/>
      <c r="AO135" s="784"/>
      <c r="AP135" s="1066"/>
      <c r="AQ135" s="1066"/>
      <c r="AR135" s="1046" t="s">
        <v>1638</v>
      </c>
      <c r="AS135" s="1046"/>
      <c r="AT135" s="1046"/>
      <c r="AU135" s="1043"/>
      <c r="AV135" s="1043"/>
    </row>
    <row s="1621" customFormat="1" customHeight="1" ht="14.25">
      <c r="A136" s="1066"/>
      <c r="B136" s="1066"/>
      <c r="C136" s="1066"/>
      <c r="D136" s="1066"/>
      <c r="E136" s="675">
        <v>15</v>
      </c>
      <c r="F136" s="50" cm="1" t="str">
        <f t="array" ref="F136:F136">OFFSET(E136,-1,1)</f>
        <v>1</v>
      </c>
      <c r="G136" s="1066"/>
      <c r="H136" s="1066"/>
      <c r="I136" s="566" t="s">
        <v>1631</v>
      </c>
      <c r="J136" s="969" t="s">
        <v>1639</v>
      </c>
      <c r="K136" s="1066"/>
      <c r="L136" s="566"/>
      <c r="M136" s="566"/>
      <c r="N136" s="566"/>
      <c r="O136" s="566"/>
      <c r="P136" s="566"/>
      <c r="Q136" s="566"/>
      <c r="R136" s="566"/>
      <c r="S136" s="566"/>
      <c r="T136" s="439" cm="1" t="str">
        <f t="array" ref="T136:T136">T135</f>
        <v>true</v>
      </c>
      <c r="U136" s="1066"/>
      <c r="V136" s="1066"/>
      <c r="W136" s="1066"/>
      <c r="X136" s="1577"/>
      <c r="Y136" s="1066"/>
      <c r="Z136" s="1578"/>
      <c r="AA136" s="1066"/>
      <c r="AB136" s="788" t="s">
        <v>1640</v>
      </c>
      <c r="AC136" s="789" t="s">
        <v>1641</v>
      </c>
      <c r="AD136" s="740" t="s">
        <v>784</v>
      </c>
      <c r="AE136" s="790"/>
      <c r="AF136" s="790"/>
      <c r="AG136" s="790"/>
      <c r="AH136" s="783">
        <f>AG136-AF136</f>
        <v>0</v>
      </c>
      <c r="AI136" s="790"/>
      <c r="AJ136" s="790"/>
      <c r="AK136" s="790"/>
      <c r="AL136" s="783">
        <f>IF(AI136=0,0,(AK136-AI136)/AI136*100)</f>
        <v>0</v>
      </c>
      <c r="AM136" s="784"/>
      <c r="AN136" s="784"/>
      <c r="AO136" s="784"/>
      <c r="AP136" s="1066"/>
      <c r="AQ136" s="1066"/>
      <c r="AR136" s="1046" t="s">
        <v>1642</v>
      </c>
      <c r="AS136" s="1046"/>
      <c r="AT136" s="1046"/>
      <c r="AU136" s="1043"/>
      <c r="AV136" s="1043"/>
    </row>
    <row s="1621" customFormat="1" customHeight="1" ht="14.25">
      <c r="A137" s="1066"/>
      <c r="B137" s="1066"/>
      <c r="C137" s="1066"/>
      <c r="D137" s="1066"/>
      <c r="E137" s="675">
        <v>15</v>
      </c>
      <c r="F137" s="50" cm="1" t="str">
        <f t="array" ref="F137:F137">OFFSET(E137,-1,1)</f>
        <v>1</v>
      </c>
      <c r="G137" s="1066"/>
      <c r="H137" s="1066"/>
      <c r="I137" s="566" t="s">
        <v>1631</v>
      </c>
      <c r="J137" s="969" t="s">
        <v>1643</v>
      </c>
      <c r="K137" s="1066"/>
      <c r="L137" s="566"/>
      <c r="M137" s="566"/>
      <c r="N137" s="566"/>
      <c r="O137" s="566"/>
      <c r="P137" s="566"/>
      <c r="Q137" s="566"/>
      <c r="R137" s="566"/>
      <c r="S137" s="566"/>
      <c r="T137" s="439" cm="1" t="str">
        <f t="array" ref="T137:T137">T136</f>
        <v>true</v>
      </c>
      <c r="U137" s="1066"/>
      <c r="V137" s="1066"/>
      <c r="W137" s="1066"/>
      <c r="X137" s="1577"/>
      <c r="Y137" s="1066"/>
      <c r="Z137" s="1578"/>
      <c r="AA137" s="1066"/>
      <c r="AB137" s="788" t="s">
        <v>1644</v>
      </c>
      <c r="AC137" s="789" t="s">
        <v>1645</v>
      </c>
      <c r="AD137" s="740" t="s">
        <v>784</v>
      </c>
      <c r="AE137" s="790"/>
      <c r="AF137" s="790"/>
      <c r="AG137" s="790"/>
      <c r="AH137" s="783">
        <f>AG137-AF137</f>
        <v>0</v>
      </c>
      <c r="AI137" s="790"/>
      <c r="AJ137" s="790"/>
      <c r="AK137" s="790"/>
      <c r="AL137" s="783">
        <f>IF(AI137=0,0,(AK137-AI137)/AI137*100)</f>
        <v>0</v>
      </c>
      <c r="AM137" s="784"/>
      <c r="AN137" s="784"/>
      <c r="AO137" s="784"/>
      <c r="AP137" s="1066"/>
      <c r="AQ137" s="1066"/>
      <c r="AR137" s="1046" t="s">
        <v>1646</v>
      </c>
      <c r="AS137" s="1046"/>
      <c r="AT137" s="1046"/>
      <c r="AU137" s="1043"/>
      <c r="AV137" s="1043"/>
    </row>
    <row s="1621" customFormat="1" customHeight="1" ht="14.25">
      <c r="A138" s="1066"/>
      <c r="B138" s="1066"/>
      <c r="C138" s="1066"/>
      <c r="D138" s="1066"/>
      <c r="E138" s="675">
        <v>15</v>
      </c>
      <c r="F138" s="50" cm="1" t="str">
        <f t="array" ref="F138:F138">OFFSET(E138,-1,1)</f>
        <v>1</v>
      </c>
      <c r="G138" s="1066"/>
      <c r="H138" s="1066"/>
      <c r="I138" s="566" t="s">
        <v>1631</v>
      </c>
      <c r="J138" s="969" t="s">
        <v>1647</v>
      </c>
      <c r="K138" s="1066"/>
      <c r="L138" s="566"/>
      <c r="M138" s="566"/>
      <c r="N138" s="566"/>
      <c r="O138" s="566"/>
      <c r="P138" s="566"/>
      <c r="Q138" s="566"/>
      <c r="R138" s="566"/>
      <c r="S138" s="566"/>
      <c r="T138" s="439" cm="1" t="str">
        <f t="array" ref="T138:T138">T137</f>
        <v>true</v>
      </c>
      <c r="U138" s="1066"/>
      <c r="V138" s="1066"/>
      <c r="W138" s="1066"/>
      <c r="X138" s="1577"/>
      <c r="Y138" s="1066"/>
      <c r="Z138" s="1578"/>
      <c r="AA138" s="1066"/>
      <c r="AB138" s="788" t="s">
        <v>1648</v>
      </c>
      <c r="AC138" s="789" t="s">
        <v>1649</v>
      </c>
      <c r="AD138" s="740" t="s">
        <v>784</v>
      </c>
      <c r="AE138" s="790"/>
      <c r="AF138" s="790"/>
      <c r="AG138" s="790"/>
      <c r="AH138" s="783">
        <f>AG138-AF138</f>
        <v>0</v>
      </c>
      <c r="AI138" s="790"/>
      <c r="AJ138" s="790"/>
      <c r="AK138" s="790"/>
      <c r="AL138" s="783">
        <f>IF(AI138=0,0,(AK138-AI138)/AI138*100)</f>
        <v>0</v>
      </c>
      <c r="AM138" s="784"/>
      <c r="AN138" s="784"/>
      <c r="AO138" s="784"/>
      <c r="AP138" s="1066"/>
      <c r="AQ138" s="1066"/>
      <c r="AR138" s="1046" t="s">
        <v>1650</v>
      </c>
      <c r="AS138" s="1046"/>
      <c r="AT138" s="1046"/>
      <c r="AU138" s="1043"/>
      <c r="AV138" s="1043"/>
    </row>
    <row s="1621" customFormat="1" customHeight="1" ht="14.25" hidden="1">
      <c r="A139" s="1066"/>
      <c r="B139" s="1066"/>
      <c r="C139" s="1066"/>
      <c r="D139" s="1066"/>
      <c r="E139" s="675">
        <v>15</v>
      </c>
      <c r="F139" s="50" cm="1" t="str">
        <f t="array" ref="F139:F139">OFFSET(E139,-1,1)</f>
        <v>1</v>
      </c>
      <c r="G139" s="1066"/>
      <c r="H139" s="1066"/>
      <c r="I139" s="566" t="s">
        <v>1631</v>
      </c>
      <c r="J139" s="556" cm="1" t="str">
        <f t="array" ref="J139:J139">AC139</f>
        <v>0</v>
      </c>
      <c r="K139" s="1066"/>
      <c r="L139" s="566"/>
      <c r="M139" s="566"/>
      <c r="N139" s="566"/>
      <c r="O139" s="566"/>
      <c r="P139" s="566"/>
      <c r="Q139" s="566"/>
      <c r="R139" s="566"/>
      <c r="S139" s="566"/>
      <c r="T139" s="439">
        <f>AND(F139&gt;0,Y139&gt;4)</f>
        <v>0</v>
      </c>
      <c r="U139" s="1066"/>
      <c r="V139" s="1066"/>
      <c r="W139" s="738" t="s">
        <v>173</v>
      </c>
      <c r="X139" s="1577"/>
      <c r="Y139" s="556">
        <v>4</v>
      </c>
      <c r="Z139" s="1578"/>
      <c r="AA139" s="1255" t="s">
        <v>174</v>
      </c>
      <c r="AB139" s="681" t="str">
        <f>"1.7."&amp;Y139</f>
        <v>1.7.4</v>
      </c>
      <c r="AC139" s="4414"/>
      <c r="AD139" s="740" t="s">
        <v>784</v>
      </c>
      <c r="AE139" s="790"/>
      <c r="AF139" s="790"/>
      <c r="AG139" s="790"/>
      <c r="AH139" s="783">
        <f>AG139-AF139</f>
        <v>0</v>
      </c>
      <c r="AI139" s="790"/>
      <c r="AJ139" s="4415"/>
      <c r="AK139" s="4415"/>
      <c r="AL139" s="783">
        <f>IF(AI139=0,0,(AK139-AI139)/AI139*100)</f>
        <v>0</v>
      </c>
      <c r="AM139" s="4416"/>
      <c r="AN139" s="4416"/>
      <c r="AO139" s="4416"/>
      <c r="AP139" s="1066"/>
      <c r="AQ139" s="1066"/>
      <c r="AR139" s="1046" t="s">
        <v>1651</v>
      </c>
      <c r="AS139" s="1046" t="s">
        <v>1652</v>
      </c>
      <c r="AT139" s="1044" cm="1" t="str">
        <f t="array" ref="AT139:AT139">AC139</f>
        <v>0</v>
      </c>
      <c r="AU139" s="1043"/>
      <c r="AV139" s="675" t="b">
        <v>1</v>
      </c>
    </row>
    <row s="1621" customFormat="1" customHeight="1" ht="14.25">
      <c r="A140" s="1066"/>
      <c r="B140" s="1066"/>
      <c r="C140" s="1066"/>
      <c r="D140" s="1066"/>
      <c r="E140" s="675">
        <v>15</v>
      </c>
      <c r="F140" s="50" cm="1" t="str">
        <f t="array" ref="F140:F140">OFFSET(E140,-1,1)</f>
        <v>1</v>
      </c>
      <c r="G140" s="1066"/>
      <c r="H140" s="1066"/>
      <c r="I140" s="676"/>
      <c r="J140" s="676" t="s">
        <v>1653</v>
      </c>
      <c r="K140" s="676"/>
      <c r="L140" s="676"/>
      <c r="M140" s="676"/>
      <c r="N140" s="676"/>
      <c r="O140" s="676"/>
      <c r="P140" s="676"/>
      <c r="Q140" s="676"/>
      <c r="R140" s="676"/>
      <c r="S140" s="676"/>
      <c r="T140" s="439">
        <f>F140&gt;0</f>
        <v>1</v>
      </c>
      <c r="U140" s="1066"/>
      <c r="V140" s="1066"/>
      <c r="W140" s="810" t="s">
        <v>392</v>
      </c>
      <c r="X140" s="1577"/>
      <c r="Y140" s="1066"/>
      <c r="Z140" s="1578"/>
      <c r="AA140" s="1066"/>
      <c r="AB140" s="1256"/>
      <c r="AC140" s="1257" t="s">
        <v>177</v>
      </c>
      <c r="AD140" s="1258"/>
      <c r="AE140" s="1258"/>
      <c r="AF140" s="1258"/>
      <c r="AG140" s="1258"/>
      <c r="AH140" s="1258"/>
      <c r="AI140" s="1258"/>
      <c r="AJ140" s="1258"/>
      <c r="AK140" s="1258"/>
      <c r="AL140" s="1258"/>
      <c r="AM140" s="1258"/>
      <c r="AN140" s="1258"/>
      <c r="AO140" s="1259"/>
      <c r="AP140" s="1066"/>
      <c r="AQ140" s="1066"/>
      <c r="AR140" s="1046"/>
      <c r="AS140" s="1046"/>
      <c r="AT140" s="1046"/>
      <c r="AU140" s="1043" t="s">
        <v>1652</v>
      </c>
      <c r="AV140" s="1043"/>
    </row>
    <row s="4477" customFormat="1" customHeight="1" ht="14.25">
      <c r="A141" s="567"/>
      <c r="B141" s="567"/>
      <c r="C141" s="567"/>
      <c r="D141" s="567"/>
      <c r="E141" s="677">
        <v>15</v>
      </c>
      <c r="F141" s="50" cm="1" t="str">
        <f t="array" ref="F141:F141">OFFSET(E141,-1,1)</f>
        <v>1</v>
      </c>
      <c r="G141" s="567"/>
      <c r="H141" s="567"/>
      <c r="I141" s="678" t="s">
        <v>326</v>
      </c>
      <c r="J141" s="678"/>
      <c r="K141" s="678"/>
      <c r="L141" s="678"/>
      <c r="M141" s="678"/>
      <c r="N141" s="678"/>
      <c r="O141" s="678"/>
      <c r="P141" s="678"/>
      <c r="Q141" s="678"/>
      <c r="R141" s="678"/>
      <c r="S141" s="678"/>
      <c r="T141" s="439" cm="1" t="str">
        <f t="array" ref="T141:T141">T140</f>
        <v>true</v>
      </c>
      <c r="U141" s="567"/>
      <c r="V141" s="567"/>
      <c r="W141" s="567"/>
      <c r="X141" s="1577"/>
      <c r="Y141" s="567"/>
      <c r="Z141" s="1578"/>
      <c r="AA141" s="567"/>
      <c r="AB141" s="785" t="s">
        <v>283</v>
      </c>
      <c r="AC141" s="781" t="s">
        <v>1654</v>
      </c>
      <c r="AD141" s="793" t="s">
        <v>784</v>
      </c>
      <c r="AE141" s="769">
        <f>AE142+AE143</f>
        <v>0</v>
      </c>
      <c r="AF141" s="769">
        <f>AF142+AF143</f>
        <v>0</v>
      </c>
      <c r="AG141" s="769">
        <f>AG142+AG143</f>
        <v>0</v>
      </c>
      <c r="AH141" s="782">
        <f>AG141-AF141</f>
        <v>0</v>
      </c>
      <c r="AI141" s="769">
        <f>AI142+AI143</f>
        <v>0</v>
      </c>
      <c r="AJ141" s="769">
        <f>AJ142+AJ143</f>
        <v>0</v>
      </c>
      <c r="AK141" s="769">
        <f>AK142+AK143</f>
        <v>0</v>
      </c>
      <c r="AL141" s="782">
        <f>IF(AI141=0,0,(AK141-AI141)/AI141*100)</f>
        <v>0</v>
      </c>
      <c r="AM141" s="787"/>
      <c r="AN141" s="787"/>
      <c r="AO141" s="787"/>
      <c r="AP141" s="567"/>
      <c r="AQ141" s="567"/>
      <c r="AR141" s="1047" t="s">
        <v>1655</v>
      </c>
      <c r="AS141" s="1047"/>
      <c r="AT141" s="1047"/>
      <c r="AU141" s="677"/>
      <c r="AV141" s="677"/>
    </row>
    <row s="1621" customFormat="1" customHeight="1" ht="32.25">
      <c r="A142" s="1066"/>
      <c r="B142" s="1066"/>
      <c r="C142" s="1066"/>
      <c r="D142" s="1066"/>
      <c r="E142" s="675">
        <v>33.75</v>
      </c>
      <c r="F142" s="50" cm="1" t="str">
        <f t="array" ref="F142:F142">OFFSET(E142,-1,1)</f>
        <v>1</v>
      </c>
      <c r="G142" s="1066"/>
      <c r="H142" s="1066"/>
      <c r="I142" s="566" t="s">
        <v>459</v>
      </c>
      <c r="J142" s="566"/>
      <c r="K142" s="566"/>
      <c r="L142" s="566"/>
      <c r="M142" s="566"/>
      <c r="N142" s="566"/>
      <c r="O142" s="566"/>
      <c r="P142" s="566"/>
      <c r="Q142" s="566"/>
      <c r="R142" s="566"/>
      <c r="S142" s="566"/>
      <c r="T142" s="439" cm="1" t="str">
        <f t="array" ref="T142:T142">T141</f>
        <v>true</v>
      </c>
      <c r="U142" s="1066"/>
      <c r="V142" s="1066"/>
      <c r="W142" s="1066"/>
      <c r="X142" s="1577"/>
      <c r="Y142" s="1066"/>
      <c r="Z142" s="1578"/>
      <c r="AA142" s="1066"/>
      <c r="AB142" s="788" t="s">
        <v>515</v>
      </c>
      <c r="AC142" s="794" t="s">
        <v>1656</v>
      </c>
      <c r="AD142" s="795" t="s">
        <v>784</v>
      </c>
      <c r="AE142" s="790"/>
      <c r="AF142" s="790"/>
      <c r="AG142" s="790"/>
      <c r="AH142" s="783">
        <f>AG142-AF142</f>
        <v>0</v>
      </c>
      <c r="AI142" s="790"/>
      <c r="AJ142" s="790"/>
      <c r="AK142" s="790"/>
      <c r="AL142" s="783">
        <f>IF(AI142=0,0,(AK142-AI142)/AI142*100)</f>
        <v>0</v>
      </c>
      <c r="AM142" s="784"/>
      <c r="AN142" s="784"/>
      <c r="AO142" s="784"/>
      <c r="AP142" s="1066"/>
      <c r="AQ142" s="1066"/>
      <c r="AR142" s="1046" t="s">
        <v>1657</v>
      </c>
      <c r="AS142" s="1046"/>
      <c r="AT142" s="1046"/>
      <c r="AU142" s="1043"/>
      <c r="AV142" s="1043"/>
    </row>
    <row s="1621" customFormat="1" customHeight="1" ht="34.5">
      <c r="A143" s="1066"/>
      <c r="B143" s="1066"/>
      <c r="C143" s="1066"/>
      <c r="D143" s="1066"/>
      <c r="E143" s="675">
        <v>36</v>
      </c>
      <c r="F143" s="50" cm="1" t="str">
        <f t="array" ref="F143:F143">OFFSET(E143,-1,1)</f>
        <v>1</v>
      </c>
      <c r="G143" s="1066"/>
      <c r="H143" s="1066"/>
      <c r="I143" s="566" t="s">
        <v>462</v>
      </c>
      <c r="J143" s="566"/>
      <c r="K143" s="566"/>
      <c r="L143" s="566"/>
      <c r="M143" s="566"/>
      <c r="N143" s="566"/>
      <c r="O143" s="566"/>
      <c r="P143" s="566"/>
      <c r="Q143" s="566"/>
      <c r="R143" s="566"/>
      <c r="S143" s="566"/>
      <c r="T143" s="439" cm="1" t="str">
        <f t="array" ref="T143:T143">T142</f>
        <v>true</v>
      </c>
      <c r="U143" s="1066"/>
      <c r="V143" s="1066"/>
      <c r="W143" s="1066"/>
      <c r="X143" s="1577"/>
      <c r="Y143" s="1066"/>
      <c r="Z143" s="1578"/>
      <c r="AA143" s="1066"/>
      <c r="AB143" s="788" t="s">
        <v>519</v>
      </c>
      <c r="AC143" s="794" t="s">
        <v>1658</v>
      </c>
      <c r="AD143" s="795" t="s">
        <v>784</v>
      </c>
      <c r="AE143" s="796">
        <f>AE144+AE145</f>
        <v>0</v>
      </c>
      <c r="AF143" s="796">
        <f>AF144+AF145</f>
        <v>0</v>
      </c>
      <c r="AG143" s="796">
        <f>AG144+AG145</f>
        <v>0</v>
      </c>
      <c r="AH143" s="783">
        <f>AG143-AF143</f>
        <v>0</v>
      </c>
      <c r="AI143" s="796">
        <f>AI144+AI145</f>
        <v>0</v>
      </c>
      <c r="AJ143" s="796">
        <f>AJ144+AJ145</f>
        <v>0</v>
      </c>
      <c r="AK143" s="796">
        <f>AK144+AK145</f>
        <v>0</v>
      </c>
      <c r="AL143" s="783">
        <f>IF(AI143=0,0,(AK143-AI143)/AI143*100)</f>
        <v>0</v>
      </c>
      <c r="AM143" s="784"/>
      <c r="AN143" s="784"/>
      <c r="AO143" s="784"/>
      <c r="AP143" s="1066"/>
      <c r="AQ143" s="1066"/>
      <c r="AR143" s="1046" t="s">
        <v>1659</v>
      </c>
      <c r="AS143" s="1046"/>
      <c r="AT143" s="1046"/>
      <c r="AU143" s="1043"/>
      <c r="AV143" s="1043"/>
    </row>
    <row s="1621" customFormat="1" customHeight="1" ht="14.25">
      <c r="A144" s="1066"/>
      <c r="B144" s="1066"/>
      <c r="C144" s="1066"/>
      <c r="D144" s="1066"/>
      <c r="E144" s="675">
        <v>15</v>
      </c>
      <c r="F144" s="50" cm="1" t="str">
        <f t="array" ref="F144:F144">OFFSET(E144,-1,1)</f>
        <v>1</v>
      </c>
      <c r="G144" s="556" t="s">
        <v>1053</v>
      </c>
      <c r="H144" s="1066"/>
      <c r="I144" s="566" t="s">
        <v>1660</v>
      </c>
      <c r="J144" s="566"/>
      <c r="K144" s="566"/>
      <c r="L144" s="566"/>
      <c r="M144" s="566"/>
      <c r="N144" s="566"/>
      <c r="O144" s="566"/>
      <c r="P144" s="566"/>
      <c r="Q144" s="566"/>
      <c r="R144" s="566"/>
      <c r="S144" s="566"/>
      <c r="T144" s="439" cm="1" t="str">
        <f t="array" ref="T144:T144">T143</f>
        <v>true</v>
      </c>
      <c r="U144" s="1066"/>
      <c r="V144" s="1066"/>
      <c r="W144" s="1066"/>
      <c r="X144" s="1577"/>
      <c r="Y144" s="1066"/>
      <c r="Z144" s="1578"/>
      <c r="AA144" s="1066"/>
      <c r="AB144" s="788" t="s">
        <v>473</v>
      </c>
      <c r="AC144" s="789" t="s">
        <v>1661</v>
      </c>
      <c r="AD144" s="795" t="s">
        <v>784</v>
      </c>
      <c r="AE144" s="783">
        <f>_xlfn.SUMIFS(ФОТ!AE$25:AE$102,ФОТ!$F$25:$F$102,$F144,ФОТ!$G$25:$G$102,$G144)</f>
        <v>0</v>
      </c>
      <c r="AF144" s="783">
        <f>_xlfn.SUMIFS(ФОТ!AF$25:AF$102,ФОТ!$F$25:$F$102,$F144,ФОТ!$G$25:$G$102,$G144)</f>
        <v>0</v>
      </c>
      <c r="AG144" s="783">
        <f>_xlfn.SUMIFS(ФОТ!AG$25:AG$102,ФОТ!$F$25:$F$102,$F144,ФОТ!$G$25:$G$102,$G144)</f>
        <v>0</v>
      </c>
      <c r="AH144" s="783">
        <f>AG144-AF144</f>
        <v>0</v>
      </c>
      <c r="AI144" s="783">
        <f>_xlfn.SUMIFS(ФОТ!AH$25:AH$102,ФОТ!$F$25:$F$102,$F144,ФОТ!$G$25:$G$102,$G144)</f>
        <v>0</v>
      </c>
      <c r="AJ144" s="783">
        <f>_xlfn.SUMIFS(ФОТ!AI$25:AI$102,ФОТ!$F$25:$F$102,$F144,ФОТ!$G$25:$G$102,$G144)</f>
        <v>0</v>
      </c>
      <c r="AK144" s="783">
        <f>_xlfn.SUMIFS(ФОТ!AJ$25:AJ$102,ФОТ!$F$25:$F$102,$F144,ФОТ!$G$25:$G$102,$G144)</f>
        <v>0</v>
      </c>
      <c r="AL144" s="783">
        <f>IF(AI144=0,0,(AK144-AI144)/AI144*100)</f>
        <v>0</v>
      </c>
      <c r="AM144" s="784"/>
      <c r="AN144" s="892" t="str">
        <f>IF(_xlfn.IFERROR(INDEX(ФОТ!$K$26:$L$102,MATCH($F144&amp;"3komm",ФОТ!$K$26:$K$102,0),2),"")=0,"",_xlfn.IFERROR(INDEX(ФОТ!$K$26:$L$102,MATCH($F144&amp;"3komm",ФОТ!$K$26:$K$102,0),2),""))</f>
        <v/>
      </c>
      <c r="AO144" s="784"/>
      <c r="AP144" s="1066"/>
      <c r="AQ144" s="1066"/>
      <c r="AR144" s="1046" t="s">
        <v>1662</v>
      </c>
      <c r="AS144" s="1046"/>
      <c r="AT144" s="1046"/>
      <c r="AU144" s="1043"/>
      <c r="AV144" s="1043"/>
    </row>
    <row s="1621" customFormat="1" customHeight="1" ht="21.75">
      <c r="A145" s="1066"/>
      <c r="B145" s="1066"/>
      <c r="C145" s="1066"/>
      <c r="D145" s="1066"/>
      <c r="E145" s="675">
        <v>22.5</v>
      </c>
      <c r="F145" s="50" cm="1" t="str">
        <f t="array" ref="F145:F145">OFFSET(E145,-1,1)</f>
        <v>1</v>
      </c>
      <c r="G145" s="556" t="s">
        <v>1058</v>
      </c>
      <c r="H145" s="1066"/>
      <c r="I145" s="566" t="s">
        <v>1663</v>
      </c>
      <c r="J145" s="566"/>
      <c r="K145" s="566"/>
      <c r="L145" s="566"/>
      <c r="M145" s="566"/>
      <c r="N145" s="566"/>
      <c r="O145" s="566"/>
      <c r="P145" s="566"/>
      <c r="Q145" s="566"/>
      <c r="R145" s="566"/>
      <c r="S145" s="566"/>
      <c r="T145" s="439" cm="1" t="str">
        <f t="array" ref="T145:T145">T144</f>
        <v>true</v>
      </c>
      <c r="U145" s="1066"/>
      <c r="V145" s="1066"/>
      <c r="W145" s="1066"/>
      <c r="X145" s="1577"/>
      <c r="Y145" s="1066"/>
      <c r="Z145" s="1578"/>
      <c r="AA145" s="1066"/>
      <c r="AB145" s="788" t="s">
        <v>1321</v>
      </c>
      <c r="AC145" s="789" t="s">
        <v>1664</v>
      </c>
      <c r="AD145" s="795" t="s">
        <v>784</v>
      </c>
      <c r="AE145" s="783">
        <f>_xlfn.SUMIFS(ФОТ!AE$25:AE$102,ФОТ!$F$25:$F$102,$F145,ФОТ!$G$25:$G$102,$G145)</f>
        <v>0</v>
      </c>
      <c r="AF145" s="783">
        <f>_xlfn.SUMIFS(ФОТ!AF$25:AF$102,ФОТ!$F$25:$F$102,$F145,ФОТ!$G$25:$G$102,$G145)</f>
        <v>0</v>
      </c>
      <c r="AG145" s="783">
        <f>_xlfn.SUMIFS(ФОТ!AG$25:AG$102,ФОТ!$F$25:$F$102,$F145,ФОТ!$G$25:$G$102,$G145)</f>
        <v>0</v>
      </c>
      <c r="AH145" s="783">
        <f>AG145-AF145</f>
        <v>0</v>
      </c>
      <c r="AI145" s="783">
        <f>_xlfn.SUMIFS(ФОТ!AH$25:AH$102,ФОТ!$F$25:$F$102,$F145,ФОТ!$G$25:$G$102,$G145)</f>
        <v>0</v>
      </c>
      <c r="AJ145" s="783">
        <f>_xlfn.SUMIFS(ФОТ!AI$25:AI$102,ФОТ!$F$25:$F$102,$F145,ФОТ!$G$25:$G$102,$G145)</f>
        <v>0</v>
      </c>
      <c r="AK145" s="783">
        <f>_xlfn.SUMIFS(ФОТ!AJ$25:AJ$102,ФОТ!$F$25:$F$102,$F145,ФОТ!$G$25:$G$102,$G145)</f>
        <v>0</v>
      </c>
      <c r="AL145" s="783">
        <f>IF(AI145=0,0,(AK145-AI145)/AI145*100)</f>
        <v>0</v>
      </c>
      <c r="AM145" s="784"/>
      <c r="AN145" s="892" t="str">
        <f>IF(_xlfn.IFERROR(INDEX(ФОТ!$K$26:$L$102,MATCH($F145&amp;"4komm",ФОТ!$K$26:$K$102,0),2),"")=0,"",_xlfn.IFERROR(INDEX(ФОТ!$K$26:$L$102,MATCH($F145&amp;"4komm",ФОТ!$K$26:$K$102,0),2),""))</f>
        <v/>
      </c>
      <c r="AO145" s="784"/>
      <c r="AP145" s="1066"/>
      <c r="AQ145" s="1066"/>
      <c r="AR145" s="1046" t="s">
        <v>1665</v>
      </c>
      <c r="AS145" s="1046"/>
      <c r="AT145" s="1046"/>
      <c r="AU145" s="1043"/>
      <c r="AV145" s="1043"/>
    </row>
    <row s="4478" customFormat="1" customHeight="1" ht="14.25">
      <c r="A146" s="567"/>
      <c r="B146" s="567"/>
      <c r="C146" s="567"/>
      <c r="D146" s="567"/>
      <c r="E146" s="677">
        <v>15</v>
      </c>
      <c r="F146" s="50" cm="1" t="str">
        <f t="array" ref="F146:F146">OFFSET(E146,-1,1)</f>
        <v>1</v>
      </c>
      <c r="G146" s="567"/>
      <c r="H146" s="567"/>
      <c r="I146" s="678" t="s">
        <v>327</v>
      </c>
      <c r="J146" s="678"/>
      <c r="K146" s="678"/>
      <c r="L146" s="678"/>
      <c r="M146" s="678"/>
      <c r="N146" s="678"/>
      <c r="O146" s="678"/>
      <c r="P146" s="678"/>
      <c r="Q146" s="678"/>
      <c r="R146" s="678"/>
      <c r="S146" s="678"/>
      <c r="T146" s="439" cm="1" t="str">
        <f t="array" ref="T146:T146">T145</f>
        <v>true</v>
      </c>
      <c r="U146" s="567"/>
      <c r="V146" s="567"/>
      <c r="W146" s="567"/>
      <c r="X146" s="1577"/>
      <c r="Y146" s="567"/>
      <c r="Z146" s="1578"/>
      <c r="AA146" s="567"/>
      <c r="AB146" s="785" t="s">
        <v>323</v>
      </c>
      <c r="AC146" s="781" t="s">
        <v>1666</v>
      </c>
      <c r="AD146" s="793" t="s">
        <v>784</v>
      </c>
      <c r="AE146" s="782">
        <f>AE147+AE148+AE151+AE152+AE153+AE154+AE155</f>
        <v>0</v>
      </c>
      <c r="AF146" s="782">
        <f>AF147+AF148+AF151+AF152+AF153+AF154+AF155</f>
        <v>0</v>
      </c>
      <c r="AG146" s="782">
        <f>AG147+AG148+AG151+AG152+AG153+AG154+AG155</f>
        <v>0</v>
      </c>
      <c r="AH146" s="782">
        <f>AG146-AF146</f>
        <v>0</v>
      </c>
      <c r="AI146" s="782">
        <f>AI147+AI148+AI151+AI152+AI153+AI154+AI155</f>
        <v>0</v>
      </c>
      <c r="AJ146" s="782">
        <f>AJ147+AJ148+AJ151+AJ152+AJ153+AJ154+AJ155</f>
        <v>0</v>
      </c>
      <c r="AK146" s="782">
        <f>AK147+AK148+AK151+AK152+AK153+AK154+AK155</f>
        <v>0</v>
      </c>
      <c r="AL146" s="782">
        <f>IF(AI146=0,0,(AK146-AI146)/AI146*100)</f>
        <v>0</v>
      </c>
      <c r="AM146" s="787"/>
      <c r="AN146" s="787"/>
      <c r="AO146" s="787"/>
      <c r="AP146" s="567"/>
      <c r="AQ146" s="567"/>
      <c r="AR146" s="1047" t="s">
        <v>1667</v>
      </c>
      <c r="AS146" s="1047"/>
      <c r="AT146" s="1047"/>
      <c r="AU146" s="677"/>
      <c r="AV146" s="677"/>
    </row>
    <row s="1621" customFormat="1" customHeight="1" ht="21.75">
      <c r="A147" s="1066"/>
      <c r="B147" s="1066"/>
      <c r="C147" s="1066"/>
      <c r="D147" s="1066"/>
      <c r="E147" s="675">
        <v>22.5</v>
      </c>
      <c r="F147" s="50" cm="1" t="str">
        <f t="array" ref="F147:F147">OFFSET(E147,-1,1)</f>
        <v>1</v>
      </c>
      <c r="G147" s="556" t="s">
        <v>1079</v>
      </c>
      <c r="H147" s="1066"/>
      <c r="I147" s="566" t="s">
        <v>875</v>
      </c>
      <c r="J147" s="566"/>
      <c r="K147" s="566"/>
      <c r="L147" s="566"/>
      <c r="M147" s="566"/>
      <c r="N147" s="566"/>
      <c r="O147" s="566"/>
      <c r="P147" s="566"/>
      <c r="Q147" s="566"/>
      <c r="R147" s="566"/>
      <c r="S147" s="566"/>
      <c r="T147" s="439" cm="1" t="str">
        <f t="array" ref="T147:T147">T146</f>
        <v>true</v>
      </c>
      <c r="U147" s="1066"/>
      <c r="V147" s="1066"/>
      <c r="W147" s="1066"/>
      <c r="X147" s="1577"/>
      <c r="Y147" s="1066"/>
      <c r="Z147" s="1578"/>
      <c r="AA147" s="1066"/>
      <c r="AB147" s="788" t="s">
        <v>529</v>
      </c>
      <c r="AC147" s="794" t="s">
        <v>1668</v>
      </c>
      <c r="AD147" s="795" t="s">
        <v>784</v>
      </c>
      <c r="AE147" s="226">
        <f>_xlfn.SUMIFS(Административные!AE$25:AE$84,Административные!$F$25:$F$84,$F147,Административные!$G$25:$G$84,$G147)</f>
        <v>0</v>
      </c>
      <c r="AF147" s="226">
        <f>_xlfn.SUMIFS(Административные!AF$25:AF$84,Административные!$F$25:$F$84,$F147,Административные!$G$25:$G$84,$G147)</f>
        <v>0</v>
      </c>
      <c r="AG147" s="226">
        <f>_xlfn.SUMIFS(Административные!AG$25:AG$84,Административные!$F$25:$F$84,$F147,Административные!$G$25:$G$84,$G147)</f>
        <v>0</v>
      </c>
      <c r="AH147" s="783">
        <f>AG147-AF147</f>
        <v>0</v>
      </c>
      <c r="AI147" s="226">
        <f>_xlfn.SUMIFS(Административные!AH$25:AH$84,Административные!$F$25:$F$84,$F147,Административные!$G$25:$G$84,$G147)</f>
        <v>0</v>
      </c>
      <c r="AJ147" s="226">
        <f>_xlfn.SUMIFS(Административные!AI$25:AI$84,Административные!$F$25:$F$84,$F147,Административные!$G$25:$G$84,$G147)</f>
        <v>0</v>
      </c>
      <c r="AK147" s="226">
        <f>_xlfn.SUMIFS(Административные!AJ$25:AJ$84,Административные!$F$25:$F$84,$F147,Административные!$G$25:$G$84,$G147)</f>
        <v>0</v>
      </c>
      <c r="AL147" s="783">
        <f>IF(AI147=0,0,(AK147-AI147)/AI147*100)</f>
        <v>0</v>
      </c>
      <c r="AM147" s="784"/>
      <c r="AN147" s="892" t="str">
        <f>IF(_xlfn.IFERROR(INDEX(Административные!$K$26:$L$84,MATCH($F147&amp;"17komm",Административные!$K$26:$K$84,0),2),"")=0,"",_xlfn.IFERROR(INDEX(Административные!$K$26:$L$84,MATCH($F147&amp;"17komm",Административные!$K$26:$K$84,0),2),""))</f>
        <v/>
      </c>
      <c r="AO147" s="784"/>
      <c r="AP147" s="1066"/>
      <c r="AQ147" s="1066"/>
      <c r="AR147" s="1046" t="s">
        <v>1081</v>
      </c>
      <c r="AS147" s="1046"/>
      <c r="AT147" s="1046"/>
      <c r="AU147" s="1043"/>
      <c r="AV147" s="1043"/>
    </row>
    <row s="1621" customFormat="1" customHeight="1" ht="32.25">
      <c r="A148" s="1066"/>
      <c r="B148" s="1066"/>
      <c r="C148" s="1066"/>
      <c r="D148" s="1066"/>
      <c r="E148" s="675">
        <v>33.75</v>
      </c>
      <c r="F148" s="50" cm="1" t="str">
        <f t="array" ref="F148:F148">OFFSET(E148,-1,1)</f>
        <v>1</v>
      </c>
      <c r="G148" s="1066"/>
      <c r="H148" s="1066"/>
      <c r="I148" s="566" t="s">
        <v>877</v>
      </c>
      <c r="J148" s="566"/>
      <c r="K148" s="566"/>
      <c r="L148" s="566"/>
      <c r="M148" s="566"/>
      <c r="N148" s="566"/>
      <c r="O148" s="566"/>
      <c r="P148" s="566"/>
      <c r="Q148" s="566"/>
      <c r="R148" s="566"/>
      <c r="S148" s="566"/>
      <c r="T148" s="439" cm="1" t="str">
        <f t="array" ref="T148:T148">T147</f>
        <v>true</v>
      </c>
      <c r="U148" s="1066"/>
      <c r="V148" s="1066"/>
      <c r="W148" s="1066"/>
      <c r="X148" s="1577"/>
      <c r="Y148" s="1066"/>
      <c r="Z148" s="1578"/>
      <c r="AA148" s="1066"/>
      <c r="AB148" s="788" t="s">
        <v>533</v>
      </c>
      <c r="AC148" s="794" t="s">
        <v>1669</v>
      </c>
      <c r="AD148" s="795" t="s">
        <v>784</v>
      </c>
      <c r="AE148" s="783">
        <f>AE149+AE150</f>
        <v>0</v>
      </c>
      <c r="AF148" s="783">
        <f>AF149+AF150</f>
        <v>0</v>
      </c>
      <c r="AG148" s="783">
        <f>AG149+AG150</f>
        <v>0</v>
      </c>
      <c r="AH148" s="783">
        <f>AG148-AF148</f>
        <v>0</v>
      </c>
      <c r="AI148" s="783">
        <f>AI149+AI150</f>
        <v>0</v>
      </c>
      <c r="AJ148" s="783">
        <f>AJ149+AJ150</f>
        <v>0</v>
      </c>
      <c r="AK148" s="783">
        <f>AK149+AK150</f>
        <v>0</v>
      </c>
      <c r="AL148" s="783">
        <f>IF(AI148=0,0,(AK148-AI148)/AI148*100)</f>
        <v>0</v>
      </c>
      <c r="AM148" s="784"/>
      <c r="AN148" s="784"/>
      <c r="AO148" s="784"/>
      <c r="AP148" s="1066"/>
      <c r="AQ148" s="1066"/>
      <c r="AR148" s="1046" t="s">
        <v>1670</v>
      </c>
      <c r="AS148" s="1046"/>
      <c r="AT148" s="1046"/>
      <c r="AU148" s="1043"/>
      <c r="AV148" s="1043"/>
    </row>
    <row s="1621" customFormat="1" customHeight="1" ht="21.75">
      <c r="A149" s="1066"/>
      <c r="B149" s="1066"/>
      <c r="C149" s="1066"/>
      <c r="D149" s="1066"/>
      <c r="E149" s="675">
        <v>22.5</v>
      </c>
      <c r="F149" s="50" cm="1" t="str">
        <f t="array" ref="F149:F149">OFFSET(E149,-1,1)</f>
        <v>1</v>
      </c>
      <c r="G149" s="1260" t="s">
        <v>1061</v>
      </c>
      <c r="H149" s="1066"/>
      <c r="I149" s="566" t="s">
        <v>477</v>
      </c>
      <c r="J149" s="566"/>
      <c r="K149" s="566"/>
      <c r="L149" s="566"/>
      <c r="M149" s="566"/>
      <c r="N149" s="566"/>
      <c r="O149" s="566"/>
      <c r="P149" s="566"/>
      <c r="Q149" s="566"/>
      <c r="R149" s="566"/>
      <c r="S149" s="566"/>
      <c r="T149" s="439" cm="1" t="str">
        <f t="array" ref="T149:T149">T148</f>
        <v>true</v>
      </c>
      <c r="U149" s="1066"/>
      <c r="V149" s="1066"/>
      <c r="W149" s="1066"/>
      <c r="X149" s="1577"/>
      <c r="Y149" s="1066"/>
      <c r="Z149" s="1578"/>
      <c r="AA149" s="1066"/>
      <c r="AB149" s="788" t="s">
        <v>744</v>
      </c>
      <c r="AC149" s="789" t="s">
        <v>1671</v>
      </c>
      <c r="AD149" s="795" t="s">
        <v>784</v>
      </c>
      <c r="AE149" s="783">
        <f>_xlfn.SUMIFS(ФОТ!AE$25:AE$102,ФОТ!$F$25:$F$102,$F149,ФОТ!$G$25:$G$102,$G149)</f>
        <v>0</v>
      </c>
      <c r="AF149" s="783">
        <f>_xlfn.SUMIFS(ФОТ!AF$25:AF$102,ФОТ!$F$25:$F$102,$F149,ФОТ!$G$25:$G$102,$G149)</f>
        <v>0</v>
      </c>
      <c r="AG149" s="783">
        <f>_xlfn.SUMIFS(ФОТ!AG$25:AG$102,ФОТ!$F$25:$F$102,$F149,ФОТ!$G$25:$G$102,$G149)</f>
        <v>0</v>
      </c>
      <c r="AH149" s="783">
        <f>AG149-AF149</f>
        <v>0</v>
      </c>
      <c r="AI149" s="783">
        <f>_xlfn.SUMIFS(ФОТ!AH$25:AH$102,ФОТ!$F$25:$F$102,$F149,ФОТ!$G$25:$G$102,$G149)</f>
        <v>0</v>
      </c>
      <c r="AJ149" s="783">
        <f>_xlfn.SUMIFS(ФОТ!AI$25:AI$102,ФОТ!$F$25:$F$102,$F149,ФОТ!$G$25:$G$102,$G149)</f>
        <v>0</v>
      </c>
      <c r="AK149" s="783">
        <f>_xlfn.SUMIFS(ФОТ!AJ$25:AJ$102,ФОТ!$F$25:$F$102,$F149,ФОТ!$G$25:$G$102,$G149)</f>
        <v>0</v>
      </c>
      <c r="AL149" s="783">
        <f>IF(AI149=0,0,(AK149-AI149)/AI149*100)</f>
        <v>0</v>
      </c>
      <c r="AM149" s="784"/>
      <c r="AN149" s="892" t="str">
        <f>IF(_xlfn.IFERROR(INDEX(ФОТ!$K$26:$L$102,MATCH($F149&amp;"5komm",ФОТ!$K$26:$K$102,0),2),"")=0,"",_xlfn.IFERROR(INDEX(ФОТ!$K$26:$L$102,MATCH($F149&amp;"5komm",ФОТ!$K$26:$K$102,0),2),""))</f>
        <v/>
      </c>
      <c r="AO149" s="784"/>
      <c r="AP149" s="1066"/>
      <c r="AQ149" s="1066"/>
      <c r="AR149" s="1046" t="s">
        <v>1078</v>
      </c>
      <c r="AS149" s="1046"/>
      <c r="AT149" s="1046"/>
      <c r="AU149" s="1043"/>
      <c r="AV149" s="1043"/>
    </row>
    <row s="1621" customFormat="1" customHeight="1" ht="32.25">
      <c r="A150" s="1066"/>
      <c r="B150" s="1066"/>
      <c r="C150" s="1066"/>
      <c r="D150" s="1066"/>
      <c r="E150" s="675">
        <v>33.75</v>
      </c>
      <c r="F150" s="50" cm="1" t="str">
        <f t="array" ref="F150:F150">OFFSET(E150,-1,1)</f>
        <v>1</v>
      </c>
      <c r="G150" s="472" t="s">
        <v>1066</v>
      </c>
      <c r="H150" s="1066"/>
      <c r="I150" s="566" t="s">
        <v>482</v>
      </c>
      <c r="J150" s="566"/>
      <c r="K150" s="566"/>
      <c r="L150" s="566"/>
      <c r="M150" s="566"/>
      <c r="N150" s="566"/>
      <c r="O150" s="566"/>
      <c r="P150" s="566"/>
      <c r="Q150" s="566"/>
      <c r="R150" s="566"/>
      <c r="S150" s="566"/>
      <c r="T150" s="439" cm="1" t="str">
        <f t="array" ref="T150:T150">T149</f>
        <v>true</v>
      </c>
      <c r="U150" s="1066"/>
      <c r="V150" s="1066"/>
      <c r="W150" s="1066"/>
      <c r="X150" s="1577"/>
      <c r="Y150" s="1066"/>
      <c r="Z150" s="1578"/>
      <c r="AA150" s="1066"/>
      <c r="AB150" s="788" t="s">
        <v>747</v>
      </c>
      <c r="AC150" s="789" t="s">
        <v>1672</v>
      </c>
      <c r="AD150" s="795" t="s">
        <v>784</v>
      </c>
      <c r="AE150" s="783">
        <f>_xlfn.SUMIFS(ФОТ!AE$25:AE$102,ФОТ!$F$25:$F$102,$F150,ФОТ!$G$25:$G$102,$G150)</f>
        <v>0</v>
      </c>
      <c r="AF150" s="783">
        <f>_xlfn.SUMIFS(ФОТ!AF$25:AF$102,ФОТ!$F$25:$F$102,$F150,ФОТ!$G$25:$G$102,$G150)</f>
        <v>0</v>
      </c>
      <c r="AG150" s="783">
        <f>_xlfn.SUMIFS(ФОТ!AG$25:AG$102,ФОТ!$F$25:$F$102,$F150,ФОТ!$G$25:$G$102,$G150)</f>
        <v>0</v>
      </c>
      <c r="AH150" s="783">
        <f>AG150-AF150</f>
        <v>0</v>
      </c>
      <c r="AI150" s="783">
        <f>_xlfn.SUMIFS(ФОТ!AH$25:AH$102,ФОТ!$F$25:$F$102,$F150,ФОТ!$G$25:$G$102,$G150)</f>
        <v>0</v>
      </c>
      <c r="AJ150" s="783">
        <f>_xlfn.SUMIFS(ФОТ!AI$25:AI$102,ФОТ!$F$25:$F$102,$F150,ФОТ!$G$25:$G$102,$G150)</f>
        <v>0</v>
      </c>
      <c r="AK150" s="783">
        <f>_xlfn.SUMIFS(ФОТ!AJ$25:AJ$102,ФОТ!$F$25:$F$102,$F150,ФОТ!$G$25:$G$102,$G150)</f>
        <v>0</v>
      </c>
      <c r="AL150" s="783">
        <f>IF(AI150=0,0,(AK150-AI150)/AI150*100)</f>
        <v>0</v>
      </c>
      <c r="AM150" s="784"/>
      <c r="AN150" s="892" t="str">
        <f>IF(_xlfn.IFERROR(INDEX(ФОТ!$K$26:$L$102,MATCH($F150&amp;"6komm",ФОТ!$K$26:$K$102,0),2),"")=0,"",_xlfn.IFERROR(INDEX(ФОТ!$K$26:$L$102,MATCH($F150&amp;"6komm",ФОТ!$K$26:$K$102,0),2),""))</f>
        <v/>
      </c>
      <c r="AO150" s="784"/>
      <c r="AP150" s="1066"/>
      <c r="AQ150" s="1066"/>
      <c r="AR150" s="1046" t="s">
        <v>1673</v>
      </c>
      <c r="AS150" s="1046"/>
      <c r="AT150" s="1046"/>
      <c r="AU150" s="1043"/>
      <c r="AV150" s="1043"/>
    </row>
    <row s="1621" customFormat="1" customHeight="1" ht="32.25">
      <c r="A151" s="1066"/>
      <c r="B151" s="1066"/>
      <c r="C151" s="1066"/>
      <c r="D151" s="1066"/>
      <c r="E151" s="675">
        <v>33.75</v>
      </c>
      <c r="F151" s="50" cm="1" t="str">
        <f t="array" ref="F151:F151">OFFSET(E151,-1,1)</f>
        <v>1</v>
      </c>
      <c r="G151" s="556" t="s">
        <v>1107</v>
      </c>
      <c r="H151" s="1066"/>
      <c r="I151" s="566" t="s">
        <v>879</v>
      </c>
      <c r="J151" s="566"/>
      <c r="K151" s="566"/>
      <c r="L151" s="566"/>
      <c r="M151" s="566"/>
      <c r="N151" s="566"/>
      <c r="O151" s="566"/>
      <c r="P151" s="566"/>
      <c r="Q151" s="566"/>
      <c r="R151" s="566"/>
      <c r="S151" s="566"/>
      <c r="T151" s="439" cm="1" t="str">
        <f t="array" ref="T151:T151">T150</f>
        <v>true</v>
      </c>
      <c r="U151" s="1066"/>
      <c r="V151" s="1066"/>
      <c r="W151" s="1066"/>
      <c r="X151" s="1577"/>
      <c r="Y151" s="1066"/>
      <c r="Z151" s="1578"/>
      <c r="AA151" s="1066"/>
      <c r="AB151" s="788" t="s">
        <v>750</v>
      </c>
      <c r="AC151" s="794" t="s">
        <v>1674</v>
      </c>
      <c r="AD151" s="795" t="s">
        <v>784</v>
      </c>
      <c r="AE151" s="783">
        <f>_xlfn.SUMIFS(Административные!AE$25:AE$84,Административные!$F$25:$F$84,$F151,Административные!$G$25:$G$84,$G151)</f>
        <v>0</v>
      </c>
      <c r="AF151" s="783">
        <f>_xlfn.SUMIFS(Административные!AF$25:AF$84,Административные!$F$25:$F$84,$F151,Административные!$G$25:$G$84,$G151)</f>
        <v>0</v>
      </c>
      <c r="AG151" s="783">
        <f>_xlfn.SUMIFS(Административные!AG$25:AG$84,Административные!$F$25:$F$84,$F151,Административные!$G$25:$G$84,$G151)</f>
        <v>0</v>
      </c>
      <c r="AH151" s="783">
        <f>AG151-AF151</f>
        <v>0</v>
      </c>
      <c r="AI151" s="783">
        <f>_xlfn.SUMIFS(Административные!AH$25:AH$84,Административные!$F$25:$F$84,$F151,Административные!$G$25:$G$84,$G151)</f>
        <v>0</v>
      </c>
      <c r="AJ151" s="783">
        <f>_xlfn.SUMIFS(Административные!AI$25:AI$84,Административные!$F$25:$F$84,$F151,Административные!$G$25:$G$84,$G151)</f>
        <v>0</v>
      </c>
      <c r="AK151" s="783">
        <f>_xlfn.SUMIFS(Административные!AJ$25:AJ$84,Административные!$F$25:$F$84,$F151,Административные!$G$25:$G$84,$G151)</f>
        <v>0</v>
      </c>
      <c r="AL151" s="783">
        <f>IF(AI151=0,0,(AK151-AI151)/AI151*100)</f>
        <v>0</v>
      </c>
      <c r="AM151" s="784"/>
      <c r="AN151" s="892" t="str">
        <f>IF(_xlfn.IFERROR(INDEX(Административные!$K$26:$L$84,MATCH($F151&amp;"2komm",Административные!$K$26:$K$84,0),2),"")=0,"",_xlfn.IFERROR(INDEX(Административные!$K$26:$L$84,MATCH($F151&amp;"2komm",Административные!$K$26:$K$84,0),2),""))</f>
        <v/>
      </c>
      <c r="AO151" s="784"/>
      <c r="AP151" s="1066"/>
      <c r="AQ151" s="1066"/>
      <c r="AR151" s="1046" t="s">
        <v>1109</v>
      </c>
      <c r="AS151" s="1046"/>
      <c r="AT151" s="1046"/>
      <c r="AU151" s="1043"/>
      <c r="AV151" s="1043"/>
    </row>
    <row s="1621" customFormat="1" customHeight="1" ht="14.25">
      <c r="A152" s="1066"/>
      <c r="B152" s="1066"/>
      <c r="C152" s="1066"/>
      <c r="D152" s="1066"/>
      <c r="E152" s="675">
        <v>15</v>
      </c>
      <c r="F152" s="50" cm="1" t="str">
        <f t="array" ref="F152:F152">OFFSET(E152,-1,1)</f>
        <v>1</v>
      </c>
      <c r="G152" s="556" t="s">
        <v>1110</v>
      </c>
      <c r="H152" s="1066"/>
      <c r="I152" s="566" t="s">
        <v>881</v>
      </c>
      <c r="J152" s="566"/>
      <c r="K152" s="566"/>
      <c r="L152" s="566"/>
      <c r="M152" s="566"/>
      <c r="N152" s="566"/>
      <c r="O152" s="566"/>
      <c r="P152" s="566"/>
      <c r="Q152" s="566"/>
      <c r="R152" s="566"/>
      <c r="S152" s="566"/>
      <c r="T152" s="439" cm="1" t="str">
        <f t="array" ref="T152:T152">T151</f>
        <v>true</v>
      </c>
      <c r="U152" s="1066"/>
      <c r="V152" s="1066"/>
      <c r="W152" s="1066"/>
      <c r="X152" s="1577"/>
      <c r="Y152" s="1066"/>
      <c r="Z152" s="1578"/>
      <c r="AA152" s="1066"/>
      <c r="AB152" s="788" t="s">
        <v>882</v>
      </c>
      <c r="AC152" s="794" t="s">
        <v>1111</v>
      </c>
      <c r="AD152" s="795" t="s">
        <v>784</v>
      </c>
      <c r="AE152" s="783">
        <f>_xlfn.SUMIFS(Административные!AE$25:AE$84,Административные!$F$25:$F$84,$F152,Административные!$G$25:$G$84,$G152)</f>
        <v>0</v>
      </c>
      <c r="AF152" s="783">
        <f>_xlfn.SUMIFS(Административные!AF$25:AF$84,Административные!$F$25:$F$84,$F152,Административные!$G$25:$G$84,$G152)</f>
        <v>0</v>
      </c>
      <c r="AG152" s="783">
        <f>_xlfn.SUMIFS(Административные!AG$25:AG$84,Административные!$F$25:$F$84,$F152,Административные!$G$25:$G$84,$G152)</f>
        <v>0</v>
      </c>
      <c r="AH152" s="783">
        <f>AG152-AF152</f>
        <v>0</v>
      </c>
      <c r="AI152" s="783">
        <f>_xlfn.SUMIFS(Административные!AH$25:AH$84,Административные!$F$25:$F$84,$F152,Административные!$G$25:$G$84,$G152)</f>
        <v>0</v>
      </c>
      <c r="AJ152" s="783">
        <f>_xlfn.SUMIFS(Административные!AI$25:AI$84,Административные!$F$25:$F$84,$F152,Административные!$G$25:$G$84,$G152)</f>
        <v>0</v>
      </c>
      <c r="AK152" s="783">
        <f>_xlfn.SUMIFS(Административные!AJ$25:AJ$84,Административные!$F$25:$F$84,$F152,Административные!$G$25:$G$84,$G152)</f>
        <v>0</v>
      </c>
      <c r="AL152" s="783">
        <f>IF(AI152=0,0,(AK152-AI152)/AI152*100)</f>
        <v>0</v>
      </c>
      <c r="AM152" s="784"/>
      <c r="AN152" s="892" t="str">
        <f>IF(_xlfn.IFERROR(INDEX(Административные!$K$26:$L$84,MATCH($F152&amp;"3komm",Административные!$K$26:$K$84,0),2),"")=0,"",_xlfn.IFERROR(INDEX(Административные!$K$26:$L$84,MATCH($F152&amp;"3komm",Административные!$K$26:$K$84,0),2),""))</f>
        <v/>
      </c>
      <c r="AO152" s="784"/>
      <c r="AP152" s="1066"/>
      <c r="AQ152" s="1066"/>
      <c r="AR152" s="1046" t="s">
        <v>1112</v>
      </c>
      <c r="AS152" s="1046"/>
      <c r="AT152" s="1046"/>
      <c r="AU152" s="1043"/>
      <c r="AV152" s="1043"/>
    </row>
    <row s="1621" customFormat="1" customHeight="1" ht="14.25">
      <c r="A153" s="1066"/>
      <c r="B153" s="1066"/>
      <c r="C153" s="1066"/>
      <c r="D153" s="1066"/>
      <c r="E153" s="675">
        <v>15</v>
      </c>
      <c r="F153" s="50" cm="1" t="str">
        <f t="array" ref="F153:F153">OFFSET(E153,-1,1)</f>
        <v>1</v>
      </c>
      <c r="G153" s="556" t="s">
        <v>1113</v>
      </c>
      <c r="H153" s="1066"/>
      <c r="I153" s="566" t="s">
        <v>884</v>
      </c>
      <c r="J153" s="566"/>
      <c r="K153" s="566"/>
      <c r="L153" s="566"/>
      <c r="M153" s="566"/>
      <c r="N153" s="566"/>
      <c r="O153" s="566"/>
      <c r="P153" s="566"/>
      <c r="Q153" s="566"/>
      <c r="R153" s="566"/>
      <c r="S153" s="566"/>
      <c r="T153" s="439" cm="1" t="str">
        <f t="array" ref="T153:T153">T152</f>
        <v>true</v>
      </c>
      <c r="U153" s="1066"/>
      <c r="V153" s="1066"/>
      <c r="W153" s="1066"/>
      <c r="X153" s="1577"/>
      <c r="Y153" s="1066"/>
      <c r="Z153" s="1578"/>
      <c r="AA153" s="1066"/>
      <c r="AB153" s="788" t="s">
        <v>885</v>
      </c>
      <c r="AC153" s="794" t="s">
        <v>1114</v>
      </c>
      <c r="AD153" s="795" t="s">
        <v>784</v>
      </c>
      <c r="AE153" s="783">
        <f>_xlfn.SUMIFS(Административные!AE$25:AE$84,Административные!$F$25:$F$84,$F153,Административные!$G$25:$G$84,$G153)</f>
        <v>0</v>
      </c>
      <c r="AF153" s="783">
        <f>_xlfn.SUMIFS(Административные!AF$25:AF$84,Административные!$F$25:$F$84,$F153,Административные!$G$25:$G$84,$G153)</f>
        <v>0</v>
      </c>
      <c r="AG153" s="783">
        <f>_xlfn.SUMIFS(Административные!AG$25:AG$84,Административные!$F$25:$F$84,$F153,Административные!$G$25:$G$84,$G153)</f>
        <v>0</v>
      </c>
      <c r="AH153" s="783">
        <f>AG153-AF153</f>
        <v>0</v>
      </c>
      <c r="AI153" s="783">
        <f>_xlfn.SUMIFS(Административные!AH$25:AH$84,Административные!$F$25:$F$84,$F153,Административные!$G$25:$G$84,$G153)</f>
        <v>0</v>
      </c>
      <c r="AJ153" s="783">
        <f>_xlfn.SUMIFS(Административные!AI$25:AI$84,Административные!$F$25:$F$84,$F153,Административные!$G$25:$G$84,$G153)</f>
        <v>0</v>
      </c>
      <c r="AK153" s="783">
        <f>_xlfn.SUMIFS(Административные!AJ$25:AJ$84,Административные!$F$25:$F$84,$F153,Административные!$G$25:$G$84,$G153)</f>
        <v>0</v>
      </c>
      <c r="AL153" s="783">
        <f>IF(AI153=0,0,(AK153-AI153)/AI153*100)</f>
        <v>0</v>
      </c>
      <c r="AM153" s="784"/>
      <c r="AN153" s="892" t="str">
        <f>IF(_xlfn.IFERROR(INDEX(Административные!$K$26:$L$84,MATCH($F153&amp;"4komm",Административные!$K$26:$K$84,0),2),"")=0,"",_xlfn.IFERROR(INDEX(Административные!$K$26:$L$84,MATCH($F153&amp;"4komm",Административные!$K$26:$K$84,0),2),""))</f>
        <v/>
      </c>
      <c r="AO153" s="784"/>
      <c r="AP153" s="1066"/>
      <c r="AQ153" s="1066"/>
      <c r="AR153" s="1046" t="s">
        <v>1115</v>
      </c>
      <c r="AS153" s="1046"/>
      <c r="AT153" s="1046"/>
      <c r="AU153" s="1043"/>
      <c r="AV153" s="1043"/>
    </row>
    <row s="1621" customFormat="1" customHeight="1" ht="14.25">
      <c r="A154" s="1066"/>
      <c r="B154" s="1066"/>
      <c r="C154" s="1066"/>
      <c r="D154" s="1066"/>
      <c r="E154" s="675">
        <v>15</v>
      </c>
      <c r="F154" s="50" cm="1" t="str">
        <f t="array" ref="F154:F154">OFFSET(E154,-1,1)</f>
        <v>1</v>
      </c>
      <c r="G154" s="556" t="s">
        <v>1116</v>
      </c>
      <c r="H154" s="1066"/>
      <c r="I154" s="566" t="s">
        <v>1098</v>
      </c>
      <c r="J154" s="566"/>
      <c r="K154" s="566"/>
      <c r="L154" s="566"/>
      <c r="M154" s="566"/>
      <c r="N154" s="566"/>
      <c r="O154" s="566"/>
      <c r="P154" s="566"/>
      <c r="Q154" s="566"/>
      <c r="R154" s="566"/>
      <c r="S154" s="566"/>
      <c r="T154" s="439" cm="1" t="str">
        <f t="array" ref="T154:T154">T153</f>
        <v>true</v>
      </c>
      <c r="U154" s="1066"/>
      <c r="V154" s="1066"/>
      <c r="W154" s="1066"/>
      <c r="X154" s="1577"/>
      <c r="Y154" s="1066"/>
      <c r="Z154" s="1578"/>
      <c r="AA154" s="1066"/>
      <c r="AB154" s="788" t="s">
        <v>1099</v>
      </c>
      <c r="AC154" s="794" t="s">
        <v>1117</v>
      </c>
      <c r="AD154" s="795" t="s">
        <v>784</v>
      </c>
      <c r="AE154" s="783">
        <f>_xlfn.SUMIFS(Административные!AE$25:AE$84,Административные!$F$25:$F$84,$F154,Административные!$G$25:$G$84,$G154)</f>
        <v>0</v>
      </c>
      <c r="AF154" s="783">
        <f>_xlfn.SUMIFS(Административные!AF$25:AF$84,Административные!$F$25:$F$84,$F154,Административные!$G$25:$G$84,$G154)</f>
        <v>0</v>
      </c>
      <c r="AG154" s="783">
        <f>_xlfn.SUMIFS(Административные!AG$25:AG$84,Административные!$F$25:$F$84,$F154,Административные!$G$25:$G$84,$G154)</f>
        <v>0</v>
      </c>
      <c r="AH154" s="783">
        <f>AG154-AF154</f>
        <v>0</v>
      </c>
      <c r="AI154" s="783">
        <f>_xlfn.SUMIFS(Административные!AH$25:AH$84,Административные!$F$25:$F$84,$F154,Административные!$G$25:$G$84,$G154)</f>
        <v>0</v>
      </c>
      <c r="AJ154" s="783">
        <f>_xlfn.SUMIFS(Административные!AI$25:AI$84,Административные!$F$25:$F$84,$F154,Административные!$G$25:$G$84,$G154)</f>
        <v>0</v>
      </c>
      <c r="AK154" s="783">
        <f>_xlfn.SUMIFS(Административные!AJ$25:AJ$84,Административные!$F$25:$F$84,$F154,Административные!$G$25:$G$84,$G154)</f>
        <v>0</v>
      </c>
      <c r="AL154" s="783">
        <f>IF(AI154=0,0,(AK154-AI154)/AI154*100)</f>
        <v>0</v>
      </c>
      <c r="AM154" s="784"/>
      <c r="AN154" s="892" t="str">
        <f>IF(_xlfn.IFERROR(INDEX(Административные!$K$26:$L$84,MATCH($F150&amp;"5komm",Административные!$K$26:$K$84,0),2),"")=0,"",_xlfn.IFERROR(INDEX(Административные!$K$26:$L$84,MATCH($F150&amp;"5komm",Административные!$K$26:$K$84,0),2),""))</f>
        <v/>
      </c>
      <c r="AO154" s="784"/>
      <c r="AP154" s="1066"/>
      <c r="AQ154" s="1066"/>
      <c r="AR154" s="1046" t="s">
        <v>1675</v>
      </c>
      <c r="AS154" s="1046"/>
      <c r="AT154" s="1046"/>
      <c r="AU154" s="1043"/>
      <c r="AV154" s="1043"/>
    </row>
    <row s="1621" customFormat="1" customHeight="1" ht="14.25">
      <c r="A155" s="1066"/>
      <c r="B155" s="1066"/>
      <c r="C155" s="1066"/>
      <c r="D155" s="1066"/>
      <c r="E155" s="675">
        <v>15</v>
      </c>
      <c r="F155" s="50" cm="1" t="str">
        <f t="array" ref="F155:F155">OFFSET(E155,-1,1)</f>
        <v>1</v>
      </c>
      <c r="G155" s="556" t="s">
        <v>1119</v>
      </c>
      <c r="H155" s="1066"/>
      <c r="I155" s="566" t="s">
        <v>1103</v>
      </c>
      <c r="J155" s="566"/>
      <c r="K155" s="566"/>
      <c r="L155" s="566"/>
      <c r="M155" s="566"/>
      <c r="N155" s="566"/>
      <c r="O155" s="566"/>
      <c r="P155" s="566"/>
      <c r="Q155" s="566"/>
      <c r="R155" s="566"/>
      <c r="S155" s="566"/>
      <c r="T155" s="439" cm="1" t="str">
        <f t="array" ref="T155:T155">T154</f>
        <v>true</v>
      </c>
      <c r="U155" s="1066"/>
      <c r="V155" s="1066"/>
      <c r="W155" s="1066"/>
      <c r="X155" s="1577"/>
      <c r="Y155" s="1066"/>
      <c r="Z155" s="1578"/>
      <c r="AA155" s="1066"/>
      <c r="AB155" s="788" t="s">
        <v>1104</v>
      </c>
      <c r="AC155" s="794" t="s">
        <v>1676</v>
      </c>
      <c r="AD155" s="795" t="s">
        <v>784</v>
      </c>
      <c r="AE155" s="783">
        <f>_xlfn.SUMIFS(Административные!AE$25:AE$84,Административные!$F$25:$F$84,$F155,Административные!$G$25:$G$84,$G155)</f>
        <v>0</v>
      </c>
      <c r="AF155" s="783">
        <f>_xlfn.SUMIFS(Административные!AF$25:AF$84,Административные!$F$25:$F$84,$F155,Административные!$G$25:$G$84,$G155)</f>
        <v>0</v>
      </c>
      <c r="AG155" s="783">
        <f>_xlfn.SUMIFS(Административные!AG$25:AG$84,Административные!$F$25:$F$84,$F155,Административные!$G$25:$G$84,$G155)</f>
        <v>0</v>
      </c>
      <c r="AH155" s="783">
        <f>AG155-AF155</f>
        <v>0</v>
      </c>
      <c r="AI155" s="783">
        <f>_xlfn.SUMIFS(Административные!AH$25:AH$84,Административные!$F$25:$F$84,$F155,Административные!$G$25:$G$84,$G155)</f>
        <v>0</v>
      </c>
      <c r="AJ155" s="783">
        <f>_xlfn.SUMIFS(Административные!AI$25:AI$84,Административные!$F$25:$F$84,$F155,Административные!$G$25:$G$84,$G155)</f>
        <v>0</v>
      </c>
      <c r="AK155" s="783">
        <f>_xlfn.SUMIFS(Административные!AJ$25:AJ$84,Административные!$F$25:$F$84,$F155,Административные!$G$25:$G$84,$G155)</f>
        <v>0</v>
      </c>
      <c r="AL155" s="783">
        <f>IF(AI155=0,0,(AK155-AI155)/AI155*100)</f>
        <v>0</v>
      </c>
      <c r="AM155" s="784"/>
      <c r="AN155" s="892" t="str">
        <f>IF(_xlfn.IFERROR(INDEX(Административные!$K$26:$L$84,MATCH($F155&amp;"6komm",Административные!$K$26:$K$84,0),2),"")=0,"",_xlfn.IFERROR(INDEX(Административные!$K$26:$L$84,MATCH($F150&amp;"6komm",Административные!$K$26:$K$84,0),2),""))</f>
        <v/>
      </c>
      <c r="AO155" s="784"/>
      <c r="AP155" s="1066"/>
      <c r="AQ155" s="1066"/>
      <c r="AR155" s="1046" t="s">
        <v>1677</v>
      </c>
      <c r="AS155" s="1046"/>
      <c r="AT155" s="1046"/>
      <c r="AU155" s="1043"/>
      <c r="AV155" s="1043"/>
    </row>
    <row s="1621" customFormat="1" customHeight="1" ht="14.25">
      <c r="A156" s="1066"/>
      <c r="B156" s="1066"/>
      <c r="C156" s="1066"/>
      <c r="D156" s="1066"/>
      <c r="E156" s="675">
        <v>15</v>
      </c>
      <c r="F156" s="50" cm="1" t="str">
        <f t="array" ref="F156:F156">OFFSET(E156,-1,1)</f>
        <v>1</v>
      </c>
      <c r="G156" s="556" t="s">
        <v>1121</v>
      </c>
      <c r="H156" s="1066"/>
      <c r="I156" s="566" t="s">
        <v>1678</v>
      </c>
      <c r="J156" s="566"/>
      <c r="K156" s="566"/>
      <c r="L156" s="566"/>
      <c r="M156" s="566"/>
      <c r="N156" s="566"/>
      <c r="O156" s="566"/>
      <c r="P156" s="566"/>
      <c r="Q156" s="566"/>
      <c r="R156" s="566"/>
      <c r="S156" s="566"/>
      <c r="T156" s="439" cm="1" t="str">
        <f t="array" ref="T156:T156">T155</f>
        <v>true</v>
      </c>
      <c r="U156" s="1066"/>
      <c r="V156" s="1066"/>
      <c r="W156" s="1066"/>
      <c r="X156" s="1577"/>
      <c r="Y156" s="1066"/>
      <c r="Z156" s="1578"/>
      <c r="AA156" s="1066"/>
      <c r="AB156" s="788" t="s">
        <v>1679</v>
      </c>
      <c r="AC156" s="789" t="s">
        <v>1680</v>
      </c>
      <c r="AD156" s="795" t="s">
        <v>784</v>
      </c>
      <c r="AE156" s="783">
        <f>_xlfn.SUMIFS(Административные!AE$25:AE$84,Административные!$F$25:$F$84,$F156,Административные!$G$25:$G$84,$G156)</f>
        <v>0</v>
      </c>
      <c r="AF156" s="783">
        <f>_xlfn.SUMIFS(Административные!AF$25:AF$84,Административные!$F$25:$F$84,$F156,Административные!$G$25:$G$84,$G156)</f>
        <v>0</v>
      </c>
      <c r="AG156" s="783">
        <f>_xlfn.SUMIFS(Административные!AG$25:AG$84,Административные!$F$25:$F$84,$F156,Административные!$G$25:$G$84,$G156)</f>
        <v>0</v>
      </c>
      <c r="AH156" s="783">
        <f>AG156-AF156</f>
        <v>0</v>
      </c>
      <c r="AI156" s="783">
        <f>_xlfn.SUMIFS(Административные!AH$25:AH$84,Административные!$F$25:$F$84,$F156,Административные!$G$25:$G$84,$G156)</f>
        <v>0</v>
      </c>
      <c r="AJ156" s="783">
        <f>_xlfn.SUMIFS(Административные!AI$25:AI$84,Административные!$F$25:$F$84,$F156,Административные!$G$25:$G$84,$G156)</f>
        <v>0</v>
      </c>
      <c r="AK156" s="783">
        <f>_xlfn.SUMIFS(Административные!AJ$25:AJ$84,Административные!$F$25:$F$84,$F156,Административные!$G$25:$G$84,$G156)</f>
        <v>0</v>
      </c>
      <c r="AL156" s="783">
        <f>IF(AI156=0,0,(AK156-AI156)/AI156*100)</f>
        <v>0</v>
      </c>
      <c r="AM156" s="784"/>
      <c r="AN156" s="892" t="str">
        <f>IF(_xlfn.IFERROR(INDEX(Административные!$K$26:$L$84,MATCH($F156&amp;"7komm",Административные!$K$26:$K$84,0),2),"")=0,"",_xlfn.IFERROR(INDEX(Административные!$K$26:$L$84,MATCH($F151&amp;"7komm",Административные!$K$26:$K$84,0),2),""))</f>
        <v/>
      </c>
      <c r="AO156" s="784"/>
      <c r="AP156" s="1066"/>
      <c r="AQ156" s="1066"/>
      <c r="AR156" s="1046" t="s">
        <v>1681</v>
      </c>
      <c r="AS156" s="1046"/>
      <c r="AT156" s="1046"/>
      <c r="AU156" s="1043"/>
      <c r="AV156" s="1043"/>
    </row>
    <row s="1621" customFormat="1" customHeight="1" ht="43.5">
      <c r="A157" s="1066"/>
      <c r="B157" s="1066"/>
      <c r="C157" s="1066"/>
      <c r="D157" s="1066"/>
      <c r="E157" s="675">
        <v>45</v>
      </c>
      <c r="F157" s="50" cm="1" t="str">
        <f t="array" ref="F157:F157">OFFSET(E157,-1,1)</f>
        <v>1</v>
      </c>
      <c r="G157" s="556" t="s">
        <v>1124</v>
      </c>
      <c r="H157" s="1066"/>
      <c r="I157" s="566" t="s">
        <v>1682</v>
      </c>
      <c r="J157" s="566"/>
      <c r="K157" s="566"/>
      <c r="L157" s="566"/>
      <c r="M157" s="566"/>
      <c r="N157" s="566"/>
      <c r="O157" s="566"/>
      <c r="P157" s="566"/>
      <c r="Q157" s="566"/>
      <c r="R157" s="566"/>
      <c r="S157" s="566"/>
      <c r="T157" s="439" cm="1" t="str">
        <f t="array" ref="T157:T157">T156</f>
        <v>true</v>
      </c>
      <c r="U157" s="1066"/>
      <c r="V157" s="1066"/>
      <c r="W157" s="1066"/>
      <c r="X157" s="1577"/>
      <c r="Y157" s="1066"/>
      <c r="Z157" s="1578"/>
      <c r="AA157" s="1066"/>
      <c r="AB157" s="788" t="s">
        <v>1683</v>
      </c>
      <c r="AC157" s="743" t="s">
        <v>1125</v>
      </c>
      <c r="AD157" s="795" t="s">
        <v>784</v>
      </c>
      <c r="AE157" s="783">
        <f>_xlfn.SUMIFS(Административные!AE$25:AE$84,Административные!$F$25:$F$84,$F157,Административные!$G$25:$G$84,$G157)</f>
        <v>0</v>
      </c>
      <c r="AF157" s="783">
        <f>_xlfn.SUMIFS(Административные!AF$25:AF$84,Административные!$F$25:$F$84,$F157,Административные!$G$25:$G$84,$G157)</f>
        <v>0</v>
      </c>
      <c r="AG157" s="783">
        <f>_xlfn.SUMIFS(Административные!AG$25:AG$84,Административные!$F$25:$F$84,$F157,Административные!$G$25:$G$84,$G157)</f>
        <v>0</v>
      </c>
      <c r="AH157" s="783">
        <f>AG157-AF157</f>
        <v>0</v>
      </c>
      <c r="AI157" s="783">
        <f>_xlfn.SUMIFS(Административные!AH$25:AH$84,Административные!$F$25:$F$84,$F157,Административные!$G$25:$G$84,$G157)</f>
        <v>0</v>
      </c>
      <c r="AJ157" s="783">
        <f>_xlfn.SUMIFS(Административные!AI$25:AI$84,Административные!$F$25:$F$84,$F157,Административные!$G$25:$G$84,$G157)</f>
        <v>0</v>
      </c>
      <c r="AK157" s="783">
        <f>_xlfn.SUMIFS(Административные!AJ$25:AJ$84,Административные!$F$25:$F$84,$F157,Административные!$G$25:$G$84,$G157)</f>
        <v>0</v>
      </c>
      <c r="AL157" s="783">
        <f>IF(AI157=0,0,(AK157-AI157)/AI157*100)</f>
        <v>0</v>
      </c>
      <c r="AM157" s="784"/>
      <c r="AN157" s="892" t="str">
        <f>IF(_xlfn.IFERROR(INDEX(Административные!$K$26:$L$84,MATCH($F157&amp;"8komm",Административные!$K$26:$K$84,0),2),"")=0,"",_xlfn.IFERROR(INDEX(Административные!$K$26:$L$84,MATCH($F152&amp;"8komm",Административные!$K$26:$K$84,0),2),""))</f>
        <v/>
      </c>
      <c r="AO157" s="784"/>
      <c r="AP157" s="1066"/>
      <c r="AQ157" s="1066"/>
      <c r="AR157" s="1046" t="s">
        <v>1684</v>
      </c>
      <c r="AS157" s="1046"/>
      <c r="AT157" s="1046"/>
      <c r="AU157" s="1043"/>
      <c r="AV157" s="1043"/>
    </row>
    <row s="1621" customFormat="1" customHeight="1" ht="14.25">
      <c r="A158" s="1066"/>
      <c r="B158" s="1066"/>
      <c r="C158" s="1066"/>
      <c r="D158" s="1066"/>
      <c r="E158" s="675">
        <v>15</v>
      </c>
      <c r="F158" s="50" cm="1" t="str">
        <f t="array" ref="F158:F158">OFFSET(E158,-1,1)</f>
        <v>1</v>
      </c>
      <c r="G158" s="556" t="s">
        <v>1127</v>
      </c>
      <c r="H158" s="1066"/>
      <c r="I158" s="566" t="s">
        <v>1685</v>
      </c>
      <c r="J158" s="566"/>
      <c r="K158" s="566"/>
      <c r="L158" s="566"/>
      <c r="M158" s="566"/>
      <c r="N158" s="566"/>
      <c r="O158" s="566"/>
      <c r="P158" s="566"/>
      <c r="Q158" s="566"/>
      <c r="R158" s="566"/>
      <c r="S158" s="566"/>
      <c r="T158" s="439" cm="1" t="str">
        <f t="array" ref="T158:T158">T157</f>
        <v>true</v>
      </c>
      <c r="U158" s="1066"/>
      <c r="V158" s="1066"/>
      <c r="W158" s="1066"/>
      <c r="X158" s="1577"/>
      <c r="Y158" s="1066"/>
      <c r="Z158" s="1578"/>
      <c r="AA158" s="1066"/>
      <c r="AB158" s="788" t="s">
        <v>1686</v>
      </c>
      <c r="AC158" s="789" t="s">
        <v>1128</v>
      </c>
      <c r="AD158" s="795" t="s">
        <v>784</v>
      </c>
      <c r="AE158" s="783">
        <f>_xlfn.SUMIFS(Административные!AE$25:AE$84,Административные!$F$25:$F$84,$F158,Административные!$G$25:$G$84,$G158)</f>
        <v>0</v>
      </c>
      <c r="AF158" s="783">
        <f>_xlfn.SUMIFS(Административные!AF$25:AF$84,Административные!$F$25:$F$84,$F158,Административные!$G$25:$G$84,$G158)</f>
        <v>0</v>
      </c>
      <c r="AG158" s="783">
        <f>_xlfn.SUMIFS(Административные!AG$25:AG$84,Административные!$F$25:$F$84,$F158,Административные!$G$25:$G$84,$G158)</f>
        <v>0</v>
      </c>
      <c r="AH158" s="783">
        <f>AG158-AF158</f>
        <v>0</v>
      </c>
      <c r="AI158" s="783">
        <f>_xlfn.SUMIFS(Административные!AH$25:AH$84,Административные!$F$25:$F$84,$F158,Административные!$G$25:$G$84,$G158)</f>
        <v>0</v>
      </c>
      <c r="AJ158" s="1101">
        <f>_xlfn.SUMIFS(Административные!AI$25:AI$84,Административные!$F$25:$F$84,$F158,Административные!$G$25:$G$84,$G158)</f>
        <v>0</v>
      </c>
      <c r="AK158" s="1101">
        <f>_xlfn.SUMIFS(Административные!AJ$25:AJ$84,Административные!$F$25:$F$84,$F158,Административные!$G$25:$G$84,$G158)</f>
        <v>0</v>
      </c>
      <c r="AL158" s="783">
        <f>IF(AI158=0,0,(AK158-AI158)/AI158*100)</f>
        <v>0</v>
      </c>
      <c r="AM158" s="784"/>
      <c r="AN158" s="892" t="str">
        <f>IF(_xlfn.IFERROR(INDEX(Административные!$K$26:$L$84,MATCH($F158&amp;"9komm",Административные!$K$26:$K$84,0),2),"")=0,"",_xlfn.IFERROR(INDEX(Административные!$K$26:$L$84,MATCH($F153&amp;"9komm",Административные!$K$26:$K$84,0),2),""))</f>
        <v/>
      </c>
      <c r="AO158" s="784"/>
      <c r="AP158" s="1066"/>
      <c r="AQ158" s="1066"/>
      <c r="AR158" s="1046" t="s">
        <v>1687</v>
      </c>
      <c r="AS158" s="1046"/>
      <c r="AT158" s="1046"/>
      <c r="AU158" s="1043"/>
      <c r="AV158" s="1043"/>
    </row>
    <row s="4479" customFormat="1" customHeight="1" ht="14.25" hidden="1">
      <c r="A159" s="567"/>
      <c r="B159" s="567">
        <f>STATUS_GO="да"</f>
        <v>0</v>
      </c>
      <c r="C159" s="567"/>
      <c r="D159" s="567"/>
      <c r="E159" s="677">
        <v>15</v>
      </c>
      <c r="F159" s="50" cm="1" t="str">
        <f t="array" ref="F159:F159">OFFSET(E159,-1,1)</f>
        <v>1</v>
      </c>
      <c r="G159" s="567"/>
      <c r="H159" s="567"/>
      <c r="I159" s="678" t="s">
        <v>329</v>
      </c>
      <c r="J159" s="678"/>
      <c r="K159" s="678"/>
      <c r="L159" s="678"/>
      <c r="M159" s="678"/>
      <c r="N159" s="678"/>
      <c r="O159" s="678"/>
      <c r="P159" s="678"/>
      <c r="Q159" s="678"/>
      <c r="R159" s="678"/>
      <c r="S159" s="678"/>
      <c r="T159" s="439" cm="1" t="str">
        <f t="array" ref="T159:T159">T158</f>
        <v>true</v>
      </c>
      <c r="U159" s="567"/>
      <c r="V159" s="567"/>
      <c r="W159" s="567"/>
      <c r="X159" s="1577"/>
      <c r="Y159" s="567"/>
      <c r="Z159" s="1578"/>
      <c r="AA159" s="567"/>
      <c r="AB159" s="785" t="s">
        <v>536</v>
      </c>
      <c r="AC159" s="781" t="s">
        <v>1688</v>
      </c>
      <c r="AD159" s="793" t="s">
        <v>784</v>
      </c>
      <c r="AE159" s="782">
        <f>_xlfn.SUMIFS('Сбытовые расходы ГО'!AE$25:AE$63,'Сбытовые расходы ГО'!$F$25:$F$63,$F159,'Сбытовые расходы ГО'!$G$25:$G$63,"l0")</f>
        <v>0</v>
      </c>
      <c r="AF159" s="782">
        <f>_xlfn.SUMIFS('Сбытовые расходы ГО'!AF$25:AF$63,'Сбытовые расходы ГО'!$F$25:$F$63,$F159,'Сбытовые расходы ГО'!$G$25:$G$63,"l0")</f>
        <v>0</v>
      </c>
      <c r="AG159" s="782">
        <f>_xlfn.SUMIFS('Сбытовые расходы ГО'!AG$25:AG$63,'Сбытовые расходы ГО'!$F$25:$F$63,$F159,'Сбытовые расходы ГО'!$G$25:$G$63,"l0")</f>
        <v>0</v>
      </c>
      <c r="AH159" s="782">
        <f>AG159-AF159</f>
        <v>0</v>
      </c>
      <c r="AI159" s="782">
        <f>_xlfn.SUMIFS('Сбытовые расходы ГО'!AH$25:AH$63,'Сбытовые расходы ГО'!$F$25:$F$63,$F159,'Сбытовые расходы ГО'!$G$25:$G$63,"l0")</f>
        <v>0</v>
      </c>
      <c r="AJ159" s="782">
        <f>_xlfn.SUMIFS('Сбытовые расходы ГО'!AI$25:AI$63,'Сбытовые расходы ГО'!$F$25:$F$63,$F159,'Сбытовые расходы ГО'!$G$25:$G$63,"l0")</f>
        <v>0</v>
      </c>
      <c r="AK159" s="782">
        <f>_xlfn.SUMIFS('Сбытовые расходы ГО'!AJ$25:AJ$63,'Сбытовые расходы ГО'!$F$25:$F$63,$F159,'Сбытовые расходы ГО'!$G$25:$G$63,"l0")</f>
        <v>0</v>
      </c>
      <c r="AL159" s="782">
        <f>IF(AI159=0,0,(AK159-AI159)/AI159*100)</f>
        <v>0</v>
      </c>
      <c r="AM159" s="4400"/>
      <c r="AN159" s="4393"/>
      <c r="AO159" s="4400"/>
      <c r="AP159" s="567"/>
      <c r="AQ159" s="567"/>
      <c r="AR159" s="1047" t="s">
        <v>1689</v>
      </c>
      <c r="AS159" s="1047"/>
      <c r="AT159" s="1047"/>
      <c r="AU159" s="677"/>
      <c r="AV159" s="677"/>
    </row>
    <row s="4480" customFormat="1" customHeight="1" ht="14.25">
      <c r="A160" s="567"/>
      <c r="B160" s="567"/>
      <c r="C160" s="567"/>
      <c r="D160" s="567"/>
      <c r="E160" s="677">
        <v>15</v>
      </c>
      <c r="F160" s="50" cm="1" t="str">
        <f t="array" ref="F160:F160">OFFSET(E160,-1,1)</f>
        <v>1</v>
      </c>
      <c r="G160" s="567"/>
      <c r="H160" s="567"/>
      <c r="I160" s="678" t="s">
        <v>328</v>
      </c>
      <c r="J160" s="678"/>
      <c r="K160" s="678"/>
      <c r="L160" s="678"/>
      <c r="M160" s="678"/>
      <c r="N160" s="678"/>
      <c r="O160" s="678"/>
      <c r="P160" s="678"/>
      <c r="Q160" s="678"/>
      <c r="R160" s="678"/>
      <c r="S160" s="678"/>
      <c r="T160" s="439" cm="1" t="str">
        <f t="array" ref="T160:T160">T159</f>
        <v>true</v>
      </c>
      <c r="U160" s="567"/>
      <c r="V160" s="567"/>
      <c r="W160" s="567"/>
      <c r="X160" s="1577"/>
      <c r="Y160" s="567"/>
      <c r="Z160" s="1578"/>
      <c r="AA160" s="567"/>
      <c r="AB160" s="785" t="s">
        <v>492</v>
      </c>
      <c r="AC160" s="568" t="s">
        <v>1690</v>
      </c>
      <c r="AD160" s="793" t="s">
        <v>784</v>
      </c>
      <c r="AE160" s="782">
        <f>_xlfn.SUMIFS(Амортизация!AE$25:AE$174,Амортизация!$F$25:$F$174,$F160,Амортизация!$AC$25:$AC$174,"Сумма амортизационных отчислений")</f>
        <v>440.0542366942</v>
      </c>
      <c r="AF160" s="782">
        <f>_xlfn.SUMIFS(Амортизация!AF$25:AF$174,Амортизация!$F$25:$F$174,$F160,Амортизация!$AC$25:$AC$174,"Сумма амортизационных отчислений")</f>
        <v>761.71191</v>
      </c>
      <c r="AG160" s="782">
        <f>_xlfn.SUMIFS(Амортизация!AG$25:AG$174,Амортизация!$F$25:$F$174,$F160,Амортизация!$AC$25:$AC$174,"Сумма амортизационных отчислений")</f>
        <v>0</v>
      </c>
      <c r="AH160" s="782">
        <f>AG160-AF160</f>
        <v>-761.71191</v>
      </c>
      <c r="AI160" s="782">
        <f>_xlfn.SUMIFS(Амортизация!AH$25:AH$174,Амортизация!$F$25:$F$174,$F160,Амортизация!$AC$25:$AC$174,"Сумма амортизационных отчислений")</f>
        <v>440.0542366942</v>
      </c>
      <c r="AJ160" s="782">
        <f>_xlfn.SUMIFS(Амортизация!AI$25:AI$174,Амортизация!$F$25:$F$174,$F160,Амортизация!$AC$25:$AC$174,"Сумма амортизационных отчислений")</f>
        <v>604.42902</v>
      </c>
      <c r="AK160" s="782">
        <f>_xlfn.SUMIFS(Амортизация!AS$25:AS$174,Амортизация!$F$25:$F$174,$F160,Амортизация!$AC$25:$AC$174,"Сумма амортизационных отчислений")</f>
        <v>440.0542366942</v>
      </c>
      <c r="AL160" s="782">
        <f>IF(AI160=0,0,(AK160-AI160)/AI160*100)</f>
        <v>0</v>
      </c>
      <c r="AM160" s="787"/>
      <c r="AN160" s="892" t="str">
        <f>IF(_xlfn.IFERROR(INDEX(Амортизация!$K$26:$L$174,MATCH($F160&amp;"komm",Амортизация!$K$26:$K$577,0),2),"")=0,"",_xlfn.IFERROR(INDEX(Амортизация!$K$26:$L$174,MATCH($F160&amp;"komm",Амортизация!$K$26:$K$577,0),2),""))</f>
        <v/>
      </c>
      <c r="AO160" s="787"/>
      <c r="AP160" s="567"/>
      <c r="AQ160" s="567"/>
      <c r="AR160" s="1047" t="s">
        <v>1123</v>
      </c>
      <c r="AS160" s="1047"/>
      <c r="AT160" s="1047"/>
      <c r="AU160" s="677"/>
      <c r="AV160" s="677"/>
    </row>
    <row s="1621" customFormat="1" customHeight="1" ht="14.25">
      <c r="A161" s="1066"/>
      <c r="B161" s="1066"/>
      <c r="C161" s="1066"/>
      <c r="D161" s="1066"/>
      <c r="E161" s="675">
        <v>15</v>
      </c>
      <c r="F161" s="50" cm="1" t="str">
        <f t="array" ref="F161:F161">OFFSET(E161,-1,1)</f>
        <v>1</v>
      </c>
      <c r="G161" s="1066"/>
      <c r="H161" s="1066"/>
      <c r="I161" s="566" t="s">
        <v>528</v>
      </c>
      <c r="J161" s="566"/>
      <c r="K161" s="566"/>
      <c r="L161" s="566"/>
      <c r="M161" s="566"/>
      <c r="N161" s="566"/>
      <c r="O161" s="566"/>
      <c r="P161" s="566"/>
      <c r="Q161" s="566"/>
      <c r="R161" s="566"/>
      <c r="S161" s="566"/>
      <c r="T161" s="439" cm="1" t="str">
        <f t="array" ref="T161:T161">T160</f>
        <v>true</v>
      </c>
      <c r="U161" s="1066"/>
      <c r="V161" s="1066"/>
      <c r="W161" s="1066"/>
      <c r="X161" s="1577"/>
      <c r="Y161" s="1066"/>
      <c r="Z161" s="1578"/>
      <c r="AA161" s="1066"/>
      <c r="AB161" s="788" t="s">
        <v>659</v>
      </c>
      <c r="AC161" s="794" t="s">
        <v>1691</v>
      </c>
      <c r="AD161" s="795" t="s">
        <v>784</v>
      </c>
      <c r="AE161" s="790">
        <f>_xlfn.SUMIFS('ИП + источники'!AF$27:AF$116,'ИП + источники'!$F$27:$F$116,$F161,'ИП + источники'!$AC$27:$AC$116,"Амортизационные отчисления")+_xlfn.SUMIFS('ИП + источники'!AF$27:AF$116,'ИП + источники'!$F$27:$F$116,$F161,'ИП + источники'!$AC$27:$AC$116,"погашение займов и кредитов из амортизации")</f>
        <v>0</v>
      </c>
      <c r="AF161" s="790">
        <f>_xlfn.SUMIFS('ИП + источники'!AG$27:AG$116,'ИП + источники'!$F$27:$F$116,$F161,'ИП + источники'!$AC$27:$AC$116,"Амортизационные отчисления")+_xlfn.SUMIFS('ИП + источники'!AG$27:AG$116,'ИП + источники'!$F$27:$F$116,$F161,'ИП + источники'!$AC$27:$AC$116,"погашение займов и кредитов из амортизации")</f>
        <v>0</v>
      </c>
      <c r="AG161" s="790">
        <f>_xlfn.SUMIFS('ИП + источники'!AH$27:AH$116,'ИП + источники'!$F$27:$F$116,$F161,'ИП + источники'!$AC$27:$AC$116,"Амортизационные отчисления")+_xlfn.SUMIFS('ИП + источники'!AH$27:AH$116,'ИП + источники'!$F$27:$F$116,$F161,'ИП + источники'!$AC$27:$AC$116,"погашение займов и кредитов из амортизации")</f>
        <v>0</v>
      </c>
      <c r="AH161" s="783">
        <f>AG161-AF161</f>
        <v>0</v>
      </c>
      <c r="AI161" s="790">
        <f>_xlfn.SUMIFS('ИП + источники'!AH$27:AH$116,'ИП + источники'!$F$27:$F$116,$F161,'ИП + источники'!$AC$27:$AC$116,"Амортизационные отчисления")+_xlfn.SUMIFS('ИП + источники'!AH$27:AH$116,'ИП + источники'!$F$27:$F$116,$F161,'ИП + источники'!$AC$27:$AC$116,"погашение займов и кредитов из амортизации")</f>
        <v>0</v>
      </c>
      <c r="AJ161" s="790">
        <f>_xlfn.SUMIFS('ИП + источники'!AI$27:AI$116,'ИП + источники'!$F$27:$F$116,$F161,'ИП + источники'!$AC$27:$AC$116,"Амортизационные отчисления")+_xlfn.SUMIFS('ИП + источники'!AI$27:AI$116,'ИП + источники'!$F$27:$F$116,$F161,'ИП + источники'!$AC$27:$AC$116,"погашение займов и кредитов из амортизации")</f>
        <v>0</v>
      </c>
      <c r="AK161" s="790">
        <f>_xlfn.SUMIFS('ИП + источники'!AJ$27:AJ$116,'ИП + источники'!$F$27:$F$116,$F161,'ИП + источники'!$AC$27:$AC$116,"Амортизационные отчисления")+_xlfn.SUMIFS('ИП + источники'!AJ$27:AJ$116,'ИП + источники'!$F$27:$F$116,$F161,'ИП + источники'!$AC$27:$AC$116,"погашение займов и кредитов из амортизации")</f>
        <v>0</v>
      </c>
      <c r="AL161" s="783">
        <f>IF(AI161=0,0,(AK161-AI161)/AI161*100)</f>
        <v>0</v>
      </c>
      <c r="AM161" s="784"/>
      <c r="AN161" s="784"/>
      <c r="AO161" s="784"/>
      <c r="AP161" s="1066"/>
      <c r="AQ161" s="1066"/>
      <c r="AR161" s="1046" t="s">
        <v>1692</v>
      </c>
      <c r="AS161" s="1046"/>
      <c r="AT161" s="1046"/>
      <c r="AU161" s="1043"/>
      <c r="AV161" s="1043"/>
    </row>
    <row s="4481" customFormat="1" customHeight="1" ht="21.75">
      <c r="A162" s="567"/>
      <c r="B162" s="567"/>
      <c r="C162" s="567"/>
      <c r="D162" s="567"/>
      <c r="E162" s="677">
        <v>22.5</v>
      </c>
      <c r="F162" s="50" cm="1" t="str">
        <f t="array" ref="F162:F162">OFFSET(E162,-1,1)</f>
        <v>1</v>
      </c>
      <c r="G162" s="567"/>
      <c r="H162" s="567"/>
      <c r="I162" s="678" t="s">
        <v>491</v>
      </c>
      <c r="J162" s="678"/>
      <c r="K162" s="678"/>
      <c r="L162" s="678"/>
      <c r="M162" s="678"/>
      <c r="N162" s="678"/>
      <c r="O162" s="678"/>
      <c r="P162" s="678"/>
      <c r="Q162" s="678"/>
      <c r="R162" s="678"/>
      <c r="S162" s="678"/>
      <c r="T162" s="439" cm="1" t="str">
        <f t="array" ref="T162:T162">T161</f>
        <v>true</v>
      </c>
      <c r="U162" s="567"/>
      <c r="V162" s="567"/>
      <c r="W162" s="567"/>
      <c r="X162" s="1577"/>
      <c r="Y162" s="567"/>
      <c r="Z162" s="1578"/>
      <c r="AA162" s="567"/>
      <c r="AB162" s="785" t="s">
        <v>496</v>
      </c>
      <c r="AC162" s="568" t="s">
        <v>1693</v>
      </c>
      <c r="AD162" s="793" t="s">
        <v>784</v>
      </c>
      <c r="AE162" s="782">
        <f>_xlfn.SUMIFS(Аренда!AE$25:AE$57,Аренда!$F$25:$F$57,$F162,Аренда!$G$25:$G$57,"Арендная и концессионная плата, лизинговые платежи")</f>
        <v>0</v>
      </c>
      <c r="AF162" s="782">
        <f>_xlfn.SUMIFS(Аренда!AF$25:AF$57,Аренда!$F$25:$F$57,$F162,Аренда!$G$25:$G$57,"Арендная и концессионная плата, лизинговые платежи")</f>
        <v>0</v>
      </c>
      <c r="AG162" s="782">
        <f>_xlfn.SUMIFS(Аренда!AG$25:AG$57,Аренда!$F$25:$F$57,$F162,Аренда!$G$25:$G$57,"Арендная и концессионная плата, лизинговые платежи")</f>
        <v>0</v>
      </c>
      <c r="AH162" s="782">
        <f>AG162-AF162</f>
        <v>0</v>
      </c>
      <c r="AI162" s="782">
        <f>_xlfn.SUMIFS(Аренда!AH$25:AH$57,Аренда!$F$25:$F$57,$F162,Аренда!$G$25:$G$57,"Арендная и концессионная плата, лизинговые платежи")</f>
        <v>0</v>
      </c>
      <c r="AJ162" s="782">
        <f>_xlfn.SUMIFS(Аренда!AI$25:AI$57,Аренда!$F$25:$F$57,$F162,Аренда!$G$25:$G$57,"Арендная и концессионная плата, лизинговые платежи")</f>
        <v>0</v>
      </c>
      <c r="AK162" s="782">
        <f>_xlfn.SUMIFS(Аренда!AS$25:AS$57,Аренда!$F$25:$F$57,$F162,Аренда!$G$25:$G$57,"Арендная и концессионная плата, лизинговые платежи")</f>
        <v>0</v>
      </c>
      <c r="AL162" s="782">
        <f>IF(AI162=0,0,(AK162-AI162)/AI162*100)</f>
        <v>0</v>
      </c>
      <c r="AM162" s="787"/>
      <c r="AN162" s="892" t="str">
        <f>IF(_xlfn.IFERROR(INDEX(Аренда!$K$26:$L$57,MATCH($F162&amp;"komm",Аренда!$K$26:$K$57,0),2),"")=0,"",_xlfn.IFERROR(INDEX(Аренда!$K$26:$L$57,MATCH($F162&amp;"komm",Аренда!$K$26:$K$57,0),2),""))</f>
        <v/>
      </c>
      <c r="AO162" s="787"/>
      <c r="AP162" s="567"/>
      <c r="AQ162" s="567"/>
      <c r="AR162" s="1047" t="s">
        <v>1694</v>
      </c>
      <c r="AS162" s="1047"/>
      <c r="AT162" s="1047"/>
      <c r="AU162" s="677"/>
      <c r="AV162" s="677"/>
    </row>
    <row s="4482" customFormat="1" customHeight="1" ht="14.25">
      <c r="A163" s="567"/>
      <c r="B163" s="567"/>
      <c r="C163" s="567"/>
      <c r="D163" s="567"/>
      <c r="E163" s="677">
        <v>15</v>
      </c>
      <c r="F163" s="50" cm="1" t="str">
        <f t="array" ref="F163:F163">OFFSET(E163,-1,1)</f>
        <v>1</v>
      </c>
      <c r="G163" s="567"/>
      <c r="H163" s="567"/>
      <c r="I163" s="678" t="s">
        <v>495</v>
      </c>
      <c r="J163" s="678"/>
      <c r="K163" s="678"/>
      <c r="L163" s="678"/>
      <c r="M163" s="678"/>
      <c r="N163" s="678"/>
      <c r="O163" s="678"/>
      <c r="P163" s="678"/>
      <c r="Q163" s="678"/>
      <c r="R163" s="678"/>
      <c r="S163" s="678"/>
      <c r="T163" s="439" cm="1" t="str">
        <f t="array" ref="T163:T163">T162</f>
        <v>true</v>
      </c>
      <c r="U163" s="567"/>
      <c r="V163" s="567"/>
      <c r="W163" s="567"/>
      <c r="X163" s="1577"/>
      <c r="Y163" s="567"/>
      <c r="Z163" s="1578"/>
      <c r="AA163" s="567"/>
      <c r="AB163" s="785" t="s">
        <v>557</v>
      </c>
      <c r="AC163" s="568" t="s">
        <v>1695</v>
      </c>
      <c r="AD163" s="793" t="s">
        <v>784</v>
      </c>
      <c r="AE163" s="782">
        <f>_xlfn.SUMIFS(Налоги!AE$25:AE$69,Налоги!$F$25:$F$69,$F163,Налоги!$AC$25:$AC$69,"Налоги и платежи, относимые на указанный вид деятельности")</f>
        <v>365.9347407579</v>
      </c>
      <c r="AF163" s="782">
        <f>_xlfn.SUMIFS(Налоги!AF$25:AF$69,Налоги!$F$25:$F$69,$F163,Налоги!$AC$25:$AC$69,"Налоги и платежи, относимые на указанный вид деятельности")</f>
        <v>487.1680486313</v>
      </c>
      <c r="AG163" s="782">
        <f>_xlfn.SUMIFS(Налоги!AG$25:AG$69,Налоги!$F$25:$F$69,$F163,Налоги!$AC$25:$AC$69,"Налоги и платежи, относимые на указанный вид деятельности")</f>
        <v>487.17</v>
      </c>
      <c r="AH163" s="782">
        <f>AG163-AF163</f>
        <v>0.00195136870001988</v>
      </c>
      <c r="AI163" s="782">
        <f>_xlfn.SUMIFS(Налоги!AH$25:AH$69,Налоги!$F$25:$F$69,$F163,Налоги!$AC$25:$AC$69,"Налоги и платежи, относимые на указанный вид деятельности")</f>
        <v>313.7872186209</v>
      </c>
      <c r="AJ163" s="782">
        <f>_xlfn.SUMIFS(Налоги!AI$25:AI$69,Налоги!$F$25:$F$69,$F163,Налоги!$AC$25:$AC$69,"Налоги и платежи, относимые на указанный вид деятельности")</f>
        <v>488.8704665498</v>
      </c>
      <c r="AK163" s="782">
        <f>_xlfn.SUMIFS(Налоги!AS$25:AS$69,Налоги!$F$25:$F$69,$F163,Налоги!$AC$25:$AC$69,"Налоги и платежи, относимые на указанный вид деятельности")</f>
        <v>488.8709465498</v>
      </c>
      <c r="AL163" s="782">
        <f>IF(AI163=0,0,(AK163-AI163)/AI163*100)</f>
        <v>55.7969597035838</v>
      </c>
      <c r="AM163" s="787"/>
      <c r="AN163" s="892" t="str">
        <f>IF(_xlfn.IFERROR(INDEX(Налоги!$K$26:$L$69,MATCH($F163&amp;"komm",Налоги!$K$26:$K$69,0),2),"")=0,"",_xlfn.IFERROR(INDEX(Налоги!$K$26:$L$69,MATCH($F163&amp;"komm",Налоги!$K$26:$K$69,0),2),""))</f>
        <v/>
      </c>
      <c r="AO163" s="787"/>
      <c r="AP163" s="567"/>
      <c r="AQ163" s="567"/>
      <c r="AR163" s="1047" t="s">
        <v>1151</v>
      </c>
      <c r="AS163" s="1047"/>
      <c r="AT163" s="1047"/>
      <c r="AU163" s="677"/>
      <c r="AV163" s="677"/>
    </row>
    <row s="4483" customFormat="1" customHeight="1" ht="14.25">
      <c r="A164" s="567"/>
      <c r="B164" s="567"/>
      <c r="C164" s="567"/>
      <c r="D164" s="567"/>
      <c r="E164" s="677">
        <v>15</v>
      </c>
      <c r="F164" s="50" cm="1" t="str">
        <f t="array" ref="F164:F164">OFFSET(E164,-1,1)</f>
        <v>1</v>
      </c>
      <c r="G164" s="567"/>
      <c r="H164" s="567"/>
      <c r="I164" s="678" t="s">
        <v>541</v>
      </c>
      <c r="J164" s="678"/>
      <c r="K164" s="678"/>
      <c r="L164" s="678"/>
      <c r="M164" s="678"/>
      <c r="N164" s="678"/>
      <c r="O164" s="678"/>
      <c r="P164" s="678"/>
      <c r="Q164" s="678"/>
      <c r="R164" s="678"/>
      <c r="S164" s="678"/>
      <c r="T164" s="439" cm="1" t="str">
        <f t="array" ref="T164:T164">T163</f>
        <v>true</v>
      </c>
      <c r="U164" s="567"/>
      <c r="V164" s="567"/>
      <c r="W164" s="567"/>
      <c r="X164" s="1577"/>
      <c r="Y164" s="567"/>
      <c r="Z164" s="1578"/>
      <c r="AA164" s="567"/>
      <c r="AB164" s="785" t="s">
        <v>565</v>
      </c>
      <c r="AC164" s="568" t="s">
        <v>1696</v>
      </c>
      <c r="AD164" s="569" t="s">
        <v>784</v>
      </c>
      <c r="AE164" s="769">
        <f>AE165+AE166+AE167</f>
        <v>0</v>
      </c>
      <c r="AF164" s="769">
        <f>AF165+AF166+AF167</f>
        <v>0</v>
      </c>
      <c r="AG164" s="769">
        <f>AG165+AG166+AG167</f>
        <v>0</v>
      </c>
      <c r="AH164" s="769">
        <f>AG164-AF164</f>
        <v>0</v>
      </c>
      <c r="AI164" s="769">
        <f>AI165+AI166+AI167</f>
        <v>0</v>
      </c>
      <c r="AJ164" s="769">
        <f>AJ165+AJ166+AJ167</f>
        <v>0</v>
      </c>
      <c r="AK164" s="769">
        <f>AK165+AK166+AK167</f>
        <v>0</v>
      </c>
      <c r="AL164" s="782">
        <f>IF(AI164=0,0,(AK164-AI164)/AI164*100)</f>
        <v>0</v>
      </c>
      <c r="AM164" s="787"/>
      <c r="AN164" s="892"/>
      <c r="AO164" s="787"/>
      <c r="AP164" s="567"/>
      <c r="AQ164" s="567"/>
      <c r="AR164" s="1047" t="s">
        <v>1392</v>
      </c>
      <c r="AS164" s="1047"/>
      <c r="AT164" s="1047"/>
      <c r="AU164" s="677"/>
      <c r="AV164" s="677"/>
    </row>
    <row s="1621" customFormat="1" customHeight="1" ht="14.25">
      <c r="A165" s="1066"/>
      <c r="B165" s="1066"/>
      <c r="C165" s="1066"/>
      <c r="D165" s="1066"/>
      <c r="E165" s="675">
        <v>15</v>
      </c>
      <c r="F165" s="50" cm="1" t="str">
        <f t="array" ref="F165:F165">OFFSET(E165,-1,1)</f>
        <v>1</v>
      </c>
      <c r="G165" s="1066"/>
      <c r="H165" s="1066"/>
      <c r="I165" s="566" t="s">
        <v>544</v>
      </c>
      <c r="J165" s="566"/>
      <c r="K165" s="566"/>
      <c r="L165" s="566"/>
      <c r="M165" s="566"/>
      <c r="N165" s="566"/>
      <c r="O165" s="566"/>
      <c r="P165" s="566"/>
      <c r="Q165" s="566"/>
      <c r="R165" s="566"/>
      <c r="S165" s="566"/>
      <c r="T165" s="439" cm="1" t="str">
        <f t="array" ref="T165:T165">T164</f>
        <v>true</v>
      </c>
      <c r="U165" s="1066"/>
      <c r="V165" s="1066"/>
      <c r="W165" s="1066"/>
      <c r="X165" s="1577"/>
      <c r="Y165" s="1066"/>
      <c r="Z165" s="1578"/>
      <c r="AA165" s="1066"/>
      <c r="AB165" s="788" t="s">
        <v>569</v>
      </c>
      <c r="AC165" s="794" t="s">
        <v>1697</v>
      </c>
      <c r="AD165" s="795" t="s">
        <v>784</v>
      </c>
      <c r="AE165" s="790">
        <f>_xlfn.SUMIFS('ИП + источники'!AF$26:AF$116,'ИП + источники'!$F$26:$F$116,$F165,'ИП + источники'!$AC$26:$AC$116,"погашение займов и кредитов из нормативной прибыли")+_xlfn.SUMIFS('ИП + источники'!AF$26:AF$116,'ИП + источники'!$F$26:$F$116,$F165,'ИП + источники'!$AC$26:$AC$116,"уплата процентов по кредитам из нормативной прибыли")</f>
        <v>0</v>
      </c>
      <c r="AF165" s="790">
        <f>_xlfn.SUMIFS('ИП + источники'!AG$26:AG$116,'ИП + источники'!$F$26:$F$116,$F165,'ИП + источники'!$AC$26:$AC$116,"погашение займов и кредитов из нормативной прибыли")+_xlfn.SUMIFS('ИП + источники'!AG$26:AG$116,'ИП + источники'!$F$26:$F$116,$F165,'ИП + источники'!$AC$26:$AC$116,"уплата процентов по кредитам из нормативной прибыли")</f>
        <v>0</v>
      </c>
      <c r="AG165" s="790">
        <f>_xlfn.SUMIFS('ИП + источники'!AH$26:AH$116,'ИП + источники'!$F$26:$F$116,$F165,'ИП + источники'!$AC$26:$AC$116,"погашение займов и кредитов из нормативной прибыли")+_xlfn.SUMIFS('ИП + источники'!AH$26:AH$116,'ИП + источники'!$F$26:$F$116,$F165,'ИП + источники'!$AC$26:$AC$116,"уплата процентов по кредитам из нормативной прибыли")</f>
        <v>0</v>
      </c>
      <c r="AH165" s="783">
        <f>AG165-AF165</f>
        <v>0</v>
      </c>
      <c r="AI165" s="790">
        <f>_xlfn.SUMIFS('ИП + источники'!AJ$26:AJ$116,'ИП + источники'!$F$26:$F$116,$F165,'ИП + источники'!$AC$26:$AC$116,"погашение займов и кредитов из нормативной прибыли")+_xlfn.SUMIFS('ИП + источники'!AJ$26:AJ$116,'ИП + источники'!$F$26:$F$116,$F165,'ИП + источники'!$AC$26:$AC$116,"уплата процентов по кредитам из нормативной прибыли")</f>
        <v>0</v>
      </c>
      <c r="AJ165" s="790">
        <f>_xlfn.SUMIFS('ИП + источники'!AK$26:AK$116,'ИП + источники'!$F$26:$F$116,$F165,'ИП + источники'!$AC$26:$AC$116,"погашение займов и кредитов из нормативной прибыли")+_xlfn.SUMIFS('ИП + источники'!AK$26:AK$116,'ИП + источники'!$F$26:$F$116,$F165,'ИП + источники'!$AC$26:$AC$116,"уплата процентов по кредитам из нормативной прибыли")</f>
        <v>0</v>
      </c>
      <c r="AK165" s="790">
        <f>_xlfn.SUMIFS('ИП + источники'!AU$26:AU$116,'ИП + источники'!$F$26:$F$116,$F165,'ИП + источники'!$AC$26:$AC$116,"погашение займов и кредитов из нормативной прибыли")+_xlfn.SUMIFS('ИП + источники'!AU$26:AU$116,'ИП + источники'!$F$26:$F$116,$F165,'ИП + источники'!$AC$26:$AC$116,"уплата процентов по кредитам из нормативной прибыли")</f>
        <v>0</v>
      </c>
      <c r="AL165" s="783">
        <f>IF(AI165=0,0,(AK165-AI165)/AI165*100)</f>
        <v>0</v>
      </c>
      <c r="AM165" s="784"/>
      <c r="AN165" s="892" t="str">
        <f>IF(_xlfn.IFERROR(INDEX('ИП + источники'!$K$28:$L$116,MATCH($F165&amp;"1komm",'ИП + источники'!$K$28:$K$116,0),2),"")=0,"",_xlfn.IFERROR(INDEX('ИП + источники'!$K$28:$L$116,MATCH($F165&amp;"1komm",'ИП + источники'!$K$28:$K$116,0),2),""))</f>
        <v/>
      </c>
      <c r="AO165" s="784"/>
      <c r="AP165" s="1066"/>
      <c r="AQ165" s="1066"/>
      <c r="AR165" s="1046" t="s">
        <v>1144</v>
      </c>
      <c r="AS165" s="1046"/>
      <c r="AT165" s="1046"/>
      <c r="AU165" s="1043"/>
      <c r="AV165" s="1043"/>
    </row>
    <row s="1621" customFormat="1" customHeight="1" ht="14.25">
      <c r="A166" s="1066"/>
      <c r="B166" s="1066"/>
      <c r="C166" s="1066"/>
      <c r="D166" s="1066"/>
      <c r="E166" s="675">
        <v>15</v>
      </c>
      <c r="F166" s="50" cm="1" t="str">
        <f t="array" ref="F166:F166">OFFSET(E166,-1,1)</f>
        <v>1</v>
      </c>
      <c r="G166" s="1066"/>
      <c r="H166" s="1066"/>
      <c r="I166" s="566" t="s">
        <v>548</v>
      </c>
      <c r="J166" s="566"/>
      <c r="K166" s="566"/>
      <c r="L166" s="566"/>
      <c r="M166" s="566"/>
      <c r="N166" s="566"/>
      <c r="O166" s="566"/>
      <c r="P166" s="566"/>
      <c r="Q166" s="566"/>
      <c r="R166" s="566"/>
      <c r="S166" s="566"/>
      <c r="T166" s="439" cm="1" t="str">
        <f t="array" ref="T166:T166">T165</f>
        <v>true</v>
      </c>
      <c r="U166" s="1066"/>
      <c r="V166" s="1066"/>
      <c r="W166" s="1066"/>
      <c r="X166" s="1577"/>
      <c r="Y166" s="1066"/>
      <c r="Z166" s="1578"/>
      <c r="AA166" s="1066"/>
      <c r="AB166" s="788" t="s">
        <v>586</v>
      </c>
      <c r="AC166" s="794" t="s">
        <v>1698</v>
      </c>
      <c r="AD166" s="795" t="s">
        <v>784</v>
      </c>
      <c r="AE166" s="790">
        <f>_xlfn.SUMIFS('ИП + источники'!AF$27:AF$116,'ИП + источники'!$F$27:$F$116,$F166,'ИП + источники'!$AC$27:$AC$116,"Прибыль на капвложения")</f>
        <v>0</v>
      </c>
      <c r="AF166" s="790">
        <f>_xlfn.SUMIFS('ИП + источники'!AG$27:AG$116,'ИП + источники'!$F$27:$F$116,$F166,'ИП + источники'!$AC$27:$AC$116,"Прибыль на капвложения")</f>
        <v>0</v>
      </c>
      <c r="AG166" s="790">
        <f>_xlfn.SUMIFS('ИП + источники'!AH$27:AH$116,'ИП + источники'!$F$27:$F$116,$F166,'ИП + источники'!$AC$27:$AC$116,"Прибыль на капвложения")</f>
        <v>0</v>
      </c>
      <c r="AH166" s="783">
        <f>AG166-AF166</f>
        <v>0</v>
      </c>
      <c r="AI166" s="790">
        <f>_xlfn.SUMIFS('ИП + источники'!AJ$27:AJ$116,'ИП + источники'!$F$27:$F$116,$F166,'ИП + источники'!$AC$27:$AC$116,"Прибыль на капвложения")</f>
        <v>0</v>
      </c>
      <c r="AJ166" s="790">
        <f>_xlfn.SUMIFS('ИП + источники'!AK$27:AK$116,'ИП + источники'!$F$27:$F$116,$F166,'ИП + источники'!$AC$27:$AC$116,"Прибыль на капвложения")</f>
        <v>0</v>
      </c>
      <c r="AK166" s="790">
        <f>_xlfn.SUMIFS('ИП + источники'!AU$27:AU$116,'ИП + источники'!$F$27:$F$116,$F166,'ИП + источники'!$AC$27:$AC$116,"Прибыль на капвложения")</f>
        <v>0</v>
      </c>
      <c r="AL166" s="783">
        <f>IF(AI166=0,0,(AK166-AI166)/AI166*100)</f>
        <v>0</v>
      </c>
      <c r="AM166" s="784"/>
      <c r="AN166" s="892" t="str">
        <f>IF(_xlfn.IFERROR(INDEX('ИП + источники'!$K$28:$L$116,MATCH($F166&amp;"2komm",'ИП + источники'!$K$28:$K$116,0),2),"")=0,"",_xlfn.IFERROR(INDEX('ИП + источники'!$K$28:$L$116,MATCH($F166&amp;"2komm",'ИП + источники'!$K$28:$K$116,0),2),""))</f>
        <v/>
      </c>
      <c r="AO166" s="784"/>
      <c r="AP166" s="1066"/>
      <c r="AQ166" s="1066"/>
      <c r="AR166" s="1046" t="s">
        <v>1699</v>
      </c>
      <c r="AS166" s="1046"/>
      <c r="AT166" s="1046"/>
      <c r="AU166" s="1043"/>
      <c r="AV166" s="1043"/>
    </row>
    <row s="1621" customFormat="1" customHeight="1" ht="21.75">
      <c r="A167" s="1066"/>
      <c r="B167" s="1066"/>
      <c r="C167" s="1066"/>
      <c r="D167" s="1066"/>
      <c r="E167" s="675">
        <v>22.5</v>
      </c>
      <c r="F167" s="50" cm="1" t="str">
        <f t="array" ref="F167:F167">OFFSET(E167,-1,1)</f>
        <v>1</v>
      </c>
      <c r="G167" s="1066"/>
      <c r="H167" s="1066"/>
      <c r="I167" s="566" t="s">
        <v>552</v>
      </c>
      <c r="J167" s="566"/>
      <c r="K167" s="566"/>
      <c r="L167" s="566"/>
      <c r="M167" s="566"/>
      <c r="N167" s="566"/>
      <c r="O167" s="566"/>
      <c r="P167" s="566"/>
      <c r="Q167" s="566"/>
      <c r="R167" s="566"/>
      <c r="S167" s="566"/>
      <c r="T167" s="439" cm="1" t="str">
        <f t="array" ref="T167:T167">T166</f>
        <v>true</v>
      </c>
      <c r="U167" s="1066"/>
      <c r="V167" s="1066"/>
      <c r="W167" s="1066"/>
      <c r="X167" s="1577"/>
      <c r="Y167" s="1066"/>
      <c r="Z167" s="1578"/>
      <c r="AA167" s="1066"/>
      <c r="AB167" s="788" t="s">
        <v>598</v>
      </c>
      <c r="AC167" s="794" t="s">
        <v>1700</v>
      </c>
      <c r="AD167" s="795" t="s">
        <v>784</v>
      </c>
      <c r="AE167" s="790"/>
      <c r="AF167" s="790"/>
      <c r="AG167" s="790"/>
      <c r="AH167" s="783"/>
      <c r="AI167" s="790"/>
      <c r="AJ167" s="790"/>
      <c r="AK167" s="790"/>
      <c r="AL167" s="783">
        <f>IF(AI167=0,0,(AK167-AI167)/AI167*100)</f>
        <v>0</v>
      </c>
      <c r="AM167" s="784"/>
      <c r="AN167" s="784"/>
      <c r="AO167" s="784"/>
      <c r="AP167" s="1066"/>
      <c r="AQ167" s="1066"/>
      <c r="AR167" s="1046" t="s">
        <v>1701</v>
      </c>
      <c r="AS167" s="1046"/>
      <c r="AT167" s="1046"/>
      <c r="AU167" s="1043"/>
      <c r="AV167" s="1043"/>
    </row>
    <row s="4484" customFormat="1" customHeight="1" ht="21.75" hidden="1">
      <c r="A168" s="567"/>
      <c r="B168" s="567">
        <f>STATUS_GO="да"</f>
        <v>0</v>
      </c>
      <c r="C168" s="567"/>
      <c r="D168" s="567"/>
      <c r="E168" s="677">
        <v>22.5</v>
      </c>
      <c r="F168" s="50" cm="1" t="str">
        <f t="array" ref="F168:F168">OFFSET(E168,-1,1)</f>
        <v>1</v>
      </c>
      <c r="G168" s="567"/>
      <c r="H168" s="567"/>
      <c r="I168" s="678" t="s">
        <v>556</v>
      </c>
      <c r="J168" s="678"/>
      <c r="K168" s="678"/>
      <c r="L168" s="678"/>
      <c r="M168" s="678"/>
      <c r="N168" s="678"/>
      <c r="O168" s="678"/>
      <c r="P168" s="678"/>
      <c r="Q168" s="678"/>
      <c r="R168" s="678"/>
      <c r="S168" s="678"/>
      <c r="T168" s="439" cm="1" t="str">
        <f t="array" ref="T168:T168">T167</f>
        <v>true</v>
      </c>
      <c r="U168" s="567"/>
      <c r="V168" s="567"/>
      <c r="W168" s="567"/>
      <c r="X168" s="1577"/>
      <c r="Y168" s="567"/>
      <c r="Z168" s="1578"/>
      <c r="AA168" s="567"/>
      <c r="AB168" s="785" t="s">
        <v>723</v>
      </c>
      <c r="AC168" s="781" t="s">
        <v>1702</v>
      </c>
      <c r="AD168" s="793" t="s">
        <v>784</v>
      </c>
      <c r="AE168" s="791"/>
      <c r="AF168" s="791"/>
      <c r="AG168" s="791"/>
      <c r="AH168" s="782">
        <f>AG168-AF168</f>
        <v>0</v>
      </c>
      <c r="AI168" s="791"/>
      <c r="AJ168" s="4409"/>
      <c r="AK168" s="4409"/>
      <c r="AL168" s="782">
        <f>IF(AI168=0,0,(AK168-AI168)/AI168*100)</f>
        <v>0</v>
      </c>
      <c r="AM168" s="4400"/>
      <c r="AN168" s="4400"/>
      <c r="AO168" s="4400"/>
      <c r="AP168" s="567"/>
      <c r="AQ168" s="567"/>
      <c r="AR168" s="1047" t="s">
        <v>1703</v>
      </c>
      <c r="AS168" s="1047"/>
      <c r="AT168" s="1047"/>
      <c r="AU168" s="677"/>
      <c r="AV168" s="677"/>
    </row>
    <row s="1621" customFormat="1" customHeight="1" ht="14.25">
      <c r="A169" s="1066"/>
      <c r="B169" s="1066"/>
      <c r="C169" s="1066"/>
      <c r="D169" s="1066"/>
      <c r="E169" s="675">
        <v>15</v>
      </c>
      <c r="F169" s="50" cm="1" t="str">
        <f t="array" ref="F169:F169">OFFSET(E169,-1,1)</f>
        <v>1</v>
      </c>
      <c r="G169" s="1066"/>
      <c r="H169" s="1066"/>
      <c r="I169" s="566" t="s">
        <v>564</v>
      </c>
      <c r="J169" s="566"/>
      <c r="K169" s="566"/>
      <c r="L169" s="566"/>
      <c r="M169" s="566"/>
      <c r="N169" s="566"/>
      <c r="O169" s="566"/>
      <c r="P169" s="566"/>
      <c r="Q169" s="566"/>
      <c r="R169" s="566"/>
      <c r="S169" s="566"/>
      <c r="T169" s="439" cm="1" t="str">
        <f t="array" ref="T169:T169">T168</f>
        <v>true</v>
      </c>
      <c r="U169" s="1066"/>
      <c r="V169" s="1066"/>
      <c r="W169" s="1066"/>
      <c r="X169" s="1577"/>
      <c r="Y169" s="1066"/>
      <c r="Z169" s="1578"/>
      <c r="AA169" s="1066"/>
      <c r="AB169" s="788" t="s">
        <v>726</v>
      </c>
      <c r="AC169" s="797" t="s">
        <v>1347</v>
      </c>
      <c r="AD169" s="795" t="s">
        <v>784</v>
      </c>
      <c r="AE169" s="790"/>
      <c r="AF169" s="790"/>
      <c r="AG169" s="790"/>
      <c r="AH169" s="783"/>
      <c r="AI169" s="4435"/>
      <c r="AJ169" s="4435"/>
      <c r="AK169" s="4435"/>
      <c r="AL169" s="783">
        <f>IF(AI169=0,0,(AK169-AI169)/AI169*100)</f>
        <v>0</v>
      </c>
      <c r="AM169" s="784"/>
      <c r="AN169" s="784"/>
      <c r="AO169" s="784"/>
      <c r="AP169" s="1066"/>
      <c r="AQ169" s="1066"/>
      <c r="AR169" s="1046" t="s">
        <v>1704</v>
      </c>
      <c r="AS169" s="1046"/>
      <c r="AT169" s="1046"/>
      <c r="AU169" s="1043"/>
      <c r="AV169" s="1043"/>
    </row>
    <row s="1621" customFormat="1" customHeight="1" ht="101.25" hidden="1">
      <c r="A170" s="1066"/>
      <c r="B170" s="1066"/>
      <c r="C170" s="1066"/>
      <c r="D170" s="1066"/>
      <c r="E170" s="675">
        <v>0</v>
      </c>
      <c r="F170" s="50" cm="1" t="str">
        <f t="array" ref="F170:F170">OFFSET(E170,-1,1)</f>
        <v>1</v>
      </c>
      <c r="G170" s="1066"/>
      <c r="H170" s="491">
        <f>ISERR(SEARCH("Водоснабжение",AB112))</f>
        <v>0</v>
      </c>
      <c r="I170" s="566" t="s">
        <v>722</v>
      </c>
      <c r="J170" s="566"/>
      <c r="K170" s="566"/>
      <c r="L170" s="566"/>
      <c r="M170" s="566"/>
      <c r="N170" s="566"/>
      <c r="O170" s="566"/>
      <c r="P170" s="566"/>
      <c r="Q170" s="566"/>
      <c r="R170" s="566"/>
      <c r="S170" s="566"/>
      <c r="T170" s="439" cm="1" t="str">
        <f t="array" ref="T170:T170">T169</f>
        <v>true</v>
      </c>
      <c r="U170" s="1066"/>
      <c r="V170" s="1066"/>
      <c r="W170" s="1066"/>
      <c r="X170" s="1577"/>
      <c r="Y170" s="1066"/>
      <c r="Z170" s="1578"/>
      <c r="AA170" s="1066"/>
      <c r="AB170" s="788" t="s">
        <v>978</v>
      </c>
      <c r="AC170" s="797" t="s">
        <v>1705</v>
      </c>
      <c r="AD170" s="740" t="s">
        <v>784</v>
      </c>
      <c r="AE170" s="790"/>
      <c r="AF170" s="790"/>
      <c r="AG170" s="790"/>
      <c r="AH170" s="783">
        <f>AG170-AF170</f>
        <v>0</v>
      </c>
      <c r="AI170" s="790"/>
      <c r="AJ170" s="4405"/>
      <c r="AK170" s="4405">
        <f>_xlfn.IFERROR(_xlfn.SUMIFS('Плата за негативное возд'!$AL$25:$AL$35,'Плата за негативное возд'!$F$25:$F$35,F170,'Плата за негативное возд'!$G$25:$G$35,"1"),0)</f>
        <v>0</v>
      </c>
      <c r="AL170" s="783">
        <f>IF(AI170=0,0,(AK170-AI170)/AI170*100)</f>
        <v>0</v>
      </c>
      <c r="AM170" s="4392"/>
      <c r="AN170" s="4392"/>
      <c r="AO170" s="4392"/>
      <c r="AP170" s="1066"/>
      <c r="AQ170" s="1066"/>
      <c r="AR170" s="1046" t="s">
        <v>1249</v>
      </c>
      <c r="AS170" s="1046"/>
      <c r="AT170" s="1046"/>
      <c r="AU170" s="1043"/>
      <c r="AV170" s="1043"/>
    </row>
    <row s="1621" customFormat="1" customHeight="1" ht="67.5" hidden="1">
      <c r="A171" s="1066"/>
      <c r="B171" s="1066"/>
      <c r="C171" s="1066"/>
      <c r="D171" s="1066"/>
      <c r="E171" s="675">
        <v>0</v>
      </c>
      <c r="F171" s="50" cm="1" t="str">
        <f t="array" ref="F171:F171">OFFSET(E171,-1,1)</f>
        <v>1</v>
      </c>
      <c r="G171" s="1066"/>
      <c r="H171" s="491">
        <f>ISERR(SEARCH("Водоснабжение",AB112))</f>
        <v>0</v>
      </c>
      <c r="I171" s="566" t="s">
        <v>725</v>
      </c>
      <c r="J171" s="566"/>
      <c r="K171" s="566"/>
      <c r="L171" s="566"/>
      <c r="M171" s="566"/>
      <c r="N171" s="566"/>
      <c r="O171" s="566"/>
      <c r="P171" s="566"/>
      <c r="Q171" s="566"/>
      <c r="R171" s="566"/>
      <c r="S171" s="566"/>
      <c r="T171" s="439" cm="1" t="str">
        <f t="array" ref="T171:T171">T170</f>
        <v>true</v>
      </c>
      <c r="U171" s="1066"/>
      <c r="V171" s="1066"/>
      <c r="W171" s="1066"/>
      <c r="X171" s="1577"/>
      <c r="Y171" s="1066"/>
      <c r="Z171" s="1578"/>
      <c r="AA171" s="1066"/>
      <c r="AB171" s="788" t="s">
        <v>1706</v>
      </c>
      <c r="AC171" s="797" t="s">
        <v>1707</v>
      </c>
      <c r="AD171" s="740" t="s">
        <v>784</v>
      </c>
      <c r="AE171" s="790"/>
      <c r="AF171" s="790"/>
      <c r="AG171" s="790"/>
      <c r="AH171" s="783">
        <f>AG171-AF171</f>
        <v>0</v>
      </c>
      <c r="AI171" s="790"/>
      <c r="AJ171" s="4405"/>
      <c r="AK171" s="4405">
        <f>_xlfn.IFERROR(_xlfn.SUMIFS('Плата за негативное возд'!$AL$25:$AL$35,'Плата за негативное возд'!$F$25:$F$35,F171,'Плата за негативное возд'!$G$25:$G$35,"2"),0)</f>
        <v>0</v>
      </c>
      <c r="AL171" s="783">
        <f>IF(AI171=0,0,(AK171-AI171)/AI171*100)</f>
        <v>0</v>
      </c>
      <c r="AM171" s="4392"/>
      <c r="AN171" s="4392"/>
      <c r="AO171" s="4392"/>
      <c r="AP171" s="1066"/>
      <c r="AQ171" s="1066"/>
      <c r="AR171" s="1046" t="s">
        <v>1253</v>
      </c>
      <c r="AS171" s="1046"/>
      <c r="AT171" s="1046"/>
      <c r="AU171" s="1043"/>
      <c r="AV171" s="1043"/>
    </row>
    <row s="1621" customFormat="1" customHeight="1" ht="14.25">
      <c r="A172" s="1066"/>
      <c r="B172" s="1066"/>
      <c r="C172" s="1066"/>
      <c r="D172" s="1066"/>
      <c r="E172" s="675">
        <v>15</v>
      </c>
      <c r="F172" s="50" cm="1" t="str">
        <f t="array" ref="F172:F172">OFFSET(E172,-1,1)</f>
        <v>1</v>
      </c>
      <c r="G172" s="1066"/>
      <c r="H172" s="1066"/>
      <c r="I172" s="566" t="s">
        <v>762</v>
      </c>
      <c r="J172" s="566"/>
      <c r="K172" s="566"/>
      <c r="L172" s="566"/>
      <c r="M172" s="566"/>
      <c r="N172" s="566"/>
      <c r="O172" s="566"/>
      <c r="P172" s="566"/>
      <c r="Q172" s="566"/>
      <c r="R172" s="566"/>
      <c r="S172" s="566"/>
      <c r="T172" s="439" cm="1" t="str">
        <f t="array" ref="T172:T172">T171</f>
        <v>true</v>
      </c>
      <c r="U172" s="1066"/>
      <c r="V172" s="1066"/>
      <c r="W172" s="1066"/>
      <c r="X172" s="1577"/>
      <c r="Y172" s="1066"/>
      <c r="Z172" s="1578"/>
      <c r="AA172" s="1066"/>
      <c r="AB172" s="788" t="s">
        <v>1708</v>
      </c>
      <c r="AC172" s="799" t="s">
        <v>1709</v>
      </c>
      <c r="AD172" s="795" t="s">
        <v>784</v>
      </c>
      <c r="AE172" s="790"/>
      <c r="AF172" s="790"/>
      <c r="AG172" s="790"/>
      <c r="AH172" s="783">
        <f>AG172-AF172</f>
        <v>0</v>
      </c>
      <c r="AI172" s="790"/>
      <c r="AJ172" s="790"/>
      <c r="AK172" s="790"/>
      <c r="AL172" s="783">
        <f>IF(AI172=0,0,(AK172-AI172)/AI172*100)</f>
        <v>0</v>
      </c>
      <c r="AM172" s="784"/>
      <c r="AN172" s="784"/>
      <c r="AO172" s="784"/>
      <c r="AP172" s="1066"/>
      <c r="AQ172" s="1066"/>
      <c r="AR172" s="1046" t="s">
        <v>1129</v>
      </c>
      <c r="AS172" s="1046"/>
      <c r="AT172" s="1046"/>
      <c r="AU172" s="1043"/>
      <c r="AV172" s="1043"/>
    </row>
    <row s="4485" customFormat="1" customHeight="1" ht="21.75">
      <c r="A173" s="567"/>
      <c r="B173" s="567"/>
      <c r="C173" s="567"/>
      <c r="D173" s="567"/>
      <c r="E173" s="677">
        <v>22.5</v>
      </c>
      <c r="F173" s="50" cm="1" t="str">
        <f t="array" ref="F173:F173">OFFSET(E173,-1,1)</f>
        <v>1</v>
      </c>
      <c r="G173" s="567"/>
      <c r="H173" s="567"/>
      <c r="I173" s="678" t="s">
        <v>763</v>
      </c>
      <c r="J173" s="678"/>
      <c r="K173" s="678"/>
      <c r="L173" s="678"/>
      <c r="M173" s="678"/>
      <c r="N173" s="678"/>
      <c r="O173" s="678"/>
      <c r="P173" s="678"/>
      <c r="Q173" s="678"/>
      <c r="R173" s="678"/>
      <c r="S173" s="678"/>
      <c r="T173" s="439" cm="1" t="str">
        <f t="array" ref="T173:T173">T172</f>
        <v>true</v>
      </c>
      <c r="U173" s="567"/>
      <c r="V173" s="567"/>
      <c r="W173" s="567"/>
      <c r="X173" s="1577"/>
      <c r="Y173" s="567"/>
      <c r="Z173" s="1578"/>
      <c r="AA173" s="567"/>
      <c r="AB173" s="785" t="s">
        <v>1710</v>
      </c>
      <c r="AC173" s="568" t="s">
        <v>1711</v>
      </c>
      <c r="AD173" s="793" t="s">
        <v>784</v>
      </c>
      <c r="AE173" s="769">
        <f>AE174+AE175</f>
        <v>0</v>
      </c>
      <c r="AF173" s="769">
        <f>AF174+AF175</f>
        <v>0</v>
      </c>
      <c r="AG173" s="769">
        <f>AG174+AG175</f>
        <v>0</v>
      </c>
      <c r="AH173" s="782">
        <f>AG173-AF173</f>
        <v>0</v>
      </c>
      <c r="AI173" s="769">
        <f>AI174+AI175</f>
        <v>0</v>
      </c>
      <c r="AJ173" s="769">
        <f>AJ174+AJ175</f>
        <v>0</v>
      </c>
      <c r="AK173" s="769">
        <f>AK174+AK175</f>
        <v>0</v>
      </c>
      <c r="AL173" s="782">
        <f>IF(AI173=0,0,(AK173-AI173)/AI173*100)</f>
        <v>0</v>
      </c>
      <c r="AM173" s="787"/>
      <c r="AN173" s="787"/>
      <c r="AO173" s="787"/>
      <c r="AP173" s="567"/>
      <c r="AQ173" s="567"/>
      <c r="AR173" s="1047" t="s">
        <v>1430</v>
      </c>
      <c r="AS173" s="1047"/>
      <c r="AT173" s="1047"/>
      <c r="AU173" s="677"/>
      <c r="AV173" s="677"/>
    </row>
    <row s="1621" customFormat="1" customHeight="1" ht="21.75">
      <c r="A174" s="1066"/>
      <c r="B174" s="1066"/>
      <c r="C174" s="1066"/>
      <c r="D174" s="1066"/>
      <c r="E174" s="675">
        <v>22.5</v>
      </c>
      <c r="F174" s="50" cm="1" t="str">
        <f t="array" ref="F174:F174">OFFSET(E174,-1,1)</f>
        <v>1</v>
      </c>
      <c r="G174" s="1066"/>
      <c r="H174" s="1066"/>
      <c r="I174" s="566" t="s">
        <v>1712</v>
      </c>
      <c r="J174" s="566"/>
      <c r="K174" s="566"/>
      <c r="L174" s="566"/>
      <c r="M174" s="566"/>
      <c r="N174" s="566"/>
      <c r="O174" s="566"/>
      <c r="P174" s="566"/>
      <c r="Q174" s="566"/>
      <c r="R174" s="566"/>
      <c r="S174" s="566"/>
      <c r="T174" s="439" cm="1" t="str">
        <f t="array" ref="T174:T174">T173</f>
        <v>true</v>
      </c>
      <c r="U174" s="1066"/>
      <c r="V174" s="1066"/>
      <c r="W174" s="1066"/>
      <c r="X174" s="1577"/>
      <c r="Y174" s="1066"/>
      <c r="Z174" s="1578"/>
      <c r="AA174" s="1066"/>
      <c r="AB174" s="788" t="s">
        <v>1713</v>
      </c>
      <c r="AC174" s="800" t="s">
        <v>1431</v>
      </c>
      <c r="AD174" s="795" t="s">
        <v>784</v>
      </c>
      <c r="AE174" s="790"/>
      <c r="AF174" s="790"/>
      <c r="AG174" s="790"/>
      <c r="AH174" s="783">
        <f>AG174-AF174</f>
        <v>0</v>
      </c>
      <c r="AI174" s="790"/>
      <c r="AJ174" s="790"/>
      <c r="AK174" s="790"/>
      <c r="AL174" s="783">
        <f>IF(AI174=0,0,(AK174-AI174)/AI174*100)</f>
        <v>0</v>
      </c>
      <c r="AM174" s="784"/>
      <c r="AN174" s="784"/>
      <c r="AO174" s="784"/>
      <c r="AP174" s="1066"/>
      <c r="AQ174" s="1066"/>
      <c r="AR174" s="1046" t="s">
        <v>1469</v>
      </c>
      <c r="AS174" s="1046"/>
      <c r="AT174" s="1046"/>
      <c r="AU174" s="1043"/>
      <c r="AV174" s="1043"/>
    </row>
    <row s="1621" customFormat="1" customHeight="1" ht="21.75">
      <c r="A175" s="1066"/>
      <c r="B175" s="1066"/>
      <c r="C175" s="1066"/>
      <c r="D175" s="1066"/>
      <c r="E175" s="675">
        <v>22.5</v>
      </c>
      <c r="F175" s="50" cm="1" t="str">
        <f t="array" ref="F175:F175">OFFSET(E175,-1,1)</f>
        <v>1</v>
      </c>
      <c r="G175" s="1066"/>
      <c r="H175" s="1066"/>
      <c r="I175" s="566" t="s">
        <v>1714</v>
      </c>
      <c r="J175" s="566"/>
      <c r="K175" s="566"/>
      <c r="L175" s="566"/>
      <c r="M175" s="566"/>
      <c r="N175" s="566"/>
      <c r="O175" s="566"/>
      <c r="P175" s="566"/>
      <c r="Q175" s="566"/>
      <c r="R175" s="566"/>
      <c r="S175" s="566"/>
      <c r="T175" s="439" cm="1" t="str">
        <f t="array" ref="T175:T175">T174</f>
        <v>true</v>
      </c>
      <c r="U175" s="1066"/>
      <c r="V175" s="1066"/>
      <c r="W175" s="1066"/>
      <c r="X175" s="1577"/>
      <c r="Y175" s="1066"/>
      <c r="Z175" s="1578"/>
      <c r="AA175" s="1066"/>
      <c r="AB175" s="788" t="s">
        <v>1715</v>
      </c>
      <c r="AC175" s="800" t="s">
        <v>1433</v>
      </c>
      <c r="AD175" s="795" t="s">
        <v>784</v>
      </c>
      <c r="AE175" s="790"/>
      <c r="AF175" s="790"/>
      <c r="AG175" s="790"/>
      <c r="AH175" s="783">
        <f>AG175-AF175</f>
        <v>0</v>
      </c>
      <c r="AI175" s="790"/>
      <c r="AJ175" s="790"/>
      <c r="AK175" s="790"/>
      <c r="AL175" s="783">
        <f>IF(AI175=0,0,(AK175-AI175)/AI175*100)</f>
        <v>0</v>
      </c>
      <c r="AM175" s="784"/>
      <c r="AN175" s="784"/>
      <c r="AO175" s="784"/>
      <c r="AP175" s="1066"/>
      <c r="AQ175" s="1066"/>
      <c r="AR175" s="1046" t="s">
        <v>1716</v>
      </c>
      <c r="AS175" s="1046"/>
      <c r="AT175" s="1046"/>
      <c r="AU175" s="1043"/>
      <c r="AV175" s="1043"/>
    </row>
    <row s="1621" customFormat="1" customHeight="1" ht="14.25">
      <c r="A176" s="1066"/>
      <c r="B176" s="1066"/>
      <c r="C176" s="1066"/>
      <c r="D176" s="1066"/>
      <c r="E176" s="675">
        <v>15</v>
      </c>
      <c r="F176" s="50" cm="1" t="str">
        <f t="array" ref="F176:F176">OFFSET(E176,-1,1)</f>
        <v>1</v>
      </c>
      <c r="G176" s="1066"/>
      <c r="H176" s="1066"/>
      <c r="I176" s="566" t="s">
        <v>1717</v>
      </c>
      <c r="J176" s="566"/>
      <c r="K176" s="566"/>
      <c r="L176" s="566"/>
      <c r="M176" s="566"/>
      <c r="N176" s="566"/>
      <c r="O176" s="566"/>
      <c r="P176" s="566"/>
      <c r="Q176" s="566"/>
      <c r="R176" s="566"/>
      <c r="S176" s="566"/>
      <c r="T176" s="439" cm="1" t="str">
        <f t="array" ref="T176:T176">T175</f>
        <v>true</v>
      </c>
      <c r="U176" s="1066"/>
      <c r="V176" s="1066"/>
      <c r="W176" s="1066"/>
      <c r="X176" s="1577"/>
      <c r="Y176" s="1066"/>
      <c r="Z176" s="1578"/>
      <c r="AA176" s="1066"/>
      <c r="AB176" s="801" t="s">
        <v>335</v>
      </c>
      <c r="AC176" s="802" t="s">
        <v>1435</v>
      </c>
      <c r="AD176" s="795" t="s">
        <v>784</v>
      </c>
      <c r="AE176" s="790"/>
      <c r="AF176" s="790"/>
      <c r="AG176" s="790"/>
      <c r="AH176" s="783">
        <f>AG176-AF176</f>
        <v>0</v>
      </c>
      <c r="AI176" s="790"/>
      <c r="AJ176" s="790"/>
      <c r="AK176" s="790"/>
      <c r="AL176" s="783">
        <f>IF(AI176=0,0,(AK176-AI176)/AI176*100)</f>
        <v>0</v>
      </c>
      <c r="AM176" s="784"/>
      <c r="AN176" s="784"/>
      <c r="AO176" s="784"/>
      <c r="AP176" s="1066"/>
      <c r="AQ176" s="1066"/>
      <c r="AR176" s="1046" t="s">
        <v>1436</v>
      </c>
      <c r="AS176" s="1046"/>
      <c r="AT176" s="1046"/>
      <c r="AU176" s="1043"/>
      <c r="AV176" s="1043"/>
    </row>
    <row s="1621" customFormat="1" customHeight="1" ht="14.25">
      <c r="A177" s="1066"/>
      <c r="B177" s="1066"/>
      <c r="C177" s="1066"/>
      <c r="D177" s="1066"/>
      <c r="E177" s="675">
        <v>15</v>
      </c>
      <c r="F177" s="50" cm="1" t="str">
        <f t="array" ref="F177:F177">OFFSET(E177,-1,1)</f>
        <v>1</v>
      </c>
      <c r="G177" s="1066"/>
      <c r="H177" s="1066"/>
      <c r="I177" s="566" t="s">
        <v>1718</v>
      </c>
      <c r="J177" s="566"/>
      <c r="K177" s="566"/>
      <c r="L177" s="566"/>
      <c r="M177" s="566"/>
      <c r="N177" s="566"/>
      <c r="O177" s="566"/>
      <c r="P177" s="566"/>
      <c r="Q177" s="566"/>
      <c r="R177" s="566"/>
      <c r="S177" s="566"/>
      <c r="T177" s="439" cm="1" t="str">
        <f t="array" ref="T177:T177">T176</f>
        <v>true</v>
      </c>
      <c r="U177" s="1066"/>
      <c r="V177" s="1066"/>
      <c r="W177" s="1066"/>
      <c r="X177" s="1577"/>
      <c r="Y177" s="1066"/>
      <c r="Z177" s="1578"/>
      <c r="AA177" s="1066"/>
      <c r="AB177" s="801" t="s">
        <v>1719</v>
      </c>
      <c r="AC177" s="802" t="s">
        <v>1437</v>
      </c>
      <c r="AD177" s="795" t="s">
        <v>784</v>
      </c>
      <c r="AE177" s="790"/>
      <c r="AF177" s="790"/>
      <c r="AG177" s="790"/>
      <c r="AH177" s="783">
        <f>AG177-AF177</f>
        <v>0</v>
      </c>
      <c r="AI177" s="790"/>
      <c r="AJ177" s="790"/>
      <c r="AK177" s="790"/>
      <c r="AL177" s="783">
        <f>IF(AI177=0,0,(AK177-AI177)/AI177*100)</f>
        <v>0</v>
      </c>
      <c r="AM177" s="784"/>
      <c r="AN177" s="784"/>
      <c r="AO177" s="784"/>
      <c r="AP177" s="1066"/>
      <c r="AQ177" s="1066"/>
      <c r="AR177" s="1046" t="s">
        <v>1438</v>
      </c>
      <c r="AS177" s="1046"/>
      <c r="AT177" s="1046"/>
      <c r="AU177" s="1043"/>
      <c r="AV177" s="1043"/>
    </row>
    <row s="4486" customFormat="1" customHeight="1" ht="14.25">
      <c r="A178" s="567"/>
      <c r="B178" s="567"/>
      <c r="C178" s="567"/>
      <c r="D178" s="567"/>
      <c r="E178" s="677">
        <v>15</v>
      </c>
      <c r="F178" s="50" cm="1" t="str">
        <f t="array" ref="F178:F178">OFFSET(E178,-1,1)</f>
        <v>1</v>
      </c>
      <c r="G178" s="567"/>
      <c r="H178" s="567"/>
      <c r="I178" s="678" t="s">
        <v>1720</v>
      </c>
      <c r="J178" s="678"/>
      <c r="K178" s="678"/>
      <c r="L178" s="678"/>
      <c r="M178" s="678"/>
      <c r="N178" s="678"/>
      <c r="O178" s="678"/>
      <c r="P178" s="678"/>
      <c r="Q178" s="678"/>
      <c r="R178" s="678"/>
      <c r="S178" s="678"/>
      <c r="T178" s="439" cm="1" t="str">
        <f t="array" ref="T178:T178">T177</f>
        <v>true</v>
      </c>
      <c r="U178" s="567"/>
      <c r="V178" s="567"/>
      <c r="W178" s="567"/>
      <c r="X178" s="1577"/>
      <c r="Y178" s="567"/>
      <c r="Z178" s="1578"/>
      <c r="AA178" s="567"/>
      <c r="AB178" s="785" t="s">
        <v>1721</v>
      </c>
      <c r="AC178" s="568" t="s">
        <v>1722</v>
      </c>
      <c r="AD178" s="793" t="s">
        <v>784</v>
      </c>
      <c r="AE178" s="769">
        <f>AE113+AE141+AE146+AE159+AE160+AE162+AE163+AE164+AE168+AE169-AE170-AE171+AE172-AE173+AE176+AE177</f>
        <v>1415.8260232707</v>
      </c>
      <c r="AF178" s="769">
        <f>AF113+AF141+AF146+AF159+AF160+AF162+AF163+AF164+AF168+AF169-AF170-AF171+AF172-AF173+AF176+AF177</f>
        <v>1838.3873886008</v>
      </c>
      <c r="AG178" s="769">
        <f>AG113+AG141+AG146+AG159+AG160+AG162+AG163+AG164+AG168+AG169-AG170-AG171+AG172-AG173+AG176+AG177</f>
        <v>1076.6774299695</v>
      </c>
      <c r="AH178" s="782">
        <f>AG178-AF178</f>
        <v>-761.7099586313</v>
      </c>
      <c r="AI178" s="769">
        <f>AI113+AI141+AI146+AI159+AI160+AI162+AI163+AI164+AI168+AI169-AI170-AI171+AI172-AI173+AI176+AI177</f>
        <v>1355.1839042065</v>
      </c>
      <c r="AJ178" s="769">
        <f>AJ113+AJ141+AJ146+AJ159+AJ160+AJ162+AJ163+AJ164+AJ168+AJ169-AJ170-AJ171+AJ172-AJ173+AJ176+AJ177</f>
        <v>1705.7683865498</v>
      </c>
      <c r="AK178" s="769">
        <f>AK113+AK141+AK146+AK159+AK160+AK162+AK163+AK164+AK168+AK169-AK170-AK171+AK172-AK173+AK176+AK177</f>
        <v>1607.4282058798</v>
      </c>
      <c r="AL178" s="782">
        <f>IF(AI178=0,0,(AK178-AI178)/AI178*100)</f>
        <v>18.61328937647</v>
      </c>
      <c r="AM178" s="787"/>
      <c r="AN178" s="787"/>
      <c r="AO178" s="787"/>
      <c r="AP178" s="567"/>
      <c r="AQ178" s="567"/>
      <c r="AR178" s="1047" t="s">
        <v>1723</v>
      </c>
      <c r="AS178" s="1047"/>
      <c r="AT178" s="1047"/>
      <c r="AU178" s="677"/>
      <c r="AV178" s="677"/>
    </row>
    <row s="1621" customFormat="1" customHeight="1" ht="15" hidden="1">
      <c r="A179" s="1066"/>
      <c r="B179" s="556">
        <f>G112="двухставочный"</f>
        <v>0</v>
      </c>
      <c r="C179" s="1066"/>
      <c r="D179" s="1066"/>
      <c r="E179" s="675">
        <v>0</v>
      </c>
      <c r="F179" s="50" cm="1" t="str">
        <f t="array" ref="F179:F179">OFFSET(E179,-1,1)</f>
        <v>1</v>
      </c>
      <c r="G179" s="1066"/>
      <c r="H179" s="1066"/>
      <c r="I179" s="566" t="s">
        <v>1724</v>
      </c>
      <c r="J179" s="566"/>
      <c r="K179" s="566"/>
      <c r="L179" s="566"/>
      <c r="M179" s="566"/>
      <c r="N179" s="566"/>
      <c r="O179" s="566"/>
      <c r="P179" s="566"/>
      <c r="Q179" s="566"/>
      <c r="R179" s="566"/>
      <c r="S179" s="566"/>
      <c r="T179" s="439" cm="1" t="str">
        <f t="array" ref="T179:T179">T178</f>
        <v>true</v>
      </c>
      <c r="U179" s="1066"/>
      <c r="V179" s="1066"/>
      <c r="W179" s="1066"/>
      <c r="X179" s="1577"/>
      <c r="Y179" s="1066"/>
      <c r="Z179" s="1578"/>
      <c r="AA179" s="1066"/>
      <c r="AB179" s="788" t="s">
        <v>1725</v>
      </c>
      <c r="AC179" s="800" t="s">
        <v>1726</v>
      </c>
      <c r="AD179" s="795" t="s">
        <v>784</v>
      </c>
      <c r="AE179" s="790"/>
      <c r="AF179" s="790"/>
      <c r="AG179" s="790"/>
      <c r="AH179" s="783">
        <f>AG179-AF179</f>
        <v>0</v>
      </c>
      <c r="AI179" s="790"/>
      <c r="AJ179" s="4405"/>
      <c r="AK179" s="4405"/>
      <c r="AL179" s="783">
        <f>IF(AI179=0,0,(AK179-AI179)/AI179*100)</f>
        <v>0</v>
      </c>
      <c r="AM179" s="4392"/>
      <c r="AN179" s="4392"/>
      <c r="AO179" s="4392"/>
      <c r="AP179" s="1066"/>
      <c r="AQ179" s="1066"/>
      <c r="AR179" s="1046" t="s">
        <v>1727</v>
      </c>
      <c r="AS179" s="1046"/>
      <c r="AT179" s="1046"/>
      <c r="AU179" s="1043"/>
      <c r="AV179" s="1043"/>
    </row>
    <row s="1621" customFormat="1" customHeight="1" ht="15" hidden="1">
      <c r="A180" s="1066"/>
      <c r="B180" s="556">
        <f>G112="двухставочный"</f>
        <v>0</v>
      </c>
      <c r="C180" s="1066"/>
      <c r="D180" s="1066"/>
      <c r="E180" s="675">
        <v>0</v>
      </c>
      <c r="F180" s="50" cm="1" t="str">
        <f t="array" ref="F180:F180">OFFSET(E180,-1,1)</f>
        <v>1</v>
      </c>
      <c r="G180" s="1066"/>
      <c r="H180" s="1066"/>
      <c r="I180" s="566" t="s">
        <v>1728</v>
      </c>
      <c r="J180" s="566"/>
      <c r="K180" s="566"/>
      <c r="L180" s="566"/>
      <c r="M180" s="566"/>
      <c r="N180" s="566"/>
      <c r="O180" s="566"/>
      <c r="P180" s="566"/>
      <c r="Q180" s="566"/>
      <c r="R180" s="566"/>
      <c r="S180" s="566"/>
      <c r="T180" s="439" cm="1" t="str">
        <f t="array" ref="T180:T180">T179</f>
        <v>true</v>
      </c>
      <c r="U180" s="1066"/>
      <c r="V180" s="1066"/>
      <c r="W180" s="1066"/>
      <c r="X180" s="1577"/>
      <c r="Y180" s="1066"/>
      <c r="Z180" s="1578"/>
      <c r="AA180" s="1066"/>
      <c r="AB180" s="788" t="s">
        <v>1729</v>
      </c>
      <c r="AC180" s="800" t="s">
        <v>1730</v>
      </c>
      <c r="AD180" s="795" t="s">
        <v>784</v>
      </c>
      <c r="AE180" s="790"/>
      <c r="AF180" s="790"/>
      <c r="AG180" s="790"/>
      <c r="AH180" s="783">
        <f>AG180-AF180</f>
        <v>0</v>
      </c>
      <c r="AI180" s="790"/>
      <c r="AJ180" s="4405"/>
      <c r="AK180" s="4405"/>
      <c r="AL180" s="783">
        <f>IF(AI180=0,0,(AK180-AI180)/AI180*100)</f>
        <v>0</v>
      </c>
      <c r="AM180" s="4392"/>
      <c r="AN180" s="4392"/>
      <c r="AO180" s="4392"/>
      <c r="AP180" s="1066"/>
      <c r="AQ180" s="1066"/>
      <c r="AR180" s="1046" t="s">
        <v>1731</v>
      </c>
      <c r="AS180" s="1046"/>
      <c r="AT180" s="1046"/>
      <c r="AU180" s="1043"/>
      <c r="AV180" s="1043"/>
    </row>
    <row s="4487" customFormat="1" customHeight="1" ht="14.25">
      <c r="A181" s="567"/>
      <c r="B181" s="567"/>
      <c r="C181" s="567"/>
      <c r="D181" s="567"/>
      <c r="E181" s="677">
        <v>15</v>
      </c>
      <c r="F181" s="50" cm="1" t="str">
        <f t="array" ref="F181:F181">OFFSET(E181,-1,1)</f>
        <v>1</v>
      </c>
      <c r="G181" s="557" t="s">
        <v>1503</v>
      </c>
      <c r="H181" s="567"/>
      <c r="I181" s="678" t="s">
        <v>1732</v>
      </c>
      <c r="J181" s="678"/>
      <c r="K181" s="678"/>
      <c r="L181" s="678"/>
      <c r="M181" s="678"/>
      <c r="N181" s="678"/>
      <c r="O181" s="678"/>
      <c r="P181" s="678"/>
      <c r="Q181" s="678"/>
      <c r="R181" s="678"/>
      <c r="S181" s="678"/>
      <c r="T181" s="439" cm="1" t="str">
        <f t="array" ref="T181:T181">T180</f>
        <v>true</v>
      </c>
      <c r="U181" s="567"/>
      <c r="V181" s="567"/>
      <c r="W181" s="567"/>
      <c r="X181" s="1577"/>
      <c r="Y181" s="567"/>
      <c r="Z181" s="1578"/>
      <c r="AA181" s="567"/>
      <c r="AB181" s="785" t="s">
        <v>1733</v>
      </c>
      <c r="AC181" s="568" t="s">
        <v>1734</v>
      </c>
      <c r="AD181" s="793" t="s">
        <v>512</v>
      </c>
      <c r="AE181" s="803">
        <f>_xlfn.SUMIFS(Баланс!AE$26:AE$300,Баланс!$F$26:$F$300,$F181,Баланс!$G$26:$G$300,"ПО")</f>
        <v>183.4584</v>
      </c>
      <c r="AF181" s="803">
        <f>_xlfn.SUMIFS(Баланс!AF$26:AF$300,Баланс!$F$26:$F$300,$F181,Баланс!$G$26:$G$300,"ПО")</f>
        <v>163.933</v>
      </c>
      <c r="AG181" s="803">
        <f>_xlfn.SUMIFS(Баланс!AG$26:AG$300,Баланс!$F$26:$F$300,$F181,Баланс!$G$26:$G$300,"ПО")</f>
        <v>163.933</v>
      </c>
      <c r="AH181" s="803">
        <f>AG181-AF181</f>
        <v>0</v>
      </c>
      <c r="AI181" s="803">
        <f>_xlfn.SUMIFS(Баланс!AH$26:AH$300,Баланс!$F$26:$F$300,$F181,Баланс!$G$26:$G$300,"ПО")</f>
        <v>151.23</v>
      </c>
      <c r="AJ181" s="803">
        <f>_xlfn.SUMIFS(Баланс!AI$26:AI$300,Баланс!$F$26:$F$300,$F181,Баланс!$G$26:$G$300,"ПО")</f>
        <v>147.98</v>
      </c>
      <c r="AK181" s="803">
        <f>_xlfn.SUMIFS(Баланс!AS$26:AS$300,Баланс!$F$26:$F$300,$F181,Баланс!$G$26:$G$300,"ПО")</f>
        <v>163.933</v>
      </c>
      <c r="AL181" s="804"/>
      <c r="AM181" s="787"/>
      <c r="AN181" s="787"/>
      <c r="AO181" s="787"/>
      <c r="AP181" s="567"/>
      <c r="AQ181" s="567"/>
      <c r="AR181" s="1047" t="s">
        <v>1735</v>
      </c>
      <c r="AS181" s="1047"/>
      <c r="AT181" s="1047"/>
      <c r="AU181" s="677"/>
      <c r="AV181" s="677"/>
    </row>
    <row s="1621" customFormat="1" customHeight="1" ht="14.25">
      <c r="A182" s="1066"/>
      <c r="B182" s="1066"/>
      <c r="C182" s="1066"/>
      <c r="D182" s="1066"/>
      <c r="E182" s="675">
        <v>15</v>
      </c>
      <c r="F182" s="50" cm="1" t="str">
        <f t="array" ref="F182:F182">OFFSET(E182,-1,1)</f>
        <v>1</v>
      </c>
      <c r="G182" s="557" t="s">
        <v>1530</v>
      </c>
      <c r="H182" s="1066"/>
      <c r="I182" s="566" t="s">
        <v>1736</v>
      </c>
      <c r="J182" s="566"/>
      <c r="K182" s="566"/>
      <c r="L182" s="566"/>
      <c r="M182" s="566"/>
      <c r="N182" s="566"/>
      <c r="O182" s="566"/>
      <c r="P182" s="566"/>
      <c r="Q182" s="566"/>
      <c r="R182" s="566"/>
      <c r="S182" s="566"/>
      <c r="T182" s="439" cm="1" t="str">
        <f t="array" ref="T182:T182">T181</f>
        <v>true</v>
      </c>
      <c r="U182" s="1066"/>
      <c r="V182" s="1066"/>
      <c r="W182" s="1066"/>
      <c r="X182" s="1577"/>
      <c r="Y182" s="1066"/>
      <c r="Z182" s="1578"/>
      <c r="AA182" s="1066"/>
      <c r="AB182" s="788" t="s">
        <v>1737</v>
      </c>
      <c r="AC182" s="1096" t="s">
        <v>1738</v>
      </c>
      <c r="AD182" s="795" t="s">
        <v>512</v>
      </c>
      <c r="AE182" s="805">
        <f>AE181/2</f>
        <v>91.7292</v>
      </c>
      <c r="AF182" s="805">
        <f>AF181/2</f>
        <v>81.9665</v>
      </c>
      <c r="AG182" s="805">
        <f>AG181/2</f>
        <v>81.9665</v>
      </c>
      <c r="AH182" s="806">
        <f>AG182-AF182</f>
        <v>0</v>
      </c>
      <c r="AI182" s="805">
        <f>AI181/2</f>
        <v>75.615</v>
      </c>
      <c r="AJ182" s="805">
        <f>IF(god=2026,AJ181/12*9,AJ181/2)</f>
        <v>110.985</v>
      </c>
      <c r="AK182" s="805">
        <f>IF(god=2026,AK181/12*9,AK181/2)</f>
        <v>122.94975</v>
      </c>
      <c r="AL182" s="798"/>
      <c r="AM182" s="784"/>
      <c r="AN182" s="784"/>
      <c r="AO182" s="784"/>
      <c r="AP182" s="1066"/>
      <c r="AQ182" s="1066"/>
      <c r="AR182" s="1046" t="s">
        <v>1739</v>
      </c>
      <c r="AS182" s="1046"/>
      <c r="AT182" s="1046"/>
      <c r="AU182" s="1043"/>
      <c r="AV182" s="1043"/>
    </row>
    <row s="1621" customFormat="1" customHeight="1" ht="14.25">
      <c r="A183" s="1066"/>
      <c r="B183" s="1066"/>
      <c r="C183" s="1066"/>
      <c r="D183" s="1066"/>
      <c r="E183" s="675">
        <v>15</v>
      </c>
      <c r="F183" s="50" cm="1" t="str">
        <f t="array" ref="F183:F183">OFFSET(E183,-1,1)</f>
        <v>1</v>
      </c>
      <c r="G183" s="557" t="s">
        <v>1491</v>
      </c>
      <c r="H183" s="1066"/>
      <c r="I183" s="566" t="s">
        <v>1740</v>
      </c>
      <c r="J183" s="566"/>
      <c r="K183" s="566"/>
      <c r="L183" s="566"/>
      <c r="M183" s="566"/>
      <c r="N183" s="566"/>
      <c r="O183" s="566"/>
      <c r="P183" s="566"/>
      <c r="Q183" s="566"/>
      <c r="R183" s="566"/>
      <c r="S183" s="566"/>
      <c r="T183" s="439" cm="1" t="str">
        <f t="array" ref="T183:T183">T182</f>
        <v>true</v>
      </c>
      <c r="U183" s="1066"/>
      <c r="V183" s="1066"/>
      <c r="W183" s="1066"/>
      <c r="X183" s="1577"/>
      <c r="Y183" s="1066"/>
      <c r="Z183" s="1578"/>
      <c r="AA183" s="1066"/>
      <c r="AB183" s="788" t="s">
        <v>1741</v>
      </c>
      <c r="AC183" s="1096" t="s">
        <v>1742</v>
      </c>
      <c r="AD183" s="795" t="s">
        <v>1494</v>
      </c>
      <c r="AE183" s="790"/>
      <c r="AF183" s="790"/>
      <c r="AG183" s="790"/>
      <c r="AH183" s="783">
        <f>AG183-AF183</f>
        <v>0</v>
      </c>
      <c r="AI183" s="790"/>
      <c r="AJ183" s="790"/>
      <c r="AK183" s="790"/>
      <c r="AL183" s="798"/>
      <c r="AM183" s="784"/>
      <c r="AN183" s="784"/>
      <c r="AO183" s="784"/>
      <c r="AP183" s="1066"/>
      <c r="AQ183" s="1066"/>
      <c r="AR183" s="1046" t="s">
        <v>1743</v>
      </c>
      <c r="AS183" s="1046"/>
      <c r="AT183" s="1046"/>
      <c r="AU183" s="1043"/>
      <c r="AV183" s="1043"/>
    </row>
    <row s="1621" customFormat="1" customHeight="1" ht="14.25">
      <c r="A184" s="1066"/>
      <c r="B184" s="1066"/>
      <c r="C184" s="1066"/>
      <c r="D184" s="1066"/>
      <c r="E184" s="675">
        <v>15</v>
      </c>
      <c r="F184" s="50" cm="1" t="str">
        <f t="array" ref="F184:F184">OFFSET(E184,-1,1)</f>
        <v>1</v>
      </c>
      <c r="G184" s="557" t="s">
        <v>1543</v>
      </c>
      <c r="H184" s="1066"/>
      <c r="I184" s="566" t="s">
        <v>1744</v>
      </c>
      <c r="J184" s="566"/>
      <c r="K184" s="566"/>
      <c r="L184" s="566"/>
      <c r="M184" s="566"/>
      <c r="N184" s="566"/>
      <c r="O184" s="566"/>
      <c r="P184" s="566"/>
      <c r="Q184" s="566"/>
      <c r="R184" s="566"/>
      <c r="S184" s="566"/>
      <c r="T184" s="439" cm="1" t="str">
        <f t="array" ref="T184:T184">T183</f>
        <v>true</v>
      </c>
      <c r="U184" s="1066"/>
      <c r="V184" s="1066"/>
      <c r="W184" s="1066"/>
      <c r="X184" s="1577"/>
      <c r="Y184" s="1066"/>
      <c r="Z184" s="1578"/>
      <c r="AA184" s="1066"/>
      <c r="AB184" s="788" t="s">
        <v>1745</v>
      </c>
      <c r="AC184" s="1096" t="s">
        <v>1746</v>
      </c>
      <c r="AD184" s="795" t="s">
        <v>512</v>
      </c>
      <c r="AE184" s="806">
        <f>AE181-AE182</f>
        <v>91.7292</v>
      </c>
      <c r="AF184" s="806">
        <f>AF181-AF182</f>
        <v>81.9665</v>
      </c>
      <c r="AG184" s="806">
        <f>AG181-AG182</f>
        <v>81.9665</v>
      </c>
      <c r="AH184" s="806">
        <f>AG184-AF184</f>
        <v>0</v>
      </c>
      <c r="AI184" s="806">
        <f>AI181-AI182</f>
        <v>75.615</v>
      </c>
      <c r="AJ184" s="806">
        <f>AJ181-AJ182</f>
        <v>36.995</v>
      </c>
      <c r="AK184" s="806">
        <f>AK181-AK182</f>
        <v>40.98325</v>
      </c>
      <c r="AL184" s="798"/>
      <c r="AM184" s="784"/>
      <c r="AN184" s="784"/>
      <c r="AO184" s="784"/>
      <c r="AP184" s="1066"/>
      <c r="AQ184" s="1066"/>
      <c r="AR184" s="1046" t="s">
        <v>1747</v>
      </c>
      <c r="AS184" s="1046"/>
      <c r="AT184" s="1046"/>
      <c r="AU184" s="1043"/>
      <c r="AV184" s="1043"/>
    </row>
    <row s="1621" customFormat="1" customHeight="1" ht="14.25">
      <c r="A185" s="1066"/>
      <c r="B185" s="1066"/>
      <c r="C185" s="1066"/>
      <c r="D185" s="1066"/>
      <c r="E185" s="675">
        <v>15</v>
      </c>
      <c r="F185" s="50" cm="1" t="str">
        <f t="array" ref="F185:F185">OFFSET(E185,-1,1)</f>
        <v>1</v>
      </c>
      <c r="G185" s="557" t="s">
        <v>1496</v>
      </c>
      <c r="H185" s="1066"/>
      <c r="I185" s="566" t="s">
        <v>1748</v>
      </c>
      <c r="J185" s="566"/>
      <c r="K185" s="566"/>
      <c r="L185" s="566"/>
      <c r="M185" s="566"/>
      <c r="N185" s="566"/>
      <c r="O185" s="566"/>
      <c r="P185" s="566"/>
      <c r="Q185" s="566"/>
      <c r="R185" s="566"/>
      <c r="S185" s="566"/>
      <c r="T185" s="439" cm="1" t="str">
        <f t="array" ref="T185:T185">T184</f>
        <v>true</v>
      </c>
      <c r="U185" s="1066"/>
      <c r="V185" s="1066"/>
      <c r="W185" s="1066"/>
      <c r="X185" s="1577"/>
      <c r="Y185" s="1066"/>
      <c r="Z185" s="1578"/>
      <c r="AA185" s="1066"/>
      <c r="AB185" s="788" t="s">
        <v>1749</v>
      </c>
      <c r="AC185" s="1096" t="s">
        <v>1750</v>
      </c>
      <c r="AD185" s="795" t="s">
        <v>1494</v>
      </c>
      <c r="AE185" s="790">
        <f>IF(AE184=0,0,(AE178-AE182*AE183)/AE184)</f>
        <v>15.434845428399</v>
      </c>
      <c r="AF185" s="790">
        <f>IF(AF184=0,0,(AF178-AF182*AF183)/AF184)</f>
        <v>22.4285212690648</v>
      </c>
      <c r="AG185" s="790">
        <f>IF(AG184=0,0,(AG178-AG182*AG183)/AG184)</f>
        <v>13.1355789251646</v>
      </c>
      <c r="AH185" s="783">
        <f>AG185-AF185</f>
        <v>-9.2929423439002</v>
      </c>
      <c r="AI185" s="790">
        <f>IF(AI184=0,0,(AI178-AI182*AI183)/AI184)</f>
        <v>17.9221570350658</v>
      </c>
      <c r="AJ185" s="790">
        <f>IF(AJ184=0,0,(AJ178-AJ182*AJ183)/AJ184)</f>
        <v>46.1080791066306</v>
      </c>
      <c r="AK185" s="790">
        <f>IF(AK184=0,0,(AK178-AK182*AK183)/AK184)</f>
        <v>39.2215894512954</v>
      </c>
      <c r="AL185" s="798"/>
      <c r="AM185" s="784"/>
      <c r="AN185" s="784"/>
      <c r="AO185" s="784"/>
      <c r="AP185" s="1066"/>
      <c r="AQ185" s="1066"/>
      <c r="AR185" s="1046" t="s">
        <v>1751</v>
      </c>
      <c r="AS185" s="1046"/>
      <c r="AT185" s="1046"/>
      <c r="AU185" s="1043"/>
      <c r="AV185" s="1043"/>
    </row>
    <row s="1621" customFormat="1" customHeight="1" ht="14.25">
      <c r="A186" s="1066"/>
      <c r="B186" s="1066"/>
      <c r="C186" s="1066"/>
      <c r="D186" s="1066"/>
      <c r="E186" s="675">
        <v>15</v>
      </c>
      <c r="F186" s="50" cm="1" t="str">
        <f t="array" ref="F186:F186">OFFSET(E186,-1,1)</f>
        <v>1</v>
      </c>
      <c r="G186" s="557"/>
      <c r="H186" s="1066"/>
      <c r="I186" s="566" t="s">
        <v>1752</v>
      </c>
      <c r="J186" s="566"/>
      <c r="K186" s="566"/>
      <c r="L186" s="566"/>
      <c r="M186" s="566"/>
      <c r="N186" s="566"/>
      <c r="O186" s="566"/>
      <c r="P186" s="566"/>
      <c r="Q186" s="566"/>
      <c r="R186" s="566"/>
      <c r="S186" s="566"/>
      <c r="T186" s="439" cm="1" t="str">
        <f t="array" ref="T186:T186">T185</f>
        <v>true</v>
      </c>
      <c r="U186" s="1066"/>
      <c r="V186" s="1066"/>
      <c r="W186" s="1066"/>
      <c r="X186" s="1577"/>
      <c r="Y186" s="1066"/>
      <c r="Z186" s="1578"/>
      <c r="AA186" s="1066"/>
      <c r="AB186" s="788" t="s">
        <v>1753</v>
      </c>
      <c r="AC186" s="1096" t="s">
        <v>1754</v>
      </c>
      <c r="AD186" s="795" t="s">
        <v>437</v>
      </c>
      <c r="AE186" s="783">
        <f>IF(AE183=0,0,AE185/AE183*100)</f>
        <v>0</v>
      </c>
      <c r="AF186" s="783">
        <f>IF(AF183=0,0,AF185/AF183*100)</f>
        <v>0</v>
      </c>
      <c r="AG186" s="783">
        <f>IF(AG183=0,0,AG185/AG183*100)</f>
        <v>0</v>
      </c>
      <c r="AH186" s="798"/>
      <c r="AI186" s="783">
        <f>IF(AI183=0,0,AI185/AI183*100)</f>
        <v>0</v>
      </c>
      <c r="AJ186" s="783">
        <f>IF(AJ183=0,0,AJ185/AJ183*100)</f>
        <v>0</v>
      </c>
      <c r="AK186" s="783">
        <f>IF(AK183=0,0,AK185/AK183*100)</f>
        <v>0</v>
      </c>
      <c r="AL186" s="798"/>
      <c r="AM186" s="784"/>
      <c r="AN186" s="784"/>
      <c r="AO186" s="784"/>
      <c r="AP186" s="1066"/>
      <c r="AQ186" s="1066"/>
      <c r="AR186" s="1046" t="s">
        <v>1755</v>
      </c>
      <c r="AS186" s="1046"/>
      <c r="AT186" s="1046"/>
      <c r="AU186" s="1043"/>
      <c r="AV186" s="1043"/>
    </row>
    <row s="1621" customFormat="1" customHeight="1" ht="14.25">
      <c r="A187" s="1066"/>
      <c r="B187" s="1066"/>
      <c r="C187" s="1066"/>
      <c r="D187" s="1066"/>
      <c r="E187" s="675">
        <v>15</v>
      </c>
      <c r="F187" s="50" cm="1" t="str">
        <f t="array" ref="F187:F187">OFFSET(E187,-1,1)</f>
        <v>1</v>
      </c>
      <c r="G187" s="557"/>
      <c r="H187" s="1066"/>
      <c r="I187" s="566" t="s">
        <v>1756</v>
      </c>
      <c r="J187" s="566"/>
      <c r="K187" s="566"/>
      <c r="L187" s="566"/>
      <c r="M187" s="566"/>
      <c r="N187" s="566"/>
      <c r="O187" s="566"/>
      <c r="P187" s="566"/>
      <c r="Q187" s="566"/>
      <c r="R187" s="566"/>
      <c r="S187" s="566"/>
      <c r="T187" s="439" cm="1" t="str">
        <f t="array" ref="T187:T187">T186</f>
        <v>true</v>
      </c>
      <c r="U187" s="1066"/>
      <c r="V187" s="1066"/>
      <c r="W187" s="1066"/>
      <c r="X187" s="1577"/>
      <c r="Y187" s="1066"/>
      <c r="Z187" s="1578"/>
      <c r="AA187" s="1066"/>
      <c r="AB187" s="788" t="s">
        <v>1757</v>
      </c>
      <c r="AC187" s="1096" t="s">
        <v>1758</v>
      </c>
      <c r="AD187" s="795" t="s">
        <v>1494</v>
      </c>
      <c r="AE187" s="790">
        <f>IF(AE181=0,0,AE178/AE181)</f>
        <v>7.71742271419951</v>
      </c>
      <c r="AF187" s="790">
        <f>IF(AF181=0,0,AF178/AF181)</f>
        <v>11.2142606345324</v>
      </c>
      <c r="AG187" s="790">
        <f>IF(AG181=0,0,AG178/AG181)</f>
        <v>6.56778946258228</v>
      </c>
      <c r="AH187" s="783">
        <f>AG187-AF187</f>
        <v>-4.64647117195012</v>
      </c>
      <c r="AI187" s="790">
        <f>IF(AI181=0,0,AI178/AI181)</f>
        <v>8.9610785175329</v>
      </c>
      <c r="AJ187" s="790">
        <f>IF(AJ181=0,0,AJ178/AJ181)</f>
        <v>11.5270197766577</v>
      </c>
      <c r="AK187" s="790">
        <f>IF(AK181=0,0,AK178/AK181)</f>
        <v>9.80539736282384</v>
      </c>
      <c r="AL187" s="798"/>
      <c r="AM187" s="784"/>
      <c r="AN187" s="784"/>
      <c r="AO187" s="784"/>
      <c r="AP187" s="1066"/>
      <c r="AQ187" s="1066"/>
      <c r="AR187" s="1046" t="s">
        <v>1759</v>
      </c>
      <c r="AS187" s="1046"/>
      <c r="AT187" s="1046"/>
      <c r="AU187" s="1043"/>
      <c r="AV187" s="1043"/>
    </row>
    <row s="4488" customFormat="1" customHeight="1" ht="14.25">
      <c r="A188" s="567"/>
      <c r="B188" s="567"/>
      <c r="C188" s="567"/>
      <c r="D188" s="567"/>
      <c r="E188" s="677">
        <v>15</v>
      </c>
      <c r="F188" s="50" cm="1" t="str">
        <f t="array" ref="F188:F188">OFFSET(E188,-1,1)</f>
        <v>1</v>
      </c>
      <c r="G188" s="680"/>
      <c r="H188" s="567"/>
      <c r="I188" s="678" t="s">
        <v>1760</v>
      </c>
      <c r="J188" s="678"/>
      <c r="K188" s="678"/>
      <c r="L188" s="678"/>
      <c r="M188" s="678"/>
      <c r="N188" s="678"/>
      <c r="O188" s="678"/>
      <c r="P188" s="678"/>
      <c r="Q188" s="678"/>
      <c r="R188" s="678"/>
      <c r="S188" s="678"/>
      <c r="T188" s="439" cm="1" t="str">
        <f t="array" ref="T188:T188">T187</f>
        <v>true</v>
      </c>
      <c r="U188" s="567"/>
      <c r="V188" s="567"/>
      <c r="W188" s="567"/>
      <c r="X188" s="1577"/>
      <c r="Y188" s="567"/>
      <c r="Z188" s="1578"/>
      <c r="AA188" s="567"/>
      <c r="AB188" s="785" t="s">
        <v>1761</v>
      </c>
      <c r="AC188" s="179" t="s">
        <v>1762</v>
      </c>
      <c r="AD188" s="793" t="s">
        <v>784</v>
      </c>
      <c r="AE188" s="1261">
        <f>IF(AE181=0,0,AE178/AE181*AE189)</f>
        <v>0</v>
      </c>
      <c r="AF188" s="1261">
        <f>IF(AF181=0,0,AF178/AF181*AF189)</f>
        <v>0</v>
      </c>
      <c r="AG188" s="1261">
        <f>IF(AG181=0,0,AG178/AG181*AG189)</f>
        <v>0</v>
      </c>
      <c r="AH188" s="769">
        <f>AH190*AH191+AH192*AH193</f>
        <v>0</v>
      </c>
      <c r="AI188" s="1261">
        <f>IF(AI181=0,0,AI178/AI181*AI189)</f>
        <v>0</v>
      </c>
      <c r="AJ188" s="1261">
        <f>IF(AJ181=0,0,AJ178/AJ181*AJ189)</f>
        <v>0</v>
      </c>
      <c r="AK188" s="1261">
        <f>IF(AK181=0,0,AK178/AK181*AK189)</f>
        <v>0</v>
      </c>
      <c r="AL188" s="782">
        <f>IF(AI188=0,0,(AK188-AI188)/AI188*100)</f>
        <v>0</v>
      </c>
      <c r="AM188" s="787"/>
      <c r="AN188" s="787"/>
      <c r="AO188" s="787"/>
      <c r="AP188" s="567"/>
      <c r="AQ188" s="567"/>
      <c r="AR188" s="1047" t="s">
        <v>1763</v>
      </c>
      <c r="AS188" s="1047"/>
      <c r="AT188" s="1047"/>
      <c r="AU188" s="677"/>
      <c r="AV188" s="677"/>
    </row>
    <row s="4489" customFormat="1" customHeight="1" ht="14.25">
      <c r="A189" s="567"/>
      <c r="B189" s="567"/>
      <c r="C189" s="567"/>
      <c r="D189" s="567"/>
      <c r="E189" s="677">
        <v>15</v>
      </c>
      <c r="F189" s="50" cm="1" t="str">
        <f t="array" ref="F189:F189">OFFSET(E189,-1,1)</f>
        <v>1</v>
      </c>
      <c r="G189" s="557" t="s">
        <v>1516</v>
      </c>
      <c r="H189" s="567"/>
      <c r="I189" s="678" t="s">
        <v>1764</v>
      </c>
      <c r="J189" s="678"/>
      <c r="K189" s="678"/>
      <c r="L189" s="678"/>
      <c r="M189" s="678"/>
      <c r="N189" s="678"/>
      <c r="O189" s="678"/>
      <c r="P189" s="678"/>
      <c r="Q189" s="678"/>
      <c r="R189" s="678"/>
      <c r="S189" s="678"/>
      <c r="T189" s="439" cm="1" t="str">
        <f t="array" ref="T189:T189">T188</f>
        <v>true</v>
      </c>
      <c r="U189" s="567"/>
      <c r="V189" s="567"/>
      <c r="W189" s="567"/>
      <c r="X189" s="1577"/>
      <c r="Y189" s="567"/>
      <c r="Z189" s="1578"/>
      <c r="AA189" s="567"/>
      <c r="AB189" s="785" t="s">
        <v>1765</v>
      </c>
      <c r="AC189" s="179" t="s">
        <v>1766</v>
      </c>
      <c r="AD189" s="793" t="s">
        <v>512</v>
      </c>
      <c r="AE189" s="803">
        <f>_xlfn.SUMIFS(Баланс!AE$26:AE$300,Баланс!$F$26:$F$300,$F189,Баланс!$G$26:$G$300,"население")</f>
        <v>0</v>
      </c>
      <c r="AF189" s="803">
        <f>_xlfn.SUMIFS(Баланс!AF$26:AF$300,Баланс!$F$26:$F$300,$F189,Баланс!$G$26:$G$300,"население")</f>
        <v>0</v>
      </c>
      <c r="AG189" s="803">
        <f>_xlfn.SUMIFS(Баланс!AG$26:AG$300,Баланс!$F$26:$F$300,$F189,Баланс!$G$26:$G$300,"население")</f>
        <v>0</v>
      </c>
      <c r="AH189" s="803">
        <f>AG189-AF189</f>
        <v>0</v>
      </c>
      <c r="AI189" s="803">
        <f>_xlfn.SUMIFS(Баланс!AH$26:AH$300,Баланс!$F$26:$F$300,$F189,Баланс!$G$26:$G$300,"население")</f>
        <v>0</v>
      </c>
      <c r="AJ189" s="803">
        <f>_xlfn.SUMIFS(Баланс!AI$26:AI$300,Баланс!$F$26:$F$300,$F189,Баланс!$G$26:$G$300,"население")</f>
        <v>0</v>
      </c>
      <c r="AK189" s="803">
        <f>_xlfn.SUMIFS(Баланс!AS$26:AS$300,Баланс!$F$26:$F$300,$F189,Баланс!$G$26:$G$300,"население")</f>
        <v>0</v>
      </c>
      <c r="AL189" s="804"/>
      <c r="AM189" s="787"/>
      <c r="AN189" s="787"/>
      <c r="AO189" s="787"/>
      <c r="AP189" s="567"/>
      <c r="AQ189" s="567"/>
      <c r="AR189" s="1047" t="s">
        <v>1767</v>
      </c>
      <c r="AS189" s="1047"/>
      <c r="AT189" s="1047"/>
      <c r="AU189" s="677"/>
      <c r="AV189" s="677"/>
    </row>
    <row s="1621" customFormat="1" customHeight="1" ht="14.25">
      <c r="A190" s="1066"/>
      <c r="B190" s="1066"/>
      <c r="C190" s="1066"/>
      <c r="D190" s="1066"/>
      <c r="E190" s="675">
        <v>15</v>
      </c>
      <c r="F190" s="50" cm="1" t="str">
        <f t="array" ref="F190:F190">OFFSET(E190,-1,1)</f>
        <v>1</v>
      </c>
      <c r="G190" s="557" t="s">
        <v>1550</v>
      </c>
      <c r="H190" s="1066"/>
      <c r="I190" s="566" t="s">
        <v>1768</v>
      </c>
      <c r="J190" s="566"/>
      <c r="K190" s="566"/>
      <c r="L190" s="566"/>
      <c r="M190" s="566"/>
      <c r="N190" s="566"/>
      <c r="O190" s="566"/>
      <c r="P190" s="566"/>
      <c r="Q190" s="566"/>
      <c r="R190" s="566"/>
      <c r="S190" s="566"/>
      <c r="T190" s="439" cm="1" t="str">
        <f t="array" ref="T190:T190">T189</f>
        <v>true</v>
      </c>
      <c r="U190" s="1066"/>
      <c r="V190" s="1066"/>
      <c r="W190" s="1066"/>
      <c r="X190" s="1577"/>
      <c r="Y190" s="1066"/>
      <c r="Z190" s="1578"/>
      <c r="AA190" s="1066"/>
      <c r="AB190" s="788" t="s">
        <v>1769</v>
      </c>
      <c r="AC190" s="1096" t="s">
        <v>1770</v>
      </c>
      <c r="AD190" s="795" t="s">
        <v>512</v>
      </c>
      <c r="AE190" s="805">
        <f>AE189/2</f>
        <v>0</v>
      </c>
      <c r="AF190" s="805">
        <f>AF189/2</f>
        <v>0</v>
      </c>
      <c r="AG190" s="805">
        <f>AG189/2</f>
        <v>0</v>
      </c>
      <c r="AH190" s="806">
        <f>AG190-AF190</f>
        <v>0</v>
      </c>
      <c r="AI190" s="805">
        <f>AI189/2</f>
        <v>0</v>
      </c>
      <c r="AJ190" s="805">
        <f>IF(god=2026,AJ189/12*9,AJ189/2)</f>
        <v>0</v>
      </c>
      <c r="AK190" s="805">
        <f>IF(god=2026,AK189/12*9,AK189/2)</f>
        <v>0</v>
      </c>
      <c r="AL190" s="798"/>
      <c r="AM190" s="784"/>
      <c r="AN190" s="784"/>
      <c r="AO190" s="784"/>
      <c r="AP190" s="1066"/>
      <c r="AQ190" s="1066"/>
      <c r="AR190" s="1046" t="s">
        <v>1771</v>
      </c>
      <c r="AS190" s="1046"/>
      <c r="AT190" s="1046"/>
      <c r="AU190" s="1043"/>
      <c r="AV190" s="1043"/>
    </row>
    <row s="1621" customFormat="1" customHeight="1" ht="14.25">
      <c r="A191" s="1066"/>
      <c r="B191" s="1066"/>
      <c r="C191" s="1066"/>
      <c r="D191" s="1066"/>
      <c r="E191" s="675">
        <v>15</v>
      </c>
      <c r="F191" s="50" cm="1" t="str">
        <f t="array" ref="F191:F191">OFFSET(E191,-1,1)</f>
        <v>1</v>
      </c>
      <c r="G191" s="557" t="s">
        <v>1506</v>
      </c>
      <c r="H191" s="1066"/>
      <c r="I191" s="566" t="s">
        <v>1772</v>
      </c>
      <c r="J191" s="566"/>
      <c r="K191" s="566"/>
      <c r="L191" s="566"/>
      <c r="M191" s="566"/>
      <c r="N191" s="566"/>
      <c r="O191" s="566"/>
      <c r="P191" s="566"/>
      <c r="Q191" s="566"/>
      <c r="R191" s="566"/>
      <c r="S191" s="566"/>
      <c r="T191" s="439" cm="1" t="str">
        <f t="array" ref="T191:T191">T190</f>
        <v>true</v>
      </c>
      <c r="U191" s="1066"/>
      <c r="V191" s="1066"/>
      <c r="W191" s="1066"/>
      <c r="X191" s="1577"/>
      <c r="Y191" s="1066"/>
      <c r="Z191" s="1578"/>
      <c r="AA191" s="1066"/>
      <c r="AB191" s="788" t="s">
        <v>1773</v>
      </c>
      <c r="AC191" s="1096" t="s">
        <v>1774</v>
      </c>
      <c r="AD191" s="795" t="s">
        <v>1494</v>
      </c>
      <c r="AE191" s="1602">
        <f>IF(AE189=0,0,AE183*(1+Сценарии!AE$26/100))</f>
        <v>0</v>
      </c>
      <c r="AF191" s="1602">
        <f>IF(AF189=0,0,AF183*(1+Сценарии!AF$26/100))</f>
        <v>0</v>
      </c>
      <c r="AG191" s="1602">
        <f>IF(AG189=0,0,AG183*(1+Сценарии!AG$26/100))</f>
        <v>0</v>
      </c>
      <c r="AH191" s="783">
        <f>AG191-AF191</f>
        <v>0</v>
      </c>
      <c r="AI191" s="1602">
        <f>IF(AI189=0,0,AI183*(1+Сценарии!AI$26/100))</f>
        <v>0</v>
      </c>
      <c r="AJ191" s="1602">
        <f>IF(AJ189=0,0,AJ183*(1+Сценарии!AJ$26/100))</f>
        <v>0</v>
      </c>
      <c r="AK191" s="1602">
        <f>IF(AK189=0,0,AK183*(1+Сценарии!AK$26/100))</f>
        <v>0</v>
      </c>
      <c r="AL191" s="798"/>
      <c r="AM191" s="784"/>
      <c r="AN191" s="784"/>
      <c r="AO191" s="784"/>
      <c r="AP191" s="1066"/>
      <c r="AQ191" s="1066"/>
      <c r="AR191" s="1046" t="s">
        <v>1775</v>
      </c>
      <c r="AS191" s="1046"/>
      <c r="AT191" s="1046"/>
      <c r="AU191" s="1043"/>
      <c r="AV191" s="1043"/>
    </row>
    <row s="1621" customFormat="1" customHeight="1" ht="14.25">
      <c r="A192" s="1066"/>
      <c r="B192" s="1066"/>
      <c r="C192" s="1066"/>
      <c r="D192" s="1066"/>
      <c r="E192" s="675">
        <v>15</v>
      </c>
      <c r="F192" s="50" cm="1" t="str">
        <f t="array" ref="F192:F192">OFFSET(E192,-1,1)</f>
        <v>1</v>
      </c>
      <c r="G192" s="557" t="s">
        <v>1557</v>
      </c>
      <c r="H192" s="1066"/>
      <c r="I192" s="566" t="s">
        <v>1776</v>
      </c>
      <c r="J192" s="566"/>
      <c r="K192" s="566"/>
      <c r="L192" s="566"/>
      <c r="M192" s="566"/>
      <c r="N192" s="566"/>
      <c r="O192" s="566"/>
      <c r="P192" s="566"/>
      <c r="Q192" s="566"/>
      <c r="R192" s="566"/>
      <c r="S192" s="566"/>
      <c r="T192" s="439" cm="1" t="str">
        <f t="array" ref="T192:T192">T191</f>
        <v>true</v>
      </c>
      <c r="U192" s="1066"/>
      <c r="V192" s="1066"/>
      <c r="W192" s="1066"/>
      <c r="X192" s="1577"/>
      <c r="Y192" s="1066"/>
      <c r="Z192" s="1578"/>
      <c r="AA192" s="1066"/>
      <c r="AB192" s="788" t="s">
        <v>1777</v>
      </c>
      <c r="AC192" s="1096" t="s">
        <v>1746</v>
      </c>
      <c r="AD192" s="795" t="s">
        <v>512</v>
      </c>
      <c r="AE192" s="806">
        <f>AE189-AE190</f>
        <v>0</v>
      </c>
      <c r="AF192" s="806">
        <f>AF189-AF190</f>
        <v>0</v>
      </c>
      <c r="AG192" s="806">
        <f>AG189-AG190</f>
        <v>0</v>
      </c>
      <c r="AH192" s="806">
        <f>AG192-AF192</f>
        <v>0</v>
      </c>
      <c r="AI192" s="806">
        <f>AI189-AI190</f>
        <v>0</v>
      </c>
      <c r="AJ192" s="806">
        <f>AJ189-AJ190</f>
        <v>0</v>
      </c>
      <c r="AK192" s="806">
        <f>AK189-AK190</f>
        <v>0</v>
      </c>
      <c r="AL192" s="798"/>
      <c r="AM192" s="784"/>
      <c r="AN192" s="784"/>
      <c r="AO192" s="784"/>
      <c r="AP192" s="1066"/>
      <c r="AQ192" s="1066"/>
      <c r="AR192" s="1046" t="s">
        <v>1778</v>
      </c>
      <c r="AS192" s="1046"/>
      <c r="AT192" s="1046"/>
      <c r="AU192" s="1043"/>
      <c r="AV192" s="1043"/>
    </row>
    <row s="1621" customFormat="1" customHeight="1" ht="14.25">
      <c r="A193" s="1066"/>
      <c r="B193" s="1066"/>
      <c r="C193" s="1066"/>
      <c r="D193" s="1066"/>
      <c r="E193" s="675">
        <v>15</v>
      </c>
      <c r="F193" s="50" cm="1" t="str">
        <f t="array" ref="F193:F193">OFFSET(E193,-1,1)</f>
        <v>1</v>
      </c>
      <c r="G193" s="557" t="s">
        <v>1510</v>
      </c>
      <c r="H193" s="1066"/>
      <c r="I193" s="566" t="s">
        <v>1779</v>
      </c>
      <c r="J193" s="566"/>
      <c r="K193" s="566"/>
      <c r="L193" s="566"/>
      <c r="M193" s="566"/>
      <c r="N193" s="566"/>
      <c r="O193" s="566"/>
      <c r="P193" s="566"/>
      <c r="Q193" s="566"/>
      <c r="R193" s="566"/>
      <c r="S193" s="566"/>
      <c r="T193" s="439" cm="1" t="str">
        <f t="array" ref="T193:T193">T192</f>
        <v>true</v>
      </c>
      <c r="U193" s="1066"/>
      <c r="V193" s="1066"/>
      <c r="W193" s="1066"/>
      <c r="X193" s="1577"/>
      <c r="Y193" s="1066"/>
      <c r="Z193" s="1578"/>
      <c r="AA193" s="1066"/>
      <c r="AB193" s="788" t="s">
        <v>1780</v>
      </c>
      <c r="AC193" s="1096" t="s">
        <v>1781</v>
      </c>
      <c r="AD193" s="795" t="s">
        <v>1494</v>
      </c>
      <c r="AE193" s="790">
        <f>IF(AE189=0,0,AE185*(1+Сценарии!AE$26/100))</f>
        <v>0</v>
      </c>
      <c r="AF193" s="790">
        <f>IF(AF189=0,0,AF185*(1+Сценарии!AF$26/100))</f>
        <v>0</v>
      </c>
      <c r="AG193" s="790">
        <f>IF(AG189=0,0,AG185*(1+Сценарии!AG$26/100))</f>
        <v>0</v>
      </c>
      <c r="AH193" s="783">
        <f>AG193-AF193</f>
        <v>0</v>
      </c>
      <c r="AI193" s="790">
        <f>IF(AI189=0,0,AI185*(1+Сценарии!AI$26/100))</f>
        <v>0</v>
      </c>
      <c r="AJ193" s="790">
        <f>IF(AJ189=0,0,AJ185*(1+Сценарии!AJ$26/100))</f>
        <v>0</v>
      </c>
      <c r="AK193" s="790">
        <f>IF(AK189=0,0,AK185*(1+Сценарии!AK$26/100))</f>
        <v>0</v>
      </c>
      <c r="AL193" s="798"/>
      <c r="AM193" s="784"/>
      <c r="AN193" s="784"/>
      <c r="AO193" s="784"/>
      <c r="AP193" s="1066"/>
      <c r="AQ193" s="1066"/>
      <c r="AR193" s="1046" t="s">
        <v>1782</v>
      </c>
      <c r="AS193" s="1046"/>
      <c r="AT193" s="1046"/>
      <c r="AU193" s="1043"/>
      <c r="AV193" s="1043"/>
    </row>
    <row s="1621" customFormat="1" customHeight="1" ht="14.25">
      <c r="A194" s="1066"/>
      <c r="B194" s="1066"/>
      <c r="C194" s="1066"/>
      <c r="D194" s="1066"/>
      <c r="E194" s="675">
        <v>15</v>
      </c>
      <c r="F194" s="50" cm="1" t="str">
        <f t="array" ref="F194:F194">OFFSET(E194,-1,1)</f>
        <v>1</v>
      </c>
      <c r="G194" s="557"/>
      <c r="H194" s="1066"/>
      <c r="I194" s="566"/>
      <c r="J194" s="566"/>
      <c r="K194" s="566"/>
      <c r="L194" s="566"/>
      <c r="M194" s="566"/>
      <c r="N194" s="566"/>
      <c r="O194" s="566"/>
      <c r="P194" s="566"/>
      <c r="Q194" s="566"/>
      <c r="R194" s="566"/>
      <c r="S194" s="566"/>
      <c r="T194" s="439" cm="1" t="str">
        <f t="array" ref="T194:T194">T193</f>
        <v>true</v>
      </c>
      <c r="U194" s="1066"/>
      <c r="V194" s="1066"/>
      <c r="W194" s="1066"/>
      <c r="X194" s="1577"/>
      <c r="Y194" s="1066"/>
      <c r="Z194" s="1578"/>
      <c r="AA194" s="1066"/>
      <c r="AB194" s="185" t="s">
        <v>1783</v>
      </c>
      <c r="AC194" s="179" t="s">
        <v>1784</v>
      </c>
      <c r="AD194" s="178" t="s">
        <v>784</v>
      </c>
      <c r="AE194" s="790"/>
      <c r="AF194" s="790"/>
      <c r="AG194" s="790"/>
      <c r="AH194" s="783">
        <f>AG194-AF194</f>
        <v>0</v>
      </c>
      <c r="AI194" s="790"/>
      <c r="AJ194" s="790"/>
      <c r="AK194" s="790"/>
      <c r="AL194" s="798"/>
      <c r="AM194" s="784"/>
      <c r="AN194" s="784"/>
      <c r="AO194" s="784"/>
      <c r="AP194" s="1066"/>
      <c r="AQ194" s="1066"/>
      <c r="AR194" s="1046" t="s">
        <v>1785</v>
      </c>
      <c r="AS194" s="1046"/>
      <c r="AT194" s="1046"/>
      <c r="AU194" s="1043"/>
      <c r="AV194" s="1043"/>
    </row>
    <row s="1621" customFormat="1" customHeight="1" ht="21.75">
      <c r="A195" s="1066"/>
      <c r="B195" s="1066"/>
      <c r="C195" s="1066"/>
      <c r="D195" s="1066"/>
      <c r="E195" s="675">
        <v>22.5</v>
      </c>
      <c r="F195" s="50" cm="1" t="str">
        <f t="array" ref="F195:F195">OFFSET(E195,-1,1)</f>
        <v>1</v>
      </c>
      <c r="G195" s="557"/>
      <c r="H195" s="1066"/>
      <c r="I195" s="566"/>
      <c r="J195" s="566"/>
      <c r="K195" s="566"/>
      <c r="L195" s="566"/>
      <c r="M195" s="566"/>
      <c r="N195" s="566"/>
      <c r="O195" s="566"/>
      <c r="P195" s="566"/>
      <c r="Q195" s="566"/>
      <c r="R195" s="566"/>
      <c r="S195" s="566"/>
      <c r="T195" s="439" cm="1" t="str">
        <f t="array" ref="T195:T195">T194</f>
        <v>true</v>
      </c>
      <c r="U195" s="1066"/>
      <c r="V195" s="1066"/>
      <c r="W195" s="1066"/>
      <c r="X195" s="1577"/>
      <c r="Y195" s="1066"/>
      <c r="Z195" s="1578"/>
      <c r="AA195" s="1066"/>
      <c r="AB195" s="266" t="s">
        <v>1786</v>
      </c>
      <c r="AC195" s="743" t="s">
        <v>1787</v>
      </c>
      <c r="AD195" s="267" t="s">
        <v>784</v>
      </c>
      <c r="AE195" s="790"/>
      <c r="AF195" s="790"/>
      <c r="AG195" s="790"/>
      <c r="AH195" s="783">
        <f>AG195-AF195</f>
        <v>0</v>
      </c>
      <c r="AI195" s="790"/>
      <c r="AJ195" s="790"/>
      <c r="AK195" s="790"/>
      <c r="AL195" s="798"/>
      <c r="AM195" s="784"/>
      <c r="AN195" s="784"/>
      <c r="AO195" s="784"/>
      <c r="AP195" s="1066"/>
      <c r="AQ195" s="1066"/>
      <c r="AR195" s="1046" t="s">
        <v>1788</v>
      </c>
      <c r="AS195" s="1046"/>
      <c r="AT195" s="1046"/>
      <c r="AU195" s="1043"/>
      <c r="AV195" s="1043"/>
    </row>
    <row s="1621" customFormat="1" customHeight="1" ht="69.75">
      <c r="A196" s="1066"/>
      <c r="B196" s="1066"/>
      <c r="C196" s="1066"/>
      <c r="D196" s="1066"/>
      <c r="E196" s="675">
        <v>72</v>
      </c>
      <c r="F196" s="50" cm="1" t="str">
        <f t="array" ref="F196:F196">OFFSET(E196,-1,1)</f>
        <v>1</v>
      </c>
      <c r="G196" s="557"/>
      <c r="H196" s="1066"/>
      <c r="I196" s="566"/>
      <c r="J196" s="566"/>
      <c r="K196" s="566"/>
      <c r="L196" s="566"/>
      <c r="M196" s="566"/>
      <c r="N196" s="566"/>
      <c r="O196" s="566"/>
      <c r="P196" s="566"/>
      <c r="Q196" s="566"/>
      <c r="R196" s="566"/>
      <c r="S196" s="566"/>
      <c r="T196" s="439" cm="1" t="str">
        <f t="array" ref="T196:T196">T195</f>
        <v>true</v>
      </c>
      <c r="U196" s="1066"/>
      <c r="V196" s="1066"/>
      <c r="W196" s="1066"/>
      <c r="X196" s="1577"/>
      <c r="Y196" s="1066"/>
      <c r="Z196" s="1578"/>
      <c r="AA196" s="1066"/>
      <c r="AB196" s="266" t="s">
        <v>1789</v>
      </c>
      <c r="AC196" s="743" t="s">
        <v>1790</v>
      </c>
      <c r="AD196" s="267" t="s">
        <v>784</v>
      </c>
      <c r="AE196" s="790"/>
      <c r="AF196" s="790"/>
      <c r="AG196" s="790"/>
      <c r="AH196" s="783">
        <f>AG196-AF196</f>
        <v>0</v>
      </c>
      <c r="AI196" s="790"/>
      <c r="AJ196" s="790"/>
      <c r="AK196" s="790"/>
      <c r="AL196" s="798"/>
      <c r="AM196" s="784"/>
      <c r="AN196" s="784"/>
      <c r="AO196" s="784"/>
      <c r="AP196" s="1066"/>
      <c r="AQ196" s="1066"/>
      <c r="AR196" s="1046" t="s">
        <v>1791</v>
      </c>
      <c r="AS196" s="1046"/>
      <c r="AT196" s="1046"/>
      <c r="AU196" s="1043"/>
      <c r="AV196" s="1043"/>
    </row>
    <row s="1621" customFormat="1" customHeight="1" ht="14.25">
      <c r="A197" s="1066"/>
      <c r="B197" s="1066"/>
      <c r="C197" s="1066"/>
      <c r="D197" s="1066"/>
      <c r="E197" s="675">
        <v>15</v>
      </c>
      <c r="F197" s="558" cm="1" t="str">
        <f t="array" ref="F197:F197">X197</f>
        <v>2</v>
      </c>
      <c r="G197" s="676" cm="1" t="str">
        <f t="array" ref="G197:G197">INDEX('Общие сведения'!$AK$179:$AK$222,MATCH($X197,'Общие сведения'!$Z$179:$Z$222,0))</f>
        <v>одноставочный</v>
      </c>
      <c r="H197" s="1066"/>
      <c r="I197" s="1066"/>
      <c r="J197" s="1066"/>
      <c r="K197" s="1066"/>
      <c r="L197" s="1066"/>
      <c r="M197" s="1066"/>
      <c r="N197" s="1066"/>
      <c r="O197" s="1066"/>
      <c r="P197" s="1066"/>
      <c r="Q197" s="1066"/>
      <c r="R197" s="1066"/>
      <c r="S197" s="1066"/>
      <c r="T197" s="439">
        <f>X197&gt;0</f>
        <v>1</v>
      </c>
      <c r="U197" s="1066"/>
      <c r="V197" s="674" cm="1" t="str">
        <f t="array" ref="V197:V197">ТМ!$AD$141</f>
        <v>Тариф 2 (Водоотведение) - тариф на водоотведение (Оказание услуг на территории: Прокопьевский муниципальный округ (ОКТМО: 32522000) - п Калачево)</v>
      </c>
      <c r="W197" s="1066"/>
      <c r="X197" s="1577" t="s">
        <v>283</v>
      </c>
      <c r="Y197" s="1066"/>
      <c r="Z197" s="1578"/>
      <c r="AA197" s="1066"/>
      <c r="AB197" s="1254" cm="1" t="str">
        <f t="array" ref="AB197:AB197">ТМ!$AD$141</f>
        <v>Тариф 2 (Водоотведение) - тариф на водоотведение (Оказание услуг на территории: Прокопьевский муниципальный округ (ОКТМО: 32522000) - п Калачево)</v>
      </c>
      <c r="AC197" s="565"/>
      <c r="AD197" s="565"/>
      <c r="AE197" s="565"/>
      <c r="AF197" s="565"/>
      <c r="AG197" s="565"/>
      <c r="AH197" s="565"/>
      <c r="AI197" s="565"/>
      <c r="AJ197" s="565"/>
      <c r="AK197" s="565"/>
      <c r="AL197" s="565"/>
      <c r="AM197" s="565"/>
      <c r="AN197" s="565"/>
      <c r="AO197" s="565"/>
      <c r="AP197" s="1066"/>
      <c r="AQ197" s="1066"/>
      <c r="AR197" s="1046"/>
      <c r="AS197" s="1046"/>
      <c r="AT197" s="1046"/>
      <c r="AU197" s="1043"/>
      <c r="AV197" s="1043"/>
    </row>
    <row s="1621" customFormat="1" customHeight="1" ht="14.25">
      <c r="A198" s="1066"/>
      <c r="B198" s="1066"/>
      <c r="C198" s="1066"/>
      <c r="D198" s="1066"/>
      <c r="E198" s="675">
        <v>15</v>
      </c>
      <c r="F198" s="50" cm="1" t="str">
        <f t="array" ref="F198:F198">OFFSET(E198,-1,1)</f>
        <v>2</v>
      </c>
      <c r="G198" s="1066"/>
      <c r="H198" s="1066"/>
      <c r="I198" s="566" t="s">
        <v>325</v>
      </c>
      <c r="J198" s="566"/>
      <c r="K198" s="566"/>
      <c r="L198" s="566"/>
      <c r="M198" s="566"/>
      <c r="N198" s="566"/>
      <c r="O198" s="566"/>
      <c r="P198" s="566"/>
      <c r="Q198" s="566"/>
      <c r="R198" s="566"/>
      <c r="S198" s="566"/>
      <c r="T198" s="439" cm="1" t="str">
        <f t="array" ref="T198:T198">T197</f>
        <v>true</v>
      </c>
      <c r="U198" s="1066"/>
      <c r="V198" s="1066"/>
      <c r="W198" s="1066"/>
      <c r="X198" s="1577"/>
      <c r="Y198" s="1066"/>
      <c r="Z198" s="1578"/>
      <c r="AA198" s="1066"/>
      <c r="AB198" s="780" t="s">
        <v>272</v>
      </c>
      <c r="AC198" s="781" t="s">
        <v>1586</v>
      </c>
      <c r="AD198" s="740" t="s">
        <v>784</v>
      </c>
      <c r="AE198" s="782">
        <f>AE199+AE203+AE213+AE214+AE217+AE218+AE219</f>
        <v>515.5806411857</v>
      </c>
      <c r="AF198" s="782">
        <f>AF199+AF203+AF213+AF214+AF217+AF218+AF219</f>
        <v>301.8922260161</v>
      </c>
      <c r="AG198" s="782">
        <f>AG199+AG203+AG213+AG214+AG217+AG218+AG219</f>
        <v>301.8922260161</v>
      </c>
      <c r="AH198" s="782">
        <f>AG198-AF198</f>
        <v>0</v>
      </c>
      <c r="AI198" s="782">
        <f>AI199+AI203+AI213+AI214+AI217+AI218+AI219</f>
        <v>590.1692517201</v>
      </c>
      <c r="AJ198" s="782">
        <f>AJ199+AJ203+AJ213+AJ214+AJ217+AJ218+AJ219</f>
        <v>313.6659</v>
      </c>
      <c r="AK198" s="782">
        <f>AK199+AK203+AK213+AK214+AK217+AK218+AK219</f>
        <v>602.6409307544</v>
      </c>
      <c r="AL198" s="783">
        <f>IF(AI198=0,0,(AK198-AI198)/AI198*100)</f>
        <v>2.11323768528269</v>
      </c>
      <c r="AM198" s="784"/>
      <c r="AN198" s="892"/>
      <c r="AO198" s="784"/>
      <c r="AP198" s="1066"/>
      <c r="AQ198" s="1066"/>
      <c r="AR198" s="1046" t="s">
        <v>498</v>
      </c>
      <c r="AS198" s="1046"/>
      <c r="AT198" s="1046"/>
      <c r="AU198" s="1043"/>
      <c r="AV198" s="1043"/>
    </row>
    <row s="4490" customFormat="1" customHeight="1" ht="21.75">
      <c r="A199" s="567"/>
      <c r="B199" s="567"/>
      <c r="C199" s="567"/>
      <c r="D199" s="567"/>
      <c r="E199" s="677">
        <v>22.5</v>
      </c>
      <c r="F199" s="50" cm="1" t="str">
        <f t="array" ref="F199:F199">OFFSET(E199,-1,1)</f>
        <v>2</v>
      </c>
      <c r="G199" s="567"/>
      <c r="H199" s="567"/>
      <c r="I199" s="678" t="s">
        <v>441</v>
      </c>
      <c r="J199" s="678"/>
      <c r="K199" s="678"/>
      <c r="L199" s="678"/>
      <c r="M199" s="678"/>
      <c r="N199" s="678"/>
      <c r="O199" s="678"/>
      <c r="P199" s="678"/>
      <c r="Q199" s="678"/>
      <c r="R199" s="678"/>
      <c r="S199" s="678"/>
      <c r="T199" s="439" cm="1" t="str">
        <f t="array" ref="T199:T199">T198</f>
        <v>true</v>
      </c>
      <c r="U199" s="567"/>
      <c r="V199" s="567"/>
      <c r="W199" s="567"/>
      <c r="X199" s="1577"/>
      <c r="Y199" s="567"/>
      <c r="Z199" s="1578"/>
      <c r="AA199" s="567"/>
      <c r="AB199" s="785" t="s">
        <v>845</v>
      </c>
      <c r="AC199" s="786" t="s">
        <v>1587</v>
      </c>
      <c r="AD199" s="569" t="s">
        <v>784</v>
      </c>
      <c r="AE199" s="782">
        <f>SUM(AE200:AE202)</f>
        <v>0</v>
      </c>
      <c r="AF199" s="782">
        <f>SUM(AF200:AF202)</f>
        <v>0</v>
      </c>
      <c r="AG199" s="782">
        <f>SUM(AG200:AG202)</f>
        <v>0</v>
      </c>
      <c r="AH199" s="782">
        <f>AG199-AF199</f>
        <v>0</v>
      </c>
      <c r="AI199" s="782">
        <f>SUM(AI200:AI202)</f>
        <v>0</v>
      </c>
      <c r="AJ199" s="782">
        <f>SUM(AJ200:AJ202)</f>
        <v>0</v>
      </c>
      <c r="AK199" s="782">
        <f>SUM(AK200:AK202)</f>
        <v>0</v>
      </c>
      <c r="AL199" s="782">
        <f>IF(AI199=0,0,(AK199-AI199)/AI199*100)</f>
        <v>0</v>
      </c>
      <c r="AM199" s="787"/>
      <c r="AN199" s="787"/>
      <c r="AO199" s="787"/>
      <c r="AP199" s="567"/>
      <c r="AQ199" s="567"/>
      <c r="AR199" s="1047" t="s">
        <v>1588</v>
      </c>
      <c r="AS199" s="1047"/>
      <c r="AT199" s="1047"/>
      <c r="AU199" s="677"/>
      <c r="AV199" s="677"/>
    </row>
    <row s="1621" customFormat="1" customHeight="1" ht="14.25">
      <c r="A200" s="1066"/>
      <c r="B200" s="1066"/>
      <c r="C200" s="1066"/>
      <c r="D200" s="1066"/>
      <c r="E200" s="675">
        <v>15</v>
      </c>
      <c r="F200" s="50" cm="1" t="str">
        <f t="array" ref="F200:F200">OFFSET(E200,-1,1)</f>
        <v>2</v>
      </c>
      <c r="G200" s="1066"/>
      <c r="H200" s="1066"/>
      <c r="I200" s="566" t="s">
        <v>954</v>
      </c>
      <c r="J200" s="566"/>
      <c r="K200" s="566"/>
      <c r="L200" s="566"/>
      <c r="M200" s="566"/>
      <c r="N200" s="566"/>
      <c r="O200" s="566"/>
      <c r="P200" s="566"/>
      <c r="Q200" s="566"/>
      <c r="R200" s="566"/>
      <c r="S200" s="566"/>
      <c r="T200" s="439" cm="1" t="str">
        <f t="array" ref="T200:T200">T199</f>
        <v>true</v>
      </c>
      <c r="U200" s="1066"/>
      <c r="V200" s="1066"/>
      <c r="W200" s="1066"/>
      <c r="X200" s="1577"/>
      <c r="Y200" s="1066"/>
      <c r="Z200" s="1578"/>
      <c r="AA200" s="1066"/>
      <c r="AB200" s="788" t="s">
        <v>955</v>
      </c>
      <c r="AC200" s="789" t="s">
        <v>1589</v>
      </c>
      <c r="AD200" s="740" t="s">
        <v>784</v>
      </c>
      <c r="AE200" s="783">
        <f>_xlfn.SUMIFS('Сырье и материалы'!AE$25:AE$39,'Сырье и материалы'!$F$25:$F$39,$F200,'Сырье и материалы'!$AC$25:$AC$39,"Всего по тарифу")</f>
        <v>0</v>
      </c>
      <c r="AF200" s="783">
        <f>_xlfn.SUMIFS('Сырье и материалы'!AF$25:AF$39,'Сырье и материалы'!$F$25:$F$39,$F200,'Сырье и материалы'!$AC$25:$AC$39,"Всего по тарифу")</f>
        <v>0</v>
      </c>
      <c r="AG200" s="783">
        <f>_xlfn.SUMIFS('Сырье и материалы'!AG$25:AG$39,'Сырье и материалы'!$F$25:$F$39,$F200,'Сырье и материалы'!$AC$25:$AC$39,"Всего по тарифу")</f>
        <v>0</v>
      </c>
      <c r="AH200" s="783">
        <f>AG200-AF200</f>
        <v>0</v>
      </c>
      <c r="AI200" s="783">
        <f>_xlfn.SUMIFS('Сырье и материалы'!AH$25:AH$39,'Сырье и материалы'!$F$25:$F$39,$F200,'Сырье и материалы'!$AC$25:$AC$39,"Всего по тарифу")</f>
        <v>0</v>
      </c>
      <c r="AJ200" s="783">
        <f>_xlfn.SUMIFS('Сырье и материалы'!AI$25:AI$39,'Сырье и материалы'!$F$25:$F$39,$F200,'Сырье и материалы'!$AC$25:$AC$39,"Всего по тарифу")</f>
        <v>0</v>
      </c>
      <c r="AK200" s="783">
        <f>_xlfn.SUMIFS('Сырье и материалы'!AS$25:AS$39,'Сырье и материалы'!$F$25:$F$39,$F200,'Сырье и материалы'!$AC$25:$AC$39,"Всего по тарифу")</f>
        <v>0</v>
      </c>
      <c r="AL200" s="783">
        <f>IF(AI200=0,0,(AK200-AI200)/AI200*100)</f>
        <v>0</v>
      </c>
      <c r="AM200" s="784"/>
      <c r="AN200" s="892" t="str">
        <f>IF(_xlfn.IFERROR(INDEX('Сырье и материалы'!$K$26:$L$39,MATCH($F200&amp;"komm",'Сырье и материалы'!$K$26:$K$39,0),2),"")=0,"",_xlfn.IFERROR(INDEX('Сырье и материалы'!$K$26:$L$39,MATCH($F200&amp;"komm",'Сырье и материалы'!$K$26:$K$39,0),2),""))</f>
        <v/>
      </c>
      <c r="AO200" s="784"/>
      <c r="AP200" s="1066"/>
      <c r="AQ200" s="1066"/>
      <c r="AR200" s="1046" t="s">
        <v>1590</v>
      </c>
      <c r="AS200" s="1046"/>
      <c r="AT200" s="1046"/>
      <c r="AU200" s="1043"/>
      <c r="AV200" s="1043"/>
    </row>
    <row s="1621" customFormat="1" customHeight="1" ht="14.25">
      <c r="A201" s="1066"/>
      <c r="B201" s="1066"/>
      <c r="C201" s="1066"/>
      <c r="D201" s="1066"/>
      <c r="E201" s="675">
        <v>15</v>
      </c>
      <c r="F201" s="50" cm="1" t="str">
        <f t="array" ref="F201:F201">OFFSET(E201,-1,1)</f>
        <v>2</v>
      </c>
      <c r="G201" s="1066"/>
      <c r="H201" s="1066"/>
      <c r="I201" s="566" t="s">
        <v>958</v>
      </c>
      <c r="J201" s="566"/>
      <c r="K201" s="566"/>
      <c r="L201" s="566"/>
      <c r="M201" s="566"/>
      <c r="N201" s="566"/>
      <c r="O201" s="566"/>
      <c r="P201" s="566"/>
      <c r="Q201" s="566"/>
      <c r="R201" s="566"/>
      <c r="S201" s="566"/>
      <c r="T201" s="439" cm="1" t="str">
        <f t="array" ref="T201:T201">T200</f>
        <v>true</v>
      </c>
      <c r="U201" s="1066"/>
      <c r="V201" s="1066"/>
      <c r="W201" s="1066"/>
      <c r="X201" s="1577"/>
      <c r="Y201" s="1066"/>
      <c r="Z201" s="1578"/>
      <c r="AA201" s="1066"/>
      <c r="AB201" s="788" t="s">
        <v>959</v>
      </c>
      <c r="AC201" s="789" t="s">
        <v>1591</v>
      </c>
      <c r="AD201" s="740" t="s">
        <v>784</v>
      </c>
      <c r="AE201" s="790"/>
      <c r="AF201" s="790"/>
      <c r="AG201" s="790"/>
      <c r="AH201" s="783">
        <f>AG201-AF201</f>
        <v>0</v>
      </c>
      <c r="AI201" s="790"/>
      <c r="AJ201" s="790"/>
      <c r="AK201" s="790"/>
      <c r="AL201" s="783">
        <f>IF(AI201=0,0,(AK201-AI201)/AI201*100)</f>
        <v>0</v>
      </c>
      <c r="AM201" s="784"/>
      <c r="AN201" s="784"/>
      <c r="AO201" s="784"/>
      <c r="AP201" s="1066"/>
      <c r="AQ201" s="1066"/>
      <c r="AR201" s="1046" t="s">
        <v>1592</v>
      </c>
      <c r="AS201" s="1046"/>
      <c r="AT201" s="1046"/>
      <c r="AU201" s="1043"/>
      <c r="AV201" s="1043"/>
    </row>
    <row s="1621" customFormat="1" customHeight="1" ht="14.25">
      <c r="A202" s="1066"/>
      <c r="B202" s="1066"/>
      <c r="C202" s="1066"/>
      <c r="D202" s="1066"/>
      <c r="E202" s="675">
        <v>15</v>
      </c>
      <c r="F202" s="50" cm="1" t="str">
        <f t="array" ref="F202:F202">OFFSET(E202,-1,1)</f>
        <v>2</v>
      </c>
      <c r="G202" s="1066"/>
      <c r="H202" s="1066"/>
      <c r="I202" s="566" t="s">
        <v>1194</v>
      </c>
      <c r="J202" s="566"/>
      <c r="K202" s="566"/>
      <c r="L202" s="566"/>
      <c r="M202" s="566"/>
      <c r="N202" s="566"/>
      <c r="O202" s="566"/>
      <c r="P202" s="566"/>
      <c r="Q202" s="566"/>
      <c r="R202" s="566"/>
      <c r="S202" s="566"/>
      <c r="T202" s="439" cm="1" t="str">
        <f t="array" ref="T202:T202">T201</f>
        <v>true</v>
      </c>
      <c r="U202" s="1066"/>
      <c r="V202" s="1066"/>
      <c r="W202" s="1066"/>
      <c r="X202" s="1577"/>
      <c r="Y202" s="1066"/>
      <c r="Z202" s="1578"/>
      <c r="AA202" s="1066"/>
      <c r="AB202" s="788" t="s">
        <v>1195</v>
      </c>
      <c r="AC202" s="789" t="s">
        <v>1593</v>
      </c>
      <c r="AD202" s="740" t="s">
        <v>784</v>
      </c>
      <c r="AE202" s="790"/>
      <c r="AF202" s="790"/>
      <c r="AG202" s="790"/>
      <c r="AH202" s="783">
        <f>AG202-AF202</f>
        <v>0</v>
      </c>
      <c r="AI202" s="790"/>
      <c r="AJ202" s="790"/>
      <c r="AK202" s="790"/>
      <c r="AL202" s="783">
        <f>IF(AI202=0,0,(AK202-AI202)/AI202*100)</f>
        <v>0</v>
      </c>
      <c r="AM202" s="784"/>
      <c r="AN202" s="784"/>
      <c r="AO202" s="784"/>
      <c r="AP202" s="1066"/>
      <c r="AQ202" s="1066"/>
      <c r="AR202" s="1046" t="s">
        <v>1594</v>
      </c>
      <c r="AS202" s="1046"/>
      <c r="AT202" s="1046"/>
      <c r="AU202" s="1043"/>
      <c r="AV202" s="1043"/>
    </row>
    <row s="4491" customFormat="1" customHeight="1" ht="21.75">
      <c r="A203" s="567"/>
      <c r="B203" s="567"/>
      <c r="C203" s="567"/>
      <c r="D203" s="567"/>
      <c r="E203" s="677">
        <v>22.5</v>
      </c>
      <c r="F203" s="50" cm="1" t="str">
        <f t="array" ref="F203:F203">OFFSET(E203,-1,1)</f>
        <v>2</v>
      </c>
      <c r="G203" s="567"/>
      <c r="H203" s="567"/>
      <c r="I203" s="678" t="s">
        <v>445</v>
      </c>
      <c r="J203" s="678"/>
      <c r="K203" s="678"/>
      <c r="L203" s="678"/>
      <c r="M203" s="678"/>
      <c r="N203" s="678"/>
      <c r="O203" s="678"/>
      <c r="P203" s="678"/>
      <c r="Q203" s="678"/>
      <c r="R203" s="678"/>
      <c r="S203" s="678"/>
      <c r="T203" s="439" cm="1" t="str">
        <f t="array" ref="T203:T203">T202</f>
        <v>true</v>
      </c>
      <c r="U203" s="567"/>
      <c r="V203" s="567"/>
      <c r="W203" s="567"/>
      <c r="X203" s="1577"/>
      <c r="Y203" s="567"/>
      <c r="Z203" s="1578"/>
      <c r="AA203" s="567"/>
      <c r="AB203" s="785" t="s">
        <v>848</v>
      </c>
      <c r="AC203" s="786" t="s">
        <v>1595</v>
      </c>
      <c r="AD203" s="569" t="s">
        <v>784</v>
      </c>
      <c r="AE203" s="782">
        <f>SUM(AE204:AE212)</f>
        <v>515.5806411857</v>
      </c>
      <c r="AF203" s="782">
        <f>SUM(AF204:AF212)</f>
        <v>301.8922260161</v>
      </c>
      <c r="AG203" s="782">
        <f>SUM(AG204:AG212)</f>
        <v>301.8922260161</v>
      </c>
      <c r="AH203" s="782">
        <f>AG203-AF203</f>
        <v>0</v>
      </c>
      <c r="AI203" s="782">
        <f>SUM(AI204:AI212)</f>
        <v>590.1692517201</v>
      </c>
      <c r="AJ203" s="782">
        <f>SUM(AJ204:AJ212)</f>
        <v>313.6659</v>
      </c>
      <c r="AK203" s="782">
        <f>SUM(AK204:AK212)</f>
        <v>602.6409307544</v>
      </c>
      <c r="AL203" s="782">
        <f>IF(AI203=0,0,(AK203-AI203)/AI203*100)</f>
        <v>2.11323768528269</v>
      </c>
      <c r="AM203" s="787"/>
      <c r="AN203" s="787"/>
      <c r="AO203" s="787"/>
      <c r="AP203" s="567"/>
      <c r="AQ203" s="567"/>
      <c r="AR203" s="1047" t="s">
        <v>1596</v>
      </c>
      <c r="AS203" s="1047"/>
      <c r="AT203" s="1047"/>
      <c r="AU203" s="677"/>
      <c r="AV203" s="677"/>
    </row>
    <row s="1621" customFormat="1" customHeight="1" ht="14.25">
      <c r="A204" s="1066"/>
      <c r="B204" s="1066"/>
      <c r="C204" s="1066"/>
      <c r="D204" s="1066"/>
      <c r="E204" s="675">
        <v>15</v>
      </c>
      <c r="F204" s="50" cm="1" t="str">
        <f t="array" ref="F204:F204">OFFSET(E204,-1,1)</f>
        <v>2</v>
      </c>
      <c r="G204" s="1066"/>
      <c r="H204" s="1066"/>
      <c r="I204" s="566" t="s">
        <v>1219</v>
      </c>
      <c r="J204" s="566"/>
      <c r="K204" s="566"/>
      <c r="L204" s="566"/>
      <c r="M204" s="566"/>
      <c r="N204" s="566"/>
      <c r="O204" s="566"/>
      <c r="P204" s="566"/>
      <c r="Q204" s="566"/>
      <c r="R204" s="566"/>
      <c r="S204" s="566"/>
      <c r="T204" s="439" cm="1" t="str">
        <f t="array" ref="T204:T204">T203</f>
        <v>true</v>
      </c>
      <c r="U204" s="1066"/>
      <c r="V204" s="1066"/>
      <c r="W204" s="1066"/>
      <c r="X204" s="1577"/>
      <c r="Y204" s="1066"/>
      <c r="Z204" s="1578"/>
      <c r="AA204" s="1066"/>
      <c r="AB204" s="788" t="s">
        <v>1220</v>
      </c>
      <c r="AC204" s="789" t="s">
        <v>1597</v>
      </c>
      <c r="AD204" s="740" t="s">
        <v>784</v>
      </c>
      <c r="AE204" s="783">
        <f>_xlfn.SUMIFS(ЭЭ!AE$25:AE$93,ЭЭ!$F$25:$F$93,$F204,ЭЭ!$AC$25:$AC$93,"Всего по тарифу")</f>
        <v>515.5806411857</v>
      </c>
      <c r="AF204" s="783">
        <f>_xlfn.SUMIFS(ЭЭ!AF$25:AF$93,ЭЭ!$F$25:$F$93,$F204,ЭЭ!$AC$25:$AC$93,"Всего по тарифу")</f>
        <v>301.8922260161</v>
      </c>
      <c r="AG204" s="783">
        <f>_xlfn.SUMIFS(ЭЭ!AG$25:AG$93,ЭЭ!$F$25:$F$93,$F204,ЭЭ!$AC$25:$AC$93,"Всего по тарифу")</f>
        <v>301.8922260161</v>
      </c>
      <c r="AH204" s="783">
        <f>AG204-AF204</f>
        <v>0</v>
      </c>
      <c r="AI204" s="783">
        <f>_xlfn.SUMIFS(ЭЭ!AH$25:AH$93,ЭЭ!$F$25:$F$93,$F204,ЭЭ!$AC$25:$AC$93,"Всего по тарифу")</f>
        <v>590.1692517201</v>
      </c>
      <c r="AJ204" s="783">
        <f>_xlfn.SUMIFS(ЭЭ!AI$25:AI$93,ЭЭ!$F$25:$F$93,$F204,ЭЭ!$AC$25:$AC$93,"Всего по тарифу")</f>
        <v>313.6659</v>
      </c>
      <c r="AK204" s="783">
        <f>_xlfn.SUMIFS(ЭЭ!AS$25:AS$93,ЭЭ!$F$25:$F$93,$F204,ЭЭ!$AC$25:$AC$93,"Всего по тарифу")</f>
        <v>602.6409307544</v>
      </c>
      <c r="AL204" s="783">
        <f>IF(AI204=0,0,(AK204-AI204)/AI204*100)</f>
        <v>2.11323768528269</v>
      </c>
      <c r="AM204" s="784"/>
      <c r="AN204" s="892" t="str">
        <f>IF(_xlfn.IFERROR(INDEX(ЭЭ!$K$26:$L$93,MATCH($F204&amp;"komm",ЭЭ!$K$26:$K$93,0),2),"")=0,"",_xlfn.IFERROR(INDEX(ЭЭ!$K$26:$L$93,MATCH($F204&amp;"komm",ЭЭ!$K$26:$K$93,0),2),""))</f>
        <v/>
      </c>
      <c r="AO204" s="784"/>
      <c r="AP204" s="1066"/>
      <c r="AQ204" s="1066"/>
      <c r="AR204" s="1046" t="s">
        <v>1598</v>
      </c>
      <c r="AS204" s="1046"/>
      <c r="AT204" s="1046"/>
      <c r="AU204" s="1043"/>
      <c r="AV204" s="1043"/>
    </row>
    <row s="1621" customFormat="1" customHeight="1" ht="14.25">
      <c r="A205" s="1066"/>
      <c r="B205" s="1066"/>
      <c r="C205" s="1066"/>
      <c r="D205" s="1066"/>
      <c r="E205" s="675">
        <v>15</v>
      </c>
      <c r="F205" s="50" cm="1" t="str">
        <f t="array" ref="F205:F205">OFFSET(E205,-1,1)</f>
        <v>2</v>
      </c>
      <c r="G205" s="556" t="s">
        <v>1028</v>
      </c>
      <c r="H205" s="1066"/>
      <c r="I205" s="566" t="s">
        <v>1222</v>
      </c>
      <c r="J205" s="566"/>
      <c r="K205" s="566"/>
      <c r="L205" s="566"/>
      <c r="M205" s="566"/>
      <c r="N205" s="566"/>
      <c r="O205" s="566"/>
      <c r="P205" s="566"/>
      <c r="Q205" s="566"/>
      <c r="R205" s="566"/>
      <c r="S205" s="566"/>
      <c r="T205" s="439" cm="1" t="str">
        <f t="array" ref="T205:T205">T204</f>
        <v>true</v>
      </c>
      <c r="U205" s="1066"/>
      <c r="V205" s="1066"/>
      <c r="W205" s="1066"/>
      <c r="X205" s="1577"/>
      <c r="Y205" s="1066"/>
      <c r="Z205" s="1578"/>
      <c r="AA205" s="1066"/>
      <c r="AB205" s="788" t="s">
        <v>1223</v>
      </c>
      <c r="AC205" s="789" t="s">
        <v>1599</v>
      </c>
      <c r="AD205" s="740" t="s">
        <v>784</v>
      </c>
      <c r="AE205" s="783">
        <f>_xlfn.SUMIFS(Покупка!AE$25:AE$117,Покупка!$F$25:$F$117,$F205,Покупка!$AC$25:$AC$117,$G205)</f>
        <v>0</v>
      </c>
      <c r="AF205" s="783">
        <f>_xlfn.SUMIFS(Покупка!AF$25:AF$117,Покупка!$F$25:$F$117,$F205,Покупка!$AC$25:$AC$117,$G205)</f>
        <v>0</v>
      </c>
      <c r="AG205" s="783">
        <f>_xlfn.SUMIFS(Покупка!AG$25:AG$117,Покупка!$F$25:$F$117,$F205,Покупка!$AC$25:$AC$117,$G205)</f>
        <v>0</v>
      </c>
      <c r="AH205" s="783">
        <f>AG205-AF205</f>
        <v>0</v>
      </c>
      <c r="AI205" s="783">
        <f>_xlfn.SUMIFS(Покупка!AH$25:AH$117,Покупка!$F$25:$F$117,$F205,Покупка!$AC$25:$AC$117,$G205)</f>
        <v>0</v>
      </c>
      <c r="AJ205" s="783">
        <f>_xlfn.SUMIFS(Покупка!AI$25:AI$117,Покупка!$F$25:$F$117,$F205,Покупка!$AC$25:$AC$117,$G205)</f>
        <v>0</v>
      </c>
      <c r="AK205" s="783">
        <f>_xlfn.SUMIFS(Покупка!AS$25:AS$117,Покупка!$F$25:$F$117,$F205,Покупка!$AC$25:$AC$117,$G205)</f>
        <v>0</v>
      </c>
      <c r="AL205" s="783">
        <f>IF(AI205=0,0,(AK205-AI205)/AI205*100)</f>
        <v>0</v>
      </c>
      <c r="AM205" s="784"/>
      <c r="AN205" s="892" t="str">
        <f>IF(_xlfn.IFERROR(INDEX(Покупка!$K$26:$L$117,MATCH($F205&amp;"6komm",Покупка!$K$26:$K$117,0),2),"")=0,"",_xlfn.IFERROR(INDEX(Покупка!$K$26:$L$117,MATCH($F205&amp;"6komm",Покупка!$K$26:$K$117,0),2),""))</f>
        <v/>
      </c>
      <c r="AO205" s="784"/>
      <c r="AP205" s="1066"/>
      <c r="AQ205" s="1066"/>
      <c r="AR205" s="1046" t="s">
        <v>1029</v>
      </c>
      <c r="AS205" s="1046"/>
      <c r="AT205" s="1046"/>
      <c r="AU205" s="1043"/>
      <c r="AV205" s="1043"/>
    </row>
    <row s="1621" customFormat="1" customHeight="1" ht="14.25">
      <c r="A206" s="1066"/>
      <c r="B206" s="1066"/>
      <c r="C206" s="1066"/>
      <c r="D206" s="1066"/>
      <c r="E206" s="675">
        <v>15</v>
      </c>
      <c r="F206" s="50" cm="1" t="str">
        <f t="array" ref="F206:F206">OFFSET(E206,-1,1)</f>
        <v>2</v>
      </c>
      <c r="G206" s="556" t="s">
        <v>1030</v>
      </c>
      <c r="H206" s="1066"/>
      <c r="I206" s="566" t="s">
        <v>1226</v>
      </c>
      <c r="J206" s="566"/>
      <c r="K206" s="566"/>
      <c r="L206" s="566"/>
      <c r="M206" s="566"/>
      <c r="N206" s="566"/>
      <c r="O206" s="566"/>
      <c r="P206" s="566"/>
      <c r="Q206" s="566"/>
      <c r="R206" s="566"/>
      <c r="S206" s="566"/>
      <c r="T206" s="439" cm="1" t="str">
        <f t="array" ref="T206:T206">T205</f>
        <v>true</v>
      </c>
      <c r="U206" s="1066"/>
      <c r="V206" s="1066"/>
      <c r="W206" s="1066"/>
      <c r="X206" s="1577"/>
      <c r="Y206" s="1066"/>
      <c r="Z206" s="1578"/>
      <c r="AA206" s="1066"/>
      <c r="AB206" s="788" t="s">
        <v>1227</v>
      </c>
      <c r="AC206" s="789" t="s">
        <v>1600</v>
      </c>
      <c r="AD206" s="740" t="s">
        <v>784</v>
      </c>
      <c r="AE206" s="783">
        <f>_xlfn.SUMIFS(Покупка!AE$25:AE$117,Покупка!$F$25:$F$117,$F206,Покупка!$AC$25:$AC$117,$G206)</f>
        <v>0</v>
      </c>
      <c r="AF206" s="783">
        <f>_xlfn.SUMIFS(Покупка!AF$25:AF$117,Покупка!$F$25:$F$117,$F206,Покупка!$AC$25:$AC$117,$G206)</f>
        <v>0</v>
      </c>
      <c r="AG206" s="783">
        <f>_xlfn.SUMIFS(Покупка!AG$25:AG$117,Покупка!$F$25:$F$117,$F206,Покупка!$AC$25:$AC$117,$G206)</f>
        <v>0</v>
      </c>
      <c r="AH206" s="783">
        <f>AG206-AF206</f>
        <v>0</v>
      </c>
      <c r="AI206" s="783">
        <f>_xlfn.SUMIFS(Покупка!AH$25:AH$117,Покупка!$F$25:$F$117,$F206,Покупка!$AC$25:$AC$117,$G206)</f>
        <v>0</v>
      </c>
      <c r="AJ206" s="783">
        <f>_xlfn.SUMIFS(Покупка!AI$25:AI$117,Покупка!$F$25:$F$117,$F206,Покупка!$AC$25:$AC$117,$G206)</f>
        <v>0</v>
      </c>
      <c r="AK206" s="783">
        <f>_xlfn.SUMIFS(Покупка!AS$25:AS$117,Покупка!$F$25:$F$117,$F206,Покупка!$AC$25:$AC$117,$G206)</f>
        <v>0</v>
      </c>
      <c r="AL206" s="783">
        <f>IF(AI206=0,0,(AK206-AI206)/AI206*100)</f>
        <v>0</v>
      </c>
      <c r="AM206" s="784"/>
      <c r="AN206" s="892" t="str">
        <f>IF(_xlfn.IFERROR(INDEX(Покупка!$K$26:$L$117,MATCH($F206&amp;"7komm",Покупка!$K$26:$K$117,0),2),"")=0,"",_xlfn.IFERROR(INDEX(Покупка!$K$26:$L$117,MATCH($F206&amp;"7komm",Покупка!$K$26:$K$117,0),2),""))</f>
        <v/>
      </c>
      <c r="AO206" s="784"/>
      <c r="AP206" s="1066"/>
      <c r="AQ206" s="1066"/>
      <c r="AR206" s="1046" t="s">
        <v>1031</v>
      </c>
      <c r="AS206" s="1046"/>
      <c r="AT206" s="1046"/>
      <c r="AU206" s="1043"/>
      <c r="AV206" s="1043"/>
    </row>
    <row s="1621" customFormat="1" customHeight="1" ht="14.25">
      <c r="A207" s="1066"/>
      <c r="B207" s="1066"/>
      <c r="C207" s="1066"/>
      <c r="D207" s="1066"/>
      <c r="E207" s="675">
        <v>15</v>
      </c>
      <c r="F207" s="50" cm="1" t="str">
        <f t="array" ref="F207:F207">OFFSET(E207,-1,1)</f>
        <v>2</v>
      </c>
      <c r="G207" s="733" t="s">
        <v>1034</v>
      </c>
      <c r="H207" s="1066"/>
      <c r="I207" s="566" t="s">
        <v>1385</v>
      </c>
      <c r="J207" s="566"/>
      <c r="K207" s="566"/>
      <c r="L207" s="566"/>
      <c r="M207" s="566"/>
      <c r="N207" s="566"/>
      <c r="O207" s="566"/>
      <c r="P207" s="566"/>
      <c r="Q207" s="566"/>
      <c r="R207" s="566"/>
      <c r="S207" s="566"/>
      <c r="T207" s="439" cm="1" t="str">
        <f t="array" ref="T207:T207">T206</f>
        <v>true</v>
      </c>
      <c r="U207" s="1066"/>
      <c r="V207" s="1066"/>
      <c r="W207" s="1066"/>
      <c r="X207" s="1577"/>
      <c r="Y207" s="1066"/>
      <c r="Z207" s="1578"/>
      <c r="AA207" s="1066"/>
      <c r="AB207" s="788" t="s">
        <v>1601</v>
      </c>
      <c r="AC207" s="789" t="s">
        <v>1602</v>
      </c>
      <c r="AD207" s="740" t="s">
        <v>784</v>
      </c>
      <c r="AE207" s="783">
        <f>_xlfn.SUMIFS(Покупка!AE$25:AE$117,Покупка!$F$25:$F$117,$F207,Покупка!$AC$25:$AC$117,$G207)</f>
        <v>0</v>
      </c>
      <c r="AF207" s="783">
        <f>_xlfn.SUMIFS(Покупка!AF$25:AF$117,Покупка!$F$25:$F$117,$F207,Покупка!$AC$25:$AC$117,$G207)</f>
        <v>0</v>
      </c>
      <c r="AG207" s="783">
        <f>_xlfn.SUMIFS(Покупка!AG$25:AG$117,Покупка!$F$25:$F$117,$F207,Покупка!$AC$25:$AC$117,$G207)</f>
        <v>0</v>
      </c>
      <c r="AH207" s="783">
        <f>AG207-AF207</f>
        <v>0</v>
      </c>
      <c r="AI207" s="783">
        <f>_xlfn.SUMIFS(Покупка!AH$25:AH$117,Покупка!$F$25:$F$117,$F207,Покупка!$AC$25:$AC$117,$G207)</f>
        <v>0</v>
      </c>
      <c r="AJ207" s="783">
        <f>_xlfn.SUMIFS(Покупка!AI$25:AI$117,Покупка!$F$25:$F$117,$F207,Покупка!$AC$25:$AC$117,$G207)</f>
        <v>0</v>
      </c>
      <c r="AK207" s="783">
        <f>_xlfn.SUMIFS(Покупка!AS$25:AS$117,Покупка!$F$25:$F$117,$F207,Покупка!$AC$25:$AC$117,$G207)</f>
        <v>0</v>
      </c>
      <c r="AL207" s="783">
        <f>IF(AI207=0,0,(AK207-AI207)/AI207*100)</f>
        <v>0</v>
      </c>
      <c r="AM207" s="784"/>
      <c r="AN207" s="892" t="str">
        <f>IF(_xlfn.IFERROR(INDEX(Покупка!$K$26:$L$117,MATCH($F207&amp;"9komm",Покупка!$K$26:$K$117,0),2),"")=0,"",_xlfn.IFERROR(INDEX(Покупка!$K$26:$L$117,MATCH($F207&amp;"9komm",Покупка!$K$26:$K$117,0),2),""))</f>
        <v/>
      </c>
      <c r="AO207" s="784"/>
      <c r="AP207" s="1066"/>
      <c r="AQ207" s="1066"/>
      <c r="AR207" s="1046" t="s">
        <v>1035</v>
      </c>
      <c r="AS207" s="1046"/>
      <c r="AT207" s="1046"/>
      <c r="AU207" s="1043"/>
      <c r="AV207" s="1043"/>
    </row>
    <row s="1621" customFormat="1" customHeight="1" ht="14.25">
      <c r="A208" s="1066"/>
      <c r="B208" s="1066"/>
      <c r="C208" s="1066"/>
      <c r="D208" s="1066"/>
      <c r="E208" s="675">
        <v>15</v>
      </c>
      <c r="F208" s="50" cm="1" t="str">
        <f t="array" ref="F208:F208">OFFSET(E208,-1,1)</f>
        <v>2</v>
      </c>
      <c r="G208" s="556" t="s">
        <v>996</v>
      </c>
      <c r="H208" s="1066"/>
      <c r="I208" s="566" t="s">
        <v>1389</v>
      </c>
      <c r="J208" s="566"/>
      <c r="K208" s="566"/>
      <c r="L208" s="566"/>
      <c r="M208" s="566"/>
      <c r="N208" s="566"/>
      <c r="O208" s="566"/>
      <c r="P208" s="566"/>
      <c r="Q208" s="566"/>
      <c r="R208" s="566"/>
      <c r="S208" s="566"/>
      <c r="T208" s="439" cm="1" t="str">
        <f t="array" ref="T208:T208">T207</f>
        <v>true</v>
      </c>
      <c r="U208" s="1066"/>
      <c r="V208" s="1066"/>
      <c r="W208" s="1066"/>
      <c r="X208" s="1577"/>
      <c r="Y208" s="1066"/>
      <c r="Z208" s="1578"/>
      <c r="AA208" s="1066"/>
      <c r="AB208" s="788" t="s">
        <v>1603</v>
      </c>
      <c r="AC208" s="789" t="s">
        <v>1604</v>
      </c>
      <c r="AD208" s="740" t="s">
        <v>784</v>
      </c>
      <c r="AE208" s="783">
        <f>_xlfn.SUMIFS(Покупка!AE$25:AE$117,Покупка!$F$25:$F$117,$F208,Покупка!$AC$25:$AC$117,$G208)</f>
        <v>0</v>
      </c>
      <c r="AF208" s="783">
        <f>_xlfn.SUMIFS(Покупка!AF$25:AF$117,Покупка!$F$25:$F$117,$F208,Покупка!$AC$25:$AC$117,$G208)</f>
        <v>0</v>
      </c>
      <c r="AG208" s="783">
        <f>_xlfn.SUMIFS(Покупка!AG$25:AG$117,Покупка!$F$25:$F$117,$F208,Покупка!$AC$25:$AC$117,$G208)</f>
        <v>0</v>
      </c>
      <c r="AH208" s="783">
        <f>AG208-AF208</f>
        <v>0</v>
      </c>
      <c r="AI208" s="783">
        <f>_xlfn.SUMIFS(Покупка!AH$25:AH$117,Покупка!$F$25:$F$117,$F208,Покупка!$AC$25:$AC$117,$G208)</f>
        <v>0</v>
      </c>
      <c r="AJ208" s="783">
        <f>_xlfn.SUMIFS(Покупка!AI$25:AI$117,Покупка!$F$25:$F$117,$F208,Покупка!$AC$25:$AC$117,$G208)</f>
        <v>0</v>
      </c>
      <c r="AK208" s="783">
        <f>_xlfn.SUMIFS(Покупка!AS$25:AS$117,Покупка!$F$25:$F$117,$F208,Покупка!$AC$25:$AC$117,$G208)</f>
        <v>0</v>
      </c>
      <c r="AL208" s="783">
        <f>IF(AI208=0,0,(AK208-AI208)/AI208*100)</f>
        <v>0</v>
      </c>
      <c r="AM208" s="784"/>
      <c r="AN208" s="892" t="str">
        <f>IF(_xlfn.IFERROR(INDEX(Покупка!$K$26:$L$117,MATCH($F208&amp;"1komm",Покупка!$K$26:$K$117,0),2),"")=0,"",_xlfn.IFERROR(INDEX(Покупка!$K$26:$L$117,MATCH($F208&amp;"1komm",Покупка!$K$26:$K$117,0),2),""))</f>
        <v/>
      </c>
      <c r="AO208" s="784"/>
      <c r="AP208" s="1066"/>
      <c r="AQ208" s="1066"/>
      <c r="AR208" s="1046" t="s">
        <v>1605</v>
      </c>
      <c r="AS208" s="1046"/>
      <c r="AT208" s="1046"/>
      <c r="AU208" s="1043"/>
      <c r="AV208" s="1043"/>
    </row>
    <row s="1621" customFormat="1" customHeight="1" ht="14.25">
      <c r="A209" s="1066"/>
      <c r="B209" s="1066"/>
      <c r="C209" s="1066"/>
      <c r="D209" s="1066"/>
      <c r="E209" s="675">
        <v>15</v>
      </c>
      <c r="F209" s="50" cm="1" t="str">
        <f t="array" ref="F209:F209">OFFSET(E209,-1,1)</f>
        <v>2</v>
      </c>
      <c r="G209" s="556" t="s">
        <v>1005</v>
      </c>
      <c r="H209" s="1066"/>
      <c r="I209" s="566" t="s">
        <v>1394</v>
      </c>
      <c r="J209" s="566"/>
      <c r="K209" s="566"/>
      <c r="L209" s="566"/>
      <c r="M209" s="566"/>
      <c r="N209" s="566"/>
      <c r="O209" s="566"/>
      <c r="P209" s="566"/>
      <c r="Q209" s="566"/>
      <c r="R209" s="566"/>
      <c r="S209" s="566"/>
      <c r="T209" s="439" cm="1" t="str">
        <f t="array" ref="T209:T209">T208</f>
        <v>true</v>
      </c>
      <c r="U209" s="1066"/>
      <c r="V209" s="1066"/>
      <c r="W209" s="1066"/>
      <c r="X209" s="1577"/>
      <c r="Y209" s="1066"/>
      <c r="Z209" s="1578"/>
      <c r="AA209" s="1066"/>
      <c r="AB209" s="788" t="s">
        <v>1606</v>
      </c>
      <c r="AC209" s="789" t="s">
        <v>1607</v>
      </c>
      <c r="AD209" s="740" t="s">
        <v>784</v>
      </c>
      <c r="AE209" s="783">
        <f>_xlfn.SUMIFS(Покупка!AE$25:AE$117,Покупка!$F$25:$F$117,$F209,Покупка!$AC$25:$AC$117,$G209)</f>
        <v>0</v>
      </c>
      <c r="AF209" s="783">
        <f>_xlfn.SUMIFS(Покупка!AF$25:AF$117,Покупка!$F$25:$F$117,$F209,Покупка!$AC$25:$AC$117,$G209)</f>
        <v>0</v>
      </c>
      <c r="AG209" s="783">
        <f>_xlfn.SUMIFS(Покупка!AG$25:AG$117,Покупка!$F$25:$F$117,$F209,Покупка!$AC$25:$AC$117,$G209)</f>
        <v>0</v>
      </c>
      <c r="AH209" s="783">
        <f>AG209-AF209</f>
        <v>0</v>
      </c>
      <c r="AI209" s="783">
        <f>_xlfn.SUMIFS(Покупка!AH$25:AH$117,Покупка!$F$25:$F$117,$F209,Покупка!$AC$25:$AC$117,$G209)</f>
        <v>0</v>
      </c>
      <c r="AJ209" s="783">
        <f>_xlfn.SUMIFS(Покупка!AI$25:AI$117,Покупка!$F$25:$F$117,$F209,Покупка!$AC$25:$AC$117,$G209)</f>
        <v>0</v>
      </c>
      <c r="AK209" s="783">
        <f>_xlfn.SUMIFS(Покупка!AS$25:AS$117,Покупка!$F$25:$F$117,$F209,Покупка!$AC$25:$AC$117,$G209)</f>
        <v>0</v>
      </c>
      <c r="AL209" s="783">
        <f>IF(AI209=0,0,(AK209-AI209)/AI209*100)</f>
        <v>0</v>
      </c>
      <c r="AM209" s="784"/>
      <c r="AN209" s="892" t="str">
        <f>IF(_xlfn.IFERROR(INDEX(Покупка!$K$26:$L$117,MATCH($F209&amp;"2komm",Покупка!$K$26:$K$117,0),2),"")=0,"",_xlfn.IFERROR(INDEX(Покупка!$K$26:$L$117,MATCH($F209&amp;"2komm",Покупка!$K$26:$K$117,0),2),""))</f>
        <v/>
      </c>
      <c r="AO209" s="784"/>
      <c r="AP209" s="1066"/>
      <c r="AQ209" s="1066"/>
      <c r="AR209" s="1046" t="s">
        <v>1608</v>
      </c>
      <c r="AS209" s="1046"/>
      <c r="AT209" s="1046"/>
      <c r="AU209" s="1043"/>
      <c r="AV209" s="1043"/>
    </row>
    <row s="1621" customFormat="1" customHeight="1" ht="14.25">
      <c r="A210" s="1066"/>
      <c r="B210" s="1066"/>
      <c r="C210" s="1066"/>
      <c r="D210" s="1066"/>
      <c r="E210" s="675">
        <v>15</v>
      </c>
      <c r="F210" s="50" cm="1" t="str">
        <f t="array" ref="F210:F210">OFFSET(E210,-1,1)</f>
        <v>2</v>
      </c>
      <c r="G210" s="556" t="s">
        <v>1010</v>
      </c>
      <c r="H210" s="1066"/>
      <c r="I210" s="566" t="s">
        <v>1403</v>
      </c>
      <c r="J210" s="566"/>
      <c r="K210" s="566"/>
      <c r="L210" s="566"/>
      <c r="M210" s="566"/>
      <c r="N210" s="566"/>
      <c r="O210" s="566"/>
      <c r="P210" s="566"/>
      <c r="Q210" s="566"/>
      <c r="R210" s="566"/>
      <c r="S210" s="566"/>
      <c r="T210" s="439" cm="1" t="str">
        <f t="array" ref="T210:T210">T209</f>
        <v>true</v>
      </c>
      <c r="U210" s="1066"/>
      <c r="V210" s="1066"/>
      <c r="W210" s="1066"/>
      <c r="X210" s="1577"/>
      <c r="Y210" s="1066"/>
      <c r="Z210" s="1578"/>
      <c r="AA210" s="1066"/>
      <c r="AB210" s="788" t="s">
        <v>1609</v>
      </c>
      <c r="AC210" s="789" t="s">
        <v>1610</v>
      </c>
      <c r="AD210" s="740" t="s">
        <v>784</v>
      </c>
      <c r="AE210" s="783">
        <f>_xlfn.SUMIFS(Покупка!AE$25:AE$117,Покупка!$F$25:$F$117,$F210,Покупка!$AC$25:$AC$117,$G210)</f>
        <v>0</v>
      </c>
      <c r="AF210" s="783">
        <f>_xlfn.SUMIFS(Покупка!AF$25:AF$117,Покупка!$F$25:$F$117,$F210,Покупка!$AC$25:$AC$117,$G210)</f>
        <v>0</v>
      </c>
      <c r="AG210" s="783">
        <f>_xlfn.SUMIFS(Покупка!AG$25:AG$117,Покупка!$F$25:$F$117,$F210,Покупка!$AC$25:$AC$117,$G210)</f>
        <v>0</v>
      </c>
      <c r="AH210" s="783">
        <f>AG210-AF210</f>
        <v>0</v>
      </c>
      <c r="AI210" s="783">
        <f>_xlfn.SUMIFS(Покупка!AH$25:AH$117,Покупка!$F$25:$F$117,$F210,Покупка!$AC$25:$AC$117,$G210)</f>
        <v>0</v>
      </c>
      <c r="AJ210" s="783">
        <f>_xlfn.SUMIFS(Покупка!AI$25:AI$117,Покупка!$F$25:$F$117,$F210,Покупка!$AC$25:$AC$117,$G210)</f>
        <v>0</v>
      </c>
      <c r="AK210" s="783">
        <f>_xlfn.SUMIFS(Покупка!AS$25:AS$117,Покупка!$F$25:$F$117,$F210,Покупка!$AC$25:$AC$117,$G210)</f>
        <v>0</v>
      </c>
      <c r="AL210" s="783">
        <f>IF(AI210=0,0,(AK210-AI210)/AI210*100)</f>
        <v>0</v>
      </c>
      <c r="AM210" s="784"/>
      <c r="AN210" s="892" t="str">
        <f>IF(_xlfn.IFERROR(INDEX(Покупка!$K$26:$L$117,MATCH($F210&amp;"3komm",Покупка!$K$26:$K$117,0),2),"")=0,"",_xlfn.IFERROR(INDEX(Покупка!$K$26:$L$117,MATCH($F210&amp;"3komm",Покупка!$K$26:$K$117,0),2),""))</f>
        <v/>
      </c>
      <c r="AO210" s="784"/>
      <c r="AP210" s="1066"/>
      <c r="AQ210" s="1066"/>
      <c r="AR210" s="1046" t="s">
        <v>1611</v>
      </c>
      <c r="AS210" s="1046"/>
      <c r="AT210" s="1046"/>
      <c r="AU210" s="1043"/>
      <c r="AV210" s="1043"/>
    </row>
    <row s="1621" customFormat="1" customHeight="1" ht="14.25">
      <c r="A211" s="1066"/>
      <c r="B211" s="1066"/>
      <c r="C211" s="1066"/>
      <c r="D211" s="1066"/>
      <c r="E211" s="675">
        <v>15</v>
      </c>
      <c r="F211" s="50" cm="1" t="str">
        <f t="array" ref="F211:F211">OFFSET(E211,-1,1)</f>
        <v>2</v>
      </c>
      <c r="G211" s="556" t="s">
        <v>1016</v>
      </c>
      <c r="H211" s="1066"/>
      <c r="I211" s="566" t="s">
        <v>1408</v>
      </c>
      <c r="J211" s="566"/>
      <c r="K211" s="566"/>
      <c r="L211" s="566"/>
      <c r="M211" s="566"/>
      <c r="N211" s="566"/>
      <c r="O211" s="566"/>
      <c r="P211" s="566"/>
      <c r="Q211" s="566"/>
      <c r="R211" s="566"/>
      <c r="S211" s="566"/>
      <c r="T211" s="439" cm="1" t="str">
        <f t="array" ref="T211:T211">T210</f>
        <v>true</v>
      </c>
      <c r="U211" s="1066"/>
      <c r="V211" s="1066"/>
      <c r="W211" s="1066"/>
      <c r="X211" s="1577"/>
      <c r="Y211" s="1066"/>
      <c r="Z211" s="1578"/>
      <c r="AA211" s="1066"/>
      <c r="AB211" s="788" t="s">
        <v>1612</v>
      </c>
      <c r="AC211" s="789" t="s">
        <v>1613</v>
      </c>
      <c r="AD211" s="740" t="s">
        <v>784</v>
      </c>
      <c r="AE211" s="783">
        <f>_xlfn.SUMIFS(Покупка!AE$25:AE$117,Покупка!$F$25:$F$117,$F211,Покупка!$AC$25:$AC$117,$G211)</f>
        <v>0</v>
      </c>
      <c r="AF211" s="783">
        <f>_xlfn.SUMIFS(Покупка!AF$25:AF$117,Покупка!$F$25:$F$117,$F211,Покупка!$AC$25:$AC$117,$G211)</f>
        <v>0</v>
      </c>
      <c r="AG211" s="783">
        <f>_xlfn.SUMIFS(Покупка!AG$25:AG$117,Покупка!$F$25:$F$117,$F211,Покупка!$AC$25:$AC$117,$G211)</f>
        <v>0</v>
      </c>
      <c r="AH211" s="783">
        <f>AG211-AF211</f>
        <v>0</v>
      </c>
      <c r="AI211" s="783">
        <f>_xlfn.SUMIFS(Покупка!AH$25:AH$117,Покупка!$F$25:$F$117,$F211,Покупка!$AC$25:$AC$117,$G211)</f>
        <v>0</v>
      </c>
      <c r="AJ211" s="783">
        <f>_xlfn.SUMIFS(Покупка!AI$25:AI$117,Покупка!$F$25:$F$117,$F211,Покупка!$AC$25:$AC$117,$G211)</f>
        <v>0</v>
      </c>
      <c r="AK211" s="783">
        <f>_xlfn.SUMIFS(Покупка!AS$25:AS$117,Покупка!$F$25:$F$117,$F211,Покупка!$AC$25:$AC$117,$G211)</f>
        <v>0</v>
      </c>
      <c r="AL211" s="783">
        <f>IF(AI211=0,0,(AK211-AI211)/AI211*100)</f>
        <v>0</v>
      </c>
      <c r="AM211" s="784"/>
      <c r="AN211" s="892" t="str">
        <f>IF(_xlfn.IFERROR(INDEX(Покупка!$K$26:$L$117,MATCH($F211&amp;"4komm",Покупка!$K$26:$K$117,0),2),"")=0,"",_xlfn.IFERROR(INDEX(Покупка!$K$26:$L$117,MATCH($F211&amp;"4komm",Покупка!$K$26:$K$117,0),2),""))</f>
        <v/>
      </c>
      <c r="AO211" s="784"/>
      <c r="AP211" s="1066"/>
      <c r="AQ211" s="1066"/>
      <c r="AR211" s="1046" t="s">
        <v>1614</v>
      </c>
      <c r="AS211" s="1046"/>
      <c r="AT211" s="1046"/>
      <c r="AU211" s="1043"/>
      <c r="AV211" s="1043"/>
    </row>
    <row s="1621" customFormat="1" customHeight="1" ht="14.25">
      <c r="A212" s="1066"/>
      <c r="B212" s="1066"/>
      <c r="C212" s="1066"/>
      <c r="D212" s="1066"/>
      <c r="E212" s="675">
        <v>15</v>
      </c>
      <c r="F212" s="50" cm="1" t="str">
        <f t="array" ref="F212:F212">OFFSET(E212,-1,1)</f>
        <v>2</v>
      </c>
      <c r="G212" s="556" t="s">
        <v>1022</v>
      </c>
      <c r="H212" s="1066"/>
      <c r="I212" s="566" t="s">
        <v>1418</v>
      </c>
      <c r="J212" s="566"/>
      <c r="K212" s="566"/>
      <c r="L212" s="566"/>
      <c r="M212" s="566"/>
      <c r="N212" s="566"/>
      <c r="O212" s="566"/>
      <c r="P212" s="566"/>
      <c r="Q212" s="566"/>
      <c r="R212" s="566"/>
      <c r="S212" s="566"/>
      <c r="T212" s="439" cm="1" t="str">
        <f t="array" ref="T212:T212">T211</f>
        <v>true</v>
      </c>
      <c r="U212" s="1066"/>
      <c r="V212" s="1066"/>
      <c r="W212" s="1066"/>
      <c r="X212" s="1577"/>
      <c r="Y212" s="1066"/>
      <c r="Z212" s="1578"/>
      <c r="AA212" s="1066"/>
      <c r="AB212" s="788" t="s">
        <v>1615</v>
      </c>
      <c r="AC212" s="789" t="s">
        <v>1616</v>
      </c>
      <c r="AD212" s="740" t="s">
        <v>784</v>
      </c>
      <c r="AE212" s="783">
        <f>_xlfn.SUMIFS(Покупка!AE$25:AE$117,Покупка!$F$25:$F$117,$F212,Покупка!$AC$25:$AC$117,$G212)</f>
        <v>0</v>
      </c>
      <c r="AF212" s="783">
        <f>_xlfn.SUMIFS(Покупка!AF$25:AF$117,Покупка!$F$25:$F$117,$F212,Покупка!$AC$25:$AC$117,$G212)</f>
        <v>0</v>
      </c>
      <c r="AG212" s="783">
        <f>_xlfn.SUMIFS(Покупка!AG$25:AG$117,Покупка!$F$25:$F$117,$F212,Покупка!$AC$25:$AC$117,$G212)</f>
        <v>0</v>
      </c>
      <c r="AH212" s="783">
        <f>AG212-AF212</f>
        <v>0</v>
      </c>
      <c r="AI212" s="783">
        <f>_xlfn.SUMIFS(Покупка!AH$25:AH$117,Покупка!$F$25:$F$117,$F212,Покупка!$AC$25:$AC$117,$G212)</f>
        <v>0</v>
      </c>
      <c r="AJ212" s="783">
        <f>_xlfn.SUMIFS(Покупка!AI$25:AI$117,Покупка!$F$25:$F$117,$F212,Покупка!$AC$25:$AC$117,$G212)</f>
        <v>0</v>
      </c>
      <c r="AK212" s="783">
        <f>_xlfn.SUMIFS(Покупка!AS$25:AS$117,Покупка!$F$25:$F$117,$F212,Покупка!$AC$25:$AC$117,$G212)</f>
        <v>0</v>
      </c>
      <c r="AL212" s="783">
        <f>IF(AI212=0,0,(AK212-AI212)/AI212*100)</f>
        <v>0</v>
      </c>
      <c r="AM212" s="784"/>
      <c r="AN212" s="892" t="str">
        <f>IF(_xlfn.IFERROR(INDEX(Покупка!$K$26:$L$117,MATCH($F212&amp;"5komm",Покупка!$K$26:$K$117,0),2),"")=0,"",_xlfn.IFERROR(INDEX(Покупка!$K$26:$L$117,MATCH($F212&amp;"5komm",Покупка!$K$26:$K$117,0),2),""))</f>
        <v/>
      </c>
      <c r="AO212" s="784"/>
      <c r="AP212" s="1066"/>
      <c r="AQ212" s="1066"/>
      <c r="AR212" s="1046" t="s">
        <v>1617</v>
      </c>
      <c r="AS212" s="1046"/>
      <c r="AT212" s="1046"/>
      <c r="AU212" s="1043"/>
      <c r="AV212" s="1043"/>
    </row>
    <row s="4492" customFormat="1" customHeight="1" ht="43.5">
      <c r="A213" s="567"/>
      <c r="B213" s="567"/>
      <c r="C213" s="567"/>
      <c r="D213" s="567"/>
      <c r="E213" s="677">
        <v>45</v>
      </c>
      <c r="F213" s="50" cm="1" t="str">
        <f t="array" ref="F213:F213">OFFSET(E213,-1,1)</f>
        <v>2</v>
      </c>
      <c r="G213" s="567"/>
      <c r="H213" s="567"/>
      <c r="I213" s="678" t="s">
        <v>448</v>
      </c>
      <c r="J213" s="678"/>
      <c r="K213" s="678"/>
      <c r="L213" s="678"/>
      <c r="M213" s="678"/>
      <c r="N213" s="678"/>
      <c r="O213" s="678"/>
      <c r="P213" s="678"/>
      <c r="Q213" s="678"/>
      <c r="R213" s="678"/>
      <c r="S213" s="678"/>
      <c r="T213" s="439" cm="1" t="str">
        <f t="array" ref="T213:T213">T212</f>
        <v>true</v>
      </c>
      <c r="U213" s="567"/>
      <c r="V213" s="567"/>
      <c r="W213" s="567"/>
      <c r="X213" s="1577"/>
      <c r="Y213" s="567"/>
      <c r="Z213" s="1578"/>
      <c r="AA213" s="567"/>
      <c r="AB213" s="785" t="s">
        <v>851</v>
      </c>
      <c r="AC213" s="786" t="s">
        <v>1618</v>
      </c>
      <c r="AD213" s="569" t="s">
        <v>784</v>
      </c>
      <c r="AE213" s="791"/>
      <c r="AF213" s="791"/>
      <c r="AG213" s="791"/>
      <c r="AH213" s="782">
        <f>AG213-AF213</f>
        <v>0</v>
      </c>
      <c r="AI213" s="791"/>
      <c r="AJ213" s="791"/>
      <c r="AK213" s="791"/>
      <c r="AL213" s="782">
        <f>IF(AI213=0,0,(AK213-AI213)/AI213*100)</f>
        <v>0</v>
      </c>
      <c r="AM213" s="787"/>
      <c r="AN213" s="787"/>
      <c r="AO213" s="787"/>
      <c r="AP213" s="567"/>
      <c r="AQ213" s="567"/>
      <c r="AR213" s="1047" t="s">
        <v>1619</v>
      </c>
      <c r="AS213" s="1047"/>
      <c r="AT213" s="1047"/>
      <c r="AU213" s="677"/>
      <c r="AV213" s="677"/>
    </row>
    <row s="4493" customFormat="1" customHeight="1" ht="43.5">
      <c r="A214" s="567"/>
      <c r="B214" s="567"/>
      <c r="C214" s="567"/>
      <c r="D214" s="567"/>
      <c r="E214" s="677">
        <v>45</v>
      </c>
      <c r="F214" s="50" cm="1" t="str">
        <f t="array" ref="F214:F214">OFFSET(E214,-1,1)</f>
        <v>2</v>
      </c>
      <c r="G214" s="567"/>
      <c r="H214" s="567"/>
      <c r="I214" s="678" t="s">
        <v>452</v>
      </c>
      <c r="J214" s="678"/>
      <c r="K214" s="678"/>
      <c r="L214" s="678"/>
      <c r="M214" s="678"/>
      <c r="N214" s="678"/>
      <c r="O214" s="678"/>
      <c r="P214" s="678"/>
      <c r="Q214" s="678"/>
      <c r="R214" s="678"/>
      <c r="S214" s="678"/>
      <c r="T214" s="439" cm="1" t="str">
        <f t="array" ref="T214:T214">T213</f>
        <v>true</v>
      </c>
      <c r="U214" s="567"/>
      <c r="V214" s="567"/>
      <c r="W214" s="567"/>
      <c r="X214" s="1577"/>
      <c r="Y214" s="567"/>
      <c r="Z214" s="1578"/>
      <c r="AA214" s="567"/>
      <c r="AB214" s="785" t="s">
        <v>854</v>
      </c>
      <c r="AC214" s="786" t="s">
        <v>1620</v>
      </c>
      <c r="AD214" s="569" t="s">
        <v>784</v>
      </c>
      <c r="AE214" s="782">
        <f>AE215+AE216</f>
        <v>0</v>
      </c>
      <c r="AF214" s="782">
        <f>AF215+AF216</f>
        <v>0</v>
      </c>
      <c r="AG214" s="782">
        <f>AG215+AG216</f>
        <v>0</v>
      </c>
      <c r="AH214" s="782">
        <f>AG214-AF214</f>
        <v>0</v>
      </c>
      <c r="AI214" s="782">
        <f>AI215+AI216</f>
        <v>0</v>
      </c>
      <c r="AJ214" s="782">
        <f>AJ215+AJ216</f>
        <v>0</v>
      </c>
      <c r="AK214" s="782">
        <f>AK215+AK216</f>
        <v>0</v>
      </c>
      <c r="AL214" s="782">
        <f>IF(AI214=0,0,(AK214-AI214)/AI214*100)</f>
        <v>0</v>
      </c>
      <c r="AM214" s="787"/>
      <c r="AN214" s="787"/>
      <c r="AO214" s="787"/>
      <c r="AP214" s="567"/>
      <c r="AQ214" s="567"/>
      <c r="AR214" s="1047" t="s">
        <v>1621</v>
      </c>
      <c r="AS214" s="1047"/>
      <c r="AT214" s="1047"/>
      <c r="AU214" s="677"/>
      <c r="AV214" s="677"/>
    </row>
    <row s="1621" customFormat="1" customHeight="1" ht="14.25">
      <c r="A215" s="1066"/>
      <c r="B215" s="1066"/>
      <c r="C215" s="1066"/>
      <c r="D215" s="1066"/>
      <c r="E215" s="675">
        <v>15</v>
      </c>
      <c r="F215" s="50" cm="1" t="str">
        <f t="array" ref="F215:F215">OFFSET(E215,-1,1)</f>
        <v>2</v>
      </c>
      <c r="G215" s="679" t="s">
        <v>1038</v>
      </c>
      <c r="H215" s="1066"/>
      <c r="I215" s="566" t="s">
        <v>1246</v>
      </c>
      <c r="J215" s="566"/>
      <c r="K215" s="566"/>
      <c r="L215" s="566"/>
      <c r="M215" s="566"/>
      <c r="N215" s="566"/>
      <c r="O215" s="566"/>
      <c r="P215" s="678"/>
      <c r="Q215" s="566"/>
      <c r="R215" s="566"/>
      <c r="S215" s="566"/>
      <c r="T215" s="439" cm="1" t="str">
        <f t="array" ref="T215:T215">T214</f>
        <v>true</v>
      </c>
      <c r="U215" s="1066"/>
      <c r="V215" s="1066"/>
      <c r="W215" s="1066"/>
      <c r="X215" s="1577"/>
      <c r="Y215" s="1066"/>
      <c r="Z215" s="1578"/>
      <c r="AA215" s="1066"/>
      <c r="AB215" s="788" t="s">
        <v>971</v>
      </c>
      <c r="AC215" s="789" t="s">
        <v>1622</v>
      </c>
      <c r="AD215" s="740" t="s">
        <v>784</v>
      </c>
      <c r="AE215" s="783">
        <f>_xlfn.SUMIFS(ФОТ!AE$25:AE$102,ФОТ!$F$25:$F$102,$F215,ФОТ!$G$25:$G$102,$G215)</f>
        <v>0</v>
      </c>
      <c r="AF215" s="783">
        <f>_xlfn.SUMIFS(ФОТ!AF$25:AF$102,ФОТ!$F$25:$F$102,$F215,ФОТ!$G$25:$G$102,$G215)</f>
        <v>0</v>
      </c>
      <c r="AG215" s="783">
        <f>_xlfn.SUMIFS(ФОТ!AG$25:AG$102,ФОТ!$F$25:$F$102,$F215,ФОТ!$G$25:$G$102,$G215)</f>
        <v>0</v>
      </c>
      <c r="AH215" s="783">
        <f>AG215-AF215</f>
        <v>0</v>
      </c>
      <c r="AI215" s="783">
        <f>_xlfn.SUMIFS(ФОТ!AH$25:AH$102,ФОТ!$F$25:$F$102,$F215,ФОТ!$G$25:$G$102,$G215)</f>
        <v>0</v>
      </c>
      <c r="AJ215" s="783">
        <f>_xlfn.SUMIFS(ФОТ!AI$25:AI$102,ФОТ!$F$25:$F$102,$F215,ФОТ!$G$25:$G$102,$G215)</f>
        <v>0</v>
      </c>
      <c r="AK215" s="783">
        <f>_xlfn.SUMIFS(ФОТ!AJ$25:AJ$102,ФОТ!$F$25:$F$102,$F215,ФОТ!$G$25:$G$102,$G215)</f>
        <v>0</v>
      </c>
      <c r="AL215" s="783">
        <f>IF(AI215=0,0,(AK215-AI215)/AI215*100)</f>
        <v>0</v>
      </c>
      <c r="AM215" s="784"/>
      <c r="AN215" s="892" t="str">
        <f>IF(_xlfn.IFERROR(INDEX(ФОТ!$K$26:$L$102,MATCH($F215&amp;"1komm",ФОТ!$K$26:$K$102,0),2),"")=0,"",_xlfn.IFERROR(INDEX(ФОТ!$K$26:$L$102,MATCH($F215&amp;"1komm",ФОТ!$K$26:$K$102,0),2),""))</f>
        <v/>
      </c>
      <c r="AO215" s="784"/>
      <c r="AP215" s="1066"/>
      <c r="AQ215" s="1066"/>
      <c r="AR215" s="1046" t="s">
        <v>1623</v>
      </c>
      <c r="AS215" s="1046"/>
      <c r="AT215" s="1046"/>
      <c r="AU215" s="1043"/>
      <c r="AV215" s="1043"/>
    </row>
    <row s="1621" customFormat="1" customHeight="1" ht="21.75">
      <c r="A216" s="1066"/>
      <c r="B216" s="1066"/>
      <c r="C216" s="1066"/>
      <c r="D216" s="1066"/>
      <c r="E216" s="675">
        <v>22.5</v>
      </c>
      <c r="F216" s="50" cm="1" t="str">
        <f t="array" ref="F216:F216">OFFSET(E216,-1,1)</f>
        <v>2</v>
      </c>
      <c r="G216" s="679" t="s">
        <v>1050</v>
      </c>
      <c r="H216" s="1066"/>
      <c r="I216" s="566" t="s">
        <v>1247</v>
      </c>
      <c r="J216" s="566"/>
      <c r="K216" s="566"/>
      <c r="L216" s="566"/>
      <c r="M216" s="566"/>
      <c r="N216" s="566"/>
      <c r="O216" s="566"/>
      <c r="P216" s="678"/>
      <c r="Q216" s="566"/>
      <c r="R216" s="566"/>
      <c r="S216" s="566"/>
      <c r="T216" s="439" cm="1" t="str">
        <f t="array" ref="T216:T216">T215</f>
        <v>true</v>
      </c>
      <c r="U216" s="1066"/>
      <c r="V216" s="1066"/>
      <c r="W216" s="1066"/>
      <c r="X216" s="1577"/>
      <c r="Y216" s="1066"/>
      <c r="Z216" s="1578"/>
      <c r="AA216" s="1066"/>
      <c r="AB216" s="788" t="s">
        <v>974</v>
      </c>
      <c r="AC216" s="789" t="s">
        <v>1624</v>
      </c>
      <c r="AD216" s="740" t="s">
        <v>784</v>
      </c>
      <c r="AE216" s="783">
        <f>_xlfn.SUMIFS(ФОТ!AE$25:AE$102,ФОТ!$F$25:$F$102,$F216,ФОТ!$G$25:$G$102,$G216)</f>
        <v>0</v>
      </c>
      <c r="AF216" s="783">
        <f>_xlfn.SUMIFS(ФОТ!AF$25:AF$102,ФОТ!$F$25:$F$102,$F216,ФОТ!$G$25:$G$102,$G216)</f>
        <v>0</v>
      </c>
      <c r="AG216" s="783">
        <f>_xlfn.SUMIFS(ФОТ!AG$25:AG$102,ФОТ!$F$25:$F$102,$F216,ФОТ!$G$25:$G$102,$G216)</f>
        <v>0</v>
      </c>
      <c r="AH216" s="783">
        <f>AG216-AF216</f>
        <v>0</v>
      </c>
      <c r="AI216" s="783">
        <f>_xlfn.SUMIFS(ФОТ!AH$25:AH$102,ФОТ!$F$25:$F$102,$F216,ФОТ!$G$25:$G$102,$G216)</f>
        <v>0</v>
      </c>
      <c r="AJ216" s="783">
        <f>_xlfn.SUMIFS(ФОТ!AI$25:AI$102,ФОТ!$F$25:$F$102,$F216,ФОТ!$G$25:$G$102,$G216)</f>
        <v>0</v>
      </c>
      <c r="AK216" s="783">
        <f>_xlfn.SUMIFS(ФОТ!AJ$25:AJ$102,ФОТ!$F$25:$F$102,$F216,ФОТ!$G$25:$G$102,$G216)</f>
        <v>0</v>
      </c>
      <c r="AL216" s="783">
        <f>IF(AI216=0,0,(AK216-AI216)/AI216*100)</f>
        <v>0</v>
      </c>
      <c r="AM216" s="784"/>
      <c r="AN216" s="892" t="str">
        <f>IF(_xlfn.IFERROR(INDEX(ФОТ!$K$26:$L$102,MATCH($F216&amp;"2komm",ФОТ!$K$26:$K$102,0),2),"")=0,"",_xlfn.IFERROR(INDEX(ФОТ!$K$26:$L$102,MATCH($F216&amp;"2komm",ФОТ!$K$26:$K$102,0),2),""))</f>
        <v/>
      </c>
      <c r="AO216" s="784"/>
      <c r="AP216" s="1066"/>
      <c r="AQ216" s="1066"/>
      <c r="AR216" s="1046" t="s">
        <v>1625</v>
      </c>
      <c r="AS216" s="1046"/>
      <c r="AT216" s="1046"/>
      <c r="AU216" s="1043"/>
      <c r="AV216" s="1043"/>
    </row>
    <row s="4494" customFormat="1" customHeight="1" ht="14.25">
      <c r="A217" s="567"/>
      <c r="B217" s="567"/>
      <c r="C217" s="567"/>
      <c r="D217" s="567"/>
      <c r="E217" s="677">
        <v>15</v>
      </c>
      <c r="F217" s="50" cm="1" t="str">
        <f t="array" ref="F217:F217">OFFSET(E217,-1,1)</f>
        <v>2</v>
      </c>
      <c r="G217" s="567"/>
      <c r="H217" s="567"/>
      <c r="I217" s="678" t="s">
        <v>857</v>
      </c>
      <c r="J217" s="678"/>
      <c r="K217" s="678"/>
      <c r="L217" s="678"/>
      <c r="M217" s="678"/>
      <c r="N217" s="678"/>
      <c r="O217" s="678"/>
      <c r="P217" s="678"/>
      <c r="Q217" s="678"/>
      <c r="R217" s="678"/>
      <c r="S217" s="678"/>
      <c r="T217" s="439" cm="1" t="str">
        <f t="array" ref="T217:T217">T216</f>
        <v>true</v>
      </c>
      <c r="U217" s="567"/>
      <c r="V217" s="567"/>
      <c r="W217" s="567"/>
      <c r="X217" s="1577"/>
      <c r="Y217" s="567"/>
      <c r="Z217" s="1578"/>
      <c r="AA217" s="567"/>
      <c r="AB217" s="785" t="s">
        <v>858</v>
      </c>
      <c r="AC217" s="786" t="s">
        <v>1626</v>
      </c>
      <c r="AD217" s="569" t="s">
        <v>784</v>
      </c>
      <c r="AE217" s="791"/>
      <c r="AF217" s="791"/>
      <c r="AG217" s="791"/>
      <c r="AH217" s="782">
        <f>AG217-AF217</f>
        <v>0</v>
      </c>
      <c r="AI217" s="791"/>
      <c r="AJ217" s="791"/>
      <c r="AK217" s="791"/>
      <c r="AL217" s="782">
        <f>IF(AI217=0,0,(AK217-AI217)/AI217*100)</f>
        <v>0</v>
      </c>
      <c r="AM217" s="787"/>
      <c r="AN217" s="787"/>
      <c r="AO217" s="787"/>
      <c r="AP217" s="567"/>
      <c r="AQ217" s="567"/>
      <c r="AR217" s="1047" t="s">
        <v>1225</v>
      </c>
      <c r="AS217" s="1047"/>
      <c r="AT217" s="1047"/>
      <c r="AU217" s="677"/>
      <c r="AV217" s="677"/>
    </row>
    <row s="4495" customFormat="1" customHeight="1" ht="14.25">
      <c r="A218" s="567"/>
      <c r="B218" s="567"/>
      <c r="C218" s="567"/>
      <c r="D218" s="567"/>
      <c r="E218" s="677">
        <v>15</v>
      </c>
      <c r="F218" s="50" cm="1" t="str">
        <f t="array" ref="F218:F218">OFFSET(E218,-1,1)</f>
        <v>2</v>
      </c>
      <c r="G218" s="567"/>
      <c r="H218" s="567"/>
      <c r="I218" s="678" t="s">
        <v>1627</v>
      </c>
      <c r="J218" s="678"/>
      <c r="K218" s="678"/>
      <c r="L218" s="678"/>
      <c r="M218" s="678"/>
      <c r="N218" s="678"/>
      <c r="O218" s="678"/>
      <c r="P218" s="678"/>
      <c r="Q218" s="678"/>
      <c r="R218" s="678"/>
      <c r="S218" s="678"/>
      <c r="T218" s="439" cm="1" t="str">
        <f t="array" ref="T218:T218">T217</f>
        <v>true</v>
      </c>
      <c r="U218" s="567"/>
      <c r="V218" s="567"/>
      <c r="W218" s="567"/>
      <c r="X218" s="1577"/>
      <c r="Y218" s="567"/>
      <c r="Z218" s="1578"/>
      <c r="AA218" s="567"/>
      <c r="AB218" s="785" t="s">
        <v>1628</v>
      </c>
      <c r="AC218" s="786" t="s">
        <v>1629</v>
      </c>
      <c r="AD218" s="569" t="s">
        <v>784</v>
      </c>
      <c r="AE218" s="791"/>
      <c r="AF218" s="791"/>
      <c r="AG218" s="791"/>
      <c r="AH218" s="782">
        <f>AG218-AF218</f>
        <v>0</v>
      </c>
      <c r="AI218" s="791"/>
      <c r="AJ218" s="791"/>
      <c r="AK218" s="791"/>
      <c r="AL218" s="782">
        <f>IF(AI218=0,0,(AK218-AI218)/AI218*100)</f>
        <v>0</v>
      </c>
      <c r="AM218" s="787"/>
      <c r="AN218" s="787"/>
      <c r="AO218" s="787"/>
      <c r="AP218" s="567"/>
      <c r="AQ218" s="567"/>
      <c r="AR218" s="1047" t="s">
        <v>1630</v>
      </c>
      <c r="AS218" s="1047"/>
      <c r="AT218" s="1047"/>
      <c r="AU218" s="677"/>
      <c r="AV218" s="677"/>
    </row>
    <row s="4496" customFormat="1" customHeight="1" ht="14.25">
      <c r="A219" s="567"/>
      <c r="B219" s="567"/>
      <c r="C219" s="567"/>
      <c r="D219" s="567"/>
      <c r="E219" s="677">
        <v>15</v>
      </c>
      <c r="F219" s="50" cm="1" t="str">
        <f t="array" ref="F219:F219">OFFSET(E219,-1,1)</f>
        <v>2</v>
      </c>
      <c r="G219" s="567"/>
      <c r="H219" s="567"/>
      <c r="I219" s="678" t="s">
        <v>1631</v>
      </c>
      <c r="J219" s="678"/>
      <c r="K219" s="678"/>
      <c r="L219" s="678"/>
      <c r="M219" s="678"/>
      <c r="N219" s="678"/>
      <c r="O219" s="678"/>
      <c r="P219" s="678"/>
      <c r="Q219" s="678"/>
      <c r="R219" s="678"/>
      <c r="S219" s="678"/>
      <c r="T219" s="439" cm="1" t="str">
        <f t="array" ref="T219:T219">T218</f>
        <v>true</v>
      </c>
      <c r="U219" s="567"/>
      <c r="V219" s="567"/>
      <c r="W219" s="567"/>
      <c r="X219" s="1577"/>
      <c r="Y219" s="567"/>
      <c r="Z219" s="1578"/>
      <c r="AA219" s="567"/>
      <c r="AB219" s="785" t="s">
        <v>1632</v>
      </c>
      <c r="AC219" s="786" t="s">
        <v>1633</v>
      </c>
      <c r="AD219" s="569" t="s">
        <v>784</v>
      </c>
      <c r="AE219" s="782">
        <f>SUM(AE220:AE225)</f>
        <v>0</v>
      </c>
      <c r="AF219" s="782">
        <f>SUM(AF220:AF225)</f>
        <v>0</v>
      </c>
      <c r="AG219" s="782">
        <f>SUM(AG220:AG225)</f>
        <v>0</v>
      </c>
      <c r="AH219" s="782">
        <f>AG219-AF219</f>
        <v>0</v>
      </c>
      <c r="AI219" s="782">
        <f>SUM(AI220:AI225)</f>
        <v>0</v>
      </c>
      <c r="AJ219" s="782">
        <f>SUM(AJ220:AJ225)</f>
        <v>0</v>
      </c>
      <c r="AK219" s="782">
        <f>SUM(AK220:AK225)</f>
        <v>0</v>
      </c>
      <c r="AL219" s="782">
        <f>IF(AI219=0,0,(AK219-AI219)/AI219*100)</f>
        <v>0</v>
      </c>
      <c r="AM219" s="787"/>
      <c r="AN219" s="787"/>
      <c r="AO219" s="787"/>
      <c r="AP219" s="567"/>
      <c r="AQ219" s="567"/>
      <c r="AR219" s="1047" t="s">
        <v>1634</v>
      </c>
      <c r="AS219" s="1047"/>
      <c r="AT219" s="1047"/>
      <c r="AU219" s="677"/>
      <c r="AV219" s="677"/>
    </row>
    <row s="1621" customFormat="1" customHeight="1" ht="14.25">
      <c r="A220" s="1066"/>
      <c r="B220" s="1066"/>
      <c r="C220" s="1066"/>
      <c r="D220" s="1066"/>
      <c r="E220" s="675">
        <v>15</v>
      </c>
      <c r="F220" s="50" cm="1" t="str">
        <f t="array" ref="F220:F220">OFFSET(E220,-1,1)</f>
        <v>2</v>
      </c>
      <c r="G220" s="1066"/>
      <c r="H220" s="1066"/>
      <c r="I220" s="566" t="s">
        <v>1631</v>
      </c>
      <c r="J220" s="969" t="s">
        <v>1635</v>
      </c>
      <c r="K220" s="1066"/>
      <c r="L220" s="566"/>
      <c r="M220" s="566"/>
      <c r="N220" s="566"/>
      <c r="O220" s="566"/>
      <c r="P220" s="566"/>
      <c r="Q220" s="566"/>
      <c r="R220" s="566"/>
      <c r="S220" s="566"/>
      <c r="T220" s="439" cm="1" t="str">
        <f t="array" ref="T220:T220">T219</f>
        <v>true</v>
      </c>
      <c r="U220" s="1066"/>
      <c r="V220" s="1066"/>
      <c r="W220" s="1066"/>
      <c r="X220" s="1577"/>
      <c r="Y220" s="1066"/>
      <c r="Z220" s="1578"/>
      <c r="AA220" s="1066"/>
      <c r="AB220" s="788" t="s">
        <v>1636</v>
      </c>
      <c r="AC220" s="789" t="s">
        <v>1637</v>
      </c>
      <c r="AD220" s="740" t="s">
        <v>784</v>
      </c>
      <c r="AE220" s="790"/>
      <c r="AF220" s="790"/>
      <c r="AG220" s="790"/>
      <c r="AH220" s="783">
        <f>AG220-AF220</f>
        <v>0</v>
      </c>
      <c r="AI220" s="790"/>
      <c r="AJ220" s="790"/>
      <c r="AK220" s="790"/>
      <c r="AL220" s="783">
        <f>IF(AI220=0,0,(AK220-AI220)/AI220*100)</f>
        <v>0</v>
      </c>
      <c r="AM220" s="784"/>
      <c r="AN220" s="784"/>
      <c r="AO220" s="784"/>
      <c r="AP220" s="1066"/>
      <c r="AQ220" s="1066"/>
      <c r="AR220" s="1046" t="s">
        <v>1638</v>
      </c>
      <c r="AS220" s="1046"/>
      <c r="AT220" s="1046"/>
      <c r="AU220" s="1043"/>
      <c r="AV220" s="1043"/>
    </row>
    <row s="1621" customFormat="1" customHeight="1" ht="14.25">
      <c r="A221" s="1066"/>
      <c r="B221" s="1066"/>
      <c r="C221" s="1066"/>
      <c r="D221" s="1066"/>
      <c r="E221" s="675">
        <v>15</v>
      </c>
      <c r="F221" s="50" cm="1" t="str">
        <f t="array" ref="F221:F221">OFFSET(E221,-1,1)</f>
        <v>2</v>
      </c>
      <c r="G221" s="1066"/>
      <c r="H221" s="1066"/>
      <c r="I221" s="566" t="s">
        <v>1631</v>
      </c>
      <c r="J221" s="969" t="s">
        <v>1639</v>
      </c>
      <c r="K221" s="1066"/>
      <c r="L221" s="566"/>
      <c r="M221" s="566"/>
      <c r="N221" s="566"/>
      <c r="O221" s="566"/>
      <c r="P221" s="566"/>
      <c r="Q221" s="566"/>
      <c r="R221" s="566"/>
      <c r="S221" s="566"/>
      <c r="T221" s="439" cm="1" t="str">
        <f t="array" ref="T221:T221">T220</f>
        <v>true</v>
      </c>
      <c r="U221" s="1066"/>
      <c r="V221" s="1066"/>
      <c r="W221" s="1066"/>
      <c r="X221" s="1577"/>
      <c r="Y221" s="1066"/>
      <c r="Z221" s="1578"/>
      <c r="AA221" s="1066"/>
      <c r="AB221" s="788" t="s">
        <v>1640</v>
      </c>
      <c r="AC221" s="789" t="s">
        <v>1641</v>
      </c>
      <c r="AD221" s="740" t="s">
        <v>784</v>
      </c>
      <c r="AE221" s="790"/>
      <c r="AF221" s="790"/>
      <c r="AG221" s="790"/>
      <c r="AH221" s="783">
        <f>AG221-AF221</f>
        <v>0</v>
      </c>
      <c r="AI221" s="790"/>
      <c r="AJ221" s="790"/>
      <c r="AK221" s="790"/>
      <c r="AL221" s="783">
        <f>IF(AI221=0,0,(AK221-AI221)/AI221*100)</f>
        <v>0</v>
      </c>
      <c r="AM221" s="784"/>
      <c r="AN221" s="784"/>
      <c r="AO221" s="784"/>
      <c r="AP221" s="1066"/>
      <c r="AQ221" s="1066"/>
      <c r="AR221" s="1046" t="s">
        <v>1642</v>
      </c>
      <c r="AS221" s="1046"/>
      <c r="AT221" s="1046"/>
      <c r="AU221" s="1043"/>
      <c r="AV221" s="1043"/>
    </row>
    <row s="1621" customFormat="1" customHeight="1" ht="14.25">
      <c r="A222" s="1066"/>
      <c r="B222" s="1066"/>
      <c r="C222" s="1066"/>
      <c r="D222" s="1066"/>
      <c r="E222" s="675">
        <v>15</v>
      </c>
      <c r="F222" s="50" cm="1" t="str">
        <f t="array" ref="F222:F222">OFFSET(E222,-1,1)</f>
        <v>2</v>
      </c>
      <c r="G222" s="1066"/>
      <c r="H222" s="1066"/>
      <c r="I222" s="566" t="s">
        <v>1631</v>
      </c>
      <c r="J222" s="969" t="s">
        <v>1643</v>
      </c>
      <c r="K222" s="1066"/>
      <c r="L222" s="566"/>
      <c r="M222" s="566"/>
      <c r="N222" s="566"/>
      <c r="O222" s="566"/>
      <c r="P222" s="566"/>
      <c r="Q222" s="566"/>
      <c r="R222" s="566"/>
      <c r="S222" s="566"/>
      <c r="T222" s="439" cm="1" t="str">
        <f t="array" ref="T222:T222">T221</f>
        <v>true</v>
      </c>
      <c r="U222" s="1066"/>
      <c r="V222" s="1066"/>
      <c r="W222" s="1066"/>
      <c r="X222" s="1577"/>
      <c r="Y222" s="1066"/>
      <c r="Z222" s="1578"/>
      <c r="AA222" s="1066"/>
      <c r="AB222" s="788" t="s">
        <v>1644</v>
      </c>
      <c r="AC222" s="789" t="s">
        <v>1645</v>
      </c>
      <c r="AD222" s="740" t="s">
        <v>784</v>
      </c>
      <c r="AE222" s="790"/>
      <c r="AF222" s="790"/>
      <c r="AG222" s="790"/>
      <c r="AH222" s="783">
        <f>AG222-AF222</f>
        <v>0</v>
      </c>
      <c r="AI222" s="790"/>
      <c r="AJ222" s="790"/>
      <c r="AK222" s="790"/>
      <c r="AL222" s="783">
        <f>IF(AI222=0,0,(AK222-AI222)/AI222*100)</f>
        <v>0</v>
      </c>
      <c r="AM222" s="784"/>
      <c r="AN222" s="784"/>
      <c r="AO222" s="784"/>
      <c r="AP222" s="1066"/>
      <c r="AQ222" s="1066"/>
      <c r="AR222" s="1046" t="s">
        <v>1646</v>
      </c>
      <c r="AS222" s="1046"/>
      <c r="AT222" s="1046"/>
      <c r="AU222" s="1043"/>
      <c r="AV222" s="1043"/>
    </row>
    <row s="1621" customFormat="1" customHeight="1" ht="14.25">
      <c r="A223" s="1066"/>
      <c r="B223" s="1066"/>
      <c r="C223" s="1066"/>
      <c r="D223" s="1066"/>
      <c r="E223" s="675">
        <v>15</v>
      </c>
      <c r="F223" s="50" cm="1" t="str">
        <f t="array" ref="F223:F223">OFFSET(E223,-1,1)</f>
        <v>2</v>
      </c>
      <c r="G223" s="1066"/>
      <c r="H223" s="1066"/>
      <c r="I223" s="566" t="s">
        <v>1631</v>
      </c>
      <c r="J223" s="969" t="s">
        <v>1647</v>
      </c>
      <c r="K223" s="1066"/>
      <c r="L223" s="566"/>
      <c r="M223" s="566"/>
      <c r="N223" s="566"/>
      <c r="O223" s="566"/>
      <c r="P223" s="566"/>
      <c r="Q223" s="566"/>
      <c r="R223" s="566"/>
      <c r="S223" s="566"/>
      <c r="T223" s="439" cm="1" t="str">
        <f t="array" ref="T223:T223">T222</f>
        <v>true</v>
      </c>
      <c r="U223" s="1066"/>
      <c r="V223" s="1066"/>
      <c r="W223" s="1066"/>
      <c r="X223" s="1577"/>
      <c r="Y223" s="1066"/>
      <c r="Z223" s="1578"/>
      <c r="AA223" s="1066"/>
      <c r="AB223" s="788" t="s">
        <v>1648</v>
      </c>
      <c r="AC223" s="789" t="s">
        <v>1649</v>
      </c>
      <c r="AD223" s="740" t="s">
        <v>784</v>
      </c>
      <c r="AE223" s="790"/>
      <c r="AF223" s="790"/>
      <c r="AG223" s="790"/>
      <c r="AH223" s="783">
        <f>AG223-AF223</f>
        <v>0</v>
      </c>
      <c r="AI223" s="790"/>
      <c r="AJ223" s="790"/>
      <c r="AK223" s="790"/>
      <c r="AL223" s="783">
        <f>IF(AI223=0,0,(AK223-AI223)/AI223*100)</f>
        <v>0</v>
      </c>
      <c r="AM223" s="784"/>
      <c r="AN223" s="784"/>
      <c r="AO223" s="784"/>
      <c r="AP223" s="1066"/>
      <c r="AQ223" s="1066"/>
      <c r="AR223" s="1046" t="s">
        <v>1650</v>
      </c>
      <c r="AS223" s="1046"/>
      <c r="AT223" s="1046"/>
      <c r="AU223" s="1043"/>
      <c r="AV223" s="1043"/>
    </row>
    <row s="1621" customFormat="1" customHeight="1" ht="14.25" hidden="1">
      <c r="A224" s="1066"/>
      <c r="B224" s="1066"/>
      <c r="C224" s="1066"/>
      <c r="D224" s="1066"/>
      <c r="E224" s="675">
        <v>15</v>
      </c>
      <c r="F224" s="50" cm="1" t="str">
        <f t="array" ref="F224:F224">OFFSET(E224,-1,1)</f>
        <v>2</v>
      </c>
      <c r="G224" s="1066"/>
      <c r="H224" s="1066"/>
      <c r="I224" s="566" t="s">
        <v>1631</v>
      </c>
      <c r="J224" s="556" cm="1" t="str">
        <f t="array" ref="J224:J224">AC224</f>
        <v>0</v>
      </c>
      <c r="K224" s="1066"/>
      <c r="L224" s="566"/>
      <c r="M224" s="566"/>
      <c r="N224" s="566"/>
      <c r="O224" s="566"/>
      <c r="P224" s="566"/>
      <c r="Q224" s="566"/>
      <c r="R224" s="566"/>
      <c r="S224" s="566"/>
      <c r="T224" s="439">
        <f>AND(F224&gt;0,Y224&gt;4)</f>
        <v>0</v>
      </c>
      <c r="U224" s="1066"/>
      <c r="V224" s="1066"/>
      <c r="W224" s="738" t="s">
        <v>173</v>
      </c>
      <c r="X224" s="1577"/>
      <c r="Y224" s="556">
        <v>4</v>
      </c>
      <c r="Z224" s="1578"/>
      <c r="AA224" s="1255" t="s">
        <v>174</v>
      </c>
      <c r="AB224" s="681" t="str">
        <f>"1.7."&amp;Y224</f>
        <v>1.7.4</v>
      </c>
      <c r="AC224" s="4414"/>
      <c r="AD224" s="740" t="s">
        <v>784</v>
      </c>
      <c r="AE224" s="790"/>
      <c r="AF224" s="790"/>
      <c r="AG224" s="790"/>
      <c r="AH224" s="783">
        <f>AG224-AF224</f>
        <v>0</v>
      </c>
      <c r="AI224" s="790"/>
      <c r="AJ224" s="4415"/>
      <c r="AK224" s="4415"/>
      <c r="AL224" s="783">
        <f>IF(AI224=0,0,(AK224-AI224)/AI224*100)</f>
        <v>0</v>
      </c>
      <c r="AM224" s="4416"/>
      <c r="AN224" s="4416"/>
      <c r="AO224" s="4416"/>
      <c r="AP224" s="1066"/>
      <c r="AQ224" s="1066"/>
      <c r="AR224" s="1046" t="s">
        <v>1651</v>
      </c>
      <c r="AS224" s="1046" t="s">
        <v>1652</v>
      </c>
      <c r="AT224" s="1044" cm="1" t="str">
        <f t="array" ref="AT224:AT224">AC224</f>
        <v>0</v>
      </c>
      <c r="AU224" s="1043"/>
      <c r="AV224" s="675" t="b">
        <v>1</v>
      </c>
    </row>
    <row s="1621" customFormat="1" customHeight="1" ht="14.25">
      <c r="A225" s="1066"/>
      <c r="B225" s="1066"/>
      <c r="C225" s="1066"/>
      <c r="D225" s="1066"/>
      <c r="E225" s="675">
        <v>15</v>
      </c>
      <c r="F225" s="50" cm="1" t="str">
        <f t="array" ref="F225:F225">OFFSET(E225,-1,1)</f>
        <v>2</v>
      </c>
      <c r="G225" s="1066"/>
      <c r="H225" s="1066"/>
      <c r="I225" s="676"/>
      <c r="J225" s="676" t="s">
        <v>1653</v>
      </c>
      <c r="K225" s="676"/>
      <c r="L225" s="676"/>
      <c r="M225" s="676"/>
      <c r="N225" s="676"/>
      <c r="O225" s="676"/>
      <c r="P225" s="676"/>
      <c r="Q225" s="676"/>
      <c r="R225" s="676"/>
      <c r="S225" s="676"/>
      <c r="T225" s="439">
        <f>F225&gt;0</f>
        <v>1</v>
      </c>
      <c r="U225" s="1066"/>
      <c r="V225" s="1066"/>
      <c r="W225" s="810" t="s">
        <v>392</v>
      </c>
      <c r="X225" s="1577"/>
      <c r="Y225" s="1066"/>
      <c r="Z225" s="1578"/>
      <c r="AA225" s="1066"/>
      <c r="AB225" s="1256"/>
      <c r="AC225" s="1257" t="s">
        <v>177</v>
      </c>
      <c r="AD225" s="1258"/>
      <c r="AE225" s="1258"/>
      <c r="AF225" s="1258"/>
      <c r="AG225" s="1258"/>
      <c r="AH225" s="1258"/>
      <c r="AI225" s="1258"/>
      <c r="AJ225" s="1258"/>
      <c r="AK225" s="1258"/>
      <c r="AL225" s="1258"/>
      <c r="AM225" s="1258"/>
      <c r="AN225" s="1258"/>
      <c r="AO225" s="1259"/>
      <c r="AP225" s="1066"/>
      <c r="AQ225" s="1066"/>
      <c r="AR225" s="1046"/>
      <c r="AS225" s="1046"/>
      <c r="AT225" s="1046"/>
      <c r="AU225" s="1043" t="s">
        <v>1652</v>
      </c>
      <c r="AV225" s="1043"/>
    </row>
    <row s="4511" customFormat="1" customHeight="1" ht="14.25">
      <c r="A226" s="567"/>
      <c r="B226" s="567"/>
      <c r="C226" s="567"/>
      <c r="D226" s="567"/>
      <c r="E226" s="677">
        <v>15</v>
      </c>
      <c r="F226" s="50" cm="1" t="str">
        <f t="array" ref="F226:F226">OFFSET(E226,-1,1)</f>
        <v>2</v>
      </c>
      <c r="G226" s="567"/>
      <c r="H226" s="567"/>
      <c r="I226" s="678" t="s">
        <v>326</v>
      </c>
      <c r="J226" s="678"/>
      <c r="K226" s="678"/>
      <c r="L226" s="678"/>
      <c r="M226" s="678"/>
      <c r="N226" s="678"/>
      <c r="O226" s="678"/>
      <c r="P226" s="678"/>
      <c r="Q226" s="678"/>
      <c r="R226" s="678"/>
      <c r="S226" s="678"/>
      <c r="T226" s="439" cm="1" t="str">
        <f t="array" ref="T226:T226">T225</f>
        <v>true</v>
      </c>
      <c r="U226" s="567"/>
      <c r="V226" s="567"/>
      <c r="W226" s="567"/>
      <c r="X226" s="1577"/>
      <c r="Y226" s="567"/>
      <c r="Z226" s="1578"/>
      <c r="AA226" s="567"/>
      <c r="AB226" s="785" t="s">
        <v>283</v>
      </c>
      <c r="AC226" s="781" t="s">
        <v>1654</v>
      </c>
      <c r="AD226" s="793" t="s">
        <v>784</v>
      </c>
      <c r="AE226" s="769">
        <f>AE227+AE228</f>
        <v>0</v>
      </c>
      <c r="AF226" s="769">
        <f>AF227+AF228</f>
        <v>0</v>
      </c>
      <c r="AG226" s="769">
        <f>AG227+AG228</f>
        <v>0</v>
      </c>
      <c r="AH226" s="782">
        <f>AG226-AF226</f>
        <v>0</v>
      </c>
      <c r="AI226" s="769">
        <f>AI227+AI228</f>
        <v>0</v>
      </c>
      <c r="AJ226" s="769">
        <f>AJ227+AJ228</f>
        <v>0</v>
      </c>
      <c r="AK226" s="769">
        <f>AK227+AK228</f>
        <v>0</v>
      </c>
      <c r="AL226" s="782">
        <f>IF(AI226=0,0,(AK226-AI226)/AI226*100)</f>
        <v>0</v>
      </c>
      <c r="AM226" s="787"/>
      <c r="AN226" s="787"/>
      <c r="AO226" s="787"/>
      <c r="AP226" s="567"/>
      <c r="AQ226" s="567"/>
      <c r="AR226" s="1047" t="s">
        <v>1655</v>
      </c>
      <c r="AS226" s="1047"/>
      <c r="AT226" s="1047"/>
      <c r="AU226" s="677"/>
      <c r="AV226" s="677"/>
    </row>
    <row s="1621" customFormat="1" customHeight="1" ht="32.25">
      <c r="A227" s="1066"/>
      <c r="B227" s="1066"/>
      <c r="C227" s="1066"/>
      <c r="D227" s="1066"/>
      <c r="E227" s="675">
        <v>33.75</v>
      </c>
      <c r="F227" s="50" cm="1" t="str">
        <f t="array" ref="F227:F227">OFFSET(E227,-1,1)</f>
        <v>2</v>
      </c>
      <c r="G227" s="1066"/>
      <c r="H227" s="1066"/>
      <c r="I227" s="566" t="s">
        <v>459</v>
      </c>
      <c r="J227" s="566"/>
      <c r="K227" s="566"/>
      <c r="L227" s="566"/>
      <c r="M227" s="566"/>
      <c r="N227" s="566"/>
      <c r="O227" s="566"/>
      <c r="P227" s="566"/>
      <c r="Q227" s="566"/>
      <c r="R227" s="566"/>
      <c r="S227" s="566"/>
      <c r="T227" s="439" cm="1" t="str">
        <f t="array" ref="T227:T227">T226</f>
        <v>true</v>
      </c>
      <c r="U227" s="1066"/>
      <c r="V227" s="1066"/>
      <c r="W227" s="1066"/>
      <c r="X227" s="1577"/>
      <c r="Y227" s="1066"/>
      <c r="Z227" s="1578"/>
      <c r="AA227" s="1066"/>
      <c r="AB227" s="788" t="s">
        <v>515</v>
      </c>
      <c r="AC227" s="794" t="s">
        <v>1656</v>
      </c>
      <c r="AD227" s="795" t="s">
        <v>784</v>
      </c>
      <c r="AE227" s="790"/>
      <c r="AF227" s="790"/>
      <c r="AG227" s="790"/>
      <c r="AH227" s="783">
        <f>AG227-AF227</f>
        <v>0</v>
      </c>
      <c r="AI227" s="790"/>
      <c r="AJ227" s="790"/>
      <c r="AK227" s="790"/>
      <c r="AL227" s="783">
        <f>IF(AI227=0,0,(AK227-AI227)/AI227*100)</f>
        <v>0</v>
      </c>
      <c r="AM227" s="784"/>
      <c r="AN227" s="784"/>
      <c r="AO227" s="784"/>
      <c r="AP227" s="1066"/>
      <c r="AQ227" s="1066"/>
      <c r="AR227" s="1046" t="s">
        <v>1657</v>
      </c>
      <c r="AS227" s="1046"/>
      <c r="AT227" s="1046"/>
      <c r="AU227" s="1043"/>
      <c r="AV227" s="1043"/>
    </row>
    <row s="1621" customFormat="1" customHeight="1" ht="34.5">
      <c r="A228" s="1066"/>
      <c r="B228" s="1066"/>
      <c r="C228" s="1066"/>
      <c r="D228" s="1066"/>
      <c r="E228" s="675">
        <v>36</v>
      </c>
      <c r="F228" s="50" cm="1" t="str">
        <f t="array" ref="F228:F228">OFFSET(E228,-1,1)</f>
        <v>2</v>
      </c>
      <c r="G228" s="1066"/>
      <c r="H228" s="1066"/>
      <c r="I228" s="566" t="s">
        <v>462</v>
      </c>
      <c r="J228" s="566"/>
      <c r="K228" s="566"/>
      <c r="L228" s="566"/>
      <c r="M228" s="566"/>
      <c r="N228" s="566"/>
      <c r="O228" s="566"/>
      <c r="P228" s="566"/>
      <c r="Q228" s="566"/>
      <c r="R228" s="566"/>
      <c r="S228" s="566"/>
      <c r="T228" s="439" cm="1" t="str">
        <f t="array" ref="T228:T228">T227</f>
        <v>true</v>
      </c>
      <c r="U228" s="1066"/>
      <c r="V228" s="1066"/>
      <c r="W228" s="1066"/>
      <c r="X228" s="1577"/>
      <c r="Y228" s="1066"/>
      <c r="Z228" s="1578"/>
      <c r="AA228" s="1066"/>
      <c r="AB228" s="788" t="s">
        <v>519</v>
      </c>
      <c r="AC228" s="794" t="s">
        <v>1658</v>
      </c>
      <c r="AD228" s="795" t="s">
        <v>784</v>
      </c>
      <c r="AE228" s="796">
        <f>AE229+AE230</f>
        <v>0</v>
      </c>
      <c r="AF228" s="796">
        <f>AF229+AF230</f>
        <v>0</v>
      </c>
      <c r="AG228" s="796">
        <f>AG229+AG230</f>
        <v>0</v>
      </c>
      <c r="AH228" s="783">
        <f>AG228-AF228</f>
        <v>0</v>
      </c>
      <c r="AI228" s="796">
        <f>AI229+AI230</f>
        <v>0</v>
      </c>
      <c r="AJ228" s="796">
        <f>AJ229+AJ230</f>
        <v>0</v>
      </c>
      <c r="AK228" s="796">
        <f>AK229+AK230</f>
        <v>0</v>
      </c>
      <c r="AL228" s="783">
        <f>IF(AI228=0,0,(AK228-AI228)/AI228*100)</f>
        <v>0</v>
      </c>
      <c r="AM228" s="784"/>
      <c r="AN228" s="784"/>
      <c r="AO228" s="784"/>
      <c r="AP228" s="1066"/>
      <c r="AQ228" s="1066"/>
      <c r="AR228" s="1046" t="s">
        <v>1659</v>
      </c>
      <c r="AS228" s="1046"/>
      <c r="AT228" s="1046"/>
      <c r="AU228" s="1043"/>
      <c r="AV228" s="1043"/>
    </row>
    <row s="1621" customFormat="1" customHeight="1" ht="14.25">
      <c r="A229" s="1066"/>
      <c r="B229" s="1066"/>
      <c r="C229" s="1066"/>
      <c r="D229" s="1066"/>
      <c r="E229" s="675">
        <v>15</v>
      </c>
      <c r="F229" s="50" cm="1" t="str">
        <f t="array" ref="F229:F229">OFFSET(E229,-1,1)</f>
        <v>2</v>
      </c>
      <c r="G229" s="556" t="s">
        <v>1053</v>
      </c>
      <c r="H229" s="1066"/>
      <c r="I229" s="566" t="s">
        <v>1660</v>
      </c>
      <c r="J229" s="566"/>
      <c r="K229" s="566"/>
      <c r="L229" s="566"/>
      <c r="M229" s="566"/>
      <c r="N229" s="566"/>
      <c r="O229" s="566"/>
      <c r="P229" s="566"/>
      <c r="Q229" s="566"/>
      <c r="R229" s="566"/>
      <c r="S229" s="566"/>
      <c r="T229" s="439" cm="1" t="str">
        <f t="array" ref="T229:T229">T228</f>
        <v>true</v>
      </c>
      <c r="U229" s="1066"/>
      <c r="V229" s="1066"/>
      <c r="W229" s="1066"/>
      <c r="X229" s="1577"/>
      <c r="Y229" s="1066"/>
      <c r="Z229" s="1578"/>
      <c r="AA229" s="1066"/>
      <c r="AB229" s="788" t="s">
        <v>473</v>
      </c>
      <c r="AC229" s="789" t="s">
        <v>1661</v>
      </c>
      <c r="AD229" s="795" t="s">
        <v>784</v>
      </c>
      <c r="AE229" s="783">
        <f>_xlfn.SUMIFS(ФОТ!AE$25:AE$102,ФОТ!$F$25:$F$102,$F229,ФОТ!$G$25:$G$102,$G229)</f>
        <v>0</v>
      </c>
      <c r="AF229" s="783">
        <f>_xlfn.SUMIFS(ФОТ!AF$25:AF$102,ФОТ!$F$25:$F$102,$F229,ФОТ!$G$25:$G$102,$G229)</f>
        <v>0</v>
      </c>
      <c r="AG229" s="783">
        <f>_xlfn.SUMIFS(ФОТ!AG$25:AG$102,ФОТ!$F$25:$F$102,$F229,ФОТ!$G$25:$G$102,$G229)</f>
        <v>0</v>
      </c>
      <c r="AH229" s="783">
        <f>AG229-AF229</f>
        <v>0</v>
      </c>
      <c r="AI229" s="783">
        <f>_xlfn.SUMIFS(ФОТ!AH$25:AH$102,ФОТ!$F$25:$F$102,$F229,ФОТ!$G$25:$G$102,$G229)</f>
        <v>0</v>
      </c>
      <c r="AJ229" s="783">
        <f>_xlfn.SUMIFS(ФОТ!AI$25:AI$102,ФОТ!$F$25:$F$102,$F229,ФОТ!$G$25:$G$102,$G229)</f>
        <v>0</v>
      </c>
      <c r="AK229" s="783">
        <f>_xlfn.SUMIFS(ФОТ!AJ$25:AJ$102,ФОТ!$F$25:$F$102,$F229,ФОТ!$G$25:$G$102,$G229)</f>
        <v>0</v>
      </c>
      <c r="AL229" s="783">
        <f>IF(AI229=0,0,(AK229-AI229)/AI229*100)</f>
        <v>0</v>
      </c>
      <c r="AM229" s="784"/>
      <c r="AN229" s="892" t="str">
        <f>IF(_xlfn.IFERROR(INDEX(ФОТ!$K$26:$L$102,MATCH($F229&amp;"3komm",ФОТ!$K$26:$K$102,0),2),"")=0,"",_xlfn.IFERROR(INDEX(ФОТ!$K$26:$L$102,MATCH($F229&amp;"3komm",ФОТ!$K$26:$K$102,0),2),""))</f>
        <v/>
      </c>
      <c r="AO229" s="784"/>
      <c r="AP229" s="1066"/>
      <c r="AQ229" s="1066"/>
      <c r="AR229" s="1046" t="s">
        <v>1662</v>
      </c>
      <c r="AS229" s="1046"/>
      <c r="AT229" s="1046"/>
      <c r="AU229" s="1043"/>
      <c r="AV229" s="1043"/>
    </row>
    <row s="1621" customFormat="1" customHeight="1" ht="21.75">
      <c r="A230" s="1066"/>
      <c r="B230" s="1066"/>
      <c r="C230" s="1066"/>
      <c r="D230" s="1066"/>
      <c r="E230" s="675">
        <v>22.5</v>
      </c>
      <c r="F230" s="50" cm="1" t="str">
        <f t="array" ref="F230:F230">OFFSET(E230,-1,1)</f>
        <v>2</v>
      </c>
      <c r="G230" s="556" t="s">
        <v>1058</v>
      </c>
      <c r="H230" s="1066"/>
      <c r="I230" s="566" t="s">
        <v>1663</v>
      </c>
      <c r="J230" s="566"/>
      <c r="K230" s="566"/>
      <c r="L230" s="566"/>
      <c r="M230" s="566"/>
      <c r="N230" s="566"/>
      <c r="O230" s="566"/>
      <c r="P230" s="566"/>
      <c r="Q230" s="566"/>
      <c r="R230" s="566"/>
      <c r="S230" s="566"/>
      <c r="T230" s="439" cm="1" t="str">
        <f t="array" ref="T230:T230">T229</f>
        <v>true</v>
      </c>
      <c r="U230" s="1066"/>
      <c r="V230" s="1066"/>
      <c r="W230" s="1066"/>
      <c r="X230" s="1577"/>
      <c r="Y230" s="1066"/>
      <c r="Z230" s="1578"/>
      <c r="AA230" s="1066"/>
      <c r="AB230" s="788" t="s">
        <v>1321</v>
      </c>
      <c r="AC230" s="789" t="s">
        <v>1664</v>
      </c>
      <c r="AD230" s="795" t="s">
        <v>784</v>
      </c>
      <c r="AE230" s="783">
        <f>_xlfn.SUMIFS(ФОТ!AE$25:AE$102,ФОТ!$F$25:$F$102,$F230,ФОТ!$G$25:$G$102,$G230)</f>
        <v>0</v>
      </c>
      <c r="AF230" s="783">
        <f>_xlfn.SUMIFS(ФОТ!AF$25:AF$102,ФОТ!$F$25:$F$102,$F230,ФОТ!$G$25:$G$102,$G230)</f>
        <v>0</v>
      </c>
      <c r="AG230" s="783">
        <f>_xlfn.SUMIFS(ФОТ!AG$25:AG$102,ФОТ!$F$25:$F$102,$F230,ФОТ!$G$25:$G$102,$G230)</f>
        <v>0</v>
      </c>
      <c r="AH230" s="783">
        <f>AG230-AF230</f>
        <v>0</v>
      </c>
      <c r="AI230" s="783">
        <f>_xlfn.SUMIFS(ФОТ!AH$25:AH$102,ФОТ!$F$25:$F$102,$F230,ФОТ!$G$25:$G$102,$G230)</f>
        <v>0</v>
      </c>
      <c r="AJ230" s="783">
        <f>_xlfn.SUMIFS(ФОТ!AI$25:AI$102,ФОТ!$F$25:$F$102,$F230,ФОТ!$G$25:$G$102,$G230)</f>
        <v>0</v>
      </c>
      <c r="AK230" s="783">
        <f>_xlfn.SUMIFS(ФОТ!AJ$25:AJ$102,ФОТ!$F$25:$F$102,$F230,ФОТ!$G$25:$G$102,$G230)</f>
        <v>0</v>
      </c>
      <c r="AL230" s="783">
        <f>IF(AI230=0,0,(AK230-AI230)/AI230*100)</f>
        <v>0</v>
      </c>
      <c r="AM230" s="784"/>
      <c r="AN230" s="892" t="str">
        <f>IF(_xlfn.IFERROR(INDEX(ФОТ!$K$26:$L$102,MATCH($F230&amp;"4komm",ФОТ!$K$26:$K$102,0),2),"")=0,"",_xlfn.IFERROR(INDEX(ФОТ!$K$26:$L$102,MATCH($F230&amp;"4komm",ФОТ!$K$26:$K$102,0),2),""))</f>
        <v/>
      </c>
      <c r="AO230" s="784"/>
      <c r="AP230" s="1066"/>
      <c r="AQ230" s="1066"/>
      <c r="AR230" s="1046" t="s">
        <v>1665</v>
      </c>
      <c r="AS230" s="1046"/>
      <c r="AT230" s="1046"/>
      <c r="AU230" s="1043"/>
      <c r="AV230" s="1043"/>
    </row>
    <row s="4512" customFormat="1" customHeight="1" ht="14.25">
      <c r="A231" s="567"/>
      <c r="B231" s="567"/>
      <c r="C231" s="567"/>
      <c r="D231" s="567"/>
      <c r="E231" s="677">
        <v>15</v>
      </c>
      <c r="F231" s="50" cm="1" t="str">
        <f t="array" ref="F231:F231">OFFSET(E231,-1,1)</f>
        <v>2</v>
      </c>
      <c r="G231" s="567"/>
      <c r="H231" s="567"/>
      <c r="I231" s="678" t="s">
        <v>327</v>
      </c>
      <c r="J231" s="678"/>
      <c r="K231" s="678"/>
      <c r="L231" s="678"/>
      <c r="M231" s="678"/>
      <c r="N231" s="678"/>
      <c r="O231" s="678"/>
      <c r="P231" s="678"/>
      <c r="Q231" s="678"/>
      <c r="R231" s="678"/>
      <c r="S231" s="678"/>
      <c r="T231" s="439" cm="1" t="str">
        <f t="array" ref="T231:T231">T230</f>
        <v>true</v>
      </c>
      <c r="U231" s="567"/>
      <c r="V231" s="567"/>
      <c r="W231" s="567"/>
      <c r="X231" s="1577"/>
      <c r="Y231" s="567"/>
      <c r="Z231" s="1578"/>
      <c r="AA231" s="567"/>
      <c r="AB231" s="785" t="s">
        <v>323</v>
      </c>
      <c r="AC231" s="781" t="s">
        <v>1666</v>
      </c>
      <c r="AD231" s="793" t="s">
        <v>784</v>
      </c>
      <c r="AE231" s="782">
        <f>AE232+AE233+AE236+AE237+AE238+AE239+AE240</f>
        <v>0</v>
      </c>
      <c r="AF231" s="782">
        <f>AF232+AF233+AF236+AF237+AF238+AF239+AF240</f>
        <v>0</v>
      </c>
      <c r="AG231" s="782">
        <f>AG232+AG233+AG236+AG237+AG238+AG239+AG240</f>
        <v>0</v>
      </c>
      <c r="AH231" s="782">
        <f>AG231-AF231</f>
        <v>0</v>
      </c>
      <c r="AI231" s="782">
        <f>AI232+AI233+AI236+AI237+AI238+AI239+AI240</f>
        <v>0</v>
      </c>
      <c r="AJ231" s="782">
        <f>AJ232+AJ233+AJ236+AJ237+AJ238+AJ239+AJ240</f>
        <v>0</v>
      </c>
      <c r="AK231" s="782">
        <f>AK232+AK233+AK236+AK237+AK238+AK239+AK240</f>
        <v>0</v>
      </c>
      <c r="AL231" s="782">
        <f>IF(AI231=0,0,(AK231-AI231)/AI231*100)</f>
        <v>0</v>
      </c>
      <c r="AM231" s="787"/>
      <c r="AN231" s="787"/>
      <c r="AO231" s="787"/>
      <c r="AP231" s="567"/>
      <c r="AQ231" s="567"/>
      <c r="AR231" s="1047" t="s">
        <v>1667</v>
      </c>
      <c r="AS231" s="1047"/>
      <c r="AT231" s="1047"/>
      <c r="AU231" s="677"/>
      <c r="AV231" s="677"/>
    </row>
    <row s="1621" customFormat="1" customHeight="1" ht="21.75">
      <c r="A232" s="1066"/>
      <c r="B232" s="1066"/>
      <c r="C232" s="1066"/>
      <c r="D232" s="1066"/>
      <c r="E232" s="675">
        <v>22.5</v>
      </c>
      <c r="F232" s="50" cm="1" t="str">
        <f t="array" ref="F232:F232">OFFSET(E232,-1,1)</f>
        <v>2</v>
      </c>
      <c r="G232" s="556" t="s">
        <v>1079</v>
      </c>
      <c r="H232" s="1066"/>
      <c r="I232" s="566" t="s">
        <v>875</v>
      </c>
      <c r="J232" s="566"/>
      <c r="K232" s="566"/>
      <c r="L232" s="566"/>
      <c r="M232" s="566"/>
      <c r="N232" s="566"/>
      <c r="O232" s="566"/>
      <c r="P232" s="566"/>
      <c r="Q232" s="566"/>
      <c r="R232" s="566"/>
      <c r="S232" s="566"/>
      <c r="T232" s="439" cm="1" t="str">
        <f t="array" ref="T232:T232">T231</f>
        <v>true</v>
      </c>
      <c r="U232" s="1066"/>
      <c r="V232" s="1066"/>
      <c r="W232" s="1066"/>
      <c r="X232" s="1577"/>
      <c r="Y232" s="1066"/>
      <c r="Z232" s="1578"/>
      <c r="AA232" s="1066"/>
      <c r="AB232" s="788" t="s">
        <v>529</v>
      </c>
      <c r="AC232" s="794" t="s">
        <v>1668</v>
      </c>
      <c r="AD232" s="795" t="s">
        <v>784</v>
      </c>
      <c r="AE232" s="226">
        <f>_xlfn.SUMIFS(Административные!AE$25:AE$84,Административные!$F$25:$F$84,$F232,Административные!$G$25:$G$84,$G232)</f>
        <v>0</v>
      </c>
      <c r="AF232" s="226">
        <f>_xlfn.SUMIFS(Административные!AF$25:AF$84,Административные!$F$25:$F$84,$F232,Административные!$G$25:$G$84,$G232)</f>
        <v>0</v>
      </c>
      <c r="AG232" s="226">
        <f>_xlfn.SUMIFS(Административные!AG$25:AG$84,Административные!$F$25:$F$84,$F232,Административные!$G$25:$G$84,$G232)</f>
        <v>0</v>
      </c>
      <c r="AH232" s="783">
        <f>AG232-AF232</f>
        <v>0</v>
      </c>
      <c r="AI232" s="226">
        <f>_xlfn.SUMIFS(Административные!AH$25:AH$84,Административные!$F$25:$F$84,$F232,Административные!$G$25:$G$84,$G232)</f>
        <v>0</v>
      </c>
      <c r="AJ232" s="226">
        <f>_xlfn.SUMIFS(Административные!AI$25:AI$84,Административные!$F$25:$F$84,$F232,Административные!$G$25:$G$84,$G232)</f>
        <v>0</v>
      </c>
      <c r="AK232" s="226">
        <f>_xlfn.SUMIFS(Административные!AJ$25:AJ$84,Административные!$F$25:$F$84,$F232,Административные!$G$25:$G$84,$G232)</f>
        <v>0</v>
      </c>
      <c r="AL232" s="783">
        <f>IF(AI232=0,0,(AK232-AI232)/AI232*100)</f>
        <v>0</v>
      </c>
      <c r="AM232" s="784"/>
      <c r="AN232" s="892" t="str">
        <f>IF(_xlfn.IFERROR(INDEX(Административные!$K$26:$L$84,MATCH($F232&amp;"17komm",Административные!$K$26:$K$84,0),2),"")=0,"",_xlfn.IFERROR(INDEX(Административные!$K$26:$L$84,MATCH($F232&amp;"17komm",Административные!$K$26:$K$84,0),2),""))</f>
        <v/>
      </c>
      <c r="AO232" s="784"/>
      <c r="AP232" s="1066"/>
      <c r="AQ232" s="1066"/>
      <c r="AR232" s="1046" t="s">
        <v>1081</v>
      </c>
      <c r="AS232" s="1046"/>
      <c r="AT232" s="1046"/>
      <c r="AU232" s="1043"/>
      <c r="AV232" s="1043"/>
    </row>
    <row s="1621" customFormat="1" customHeight="1" ht="32.25">
      <c r="A233" s="1066"/>
      <c r="B233" s="1066"/>
      <c r="C233" s="1066"/>
      <c r="D233" s="1066"/>
      <c r="E233" s="675">
        <v>33.75</v>
      </c>
      <c r="F233" s="50" cm="1" t="str">
        <f t="array" ref="F233:F233">OFFSET(E233,-1,1)</f>
        <v>2</v>
      </c>
      <c r="G233" s="1066"/>
      <c r="H233" s="1066"/>
      <c r="I233" s="566" t="s">
        <v>877</v>
      </c>
      <c r="J233" s="566"/>
      <c r="K233" s="566"/>
      <c r="L233" s="566"/>
      <c r="M233" s="566"/>
      <c r="N233" s="566"/>
      <c r="O233" s="566"/>
      <c r="P233" s="566"/>
      <c r="Q233" s="566"/>
      <c r="R233" s="566"/>
      <c r="S233" s="566"/>
      <c r="T233" s="439" cm="1" t="str">
        <f t="array" ref="T233:T233">T232</f>
        <v>true</v>
      </c>
      <c r="U233" s="1066"/>
      <c r="V233" s="1066"/>
      <c r="W233" s="1066"/>
      <c r="X233" s="1577"/>
      <c r="Y233" s="1066"/>
      <c r="Z233" s="1578"/>
      <c r="AA233" s="1066"/>
      <c r="AB233" s="788" t="s">
        <v>533</v>
      </c>
      <c r="AC233" s="794" t="s">
        <v>1669</v>
      </c>
      <c r="AD233" s="795" t="s">
        <v>784</v>
      </c>
      <c r="AE233" s="783">
        <f>AE234+AE235</f>
        <v>0</v>
      </c>
      <c r="AF233" s="783">
        <f>AF234+AF235</f>
        <v>0</v>
      </c>
      <c r="AG233" s="783">
        <f>AG234+AG235</f>
        <v>0</v>
      </c>
      <c r="AH233" s="783">
        <f>AG233-AF233</f>
        <v>0</v>
      </c>
      <c r="AI233" s="783">
        <f>AI234+AI235</f>
        <v>0</v>
      </c>
      <c r="AJ233" s="783">
        <f>AJ234+AJ235</f>
        <v>0</v>
      </c>
      <c r="AK233" s="783">
        <f>AK234+AK235</f>
        <v>0</v>
      </c>
      <c r="AL233" s="783">
        <f>IF(AI233=0,0,(AK233-AI233)/AI233*100)</f>
        <v>0</v>
      </c>
      <c r="AM233" s="784"/>
      <c r="AN233" s="784"/>
      <c r="AO233" s="784"/>
      <c r="AP233" s="1066"/>
      <c r="AQ233" s="1066"/>
      <c r="AR233" s="1046" t="s">
        <v>1670</v>
      </c>
      <c r="AS233" s="1046"/>
      <c r="AT233" s="1046"/>
      <c r="AU233" s="1043"/>
      <c r="AV233" s="1043"/>
    </row>
    <row s="1621" customFormat="1" customHeight="1" ht="21.75">
      <c r="A234" s="1066"/>
      <c r="B234" s="1066"/>
      <c r="C234" s="1066"/>
      <c r="D234" s="1066"/>
      <c r="E234" s="675">
        <v>22.5</v>
      </c>
      <c r="F234" s="50" cm="1" t="str">
        <f t="array" ref="F234:F234">OFFSET(E234,-1,1)</f>
        <v>2</v>
      </c>
      <c r="G234" s="1260" t="s">
        <v>1061</v>
      </c>
      <c r="H234" s="1066"/>
      <c r="I234" s="566" t="s">
        <v>477</v>
      </c>
      <c r="J234" s="566"/>
      <c r="K234" s="566"/>
      <c r="L234" s="566"/>
      <c r="M234" s="566"/>
      <c r="N234" s="566"/>
      <c r="O234" s="566"/>
      <c r="P234" s="566"/>
      <c r="Q234" s="566"/>
      <c r="R234" s="566"/>
      <c r="S234" s="566"/>
      <c r="T234" s="439" cm="1" t="str">
        <f t="array" ref="T234:T234">T233</f>
        <v>true</v>
      </c>
      <c r="U234" s="1066"/>
      <c r="V234" s="1066"/>
      <c r="W234" s="1066"/>
      <c r="X234" s="1577"/>
      <c r="Y234" s="1066"/>
      <c r="Z234" s="1578"/>
      <c r="AA234" s="1066"/>
      <c r="AB234" s="788" t="s">
        <v>744</v>
      </c>
      <c r="AC234" s="789" t="s">
        <v>1671</v>
      </c>
      <c r="AD234" s="795" t="s">
        <v>784</v>
      </c>
      <c r="AE234" s="783">
        <f>_xlfn.SUMIFS(ФОТ!AE$25:AE$102,ФОТ!$F$25:$F$102,$F234,ФОТ!$G$25:$G$102,$G234)</f>
        <v>0</v>
      </c>
      <c r="AF234" s="783">
        <f>_xlfn.SUMIFS(ФОТ!AF$25:AF$102,ФОТ!$F$25:$F$102,$F234,ФОТ!$G$25:$G$102,$G234)</f>
        <v>0</v>
      </c>
      <c r="AG234" s="783">
        <f>_xlfn.SUMIFS(ФОТ!AG$25:AG$102,ФОТ!$F$25:$F$102,$F234,ФОТ!$G$25:$G$102,$G234)</f>
        <v>0</v>
      </c>
      <c r="AH234" s="783">
        <f>AG234-AF234</f>
        <v>0</v>
      </c>
      <c r="AI234" s="783">
        <f>_xlfn.SUMIFS(ФОТ!AH$25:AH$102,ФОТ!$F$25:$F$102,$F234,ФОТ!$G$25:$G$102,$G234)</f>
        <v>0</v>
      </c>
      <c r="AJ234" s="783">
        <f>_xlfn.SUMIFS(ФОТ!AI$25:AI$102,ФОТ!$F$25:$F$102,$F234,ФОТ!$G$25:$G$102,$G234)</f>
        <v>0</v>
      </c>
      <c r="AK234" s="783">
        <f>_xlfn.SUMIFS(ФОТ!AJ$25:AJ$102,ФОТ!$F$25:$F$102,$F234,ФОТ!$G$25:$G$102,$G234)</f>
        <v>0</v>
      </c>
      <c r="AL234" s="783">
        <f>IF(AI234=0,0,(AK234-AI234)/AI234*100)</f>
        <v>0</v>
      </c>
      <c r="AM234" s="784"/>
      <c r="AN234" s="892" t="str">
        <f>IF(_xlfn.IFERROR(INDEX(ФОТ!$K$26:$L$102,MATCH($F234&amp;"5komm",ФОТ!$K$26:$K$102,0),2),"")=0,"",_xlfn.IFERROR(INDEX(ФОТ!$K$26:$L$102,MATCH($F234&amp;"5komm",ФОТ!$K$26:$K$102,0),2),""))</f>
        <v/>
      </c>
      <c r="AO234" s="784"/>
      <c r="AP234" s="1066"/>
      <c r="AQ234" s="1066"/>
      <c r="AR234" s="1046" t="s">
        <v>1078</v>
      </c>
      <c r="AS234" s="1046"/>
      <c r="AT234" s="1046"/>
      <c r="AU234" s="1043"/>
      <c r="AV234" s="1043"/>
    </row>
    <row s="1621" customFormat="1" customHeight="1" ht="32.25">
      <c r="A235" s="1066"/>
      <c r="B235" s="1066"/>
      <c r="C235" s="1066"/>
      <c r="D235" s="1066"/>
      <c r="E235" s="675">
        <v>33.75</v>
      </c>
      <c r="F235" s="50" cm="1" t="str">
        <f t="array" ref="F235:F235">OFFSET(E235,-1,1)</f>
        <v>2</v>
      </c>
      <c r="G235" s="472" t="s">
        <v>1066</v>
      </c>
      <c r="H235" s="1066"/>
      <c r="I235" s="566" t="s">
        <v>482</v>
      </c>
      <c r="J235" s="566"/>
      <c r="K235" s="566"/>
      <c r="L235" s="566"/>
      <c r="M235" s="566"/>
      <c r="N235" s="566"/>
      <c r="O235" s="566"/>
      <c r="P235" s="566"/>
      <c r="Q235" s="566"/>
      <c r="R235" s="566"/>
      <c r="S235" s="566"/>
      <c r="T235" s="439" cm="1" t="str">
        <f t="array" ref="T235:T235">T234</f>
        <v>true</v>
      </c>
      <c r="U235" s="1066"/>
      <c r="V235" s="1066"/>
      <c r="W235" s="1066"/>
      <c r="X235" s="1577"/>
      <c r="Y235" s="1066"/>
      <c r="Z235" s="1578"/>
      <c r="AA235" s="1066"/>
      <c r="AB235" s="788" t="s">
        <v>747</v>
      </c>
      <c r="AC235" s="789" t="s">
        <v>1672</v>
      </c>
      <c r="AD235" s="795" t="s">
        <v>784</v>
      </c>
      <c r="AE235" s="783">
        <f>_xlfn.SUMIFS(ФОТ!AE$25:AE$102,ФОТ!$F$25:$F$102,$F235,ФОТ!$G$25:$G$102,$G235)</f>
        <v>0</v>
      </c>
      <c r="AF235" s="783">
        <f>_xlfn.SUMIFS(ФОТ!AF$25:AF$102,ФОТ!$F$25:$F$102,$F235,ФОТ!$G$25:$G$102,$G235)</f>
        <v>0</v>
      </c>
      <c r="AG235" s="783">
        <f>_xlfn.SUMIFS(ФОТ!AG$25:AG$102,ФОТ!$F$25:$F$102,$F235,ФОТ!$G$25:$G$102,$G235)</f>
        <v>0</v>
      </c>
      <c r="AH235" s="783">
        <f>AG235-AF235</f>
        <v>0</v>
      </c>
      <c r="AI235" s="783">
        <f>_xlfn.SUMIFS(ФОТ!AH$25:AH$102,ФОТ!$F$25:$F$102,$F235,ФОТ!$G$25:$G$102,$G235)</f>
        <v>0</v>
      </c>
      <c r="AJ235" s="783">
        <f>_xlfn.SUMIFS(ФОТ!AI$25:AI$102,ФОТ!$F$25:$F$102,$F235,ФОТ!$G$25:$G$102,$G235)</f>
        <v>0</v>
      </c>
      <c r="AK235" s="783">
        <f>_xlfn.SUMIFS(ФОТ!AJ$25:AJ$102,ФОТ!$F$25:$F$102,$F235,ФОТ!$G$25:$G$102,$G235)</f>
        <v>0</v>
      </c>
      <c r="AL235" s="783">
        <f>IF(AI235=0,0,(AK235-AI235)/AI235*100)</f>
        <v>0</v>
      </c>
      <c r="AM235" s="784"/>
      <c r="AN235" s="892" t="str">
        <f>IF(_xlfn.IFERROR(INDEX(ФОТ!$K$26:$L$102,MATCH($F235&amp;"6komm",ФОТ!$K$26:$K$102,0),2),"")=0,"",_xlfn.IFERROR(INDEX(ФОТ!$K$26:$L$102,MATCH($F235&amp;"6komm",ФОТ!$K$26:$K$102,0),2),""))</f>
        <v/>
      </c>
      <c r="AO235" s="784"/>
      <c r="AP235" s="1066"/>
      <c r="AQ235" s="1066"/>
      <c r="AR235" s="1046" t="s">
        <v>1673</v>
      </c>
      <c r="AS235" s="1046"/>
      <c r="AT235" s="1046"/>
      <c r="AU235" s="1043"/>
      <c r="AV235" s="1043"/>
    </row>
    <row s="1621" customFormat="1" customHeight="1" ht="32.25">
      <c r="A236" s="1066"/>
      <c r="B236" s="1066"/>
      <c r="C236" s="1066"/>
      <c r="D236" s="1066"/>
      <c r="E236" s="675">
        <v>33.75</v>
      </c>
      <c r="F236" s="50" cm="1" t="str">
        <f t="array" ref="F236:F236">OFFSET(E236,-1,1)</f>
        <v>2</v>
      </c>
      <c r="G236" s="556" t="s">
        <v>1107</v>
      </c>
      <c r="H236" s="1066"/>
      <c r="I236" s="566" t="s">
        <v>879</v>
      </c>
      <c r="J236" s="566"/>
      <c r="K236" s="566"/>
      <c r="L236" s="566"/>
      <c r="M236" s="566"/>
      <c r="N236" s="566"/>
      <c r="O236" s="566"/>
      <c r="P236" s="566"/>
      <c r="Q236" s="566"/>
      <c r="R236" s="566"/>
      <c r="S236" s="566"/>
      <c r="T236" s="439" cm="1" t="str">
        <f t="array" ref="T236:T236">T235</f>
        <v>true</v>
      </c>
      <c r="U236" s="1066"/>
      <c r="V236" s="1066"/>
      <c r="W236" s="1066"/>
      <c r="X236" s="1577"/>
      <c r="Y236" s="1066"/>
      <c r="Z236" s="1578"/>
      <c r="AA236" s="1066"/>
      <c r="AB236" s="788" t="s">
        <v>750</v>
      </c>
      <c r="AC236" s="794" t="s">
        <v>1674</v>
      </c>
      <c r="AD236" s="795" t="s">
        <v>784</v>
      </c>
      <c r="AE236" s="783">
        <f>_xlfn.SUMIFS(Административные!AE$25:AE$84,Административные!$F$25:$F$84,$F236,Административные!$G$25:$G$84,$G236)</f>
        <v>0</v>
      </c>
      <c r="AF236" s="783">
        <f>_xlfn.SUMIFS(Административные!AF$25:AF$84,Административные!$F$25:$F$84,$F236,Административные!$G$25:$G$84,$G236)</f>
        <v>0</v>
      </c>
      <c r="AG236" s="783">
        <f>_xlfn.SUMIFS(Административные!AG$25:AG$84,Административные!$F$25:$F$84,$F236,Административные!$G$25:$G$84,$G236)</f>
        <v>0</v>
      </c>
      <c r="AH236" s="783">
        <f>AG236-AF236</f>
        <v>0</v>
      </c>
      <c r="AI236" s="783">
        <f>_xlfn.SUMIFS(Административные!AH$25:AH$84,Административные!$F$25:$F$84,$F236,Административные!$G$25:$G$84,$G236)</f>
        <v>0</v>
      </c>
      <c r="AJ236" s="783">
        <f>_xlfn.SUMIFS(Административные!AI$25:AI$84,Административные!$F$25:$F$84,$F236,Административные!$G$25:$G$84,$G236)</f>
        <v>0</v>
      </c>
      <c r="AK236" s="783">
        <f>_xlfn.SUMIFS(Административные!AJ$25:AJ$84,Административные!$F$25:$F$84,$F236,Административные!$G$25:$G$84,$G236)</f>
        <v>0</v>
      </c>
      <c r="AL236" s="783">
        <f>IF(AI236=0,0,(AK236-AI236)/AI236*100)</f>
        <v>0</v>
      </c>
      <c r="AM236" s="784"/>
      <c r="AN236" s="892" t="str">
        <f>IF(_xlfn.IFERROR(INDEX(Административные!$K$26:$L$84,MATCH($F236&amp;"2komm",Административные!$K$26:$K$84,0),2),"")=0,"",_xlfn.IFERROR(INDEX(Административные!$K$26:$L$84,MATCH($F236&amp;"2komm",Административные!$K$26:$K$84,0),2),""))</f>
        <v/>
      </c>
      <c r="AO236" s="784"/>
      <c r="AP236" s="1066"/>
      <c r="AQ236" s="1066"/>
      <c r="AR236" s="1046" t="s">
        <v>1109</v>
      </c>
      <c r="AS236" s="1046"/>
      <c r="AT236" s="1046"/>
      <c r="AU236" s="1043"/>
      <c r="AV236" s="1043"/>
    </row>
    <row s="1621" customFormat="1" customHeight="1" ht="14.25">
      <c r="A237" s="1066"/>
      <c r="B237" s="1066"/>
      <c r="C237" s="1066"/>
      <c r="D237" s="1066"/>
      <c r="E237" s="675">
        <v>15</v>
      </c>
      <c r="F237" s="50" cm="1" t="str">
        <f t="array" ref="F237:F237">OFFSET(E237,-1,1)</f>
        <v>2</v>
      </c>
      <c r="G237" s="556" t="s">
        <v>1110</v>
      </c>
      <c r="H237" s="1066"/>
      <c r="I237" s="566" t="s">
        <v>881</v>
      </c>
      <c r="J237" s="566"/>
      <c r="K237" s="566"/>
      <c r="L237" s="566"/>
      <c r="M237" s="566"/>
      <c r="N237" s="566"/>
      <c r="O237" s="566"/>
      <c r="P237" s="566"/>
      <c r="Q237" s="566"/>
      <c r="R237" s="566"/>
      <c r="S237" s="566"/>
      <c r="T237" s="439" cm="1" t="str">
        <f t="array" ref="T237:T237">T236</f>
        <v>true</v>
      </c>
      <c r="U237" s="1066"/>
      <c r="V237" s="1066"/>
      <c r="W237" s="1066"/>
      <c r="X237" s="1577"/>
      <c r="Y237" s="1066"/>
      <c r="Z237" s="1578"/>
      <c r="AA237" s="1066"/>
      <c r="AB237" s="788" t="s">
        <v>882</v>
      </c>
      <c r="AC237" s="794" t="s">
        <v>1111</v>
      </c>
      <c r="AD237" s="795" t="s">
        <v>784</v>
      </c>
      <c r="AE237" s="783">
        <f>_xlfn.SUMIFS(Административные!AE$25:AE$84,Административные!$F$25:$F$84,$F237,Административные!$G$25:$G$84,$G237)</f>
        <v>0</v>
      </c>
      <c r="AF237" s="783">
        <f>_xlfn.SUMIFS(Административные!AF$25:AF$84,Административные!$F$25:$F$84,$F237,Административные!$G$25:$G$84,$G237)</f>
        <v>0</v>
      </c>
      <c r="AG237" s="783">
        <f>_xlfn.SUMIFS(Административные!AG$25:AG$84,Административные!$F$25:$F$84,$F237,Административные!$G$25:$G$84,$G237)</f>
        <v>0</v>
      </c>
      <c r="AH237" s="783">
        <f>AG237-AF237</f>
        <v>0</v>
      </c>
      <c r="AI237" s="783">
        <f>_xlfn.SUMIFS(Административные!AH$25:AH$84,Административные!$F$25:$F$84,$F237,Административные!$G$25:$G$84,$G237)</f>
        <v>0</v>
      </c>
      <c r="AJ237" s="783">
        <f>_xlfn.SUMIFS(Административные!AI$25:AI$84,Административные!$F$25:$F$84,$F237,Административные!$G$25:$G$84,$G237)</f>
        <v>0</v>
      </c>
      <c r="AK237" s="783">
        <f>_xlfn.SUMIFS(Административные!AJ$25:AJ$84,Административные!$F$25:$F$84,$F237,Административные!$G$25:$G$84,$G237)</f>
        <v>0</v>
      </c>
      <c r="AL237" s="783">
        <f>IF(AI237=0,0,(AK237-AI237)/AI237*100)</f>
        <v>0</v>
      </c>
      <c r="AM237" s="784"/>
      <c r="AN237" s="892" t="str">
        <f>IF(_xlfn.IFERROR(INDEX(Административные!$K$26:$L$84,MATCH($F237&amp;"3komm",Административные!$K$26:$K$84,0),2),"")=0,"",_xlfn.IFERROR(INDEX(Административные!$K$26:$L$84,MATCH($F237&amp;"3komm",Административные!$K$26:$K$84,0),2),""))</f>
        <v/>
      </c>
      <c r="AO237" s="784"/>
      <c r="AP237" s="1066"/>
      <c r="AQ237" s="1066"/>
      <c r="AR237" s="1046" t="s">
        <v>1112</v>
      </c>
      <c r="AS237" s="1046"/>
      <c r="AT237" s="1046"/>
      <c r="AU237" s="1043"/>
      <c r="AV237" s="1043"/>
    </row>
    <row s="1621" customFormat="1" customHeight="1" ht="14.25">
      <c r="A238" s="1066"/>
      <c r="B238" s="1066"/>
      <c r="C238" s="1066"/>
      <c r="D238" s="1066"/>
      <c r="E238" s="675">
        <v>15</v>
      </c>
      <c r="F238" s="50" cm="1" t="str">
        <f t="array" ref="F238:F238">OFFSET(E238,-1,1)</f>
        <v>2</v>
      </c>
      <c r="G238" s="556" t="s">
        <v>1113</v>
      </c>
      <c r="H238" s="1066"/>
      <c r="I238" s="566" t="s">
        <v>884</v>
      </c>
      <c r="J238" s="566"/>
      <c r="K238" s="566"/>
      <c r="L238" s="566"/>
      <c r="M238" s="566"/>
      <c r="N238" s="566"/>
      <c r="O238" s="566"/>
      <c r="P238" s="566"/>
      <c r="Q238" s="566"/>
      <c r="R238" s="566"/>
      <c r="S238" s="566"/>
      <c r="T238" s="439" cm="1" t="str">
        <f t="array" ref="T238:T238">T237</f>
        <v>true</v>
      </c>
      <c r="U238" s="1066"/>
      <c r="V238" s="1066"/>
      <c r="W238" s="1066"/>
      <c r="X238" s="1577"/>
      <c r="Y238" s="1066"/>
      <c r="Z238" s="1578"/>
      <c r="AA238" s="1066"/>
      <c r="AB238" s="788" t="s">
        <v>885</v>
      </c>
      <c r="AC238" s="794" t="s">
        <v>1114</v>
      </c>
      <c r="AD238" s="795" t="s">
        <v>784</v>
      </c>
      <c r="AE238" s="783">
        <f>_xlfn.SUMIFS(Административные!AE$25:AE$84,Административные!$F$25:$F$84,$F238,Административные!$G$25:$G$84,$G238)</f>
        <v>0</v>
      </c>
      <c r="AF238" s="783">
        <f>_xlfn.SUMIFS(Административные!AF$25:AF$84,Административные!$F$25:$F$84,$F238,Административные!$G$25:$G$84,$G238)</f>
        <v>0</v>
      </c>
      <c r="AG238" s="783">
        <f>_xlfn.SUMIFS(Административные!AG$25:AG$84,Административные!$F$25:$F$84,$F238,Административные!$G$25:$G$84,$G238)</f>
        <v>0</v>
      </c>
      <c r="AH238" s="783">
        <f>AG238-AF238</f>
        <v>0</v>
      </c>
      <c r="AI238" s="783">
        <f>_xlfn.SUMIFS(Административные!AH$25:AH$84,Административные!$F$25:$F$84,$F238,Административные!$G$25:$G$84,$G238)</f>
        <v>0</v>
      </c>
      <c r="AJ238" s="783">
        <f>_xlfn.SUMIFS(Административные!AI$25:AI$84,Административные!$F$25:$F$84,$F238,Административные!$G$25:$G$84,$G238)</f>
        <v>0</v>
      </c>
      <c r="AK238" s="783">
        <f>_xlfn.SUMIFS(Административные!AJ$25:AJ$84,Административные!$F$25:$F$84,$F238,Административные!$G$25:$G$84,$G238)</f>
        <v>0</v>
      </c>
      <c r="AL238" s="783">
        <f>IF(AI238=0,0,(AK238-AI238)/AI238*100)</f>
        <v>0</v>
      </c>
      <c r="AM238" s="784"/>
      <c r="AN238" s="892" t="str">
        <f>IF(_xlfn.IFERROR(INDEX(Административные!$K$26:$L$84,MATCH($F238&amp;"4komm",Административные!$K$26:$K$84,0),2),"")=0,"",_xlfn.IFERROR(INDEX(Административные!$K$26:$L$84,MATCH($F238&amp;"4komm",Административные!$K$26:$K$84,0),2),""))</f>
        <v/>
      </c>
      <c r="AO238" s="784"/>
      <c r="AP238" s="1066"/>
      <c r="AQ238" s="1066"/>
      <c r="AR238" s="1046" t="s">
        <v>1115</v>
      </c>
      <c r="AS238" s="1046"/>
      <c r="AT238" s="1046"/>
      <c r="AU238" s="1043"/>
      <c r="AV238" s="1043"/>
    </row>
    <row s="1621" customFormat="1" customHeight="1" ht="14.25">
      <c r="A239" s="1066"/>
      <c r="B239" s="1066"/>
      <c r="C239" s="1066"/>
      <c r="D239" s="1066"/>
      <c r="E239" s="675">
        <v>15</v>
      </c>
      <c r="F239" s="50" cm="1" t="str">
        <f t="array" ref="F239:F239">OFFSET(E239,-1,1)</f>
        <v>2</v>
      </c>
      <c r="G239" s="556" t="s">
        <v>1116</v>
      </c>
      <c r="H239" s="1066"/>
      <c r="I239" s="566" t="s">
        <v>1098</v>
      </c>
      <c r="J239" s="566"/>
      <c r="K239" s="566"/>
      <c r="L239" s="566"/>
      <c r="M239" s="566"/>
      <c r="N239" s="566"/>
      <c r="O239" s="566"/>
      <c r="P239" s="566"/>
      <c r="Q239" s="566"/>
      <c r="R239" s="566"/>
      <c r="S239" s="566"/>
      <c r="T239" s="439" cm="1" t="str">
        <f t="array" ref="T239:T239">T238</f>
        <v>true</v>
      </c>
      <c r="U239" s="1066"/>
      <c r="V239" s="1066"/>
      <c r="W239" s="1066"/>
      <c r="X239" s="1577"/>
      <c r="Y239" s="1066"/>
      <c r="Z239" s="1578"/>
      <c r="AA239" s="1066"/>
      <c r="AB239" s="788" t="s">
        <v>1099</v>
      </c>
      <c r="AC239" s="794" t="s">
        <v>1117</v>
      </c>
      <c r="AD239" s="795" t="s">
        <v>784</v>
      </c>
      <c r="AE239" s="783">
        <f>_xlfn.SUMIFS(Административные!AE$25:AE$84,Административные!$F$25:$F$84,$F239,Административные!$G$25:$G$84,$G239)</f>
        <v>0</v>
      </c>
      <c r="AF239" s="783">
        <f>_xlfn.SUMIFS(Административные!AF$25:AF$84,Административные!$F$25:$F$84,$F239,Административные!$G$25:$G$84,$G239)</f>
        <v>0</v>
      </c>
      <c r="AG239" s="783">
        <f>_xlfn.SUMIFS(Административные!AG$25:AG$84,Административные!$F$25:$F$84,$F239,Административные!$G$25:$G$84,$G239)</f>
        <v>0</v>
      </c>
      <c r="AH239" s="783">
        <f>AG239-AF239</f>
        <v>0</v>
      </c>
      <c r="AI239" s="783">
        <f>_xlfn.SUMIFS(Административные!AH$25:AH$84,Административные!$F$25:$F$84,$F239,Административные!$G$25:$G$84,$G239)</f>
        <v>0</v>
      </c>
      <c r="AJ239" s="783">
        <f>_xlfn.SUMIFS(Административные!AI$25:AI$84,Административные!$F$25:$F$84,$F239,Административные!$G$25:$G$84,$G239)</f>
        <v>0</v>
      </c>
      <c r="AK239" s="783">
        <f>_xlfn.SUMIFS(Административные!AJ$25:AJ$84,Административные!$F$25:$F$84,$F239,Административные!$G$25:$G$84,$G239)</f>
        <v>0</v>
      </c>
      <c r="AL239" s="783">
        <f>IF(AI239=0,0,(AK239-AI239)/AI239*100)</f>
        <v>0</v>
      </c>
      <c r="AM239" s="784"/>
      <c r="AN239" s="892" t="str">
        <f>IF(_xlfn.IFERROR(INDEX(Административные!$K$26:$L$84,MATCH($F235&amp;"5komm",Административные!$K$26:$K$84,0),2),"")=0,"",_xlfn.IFERROR(INDEX(Административные!$K$26:$L$84,MATCH($F235&amp;"5komm",Административные!$K$26:$K$84,0),2),""))</f>
        <v/>
      </c>
      <c r="AO239" s="784"/>
      <c r="AP239" s="1066"/>
      <c r="AQ239" s="1066"/>
      <c r="AR239" s="1046" t="s">
        <v>1675</v>
      </c>
      <c r="AS239" s="1046"/>
      <c r="AT239" s="1046"/>
      <c r="AU239" s="1043"/>
      <c r="AV239" s="1043"/>
    </row>
    <row s="1621" customFormat="1" customHeight="1" ht="14.25">
      <c r="A240" s="1066"/>
      <c r="B240" s="1066"/>
      <c r="C240" s="1066"/>
      <c r="D240" s="1066"/>
      <c r="E240" s="675">
        <v>15</v>
      </c>
      <c r="F240" s="50" cm="1" t="str">
        <f t="array" ref="F240:F240">OFFSET(E240,-1,1)</f>
        <v>2</v>
      </c>
      <c r="G240" s="556" t="s">
        <v>1119</v>
      </c>
      <c r="H240" s="1066"/>
      <c r="I240" s="566" t="s">
        <v>1103</v>
      </c>
      <c r="J240" s="566"/>
      <c r="K240" s="566"/>
      <c r="L240" s="566"/>
      <c r="M240" s="566"/>
      <c r="N240" s="566"/>
      <c r="O240" s="566"/>
      <c r="P240" s="566"/>
      <c r="Q240" s="566"/>
      <c r="R240" s="566"/>
      <c r="S240" s="566"/>
      <c r="T240" s="439" cm="1" t="str">
        <f t="array" ref="T240:T240">T239</f>
        <v>true</v>
      </c>
      <c r="U240" s="1066"/>
      <c r="V240" s="1066"/>
      <c r="W240" s="1066"/>
      <c r="X240" s="1577"/>
      <c r="Y240" s="1066"/>
      <c r="Z240" s="1578"/>
      <c r="AA240" s="1066"/>
      <c r="AB240" s="788" t="s">
        <v>1104</v>
      </c>
      <c r="AC240" s="794" t="s">
        <v>1676</v>
      </c>
      <c r="AD240" s="795" t="s">
        <v>784</v>
      </c>
      <c r="AE240" s="783">
        <f>_xlfn.SUMIFS(Административные!AE$25:AE$84,Административные!$F$25:$F$84,$F240,Административные!$G$25:$G$84,$G240)</f>
        <v>0</v>
      </c>
      <c r="AF240" s="783">
        <f>_xlfn.SUMIFS(Административные!AF$25:AF$84,Административные!$F$25:$F$84,$F240,Административные!$G$25:$G$84,$G240)</f>
        <v>0</v>
      </c>
      <c r="AG240" s="783">
        <f>_xlfn.SUMIFS(Административные!AG$25:AG$84,Административные!$F$25:$F$84,$F240,Административные!$G$25:$G$84,$G240)</f>
        <v>0</v>
      </c>
      <c r="AH240" s="783">
        <f>AG240-AF240</f>
        <v>0</v>
      </c>
      <c r="AI240" s="783">
        <f>_xlfn.SUMIFS(Административные!AH$25:AH$84,Административные!$F$25:$F$84,$F240,Административные!$G$25:$G$84,$G240)</f>
        <v>0</v>
      </c>
      <c r="AJ240" s="783">
        <f>_xlfn.SUMIFS(Административные!AI$25:AI$84,Административные!$F$25:$F$84,$F240,Административные!$G$25:$G$84,$G240)</f>
        <v>0</v>
      </c>
      <c r="AK240" s="783">
        <f>_xlfn.SUMIFS(Административные!AJ$25:AJ$84,Административные!$F$25:$F$84,$F240,Административные!$G$25:$G$84,$G240)</f>
        <v>0</v>
      </c>
      <c r="AL240" s="783">
        <f>IF(AI240=0,0,(AK240-AI240)/AI240*100)</f>
        <v>0</v>
      </c>
      <c r="AM240" s="784"/>
      <c r="AN240" s="892" t="str">
        <f>IF(_xlfn.IFERROR(INDEX(Административные!$K$26:$L$84,MATCH($F240&amp;"6komm",Административные!$K$26:$K$84,0),2),"")=0,"",_xlfn.IFERROR(INDEX(Административные!$K$26:$L$84,MATCH($F235&amp;"6komm",Административные!$K$26:$K$84,0),2),""))</f>
        <v/>
      </c>
      <c r="AO240" s="784"/>
      <c r="AP240" s="1066"/>
      <c r="AQ240" s="1066"/>
      <c r="AR240" s="1046" t="s">
        <v>1677</v>
      </c>
      <c r="AS240" s="1046"/>
      <c r="AT240" s="1046"/>
      <c r="AU240" s="1043"/>
      <c r="AV240" s="1043"/>
    </row>
    <row s="1621" customFormat="1" customHeight="1" ht="14.25">
      <c r="A241" s="1066"/>
      <c r="B241" s="1066"/>
      <c r="C241" s="1066"/>
      <c r="D241" s="1066"/>
      <c r="E241" s="675">
        <v>15</v>
      </c>
      <c r="F241" s="50" cm="1" t="str">
        <f t="array" ref="F241:F241">OFFSET(E241,-1,1)</f>
        <v>2</v>
      </c>
      <c r="G241" s="556" t="s">
        <v>1121</v>
      </c>
      <c r="H241" s="1066"/>
      <c r="I241" s="566" t="s">
        <v>1678</v>
      </c>
      <c r="J241" s="566"/>
      <c r="K241" s="566"/>
      <c r="L241" s="566"/>
      <c r="M241" s="566"/>
      <c r="N241" s="566"/>
      <c r="O241" s="566"/>
      <c r="P241" s="566"/>
      <c r="Q241" s="566"/>
      <c r="R241" s="566"/>
      <c r="S241" s="566"/>
      <c r="T241" s="439" cm="1" t="str">
        <f t="array" ref="T241:T241">T240</f>
        <v>true</v>
      </c>
      <c r="U241" s="1066"/>
      <c r="V241" s="1066"/>
      <c r="W241" s="1066"/>
      <c r="X241" s="1577"/>
      <c r="Y241" s="1066"/>
      <c r="Z241" s="1578"/>
      <c r="AA241" s="1066"/>
      <c r="AB241" s="788" t="s">
        <v>1679</v>
      </c>
      <c r="AC241" s="789" t="s">
        <v>1680</v>
      </c>
      <c r="AD241" s="795" t="s">
        <v>784</v>
      </c>
      <c r="AE241" s="783">
        <f>_xlfn.SUMIFS(Административные!AE$25:AE$84,Административные!$F$25:$F$84,$F241,Административные!$G$25:$G$84,$G241)</f>
        <v>0</v>
      </c>
      <c r="AF241" s="783">
        <f>_xlfn.SUMIFS(Административные!AF$25:AF$84,Административные!$F$25:$F$84,$F241,Административные!$G$25:$G$84,$G241)</f>
        <v>0</v>
      </c>
      <c r="AG241" s="783">
        <f>_xlfn.SUMIFS(Административные!AG$25:AG$84,Административные!$F$25:$F$84,$F241,Административные!$G$25:$G$84,$G241)</f>
        <v>0</v>
      </c>
      <c r="AH241" s="783">
        <f>AG241-AF241</f>
        <v>0</v>
      </c>
      <c r="AI241" s="783">
        <f>_xlfn.SUMIFS(Административные!AH$25:AH$84,Административные!$F$25:$F$84,$F241,Административные!$G$25:$G$84,$G241)</f>
        <v>0</v>
      </c>
      <c r="AJ241" s="783">
        <f>_xlfn.SUMIFS(Административные!AI$25:AI$84,Административные!$F$25:$F$84,$F241,Административные!$G$25:$G$84,$G241)</f>
        <v>0</v>
      </c>
      <c r="AK241" s="783">
        <f>_xlfn.SUMIFS(Административные!AJ$25:AJ$84,Административные!$F$25:$F$84,$F241,Административные!$G$25:$G$84,$G241)</f>
        <v>0</v>
      </c>
      <c r="AL241" s="783">
        <f>IF(AI241=0,0,(AK241-AI241)/AI241*100)</f>
        <v>0</v>
      </c>
      <c r="AM241" s="784"/>
      <c r="AN241" s="892" t="str">
        <f>IF(_xlfn.IFERROR(INDEX(Административные!$K$26:$L$84,MATCH($F241&amp;"7komm",Административные!$K$26:$K$84,0),2),"")=0,"",_xlfn.IFERROR(INDEX(Административные!$K$26:$L$84,MATCH($F236&amp;"7komm",Административные!$K$26:$K$84,0),2),""))</f>
        <v/>
      </c>
      <c r="AO241" s="784"/>
      <c r="AP241" s="1066"/>
      <c r="AQ241" s="1066"/>
      <c r="AR241" s="1046" t="s">
        <v>1681</v>
      </c>
      <c r="AS241" s="1046"/>
      <c r="AT241" s="1046"/>
      <c r="AU241" s="1043"/>
      <c r="AV241" s="1043"/>
    </row>
    <row s="1621" customFormat="1" customHeight="1" ht="43.5">
      <c r="A242" s="1066"/>
      <c r="B242" s="1066"/>
      <c r="C242" s="1066"/>
      <c r="D242" s="1066"/>
      <c r="E242" s="675">
        <v>45</v>
      </c>
      <c r="F242" s="50" cm="1" t="str">
        <f t="array" ref="F242:F242">OFFSET(E242,-1,1)</f>
        <v>2</v>
      </c>
      <c r="G242" s="556" t="s">
        <v>1124</v>
      </c>
      <c r="H242" s="1066"/>
      <c r="I242" s="566" t="s">
        <v>1682</v>
      </c>
      <c r="J242" s="566"/>
      <c r="K242" s="566"/>
      <c r="L242" s="566"/>
      <c r="M242" s="566"/>
      <c r="N242" s="566"/>
      <c r="O242" s="566"/>
      <c r="P242" s="566"/>
      <c r="Q242" s="566"/>
      <c r="R242" s="566"/>
      <c r="S242" s="566"/>
      <c r="T242" s="439" cm="1" t="str">
        <f t="array" ref="T242:T242">T241</f>
        <v>true</v>
      </c>
      <c r="U242" s="1066"/>
      <c r="V242" s="1066"/>
      <c r="W242" s="1066"/>
      <c r="X242" s="1577"/>
      <c r="Y242" s="1066"/>
      <c r="Z242" s="1578"/>
      <c r="AA242" s="1066"/>
      <c r="AB242" s="788" t="s">
        <v>1683</v>
      </c>
      <c r="AC242" s="743" t="s">
        <v>1125</v>
      </c>
      <c r="AD242" s="795" t="s">
        <v>784</v>
      </c>
      <c r="AE242" s="783">
        <f>_xlfn.SUMIFS(Административные!AE$25:AE$84,Административные!$F$25:$F$84,$F242,Административные!$G$25:$G$84,$G242)</f>
        <v>0</v>
      </c>
      <c r="AF242" s="783">
        <f>_xlfn.SUMIFS(Административные!AF$25:AF$84,Административные!$F$25:$F$84,$F242,Административные!$G$25:$G$84,$G242)</f>
        <v>0</v>
      </c>
      <c r="AG242" s="783">
        <f>_xlfn.SUMIFS(Административные!AG$25:AG$84,Административные!$F$25:$F$84,$F242,Административные!$G$25:$G$84,$G242)</f>
        <v>0</v>
      </c>
      <c r="AH242" s="783">
        <f>AG242-AF242</f>
        <v>0</v>
      </c>
      <c r="AI242" s="783">
        <f>_xlfn.SUMIFS(Административные!AH$25:AH$84,Административные!$F$25:$F$84,$F242,Административные!$G$25:$G$84,$G242)</f>
        <v>0</v>
      </c>
      <c r="AJ242" s="783">
        <f>_xlfn.SUMIFS(Административные!AI$25:AI$84,Административные!$F$25:$F$84,$F242,Административные!$G$25:$G$84,$G242)</f>
        <v>0</v>
      </c>
      <c r="AK242" s="783">
        <f>_xlfn.SUMIFS(Административные!AJ$25:AJ$84,Административные!$F$25:$F$84,$F242,Административные!$G$25:$G$84,$G242)</f>
        <v>0</v>
      </c>
      <c r="AL242" s="783">
        <f>IF(AI242=0,0,(AK242-AI242)/AI242*100)</f>
        <v>0</v>
      </c>
      <c r="AM242" s="784"/>
      <c r="AN242" s="892" t="str">
        <f>IF(_xlfn.IFERROR(INDEX(Административные!$K$26:$L$84,MATCH($F242&amp;"8komm",Административные!$K$26:$K$84,0),2),"")=0,"",_xlfn.IFERROR(INDEX(Административные!$K$26:$L$84,MATCH($F237&amp;"8komm",Административные!$K$26:$K$84,0),2),""))</f>
        <v/>
      </c>
      <c r="AO242" s="784"/>
      <c r="AP242" s="1066"/>
      <c r="AQ242" s="1066"/>
      <c r="AR242" s="1046" t="s">
        <v>1684</v>
      </c>
      <c r="AS242" s="1046"/>
      <c r="AT242" s="1046"/>
      <c r="AU242" s="1043"/>
      <c r="AV242" s="1043"/>
    </row>
    <row s="1621" customFormat="1" customHeight="1" ht="14.25">
      <c r="A243" s="1066"/>
      <c r="B243" s="1066"/>
      <c r="C243" s="1066"/>
      <c r="D243" s="1066"/>
      <c r="E243" s="675">
        <v>15</v>
      </c>
      <c r="F243" s="50" cm="1" t="str">
        <f t="array" ref="F243:F243">OFFSET(E243,-1,1)</f>
        <v>2</v>
      </c>
      <c r="G243" s="556" t="s">
        <v>1127</v>
      </c>
      <c r="H243" s="1066"/>
      <c r="I243" s="566" t="s">
        <v>1685</v>
      </c>
      <c r="J243" s="566"/>
      <c r="K243" s="566"/>
      <c r="L243" s="566"/>
      <c r="M243" s="566"/>
      <c r="N243" s="566"/>
      <c r="O243" s="566"/>
      <c r="P243" s="566"/>
      <c r="Q243" s="566"/>
      <c r="R243" s="566"/>
      <c r="S243" s="566"/>
      <c r="T243" s="439" cm="1" t="str">
        <f t="array" ref="T243:T243">T242</f>
        <v>true</v>
      </c>
      <c r="U243" s="1066"/>
      <c r="V243" s="1066"/>
      <c r="W243" s="1066"/>
      <c r="X243" s="1577"/>
      <c r="Y243" s="1066"/>
      <c r="Z243" s="1578"/>
      <c r="AA243" s="1066"/>
      <c r="AB243" s="788" t="s">
        <v>1686</v>
      </c>
      <c r="AC243" s="789" t="s">
        <v>1128</v>
      </c>
      <c r="AD243" s="795" t="s">
        <v>784</v>
      </c>
      <c r="AE243" s="783">
        <f>_xlfn.SUMIFS(Административные!AE$25:AE$84,Административные!$F$25:$F$84,$F243,Административные!$G$25:$G$84,$G243)</f>
        <v>0</v>
      </c>
      <c r="AF243" s="783">
        <f>_xlfn.SUMIFS(Административные!AF$25:AF$84,Административные!$F$25:$F$84,$F243,Административные!$G$25:$G$84,$G243)</f>
        <v>0</v>
      </c>
      <c r="AG243" s="783">
        <f>_xlfn.SUMIFS(Административные!AG$25:AG$84,Административные!$F$25:$F$84,$F243,Административные!$G$25:$G$84,$G243)</f>
        <v>0</v>
      </c>
      <c r="AH243" s="783">
        <f>AG243-AF243</f>
        <v>0</v>
      </c>
      <c r="AI243" s="783">
        <f>_xlfn.SUMIFS(Административные!AH$25:AH$84,Административные!$F$25:$F$84,$F243,Административные!$G$25:$G$84,$G243)</f>
        <v>0</v>
      </c>
      <c r="AJ243" s="1101">
        <f>_xlfn.SUMIFS(Административные!AI$25:AI$84,Административные!$F$25:$F$84,$F243,Административные!$G$25:$G$84,$G243)</f>
        <v>0</v>
      </c>
      <c r="AK243" s="1101">
        <f>_xlfn.SUMIFS(Административные!AJ$25:AJ$84,Административные!$F$25:$F$84,$F243,Административные!$G$25:$G$84,$G243)</f>
        <v>0</v>
      </c>
      <c r="AL243" s="783">
        <f>IF(AI243=0,0,(AK243-AI243)/AI243*100)</f>
        <v>0</v>
      </c>
      <c r="AM243" s="784"/>
      <c r="AN243" s="892" t="str">
        <f>IF(_xlfn.IFERROR(INDEX(Административные!$K$26:$L$84,MATCH($F243&amp;"9komm",Административные!$K$26:$K$84,0),2),"")=0,"",_xlfn.IFERROR(INDEX(Административные!$K$26:$L$84,MATCH($F238&amp;"9komm",Административные!$K$26:$K$84,0),2),""))</f>
        <v/>
      </c>
      <c r="AO243" s="784"/>
      <c r="AP243" s="1066"/>
      <c r="AQ243" s="1066"/>
      <c r="AR243" s="1046" t="s">
        <v>1687</v>
      </c>
      <c r="AS243" s="1046"/>
      <c r="AT243" s="1046"/>
      <c r="AU243" s="1043"/>
      <c r="AV243" s="1043"/>
    </row>
    <row s="4513" customFormat="1" customHeight="1" ht="14.25" hidden="1">
      <c r="A244" s="567"/>
      <c r="B244" s="567">
        <f>STATUS_GO="да"</f>
        <v>0</v>
      </c>
      <c r="C244" s="567"/>
      <c r="D244" s="567"/>
      <c r="E244" s="677">
        <v>15</v>
      </c>
      <c r="F244" s="50" cm="1" t="str">
        <f t="array" ref="F244:F244">OFFSET(E244,-1,1)</f>
        <v>2</v>
      </c>
      <c r="G244" s="567"/>
      <c r="H244" s="567"/>
      <c r="I244" s="678" t="s">
        <v>329</v>
      </c>
      <c r="J244" s="678"/>
      <c r="K244" s="678"/>
      <c r="L244" s="678"/>
      <c r="M244" s="678"/>
      <c r="N244" s="678"/>
      <c r="O244" s="678"/>
      <c r="P244" s="678"/>
      <c r="Q244" s="678"/>
      <c r="R244" s="678"/>
      <c r="S244" s="678"/>
      <c r="T244" s="439" cm="1" t="str">
        <f t="array" ref="T244:T244">T243</f>
        <v>true</v>
      </c>
      <c r="U244" s="567"/>
      <c r="V244" s="567"/>
      <c r="W244" s="567"/>
      <c r="X244" s="1577"/>
      <c r="Y244" s="567"/>
      <c r="Z244" s="1578"/>
      <c r="AA244" s="567"/>
      <c r="AB244" s="785" t="s">
        <v>536</v>
      </c>
      <c r="AC244" s="781" t="s">
        <v>1688</v>
      </c>
      <c r="AD244" s="793" t="s">
        <v>784</v>
      </c>
      <c r="AE244" s="782">
        <f>_xlfn.SUMIFS('Сбытовые расходы ГО'!AE$25:AE$63,'Сбытовые расходы ГО'!$F$25:$F$63,$F244,'Сбытовые расходы ГО'!$G$25:$G$63,"l0")</f>
        <v>0</v>
      </c>
      <c r="AF244" s="782">
        <f>_xlfn.SUMIFS('Сбытовые расходы ГО'!AF$25:AF$63,'Сбытовые расходы ГО'!$F$25:$F$63,$F244,'Сбытовые расходы ГО'!$G$25:$G$63,"l0")</f>
        <v>0</v>
      </c>
      <c r="AG244" s="782">
        <f>_xlfn.SUMIFS('Сбытовые расходы ГО'!AG$25:AG$63,'Сбытовые расходы ГО'!$F$25:$F$63,$F244,'Сбытовые расходы ГО'!$G$25:$G$63,"l0")</f>
        <v>0</v>
      </c>
      <c r="AH244" s="782">
        <f>AG244-AF244</f>
        <v>0</v>
      </c>
      <c r="AI244" s="782">
        <f>_xlfn.SUMIFS('Сбытовые расходы ГО'!AH$25:AH$63,'Сбытовые расходы ГО'!$F$25:$F$63,$F244,'Сбытовые расходы ГО'!$G$25:$G$63,"l0")</f>
        <v>0</v>
      </c>
      <c r="AJ244" s="782">
        <f>_xlfn.SUMIFS('Сбытовые расходы ГО'!AI$25:AI$63,'Сбытовые расходы ГО'!$F$25:$F$63,$F244,'Сбытовые расходы ГО'!$G$25:$G$63,"l0")</f>
        <v>0</v>
      </c>
      <c r="AK244" s="782">
        <f>_xlfn.SUMIFS('Сбытовые расходы ГО'!AJ$25:AJ$63,'Сбытовые расходы ГО'!$F$25:$F$63,$F244,'Сбытовые расходы ГО'!$G$25:$G$63,"l0")</f>
        <v>0</v>
      </c>
      <c r="AL244" s="782">
        <f>IF(AI244=0,0,(AK244-AI244)/AI244*100)</f>
        <v>0</v>
      </c>
      <c r="AM244" s="4400"/>
      <c r="AN244" s="4393"/>
      <c r="AO244" s="4400"/>
      <c r="AP244" s="567"/>
      <c r="AQ244" s="567"/>
      <c r="AR244" s="1047" t="s">
        <v>1689</v>
      </c>
      <c r="AS244" s="1047"/>
      <c r="AT244" s="1047"/>
      <c r="AU244" s="677"/>
      <c r="AV244" s="677"/>
    </row>
    <row s="4514" customFormat="1" customHeight="1" ht="14.25">
      <c r="A245" s="567"/>
      <c r="B245" s="567"/>
      <c r="C245" s="567"/>
      <c r="D245" s="567"/>
      <c r="E245" s="677">
        <v>15</v>
      </c>
      <c r="F245" s="50" cm="1" t="str">
        <f t="array" ref="F245:F245">OFFSET(E245,-1,1)</f>
        <v>2</v>
      </c>
      <c r="G245" s="567"/>
      <c r="H245" s="567"/>
      <c r="I245" s="678" t="s">
        <v>328</v>
      </c>
      <c r="J245" s="678"/>
      <c r="K245" s="678"/>
      <c r="L245" s="678"/>
      <c r="M245" s="678"/>
      <c r="N245" s="678"/>
      <c r="O245" s="678"/>
      <c r="P245" s="678"/>
      <c r="Q245" s="678"/>
      <c r="R245" s="678"/>
      <c r="S245" s="678"/>
      <c r="T245" s="439" cm="1" t="str">
        <f t="array" ref="T245:T245">T244</f>
        <v>true</v>
      </c>
      <c r="U245" s="567"/>
      <c r="V245" s="567"/>
      <c r="W245" s="567"/>
      <c r="X245" s="1577"/>
      <c r="Y245" s="567"/>
      <c r="Z245" s="1578"/>
      <c r="AA245" s="567"/>
      <c r="AB245" s="785" t="s">
        <v>492</v>
      </c>
      <c r="AC245" s="568" t="s">
        <v>1690</v>
      </c>
      <c r="AD245" s="793" t="s">
        <v>784</v>
      </c>
      <c r="AE245" s="782">
        <f>_xlfn.SUMIFS(Амортизация!AE$25:AE$174,Амортизация!$F$25:$F$174,$F245,Амортизация!$AC$25:$AC$174,"Сумма амортизационных отчислений")</f>
        <v>0</v>
      </c>
      <c r="AF245" s="782">
        <f>_xlfn.SUMIFS(Амортизация!AF$25:AF$174,Амортизация!$F$25:$F$174,$F245,Амортизация!$AC$25:$AC$174,"Сумма амортизационных отчислений")</f>
        <v>3149.81176</v>
      </c>
      <c r="AG245" s="782">
        <f>_xlfn.SUMIFS(Амортизация!AG$25:AG$174,Амортизация!$F$25:$F$174,$F245,Амортизация!$AC$25:$AC$174,"Сумма амортизационных отчислений")</f>
        <v>19.3129358333</v>
      </c>
      <c r="AH245" s="782">
        <f>AG245-AF245</f>
        <v>-3130.4988241667</v>
      </c>
      <c r="AI245" s="782">
        <f>_xlfn.SUMIFS(Амортизация!AH$25:AH$174,Амортизация!$F$25:$F$174,$F245,Амортизация!$AC$25:$AC$174,"Сумма амортизационных отчислений")</f>
        <v>19.3129358333</v>
      </c>
      <c r="AJ245" s="782">
        <f>_xlfn.SUMIFS(Амортизация!AI$25:AI$174,Амортизация!$F$25:$F$174,$F245,Амортизация!$AC$25:$AC$174,"Сумма амортизационных отчислений")</f>
        <v>3144.4416</v>
      </c>
      <c r="AK245" s="782">
        <f>_xlfn.SUMIFS(Амортизация!AS$25:AS$174,Амортизация!$F$25:$F$174,$F245,Амортизация!$AC$25:$AC$174,"Сумма амортизационных отчислений")</f>
        <v>19.3129358333</v>
      </c>
      <c r="AL245" s="782">
        <f>IF(AI245=0,0,(AK245-AI245)/AI245*100)</f>
        <v>0</v>
      </c>
      <c r="AM245" s="787"/>
      <c r="AN245" s="892" t="str">
        <f>IF(_xlfn.IFERROR(INDEX(Амортизация!$K$26:$L$174,MATCH($F245&amp;"komm",Амортизация!$K$26:$K$577,0),2),"")=0,"",_xlfn.IFERROR(INDEX(Амортизация!$K$26:$L$174,MATCH($F245&amp;"komm",Амортизация!$K$26:$K$577,0),2),""))</f>
        <v/>
      </c>
      <c r="AO245" s="787"/>
      <c r="AP245" s="567"/>
      <c r="AQ245" s="567"/>
      <c r="AR245" s="1047" t="s">
        <v>1123</v>
      </c>
      <c r="AS245" s="1047"/>
      <c r="AT245" s="1047"/>
      <c r="AU245" s="677"/>
      <c r="AV245" s="677"/>
    </row>
    <row s="1621" customFormat="1" customHeight="1" ht="14.25">
      <c r="A246" s="1066"/>
      <c r="B246" s="1066"/>
      <c r="C246" s="1066"/>
      <c r="D246" s="1066"/>
      <c r="E246" s="675">
        <v>15</v>
      </c>
      <c r="F246" s="50" cm="1" t="str">
        <f t="array" ref="F246:F246">OFFSET(E246,-1,1)</f>
        <v>2</v>
      </c>
      <c r="G246" s="1066"/>
      <c r="H246" s="1066"/>
      <c r="I246" s="566" t="s">
        <v>528</v>
      </c>
      <c r="J246" s="566"/>
      <c r="K246" s="566"/>
      <c r="L246" s="566"/>
      <c r="M246" s="566"/>
      <c r="N246" s="566"/>
      <c r="O246" s="566"/>
      <c r="P246" s="566"/>
      <c r="Q246" s="566"/>
      <c r="R246" s="566"/>
      <c r="S246" s="566"/>
      <c r="T246" s="439" cm="1" t="str">
        <f t="array" ref="T246:T246">T245</f>
        <v>true</v>
      </c>
      <c r="U246" s="1066"/>
      <c r="V246" s="1066"/>
      <c r="W246" s="1066"/>
      <c r="X246" s="1577"/>
      <c r="Y246" s="1066"/>
      <c r="Z246" s="1578"/>
      <c r="AA246" s="1066"/>
      <c r="AB246" s="788" t="s">
        <v>659</v>
      </c>
      <c r="AC246" s="794" t="s">
        <v>1691</v>
      </c>
      <c r="AD246" s="795" t="s">
        <v>784</v>
      </c>
      <c r="AE246" s="790">
        <f>_xlfn.SUMIFS('ИП + источники'!AF$27:AF$116,'ИП + источники'!$F$27:$F$116,$F246,'ИП + источники'!$AC$27:$AC$116,"Амортизационные отчисления")+_xlfn.SUMIFS('ИП + источники'!AF$27:AF$116,'ИП + источники'!$F$27:$F$116,$F246,'ИП + источники'!$AC$27:$AC$116,"погашение займов и кредитов из амортизации")</f>
        <v>0</v>
      </c>
      <c r="AF246" s="790">
        <f>_xlfn.SUMIFS('ИП + источники'!AG$27:AG$116,'ИП + источники'!$F$27:$F$116,$F246,'ИП + источники'!$AC$27:$AC$116,"Амортизационные отчисления")+_xlfn.SUMIFS('ИП + источники'!AG$27:AG$116,'ИП + источники'!$F$27:$F$116,$F246,'ИП + источники'!$AC$27:$AC$116,"погашение займов и кредитов из амортизации")</f>
        <v>0</v>
      </c>
      <c r="AG246" s="790">
        <f>_xlfn.SUMIFS('ИП + источники'!AH$27:AH$116,'ИП + источники'!$F$27:$F$116,$F246,'ИП + источники'!$AC$27:$AC$116,"Амортизационные отчисления")+_xlfn.SUMIFS('ИП + источники'!AH$27:AH$116,'ИП + источники'!$F$27:$F$116,$F246,'ИП + источники'!$AC$27:$AC$116,"погашение займов и кредитов из амортизации")</f>
        <v>0</v>
      </c>
      <c r="AH246" s="783">
        <f>AG246-AF246</f>
        <v>0</v>
      </c>
      <c r="AI246" s="790">
        <f>_xlfn.SUMIFS('ИП + источники'!AH$27:AH$116,'ИП + источники'!$F$27:$F$116,$F246,'ИП + источники'!$AC$27:$AC$116,"Амортизационные отчисления")+_xlfn.SUMIFS('ИП + источники'!AH$27:AH$116,'ИП + источники'!$F$27:$F$116,$F246,'ИП + источники'!$AC$27:$AC$116,"погашение займов и кредитов из амортизации")</f>
        <v>0</v>
      </c>
      <c r="AJ246" s="790">
        <f>_xlfn.SUMIFS('ИП + источники'!AI$27:AI$116,'ИП + источники'!$F$27:$F$116,$F246,'ИП + источники'!$AC$27:$AC$116,"Амортизационные отчисления")+_xlfn.SUMIFS('ИП + источники'!AI$27:AI$116,'ИП + источники'!$F$27:$F$116,$F246,'ИП + источники'!$AC$27:$AC$116,"погашение займов и кредитов из амортизации")</f>
        <v>0</v>
      </c>
      <c r="AK246" s="790">
        <f>_xlfn.SUMIFS('ИП + источники'!AJ$27:AJ$116,'ИП + источники'!$F$27:$F$116,$F246,'ИП + источники'!$AC$27:$AC$116,"Амортизационные отчисления")+_xlfn.SUMIFS('ИП + источники'!AJ$27:AJ$116,'ИП + источники'!$F$27:$F$116,$F246,'ИП + источники'!$AC$27:$AC$116,"погашение займов и кредитов из амортизации")</f>
        <v>0</v>
      </c>
      <c r="AL246" s="783">
        <f>IF(AI246=0,0,(AK246-AI246)/AI246*100)</f>
        <v>0</v>
      </c>
      <c r="AM246" s="784"/>
      <c r="AN246" s="784"/>
      <c r="AO246" s="784"/>
      <c r="AP246" s="1066"/>
      <c r="AQ246" s="1066"/>
      <c r="AR246" s="1046" t="s">
        <v>1692</v>
      </c>
      <c r="AS246" s="1046"/>
      <c r="AT246" s="1046"/>
      <c r="AU246" s="1043"/>
      <c r="AV246" s="1043"/>
    </row>
    <row s="4515" customFormat="1" customHeight="1" ht="21.75">
      <c r="A247" s="567"/>
      <c r="B247" s="567"/>
      <c r="C247" s="567"/>
      <c r="D247" s="567"/>
      <c r="E247" s="677">
        <v>22.5</v>
      </c>
      <c r="F247" s="50" cm="1" t="str">
        <f t="array" ref="F247:F247">OFFSET(E247,-1,1)</f>
        <v>2</v>
      </c>
      <c r="G247" s="567"/>
      <c r="H247" s="567"/>
      <c r="I247" s="678" t="s">
        <v>491</v>
      </c>
      <c r="J247" s="678"/>
      <c r="K247" s="678"/>
      <c r="L247" s="678"/>
      <c r="M247" s="678"/>
      <c r="N247" s="678"/>
      <c r="O247" s="678"/>
      <c r="P247" s="678"/>
      <c r="Q247" s="678"/>
      <c r="R247" s="678"/>
      <c r="S247" s="678"/>
      <c r="T247" s="439" cm="1" t="str">
        <f t="array" ref="T247:T247">T246</f>
        <v>true</v>
      </c>
      <c r="U247" s="567"/>
      <c r="V247" s="567"/>
      <c r="W247" s="567"/>
      <c r="X247" s="1577"/>
      <c r="Y247" s="567"/>
      <c r="Z247" s="1578"/>
      <c r="AA247" s="567"/>
      <c r="AB247" s="785" t="s">
        <v>496</v>
      </c>
      <c r="AC247" s="568" t="s">
        <v>1693</v>
      </c>
      <c r="AD247" s="793" t="s">
        <v>784</v>
      </c>
      <c r="AE247" s="782">
        <f>_xlfn.SUMIFS(Аренда!AE$25:AE$57,Аренда!$F$25:$F$57,$F247,Аренда!$G$25:$G$57,"Арендная и концессионная плата, лизинговые платежи")</f>
        <v>0</v>
      </c>
      <c r="AF247" s="782">
        <f>_xlfn.SUMIFS(Аренда!AF$25:AF$57,Аренда!$F$25:$F$57,$F247,Аренда!$G$25:$G$57,"Арендная и концессионная плата, лизинговые платежи")</f>
        <v>0</v>
      </c>
      <c r="AG247" s="782">
        <f>_xlfn.SUMIFS(Аренда!AG$25:AG$57,Аренда!$F$25:$F$57,$F247,Аренда!$G$25:$G$57,"Арендная и концессионная плата, лизинговые платежи")</f>
        <v>0</v>
      </c>
      <c r="AH247" s="782">
        <f>AG247-AF247</f>
        <v>0</v>
      </c>
      <c r="AI247" s="782">
        <f>_xlfn.SUMIFS(Аренда!AH$25:AH$57,Аренда!$F$25:$F$57,$F247,Аренда!$G$25:$G$57,"Арендная и концессионная плата, лизинговые платежи")</f>
        <v>0</v>
      </c>
      <c r="AJ247" s="782">
        <f>_xlfn.SUMIFS(Аренда!AI$25:AI$57,Аренда!$F$25:$F$57,$F247,Аренда!$G$25:$G$57,"Арендная и концессионная плата, лизинговые платежи")</f>
        <v>0</v>
      </c>
      <c r="AK247" s="782">
        <f>_xlfn.SUMIFS(Аренда!AS$25:AS$57,Аренда!$F$25:$F$57,$F247,Аренда!$G$25:$G$57,"Арендная и концессионная плата, лизинговые платежи")</f>
        <v>0</v>
      </c>
      <c r="AL247" s="782">
        <f>IF(AI247=0,0,(AK247-AI247)/AI247*100)</f>
        <v>0</v>
      </c>
      <c r="AM247" s="787"/>
      <c r="AN247" s="892" t="str">
        <f>IF(_xlfn.IFERROR(INDEX(Аренда!$K$26:$L$57,MATCH($F247&amp;"komm",Аренда!$K$26:$K$57,0),2),"")=0,"",_xlfn.IFERROR(INDEX(Аренда!$K$26:$L$57,MATCH($F247&amp;"komm",Аренда!$K$26:$K$57,0),2),""))</f>
        <v/>
      </c>
      <c r="AO247" s="787"/>
      <c r="AP247" s="567"/>
      <c r="AQ247" s="567"/>
      <c r="AR247" s="1047" t="s">
        <v>1694</v>
      </c>
      <c r="AS247" s="1047"/>
      <c r="AT247" s="1047"/>
      <c r="AU247" s="677"/>
      <c r="AV247" s="677"/>
    </row>
    <row s="4516" customFormat="1" customHeight="1" ht="14.25">
      <c r="A248" s="567"/>
      <c r="B248" s="567"/>
      <c r="C248" s="567"/>
      <c r="D248" s="567"/>
      <c r="E248" s="677">
        <v>15</v>
      </c>
      <c r="F248" s="50" cm="1" t="str">
        <f t="array" ref="F248:F248">OFFSET(E248,-1,1)</f>
        <v>2</v>
      </c>
      <c r="G248" s="567"/>
      <c r="H248" s="567"/>
      <c r="I248" s="678" t="s">
        <v>495</v>
      </c>
      <c r="J248" s="678"/>
      <c r="K248" s="678"/>
      <c r="L248" s="678"/>
      <c r="M248" s="678"/>
      <c r="N248" s="678"/>
      <c r="O248" s="678"/>
      <c r="P248" s="678"/>
      <c r="Q248" s="678"/>
      <c r="R248" s="678"/>
      <c r="S248" s="678"/>
      <c r="T248" s="439" cm="1" t="str">
        <f t="array" ref="T248:T248">T247</f>
        <v>true</v>
      </c>
      <c r="U248" s="567"/>
      <c r="V248" s="567"/>
      <c r="W248" s="567"/>
      <c r="X248" s="1577"/>
      <c r="Y248" s="567"/>
      <c r="Z248" s="1578"/>
      <c r="AA248" s="567"/>
      <c r="AB248" s="785" t="s">
        <v>557</v>
      </c>
      <c r="AC248" s="568" t="s">
        <v>1695</v>
      </c>
      <c r="AD248" s="793" t="s">
        <v>784</v>
      </c>
      <c r="AE248" s="782">
        <f>_xlfn.SUMIFS(Налоги!AE$25:AE$69,Налоги!$F$25:$F$69,$F248,Налоги!$AC$25:$AC$69,"Налоги и платежи, относимые на указанный вид деятельности")</f>
        <v>0.26489</v>
      </c>
      <c r="AF248" s="782">
        <f>_xlfn.SUMIFS(Налоги!AF$25:AF$69,Налоги!$F$25:$F$69,$F248,Налоги!$AC$25:$AC$69,"Налоги и платежи, относимые на указанный вид деятельности")</f>
        <v>1463.87518634</v>
      </c>
      <c r="AG248" s="782">
        <f>_xlfn.SUMIFS(Налоги!AG$25:AG$69,Налоги!$F$25:$F$69,$F248,Налоги!$AC$25:$AC$69,"Налоги и платежи, относимые на указанный вид деятельности")</f>
        <v>0</v>
      </c>
      <c r="AH248" s="782">
        <f>AG248-AF248</f>
        <v>-1463.87518634</v>
      </c>
      <c r="AI248" s="782">
        <f>_xlfn.SUMIFS(Налоги!AH$25:AH$69,Налоги!$F$25:$F$69,$F248,Налоги!$AC$25:$AC$69,"Налоги и платежи, относимые на указанный вид деятельности")</f>
        <v>0.39641</v>
      </c>
      <c r="AJ248" s="782">
        <f>_xlfn.SUMIFS(Налоги!AI$25:AI$69,Налоги!$F$25:$F$69,$F248,Налоги!$AC$25:$AC$69,"Налоги и платежи, относимые на указанный вид деятельности")</f>
        <v>1335.0137169634</v>
      </c>
      <c r="AK248" s="782">
        <f>_xlfn.SUMIFS(Налоги!AS$25:AS$69,Налоги!$F$25:$F$69,$F248,Налоги!$AC$25:$AC$69,"Налоги и платежи, относимые на указанный вид деятельности")</f>
        <v>0.37351</v>
      </c>
      <c r="AL248" s="782">
        <f>IF(AI248=0,0,(AK248-AI248)/AI248*100)</f>
        <v>-5.77684720365278</v>
      </c>
      <c r="AM248" s="787"/>
      <c r="AN248" s="892" t="str">
        <f>IF(_xlfn.IFERROR(INDEX(Налоги!$K$26:$L$69,MATCH($F248&amp;"komm",Налоги!$K$26:$K$69,0),2),"")=0,"",_xlfn.IFERROR(INDEX(Налоги!$K$26:$L$69,MATCH($F248&amp;"komm",Налоги!$K$26:$K$69,0),2),""))</f>
        <v/>
      </c>
      <c r="AO248" s="787"/>
      <c r="AP248" s="567"/>
      <c r="AQ248" s="567"/>
      <c r="AR248" s="1047" t="s">
        <v>1151</v>
      </c>
      <c r="AS248" s="1047"/>
      <c r="AT248" s="1047"/>
      <c r="AU248" s="677"/>
      <c r="AV248" s="677"/>
    </row>
    <row s="4517" customFormat="1" customHeight="1" ht="14.25">
      <c r="A249" s="567"/>
      <c r="B249" s="567"/>
      <c r="C249" s="567"/>
      <c r="D249" s="567"/>
      <c r="E249" s="677">
        <v>15</v>
      </c>
      <c r="F249" s="50" cm="1" t="str">
        <f t="array" ref="F249:F249">OFFSET(E249,-1,1)</f>
        <v>2</v>
      </c>
      <c r="G249" s="567"/>
      <c r="H249" s="567"/>
      <c r="I249" s="678" t="s">
        <v>541</v>
      </c>
      <c r="J249" s="678"/>
      <c r="K249" s="678"/>
      <c r="L249" s="678"/>
      <c r="M249" s="678"/>
      <c r="N249" s="678"/>
      <c r="O249" s="678"/>
      <c r="P249" s="678"/>
      <c r="Q249" s="678"/>
      <c r="R249" s="678"/>
      <c r="S249" s="678"/>
      <c r="T249" s="439" cm="1" t="str">
        <f t="array" ref="T249:T249">T248</f>
        <v>true</v>
      </c>
      <c r="U249" s="567"/>
      <c r="V249" s="567"/>
      <c r="W249" s="567"/>
      <c r="X249" s="1577"/>
      <c r="Y249" s="567"/>
      <c r="Z249" s="1578"/>
      <c r="AA249" s="567"/>
      <c r="AB249" s="785" t="s">
        <v>565</v>
      </c>
      <c r="AC249" s="568" t="s">
        <v>1696</v>
      </c>
      <c r="AD249" s="569" t="s">
        <v>784</v>
      </c>
      <c r="AE249" s="769">
        <f>AE250+AE251+AE252</f>
        <v>0</v>
      </c>
      <c r="AF249" s="769">
        <f>AF250+AF251+AF252</f>
        <v>0</v>
      </c>
      <c r="AG249" s="769">
        <f>AG250+AG251+AG252</f>
        <v>0</v>
      </c>
      <c r="AH249" s="769">
        <f>AG249-AF249</f>
        <v>0</v>
      </c>
      <c r="AI249" s="769">
        <f>AI250+AI251+AI252</f>
        <v>0</v>
      </c>
      <c r="AJ249" s="769">
        <f>AJ250+AJ251+AJ252</f>
        <v>0</v>
      </c>
      <c r="AK249" s="769">
        <f>AK250+AK251+AK252</f>
        <v>0</v>
      </c>
      <c r="AL249" s="782">
        <f>IF(AI249=0,0,(AK249-AI249)/AI249*100)</f>
        <v>0</v>
      </c>
      <c r="AM249" s="787"/>
      <c r="AN249" s="892"/>
      <c r="AO249" s="787"/>
      <c r="AP249" s="567"/>
      <c r="AQ249" s="567"/>
      <c r="AR249" s="1047" t="s">
        <v>1392</v>
      </c>
      <c r="AS249" s="1047"/>
      <c r="AT249" s="1047"/>
      <c r="AU249" s="677"/>
      <c r="AV249" s="677"/>
    </row>
    <row s="1621" customFormat="1" customHeight="1" ht="14.25">
      <c r="A250" s="1066"/>
      <c r="B250" s="1066"/>
      <c r="C250" s="1066"/>
      <c r="D250" s="1066"/>
      <c r="E250" s="675">
        <v>15</v>
      </c>
      <c r="F250" s="50" cm="1" t="str">
        <f t="array" ref="F250:F250">OFFSET(E250,-1,1)</f>
        <v>2</v>
      </c>
      <c r="G250" s="1066"/>
      <c r="H250" s="1066"/>
      <c r="I250" s="566" t="s">
        <v>544</v>
      </c>
      <c r="J250" s="566"/>
      <c r="K250" s="566"/>
      <c r="L250" s="566"/>
      <c r="M250" s="566"/>
      <c r="N250" s="566"/>
      <c r="O250" s="566"/>
      <c r="P250" s="566"/>
      <c r="Q250" s="566"/>
      <c r="R250" s="566"/>
      <c r="S250" s="566"/>
      <c r="T250" s="439" cm="1" t="str">
        <f t="array" ref="T250:T250">T249</f>
        <v>true</v>
      </c>
      <c r="U250" s="1066"/>
      <c r="V250" s="1066"/>
      <c r="W250" s="1066"/>
      <c r="X250" s="1577"/>
      <c r="Y250" s="1066"/>
      <c r="Z250" s="1578"/>
      <c r="AA250" s="1066"/>
      <c r="AB250" s="788" t="s">
        <v>569</v>
      </c>
      <c r="AC250" s="794" t="s">
        <v>1697</v>
      </c>
      <c r="AD250" s="795" t="s">
        <v>784</v>
      </c>
      <c r="AE250" s="790">
        <f>_xlfn.SUMIFS('ИП + источники'!AF$26:AF$116,'ИП + источники'!$F$26:$F$116,$F250,'ИП + источники'!$AC$26:$AC$116,"погашение займов и кредитов из нормативной прибыли")+_xlfn.SUMIFS('ИП + источники'!AF$26:AF$116,'ИП + источники'!$F$26:$F$116,$F250,'ИП + источники'!$AC$26:$AC$116,"уплата процентов по кредитам из нормативной прибыли")</f>
        <v>0</v>
      </c>
      <c r="AF250" s="790">
        <f>_xlfn.SUMIFS('ИП + источники'!AG$26:AG$116,'ИП + источники'!$F$26:$F$116,$F250,'ИП + источники'!$AC$26:$AC$116,"погашение займов и кредитов из нормативной прибыли")+_xlfn.SUMIFS('ИП + источники'!AG$26:AG$116,'ИП + источники'!$F$26:$F$116,$F250,'ИП + источники'!$AC$26:$AC$116,"уплата процентов по кредитам из нормативной прибыли")</f>
        <v>0</v>
      </c>
      <c r="AG250" s="790">
        <f>_xlfn.SUMIFS('ИП + источники'!AH$26:AH$116,'ИП + источники'!$F$26:$F$116,$F250,'ИП + источники'!$AC$26:$AC$116,"погашение займов и кредитов из нормативной прибыли")+_xlfn.SUMIFS('ИП + источники'!AH$26:AH$116,'ИП + источники'!$F$26:$F$116,$F250,'ИП + источники'!$AC$26:$AC$116,"уплата процентов по кредитам из нормативной прибыли")</f>
        <v>0</v>
      </c>
      <c r="AH250" s="783">
        <f>AG250-AF250</f>
        <v>0</v>
      </c>
      <c r="AI250" s="790">
        <f>_xlfn.SUMIFS('ИП + источники'!AJ$26:AJ$116,'ИП + источники'!$F$26:$F$116,$F250,'ИП + источники'!$AC$26:$AC$116,"погашение займов и кредитов из нормативной прибыли")+_xlfn.SUMIFS('ИП + источники'!AJ$26:AJ$116,'ИП + источники'!$F$26:$F$116,$F250,'ИП + источники'!$AC$26:$AC$116,"уплата процентов по кредитам из нормативной прибыли")</f>
        <v>0</v>
      </c>
      <c r="AJ250" s="790">
        <f>_xlfn.SUMIFS('ИП + источники'!AK$26:AK$116,'ИП + источники'!$F$26:$F$116,$F250,'ИП + источники'!$AC$26:$AC$116,"погашение займов и кредитов из нормативной прибыли")+_xlfn.SUMIFS('ИП + источники'!AK$26:AK$116,'ИП + источники'!$F$26:$F$116,$F250,'ИП + источники'!$AC$26:$AC$116,"уплата процентов по кредитам из нормативной прибыли")</f>
        <v>0</v>
      </c>
      <c r="AK250" s="790">
        <f>_xlfn.SUMIFS('ИП + источники'!AU$26:AU$116,'ИП + источники'!$F$26:$F$116,$F250,'ИП + источники'!$AC$26:$AC$116,"погашение займов и кредитов из нормативной прибыли")+_xlfn.SUMIFS('ИП + источники'!AU$26:AU$116,'ИП + источники'!$F$26:$F$116,$F250,'ИП + источники'!$AC$26:$AC$116,"уплата процентов по кредитам из нормативной прибыли")</f>
        <v>0</v>
      </c>
      <c r="AL250" s="783">
        <f>IF(AI250=0,0,(AK250-AI250)/AI250*100)</f>
        <v>0</v>
      </c>
      <c r="AM250" s="784"/>
      <c r="AN250" s="892" t="str">
        <f>IF(_xlfn.IFERROR(INDEX('ИП + источники'!$K$28:$L$116,MATCH($F250&amp;"1komm",'ИП + источники'!$K$28:$K$116,0),2),"")=0,"",_xlfn.IFERROR(INDEX('ИП + источники'!$K$28:$L$116,MATCH($F250&amp;"1komm",'ИП + источники'!$K$28:$K$116,0),2),""))</f>
        <v/>
      </c>
      <c r="AO250" s="784"/>
      <c r="AP250" s="1066"/>
      <c r="AQ250" s="1066"/>
      <c r="AR250" s="1046" t="s">
        <v>1144</v>
      </c>
      <c r="AS250" s="1046"/>
      <c r="AT250" s="1046"/>
      <c r="AU250" s="1043"/>
      <c r="AV250" s="1043"/>
    </row>
    <row s="1621" customFormat="1" customHeight="1" ht="14.25">
      <c r="A251" s="1066"/>
      <c r="B251" s="1066"/>
      <c r="C251" s="1066"/>
      <c r="D251" s="1066"/>
      <c r="E251" s="675">
        <v>15</v>
      </c>
      <c r="F251" s="50" cm="1" t="str">
        <f t="array" ref="F251:F251">OFFSET(E251,-1,1)</f>
        <v>2</v>
      </c>
      <c r="G251" s="1066"/>
      <c r="H251" s="1066"/>
      <c r="I251" s="566" t="s">
        <v>548</v>
      </c>
      <c r="J251" s="566"/>
      <c r="K251" s="566"/>
      <c r="L251" s="566"/>
      <c r="M251" s="566"/>
      <c r="N251" s="566"/>
      <c r="O251" s="566"/>
      <c r="P251" s="566"/>
      <c r="Q251" s="566"/>
      <c r="R251" s="566"/>
      <c r="S251" s="566"/>
      <c r="T251" s="439" cm="1" t="str">
        <f t="array" ref="T251:T251">T250</f>
        <v>true</v>
      </c>
      <c r="U251" s="1066"/>
      <c r="V251" s="1066"/>
      <c r="W251" s="1066"/>
      <c r="X251" s="1577"/>
      <c r="Y251" s="1066"/>
      <c r="Z251" s="1578"/>
      <c r="AA251" s="1066"/>
      <c r="AB251" s="788" t="s">
        <v>586</v>
      </c>
      <c r="AC251" s="794" t="s">
        <v>1698</v>
      </c>
      <c r="AD251" s="795" t="s">
        <v>784</v>
      </c>
      <c r="AE251" s="790">
        <f>_xlfn.SUMIFS('ИП + источники'!AF$27:AF$116,'ИП + источники'!$F$27:$F$116,$F251,'ИП + источники'!$AC$27:$AC$116,"Прибыль на капвложения")</f>
        <v>0</v>
      </c>
      <c r="AF251" s="790">
        <f>_xlfn.SUMIFS('ИП + источники'!AG$27:AG$116,'ИП + источники'!$F$27:$F$116,$F251,'ИП + источники'!$AC$27:$AC$116,"Прибыль на капвложения")</f>
        <v>0</v>
      </c>
      <c r="AG251" s="790">
        <f>_xlfn.SUMIFS('ИП + источники'!AH$27:AH$116,'ИП + источники'!$F$27:$F$116,$F251,'ИП + источники'!$AC$27:$AC$116,"Прибыль на капвложения")</f>
        <v>0</v>
      </c>
      <c r="AH251" s="783">
        <f>AG251-AF251</f>
        <v>0</v>
      </c>
      <c r="AI251" s="790">
        <f>_xlfn.SUMIFS('ИП + источники'!AJ$27:AJ$116,'ИП + источники'!$F$27:$F$116,$F251,'ИП + источники'!$AC$27:$AC$116,"Прибыль на капвложения")</f>
        <v>0</v>
      </c>
      <c r="AJ251" s="790">
        <f>_xlfn.SUMIFS('ИП + источники'!AK$27:AK$116,'ИП + источники'!$F$27:$F$116,$F251,'ИП + источники'!$AC$27:$AC$116,"Прибыль на капвложения")</f>
        <v>0</v>
      </c>
      <c r="AK251" s="790">
        <f>_xlfn.SUMIFS('ИП + источники'!AU$27:AU$116,'ИП + источники'!$F$27:$F$116,$F251,'ИП + источники'!$AC$27:$AC$116,"Прибыль на капвложения")</f>
        <v>0</v>
      </c>
      <c r="AL251" s="783">
        <f>IF(AI251=0,0,(AK251-AI251)/AI251*100)</f>
        <v>0</v>
      </c>
      <c r="AM251" s="784"/>
      <c r="AN251" s="892" t="str">
        <f>IF(_xlfn.IFERROR(INDEX('ИП + источники'!$K$28:$L$116,MATCH($F251&amp;"2komm",'ИП + источники'!$K$28:$K$116,0),2),"")=0,"",_xlfn.IFERROR(INDEX('ИП + источники'!$K$28:$L$116,MATCH($F251&amp;"2komm",'ИП + источники'!$K$28:$K$116,0),2),""))</f>
        <v/>
      </c>
      <c r="AO251" s="784"/>
      <c r="AP251" s="1066"/>
      <c r="AQ251" s="1066"/>
      <c r="AR251" s="1046" t="s">
        <v>1699</v>
      </c>
      <c r="AS251" s="1046"/>
      <c r="AT251" s="1046"/>
      <c r="AU251" s="1043"/>
      <c r="AV251" s="1043"/>
    </row>
    <row s="1621" customFormat="1" customHeight="1" ht="21.75">
      <c r="A252" s="1066"/>
      <c r="B252" s="1066"/>
      <c r="C252" s="1066"/>
      <c r="D252" s="1066"/>
      <c r="E252" s="675">
        <v>22.5</v>
      </c>
      <c r="F252" s="50" cm="1" t="str">
        <f t="array" ref="F252:F252">OFFSET(E252,-1,1)</f>
        <v>2</v>
      </c>
      <c r="G252" s="1066"/>
      <c r="H252" s="1066"/>
      <c r="I252" s="566" t="s">
        <v>552</v>
      </c>
      <c r="J252" s="566"/>
      <c r="K252" s="566"/>
      <c r="L252" s="566"/>
      <c r="M252" s="566"/>
      <c r="N252" s="566"/>
      <c r="O252" s="566"/>
      <c r="P252" s="566"/>
      <c r="Q252" s="566"/>
      <c r="R252" s="566"/>
      <c r="S252" s="566"/>
      <c r="T252" s="439" cm="1" t="str">
        <f t="array" ref="T252:T252">T251</f>
        <v>true</v>
      </c>
      <c r="U252" s="1066"/>
      <c r="V252" s="1066"/>
      <c r="W252" s="1066"/>
      <c r="X252" s="1577"/>
      <c r="Y252" s="1066"/>
      <c r="Z252" s="1578"/>
      <c r="AA252" s="1066"/>
      <c r="AB252" s="788" t="s">
        <v>598</v>
      </c>
      <c r="AC252" s="794" t="s">
        <v>1700</v>
      </c>
      <c r="AD252" s="795" t="s">
        <v>784</v>
      </c>
      <c r="AE252" s="790"/>
      <c r="AF252" s="790"/>
      <c r="AG252" s="790"/>
      <c r="AH252" s="783"/>
      <c r="AI252" s="790"/>
      <c r="AJ252" s="790"/>
      <c r="AK252" s="790"/>
      <c r="AL252" s="783">
        <f>IF(AI252=0,0,(AK252-AI252)/AI252*100)</f>
        <v>0</v>
      </c>
      <c r="AM252" s="784"/>
      <c r="AN252" s="784"/>
      <c r="AO252" s="784"/>
      <c r="AP252" s="1066"/>
      <c r="AQ252" s="1066"/>
      <c r="AR252" s="1046" t="s">
        <v>1701</v>
      </c>
      <c r="AS252" s="1046"/>
      <c r="AT252" s="1046"/>
      <c r="AU252" s="1043"/>
      <c r="AV252" s="1043"/>
    </row>
    <row s="4518" customFormat="1" customHeight="1" ht="21.75" hidden="1">
      <c r="A253" s="567"/>
      <c r="B253" s="567">
        <f>STATUS_GO="да"</f>
        <v>0</v>
      </c>
      <c r="C253" s="567"/>
      <c r="D253" s="567"/>
      <c r="E253" s="677">
        <v>22.5</v>
      </c>
      <c r="F253" s="50" cm="1" t="str">
        <f t="array" ref="F253:F253">OFFSET(E253,-1,1)</f>
        <v>2</v>
      </c>
      <c r="G253" s="567"/>
      <c r="H253" s="567"/>
      <c r="I253" s="678" t="s">
        <v>556</v>
      </c>
      <c r="J253" s="678"/>
      <c r="K253" s="678"/>
      <c r="L253" s="678"/>
      <c r="M253" s="678"/>
      <c r="N253" s="678"/>
      <c r="O253" s="678"/>
      <c r="P253" s="678"/>
      <c r="Q253" s="678"/>
      <c r="R253" s="678"/>
      <c r="S253" s="678"/>
      <c r="T253" s="439" cm="1" t="str">
        <f t="array" ref="T253:T253">T252</f>
        <v>true</v>
      </c>
      <c r="U253" s="567"/>
      <c r="V253" s="567"/>
      <c r="W253" s="567"/>
      <c r="X253" s="1577"/>
      <c r="Y253" s="567"/>
      <c r="Z253" s="1578"/>
      <c r="AA253" s="567"/>
      <c r="AB253" s="785" t="s">
        <v>723</v>
      </c>
      <c r="AC253" s="781" t="s">
        <v>1702</v>
      </c>
      <c r="AD253" s="793" t="s">
        <v>784</v>
      </c>
      <c r="AE253" s="791"/>
      <c r="AF253" s="791"/>
      <c r="AG253" s="791"/>
      <c r="AH253" s="782">
        <f>AG253-AF253</f>
        <v>0</v>
      </c>
      <c r="AI253" s="791"/>
      <c r="AJ253" s="4409"/>
      <c r="AK253" s="4409"/>
      <c r="AL253" s="782">
        <f>IF(AI253=0,0,(AK253-AI253)/AI253*100)</f>
        <v>0</v>
      </c>
      <c r="AM253" s="4400"/>
      <c r="AN253" s="4400"/>
      <c r="AO253" s="4400"/>
      <c r="AP253" s="567"/>
      <c r="AQ253" s="567"/>
      <c r="AR253" s="1047" t="s">
        <v>1703</v>
      </c>
      <c r="AS253" s="1047"/>
      <c r="AT253" s="1047"/>
      <c r="AU253" s="677"/>
      <c r="AV253" s="677"/>
    </row>
    <row s="1621" customFormat="1" customHeight="1" ht="14.25">
      <c r="A254" s="1066"/>
      <c r="B254" s="1066"/>
      <c r="C254" s="1066"/>
      <c r="D254" s="1066"/>
      <c r="E254" s="675">
        <v>15</v>
      </c>
      <c r="F254" s="50" cm="1" t="str">
        <f t="array" ref="F254:F254">OFFSET(E254,-1,1)</f>
        <v>2</v>
      </c>
      <c r="G254" s="1066"/>
      <c r="H254" s="1066"/>
      <c r="I254" s="566" t="s">
        <v>564</v>
      </c>
      <c r="J254" s="566"/>
      <c r="K254" s="566"/>
      <c r="L254" s="566"/>
      <c r="M254" s="566"/>
      <c r="N254" s="566"/>
      <c r="O254" s="566"/>
      <c r="P254" s="566"/>
      <c r="Q254" s="566"/>
      <c r="R254" s="566"/>
      <c r="S254" s="566"/>
      <c r="T254" s="439" cm="1" t="str">
        <f t="array" ref="T254:T254">T253</f>
        <v>true</v>
      </c>
      <c r="U254" s="1066"/>
      <c r="V254" s="1066"/>
      <c r="W254" s="1066"/>
      <c r="X254" s="1577"/>
      <c r="Y254" s="1066"/>
      <c r="Z254" s="1578"/>
      <c r="AA254" s="1066"/>
      <c r="AB254" s="788" t="s">
        <v>726</v>
      </c>
      <c r="AC254" s="797" t="s">
        <v>1347</v>
      </c>
      <c r="AD254" s="795" t="s">
        <v>784</v>
      </c>
      <c r="AE254" s="790"/>
      <c r="AF254" s="790"/>
      <c r="AG254" s="790"/>
      <c r="AH254" s="783"/>
      <c r="AI254" s="4435"/>
      <c r="AJ254" s="4435"/>
      <c r="AK254" s="4435"/>
      <c r="AL254" s="783">
        <f>IF(AI254=0,0,(AK254-AI254)/AI254*100)</f>
        <v>0</v>
      </c>
      <c r="AM254" s="784"/>
      <c r="AN254" s="784"/>
      <c r="AO254" s="784"/>
      <c r="AP254" s="1066"/>
      <c r="AQ254" s="1066"/>
      <c r="AR254" s="1046" t="s">
        <v>1704</v>
      </c>
      <c r="AS254" s="1046"/>
      <c r="AT254" s="1046"/>
      <c r="AU254" s="1043"/>
      <c r="AV254" s="1043"/>
    </row>
    <row s="1621" customFormat="1" customHeight="1" ht="101.25" hidden="1">
      <c r="A255" s="1066"/>
      <c r="B255" s="1066"/>
      <c r="C255" s="1066"/>
      <c r="D255" s="1066"/>
      <c r="E255" s="675">
        <v>0</v>
      </c>
      <c r="F255" s="50" cm="1" t="str">
        <f t="array" ref="F255:F255">OFFSET(E255,-1,1)</f>
        <v>2</v>
      </c>
      <c r="G255" s="1066"/>
      <c r="H255" s="491">
        <f>ISERR(SEARCH("Водоснабжение",AB197))</f>
        <v>1</v>
      </c>
      <c r="I255" s="566" t="s">
        <v>722</v>
      </c>
      <c r="J255" s="566"/>
      <c r="K255" s="566"/>
      <c r="L255" s="566"/>
      <c r="M255" s="566"/>
      <c r="N255" s="566"/>
      <c r="O255" s="566"/>
      <c r="P255" s="566"/>
      <c r="Q255" s="566"/>
      <c r="R255" s="566"/>
      <c r="S255" s="566"/>
      <c r="T255" s="439" cm="1" t="str">
        <f t="array" ref="T255:T255">T254</f>
        <v>true</v>
      </c>
      <c r="U255" s="1066"/>
      <c r="V255" s="1066"/>
      <c r="W255" s="1066"/>
      <c r="X255" s="1577"/>
      <c r="Y255" s="1066"/>
      <c r="Z255" s="1578"/>
      <c r="AA255" s="1066"/>
      <c r="AB255" s="788" t="s">
        <v>978</v>
      </c>
      <c r="AC255" s="797" t="s">
        <v>1705</v>
      </c>
      <c r="AD255" s="740" t="s">
        <v>784</v>
      </c>
      <c r="AE255" s="790"/>
      <c r="AF255" s="790"/>
      <c r="AG255" s="790"/>
      <c r="AH255" s="783">
        <f>AG255-AF255</f>
        <v>0</v>
      </c>
      <c r="AI255" s="790"/>
      <c r="AJ255" s="4405"/>
      <c r="AK255" s="4405">
        <f>_xlfn.IFERROR(_xlfn.SUMIFS('Плата за негативное возд'!$AL$25:$AL$35,'Плата за негативное возд'!$F$25:$F$35,F255,'Плата за негативное возд'!$G$25:$G$35,"1"),0)</f>
        <v>0</v>
      </c>
      <c r="AL255" s="783">
        <f>IF(AI255=0,0,(AK255-AI255)/AI255*100)</f>
        <v>0</v>
      </c>
      <c r="AM255" s="4392"/>
      <c r="AN255" s="4392"/>
      <c r="AO255" s="4392"/>
      <c r="AP255" s="1066"/>
      <c r="AQ255" s="1066"/>
      <c r="AR255" s="1046" t="s">
        <v>1249</v>
      </c>
      <c r="AS255" s="1046"/>
      <c r="AT255" s="1046"/>
      <c r="AU255" s="1043"/>
      <c r="AV255" s="1043"/>
    </row>
    <row s="1621" customFormat="1" customHeight="1" ht="67.5" hidden="1">
      <c r="A256" s="1066"/>
      <c r="B256" s="1066"/>
      <c r="C256" s="1066"/>
      <c r="D256" s="1066"/>
      <c r="E256" s="675">
        <v>0</v>
      </c>
      <c r="F256" s="50" cm="1" t="str">
        <f t="array" ref="F256:F256">OFFSET(E256,-1,1)</f>
        <v>2</v>
      </c>
      <c r="G256" s="1066"/>
      <c r="H256" s="491">
        <f>ISERR(SEARCH("Водоснабжение",AB197))</f>
        <v>1</v>
      </c>
      <c r="I256" s="566" t="s">
        <v>725</v>
      </c>
      <c r="J256" s="566"/>
      <c r="K256" s="566"/>
      <c r="L256" s="566"/>
      <c r="M256" s="566"/>
      <c r="N256" s="566"/>
      <c r="O256" s="566"/>
      <c r="P256" s="566"/>
      <c r="Q256" s="566"/>
      <c r="R256" s="566"/>
      <c r="S256" s="566"/>
      <c r="T256" s="439" cm="1" t="str">
        <f t="array" ref="T256:T256">T255</f>
        <v>true</v>
      </c>
      <c r="U256" s="1066"/>
      <c r="V256" s="1066"/>
      <c r="W256" s="1066"/>
      <c r="X256" s="1577"/>
      <c r="Y256" s="1066"/>
      <c r="Z256" s="1578"/>
      <c r="AA256" s="1066"/>
      <c r="AB256" s="788" t="s">
        <v>1706</v>
      </c>
      <c r="AC256" s="797" t="s">
        <v>1707</v>
      </c>
      <c r="AD256" s="740" t="s">
        <v>784</v>
      </c>
      <c r="AE256" s="790"/>
      <c r="AF256" s="790"/>
      <c r="AG256" s="790"/>
      <c r="AH256" s="783">
        <f>AG256-AF256</f>
        <v>0</v>
      </c>
      <c r="AI256" s="790"/>
      <c r="AJ256" s="4405"/>
      <c r="AK256" s="4405">
        <f>_xlfn.IFERROR(_xlfn.SUMIFS('Плата за негативное возд'!$AL$25:$AL$35,'Плата за негативное возд'!$F$25:$F$35,F256,'Плата за негативное возд'!$G$25:$G$35,"2"),0)</f>
        <v>0</v>
      </c>
      <c r="AL256" s="783">
        <f>IF(AI256=0,0,(AK256-AI256)/AI256*100)</f>
        <v>0</v>
      </c>
      <c r="AM256" s="4392"/>
      <c r="AN256" s="4392"/>
      <c r="AO256" s="4392"/>
      <c r="AP256" s="1066"/>
      <c r="AQ256" s="1066"/>
      <c r="AR256" s="1046" t="s">
        <v>1253</v>
      </c>
      <c r="AS256" s="1046"/>
      <c r="AT256" s="1046"/>
      <c r="AU256" s="1043"/>
      <c r="AV256" s="1043"/>
    </row>
    <row s="1621" customFormat="1" customHeight="1" ht="14.25">
      <c r="A257" s="1066"/>
      <c r="B257" s="1066"/>
      <c r="C257" s="1066"/>
      <c r="D257" s="1066"/>
      <c r="E257" s="675">
        <v>15</v>
      </c>
      <c r="F257" s="50" cm="1" t="str">
        <f t="array" ref="F257:F257">OFFSET(E257,-1,1)</f>
        <v>2</v>
      </c>
      <c r="G257" s="1066"/>
      <c r="H257" s="1066"/>
      <c r="I257" s="566" t="s">
        <v>762</v>
      </c>
      <c r="J257" s="566"/>
      <c r="K257" s="566"/>
      <c r="L257" s="566"/>
      <c r="M257" s="566"/>
      <c r="N257" s="566"/>
      <c r="O257" s="566"/>
      <c r="P257" s="566"/>
      <c r="Q257" s="566"/>
      <c r="R257" s="566"/>
      <c r="S257" s="566"/>
      <c r="T257" s="439" cm="1" t="str">
        <f t="array" ref="T257:T257">T256</f>
        <v>true</v>
      </c>
      <c r="U257" s="1066"/>
      <c r="V257" s="1066"/>
      <c r="W257" s="1066"/>
      <c r="X257" s="1577"/>
      <c r="Y257" s="1066"/>
      <c r="Z257" s="1578"/>
      <c r="AA257" s="1066"/>
      <c r="AB257" s="788" t="s">
        <v>1708</v>
      </c>
      <c r="AC257" s="799" t="s">
        <v>1709</v>
      </c>
      <c r="AD257" s="795" t="s">
        <v>784</v>
      </c>
      <c r="AE257" s="790"/>
      <c r="AF257" s="790"/>
      <c r="AG257" s="790"/>
      <c r="AH257" s="783">
        <f>AG257-AF257</f>
        <v>0</v>
      </c>
      <c r="AI257" s="790"/>
      <c r="AJ257" s="790"/>
      <c r="AK257" s="790"/>
      <c r="AL257" s="783">
        <f>IF(AI257=0,0,(AK257-AI257)/AI257*100)</f>
        <v>0</v>
      </c>
      <c r="AM257" s="784"/>
      <c r="AN257" s="784"/>
      <c r="AO257" s="784"/>
      <c r="AP257" s="1066"/>
      <c r="AQ257" s="1066"/>
      <c r="AR257" s="1046" t="s">
        <v>1129</v>
      </c>
      <c r="AS257" s="1046"/>
      <c r="AT257" s="1046"/>
      <c r="AU257" s="1043"/>
      <c r="AV257" s="1043"/>
    </row>
    <row s="4519" customFormat="1" customHeight="1" ht="21.75">
      <c r="A258" s="567"/>
      <c r="B258" s="567"/>
      <c r="C258" s="567"/>
      <c r="D258" s="567"/>
      <c r="E258" s="677">
        <v>22.5</v>
      </c>
      <c r="F258" s="50" cm="1" t="str">
        <f t="array" ref="F258:F258">OFFSET(E258,-1,1)</f>
        <v>2</v>
      </c>
      <c r="G258" s="567"/>
      <c r="H258" s="567"/>
      <c r="I258" s="678" t="s">
        <v>763</v>
      </c>
      <c r="J258" s="678"/>
      <c r="K258" s="678"/>
      <c r="L258" s="678"/>
      <c r="M258" s="678"/>
      <c r="N258" s="678"/>
      <c r="O258" s="678"/>
      <c r="P258" s="678"/>
      <c r="Q258" s="678"/>
      <c r="R258" s="678"/>
      <c r="S258" s="678"/>
      <c r="T258" s="439" cm="1" t="str">
        <f t="array" ref="T258:T258">T257</f>
        <v>true</v>
      </c>
      <c r="U258" s="567"/>
      <c r="V258" s="567"/>
      <c r="W258" s="567"/>
      <c r="X258" s="1577"/>
      <c r="Y258" s="567"/>
      <c r="Z258" s="1578"/>
      <c r="AA258" s="567"/>
      <c r="AB258" s="785" t="s">
        <v>1710</v>
      </c>
      <c r="AC258" s="568" t="s">
        <v>1711</v>
      </c>
      <c r="AD258" s="793" t="s">
        <v>784</v>
      </c>
      <c r="AE258" s="769">
        <f>AE259+AE260</f>
        <v>0</v>
      </c>
      <c r="AF258" s="769">
        <f>AF259+AF260</f>
        <v>0</v>
      </c>
      <c r="AG258" s="769">
        <f>AG259+AG260</f>
        <v>0</v>
      </c>
      <c r="AH258" s="782">
        <f>AG258-AF258</f>
        <v>0</v>
      </c>
      <c r="AI258" s="769">
        <f>AI259+AI260</f>
        <v>0</v>
      </c>
      <c r="AJ258" s="769">
        <f>AJ259+AJ260</f>
        <v>0</v>
      </c>
      <c r="AK258" s="769">
        <f>AK259+AK260</f>
        <v>0</v>
      </c>
      <c r="AL258" s="782">
        <f>IF(AI258=0,0,(AK258-AI258)/AI258*100)</f>
        <v>0</v>
      </c>
      <c r="AM258" s="787"/>
      <c r="AN258" s="787"/>
      <c r="AO258" s="787"/>
      <c r="AP258" s="567"/>
      <c r="AQ258" s="567"/>
      <c r="AR258" s="1047" t="s">
        <v>1430</v>
      </c>
      <c r="AS258" s="1047"/>
      <c r="AT258" s="1047"/>
      <c r="AU258" s="677"/>
      <c r="AV258" s="677"/>
    </row>
    <row s="1621" customFormat="1" customHeight="1" ht="21.75">
      <c r="A259" s="1066"/>
      <c r="B259" s="1066"/>
      <c r="C259" s="1066"/>
      <c r="D259" s="1066"/>
      <c r="E259" s="675">
        <v>22.5</v>
      </c>
      <c r="F259" s="50" cm="1" t="str">
        <f t="array" ref="F259:F259">OFFSET(E259,-1,1)</f>
        <v>2</v>
      </c>
      <c r="G259" s="1066"/>
      <c r="H259" s="1066"/>
      <c r="I259" s="566" t="s">
        <v>1712</v>
      </c>
      <c r="J259" s="566"/>
      <c r="K259" s="566"/>
      <c r="L259" s="566"/>
      <c r="M259" s="566"/>
      <c r="N259" s="566"/>
      <c r="O259" s="566"/>
      <c r="P259" s="566"/>
      <c r="Q259" s="566"/>
      <c r="R259" s="566"/>
      <c r="S259" s="566"/>
      <c r="T259" s="439" cm="1" t="str">
        <f t="array" ref="T259:T259">T258</f>
        <v>true</v>
      </c>
      <c r="U259" s="1066"/>
      <c r="V259" s="1066"/>
      <c r="W259" s="1066"/>
      <c r="X259" s="1577"/>
      <c r="Y259" s="1066"/>
      <c r="Z259" s="1578"/>
      <c r="AA259" s="1066"/>
      <c r="AB259" s="788" t="s">
        <v>1713</v>
      </c>
      <c r="AC259" s="800" t="s">
        <v>1431</v>
      </c>
      <c r="AD259" s="795" t="s">
        <v>784</v>
      </c>
      <c r="AE259" s="790"/>
      <c r="AF259" s="790"/>
      <c r="AG259" s="790"/>
      <c r="AH259" s="783">
        <f>AG259-AF259</f>
        <v>0</v>
      </c>
      <c r="AI259" s="790"/>
      <c r="AJ259" s="790"/>
      <c r="AK259" s="790"/>
      <c r="AL259" s="783">
        <f>IF(AI259=0,0,(AK259-AI259)/AI259*100)</f>
        <v>0</v>
      </c>
      <c r="AM259" s="784"/>
      <c r="AN259" s="784"/>
      <c r="AO259" s="784"/>
      <c r="AP259" s="1066"/>
      <c r="AQ259" s="1066"/>
      <c r="AR259" s="1046" t="s">
        <v>1469</v>
      </c>
      <c r="AS259" s="1046"/>
      <c r="AT259" s="1046"/>
      <c r="AU259" s="1043"/>
      <c r="AV259" s="1043"/>
    </row>
    <row s="1621" customFormat="1" customHeight="1" ht="21.75">
      <c r="A260" s="1066"/>
      <c r="B260" s="1066"/>
      <c r="C260" s="1066"/>
      <c r="D260" s="1066"/>
      <c r="E260" s="675">
        <v>22.5</v>
      </c>
      <c r="F260" s="50" cm="1" t="str">
        <f t="array" ref="F260:F260">OFFSET(E260,-1,1)</f>
        <v>2</v>
      </c>
      <c r="G260" s="1066"/>
      <c r="H260" s="1066"/>
      <c r="I260" s="566" t="s">
        <v>1714</v>
      </c>
      <c r="J260" s="566"/>
      <c r="K260" s="566"/>
      <c r="L260" s="566"/>
      <c r="M260" s="566"/>
      <c r="N260" s="566"/>
      <c r="O260" s="566"/>
      <c r="P260" s="566"/>
      <c r="Q260" s="566"/>
      <c r="R260" s="566"/>
      <c r="S260" s="566"/>
      <c r="T260" s="439" cm="1" t="str">
        <f t="array" ref="T260:T260">T259</f>
        <v>true</v>
      </c>
      <c r="U260" s="1066"/>
      <c r="V260" s="1066"/>
      <c r="W260" s="1066"/>
      <c r="X260" s="1577"/>
      <c r="Y260" s="1066"/>
      <c r="Z260" s="1578"/>
      <c r="AA260" s="1066"/>
      <c r="AB260" s="788" t="s">
        <v>1715</v>
      </c>
      <c r="AC260" s="800" t="s">
        <v>1433</v>
      </c>
      <c r="AD260" s="795" t="s">
        <v>784</v>
      </c>
      <c r="AE260" s="790"/>
      <c r="AF260" s="790"/>
      <c r="AG260" s="790"/>
      <c r="AH260" s="783">
        <f>AG260-AF260</f>
        <v>0</v>
      </c>
      <c r="AI260" s="790"/>
      <c r="AJ260" s="790"/>
      <c r="AK260" s="790"/>
      <c r="AL260" s="783">
        <f>IF(AI260=0,0,(AK260-AI260)/AI260*100)</f>
        <v>0</v>
      </c>
      <c r="AM260" s="784"/>
      <c r="AN260" s="784"/>
      <c r="AO260" s="784"/>
      <c r="AP260" s="1066"/>
      <c r="AQ260" s="1066"/>
      <c r="AR260" s="1046" t="s">
        <v>1716</v>
      </c>
      <c r="AS260" s="1046"/>
      <c r="AT260" s="1046"/>
      <c r="AU260" s="1043"/>
      <c r="AV260" s="1043"/>
    </row>
    <row s="1621" customFormat="1" customHeight="1" ht="14.25">
      <c r="A261" s="1066"/>
      <c r="B261" s="1066"/>
      <c r="C261" s="1066"/>
      <c r="D261" s="1066"/>
      <c r="E261" s="675">
        <v>15</v>
      </c>
      <c r="F261" s="50" cm="1" t="str">
        <f t="array" ref="F261:F261">OFFSET(E261,-1,1)</f>
        <v>2</v>
      </c>
      <c r="G261" s="1066"/>
      <c r="H261" s="1066"/>
      <c r="I261" s="566" t="s">
        <v>1717</v>
      </c>
      <c r="J261" s="566"/>
      <c r="K261" s="566"/>
      <c r="L261" s="566"/>
      <c r="M261" s="566"/>
      <c r="N261" s="566"/>
      <c r="O261" s="566"/>
      <c r="P261" s="566"/>
      <c r="Q261" s="566"/>
      <c r="R261" s="566"/>
      <c r="S261" s="566"/>
      <c r="T261" s="439" cm="1" t="str">
        <f t="array" ref="T261:T261">T260</f>
        <v>true</v>
      </c>
      <c r="U261" s="1066"/>
      <c r="V261" s="1066"/>
      <c r="W261" s="1066"/>
      <c r="X261" s="1577"/>
      <c r="Y261" s="1066"/>
      <c r="Z261" s="1578"/>
      <c r="AA261" s="1066"/>
      <c r="AB261" s="801" t="s">
        <v>335</v>
      </c>
      <c r="AC261" s="802" t="s">
        <v>1435</v>
      </c>
      <c r="AD261" s="795" t="s">
        <v>784</v>
      </c>
      <c r="AE261" s="790"/>
      <c r="AF261" s="790"/>
      <c r="AG261" s="790"/>
      <c r="AH261" s="783">
        <f>AG261-AF261</f>
        <v>0</v>
      </c>
      <c r="AI261" s="790"/>
      <c r="AJ261" s="790"/>
      <c r="AK261" s="790"/>
      <c r="AL261" s="783">
        <f>IF(AI261=0,0,(AK261-AI261)/AI261*100)</f>
        <v>0</v>
      </c>
      <c r="AM261" s="784"/>
      <c r="AN261" s="784"/>
      <c r="AO261" s="784"/>
      <c r="AP261" s="1066"/>
      <c r="AQ261" s="1066"/>
      <c r="AR261" s="1046" t="s">
        <v>1436</v>
      </c>
      <c r="AS261" s="1046"/>
      <c r="AT261" s="1046"/>
      <c r="AU261" s="1043"/>
      <c r="AV261" s="1043"/>
    </row>
    <row s="1621" customFormat="1" customHeight="1" ht="14.25">
      <c r="A262" s="1066"/>
      <c r="B262" s="1066"/>
      <c r="C262" s="1066"/>
      <c r="D262" s="1066"/>
      <c r="E262" s="675">
        <v>15</v>
      </c>
      <c r="F262" s="50" cm="1" t="str">
        <f t="array" ref="F262:F262">OFFSET(E262,-1,1)</f>
        <v>2</v>
      </c>
      <c r="G262" s="1066"/>
      <c r="H262" s="1066"/>
      <c r="I262" s="566" t="s">
        <v>1718</v>
      </c>
      <c r="J262" s="566"/>
      <c r="K262" s="566"/>
      <c r="L262" s="566"/>
      <c r="M262" s="566"/>
      <c r="N262" s="566"/>
      <c r="O262" s="566"/>
      <c r="P262" s="566"/>
      <c r="Q262" s="566"/>
      <c r="R262" s="566"/>
      <c r="S262" s="566"/>
      <c r="T262" s="439" cm="1" t="str">
        <f t="array" ref="T262:T262">T261</f>
        <v>true</v>
      </c>
      <c r="U262" s="1066"/>
      <c r="V262" s="1066"/>
      <c r="W262" s="1066"/>
      <c r="X262" s="1577"/>
      <c r="Y262" s="1066"/>
      <c r="Z262" s="1578"/>
      <c r="AA262" s="1066"/>
      <c r="AB262" s="801" t="s">
        <v>1719</v>
      </c>
      <c r="AC262" s="802" t="s">
        <v>1437</v>
      </c>
      <c r="AD262" s="795" t="s">
        <v>784</v>
      </c>
      <c r="AE262" s="790"/>
      <c r="AF262" s="790"/>
      <c r="AG262" s="790"/>
      <c r="AH262" s="783">
        <f>AG262-AF262</f>
        <v>0</v>
      </c>
      <c r="AI262" s="790"/>
      <c r="AJ262" s="790"/>
      <c r="AK262" s="790"/>
      <c r="AL262" s="783">
        <f>IF(AI262=0,0,(AK262-AI262)/AI262*100)</f>
        <v>0</v>
      </c>
      <c r="AM262" s="784"/>
      <c r="AN262" s="784"/>
      <c r="AO262" s="784"/>
      <c r="AP262" s="1066"/>
      <c r="AQ262" s="1066"/>
      <c r="AR262" s="1046" t="s">
        <v>1438</v>
      </c>
      <c r="AS262" s="1046"/>
      <c r="AT262" s="1046"/>
      <c r="AU262" s="1043"/>
      <c r="AV262" s="1043"/>
    </row>
    <row s="4520" customFormat="1" customHeight="1" ht="14.25">
      <c r="A263" s="567"/>
      <c r="B263" s="567"/>
      <c r="C263" s="567"/>
      <c r="D263" s="567"/>
      <c r="E263" s="677">
        <v>15</v>
      </c>
      <c r="F263" s="50" cm="1" t="str">
        <f t="array" ref="F263:F263">OFFSET(E263,-1,1)</f>
        <v>2</v>
      </c>
      <c r="G263" s="567"/>
      <c r="H263" s="567"/>
      <c r="I263" s="678" t="s">
        <v>1720</v>
      </c>
      <c r="J263" s="678"/>
      <c r="K263" s="678"/>
      <c r="L263" s="678"/>
      <c r="M263" s="678"/>
      <c r="N263" s="678"/>
      <c r="O263" s="678"/>
      <c r="P263" s="678"/>
      <c r="Q263" s="678"/>
      <c r="R263" s="678"/>
      <c r="S263" s="678"/>
      <c r="T263" s="439" cm="1" t="str">
        <f t="array" ref="T263:T263">T262</f>
        <v>true</v>
      </c>
      <c r="U263" s="567"/>
      <c r="V263" s="567"/>
      <c r="W263" s="567"/>
      <c r="X263" s="1577"/>
      <c r="Y263" s="567"/>
      <c r="Z263" s="1578"/>
      <c r="AA263" s="567"/>
      <c r="AB263" s="785" t="s">
        <v>1721</v>
      </c>
      <c r="AC263" s="568" t="s">
        <v>1722</v>
      </c>
      <c r="AD263" s="793" t="s">
        <v>784</v>
      </c>
      <c r="AE263" s="769">
        <f>AE198+AE226+AE231+AE244+AE245+AE247+AE248+AE249+AE253+AE254-AE255-AE256+AE257-AE258+AE261+AE262</f>
        <v>515.8455311857</v>
      </c>
      <c r="AF263" s="769">
        <f>AF198+AF226+AF231+AF244+AF245+AF247+AF248+AF249+AF253+AF254-AF255-AF256+AF257-AF258+AF261+AF262</f>
        <v>4915.5791723561</v>
      </c>
      <c r="AG263" s="769">
        <f>AG198+AG226+AG231+AG244+AG245+AG247+AG248+AG249+AG253+AG254-AG255-AG256+AG257-AG258+AG261+AG262</f>
        <v>321.2051618494</v>
      </c>
      <c r="AH263" s="782">
        <f>AG263-AF263</f>
        <v>-4594.3740105067</v>
      </c>
      <c r="AI263" s="769">
        <f>AI198+AI226+AI231+AI244+AI245+AI247+AI248+AI249+AI253+AI254-AI255-AI256+AI257-AI258+AI261+AI262</f>
        <v>609.8785975534</v>
      </c>
      <c r="AJ263" s="769">
        <f>AJ198+AJ226+AJ231+AJ244+AJ245+AJ247+AJ248+AJ249+AJ253+AJ254-AJ255-AJ256+AJ257-AJ258+AJ261+AJ262</f>
        <v>4793.1212169634</v>
      </c>
      <c r="AK263" s="769">
        <f>AK198+AK226+AK231+AK244+AK245+AK247+AK248+AK249+AK253+AK254-AK255-AK256+AK257-AK258+AK261+AK262</f>
        <v>622.3273765877</v>
      </c>
      <c r="AL263" s="782">
        <f>IF(AI263=0,0,(AK263-AI263)/AI263*100)</f>
        <v>2.0411896866425</v>
      </c>
      <c r="AM263" s="787"/>
      <c r="AN263" s="787"/>
      <c r="AO263" s="787"/>
      <c r="AP263" s="567"/>
      <c r="AQ263" s="567"/>
      <c r="AR263" s="1047" t="s">
        <v>1723</v>
      </c>
      <c r="AS263" s="1047"/>
      <c r="AT263" s="1047"/>
      <c r="AU263" s="677"/>
      <c r="AV263" s="677"/>
    </row>
    <row s="1621" customFormat="1" customHeight="1" ht="15" hidden="1">
      <c r="A264" s="1066"/>
      <c r="B264" s="556">
        <f>G197="двухставочный"</f>
        <v>0</v>
      </c>
      <c r="C264" s="1066"/>
      <c r="D264" s="1066"/>
      <c r="E264" s="675">
        <v>0</v>
      </c>
      <c r="F264" s="50" cm="1" t="str">
        <f t="array" ref="F264:F264">OFFSET(E264,-1,1)</f>
        <v>2</v>
      </c>
      <c r="G264" s="1066"/>
      <c r="H264" s="1066"/>
      <c r="I264" s="566" t="s">
        <v>1724</v>
      </c>
      <c r="J264" s="566"/>
      <c r="K264" s="566"/>
      <c r="L264" s="566"/>
      <c r="M264" s="566"/>
      <c r="N264" s="566"/>
      <c r="O264" s="566"/>
      <c r="P264" s="566"/>
      <c r="Q264" s="566"/>
      <c r="R264" s="566"/>
      <c r="S264" s="566"/>
      <c r="T264" s="439" cm="1" t="str">
        <f t="array" ref="T264:T264">T263</f>
        <v>true</v>
      </c>
      <c r="U264" s="1066"/>
      <c r="V264" s="1066"/>
      <c r="W264" s="1066"/>
      <c r="X264" s="1577"/>
      <c r="Y264" s="1066"/>
      <c r="Z264" s="1578"/>
      <c r="AA264" s="1066"/>
      <c r="AB264" s="788" t="s">
        <v>1725</v>
      </c>
      <c r="AC264" s="800" t="s">
        <v>1726</v>
      </c>
      <c r="AD264" s="795" t="s">
        <v>784</v>
      </c>
      <c r="AE264" s="790"/>
      <c r="AF264" s="790"/>
      <c r="AG264" s="790"/>
      <c r="AH264" s="783">
        <f>AG264-AF264</f>
        <v>0</v>
      </c>
      <c r="AI264" s="790"/>
      <c r="AJ264" s="4405"/>
      <c r="AK264" s="4405"/>
      <c r="AL264" s="783">
        <f>IF(AI264=0,0,(AK264-AI264)/AI264*100)</f>
        <v>0</v>
      </c>
      <c r="AM264" s="4392"/>
      <c r="AN264" s="4392"/>
      <c r="AO264" s="4392"/>
      <c r="AP264" s="1066"/>
      <c r="AQ264" s="1066"/>
      <c r="AR264" s="1046" t="s">
        <v>1727</v>
      </c>
      <c r="AS264" s="1046"/>
      <c r="AT264" s="1046"/>
      <c r="AU264" s="1043"/>
      <c r="AV264" s="1043"/>
    </row>
    <row s="1621" customFormat="1" customHeight="1" ht="15" hidden="1">
      <c r="A265" s="1066"/>
      <c r="B265" s="556">
        <f>G197="двухставочный"</f>
        <v>0</v>
      </c>
      <c r="C265" s="1066"/>
      <c r="D265" s="1066"/>
      <c r="E265" s="675">
        <v>0</v>
      </c>
      <c r="F265" s="50" cm="1" t="str">
        <f t="array" ref="F265:F265">OFFSET(E265,-1,1)</f>
        <v>2</v>
      </c>
      <c r="G265" s="1066"/>
      <c r="H265" s="1066"/>
      <c r="I265" s="566" t="s">
        <v>1728</v>
      </c>
      <c r="J265" s="566"/>
      <c r="K265" s="566"/>
      <c r="L265" s="566"/>
      <c r="M265" s="566"/>
      <c r="N265" s="566"/>
      <c r="O265" s="566"/>
      <c r="P265" s="566"/>
      <c r="Q265" s="566"/>
      <c r="R265" s="566"/>
      <c r="S265" s="566"/>
      <c r="T265" s="439" cm="1" t="str">
        <f t="array" ref="T265:T265">T264</f>
        <v>true</v>
      </c>
      <c r="U265" s="1066"/>
      <c r="V265" s="1066"/>
      <c r="W265" s="1066"/>
      <c r="X265" s="1577"/>
      <c r="Y265" s="1066"/>
      <c r="Z265" s="1578"/>
      <c r="AA265" s="1066"/>
      <c r="AB265" s="788" t="s">
        <v>1729</v>
      </c>
      <c r="AC265" s="800" t="s">
        <v>1730</v>
      </c>
      <c r="AD265" s="795" t="s">
        <v>784</v>
      </c>
      <c r="AE265" s="790"/>
      <c r="AF265" s="790"/>
      <c r="AG265" s="790"/>
      <c r="AH265" s="783">
        <f>AG265-AF265</f>
        <v>0</v>
      </c>
      <c r="AI265" s="790"/>
      <c r="AJ265" s="4405"/>
      <c r="AK265" s="4405"/>
      <c r="AL265" s="783">
        <f>IF(AI265=0,0,(AK265-AI265)/AI265*100)</f>
        <v>0</v>
      </c>
      <c r="AM265" s="4392"/>
      <c r="AN265" s="4392"/>
      <c r="AO265" s="4392"/>
      <c r="AP265" s="1066"/>
      <c r="AQ265" s="1066"/>
      <c r="AR265" s="1046" t="s">
        <v>1731</v>
      </c>
      <c r="AS265" s="1046"/>
      <c r="AT265" s="1046"/>
      <c r="AU265" s="1043"/>
      <c r="AV265" s="1043"/>
    </row>
    <row s="4521" customFormat="1" customHeight="1" ht="14.25">
      <c r="A266" s="567"/>
      <c r="B266" s="567"/>
      <c r="C266" s="567"/>
      <c r="D266" s="567"/>
      <c r="E266" s="677">
        <v>15</v>
      </c>
      <c r="F266" s="50" cm="1" t="str">
        <f t="array" ref="F266:F266">OFFSET(E266,-1,1)</f>
        <v>2</v>
      </c>
      <c r="G266" s="557" t="s">
        <v>1503</v>
      </c>
      <c r="H266" s="567"/>
      <c r="I266" s="678" t="s">
        <v>1732</v>
      </c>
      <c r="J266" s="678"/>
      <c r="K266" s="678"/>
      <c r="L266" s="678"/>
      <c r="M266" s="678"/>
      <c r="N266" s="678"/>
      <c r="O266" s="678"/>
      <c r="P266" s="678"/>
      <c r="Q266" s="678"/>
      <c r="R266" s="678"/>
      <c r="S266" s="678"/>
      <c r="T266" s="439" cm="1" t="str">
        <f t="array" ref="T266:T266">T265</f>
        <v>true</v>
      </c>
      <c r="U266" s="567"/>
      <c r="V266" s="567"/>
      <c r="W266" s="567"/>
      <c r="X266" s="1577"/>
      <c r="Y266" s="567"/>
      <c r="Z266" s="1578"/>
      <c r="AA266" s="567"/>
      <c r="AB266" s="785" t="s">
        <v>1733</v>
      </c>
      <c r="AC266" s="568" t="s">
        <v>1734</v>
      </c>
      <c r="AD266" s="793" t="s">
        <v>512</v>
      </c>
      <c r="AE266" s="803">
        <f>_xlfn.SUMIFS(Баланс!AE$26:AE$300,Баланс!$F$26:$F$300,$F266,Баланс!$G$26:$G$300,"ПО")</f>
        <v>146.7799942943</v>
      </c>
      <c r="AF266" s="803">
        <f>_xlfn.SUMIFS(Баланс!AF$26:AF$300,Баланс!$F$26:$F$300,$F266,Баланс!$G$26:$G$300,"ПО")</f>
        <v>82.65</v>
      </c>
      <c r="AG266" s="803">
        <f>_xlfn.SUMIFS(Баланс!AG$26:AG$300,Баланс!$F$26:$F$300,$F266,Баланс!$G$26:$G$300,"ПО")</f>
        <v>146.7799942943</v>
      </c>
      <c r="AH266" s="803">
        <f>AG266-AF266</f>
        <v>64.1299942943</v>
      </c>
      <c r="AI266" s="803">
        <f>_xlfn.SUMIFS(Баланс!AH$26:AH$300,Баланс!$F$26:$F$300,$F266,Баланс!$G$26:$G$300,"ПО")</f>
        <v>139.12</v>
      </c>
      <c r="AJ266" s="803">
        <f>_xlfn.SUMIFS(Баланс!AI$26:AI$300,Баланс!$F$26:$F$300,$F266,Баланс!$G$26:$G$300,"ПО")</f>
        <v>136.4819</v>
      </c>
      <c r="AK266" s="803">
        <f>_xlfn.SUMIFS(Баланс!AS$26:AS$300,Баланс!$F$26:$F$300,$F266,Баланс!$G$26:$G$300,"ПО")</f>
        <v>136.4819</v>
      </c>
      <c r="AL266" s="804"/>
      <c r="AM266" s="787"/>
      <c r="AN266" s="787"/>
      <c r="AO266" s="787"/>
      <c r="AP266" s="567"/>
      <c r="AQ266" s="567"/>
      <c r="AR266" s="1047" t="s">
        <v>1735</v>
      </c>
      <c r="AS266" s="1047"/>
      <c r="AT266" s="1047"/>
      <c r="AU266" s="677"/>
      <c r="AV266" s="677"/>
    </row>
    <row s="1621" customFormat="1" customHeight="1" ht="14.25">
      <c r="A267" s="1066"/>
      <c r="B267" s="1066"/>
      <c r="C267" s="1066"/>
      <c r="D267" s="1066"/>
      <c r="E267" s="675">
        <v>15</v>
      </c>
      <c r="F267" s="50" cm="1" t="str">
        <f t="array" ref="F267:F267">OFFSET(E267,-1,1)</f>
        <v>2</v>
      </c>
      <c r="G267" s="557" t="s">
        <v>1530</v>
      </c>
      <c r="H267" s="1066"/>
      <c r="I267" s="566" t="s">
        <v>1736</v>
      </c>
      <c r="J267" s="566"/>
      <c r="K267" s="566"/>
      <c r="L267" s="566"/>
      <c r="M267" s="566"/>
      <c r="N267" s="566"/>
      <c r="O267" s="566"/>
      <c r="P267" s="566"/>
      <c r="Q267" s="566"/>
      <c r="R267" s="566"/>
      <c r="S267" s="566"/>
      <c r="T267" s="439" cm="1" t="str">
        <f t="array" ref="T267:T267">T266</f>
        <v>true</v>
      </c>
      <c r="U267" s="1066"/>
      <c r="V267" s="1066"/>
      <c r="W267" s="1066"/>
      <c r="X267" s="1577"/>
      <c r="Y267" s="1066"/>
      <c r="Z267" s="1578"/>
      <c r="AA267" s="1066"/>
      <c r="AB267" s="788" t="s">
        <v>1737</v>
      </c>
      <c r="AC267" s="1096" t="s">
        <v>1738</v>
      </c>
      <c r="AD267" s="795" t="s">
        <v>512</v>
      </c>
      <c r="AE267" s="805">
        <f>AE266/2</f>
        <v>73.38999714715</v>
      </c>
      <c r="AF267" s="805">
        <f>AF266/2</f>
        <v>41.325</v>
      </c>
      <c r="AG267" s="805">
        <f>AG266/2</f>
        <v>73.38999714715</v>
      </c>
      <c r="AH267" s="806">
        <f>AG267-AF267</f>
        <v>32.06499714715</v>
      </c>
      <c r="AI267" s="805">
        <f>AI266/2</f>
        <v>69.56</v>
      </c>
      <c r="AJ267" s="805">
        <f>IF(god=2026,AJ266/12*9,AJ266/2)</f>
        <v>102.361425</v>
      </c>
      <c r="AK267" s="805">
        <f>IF(god=2026,AK266/12*9,AK266/2)</f>
        <v>102.361425</v>
      </c>
      <c r="AL267" s="798"/>
      <c r="AM267" s="784"/>
      <c r="AN267" s="784"/>
      <c r="AO267" s="784"/>
      <c r="AP267" s="1066"/>
      <c r="AQ267" s="1066"/>
      <c r="AR267" s="1046" t="s">
        <v>1739</v>
      </c>
      <c r="AS267" s="1046"/>
      <c r="AT267" s="1046"/>
      <c r="AU267" s="1043"/>
      <c r="AV267" s="1043"/>
    </row>
    <row s="1621" customFormat="1" customHeight="1" ht="14.25">
      <c r="A268" s="1066"/>
      <c r="B268" s="1066"/>
      <c r="C268" s="1066"/>
      <c r="D268" s="1066"/>
      <c r="E268" s="675">
        <v>15</v>
      </c>
      <c r="F268" s="50" cm="1" t="str">
        <f t="array" ref="F268:F268">OFFSET(E268,-1,1)</f>
        <v>2</v>
      </c>
      <c r="G268" s="557" t="s">
        <v>1491</v>
      </c>
      <c r="H268" s="1066"/>
      <c r="I268" s="566" t="s">
        <v>1740</v>
      </c>
      <c r="J268" s="566"/>
      <c r="K268" s="566"/>
      <c r="L268" s="566"/>
      <c r="M268" s="566"/>
      <c r="N268" s="566"/>
      <c r="O268" s="566"/>
      <c r="P268" s="566"/>
      <c r="Q268" s="566"/>
      <c r="R268" s="566"/>
      <c r="S268" s="566"/>
      <c r="T268" s="439" cm="1" t="str">
        <f t="array" ref="T268:T268">T267</f>
        <v>true</v>
      </c>
      <c r="U268" s="1066"/>
      <c r="V268" s="1066"/>
      <c r="W268" s="1066"/>
      <c r="X268" s="1577"/>
      <c r="Y268" s="1066"/>
      <c r="Z268" s="1578"/>
      <c r="AA268" s="1066"/>
      <c r="AB268" s="788" t="s">
        <v>1741</v>
      </c>
      <c r="AC268" s="1096" t="s">
        <v>1742</v>
      </c>
      <c r="AD268" s="795" t="s">
        <v>1494</v>
      </c>
      <c r="AE268" s="790"/>
      <c r="AF268" s="790"/>
      <c r="AG268" s="790"/>
      <c r="AH268" s="783">
        <f>AG268-AF268</f>
        <v>0</v>
      </c>
      <c r="AI268" s="790"/>
      <c r="AJ268" s="790"/>
      <c r="AK268" s="790"/>
      <c r="AL268" s="798"/>
      <c r="AM268" s="784"/>
      <c r="AN268" s="784"/>
      <c r="AO268" s="784"/>
      <c r="AP268" s="1066"/>
      <c r="AQ268" s="1066"/>
      <c r="AR268" s="1046" t="s">
        <v>1743</v>
      </c>
      <c r="AS268" s="1046"/>
      <c r="AT268" s="1046"/>
      <c r="AU268" s="1043"/>
      <c r="AV268" s="1043"/>
    </row>
    <row s="1621" customFormat="1" customHeight="1" ht="14.25">
      <c r="A269" s="1066"/>
      <c r="B269" s="1066"/>
      <c r="C269" s="1066"/>
      <c r="D269" s="1066"/>
      <c r="E269" s="675">
        <v>15</v>
      </c>
      <c r="F269" s="50" cm="1" t="str">
        <f t="array" ref="F269:F269">OFFSET(E269,-1,1)</f>
        <v>2</v>
      </c>
      <c r="G269" s="557" t="s">
        <v>1543</v>
      </c>
      <c r="H269" s="1066"/>
      <c r="I269" s="566" t="s">
        <v>1744</v>
      </c>
      <c r="J269" s="566"/>
      <c r="K269" s="566"/>
      <c r="L269" s="566"/>
      <c r="M269" s="566"/>
      <c r="N269" s="566"/>
      <c r="O269" s="566"/>
      <c r="P269" s="566"/>
      <c r="Q269" s="566"/>
      <c r="R269" s="566"/>
      <c r="S269" s="566"/>
      <c r="T269" s="439" cm="1" t="str">
        <f t="array" ref="T269:T269">T268</f>
        <v>true</v>
      </c>
      <c r="U269" s="1066"/>
      <c r="V269" s="1066"/>
      <c r="W269" s="1066"/>
      <c r="X269" s="1577"/>
      <c r="Y269" s="1066"/>
      <c r="Z269" s="1578"/>
      <c r="AA269" s="1066"/>
      <c r="AB269" s="788" t="s">
        <v>1745</v>
      </c>
      <c r="AC269" s="1096" t="s">
        <v>1746</v>
      </c>
      <c r="AD269" s="795" t="s">
        <v>512</v>
      </c>
      <c r="AE269" s="806">
        <f>AE266-AE267</f>
        <v>73.38999714715</v>
      </c>
      <c r="AF269" s="806">
        <f>AF266-AF267</f>
        <v>41.325</v>
      </c>
      <c r="AG269" s="806">
        <f>AG266-AG267</f>
        <v>73.38999714715</v>
      </c>
      <c r="AH269" s="806">
        <f>AG269-AF269</f>
        <v>32.06499714715</v>
      </c>
      <c r="AI269" s="806">
        <f>AI266-AI267</f>
        <v>69.56</v>
      </c>
      <c r="AJ269" s="806">
        <f>AJ266-AJ267</f>
        <v>34.120475</v>
      </c>
      <c r="AK269" s="806">
        <f>AK266-AK267</f>
        <v>34.120475</v>
      </c>
      <c r="AL269" s="798"/>
      <c r="AM269" s="784"/>
      <c r="AN269" s="784"/>
      <c r="AO269" s="784"/>
      <c r="AP269" s="1066"/>
      <c r="AQ269" s="1066"/>
      <c r="AR269" s="1046" t="s">
        <v>1747</v>
      </c>
      <c r="AS269" s="1046"/>
      <c r="AT269" s="1046"/>
      <c r="AU269" s="1043"/>
      <c r="AV269" s="1043"/>
    </row>
    <row s="1621" customFormat="1" customHeight="1" ht="14.25">
      <c r="A270" s="1066"/>
      <c r="B270" s="1066"/>
      <c r="C270" s="1066"/>
      <c r="D270" s="1066"/>
      <c r="E270" s="675">
        <v>15</v>
      </c>
      <c r="F270" s="50" cm="1" t="str">
        <f t="array" ref="F270:F270">OFFSET(E270,-1,1)</f>
        <v>2</v>
      </c>
      <c r="G270" s="557" t="s">
        <v>1496</v>
      </c>
      <c r="H270" s="1066"/>
      <c r="I270" s="566" t="s">
        <v>1748</v>
      </c>
      <c r="J270" s="566"/>
      <c r="K270" s="566"/>
      <c r="L270" s="566"/>
      <c r="M270" s="566"/>
      <c r="N270" s="566"/>
      <c r="O270" s="566"/>
      <c r="P270" s="566"/>
      <c r="Q270" s="566"/>
      <c r="R270" s="566"/>
      <c r="S270" s="566"/>
      <c r="T270" s="439" cm="1" t="str">
        <f t="array" ref="T270:T270">T269</f>
        <v>true</v>
      </c>
      <c r="U270" s="1066"/>
      <c r="V270" s="1066"/>
      <c r="W270" s="1066"/>
      <c r="X270" s="1577"/>
      <c r="Y270" s="1066"/>
      <c r="Z270" s="1578"/>
      <c r="AA270" s="1066"/>
      <c r="AB270" s="788" t="s">
        <v>1749</v>
      </c>
      <c r="AC270" s="1096" t="s">
        <v>1750</v>
      </c>
      <c r="AD270" s="795" t="s">
        <v>1494</v>
      </c>
      <c r="AE270" s="790">
        <f>IF(AE269=0,0,(AE263-AE267*AE268)/AE269)</f>
        <v>7.02882615121797</v>
      </c>
      <c r="AF270" s="790">
        <f>IF(AF269=0,0,(AF263-AF267*AF268)/AF269)</f>
        <v>118.94928426754</v>
      </c>
      <c r="AG270" s="790">
        <f>IF(AG269=0,0,(AG263-AG267*AG268)/AG269)</f>
        <v>4.37668857249538</v>
      </c>
      <c r="AH270" s="783">
        <f>AG270-AF270</f>
        <v>-114.572595695045</v>
      </c>
      <c r="AI270" s="790">
        <f>IF(AI269=0,0,(AI263-AI267*AI268)/AI269)</f>
        <v>8.76766241451121</v>
      </c>
      <c r="AJ270" s="790">
        <f>IF(AJ269=0,0,(AJ263-AJ267*AJ268)/AJ269)</f>
        <v>140.476391872135</v>
      </c>
      <c r="AK270" s="790">
        <f>IF(AK269=0,0,(AK263-AK267*AK268)/AK269)</f>
        <v>18.239118200661</v>
      </c>
      <c r="AL270" s="798"/>
      <c r="AM270" s="784"/>
      <c r="AN270" s="784"/>
      <c r="AO270" s="784"/>
      <c r="AP270" s="1066"/>
      <c r="AQ270" s="1066"/>
      <c r="AR270" s="1046" t="s">
        <v>1751</v>
      </c>
      <c r="AS270" s="1046"/>
      <c r="AT270" s="1046"/>
      <c r="AU270" s="1043"/>
      <c r="AV270" s="1043"/>
    </row>
    <row s="1621" customFormat="1" customHeight="1" ht="14.25">
      <c r="A271" s="1066"/>
      <c r="B271" s="1066"/>
      <c r="C271" s="1066"/>
      <c r="D271" s="1066"/>
      <c r="E271" s="675">
        <v>15</v>
      </c>
      <c r="F271" s="50" cm="1" t="str">
        <f t="array" ref="F271:F271">OFFSET(E271,-1,1)</f>
        <v>2</v>
      </c>
      <c r="G271" s="557"/>
      <c r="H271" s="1066"/>
      <c r="I271" s="566" t="s">
        <v>1752</v>
      </c>
      <c r="J271" s="566"/>
      <c r="K271" s="566"/>
      <c r="L271" s="566"/>
      <c r="M271" s="566"/>
      <c r="N271" s="566"/>
      <c r="O271" s="566"/>
      <c r="P271" s="566"/>
      <c r="Q271" s="566"/>
      <c r="R271" s="566"/>
      <c r="S271" s="566"/>
      <c r="T271" s="439" cm="1" t="str">
        <f t="array" ref="T271:T271">T270</f>
        <v>true</v>
      </c>
      <c r="U271" s="1066"/>
      <c r="V271" s="1066"/>
      <c r="W271" s="1066"/>
      <c r="X271" s="1577"/>
      <c r="Y271" s="1066"/>
      <c r="Z271" s="1578"/>
      <c r="AA271" s="1066"/>
      <c r="AB271" s="788" t="s">
        <v>1753</v>
      </c>
      <c r="AC271" s="1096" t="s">
        <v>1754</v>
      </c>
      <c r="AD271" s="795" t="s">
        <v>437</v>
      </c>
      <c r="AE271" s="783">
        <f>IF(AE268=0,0,AE270/AE268*100)</f>
        <v>0</v>
      </c>
      <c r="AF271" s="783">
        <f>IF(AF268=0,0,AF270/AF268*100)</f>
        <v>0</v>
      </c>
      <c r="AG271" s="783">
        <f>IF(AG268=0,0,AG270/AG268*100)</f>
        <v>0</v>
      </c>
      <c r="AH271" s="798"/>
      <c r="AI271" s="783">
        <f>IF(AI268=0,0,AI270/AI268*100)</f>
        <v>0</v>
      </c>
      <c r="AJ271" s="783">
        <f>IF(AJ268=0,0,AJ270/AJ268*100)</f>
        <v>0</v>
      </c>
      <c r="AK271" s="783">
        <f>IF(AK268=0,0,AK270/AK268*100)</f>
        <v>0</v>
      </c>
      <c r="AL271" s="798"/>
      <c r="AM271" s="784"/>
      <c r="AN271" s="784"/>
      <c r="AO271" s="784"/>
      <c r="AP271" s="1066"/>
      <c r="AQ271" s="1066"/>
      <c r="AR271" s="1046" t="s">
        <v>1755</v>
      </c>
      <c r="AS271" s="1046"/>
      <c r="AT271" s="1046"/>
      <c r="AU271" s="1043"/>
      <c r="AV271" s="1043"/>
    </row>
    <row s="1621" customFormat="1" customHeight="1" ht="14.25">
      <c r="A272" s="1066"/>
      <c r="B272" s="1066"/>
      <c r="C272" s="1066"/>
      <c r="D272" s="1066"/>
      <c r="E272" s="675">
        <v>15</v>
      </c>
      <c r="F272" s="50" cm="1" t="str">
        <f t="array" ref="F272:F272">OFFSET(E272,-1,1)</f>
        <v>2</v>
      </c>
      <c r="G272" s="557"/>
      <c r="H272" s="1066"/>
      <c r="I272" s="566" t="s">
        <v>1756</v>
      </c>
      <c r="J272" s="566"/>
      <c r="K272" s="566"/>
      <c r="L272" s="566"/>
      <c r="M272" s="566"/>
      <c r="N272" s="566"/>
      <c r="O272" s="566"/>
      <c r="P272" s="566"/>
      <c r="Q272" s="566"/>
      <c r="R272" s="566"/>
      <c r="S272" s="566"/>
      <c r="T272" s="439" cm="1" t="str">
        <f t="array" ref="T272:T272">T271</f>
        <v>true</v>
      </c>
      <c r="U272" s="1066"/>
      <c r="V272" s="1066"/>
      <c r="W272" s="1066"/>
      <c r="X272" s="1577"/>
      <c r="Y272" s="1066"/>
      <c r="Z272" s="1578"/>
      <c r="AA272" s="1066"/>
      <c r="AB272" s="788" t="s">
        <v>1757</v>
      </c>
      <c r="AC272" s="1096" t="s">
        <v>1758</v>
      </c>
      <c r="AD272" s="795" t="s">
        <v>1494</v>
      </c>
      <c r="AE272" s="790">
        <f>IF(AE266=0,0,AE263/AE266)</f>
        <v>3.51441307560898</v>
      </c>
      <c r="AF272" s="790">
        <f>IF(AF266=0,0,AF263/AF266)</f>
        <v>59.4746421337701</v>
      </c>
      <c r="AG272" s="790">
        <f>IF(AG266=0,0,AG263/AG266)</f>
        <v>2.18834428624769</v>
      </c>
      <c r="AH272" s="783">
        <f>AG272-AF272</f>
        <v>-57.2862978475224</v>
      </c>
      <c r="AI272" s="790">
        <f>IF(AI266=0,0,AI263/AI266)</f>
        <v>4.38383120725561</v>
      </c>
      <c r="AJ272" s="790">
        <f>IF(AJ266=0,0,AJ263/AJ266)</f>
        <v>35.1190979680339</v>
      </c>
      <c r="AK272" s="790">
        <f>IF(AK266=0,0,AK263/AK266)</f>
        <v>4.55977955016526</v>
      </c>
      <c r="AL272" s="798"/>
      <c r="AM272" s="784"/>
      <c r="AN272" s="784"/>
      <c r="AO272" s="784"/>
      <c r="AP272" s="1066"/>
      <c r="AQ272" s="1066"/>
      <c r="AR272" s="1046" t="s">
        <v>1759</v>
      </c>
      <c r="AS272" s="1046"/>
      <c r="AT272" s="1046"/>
      <c r="AU272" s="1043"/>
      <c r="AV272" s="1043"/>
    </row>
    <row s="4522" customFormat="1" customHeight="1" ht="14.25">
      <c r="A273" s="567"/>
      <c r="B273" s="567"/>
      <c r="C273" s="567"/>
      <c r="D273" s="567"/>
      <c r="E273" s="677">
        <v>15</v>
      </c>
      <c r="F273" s="50" cm="1" t="str">
        <f t="array" ref="F273:F273">OFFSET(E273,-1,1)</f>
        <v>2</v>
      </c>
      <c r="G273" s="680"/>
      <c r="H273" s="567"/>
      <c r="I273" s="678" t="s">
        <v>1760</v>
      </c>
      <c r="J273" s="678"/>
      <c r="K273" s="678"/>
      <c r="L273" s="678"/>
      <c r="M273" s="678"/>
      <c r="N273" s="678"/>
      <c r="O273" s="678"/>
      <c r="P273" s="678"/>
      <c r="Q273" s="678"/>
      <c r="R273" s="678"/>
      <c r="S273" s="678"/>
      <c r="T273" s="439" cm="1" t="str">
        <f t="array" ref="T273:T273">T272</f>
        <v>true</v>
      </c>
      <c r="U273" s="567"/>
      <c r="V273" s="567"/>
      <c r="W273" s="567"/>
      <c r="X273" s="1577"/>
      <c r="Y273" s="567"/>
      <c r="Z273" s="1578"/>
      <c r="AA273" s="567"/>
      <c r="AB273" s="785" t="s">
        <v>1761</v>
      </c>
      <c r="AC273" s="179" t="s">
        <v>1762</v>
      </c>
      <c r="AD273" s="793" t="s">
        <v>784</v>
      </c>
      <c r="AE273" s="1261">
        <f>IF(AE266=0,0,AE263/AE266*AE274)</f>
        <v>0</v>
      </c>
      <c r="AF273" s="1261">
        <f>IF(AF266=0,0,AF263/AF266*AF274)</f>
        <v>0</v>
      </c>
      <c r="AG273" s="1261">
        <f>IF(AG266=0,0,AG263/AG266*AG274)</f>
        <v>0</v>
      </c>
      <c r="AH273" s="769">
        <f>AH275*AH276+AH277*AH278</f>
        <v>0</v>
      </c>
      <c r="AI273" s="1261">
        <f>IF(AI266=0,0,AI263/AI266*AI274)</f>
        <v>0</v>
      </c>
      <c r="AJ273" s="1261">
        <f>IF(AJ266=0,0,AJ263/AJ266*AJ274)</f>
        <v>0</v>
      </c>
      <c r="AK273" s="1261">
        <f>IF(AK266=0,0,AK263/AK266*AK274)</f>
        <v>0</v>
      </c>
      <c r="AL273" s="782">
        <f>IF(AI273=0,0,(AK273-AI273)/AI273*100)</f>
        <v>0</v>
      </c>
      <c r="AM273" s="787"/>
      <c r="AN273" s="787"/>
      <c r="AO273" s="787"/>
      <c r="AP273" s="567"/>
      <c r="AQ273" s="567"/>
      <c r="AR273" s="1047" t="s">
        <v>1763</v>
      </c>
      <c r="AS273" s="1047"/>
      <c r="AT273" s="1047"/>
      <c r="AU273" s="677"/>
      <c r="AV273" s="677"/>
    </row>
    <row s="4523" customFormat="1" customHeight="1" ht="14.25">
      <c r="A274" s="567"/>
      <c r="B274" s="567"/>
      <c r="C274" s="567"/>
      <c r="D274" s="567"/>
      <c r="E274" s="677">
        <v>15</v>
      </c>
      <c r="F274" s="50" cm="1" t="str">
        <f t="array" ref="F274:F274">OFFSET(E274,-1,1)</f>
        <v>2</v>
      </c>
      <c r="G274" s="557" t="s">
        <v>1516</v>
      </c>
      <c r="H274" s="567"/>
      <c r="I274" s="678" t="s">
        <v>1764</v>
      </c>
      <c r="J274" s="678"/>
      <c r="K274" s="678"/>
      <c r="L274" s="678"/>
      <c r="M274" s="678"/>
      <c r="N274" s="678"/>
      <c r="O274" s="678"/>
      <c r="P274" s="678"/>
      <c r="Q274" s="678"/>
      <c r="R274" s="678"/>
      <c r="S274" s="678"/>
      <c r="T274" s="439" cm="1" t="str">
        <f t="array" ref="T274:T274">T273</f>
        <v>true</v>
      </c>
      <c r="U274" s="567"/>
      <c r="V274" s="567"/>
      <c r="W274" s="567"/>
      <c r="X274" s="1577"/>
      <c r="Y274" s="567"/>
      <c r="Z274" s="1578"/>
      <c r="AA274" s="567"/>
      <c r="AB274" s="785" t="s">
        <v>1765</v>
      </c>
      <c r="AC274" s="179" t="s">
        <v>1766</v>
      </c>
      <c r="AD274" s="793" t="s">
        <v>512</v>
      </c>
      <c r="AE274" s="803">
        <f>_xlfn.SUMIFS(Баланс!AE$26:AE$300,Баланс!$F$26:$F$300,$F274,Баланс!$G$26:$G$300,"население")</f>
        <v>0</v>
      </c>
      <c r="AF274" s="803">
        <f>_xlfn.SUMIFS(Баланс!AF$26:AF$300,Баланс!$F$26:$F$300,$F274,Баланс!$G$26:$G$300,"население")</f>
        <v>0</v>
      </c>
      <c r="AG274" s="803">
        <f>_xlfn.SUMIFS(Баланс!AG$26:AG$300,Баланс!$F$26:$F$300,$F274,Баланс!$G$26:$G$300,"население")</f>
        <v>0</v>
      </c>
      <c r="AH274" s="803">
        <f>AG274-AF274</f>
        <v>0</v>
      </c>
      <c r="AI274" s="803">
        <f>_xlfn.SUMIFS(Баланс!AH$26:AH$300,Баланс!$F$26:$F$300,$F274,Баланс!$G$26:$G$300,"население")</f>
        <v>0</v>
      </c>
      <c r="AJ274" s="803">
        <f>_xlfn.SUMIFS(Баланс!AI$26:AI$300,Баланс!$F$26:$F$300,$F274,Баланс!$G$26:$G$300,"население")</f>
        <v>0</v>
      </c>
      <c r="AK274" s="803">
        <f>_xlfn.SUMIFS(Баланс!AS$26:AS$300,Баланс!$F$26:$F$300,$F274,Баланс!$G$26:$G$300,"население")</f>
        <v>0</v>
      </c>
      <c r="AL274" s="804"/>
      <c r="AM274" s="787"/>
      <c r="AN274" s="787"/>
      <c r="AO274" s="787"/>
      <c r="AP274" s="567"/>
      <c r="AQ274" s="567"/>
      <c r="AR274" s="1047" t="s">
        <v>1767</v>
      </c>
      <c r="AS274" s="1047"/>
      <c r="AT274" s="1047"/>
      <c r="AU274" s="677"/>
      <c r="AV274" s="677"/>
    </row>
    <row s="1621" customFormat="1" customHeight="1" ht="14.25">
      <c r="A275" s="1066"/>
      <c r="B275" s="1066"/>
      <c r="C275" s="1066"/>
      <c r="D275" s="1066"/>
      <c r="E275" s="675">
        <v>15</v>
      </c>
      <c r="F275" s="50" cm="1" t="str">
        <f t="array" ref="F275:F275">OFFSET(E275,-1,1)</f>
        <v>2</v>
      </c>
      <c r="G275" s="557" t="s">
        <v>1550</v>
      </c>
      <c r="H275" s="1066"/>
      <c r="I275" s="566" t="s">
        <v>1768</v>
      </c>
      <c r="J275" s="566"/>
      <c r="K275" s="566"/>
      <c r="L275" s="566"/>
      <c r="M275" s="566"/>
      <c r="N275" s="566"/>
      <c r="O275" s="566"/>
      <c r="P275" s="566"/>
      <c r="Q275" s="566"/>
      <c r="R275" s="566"/>
      <c r="S275" s="566"/>
      <c r="T275" s="439" cm="1" t="str">
        <f t="array" ref="T275:T275">T274</f>
        <v>true</v>
      </c>
      <c r="U275" s="1066"/>
      <c r="V275" s="1066"/>
      <c r="W275" s="1066"/>
      <c r="X275" s="1577"/>
      <c r="Y275" s="1066"/>
      <c r="Z275" s="1578"/>
      <c r="AA275" s="1066"/>
      <c r="AB275" s="788" t="s">
        <v>1769</v>
      </c>
      <c r="AC275" s="1096" t="s">
        <v>1770</v>
      </c>
      <c r="AD275" s="795" t="s">
        <v>512</v>
      </c>
      <c r="AE275" s="805">
        <f>AE274/2</f>
        <v>0</v>
      </c>
      <c r="AF275" s="805">
        <f>AF274/2</f>
        <v>0</v>
      </c>
      <c r="AG275" s="805">
        <f>AG274/2</f>
        <v>0</v>
      </c>
      <c r="AH275" s="806">
        <f>AG275-AF275</f>
        <v>0</v>
      </c>
      <c r="AI275" s="805">
        <f>AI274/2</f>
        <v>0</v>
      </c>
      <c r="AJ275" s="805">
        <f>IF(god=2026,AJ274/12*9,AJ274/2)</f>
        <v>0</v>
      </c>
      <c r="AK275" s="805">
        <f>IF(god=2026,AK274/12*9,AK274/2)</f>
        <v>0</v>
      </c>
      <c r="AL275" s="798"/>
      <c r="AM275" s="784"/>
      <c r="AN275" s="784"/>
      <c r="AO275" s="784"/>
      <c r="AP275" s="1066"/>
      <c r="AQ275" s="1066"/>
      <c r="AR275" s="1046" t="s">
        <v>1771</v>
      </c>
      <c r="AS275" s="1046"/>
      <c r="AT275" s="1046"/>
      <c r="AU275" s="1043"/>
      <c r="AV275" s="1043"/>
    </row>
    <row s="1621" customFormat="1" customHeight="1" ht="14.25">
      <c r="A276" s="1066"/>
      <c r="B276" s="1066"/>
      <c r="C276" s="1066"/>
      <c r="D276" s="1066"/>
      <c r="E276" s="675">
        <v>15</v>
      </c>
      <c r="F276" s="50" cm="1" t="str">
        <f t="array" ref="F276:F276">OFFSET(E276,-1,1)</f>
        <v>2</v>
      </c>
      <c r="G276" s="557" t="s">
        <v>1506</v>
      </c>
      <c r="H276" s="1066"/>
      <c r="I276" s="566" t="s">
        <v>1772</v>
      </c>
      <c r="J276" s="566"/>
      <c r="K276" s="566"/>
      <c r="L276" s="566"/>
      <c r="M276" s="566"/>
      <c r="N276" s="566"/>
      <c r="O276" s="566"/>
      <c r="P276" s="566"/>
      <c r="Q276" s="566"/>
      <c r="R276" s="566"/>
      <c r="S276" s="566"/>
      <c r="T276" s="439" cm="1" t="str">
        <f t="array" ref="T276:T276">T275</f>
        <v>true</v>
      </c>
      <c r="U276" s="1066"/>
      <c r="V276" s="1066"/>
      <c r="W276" s="1066"/>
      <c r="X276" s="1577"/>
      <c r="Y276" s="1066"/>
      <c r="Z276" s="1578"/>
      <c r="AA276" s="1066"/>
      <c r="AB276" s="788" t="s">
        <v>1773</v>
      </c>
      <c r="AC276" s="1096" t="s">
        <v>1774</v>
      </c>
      <c r="AD276" s="795" t="s">
        <v>1494</v>
      </c>
      <c r="AE276" s="1602">
        <f>IF(AE274=0,0,AE268*(1+Сценарии!AE$26/100))</f>
        <v>0</v>
      </c>
      <c r="AF276" s="1602">
        <f>IF(AF274=0,0,AF268*(1+Сценарии!AF$26/100))</f>
        <v>0</v>
      </c>
      <c r="AG276" s="1602">
        <f>IF(AG274=0,0,AG268*(1+Сценарии!AG$26/100))</f>
        <v>0</v>
      </c>
      <c r="AH276" s="783">
        <f>AG276-AF276</f>
        <v>0</v>
      </c>
      <c r="AI276" s="1602">
        <f>IF(AI274=0,0,AI268*(1+Сценарии!AI$26/100))</f>
        <v>0</v>
      </c>
      <c r="AJ276" s="1602">
        <f>IF(AJ274=0,0,AJ268*(1+Сценарии!AJ$26/100))</f>
        <v>0</v>
      </c>
      <c r="AK276" s="1602">
        <f>IF(AK274=0,0,AK268*(1+Сценарии!AK$26/100))</f>
        <v>0</v>
      </c>
      <c r="AL276" s="798"/>
      <c r="AM276" s="784"/>
      <c r="AN276" s="784"/>
      <c r="AO276" s="784"/>
      <c r="AP276" s="1066"/>
      <c r="AQ276" s="1066"/>
      <c r="AR276" s="1046" t="s">
        <v>1775</v>
      </c>
      <c r="AS276" s="1046"/>
      <c r="AT276" s="1046"/>
      <c r="AU276" s="1043"/>
      <c r="AV276" s="1043"/>
    </row>
    <row s="1621" customFormat="1" customHeight="1" ht="14.25">
      <c r="A277" s="1066"/>
      <c r="B277" s="1066"/>
      <c r="C277" s="1066"/>
      <c r="D277" s="1066"/>
      <c r="E277" s="675">
        <v>15</v>
      </c>
      <c r="F277" s="50" cm="1" t="str">
        <f t="array" ref="F277:F277">OFFSET(E277,-1,1)</f>
        <v>2</v>
      </c>
      <c r="G277" s="557" t="s">
        <v>1557</v>
      </c>
      <c r="H277" s="1066"/>
      <c r="I277" s="566" t="s">
        <v>1776</v>
      </c>
      <c r="J277" s="566"/>
      <c r="K277" s="566"/>
      <c r="L277" s="566"/>
      <c r="M277" s="566"/>
      <c r="N277" s="566"/>
      <c r="O277" s="566"/>
      <c r="P277" s="566"/>
      <c r="Q277" s="566"/>
      <c r="R277" s="566"/>
      <c r="S277" s="566"/>
      <c r="T277" s="439" cm="1" t="str">
        <f t="array" ref="T277:T277">T276</f>
        <v>true</v>
      </c>
      <c r="U277" s="1066"/>
      <c r="V277" s="1066"/>
      <c r="W277" s="1066"/>
      <c r="X277" s="1577"/>
      <c r="Y277" s="1066"/>
      <c r="Z277" s="1578"/>
      <c r="AA277" s="1066"/>
      <c r="AB277" s="788" t="s">
        <v>1777</v>
      </c>
      <c r="AC277" s="1096" t="s">
        <v>1746</v>
      </c>
      <c r="AD277" s="795" t="s">
        <v>512</v>
      </c>
      <c r="AE277" s="806">
        <f>AE274-AE275</f>
        <v>0</v>
      </c>
      <c r="AF277" s="806">
        <f>AF274-AF275</f>
        <v>0</v>
      </c>
      <c r="AG277" s="806">
        <f>AG274-AG275</f>
        <v>0</v>
      </c>
      <c r="AH277" s="806">
        <f>AG277-AF277</f>
        <v>0</v>
      </c>
      <c r="AI277" s="806">
        <f>AI274-AI275</f>
        <v>0</v>
      </c>
      <c r="AJ277" s="806">
        <f>AJ274-AJ275</f>
        <v>0</v>
      </c>
      <c r="AK277" s="806">
        <f>AK274-AK275</f>
        <v>0</v>
      </c>
      <c r="AL277" s="798"/>
      <c r="AM277" s="784"/>
      <c r="AN277" s="784"/>
      <c r="AO277" s="784"/>
      <c r="AP277" s="1066"/>
      <c r="AQ277" s="1066"/>
      <c r="AR277" s="1046" t="s">
        <v>1778</v>
      </c>
      <c r="AS277" s="1046"/>
      <c r="AT277" s="1046"/>
      <c r="AU277" s="1043"/>
      <c r="AV277" s="1043"/>
    </row>
    <row s="1621" customFormat="1" customHeight="1" ht="14.25">
      <c r="A278" s="1066"/>
      <c r="B278" s="1066"/>
      <c r="C278" s="1066"/>
      <c r="D278" s="1066"/>
      <c r="E278" s="675">
        <v>15</v>
      </c>
      <c r="F278" s="50" cm="1" t="str">
        <f t="array" ref="F278:F278">OFFSET(E278,-1,1)</f>
        <v>2</v>
      </c>
      <c r="G278" s="557" t="s">
        <v>1510</v>
      </c>
      <c r="H278" s="1066"/>
      <c r="I278" s="566" t="s">
        <v>1779</v>
      </c>
      <c r="J278" s="566"/>
      <c r="K278" s="566"/>
      <c r="L278" s="566"/>
      <c r="M278" s="566"/>
      <c r="N278" s="566"/>
      <c r="O278" s="566"/>
      <c r="P278" s="566"/>
      <c r="Q278" s="566"/>
      <c r="R278" s="566"/>
      <c r="S278" s="566"/>
      <c r="T278" s="439" cm="1" t="str">
        <f t="array" ref="T278:T278">T277</f>
        <v>true</v>
      </c>
      <c r="U278" s="1066"/>
      <c r="V278" s="1066"/>
      <c r="W278" s="1066"/>
      <c r="X278" s="1577"/>
      <c r="Y278" s="1066"/>
      <c r="Z278" s="1578"/>
      <c r="AA278" s="1066"/>
      <c r="AB278" s="788" t="s">
        <v>1780</v>
      </c>
      <c r="AC278" s="1096" t="s">
        <v>1781</v>
      </c>
      <c r="AD278" s="795" t="s">
        <v>1494</v>
      </c>
      <c r="AE278" s="790">
        <f>IF(AE274=0,0,AE270*(1+Сценарии!AE$26/100))</f>
        <v>0</v>
      </c>
      <c r="AF278" s="790">
        <f>IF(AF274=0,0,AF270*(1+Сценарии!AF$26/100))</f>
        <v>0</v>
      </c>
      <c r="AG278" s="790">
        <f>IF(AG274=0,0,AG270*(1+Сценарии!AG$26/100))</f>
        <v>0</v>
      </c>
      <c r="AH278" s="783">
        <f>AG278-AF278</f>
        <v>0</v>
      </c>
      <c r="AI278" s="790">
        <f>IF(AI274=0,0,AI270*(1+Сценарии!AI$26/100))</f>
        <v>0</v>
      </c>
      <c r="AJ278" s="790">
        <f>IF(AJ274=0,0,AJ270*(1+Сценарии!AJ$26/100))</f>
        <v>0</v>
      </c>
      <c r="AK278" s="790">
        <f>IF(AK274=0,0,AK270*(1+Сценарии!AK$26/100))</f>
        <v>0</v>
      </c>
      <c r="AL278" s="798"/>
      <c r="AM278" s="784"/>
      <c r="AN278" s="784"/>
      <c r="AO278" s="784"/>
      <c r="AP278" s="1066"/>
      <c r="AQ278" s="1066"/>
      <c r="AR278" s="1046" t="s">
        <v>1782</v>
      </c>
      <c r="AS278" s="1046"/>
      <c r="AT278" s="1046"/>
      <c r="AU278" s="1043"/>
      <c r="AV278" s="1043"/>
    </row>
    <row s="1621" customFormat="1" customHeight="1" ht="14.25">
      <c r="A279" s="1066"/>
      <c r="B279" s="1066"/>
      <c r="C279" s="1066"/>
      <c r="D279" s="1066"/>
      <c r="E279" s="675">
        <v>15</v>
      </c>
      <c r="F279" s="50" cm="1" t="str">
        <f t="array" ref="F279:F279">OFFSET(E279,-1,1)</f>
        <v>2</v>
      </c>
      <c r="G279" s="557"/>
      <c r="H279" s="1066"/>
      <c r="I279" s="566"/>
      <c r="J279" s="566"/>
      <c r="K279" s="566"/>
      <c r="L279" s="566"/>
      <c r="M279" s="566"/>
      <c r="N279" s="566"/>
      <c r="O279" s="566"/>
      <c r="P279" s="566"/>
      <c r="Q279" s="566"/>
      <c r="R279" s="566"/>
      <c r="S279" s="566"/>
      <c r="T279" s="439" cm="1" t="str">
        <f t="array" ref="T279:T279">T278</f>
        <v>true</v>
      </c>
      <c r="U279" s="1066"/>
      <c r="V279" s="1066"/>
      <c r="W279" s="1066"/>
      <c r="X279" s="1577"/>
      <c r="Y279" s="1066"/>
      <c r="Z279" s="1578"/>
      <c r="AA279" s="1066"/>
      <c r="AB279" s="185" t="s">
        <v>1783</v>
      </c>
      <c r="AC279" s="179" t="s">
        <v>1784</v>
      </c>
      <c r="AD279" s="178" t="s">
        <v>784</v>
      </c>
      <c r="AE279" s="790"/>
      <c r="AF279" s="790"/>
      <c r="AG279" s="790"/>
      <c r="AH279" s="783">
        <f>AG279-AF279</f>
        <v>0</v>
      </c>
      <c r="AI279" s="790"/>
      <c r="AJ279" s="790"/>
      <c r="AK279" s="790"/>
      <c r="AL279" s="798"/>
      <c r="AM279" s="784"/>
      <c r="AN279" s="784"/>
      <c r="AO279" s="784"/>
      <c r="AP279" s="1066"/>
      <c r="AQ279" s="1066"/>
      <c r="AR279" s="1046" t="s">
        <v>1785</v>
      </c>
      <c r="AS279" s="1046"/>
      <c r="AT279" s="1046"/>
      <c r="AU279" s="1043"/>
      <c r="AV279" s="1043"/>
    </row>
    <row s="1621" customFormat="1" customHeight="1" ht="21.75">
      <c r="A280" s="1066"/>
      <c r="B280" s="1066"/>
      <c r="C280" s="1066"/>
      <c r="D280" s="1066"/>
      <c r="E280" s="675">
        <v>22.5</v>
      </c>
      <c r="F280" s="50" cm="1" t="str">
        <f t="array" ref="F280:F280">OFFSET(E280,-1,1)</f>
        <v>2</v>
      </c>
      <c r="G280" s="557"/>
      <c r="H280" s="1066"/>
      <c r="I280" s="566"/>
      <c r="J280" s="566"/>
      <c r="K280" s="566"/>
      <c r="L280" s="566"/>
      <c r="M280" s="566"/>
      <c r="N280" s="566"/>
      <c r="O280" s="566"/>
      <c r="P280" s="566"/>
      <c r="Q280" s="566"/>
      <c r="R280" s="566"/>
      <c r="S280" s="566"/>
      <c r="T280" s="439" cm="1" t="str">
        <f t="array" ref="T280:T280">T279</f>
        <v>true</v>
      </c>
      <c r="U280" s="1066"/>
      <c r="V280" s="1066"/>
      <c r="W280" s="1066"/>
      <c r="X280" s="1577"/>
      <c r="Y280" s="1066"/>
      <c r="Z280" s="1578"/>
      <c r="AA280" s="1066"/>
      <c r="AB280" s="266" t="s">
        <v>1786</v>
      </c>
      <c r="AC280" s="743" t="s">
        <v>1787</v>
      </c>
      <c r="AD280" s="267" t="s">
        <v>784</v>
      </c>
      <c r="AE280" s="790"/>
      <c r="AF280" s="790"/>
      <c r="AG280" s="790"/>
      <c r="AH280" s="783">
        <f>AG280-AF280</f>
        <v>0</v>
      </c>
      <c r="AI280" s="790"/>
      <c r="AJ280" s="790"/>
      <c r="AK280" s="790"/>
      <c r="AL280" s="798"/>
      <c r="AM280" s="784"/>
      <c r="AN280" s="784"/>
      <c r="AO280" s="784"/>
      <c r="AP280" s="1066"/>
      <c r="AQ280" s="1066"/>
      <c r="AR280" s="1046" t="s">
        <v>1788</v>
      </c>
      <c r="AS280" s="1046"/>
      <c r="AT280" s="1046"/>
      <c r="AU280" s="1043"/>
      <c r="AV280" s="1043"/>
    </row>
    <row s="1621" customFormat="1" customHeight="1" ht="69.75">
      <c r="A281" s="1066"/>
      <c r="B281" s="1066"/>
      <c r="C281" s="1066"/>
      <c r="D281" s="1066"/>
      <c r="E281" s="675">
        <v>72</v>
      </c>
      <c r="F281" s="50" cm="1" t="str">
        <f t="array" ref="F281:F281">OFFSET(E281,-1,1)</f>
        <v>2</v>
      </c>
      <c r="G281" s="557"/>
      <c r="H281" s="1066"/>
      <c r="I281" s="566"/>
      <c r="J281" s="566"/>
      <c r="K281" s="566"/>
      <c r="L281" s="566"/>
      <c r="M281" s="566"/>
      <c r="N281" s="566"/>
      <c r="O281" s="566"/>
      <c r="P281" s="566"/>
      <c r="Q281" s="566"/>
      <c r="R281" s="566"/>
      <c r="S281" s="566"/>
      <c r="T281" s="439" cm="1" t="str">
        <f t="array" ref="T281:T281">T280</f>
        <v>true</v>
      </c>
      <c r="U281" s="1066"/>
      <c r="V281" s="1066"/>
      <c r="W281" s="1066"/>
      <c r="X281" s="1577"/>
      <c r="Y281" s="1066"/>
      <c r="Z281" s="1578"/>
      <c r="AA281" s="1066"/>
      <c r="AB281" s="266" t="s">
        <v>1789</v>
      </c>
      <c r="AC281" s="743" t="s">
        <v>1790</v>
      </c>
      <c r="AD281" s="267" t="s">
        <v>784</v>
      </c>
      <c r="AE281" s="790"/>
      <c r="AF281" s="790"/>
      <c r="AG281" s="790"/>
      <c r="AH281" s="783">
        <f>AG281-AF281</f>
        <v>0</v>
      </c>
      <c r="AI281" s="790"/>
      <c r="AJ281" s="790"/>
      <c r="AK281" s="790"/>
      <c r="AL281" s="798"/>
      <c r="AM281" s="784"/>
      <c r="AN281" s="784"/>
      <c r="AO281" s="784"/>
      <c r="AP281" s="1066"/>
      <c r="AQ281" s="1066"/>
      <c r="AR281" s="1046" t="s">
        <v>1791</v>
      </c>
      <c r="AS281" s="1046"/>
      <c r="AT281" s="1046"/>
      <c r="AU281" s="1043"/>
      <c r="AV281" s="1043"/>
    </row>
    <row customHeight="1" ht="10.725000000000001">
      <c r="E282" s="675">
        <v>11</v>
      </c>
      <c r="U282" s="674" t="s">
        <v>177</v>
      </c>
      <c r="V282" s="1262" t="s">
        <v>1792</v>
      </c>
      <c r="AB282" s="570"/>
      <c r="AC282" s="571"/>
      <c r="AD282" s="570"/>
      <c r="AE282" s="557"/>
      <c r="AF282" s="557"/>
      <c r="AG282" s="557"/>
      <c r="AH282" s="557"/>
      <c r="AI282" s="557"/>
      <c r="AJ282" s="557"/>
      <c r="AK282" s="557"/>
      <c r="AL282" s="557"/>
      <c r="AM282" s="557"/>
      <c r="AN282" s="557"/>
      <c r="AO282" s="557"/>
    </row>
    <row customHeight="1" ht="14.625">
      <c r="E283" s="675">
        <v>15</v>
      </c>
      <c r="AB283" s="1485" t="s">
        <v>398</v>
      </c>
      <c r="AC283" s="1485"/>
      <c r="AD283" s="1485"/>
      <c r="AE283" s="1485"/>
      <c r="AF283" s="1485"/>
      <c r="AG283" s="1485"/>
      <c r="AH283" s="1485"/>
      <c r="AI283" s="1485"/>
      <c r="AJ283" s="1485"/>
      <c r="AK283" s="1485"/>
      <c r="AL283" s="1485"/>
      <c r="AM283" s="1485"/>
      <c r="AN283" s="1485"/>
      <c r="AO283" s="1485"/>
    </row>
    <row customHeight="1" ht="14.625">
      <c r="E284" s="675">
        <v>15</v>
      </c>
      <c r="AA284" s="1263"/>
      <c r="AB284" s="1562"/>
      <c r="AC284" s="1564"/>
      <c r="AD284" s="1564"/>
      <c r="AE284" s="1564"/>
      <c r="AF284" s="1564"/>
      <c r="AG284" s="1564"/>
      <c r="AH284" s="1564"/>
      <c r="AI284" s="1564"/>
      <c r="AJ284" s="1564"/>
      <c r="AK284" s="1564"/>
      <c r="AL284" s="1564"/>
      <c r="AM284" s="1564"/>
      <c r="AN284" s="1564"/>
      <c r="AO284" s="1564"/>
    </row>
    <row customHeight="1" ht="14.625" hidden="1">
      <c r="A285" s="1066"/>
      <c r="B285" s="1066"/>
      <c r="C285" s="1066"/>
      <c r="D285" s="1066"/>
      <c r="E285" s="675">
        <v>15</v>
      </c>
      <c r="F285" s="1066"/>
      <c r="G285" s="1066"/>
      <c r="H285" s="1066"/>
      <c r="I285" s="1066"/>
      <c r="J285" s="1066"/>
      <c r="K285" s="1066"/>
      <c r="L285" s="1066"/>
      <c r="M285" s="1066"/>
      <c r="N285" s="1066"/>
      <c r="O285" s="1066"/>
      <c r="P285" s="1066"/>
      <c r="Q285" s="1066"/>
      <c r="R285" s="1066"/>
      <c r="S285" s="1066"/>
      <c r="T285" s="439">
        <f>ROW(W285)&gt;ROW(W$285)</f>
        <v>0</v>
      </c>
      <c r="U285" s="1066"/>
      <c r="V285" s="1066"/>
      <c r="W285" s="738" t="s">
        <v>173</v>
      </c>
      <c r="X285" s="88"/>
      <c r="Y285" s="88"/>
      <c r="Z285" s="88"/>
      <c r="AA285" s="642" t="s">
        <v>174</v>
      </c>
      <c r="AB285" s="2463"/>
      <c r="AC285" s="2462"/>
      <c r="AD285" s="2462"/>
      <c r="AE285" s="1529"/>
      <c r="AF285" s="1529"/>
      <c r="AG285" s="1529"/>
      <c r="AH285" s="1529"/>
      <c r="AI285" s="1529"/>
      <c r="AJ285" s="2462"/>
      <c r="AK285" s="2462"/>
      <c r="AL285" s="2462"/>
      <c r="AM285" s="2462"/>
      <c r="AN285" s="2462"/>
      <c r="AO285" s="2464"/>
      <c r="AP285" s="1066"/>
      <c r="AQ285" s="1066"/>
      <c r="AR285" s="1046"/>
      <c r="AS285" s="1046"/>
      <c r="AT285" s="1046"/>
      <c r="AU285" s="1043"/>
      <c r="AV285" s="1043"/>
    </row>
    <row customHeight="1" ht="14.625">
      <c r="E286" s="675">
        <v>15</v>
      </c>
      <c r="W286" s="810" t="s">
        <v>399</v>
      </c>
      <c r="X286" s="88"/>
      <c r="Y286" s="88"/>
      <c r="Z286" s="88"/>
      <c r="AA286" s="88"/>
      <c r="AB286" s="645"/>
      <c r="AC286" s="646" t="s">
        <v>400</v>
      </c>
      <c r="AD286" s="572"/>
      <c r="AE286" s="572"/>
      <c r="AF286" s="572"/>
      <c r="AG286" s="572"/>
      <c r="AH286" s="572"/>
      <c r="AI286" s="572"/>
      <c r="AJ286" s="572"/>
      <c r="AK286" s="572"/>
      <c r="AL286" s="572"/>
      <c r="AM286" s="572"/>
      <c r="AN286" s="572"/>
      <c r="AO286" s="573"/>
    </row>
    <row customHeight="1" ht="10.725000000000001">
      <c r="E287" s="675">
        <v>11</v>
      </c>
      <c r="AE287" s="1066"/>
      <c r="AF287" s="1066"/>
      <c r="AG287" s="1066"/>
      <c r="AH287" s="1066"/>
      <c r="AI287" s="1066"/>
      <c r="AP287" s="674"/>
    </row>
  </sheetData>
  <sheetProtection formatColumns="0" formatRows="0" insertRows="0" deleteColumns="0" deleteRows="0" sort="0" autoFilter="0" insertColumns="1"/>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textLength" operator="lessThanOrEqual" allowBlank="1" showInputMessage="1" showErrorMessage="1" errorTitle="Ошибка" error="Допускается ввод не более 900 символов!" sqref="AM54:AO54 AM139 AN139 AO139 AM224 AN224 AO224">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C06D07-F285-A5FF-BAD8-2F07661561D8}" mc:Ignorable="x14ac xr xr2 xr3">
  <sheetPr>
    <tabColor rgb="FF92D050"/>
    <outlinePr summaryRight="0" summaryBelow="0"/>
    <pageSetUpPr fitToPage="1"/>
  </sheetPr>
  <dimension ref="A1:BW464"/>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0.5"/>
  <cols>
    <col min="1" max="1" style="960" width="9.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5.421875" hidden="1" customWidth="1"/>
    <col min="8" max="8" style="960" width="15.421875" hidden="1" customWidth="1"/>
    <col min="9" max="10" style="960" width="3.57421875" hidden="1" customWidth="1"/>
    <col min="11" max="11" style="960" width="7.28125" hidden="1" customWidth="1"/>
    <col min="12" max="12" style="960" width="6.57421875" hidden="1" customWidth="1"/>
    <col min="13" max="18" style="960" width="3.57421875" hidden="1" customWidth="1"/>
    <col min="19" max="19" style="960" width="6.7109375" hidden="1" customWidth="1"/>
    <col min="20" max="20" style="960" width="10.421875" hidden="1" customWidth="1"/>
    <col min="21" max="21" style="960" width="5.8515625" hidden="1" customWidth="1"/>
    <col min="22" max="23" style="960" width="6.140625" hidden="1" customWidth="1"/>
    <col min="24" max="24" style="960" width="5.7109375" hidden="1" customWidth="1"/>
    <col min="25"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6" style="960" width="12.57421875" customWidth="1"/>
    <col min="37" max="45" style="960" width="12.57421875" hidden="1" customWidth="1"/>
    <col min="46" max="46" style="960" width="12.57421875" customWidth="1"/>
    <col min="47" max="55" style="960" width="12.57421875" hidden="1" customWidth="1"/>
    <col min="56" max="56" style="960" width="12.57421875" customWidth="1"/>
    <col min="57" max="65" style="960" width="12.57421875" hidden="1" customWidth="1"/>
    <col min="66" max="67" style="960" width="20.00390625" customWidth="1"/>
    <col min="68" max="68" style="960" width="42.0039062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313</v>
      </c>
      <c r="I1" s="124" t="s">
        <v>1793</v>
      </c>
      <c r="J1" s="124" t="s">
        <v>351</v>
      </c>
      <c r="K1" s="124" t="s">
        <v>1794</v>
      </c>
      <c r="L1" s="960" t="s">
        <v>1795</v>
      </c>
      <c r="M1" s="124" t="s">
        <v>1796</v>
      </c>
      <c r="R1" s="51"/>
      <c r="T1" s="439" t="s">
        <v>92</v>
      </c>
      <c r="U1" s="439" t="s">
        <v>97</v>
      </c>
      <c r="V1" s="439" t="s">
        <v>93</v>
      </c>
      <c r="W1" s="439" t="s">
        <v>94</v>
      </c>
      <c r="X1" s="439" t="s">
        <v>95</v>
      </c>
      <c r="Y1" s="441" t="s">
        <v>315</v>
      </c>
      <c r="Z1" s="439" t="s">
        <v>99</v>
      </c>
      <c r="AA1" s="440" t="s">
        <v>96</v>
      </c>
      <c r="AB1" s="388"/>
      <c r="AC1" s="440" t="s">
        <v>98</v>
      </c>
      <c r="AJ1" s="51"/>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316</v>
      </c>
      <c r="BT1" s="1048" t="s">
        <v>317</v>
      </c>
      <c r="BU1" s="1048" t="s">
        <v>318</v>
      </c>
      <c r="BV1" s="683" t="s">
        <v>321</v>
      </c>
      <c r="BW1" s="683" t="s">
        <v>322</v>
      </c>
    </row>
    <row s="961" customFormat="1" customHeight="1" ht="11.25" hidden="1">
      <c r="B2" s="418" t="s">
        <v>18</v>
      </c>
      <c r="AC2" s="406"/>
      <c r="AJ2" s="419">
        <f>AJ6&lt;=last_year_vis</f>
        <v>1</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0</v>
      </c>
      <c r="BF2" s="419">
        <f>BF6&lt;=last_year_vis</f>
        <v>0</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354</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355</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359</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360</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361</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331</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318</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1580</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332</v>
      </c>
      <c r="AC18" s="123" t="s">
        <v>362</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Филиал АО "УК "Кузбассразрезуголь" "Талдинский угольный разрез" (ИНН:4205049090, КПП:423802002) / ДПР: 2024-2028</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6"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959"/>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362</v>
      </c>
      <c r="AD24" s="1488" t="s">
        <v>363</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1583</v>
      </c>
      <c r="BO24" s="1510" t="s">
        <v>507</v>
      </c>
      <c r="BP24" s="1510" t="s">
        <v>1584</v>
      </c>
      <c r="BS24" s="1051"/>
      <c r="BT24" s="1051"/>
      <c r="BU24" s="1051"/>
      <c r="BV24" s="684"/>
      <c r="BW24" s="684"/>
    </row>
    <row s="964" customFormat="1" customHeight="1" ht="48.993750000000006">
      <c r="B25" s="406"/>
      <c r="E25" s="684">
        <v>50.25</v>
      </c>
      <c r="AB25" s="1488"/>
      <c r="AC25" s="1488"/>
      <c r="AD25" s="1488"/>
      <c r="AE25" s="57" t="s">
        <v>356</v>
      </c>
      <c r="AF25" s="1105" t="s">
        <v>431</v>
      </c>
      <c r="AG25" s="57" t="s">
        <v>432</v>
      </c>
      <c r="AH25" s="57" t="s">
        <v>1585</v>
      </c>
      <c r="AI25" s="57" t="s">
        <v>356</v>
      </c>
      <c r="AJ25" s="1107" t="s">
        <v>357</v>
      </c>
      <c r="AK25" s="1107" t="s">
        <v>357</v>
      </c>
      <c r="AL25" s="1107" t="s">
        <v>357</v>
      </c>
      <c r="AM25" s="1107" t="s">
        <v>357</v>
      </c>
      <c r="AN25" s="1107" t="s">
        <v>357</v>
      </c>
      <c r="AO25" s="1107" t="s">
        <v>357</v>
      </c>
      <c r="AP25" s="1107" t="s">
        <v>357</v>
      </c>
      <c r="AQ25" s="1107" t="s">
        <v>357</v>
      </c>
      <c r="AR25" s="1107" t="s">
        <v>357</v>
      </c>
      <c r="AS25" s="1107" t="s">
        <v>357</v>
      </c>
      <c r="AT25" s="327" t="s">
        <v>356</v>
      </c>
      <c r="AU25" s="327" t="s">
        <v>356</v>
      </c>
      <c r="AV25" s="327" t="s">
        <v>356</v>
      </c>
      <c r="AW25" s="327" t="s">
        <v>356</v>
      </c>
      <c r="AX25" s="327" t="s">
        <v>356</v>
      </c>
      <c r="AY25" s="327" t="s">
        <v>356</v>
      </c>
      <c r="AZ25" s="327" t="s">
        <v>356</v>
      </c>
      <c r="BA25" s="327" t="s">
        <v>356</v>
      </c>
      <c r="BB25" s="327" t="s">
        <v>356</v>
      </c>
      <c r="BC25" s="327" t="s">
        <v>356</v>
      </c>
      <c r="BD25" s="1510" t="s">
        <v>1582</v>
      </c>
      <c r="BE25" s="1510"/>
      <c r="BF25" s="1510"/>
      <c r="BG25" s="1510"/>
      <c r="BH25" s="1510"/>
      <c r="BI25" s="1510"/>
      <c r="BJ25" s="1510"/>
      <c r="BK25" s="1510"/>
      <c r="BL25" s="1510"/>
      <c r="BM25" s="1510"/>
      <c r="BN25" s="1510"/>
      <c r="BO25" s="1510"/>
      <c r="BP25" s="1510"/>
      <c r="BS25" s="1051"/>
      <c r="BT25" s="1051"/>
      <c r="BU25" s="1051"/>
      <c r="BV25" s="684"/>
      <c r="BW25" s="684"/>
    </row>
    <row s="1621" customFormat="1" customHeight="1" ht="11.25">
      <c r="B26" s="403"/>
      <c r="E26" s="651" t="s">
        <v>366</v>
      </c>
      <c r="F26" s="139" t="s">
        <v>1797</v>
      </c>
      <c r="T26" s="0"/>
      <c r="AB26" s="473"/>
      <c r="AC26" s="66"/>
      <c r="AD26" s="66"/>
      <c r="AE26" s="66"/>
      <c r="AF26" s="66"/>
      <c r="AJ26" s="1621"/>
      <c r="AK26" s="1621"/>
      <c r="AL26" s="1621"/>
      <c r="AM26" s="1621"/>
      <c r="AN26" s="1621"/>
      <c r="AO26" s="1621"/>
      <c r="AP26" s="1621"/>
      <c r="AQ26" s="67"/>
      <c r="AR26" s="1621"/>
      <c r="AS26" s="1621"/>
      <c r="AT26" s="1621"/>
      <c r="AU26" s="1621"/>
      <c r="AV26" s="1621"/>
      <c r="AW26" s="1621"/>
      <c r="AX26" s="1621"/>
      <c r="AY26" s="1621"/>
      <c r="AZ26" s="1621"/>
      <c r="BA26" s="1621"/>
      <c r="BB26" s="1621"/>
      <c r="BC26" s="1621"/>
      <c r="BD26" s="1621"/>
      <c r="BE26" s="1621"/>
      <c r="BF26" s="1621"/>
      <c r="BG26" s="1621"/>
      <c r="BH26" s="1621"/>
      <c r="BI26" s="1621"/>
      <c r="BJ26" s="1621"/>
      <c r="BK26" s="1621"/>
      <c r="BL26" s="1621"/>
      <c r="BM26" s="1621"/>
      <c r="BS26" s="987"/>
      <c r="BT26" s="987"/>
      <c r="BU26" s="987"/>
      <c r="BV26" s="603"/>
      <c r="BW26" s="603"/>
    </row>
    <row s="1153" customFormat="1" customHeight="1" ht="14.625" hidden="1">
      <c r="A27" s="1153"/>
      <c r="B27" s="401"/>
      <c r="C27" s="399"/>
      <c r="D27" s="399"/>
      <c r="E27" s="598">
        <v>15</v>
      </c>
      <c r="F27" s="467" cm="1" t="str">
        <f t="array" ref="F27:F27">X27</f>
        <v>0</v>
      </c>
      <c r="G27" s="467" cm="1" t="str">
        <f t="array" ref="G27:G27">INDEX('Общие сведения'!$AK$179:$AK$222,MATCH($X27,'Общие сведения'!$Z$179:$Z$222,0))</f>
        <v>0</v>
      </c>
      <c r="H27" s="399"/>
      <c r="I27" s="467"/>
      <c r="J27" s="399"/>
      <c r="K27" s="399"/>
      <c r="L27" s="965"/>
      <c r="M27" s="399"/>
      <c r="N27" s="399"/>
      <c r="O27" s="399"/>
      <c r="P27" s="399"/>
      <c r="Q27" s="399"/>
      <c r="R27" s="399"/>
      <c r="S27" s="399" cm="1" t="str">
        <f t="array" ref="S27:S27">INDEX('Общие сведения'!$AE$179:$AE$222,MATCH($X27,'Общие сведения'!$Z$179:$Z$222,0))</f>
        <v>0</v>
      </c>
      <c r="T27" s="439">
        <f>X27&gt;0</f>
        <v>0</v>
      </c>
      <c r="U27" s="399"/>
      <c r="V27" s="399" t="s">
        <v>261</v>
      </c>
      <c r="W27" s="399"/>
      <c r="X27" s="1534">
        <v>0</v>
      </c>
      <c r="Y27" s="1153"/>
      <c r="Z27" s="1465"/>
      <c r="AA27" s="1153"/>
      <c r="AB27" s="348" cm="1" t="str">
        <f t="array" ref="AB27:AB27">INDEX('Общие сведения'!$AG$179:$AG$222,MATCH($X27,'Общие сведения'!$Z$179:$Z$222,0))</f>
        <v>Тариф 0 () - </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837"/>
      <c r="D28" s="837"/>
      <c r="E28" s="838">
        <v>21</v>
      </c>
      <c r="F28" s="50" cm="1" t="str">
        <f t="array" ref="F28:F28">OFFSET(E28,-1,1)</f>
        <v>0</v>
      </c>
      <c r="G28" s="837"/>
      <c r="H28" s="78"/>
      <c r="I28" s="78" t="s">
        <v>325</v>
      </c>
      <c r="J28" s="837"/>
      <c r="K28" s="344" t="s">
        <v>325</v>
      </c>
      <c r="L28" s="966"/>
      <c r="M28" s="837"/>
      <c r="N28" s="837"/>
      <c r="O28" s="837"/>
      <c r="P28" s="837"/>
      <c r="Q28" s="837"/>
      <c r="R28" s="837"/>
      <c r="S28" s="837"/>
      <c r="T28" s="439" cm="1" t="str">
        <f t="array" ref="T28:T28">T27</f>
        <v>false</v>
      </c>
      <c r="U28" s="837"/>
      <c r="V28" s="837"/>
      <c r="W28" s="837"/>
      <c r="X28" s="1534"/>
      <c r="Y28" s="127"/>
      <c r="Z28" s="1465"/>
      <c r="AA28" s="127"/>
      <c r="AB28" s="201" t="s">
        <v>272</v>
      </c>
      <c r="AC28" s="179" t="s">
        <v>1798</v>
      </c>
      <c r="AD28" s="201" t="s">
        <v>784</v>
      </c>
      <c r="AE28" s="759">
        <f>SUM(AE30,AE47,AE53,AE73,AE74,AE75)</f>
        <v>0</v>
      </c>
      <c r="AF28" s="759">
        <f>SUM(AF30,AF47,AF53,AF73,AF74,AF75)</f>
        <v>0</v>
      </c>
      <c r="AG28" s="759">
        <f>SUM(AG30,AG47,AG53,AG73,AG74,AG75)</f>
        <v>0</v>
      </c>
      <c r="AH28" s="759">
        <f>AG28-AF28</f>
        <v>0</v>
      </c>
      <c r="AI28" s="759">
        <f>SUM(AI30,AI47,AI53,AI73,AI74,AI75)</f>
        <v>0</v>
      </c>
      <c r="AJ28" s="759">
        <f>SUM(AJ30,AJ47,AJ53,AJ73,AJ74,AJ75)</f>
        <v>0</v>
      </c>
      <c r="AK28" s="1264">
        <f>AJ28*AK29</f>
        <v>0</v>
      </c>
      <c r="AL28" s="1264">
        <f>AK28*AL29</f>
        <v>0</v>
      </c>
      <c r="AM28" s="1264">
        <f>AL28*AM29</f>
        <v>0</v>
      </c>
      <c r="AN28" s="1264">
        <f>AM28*AN29</f>
        <v>0</v>
      </c>
      <c r="AO28" s="1264">
        <f>AN28*AO29</f>
        <v>0</v>
      </c>
      <c r="AP28" s="1264">
        <f>AO28*AP29</f>
        <v>0</v>
      </c>
      <c r="AQ28" s="1264">
        <f>AP28*AQ29</f>
        <v>0</v>
      </c>
      <c r="AR28" s="1264">
        <f>AQ28*AR29</f>
        <v>0</v>
      </c>
      <c r="AS28" s="1264">
        <f>AR28*AS29</f>
        <v>0</v>
      </c>
      <c r="AT28" s="759">
        <f>SUM(AT30,AT47,AT53,AT73,AT74,AT75)</f>
        <v>0</v>
      </c>
      <c r="AU28" s="1264">
        <f>AT28*AU29</f>
        <v>0</v>
      </c>
      <c r="AV28" s="1264">
        <f>AU28*AV29</f>
        <v>0</v>
      </c>
      <c r="AW28" s="1264">
        <f>AV28*AW29</f>
        <v>0</v>
      </c>
      <c r="AX28" s="1264">
        <f>AW28*AX29</f>
        <v>0</v>
      </c>
      <c r="AY28" s="1264">
        <f>AX28*AY29</f>
        <v>0</v>
      </c>
      <c r="AZ28" s="1264">
        <f>AY28*AZ29</f>
        <v>0</v>
      </c>
      <c r="BA28" s="1264">
        <f>AZ28*BA29</f>
        <v>0</v>
      </c>
      <c r="BB28" s="1264">
        <f>BA28*BB29</f>
        <v>0</v>
      </c>
      <c r="BC28" s="1264">
        <f>BB28*BC29</f>
        <v>0</v>
      </c>
      <c r="BD28" s="759">
        <f>IF(AI28=0,0,(AT28-AI28)/AI28*100)</f>
        <v>0</v>
      </c>
      <c r="BE28" s="759">
        <f>IF(AT28=0,0,(AU28-AT28)/AT28*100)</f>
        <v>0</v>
      </c>
      <c r="BF28" s="759">
        <f>IF(AU28=0,0,(AV28-AU28)/AU28*100)</f>
        <v>0</v>
      </c>
      <c r="BG28" s="759">
        <f>IF(AV28=0,0,(AW28-AV28)/AV28*100)</f>
        <v>0</v>
      </c>
      <c r="BH28" s="759">
        <f>IF(AW28=0,0,(AX28-AW28)/AW28*100)</f>
        <v>0</v>
      </c>
      <c r="BI28" s="759">
        <f>IF(AX28=0,0,(AY28-AX28)/AX28*100)</f>
        <v>0</v>
      </c>
      <c r="BJ28" s="759">
        <f>IF(AY28=0,0,(AZ28-AY28)/AY28*100)</f>
        <v>0</v>
      </c>
      <c r="BK28" s="759">
        <f>IF(AZ28=0,0,(BA28-AZ28)/AZ28*100)</f>
        <v>0</v>
      </c>
      <c r="BL28" s="759">
        <f>IF(BA28=0,0,(BB28-BA28)/BA28*100)</f>
        <v>0</v>
      </c>
      <c r="BM28" s="759">
        <f>IF(BB28=0,0,(BC28-BB28)/BB28*100)</f>
        <v>0</v>
      </c>
      <c r="BN28" s="1265"/>
      <c r="BO28" s="1265"/>
      <c r="BP28" s="1265"/>
      <c r="BQ28" s="126"/>
      <c r="BR28" s="127"/>
      <c r="BS28" s="1052" t="s">
        <v>504</v>
      </c>
      <c r="BT28" s="1052"/>
      <c r="BU28" s="1052"/>
      <c r="BV28" s="685"/>
      <c r="BW28" s="685"/>
    </row>
    <row customHeight="1" ht="14.625" hidden="1">
      <c r="A29" s="960"/>
      <c r="B29" s="961"/>
      <c r="C29" s="73"/>
      <c r="D29" s="73"/>
      <c r="E29" s="600">
        <v>15</v>
      </c>
      <c r="F29" s="50" cm="1" t="str">
        <f t="array" ref="F29:F29">OFFSET(E29,-1,1)</f>
        <v>0</v>
      </c>
      <c r="G29" s="73"/>
      <c r="H29" s="839"/>
      <c r="I29" s="839" t="s">
        <v>441</v>
      </c>
      <c r="J29" s="73"/>
      <c r="K29" s="345" t="s">
        <v>441</v>
      </c>
      <c r="L29" s="963"/>
      <c r="M29" s="73"/>
      <c r="N29" s="73"/>
      <c r="O29" s="73"/>
      <c r="P29" s="73"/>
      <c r="Q29" s="73"/>
      <c r="R29" s="73"/>
      <c r="S29" s="73"/>
      <c r="T29" s="439" cm="1" t="str">
        <f t="array" ref="T29:T29">T28</f>
        <v>false</v>
      </c>
      <c r="U29" s="73"/>
      <c r="V29" s="73"/>
      <c r="W29" s="73"/>
      <c r="X29" s="1534"/>
      <c r="Y29" s="960"/>
      <c r="Z29" s="1465"/>
      <c r="AA29" s="960"/>
      <c r="AB29" s="267" t="s">
        <v>845</v>
      </c>
      <c r="AC29" s="743" t="s">
        <v>1799</v>
      </c>
      <c r="AD29" s="267"/>
      <c r="AE29" s="1266"/>
      <c r="AF29" s="1266"/>
      <c r="AG29" s="1266"/>
      <c r="AH29" s="1098">
        <f>AG29-AF29</f>
        <v>0</v>
      </c>
      <c r="AI29" s="1266"/>
      <c r="AJ29" s="4548"/>
      <c r="AK29" s="1266">
        <f>_xlfn.SUMIFS(INDEX(Сценарии!$AE$25:$BF$109,,MATCH(AK$8,Сценарии!$AE$8:$BF$8,0)),Сценарии!$F$25:$F$109,$F29,Сценарии!$G$25:$G$109,"ИОР")</f>
        <v>1</v>
      </c>
      <c r="AL29" s="1266">
        <f>_xlfn.SUMIFS(INDEX(Сценарии!$AE$25:$BF$109,,MATCH(AL$8,Сценарии!$AE$8:$BF$8,0)),Сценарии!$F$25:$F$109,$F29,Сценарии!$G$25:$G$109,"ИОР")</f>
        <v>1</v>
      </c>
      <c r="AM29" s="1266">
        <f>_xlfn.SUMIFS(INDEX(Сценарии!$AE$25:$BF$109,,MATCH(AM$8,Сценарии!$AE$8:$BF$8,0)),Сценарии!$F$25:$F$109,$F29,Сценарии!$G$25:$G$109,"ИОР")</f>
        <v>1</v>
      </c>
      <c r="AN29" s="1266">
        <f>_xlfn.SUMIFS(INDEX(Сценарии!$AE$25:$BF$109,,MATCH(AN$8,Сценарии!$AE$8:$BF$8,0)),Сценарии!$F$25:$F$109,$F29,Сценарии!$G$25:$G$109,"ИОР")</f>
        <v>1</v>
      </c>
      <c r="AO29" s="1266">
        <f>_xlfn.SUMIFS(INDEX(Сценарии!$AE$25:$BF$109,,MATCH(AO$8,Сценарии!$AE$8:$BF$8,0)),Сценарии!$F$25:$F$109,$F29,Сценарии!$G$25:$G$109,"ИОР")</f>
        <v>1</v>
      </c>
      <c r="AP29" s="1266">
        <f>_xlfn.SUMIFS(INDEX(Сценарии!$AE$25:$BF$109,,MATCH(AP$8,Сценарии!$AE$8:$BF$8,0)),Сценарии!$F$25:$F$109,$F29,Сценарии!$G$25:$G$109,"ИОР")</f>
        <v>1</v>
      </c>
      <c r="AQ29" s="1266">
        <f>_xlfn.SUMIFS(INDEX(Сценарии!$AE$25:$BF$109,,MATCH(AQ$8,Сценарии!$AE$8:$BF$8,0)),Сценарии!$F$25:$F$109,$F29,Сценарии!$G$25:$G$109,"ИОР")</f>
        <v>1</v>
      </c>
      <c r="AR29" s="1266">
        <f>_xlfn.SUMIFS(INDEX(Сценарии!$AE$25:$BF$109,,MATCH(AR$8,Сценарии!$AE$8:$BF$8,0)),Сценарии!$F$25:$F$109,$F29,Сценарии!$G$25:$G$109,"ИОР")</f>
        <v>1</v>
      </c>
      <c r="AS29" s="1266">
        <f>_xlfn.SUMIFS(INDEX(Сценарии!$AE$25:$BF$109,,MATCH(AS$8,Сценарии!$AE$8:$BF$8,0)),Сценарии!$F$25:$F$109,$F29,Сценарии!$G$25:$G$109,"ИОР")</f>
        <v>1</v>
      </c>
      <c r="AT29" s="4548"/>
      <c r="AU29" s="1266">
        <f>_xlfn.SUMIFS(INDEX(Сценарии!$AE$25:$BF$109,,MATCH(AU$8,Сценарии!$AE$8:$BF$8,0)),Сценарии!$F$25:$F$109,$F29,Сценарии!$G$25:$G$109,"ИОР")</f>
        <v>1</v>
      </c>
      <c r="AV29" s="1266">
        <f>_xlfn.SUMIFS(INDEX(Сценарии!$AE$25:$BF$109,,MATCH(AV$8,Сценарии!$AE$8:$BF$8,0)),Сценарии!$F$25:$F$109,$F29,Сценарии!$G$25:$G$109,"ИОР")</f>
        <v>1</v>
      </c>
      <c r="AW29" s="1266">
        <f>_xlfn.SUMIFS(INDEX(Сценарии!$AE$25:$BF$109,,MATCH(AW$8,Сценарии!$AE$8:$BF$8,0)),Сценарии!$F$25:$F$109,$F29,Сценарии!$G$25:$G$109,"ИОР")</f>
        <v>1</v>
      </c>
      <c r="AX29" s="1266">
        <f>_xlfn.SUMIFS(INDEX(Сценарии!$AE$25:$BF$109,,MATCH(AX$8,Сценарии!$AE$8:$BF$8,0)),Сценарии!$F$25:$F$109,$F29,Сценарии!$G$25:$G$109,"ИОР")</f>
        <v>1</v>
      </c>
      <c r="AY29" s="1266">
        <f>_xlfn.SUMIFS(INDEX(Сценарии!$AE$25:$BF$109,,MATCH(AY$8,Сценарии!$AE$8:$BF$8,0)),Сценарии!$F$25:$F$109,$F29,Сценарии!$G$25:$G$109,"ИОР")</f>
        <v>1</v>
      </c>
      <c r="AZ29" s="1266">
        <f>_xlfn.SUMIFS(INDEX(Сценарии!$AE$25:$BF$109,,MATCH(AZ$8,Сценарии!$AE$8:$BF$8,0)),Сценарии!$F$25:$F$109,$F29,Сценарии!$G$25:$G$109,"ИОР")</f>
        <v>1</v>
      </c>
      <c r="BA29" s="1266">
        <f>_xlfn.SUMIFS(INDEX(Сценарии!$AE$25:$BF$109,,MATCH(BA$8,Сценарии!$AE$8:$BF$8,0)),Сценарии!$F$25:$F$109,$F29,Сценарии!$G$25:$G$109,"ИОР")</f>
        <v>1</v>
      </c>
      <c r="BB29" s="1266">
        <f>_xlfn.SUMIFS(INDEX(Сценарии!$AE$25:$BF$109,,MATCH(BB$8,Сценарии!$AE$8:$BF$8,0)),Сценарии!$F$25:$F$109,$F29,Сценарии!$G$25:$G$109,"ИОР")</f>
        <v>1</v>
      </c>
      <c r="BC29" s="1266">
        <f>_xlfn.SUMIFS(INDEX(Сценарии!$AE$25:$BF$109,,MATCH(BC$8,Сценарии!$AE$8:$BF$8,0)),Сценарии!$F$25:$F$109,$F29,Сценарии!$G$25:$G$109,"ИОР")</f>
        <v>1</v>
      </c>
      <c r="BD29" s="1099">
        <f>IF(AI29=0,0,(AT29-AI29)/AI29*100)</f>
        <v>0</v>
      </c>
      <c r="BE29" s="1100"/>
      <c r="BF29" s="1100"/>
      <c r="BG29" s="1100"/>
      <c r="BH29" s="1100"/>
      <c r="BI29" s="1100"/>
      <c r="BJ29" s="1100"/>
      <c r="BK29" s="1100"/>
      <c r="BL29" s="1100"/>
      <c r="BM29" s="1100"/>
      <c r="BN29" s="1265"/>
      <c r="BO29" s="1265"/>
      <c r="BP29" s="1265"/>
      <c r="BQ29" s="960"/>
      <c r="BR29" s="960"/>
      <c r="BS29" s="1048" t="s">
        <v>1800</v>
      </c>
      <c r="BT29" s="1048"/>
      <c r="BU29" s="1048"/>
      <c r="BV29" s="962"/>
      <c r="BW29" s="962"/>
    </row>
    <row s="126" customFormat="1" customHeight="1" ht="20.475" hidden="1">
      <c r="A30" s="126"/>
      <c r="B30" s="407"/>
      <c r="C30" s="840"/>
      <c r="D30" s="840"/>
      <c r="E30" s="841">
        <v>21</v>
      </c>
      <c r="F30" s="50" cm="1" t="str">
        <f t="array" ref="F30:F30">OFFSET(E30,-1,1)</f>
        <v>0</v>
      </c>
      <c r="G30" s="840"/>
      <c r="H30" s="78"/>
      <c r="I30" s="78" t="s">
        <v>445</v>
      </c>
      <c r="J30" s="840"/>
      <c r="K30" s="344" t="s">
        <v>445</v>
      </c>
      <c r="L30" s="967" t="s">
        <v>325</v>
      </c>
      <c r="M30" s="840"/>
      <c r="N30" s="840"/>
      <c r="O30" s="840"/>
      <c r="P30" s="840"/>
      <c r="Q30" s="840"/>
      <c r="R30" s="840"/>
      <c r="S30" s="840"/>
      <c r="T30" s="439" cm="1" t="str">
        <f t="array" ref="T30:T30">T29</f>
        <v>false</v>
      </c>
      <c r="U30" s="840"/>
      <c r="V30" s="840"/>
      <c r="W30" s="840"/>
      <c r="X30" s="1534"/>
      <c r="Y30" s="126"/>
      <c r="Z30" s="1465"/>
      <c r="AA30" s="126"/>
      <c r="AB30" s="201" t="s">
        <v>848</v>
      </c>
      <c r="AC30" s="328" t="s">
        <v>1586</v>
      </c>
      <c r="AD30" s="201" t="s">
        <v>784</v>
      </c>
      <c r="AE30" s="759">
        <f>SUM(AE31,AE34,AE35,AE38,AE39)</f>
        <v>0</v>
      </c>
      <c r="AF30" s="759">
        <f>SUM(AF31,AF34,AF35,AF38,AF39)</f>
        <v>0</v>
      </c>
      <c r="AG30" s="759">
        <f>SUM(AG31,AG34,AG35,AG38,AG39)</f>
        <v>0</v>
      </c>
      <c r="AH30" s="759">
        <f>AG30-AF30</f>
        <v>0</v>
      </c>
      <c r="AI30" s="759">
        <f>SUM(AI31,AI34,AI35,AI38,AI39)</f>
        <v>0</v>
      </c>
      <c r="AJ30" s="759">
        <f>SUM(AJ31,AJ34,AJ35,AJ38,AJ39)</f>
        <v>0</v>
      </c>
      <c r="AK30" s="183"/>
      <c r="AL30" s="183"/>
      <c r="AM30" s="183"/>
      <c r="AN30" s="183"/>
      <c r="AO30" s="183"/>
      <c r="AP30" s="183"/>
      <c r="AQ30" s="183"/>
      <c r="AR30" s="183"/>
      <c r="AS30" s="183"/>
      <c r="AT30" s="759">
        <f>SUM(AT31,AT34,AT35,AT38,AT39)</f>
        <v>0</v>
      </c>
      <c r="AU30" s="183"/>
      <c r="AV30" s="183"/>
      <c r="AW30" s="183"/>
      <c r="AX30" s="183"/>
      <c r="AY30" s="183"/>
      <c r="AZ30" s="183"/>
      <c r="BA30" s="183"/>
      <c r="BB30" s="183"/>
      <c r="BC30" s="183"/>
      <c r="BD30" s="759">
        <f>IF(AI30=0,0,(AT30-AI30)/AI30*100)</f>
        <v>0</v>
      </c>
      <c r="BE30" s="183"/>
      <c r="BF30" s="183"/>
      <c r="BG30" s="183"/>
      <c r="BH30" s="183"/>
      <c r="BI30" s="183"/>
      <c r="BJ30" s="183"/>
      <c r="BK30" s="183"/>
      <c r="BL30" s="183"/>
      <c r="BM30" s="183"/>
      <c r="BN30" s="1267"/>
      <c r="BO30" s="1267"/>
      <c r="BP30" s="1267"/>
      <c r="BQ30" s="126"/>
      <c r="BR30" s="126"/>
      <c r="BS30" s="1046" t="s">
        <v>498</v>
      </c>
      <c r="BT30" s="1053"/>
      <c r="BU30" s="1053"/>
      <c r="BV30" s="686"/>
      <c r="BW30" s="686"/>
    </row>
    <row customHeight="1" ht="14.625" hidden="1">
      <c r="A31" s="960"/>
      <c r="B31" s="961"/>
      <c r="C31" s="73"/>
      <c r="D31" s="73"/>
      <c r="E31" s="600">
        <v>15</v>
      </c>
      <c r="F31" s="50" cm="1" t="str">
        <f t="array" ref="F31:F31">OFFSET(E31,-1,1)</f>
        <v>0</v>
      </c>
      <c r="G31" s="73"/>
      <c r="H31" s="839"/>
      <c r="I31" s="839" t="s">
        <v>1219</v>
      </c>
      <c r="J31" s="73"/>
      <c r="K31" s="345" t="s">
        <v>1219</v>
      </c>
      <c r="L31" s="963" t="s">
        <v>441</v>
      </c>
      <c r="M31" s="73"/>
      <c r="N31" s="73"/>
      <c r="O31" s="73"/>
      <c r="P31" s="73"/>
      <c r="Q31" s="73"/>
      <c r="R31" s="73"/>
      <c r="S31" s="73"/>
      <c r="T31" s="439" cm="1" t="str">
        <f t="array" ref="T31:T31">T30</f>
        <v>false</v>
      </c>
      <c r="U31" s="73"/>
      <c r="V31" s="73"/>
      <c r="W31" s="73"/>
      <c r="X31" s="1534"/>
      <c r="Y31" s="960"/>
      <c r="Z31" s="1465"/>
      <c r="AA31" s="960"/>
      <c r="AB31" s="267" t="s">
        <v>1220</v>
      </c>
      <c r="AC31" s="746" t="s">
        <v>1801</v>
      </c>
      <c r="AD31" s="747" t="s">
        <v>784</v>
      </c>
      <c r="AE31" s="1099">
        <f>SUM(AE32,AE33)</f>
        <v>0</v>
      </c>
      <c r="AF31" s="1099">
        <f>SUM(AF32,AF33)</f>
        <v>0</v>
      </c>
      <c r="AG31" s="1099">
        <f>SUM(AG32,AG33)</f>
        <v>0</v>
      </c>
      <c r="AH31" s="1099">
        <f>AG31-AF31</f>
        <v>0</v>
      </c>
      <c r="AI31" s="1099">
        <f>SUM(AI32,AI33)</f>
        <v>0</v>
      </c>
      <c r="AJ31" s="1099">
        <f>SUM(AJ32,AJ33)</f>
        <v>0</v>
      </c>
      <c r="AK31" s="1100"/>
      <c r="AL31" s="1100"/>
      <c r="AM31" s="1100"/>
      <c r="AN31" s="1100"/>
      <c r="AO31" s="1100"/>
      <c r="AP31" s="1100"/>
      <c r="AQ31" s="1100"/>
      <c r="AR31" s="1100"/>
      <c r="AS31" s="1100"/>
      <c r="AT31" s="1099">
        <f>SUM(AT32,AT33)</f>
        <v>0</v>
      </c>
      <c r="AU31" s="1100"/>
      <c r="AV31" s="1100"/>
      <c r="AW31" s="1100"/>
      <c r="AX31" s="1100"/>
      <c r="AY31" s="1100"/>
      <c r="AZ31" s="1100"/>
      <c r="BA31" s="1100"/>
      <c r="BB31" s="1100"/>
      <c r="BC31" s="1100"/>
      <c r="BD31" s="1099">
        <f>IF(AI31=0,0,(AT31-AI31)/AI31*100)</f>
        <v>0</v>
      </c>
      <c r="BE31" s="1100"/>
      <c r="BF31" s="1100"/>
      <c r="BG31" s="1100"/>
      <c r="BH31" s="1100"/>
      <c r="BI31" s="1100"/>
      <c r="BJ31" s="1100"/>
      <c r="BK31" s="1100"/>
      <c r="BL31" s="1100"/>
      <c r="BM31" s="1100"/>
      <c r="BN31" s="1265"/>
      <c r="BO31" s="1265"/>
      <c r="BP31" s="1265"/>
      <c r="BQ31" s="76"/>
      <c r="BR31" s="960"/>
      <c r="BS31" s="1047" t="s">
        <v>1588</v>
      </c>
      <c r="BT31" s="1048"/>
      <c r="BU31" s="1048"/>
      <c r="BV31" s="962"/>
      <c r="BW31" s="962"/>
    </row>
    <row customHeight="1" ht="14.625" hidden="1">
      <c r="A32" s="960"/>
      <c r="B32" s="961"/>
      <c r="C32" s="73"/>
      <c r="D32" s="73"/>
      <c r="E32" s="600">
        <v>15</v>
      </c>
      <c r="F32" s="50" cm="1" t="str">
        <f t="array" ref="F32:F32">OFFSET(E32,-1,1)</f>
        <v>0</v>
      </c>
      <c r="G32" s="73"/>
      <c r="H32" s="839"/>
      <c r="I32" s="839" t="s">
        <v>1802</v>
      </c>
      <c r="J32" s="73"/>
      <c r="K32" s="345" t="s">
        <v>1802</v>
      </c>
      <c r="L32" s="963" t="s">
        <v>958</v>
      </c>
      <c r="M32" s="73"/>
      <c r="N32" s="73"/>
      <c r="O32" s="73"/>
      <c r="P32" s="73"/>
      <c r="Q32" s="73"/>
      <c r="R32" s="73"/>
      <c r="S32" s="73"/>
      <c r="T32" s="439" cm="1" t="str">
        <f t="array" ref="T32:T32">T31</f>
        <v>false</v>
      </c>
      <c r="U32" s="73"/>
      <c r="V32" s="73"/>
      <c r="W32" s="73"/>
      <c r="X32" s="1534"/>
      <c r="Y32" s="960"/>
      <c r="Z32" s="1465"/>
      <c r="AA32" s="960"/>
      <c r="AB32" s="267" t="s">
        <v>1803</v>
      </c>
      <c r="AC32" s="749" t="s">
        <v>1591</v>
      </c>
      <c r="AD32" s="747" t="s">
        <v>784</v>
      </c>
      <c r="AE32" s="1268"/>
      <c r="AF32" s="1268"/>
      <c r="AG32" s="1268"/>
      <c r="AH32" s="1099">
        <f>AG32-AF32</f>
        <v>0</v>
      </c>
      <c r="AI32" s="1268"/>
      <c r="AJ32" s="4561"/>
      <c r="AK32" s="1100"/>
      <c r="AL32" s="1100"/>
      <c r="AM32" s="1100"/>
      <c r="AN32" s="1100"/>
      <c r="AO32" s="1100"/>
      <c r="AP32" s="1100"/>
      <c r="AQ32" s="1100"/>
      <c r="AR32" s="1100"/>
      <c r="AS32" s="1100"/>
      <c r="AT32" s="4561"/>
      <c r="AU32" s="1100"/>
      <c r="AV32" s="1100"/>
      <c r="AW32" s="1100"/>
      <c r="AX32" s="1100"/>
      <c r="AY32" s="1100"/>
      <c r="AZ32" s="1100"/>
      <c r="BA32" s="1100"/>
      <c r="BB32" s="1100"/>
      <c r="BC32" s="1100"/>
      <c r="BD32" s="1099">
        <f>IF(AI32=0,0,(AT32-AI32)/AI32*100)</f>
        <v>0</v>
      </c>
      <c r="BE32" s="1100"/>
      <c r="BF32" s="1100"/>
      <c r="BG32" s="1100"/>
      <c r="BH32" s="1100"/>
      <c r="BI32" s="1100"/>
      <c r="BJ32" s="1100"/>
      <c r="BK32" s="1100"/>
      <c r="BL32" s="1100"/>
      <c r="BM32" s="1100"/>
      <c r="BN32" s="1265"/>
      <c r="BO32" s="1265"/>
      <c r="BP32" s="1265"/>
      <c r="BQ32" s="960"/>
      <c r="BR32" s="960"/>
      <c r="BS32" s="1046" t="s">
        <v>1592</v>
      </c>
      <c r="BT32" s="1048"/>
      <c r="BU32" s="1048"/>
      <c r="BV32" s="962"/>
      <c r="BW32" s="962"/>
    </row>
    <row customHeight="1" ht="14.625" hidden="1">
      <c r="A33" s="960"/>
      <c r="B33" s="961"/>
      <c r="C33" s="73"/>
      <c r="D33" s="73"/>
      <c r="E33" s="600">
        <v>15</v>
      </c>
      <c r="F33" s="50" cm="1" t="str">
        <f t="array" ref="F33:F33">OFFSET(E33,-1,1)</f>
        <v>0</v>
      </c>
      <c r="G33" s="73"/>
      <c r="H33" s="839"/>
      <c r="I33" s="839" t="s">
        <v>1804</v>
      </c>
      <c r="J33" s="73"/>
      <c r="K33" s="345" t="s">
        <v>1804</v>
      </c>
      <c r="L33" s="963" t="s">
        <v>1194</v>
      </c>
      <c r="M33" s="73"/>
      <c r="N33" s="73"/>
      <c r="O33" s="73"/>
      <c r="P33" s="73"/>
      <c r="Q33" s="73"/>
      <c r="R33" s="73"/>
      <c r="S33" s="73"/>
      <c r="T33" s="439" cm="1" t="str">
        <f t="array" ref="T33:T33">T32</f>
        <v>false</v>
      </c>
      <c r="U33" s="73"/>
      <c r="V33" s="73"/>
      <c r="W33" s="73"/>
      <c r="X33" s="1534"/>
      <c r="Y33" s="960"/>
      <c r="Z33" s="1465"/>
      <c r="AA33" s="960"/>
      <c r="AB33" s="267" t="s">
        <v>1805</v>
      </c>
      <c r="AC33" s="749" t="s">
        <v>1593</v>
      </c>
      <c r="AD33" s="747" t="s">
        <v>784</v>
      </c>
      <c r="AE33" s="1268"/>
      <c r="AF33" s="1268"/>
      <c r="AG33" s="1268"/>
      <c r="AH33" s="1099">
        <f>AG33-AF33</f>
        <v>0</v>
      </c>
      <c r="AI33" s="1268"/>
      <c r="AJ33" s="4561"/>
      <c r="AK33" s="1100"/>
      <c r="AL33" s="1100"/>
      <c r="AM33" s="1100"/>
      <c r="AN33" s="1100"/>
      <c r="AO33" s="1100"/>
      <c r="AP33" s="1100"/>
      <c r="AQ33" s="1100"/>
      <c r="AR33" s="1100"/>
      <c r="AS33" s="1100"/>
      <c r="AT33" s="4561"/>
      <c r="AU33" s="1100"/>
      <c r="AV33" s="1100"/>
      <c r="AW33" s="1100"/>
      <c r="AX33" s="1100"/>
      <c r="AY33" s="1100"/>
      <c r="AZ33" s="1100"/>
      <c r="BA33" s="1100"/>
      <c r="BB33" s="1100"/>
      <c r="BC33" s="1100"/>
      <c r="BD33" s="1099">
        <f>IF(AI33=0,0,(AT33-AI33)/AI33*100)</f>
        <v>0</v>
      </c>
      <c r="BE33" s="1100"/>
      <c r="BF33" s="1100"/>
      <c r="BG33" s="1100"/>
      <c r="BH33" s="1100"/>
      <c r="BI33" s="1100"/>
      <c r="BJ33" s="1100"/>
      <c r="BK33" s="1100"/>
      <c r="BL33" s="1100"/>
      <c r="BM33" s="1100"/>
      <c r="BN33" s="1265"/>
      <c r="BO33" s="1265"/>
      <c r="BP33" s="1265"/>
      <c r="BQ33" s="960"/>
      <c r="BR33" s="960"/>
      <c r="BS33" s="1046" t="s">
        <v>1594</v>
      </c>
      <c r="BT33" s="1048"/>
      <c r="BU33" s="1048"/>
      <c r="BV33" s="962"/>
      <c r="BW33" s="962"/>
    </row>
    <row customHeight="1" ht="21.9375" hidden="1">
      <c r="A34" s="960"/>
      <c r="B34" s="961"/>
      <c r="C34" s="73"/>
      <c r="D34" s="73"/>
      <c r="E34" s="600">
        <v>22.5</v>
      </c>
      <c r="F34" s="50" cm="1" t="str">
        <f t="array" ref="F34:F34">OFFSET(E34,-1,1)</f>
        <v>0</v>
      </c>
      <c r="G34" s="73"/>
      <c r="H34" s="839"/>
      <c r="I34" s="839" t="s">
        <v>1222</v>
      </c>
      <c r="J34" s="73"/>
      <c r="K34" s="345" t="s">
        <v>1222</v>
      </c>
      <c r="L34" s="963" t="s">
        <v>448</v>
      </c>
      <c r="M34" s="73"/>
      <c r="N34" s="73"/>
      <c r="O34" s="73"/>
      <c r="P34" s="73"/>
      <c r="Q34" s="73"/>
      <c r="R34" s="73"/>
      <c r="S34" s="73"/>
      <c r="T34" s="439" cm="1" t="str">
        <f t="array" ref="T34:T34">T33</f>
        <v>false</v>
      </c>
      <c r="U34" s="73"/>
      <c r="V34" s="73"/>
      <c r="W34" s="73"/>
      <c r="X34" s="1534"/>
      <c r="Y34" s="960"/>
      <c r="Z34" s="1465"/>
      <c r="AA34" s="960"/>
      <c r="AB34" s="267" t="s">
        <v>1223</v>
      </c>
      <c r="AC34" s="746" t="s">
        <v>1806</v>
      </c>
      <c r="AD34" s="747" t="s">
        <v>784</v>
      </c>
      <c r="AE34" s="1268"/>
      <c r="AF34" s="1268"/>
      <c r="AG34" s="1268"/>
      <c r="AH34" s="1099">
        <f>AG34-AF34</f>
        <v>0</v>
      </c>
      <c r="AI34" s="1268"/>
      <c r="AJ34" s="4561"/>
      <c r="AK34" s="1100"/>
      <c r="AL34" s="1100"/>
      <c r="AM34" s="1100"/>
      <c r="AN34" s="1100"/>
      <c r="AO34" s="1100"/>
      <c r="AP34" s="1100"/>
      <c r="AQ34" s="1100"/>
      <c r="AR34" s="1100"/>
      <c r="AS34" s="1100"/>
      <c r="AT34" s="4561"/>
      <c r="AU34" s="1100"/>
      <c r="AV34" s="1100"/>
      <c r="AW34" s="1100"/>
      <c r="AX34" s="1100"/>
      <c r="AY34" s="1100"/>
      <c r="AZ34" s="1100"/>
      <c r="BA34" s="1100"/>
      <c r="BB34" s="1100"/>
      <c r="BC34" s="1100"/>
      <c r="BD34" s="1099">
        <f>IF(AI34=0,0,(AT34-AI34)/AI34*100)</f>
        <v>0</v>
      </c>
      <c r="BE34" s="1100"/>
      <c r="BF34" s="1100"/>
      <c r="BG34" s="1100"/>
      <c r="BH34" s="1100"/>
      <c r="BI34" s="1100"/>
      <c r="BJ34" s="1100"/>
      <c r="BK34" s="1100"/>
      <c r="BL34" s="1100"/>
      <c r="BM34" s="1100"/>
      <c r="BN34" s="1265"/>
      <c r="BO34" s="1265"/>
      <c r="BP34" s="1265"/>
      <c r="BQ34" s="960"/>
      <c r="BR34" s="960"/>
      <c r="BS34" s="1047" t="s">
        <v>1619</v>
      </c>
      <c r="BT34" s="1048"/>
      <c r="BU34" s="1048"/>
      <c r="BV34" s="962"/>
      <c r="BW34" s="962"/>
    </row>
    <row customHeight="1" ht="21.9375" hidden="1">
      <c r="A35" s="960"/>
      <c r="B35" s="961"/>
      <c r="C35" s="73"/>
      <c r="D35" s="73"/>
      <c r="E35" s="600">
        <v>22.5</v>
      </c>
      <c r="F35" s="50" cm="1" t="str">
        <f t="array" ref="F35:F35">OFFSET(E35,-1,1)</f>
        <v>0</v>
      </c>
      <c r="G35" s="73"/>
      <c r="H35" s="839"/>
      <c r="I35" s="839" t="s">
        <v>1226</v>
      </c>
      <c r="J35" s="73"/>
      <c r="K35" s="345" t="s">
        <v>1226</v>
      </c>
      <c r="L35" s="963" t="s">
        <v>452</v>
      </c>
      <c r="M35" s="73"/>
      <c r="N35" s="73"/>
      <c r="O35" s="73"/>
      <c r="P35" s="73"/>
      <c r="Q35" s="73"/>
      <c r="R35" s="73"/>
      <c r="S35" s="73"/>
      <c r="T35" s="439" cm="1" t="str">
        <f t="array" ref="T35:T35">T34</f>
        <v>false</v>
      </c>
      <c r="U35" s="73"/>
      <c r="V35" s="73"/>
      <c r="W35" s="73"/>
      <c r="X35" s="1534"/>
      <c r="Y35" s="960"/>
      <c r="Z35" s="1465"/>
      <c r="AA35" s="960"/>
      <c r="AB35" s="267" t="s">
        <v>1227</v>
      </c>
      <c r="AC35" s="746" t="s">
        <v>1807</v>
      </c>
      <c r="AD35" s="747" t="s">
        <v>784</v>
      </c>
      <c r="AE35" s="1101">
        <f>AE36+AE37</f>
        <v>0</v>
      </c>
      <c r="AF35" s="1101">
        <f>AF36+AF37</f>
        <v>0</v>
      </c>
      <c r="AG35" s="1101">
        <f>AG36+AG37</f>
        <v>0</v>
      </c>
      <c r="AH35" s="1099">
        <f>AG35-AF35</f>
        <v>0</v>
      </c>
      <c r="AI35" s="1101">
        <f>AI36+AI37</f>
        <v>0</v>
      </c>
      <c r="AJ35" s="1101">
        <f>AJ36+AJ37</f>
        <v>0</v>
      </c>
      <c r="AK35" s="1100"/>
      <c r="AL35" s="1100"/>
      <c r="AM35" s="1100"/>
      <c r="AN35" s="1100"/>
      <c r="AO35" s="1100"/>
      <c r="AP35" s="1100"/>
      <c r="AQ35" s="1100"/>
      <c r="AR35" s="1100"/>
      <c r="AS35" s="1100"/>
      <c r="AT35" s="1101">
        <f>AT36+AT37</f>
        <v>0</v>
      </c>
      <c r="AU35" s="1100"/>
      <c r="AV35" s="1100"/>
      <c r="AW35" s="1100"/>
      <c r="AX35" s="1100"/>
      <c r="AY35" s="1100"/>
      <c r="AZ35" s="1100"/>
      <c r="BA35" s="1100"/>
      <c r="BB35" s="1100"/>
      <c r="BC35" s="1100"/>
      <c r="BD35" s="1099">
        <f>IF(AI35=0,0,(AT35-AI35)/AI35*100)</f>
        <v>0</v>
      </c>
      <c r="BE35" s="1100"/>
      <c r="BF35" s="1100"/>
      <c r="BG35" s="1100"/>
      <c r="BH35" s="1100"/>
      <c r="BI35" s="1100"/>
      <c r="BJ35" s="1100"/>
      <c r="BK35" s="1100"/>
      <c r="BL35" s="1100"/>
      <c r="BM35" s="1100"/>
      <c r="BN35" s="1265"/>
      <c r="BO35" s="1265"/>
      <c r="BP35" s="1265"/>
      <c r="BQ35" s="960"/>
      <c r="BR35" s="960"/>
      <c r="BS35" s="1047" t="s">
        <v>1808</v>
      </c>
      <c r="BT35" s="1048"/>
      <c r="BU35" s="1048"/>
      <c r="BV35" s="962"/>
      <c r="BW35" s="962"/>
    </row>
    <row customHeight="1" ht="14.625" hidden="1">
      <c r="A36" s="960"/>
      <c r="B36" s="961"/>
      <c r="C36" s="73"/>
      <c r="D36" s="73"/>
      <c r="E36" s="600">
        <v>15</v>
      </c>
      <c r="F36" s="50" cm="1" t="str">
        <f t="array" ref="F36:F36">OFFSET(E36,-1,1)</f>
        <v>0</v>
      </c>
      <c r="G36" s="341" t="s">
        <v>1038</v>
      </c>
      <c r="H36" s="839"/>
      <c r="I36" s="839" t="s">
        <v>1370</v>
      </c>
      <c r="J36" s="73"/>
      <c r="K36" s="345" t="s">
        <v>1370</v>
      </c>
      <c r="L36" s="963" t="s">
        <v>1246</v>
      </c>
      <c r="M36" s="73"/>
      <c r="N36" s="73"/>
      <c r="O36" s="73"/>
      <c r="P36" s="73"/>
      <c r="Q36" s="73"/>
      <c r="R36" s="73"/>
      <c r="S36" s="73"/>
      <c r="T36" s="439" cm="1" t="str">
        <f t="array" ref="T36:T36">T35</f>
        <v>false</v>
      </c>
      <c r="U36" s="73"/>
      <c r="V36" s="73"/>
      <c r="W36" s="73"/>
      <c r="X36" s="1534"/>
      <c r="Y36" s="960"/>
      <c r="Z36" s="1465"/>
      <c r="AA36" s="960"/>
      <c r="AB36" s="267" t="s">
        <v>1809</v>
      </c>
      <c r="AC36" s="749" t="s">
        <v>1622</v>
      </c>
      <c r="AD36" s="747" t="s">
        <v>784</v>
      </c>
      <c r="AE36" s="1099">
        <f>_xlfn.SUMIFS(ФОТ!AE$25:AE$102,ФОТ!$F$25:$F$102,$F36,ФОТ!$G$25:$G$102,$G36)</f>
        <v>0</v>
      </c>
      <c r="AF36" s="1099">
        <f>_xlfn.SUMIFS(ФОТ!AF$25:AF$102,ФОТ!$F$25:$F$102,$F36,ФОТ!$G$25:$G$102,$G36)</f>
        <v>0</v>
      </c>
      <c r="AG36" s="1099">
        <f>_xlfn.SUMIFS(ФОТ!AG$25:AG$102,ФОТ!$F$25:$F$102,$F36,ФОТ!$G$25:$G$102,$G36)</f>
        <v>0</v>
      </c>
      <c r="AH36" s="1099">
        <f>AG36-AF36</f>
        <v>0</v>
      </c>
      <c r="AI36" s="1099">
        <f>_xlfn.SUMIFS(ФОТ!AH$25:AH$102,ФОТ!$F$25:$F$102,$F36,ФОТ!$G$25:$G$102,$G36)</f>
        <v>0</v>
      </c>
      <c r="AJ36" s="1099">
        <f>_xlfn.SUMIFS(ФОТ!AI$25:AI$102,ФОТ!$F$25:$F$102,$F36,ФОТ!$G$25:$G$102,$G36)</f>
        <v>0</v>
      </c>
      <c r="AK36" s="1100"/>
      <c r="AL36" s="1100"/>
      <c r="AM36" s="1100"/>
      <c r="AN36" s="1100"/>
      <c r="AO36" s="1100"/>
      <c r="AP36" s="1100"/>
      <c r="AQ36" s="1100"/>
      <c r="AR36" s="1100"/>
      <c r="AS36" s="1100"/>
      <c r="AT36" s="1099">
        <f>_xlfn.SUMIFS(ФОТ!AJ$25:AJ$102,ФОТ!$F$25:$F$102,$F36,ФОТ!$G$25:$G$102,$G36)</f>
        <v>0</v>
      </c>
      <c r="AU36" s="1100"/>
      <c r="AV36" s="1100"/>
      <c r="AW36" s="1100"/>
      <c r="AX36" s="1100"/>
      <c r="AY36" s="1100"/>
      <c r="AZ36" s="1100"/>
      <c r="BA36" s="1100"/>
      <c r="BB36" s="1100"/>
      <c r="BC36" s="1100"/>
      <c r="BD36" s="1099">
        <f>IF(AI36=0,0,(AT36-AI36)/AI36*100)</f>
        <v>0</v>
      </c>
      <c r="BE36" s="1100"/>
      <c r="BF36" s="1100"/>
      <c r="BG36" s="1100"/>
      <c r="BH36" s="1100"/>
      <c r="BI36" s="1100"/>
      <c r="BJ36" s="1100"/>
      <c r="BK36" s="1100"/>
      <c r="BL36" s="1100"/>
      <c r="BM36" s="1100"/>
      <c r="BN36" s="1265"/>
      <c r="BO36" s="1269" t="str">
        <f>IF(_xlfn.IFERROR(INDEX(ФОТ!$K$26:$L$102,MATCH($F36&amp;"1komm",ФОТ!$K$26:$K$102,0),2),"")=0,"",_xlfn.IFERROR(INDEX(ФОТ!$K$26:$L$102,MATCH($F36&amp;"1komm",ФОТ!$K$26:$K$102,0),2),""))</f>
        <v/>
      </c>
      <c r="BP36" s="1265"/>
      <c r="BQ36" s="960"/>
      <c r="BR36" s="960"/>
      <c r="BS36" s="1046" t="s">
        <v>1623</v>
      </c>
      <c r="BT36" s="1048"/>
      <c r="BU36" s="1048"/>
      <c r="BV36" s="962"/>
      <c r="BW36" s="962"/>
    </row>
    <row customHeight="1" ht="21.9375" hidden="1">
      <c r="A37" s="960"/>
      <c r="B37" s="961"/>
      <c r="C37" s="73"/>
      <c r="D37" s="73"/>
      <c r="E37" s="600">
        <v>22.5</v>
      </c>
      <c r="F37" s="50" cm="1" t="str">
        <f t="array" ref="F37:F37">OFFSET(E37,-1,1)</f>
        <v>0</v>
      </c>
      <c r="G37" s="341" t="s">
        <v>1050</v>
      </c>
      <c r="H37" s="839"/>
      <c r="I37" s="839" t="s">
        <v>1374</v>
      </c>
      <c r="J37" s="73"/>
      <c r="K37" s="345" t="s">
        <v>1374</v>
      </c>
      <c r="L37" s="963" t="s">
        <v>1247</v>
      </c>
      <c r="M37" s="73"/>
      <c r="N37" s="73"/>
      <c r="O37" s="73"/>
      <c r="P37" s="73"/>
      <c r="Q37" s="73"/>
      <c r="R37" s="73"/>
      <c r="S37" s="73"/>
      <c r="T37" s="439" cm="1" t="str">
        <f t="array" ref="T37:T37">T36</f>
        <v>false</v>
      </c>
      <c r="U37" s="73"/>
      <c r="V37" s="73"/>
      <c r="W37" s="73"/>
      <c r="X37" s="1534"/>
      <c r="Y37" s="960"/>
      <c r="Z37" s="1465"/>
      <c r="AA37" s="960"/>
      <c r="AB37" s="267" t="s">
        <v>1810</v>
      </c>
      <c r="AC37" s="749" t="s">
        <v>1811</v>
      </c>
      <c r="AD37" s="747" t="s">
        <v>784</v>
      </c>
      <c r="AE37" s="1099">
        <f>_xlfn.SUMIFS(ФОТ!AE$25:AE$102,ФОТ!$F$25:$F$102,$F37,ФОТ!$G$25:$G$102,$G37)</f>
        <v>0</v>
      </c>
      <c r="AF37" s="1099">
        <f>_xlfn.SUMIFS(ФОТ!AF$25:AF$102,ФОТ!$F$25:$F$102,$F37,ФОТ!$G$25:$G$102,$G37)</f>
        <v>0</v>
      </c>
      <c r="AG37" s="1099">
        <f>_xlfn.SUMIFS(ФОТ!AG$25:AG$102,ФОТ!$F$25:$F$102,$F37,ФОТ!$G$25:$G$102,$G37)</f>
        <v>0</v>
      </c>
      <c r="AH37" s="1099">
        <f>AG37-AF37</f>
        <v>0</v>
      </c>
      <c r="AI37" s="1099">
        <f>_xlfn.SUMIFS(ФОТ!AH$25:AH$102,ФОТ!$F$25:$F$102,$F37,ФОТ!$G$25:$G$102,$G37)</f>
        <v>0</v>
      </c>
      <c r="AJ37" s="1099">
        <f>_xlfn.SUMIFS(ФОТ!AI$25:AI$102,ФОТ!$F$25:$F$102,$F37,ФОТ!$G$25:$G$102,$G37)</f>
        <v>0</v>
      </c>
      <c r="AK37" s="1100"/>
      <c r="AL37" s="1100"/>
      <c r="AM37" s="1100"/>
      <c r="AN37" s="1100"/>
      <c r="AO37" s="1100"/>
      <c r="AP37" s="1100"/>
      <c r="AQ37" s="1100"/>
      <c r="AR37" s="1100"/>
      <c r="AS37" s="1100"/>
      <c r="AT37" s="1099">
        <f>_xlfn.SUMIFS(ФОТ!AJ$25:AJ$102,ФОТ!$F$25:$F$102,$F37,ФОТ!$G$25:$G$102,$G37)</f>
        <v>0</v>
      </c>
      <c r="AU37" s="1100"/>
      <c r="AV37" s="1100"/>
      <c r="AW37" s="1100"/>
      <c r="AX37" s="1100"/>
      <c r="AY37" s="1100"/>
      <c r="AZ37" s="1100"/>
      <c r="BA37" s="1100"/>
      <c r="BB37" s="1100"/>
      <c r="BC37" s="1100"/>
      <c r="BD37" s="1099">
        <f>IF(AI37=0,0,(AT37-AI37)/AI37*100)</f>
        <v>0</v>
      </c>
      <c r="BE37" s="1100"/>
      <c r="BF37" s="1100"/>
      <c r="BG37" s="1100"/>
      <c r="BH37" s="1100"/>
      <c r="BI37" s="1100"/>
      <c r="BJ37" s="1100"/>
      <c r="BK37" s="1100"/>
      <c r="BL37" s="1100"/>
      <c r="BM37" s="1100"/>
      <c r="BN37" s="1265"/>
      <c r="BO37" s="1269" t="str">
        <f>IF(_xlfn.IFERROR(INDEX(ФОТ!$K$26:$L$102,MATCH($F37&amp;"2komm",ФОТ!$K$26:$K$102,0),2),"")=0,"",_xlfn.IFERROR(INDEX(ФОТ!$K$26:$L$102,MATCH($F37&amp;"2komm",ФОТ!$K$26:$K$102,0),2),""))</f>
        <v/>
      </c>
      <c r="BP37" s="1265"/>
      <c r="BQ37" s="960"/>
      <c r="BR37" s="960"/>
      <c r="BS37" s="1046" t="s">
        <v>1625</v>
      </c>
      <c r="BT37" s="1048"/>
      <c r="BU37" s="1048"/>
      <c r="BV37" s="962"/>
      <c r="BW37" s="962"/>
    </row>
    <row customHeight="1" ht="14.625" hidden="1">
      <c r="A38" s="960"/>
      <c r="B38" s="961"/>
      <c r="C38" s="73"/>
      <c r="D38" s="73"/>
      <c r="E38" s="600">
        <v>15</v>
      </c>
      <c r="F38" s="50" cm="1" t="str">
        <f t="array" ref="F38:F38">OFFSET(E38,-1,1)</f>
        <v>0</v>
      </c>
      <c r="G38" s="73"/>
      <c r="H38" s="839"/>
      <c r="I38" s="839" t="s">
        <v>1385</v>
      </c>
      <c r="J38" s="73"/>
      <c r="K38" s="345" t="s">
        <v>1385</v>
      </c>
      <c r="L38" s="963" t="s">
        <v>1627</v>
      </c>
      <c r="M38" s="73"/>
      <c r="N38" s="73"/>
      <c r="O38" s="73"/>
      <c r="P38" s="73"/>
      <c r="Q38" s="73"/>
      <c r="R38" s="73"/>
      <c r="S38" s="73"/>
      <c r="T38" s="439" cm="1" t="str">
        <f t="array" ref="T38:T38">T37</f>
        <v>false</v>
      </c>
      <c r="U38" s="73"/>
      <c r="V38" s="73"/>
      <c r="W38" s="73"/>
      <c r="X38" s="1534"/>
      <c r="Y38" s="960"/>
      <c r="Z38" s="1465"/>
      <c r="AA38" s="960"/>
      <c r="AB38" s="267" t="s">
        <v>1601</v>
      </c>
      <c r="AC38" s="746" t="s">
        <v>1812</v>
      </c>
      <c r="AD38" s="747" t="s">
        <v>784</v>
      </c>
      <c r="AE38" s="1268"/>
      <c r="AF38" s="1268"/>
      <c r="AG38" s="1268"/>
      <c r="AH38" s="1099">
        <f>AG38-AF38</f>
        <v>0</v>
      </c>
      <c r="AI38" s="1268"/>
      <c r="AJ38" s="4561"/>
      <c r="AK38" s="1100"/>
      <c r="AL38" s="1100"/>
      <c r="AM38" s="1100"/>
      <c r="AN38" s="1100"/>
      <c r="AO38" s="1100"/>
      <c r="AP38" s="1100"/>
      <c r="AQ38" s="1100"/>
      <c r="AR38" s="1100"/>
      <c r="AS38" s="1100"/>
      <c r="AT38" s="4561"/>
      <c r="AU38" s="1100"/>
      <c r="AV38" s="1100"/>
      <c r="AW38" s="1100"/>
      <c r="AX38" s="1100"/>
      <c r="AY38" s="1100"/>
      <c r="AZ38" s="1100"/>
      <c r="BA38" s="1100"/>
      <c r="BB38" s="1100"/>
      <c r="BC38" s="1100"/>
      <c r="BD38" s="1099">
        <f>IF(AI38=0,0,(AT38-AI38)/AI38*100)</f>
        <v>0</v>
      </c>
      <c r="BE38" s="1100"/>
      <c r="BF38" s="1100"/>
      <c r="BG38" s="1100"/>
      <c r="BH38" s="1100"/>
      <c r="BI38" s="1100"/>
      <c r="BJ38" s="1100"/>
      <c r="BK38" s="1100"/>
      <c r="BL38" s="1100"/>
      <c r="BM38" s="1100"/>
      <c r="BN38" s="1265"/>
      <c r="BO38" s="1265"/>
      <c r="BP38" s="1265"/>
      <c r="BQ38" s="960"/>
      <c r="BR38" s="960"/>
      <c r="BS38" s="1047" t="s">
        <v>1630</v>
      </c>
      <c r="BT38" s="1048"/>
      <c r="BU38" s="1048"/>
      <c r="BV38" s="962"/>
      <c r="BW38" s="962"/>
    </row>
    <row customHeight="1" ht="14.625" hidden="1">
      <c r="A39" s="960"/>
      <c r="B39" s="961"/>
      <c r="C39" s="73"/>
      <c r="D39" s="73"/>
      <c r="E39" s="600">
        <v>15</v>
      </c>
      <c r="F39" s="50" cm="1" t="str">
        <f t="array" ref="F39:F39">OFFSET(E39,-1,1)</f>
        <v>0</v>
      </c>
      <c r="G39" s="73"/>
      <c r="H39" s="839"/>
      <c r="I39" s="839" t="s">
        <v>1389</v>
      </c>
      <c r="J39" s="73"/>
      <c r="K39" s="345" t="s">
        <v>1389</v>
      </c>
      <c r="L39" s="963" t="s">
        <v>1631</v>
      </c>
      <c r="M39" s="960"/>
      <c r="N39" s="73"/>
      <c r="O39" s="73"/>
      <c r="P39" s="73"/>
      <c r="Q39" s="73"/>
      <c r="R39" s="73"/>
      <c r="S39" s="73"/>
      <c r="T39" s="439" cm="1" t="str">
        <f t="array" ref="T39:T39">T38</f>
        <v>false</v>
      </c>
      <c r="U39" s="73"/>
      <c r="V39" s="73"/>
      <c r="W39" s="73"/>
      <c r="X39" s="1534"/>
      <c r="Y39" s="960"/>
      <c r="Z39" s="1465"/>
      <c r="AA39" s="960"/>
      <c r="AB39" s="267" t="s">
        <v>1603</v>
      </c>
      <c r="AC39" s="746" t="s">
        <v>1813</v>
      </c>
      <c r="AD39" s="267" t="s">
        <v>784</v>
      </c>
      <c r="AE39" s="1101">
        <f>SUM(AE40:AE46)</f>
        <v>0</v>
      </c>
      <c r="AF39" s="1101">
        <f>SUM(AF40:AF46)</f>
        <v>0</v>
      </c>
      <c r="AG39" s="1101">
        <f>SUM(AG40:AG46)</f>
        <v>0</v>
      </c>
      <c r="AH39" s="1099">
        <f>AG39-AF39</f>
        <v>0</v>
      </c>
      <c r="AI39" s="1101">
        <f>SUM(AI40:AI46)</f>
        <v>0</v>
      </c>
      <c r="AJ39" s="1101">
        <f>SUM(AJ40:AJ46)</f>
        <v>0</v>
      </c>
      <c r="AK39" s="1100"/>
      <c r="AL39" s="1100"/>
      <c r="AM39" s="1100"/>
      <c r="AN39" s="1100"/>
      <c r="AO39" s="1100"/>
      <c r="AP39" s="1100"/>
      <c r="AQ39" s="1100"/>
      <c r="AR39" s="1100"/>
      <c r="AS39" s="1100"/>
      <c r="AT39" s="1101">
        <f>SUM(AT40:AT46)</f>
        <v>0</v>
      </c>
      <c r="AU39" s="1100"/>
      <c r="AV39" s="1100"/>
      <c r="AW39" s="1100"/>
      <c r="AX39" s="1100"/>
      <c r="AY39" s="1100"/>
      <c r="AZ39" s="1100"/>
      <c r="BA39" s="1100"/>
      <c r="BB39" s="1100"/>
      <c r="BC39" s="1100"/>
      <c r="BD39" s="1099">
        <f>IF(AI39=0,0,(AT39-AI39)/AI39*100)</f>
        <v>0</v>
      </c>
      <c r="BE39" s="1100"/>
      <c r="BF39" s="1100"/>
      <c r="BG39" s="1100"/>
      <c r="BH39" s="1100"/>
      <c r="BI39" s="1100"/>
      <c r="BJ39" s="1100"/>
      <c r="BK39" s="1100"/>
      <c r="BL39" s="1100"/>
      <c r="BM39" s="1100"/>
      <c r="BN39" s="1265"/>
      <c r="BO39" s="1265"/>
      <c r="BP39" s="1265"/>
      <c r="BQ39" s="960"/>
      <c r="BR39" s="960"/>
      <c r="BS39" s="1047" t="s">
        <v>1814</v>
      </c>
      <c r="BT39" s="1048"/>
      <c r="BU39" s="1048"/>
      <c r="BV39" s="962"/>
      <c r="BW39" s="962"/>
    </row>
    <row customHeight="1" ht="14.625" hidden="1">
      <c r="A40" s="960"/>
      <c r="B40" s="961"/>
      <c r="C40" s="73"/>
      <c r="D40" s="73"/>
      <c r="E40" s="600">
        <v>15</v>
      </c>
      <c r="F40" s="50" cm="1" t="str">
        <f t="array" ref="F40:F40">OFFSET(E40,-1,1)</f>
        <v>0</v>
      </c>
      <c r="G40" s="73"/>
      <c r="H40" s="839"/>
      <c r="I40" s="839" t="s">
        <v>1815</v>
      </c>
      <c r="J40" s="73"/>
      <c r="K40" s="345" t="s">
        <v>1815</v>
      </c>
      <c r="L40" s="963" t="s">
        <v>1631</v>
      </c>
      <c r="M40" s="73" t="s">
        <v>1639</v>
      </c>
      <c r="N40" s="73"/>
      <c r="O40" s="73"/>
      <c r="P40" s="73"/>
      <c r="Q40" s="73"/>
      <c r="R40" s="73"/>
      <c r="S40" s="73"/>
      <c r="T40" s="439" cm="1" t="str">
        <f t="array" ref="T40:T40">T39</f>
        <v>false</v>
      </c>
      <c r="U40" s="73"/>
      <c r="V40" s="73"/>
      <c r="W40" s="73"/>
      <c r="X40" s="1534"/>
      <c r="Y40" s="960"/>
      <c r="Z40" s="1465"/>
      <c r="AA40" s="960"/>
      <c r="AB40" s="267" t="s">
        <v>1816</v>
      </c>
      <c r="AC40" s="749" t="s">
        <v>1817</v>
      </c>
      <c r="AD40" s="267" t="s">
        <v>784</v>
      </c>
      <c r="AE40" s="1268"/>
      <c r="AF40" s="1268"/>
      <c r="AG40" s="1268"/>
      <c r="AH40" s="1099">
        <f>AG40-AF40</f>
        <v>0</v>
      </c>
      <c r="AI40" s="1268"/>
      <c r="AJ40" s="4561"/>
      <c r="AK40" s="1100"/>
      <c r="AL40" s="1100"/>
      <c r="AM40" s="1100"/>
      <c r="AN40" s="1100"/>
      <c r="AO40" s="1100"/>
      <c r="AP40" s="1100"/>
      <c r="AQ40" s="1100"/>
      <c r="AR40" s="1100"/>
      <c r="AS40" s="1100"/>
      <c r="AT40" s="4561"/>
      <c r="AU40" s="1100"/>
      <c r="AV40" s="1100"/>
      <c r="AW40" s="1100"/>
      <c r="AX40" s="1100"/>
      <c r="AY40" s="1100"/>
      <c r="AZ40" s="1100"/>
      <c r="BA40" s="1100"/>
      <c r="BB40" s="1100"/>
      <c r="BC40" s="1100"/>
      <c r="BD40" s="1099">
        <f>IF(AI40=0,0,(AT40-AI40)/AI40*100)</f>
        <v>0</v>
      </c>
      <c r="BE40" s="1100"/>
      <c r="BF40" s="1100"/>
      <c r="BG40" s="1100"/>
      <c r="BH40" s="1100"/>
      <c r="BI40" s="1100"/>
      <c r="BJ40" s="1100"/>
      <c r="BK40" s="1100"/>
      <c r="BL40" s="1100"/>
      <c r="BM40" s="1100"/>
      <c r="BN40" s="1265"/>
      <c r="BO40" s="1265"/>
      <c r="BP40" s="1265"/>
      <c r="BQ40" s="960"/>
      <c r="BR40" s="960"/>
      <c r="BS40" s="1046" t="s">
        <v>1642</v>
      </c>
      <c r="BT40" s="1048"/>
      <c r="BU40" s="1048"/>
      <c r="BV40" s="962"/>
      <c r="BW40" s="962"/>
    </row>
    <row customHeight="1" ht="21.9375" hidden="1">
      <c r="A41" s="960"/>
      <c r="B41" s="961"/>
      <c r="C41" s="73"/>
      <c r="D41" s="73"/>
      <c r="E41" s="600">
        <v>22.5</v>
      </c>
      <c r="F41" s="50" cm="1" t="str">
        <f t="array" ref="F41:F41">OFFSET(E41,-1,1)</f>
        <v>0</v>
      </c>
      <c r="G41" s="73"/>
      <c r="H41" s="839"/>
      <c r="I41" s="839" t="s">
        <v>1818</v>
      </c>
      <c r="J41" s="73"/>
      <c r="K41" s="345" t="s">
        <v>1818</v>
      </c>
      <c r="L41" s="963" t="s">
        <v>1631</v>
      </c>
      <c r="M41" s="73" t="s">
        <v>1635</v>
      </c>
      <c r="N41" s="73"/>
      <c r="O41" s="73"/>
      <c r="P41" s="73"/>
      <c r="Q41" s="73"/>
      <c r="R41" s="73"/>
      <c r="S41" s="73"/>
      <c r="T41" s="439" cm="1" t="str">
        <f t="array" ref="T41:T41">T40</f>
        <v>false</v>
      </c>
      <c r="U41" s="73"/>
      <c r="V41" s="73"/>
      <c r="W41" s="73"/>
      <c r="X41" s="1534"/>
      <c r="Y41" s="960"/>
      <c r="Z41" s="1465"/>
      <c r="AA41" s="960"/>
      <c r="AB41" s="267" t="s">
        <v>1819</v>
      </c>
      <c r="AC41" s="749" t="s">
        <v>1820</v>
      </c>
      <c r="AD41" s="267" t="s">
        <v>784</v>
      </c>
      <c r="AE41" s="1268"/>
      <c r="AF41" s="1268"/>
      <c r="AG41" s="1268"/>
      <c r="AH41" s="1099">
        <f>AG41-AF41</f>
        <v>0</v>
      </c>
      <c r="AI41" s="1268"/>
      <c r="AJ41" s="4561"/>
      <c r="AK41" s="1100"/>
      <c r="AL41" s="1100"/>
      <c r="AM41" s="1100"/>
      <c r="AN41" s="1100"/>
      <c r="AO41" s="1100"/>
      <c r="AP41" s="1100"/>
      <c r="AQ41" s="1100"/>
      <c r="AR41" s="1100"/>
      <c r="AS41" s="1100"/>
      <c r="AT41" s="4561"/>
      <c r="AU41" s="1100"/>
      <c r="AV41" s="1100"/>
      <c r="AW41" s="1100"/>
      <c r="AX41" s="1100"/>
      <c r="AY41" s="1100"/>
      <c r="AZ41" s="1100"/>
      <c r="BA41" s="1100"/>
      <c r="BB41" s="1100"/>
      <c r="BC41" s="1100"/>
      <c r="BD41" s="1099">
        <f>IF(AI41=0,0,(AT41-AI41)/AI41*100)</f>
        <v>0</v>
      </c>
      <c r="BE41" s="1100"/>
      <c r="BF41" s="1100"/>
      <c r="BG41" s="1100"/>
      <c r="BH41" s="1100"/>
      <c r="BI41" s="1100"/>
      <c r="BJ41" s="1100"/>
      <c r="BK41" s="1100"/>
      <c r="BL41" s="1100"/>
      <c r="BM41" s="1100"/>
      <c r="BN41" s="1265"/>
      <c r="BO41" s="1265"/>
      <c r="BP41" s="1265"/>
      <c r="BQ41" s="960"/>
      <c r="BR41" s="960"/>
      <c r="BS41" s="1048" t="s">
        <v>1821</v>
      </c>
      <c r="BT41" s="1048"/>
      <c r="BU41" s="1048"/>
      <c r="BV41" s="962"/>
      <c r="BW41" s="962"/>
    </row>
    <row customHeight="1" ht="21.9375" hidden="1">
      <c r="A42" s="960"/>
      <c r="B42" s="961"/>
      <c r="C42" s="73"/>
      <c r="D42" s="73"/>
      <c r="E42" s="600">
        <v>22.5</v>
      </c>
      <c r="F42" s="50" cm="1" t="str">
        <f t="array" ref="F42:F42">OFFSET(E42,-1,1)</f>
        <v>0</v>
      </c>
      <c r="G42" s="73"/>
      <c r="H42" s="839"/>
      <c r="I42" s="839" t="s">
        <v>1822</v>
      </c>
      <c r="J42" s="73"/>
      <c r="K42" s="345" t="s">
        <v>1822</v>
      </c>
      <c r="L42" s="960"/>
      <c r="M42" s="960"/>
      <c r="N42" s="73"/>
      <c r="O42" s="73"/>
      <c r="P42" s="73"/>
      <c r="Q42" s="73"/>
      <c r="R42" s="73"/>
      <c r="S42" s="73"/>
      <c r="T42" s="439" cm="1" t="str">
        <f t="array" ref="T42:T42">T41</f>
        <v>false</v>
      </c>
      <c r="U42" s="73"/>
      <c r="V42" s="73"/>
      <c r="W42" s="73"/>
      <c r="X42" s="1534"/>
      <c r="Y42" s="960"/>
      <c r="Z42" s="1465"/>
      <c r="AA42" s="960"/>
      <c r="AB42" s="267" t="s">
        <v>1823</v>
      </c>
      <c r="AC42" s="750" t="s">
        <v>1824</v>
      </c>
      <c r="AD42" s="267" t="s">
        <v>784</v>
      </c>
      <c r="AE42" s="1268"/>
      <c r="AF42" s="1268"/>
      <c r="AG42" s="1268"/>
      <c r="AH42" s="1099">
        <f>AG42-AF42</f>
        <v>0</v>
      </c>
      <c r="AI42" s="1268"/>
      <c r="AJ42" s="4561"/>
      <c r="AK42" s="1100"/>
      <c r="AL42" s="1100"/>
      <c r="AM42" s="1100"/>
      <c r="AN42" s="1100"/>
      <c r="AO42" s="1100"/>
      <c r="AP42" s="1100"/>
      <c r="AQ42" s="1100"/>
      <c r="AR42" s="1100"/>
      <c r="AS42" s="1100"/>
      <c r="AT42" s="4561"/>
      <c r="AU42" s="1100"/>
      <c r="AV42" s="1100"/>
      <c r="AW42" s="1100"/>
      <c r="AX42" s="1100"/>
      <c r="AY42" s="1100"/>
      <c r="AZ42" s="1100"/>
      <c r="BA42" s="1100"/>
      <c r="BB42" s="1100"/>
      <c r="BC42" s="1100"/>
      <c r="BD42" s="1099">
        <f>IF(AI42=0,0,(AT42-AI42)/AI42*100)</f>
        <v>0</v>
      </c>
      <c r="BE42" s="1100"/>
      <c r="BF42" s="1100"/>
      <c r="BG42" s="1100"/>
      <c r="BH42" s="1100"/>
      <c r="BI42" s="1100"/>
      <c r="BJ42" s="1100"/>
      <c r="BK42" s="1100"/>
      <c r="BL42" s="1100"/>
      <c r="BM42" s="1100"/>
      <c r="BN42" s="1265"/>
      <c r="BO42" s="1265"/>
      <c r="BP42" s="1265"/>
      <c r="BQ42" s="960"/>
      <c r="BR42" s="960"/>
      <c r="BS42" s="1048" t="s">
        <v>1825</v>
      </c>
      <c r="BT42" s="1048"/>
      <c r="BU42" s="1048"/>
      <c r="BV42" s="962"/>
      <c r="BW42" s="962"/>
    </row>
    <row customHeight="1" ht="21.9375" hidden="1">
      <c r="A43" s="960"/>
      <c r="B43" s="961"/>
      <c r="C43" s="73"/>
      <c r="D43" s="73"/>
      <c r="E43" s="600">
        <v>22.5</v>
      </c>
      <c r="F43" s="50" cm="1" t="str">
        <f t="array" ref="F43:F43">OFFSET(E43,-1,1)</f>
        <v>0</v>
      </c>
      <c r="G43" s="73"/>
      <c r="H43" s="839"/>
      <c r="I43" s="839" t="s">
        <v>1826</v>
      </c>
      <c r="J43" s="73"/>
      <c r="K43" s="345" t="s">
        <v>1826</v>
      </c>
      <c r="L43" s="963"/>
      <c r="M43" s="960"/>
      <c r="N43" s="73"/>
      <c r="O43" s="73"/>
      <c r="P43" s="73"/>
      <c r="Q43" s="73"/>
      <c r="R43" s="73"/>
      <c r="S43" s="73"/>
      <c r="T43" s="439" cm="1" t="str">
        <f t="array" ref="T43:T43">T42</f>
        <v>false</v>
      </c>
      <c r="U43" s="73"/>
      <c r="V43" s="73"/>
      <c r="W43" s="73"/>
      <c r="X43" s="1534"/>
      <c r="Y43" s="960"/>
      <c r="Z43" s="1465"/>
      <c r="AA43" s="960"/>
      <c r="AB43" s="267" t="s">
        <v>1827</v>
      </c>
      <c r="AC43" s="750" t="s">
        <v>1828</v>
      </c>
      <c r="AD43" s="267" t="s">
        <v>784</v>
      </c>
      <c r="AE43" s="1268"/>
      <c r="AF43" s="1268"/>
      <c r="AG43" s="1268"/>
      <c r="AH43" s="1099">
        <f>AG43-AF43</f>
        <v>0</v>
      </c>
      <c r="AI43" s="1268"/>
      <c r="AJ43" s="4561"/>
      <c r="AK43" s="1100"/>
      <c r="AL43" s="1100"/>
      <c r="AM43" s="1100"/>
      <c r="AN43" s="1100"/>
      <c r="AO43" s="1100"/>
      <c r="AP43" s="1100"/>
      <c r="AQ43" s="1100"/>
      <c r="AR43" s="1100"/>
      <c r="AS43" s="1100"/>
      <c r="AT43" s="4561"/>
      <c r="AU43" s="1100"/>
      <c r="AV43" s="1100"/>
      <c r="AW43" s="1100"/>
      <c r="AX43" s="1100"/>
      <c r="AY43" s="1100"/>
      <c r="AZ43" s="1100"/>
      <c r="BA43" s="1100"/>
      <c r="BB43" s="1100"/>
      <c r="BC43" s="1100"/>
      <c r="BD43" s="1099">
        <f>IF(AI43=0,0,(AT43-AI43)/AI43*100)</f>
        <v>0</v>
      </c>
      <c r="BE43" s="1100"/>
      <c r="BF43" s="1100"/>
      <c r="BG43" s="1100"/>
      <c r="BH43" s="1100"/>
      <c r="BI43" s="1100"/>
      <c r="BJ43" s="1100"/>
      <c r="BK43" s="1100"/>
      <c r="BL43" s="1100"/>
      <c r="BM43" s="1100"/>
      <c r="BN43" s="1265"/>
      <c r="BO43" s="1265"/>
      <c r="BP43" s="1265"/>
      <c r="BQ43" s="960"/>
      <c r="BR43" s="960"/>
      <c r="BS43" s="1048" t="s">
        <v>1829</v>
      </c>
      <c r="BT43" s="1048"/>
      <c r="BU43" s="1048"/>
      <c r="BV43" s="962"/>
      <c r="BW43" s="962"/>
    </row>
    <row customHeight="1" ht="43.875" hidden="1">
      <c r="A44" s="960"/>
      <c r="B44" s="961"/>
      <c r="C44" s="73"/>
      <c r="D44" s="73"/>
      <c r="E44" s="600">
        <v>45</v>
      </c>
      <c r="F44" s="50" cm="1" t="str">
        <f t="array" ref="F44:F44">OFFSET(E44,-1,1)</f>
        <v>0</v>
      </c>
      <c r="G44" s="73"/>
      <c r="H44" s="839"/>
      <c r="I44" s="839" t="s">
        <v>1830</v>
      </c>
      <c r="J44" s="73"/>
      <c r="K44" s="345" t="s">
        <v>1830</v>
      </c>
      <c r="L44" s="963" t="s">
        <v>1631</v>
      </c>
      <c r="M44" s="73" t="s">
        <v>1643</v>
      </c>
      <c r="N44" s="73"/>
      <c r="O44" s="73"/>
      <c r="P44" s="73"/>
      <c r="Q44" s="73"/>
      <c r="R44" s="73"/>
      <c r="S44" s="73"/>
      <c r="T44" s="439" cm="1" t="str">
        <f t="array" ref="T44:T44">T43</f>
        <v>false</v>
      </c>
      <c r="U44" s="73"/>
      <c r="V44" s="73"/>
      <c r="W44" s="73"/>
      <c r="X44" s="1534"/>
      <c r="Y44" s="960"/>
      <c r="Z44" s="1465"/>
      <c r="AA44" s="960"/>
      <c r="AB44" s="267" t="s">
        <v>1831</v>
      </c>
      <c r="AC44" s="749" t="s">
        <v>1832</v>
      </c>
      <c r="AD44" s="267" t="s">
        <v>784</v>
      </c>
      <c r="AE44" s="1268"/>
      <c r="AF44" s="1268"/>
      <c r="AG44" s="1268"/>
      <c r="AH44" s="1099">
        <f>AG44-AF44</f>
        <v>0</v>
      </c>
      <c r="AI44" s="1268"/>
      <c r="AJ44" s="4561"/>
      <c r="AK44" s="1100"/>
      <c r="AL44" s="1100"/>
      <c r="AM44" s="1100"/>
      <c r="AN44" s="1100"/>
      <c r="AO44" s="1100"/>
      <c r="AP44" s="1100"/>
      <c r="AQ44" s="1100"/>
      <c r="AR44" s="1100"/>
      <c r="AS44" s="1100"/>
      <c r="AT44" s="4561"/>
      <c r="AU44" s="1100"/>
      <c r="AV44" s="1100"/>
      <c r="AW44" s="1100"/>
      <c r="AX44" s="1100"/>
      <c r="AY44" s="1100"/>
      <c r="AZ44" s="1100"/>
      <c r="BA44" s="1100"/>
      <c r="BB44" s="1100"/>
      <c r="BC44" s="1100"/>
      <c r="BD44" s="1099">
        <f>IF(AI44=0,0,(AT44-AI44)/AI44*100)</f>
        <v>0</v>
      </c>
      <c r="BE44" s="1100"/>
      <c r="BF44" s="1100"/>
      <c r="BG44" s="1100"/>
      <c r="BH44" s="1100"/>
      <c r="BI44" s="1100"/>
      <c r="BJ44" s="1100"/>
      <c r="BK44" s="1100"/>
      <c r="BL44" s="1100"/>
      <c r="BM44" s="1100"/>
      <c r="BN44" s="1265"/>
      <c r="BO44" s="1265"/>
      <c r="BP44" s="1265"/>
      <c r="BQ44" s="960"/>
      <c r="BR44" s="960"/>
      <c r="BS44" s="1048" t="s">
        <v>1646</v>
      </c>
      <c r="BT44" s="1048"/>
      <c r="BU44" s="1048"/>
      <c r="BV44" s="962"/>
      <c r="BW44" s="962"/>
    </row>
    <row customHeight="1" ht="14.625" hidden="1">
      <c r="A45" s="960"/>
      <c r="B45" s="961"/>
      <c r="C45" s="73"/>
      <c r="D45" s="73"/>
      <c r="E45" s="600">
        <v>15</v>
      </c>
      <c r="F45" s="50" cm="1" t="str">
        <f t="array" ref="F45:F45">OFFSET(E45,-1,1)</f>
        <v>0</v>
      </c>
      <c r="G45" s="73"/>
      <c r="H45" s="839"/>
      <c r="I45" s="839" t="s">
        <v>1833</v>
      </c>
      <c r="J45" s="73"/>
      <c r="K45" s="345" t="s">
        <v>1833</v>
      </c>
      <c r="L45" s="963" t="s">
        <v>1631</v>
      </c>
      <c r="M45" s="73" t="s">
        <v>1647</v>
      </c>
      <c r="N45" s="73"/>
      <c r="O45" s="73"/>
      <c r="P45" s="73"/>
      <c r="Q45" s="73"/>
      <c r="R45" s="73"/>
      <c r="S45" s="73"/>
      <c r="T45" s="439" cm="1" t="str">
        <f t="array" ref="T45:T45">T44</f>
        <v>false</v>
      </c>
      <c r="U45" s="73"/>
      <c r="V45" s="73"/>
      <c r="W45" s="73"/>
      <c r="X45" s="1534"/>
      <c r="Y45" s="960"/>
      <c r="Z45" s="1465"/>
      <c r="AA45" s="960"/>
      <c r="AB45" s="267" t="s">
        <v>1834</v>
      </c>
      <c r="AC45" s="749" t="s">
        <v>1649</v>
      </c>
      <c r="AD45" s="267" t="s">
        <v>784</v>
      </c>
      <c r="AE45" s="1268"/>
      <c r="AF45" s="1268"/>
      <c r="AG45" s="1268"/>
      <c r="AH45" s="1099">
        <f>AG45-AF45</f>
        <v>0</v>
      </c>
      <c r="AI45" s="1268"/>
      <c r="AJ45" s="4561"/>
      <c r="AK45" s="1100"/>
      <c r="AL45" s="1100"/>
      <c r="AM45" s="1100"/>
      <c r="AN45" s="1100"/>
      <c r="AO45" s="1100"/>
      <c r="AP45" s="1100"/>
      <c r="AQ45" s="1100"/>
      <c r="AR45" s="1100"/>
      <c r="AS45" s="1100"/>
      <c r="AT45" s="4561"/>
      <c r="AU45" s="1100"/>
      <c r="AV45" s="1100"/>
      <c r="AW45" s="1100"/>
      <c r="AX45" s="1100"/>
      <c r="AY45" s="1100"/>
      <c r="AZ45" s="1100"/>
      <c r="BA45" s="1100"/>
      <c r="BB45" s="1100"/>
      <c r="BC45" s="1100"/>
      <c r="BD45" s="1099">
        <f>IF(AI45=0,0,(AT45-AI45)/AI45*100)</f>
        <v>0</v>
      </c>
      <c r="BE45" s="1100"/>
      <c r="BF45" s="1100"/>
      <c r="BG45" s="1100"/>
      <c r="BH45" s="1100"/>
      <c r="BI45" s="1100"/>
      <c r="BJ45" s="1100"/>
      <c r="BK45" s="1100"/>
      <c r="BL45" s="1100"/>
      <c r="BM45" s="1100"/>
      <c r="BN45" s="1265"/>
      <c r="BO45" s="1265"/>
      <c r="BP45" s="1265"/>
      <c r="BQ45" s="960"/>
      <c r="BR45" s="960"/>
      <c r="BS45" s="1048" t="s">
        <v>1650</v>
      </c>
      <c r="BT45" s="1048"/>
      <c r="BU45" s="1048"/>
      <c r="BV45" s="962"/>
      <c r="BW45" s="962"/>
    </row>
    <row customHeight="1" ht="14.625" hidden="1">
      <c r="A46" s="960"/>
      <c r="B46" s="961"/>
      <c r="C46" s="73"/>
      <c r="D46" s="73"/>
      <c r="E46" s="600">
        <v>15</v>
      </c>
      <c r="F46" s="50" cm="1" t="str">
        <f t="array" ref="F46:F46">OFFSET(E46,-1,1)</f>
        <v>0</v>
      </c>
      <c r="G46" s="73"/>
      <c r="H46" s="839"/>
      <c r="I46" s="839" t="s">
        <v>1835</v>
      </c>
      <c r="J46" s="73"/>
      <c r="K46" s="345" t="s">
        <v>1835</v>
      </c>
      <c r="L46" s="963"/>
      <c r="M46" s="73"/>
      <c r="N46" s="73"/>
      <c r="O46" s="73"/>
      <c r="P46" s="73"/>
      <c r="Q46" s="73"/>
      <c r="R46" s="73"/>
      <c r="S46" s="73"/>
      <c r="T46" s="439" cm="1" t="str">
        <f t="array" ref="T46:T46">T45</f>
        <v>false</v>
      </c>
      <c r="U46" s="73"/>
      <c r="V46" s="73"/>
      <c r="W46" s="73"/>
      <c r="X46" s="1534"/>
      <c r="Y46" s="960"/>
      <c r="Z46" s="1465"/>
      <c r="AA46" s="960"/>
      <c r="AB46" s="267" t="s">
        <v>1836</v>
      </c>
      <c r="AC46" s="749" t="s">
        <v>1837</v>
      </c>
      <c r="AD46" s="267" t="s">
        <v>784</v>
      </c>
      <c r="AE46" s="1268"/>
      <c r="AF46" s="1268"/>
      <c r="AG46" s="1268"/>
      <c r="AH46" s="1099">
        <f>AG46-AF46</f>
        <v>0</v>
      </c>
      <c r="AI46" s="1268"/>
      <c r="AJ46" s="1391"/>
      <c r="AK46" s="1100"/>
      <c r="AL46" s="1100"/>
      <c r="AM46" s="1100"/>
      <c r="AN46" s="1100"/>
      <c r="AO46" s="1100"/>
      <c r="AP46" s="1100"/>
      <c r="AQ46" s="1100"/>
      <c r="AR46" s="1100"/>
      <c r="AS46" s="1100"/>
      <c r="AT46" s="1100"/>
      <c r="AU46" s="1100"/>
      <c r="AV46" s="1100"/>
      <c r="AW46" s="1100"/>
      <c r="AX46" s="1100"/>
      <c r="AY46" s="1100"/>
      <c r="AZ46" s="1100"/>
      <c r="BA46" s="1100"/>
      <c r="BB46" s="1100"/>
      <c r="BC46" s="1100"/>
      <c r="BD46" s="1099">
        <f>IF(AI46=0,0,(AT46-AI46)/AI46*100)</f>
        <v>0</v>
      </c>
      <c r="BE46" s="1100"/>
      <c r="BF46" s="1100"/>
      <c r="BG46" s="1100"/>
      <c r="BH46" s="1100"/>
      <c r="BI46" s="1100"/>
      <c r="BJ46" s="1100"/>
      <c r="BK46" s="1100"/>
      <c r="BL46" s="1100"/>
      <c r="BM46" s="1100"/>
      <c r="BN46" s="1265"/>
      <c r="BO46" s="1265"/>
      <c r="BP46" s="1265"/>
      <c r="BQ46" s="960"/>
      <c r="BR46" s="960"/>
      <c r="BS46" s="1048" t="s">
        <v>1634</v>
      </c>
      <c r="BT46" s="1048"/>
      <c r="BU46" s="1048"/>
      <c r="BV46" s="962"/>
      <c r="BW46" s="962"/>
    </row>
    <row s="680" customFormat="1" customHeight="1" ht="20.475" hidden="1">
      <c r="A47" s="680"/>
      <c r="B47" s="408"/>
      <c r="C47" s="75"/>
      <c r="D47" s="75"/>
      <c r="E47" s="807">
        <v>21</v>
      </c>
      <c r="F47" s="50" cm="1" t="str">
        <f t="array" ref="F47:F47">OFFSET(E47,-1,1)</f>
        <v>0</v>
      </c>
      <c r="G47" s="75"/>
      <c r="H47" s="839"/>
      <c r="I47" s="839" t="s">
        <v>448</v>
      </c>
      <c r="J47" s="75"/>
      <c r="K47" s="345" t="s">
        <v>448</v>
      </c>
      <c r="L47" s="968"/>
      <c r="M47" s="75"/>
      <c r="N47" s="75"/>
      <c r="O47" s="75"/>
      <c r="P47" s="75"/>
      <c r="Q47" s="75"/>
      <c r="R47" s="75"/>
      <c r="S47" s="75"/>
      <c r="T47" s="439" cm="1" t="str">
        <f t="array" ref="T47:T47">T46</f>
        <v>false</v>
      </c>
      <c r="U47" s="75"/>
      <c r="V47" s="75"/>
      <c r="W47" s="75"/>
      <c r="X47" s="1534"/>
      <c r="Y47" s="680"/>
      <c r="Z47" s="1465"/>
      <c r="AA47" s="680"/>
      <c r="AB47" s="178" t="s">
        <v>851</v>
      </c>
      <c r="AC47" s="328" t="s">
        <v>1654</v>
      </c>
      <c r="AD47" s="178" t="s">
        <v>784</v>
      </c>
      <c r="AE47" s="180">
        <f>AE48+AE49+AE50</f>
        <v>0</v>
      </c>
      <c r="AF47" s="180">
        <f>AF48+AF49+AF50</f>
        <v>0</v>
      </c>
      <c r="AG47" s="180">
        <f>AG48+AG49+AG50</f>
        <v>0</v>
      </c>
      <c r="AH47" s="759">
        <f>AG47-AF47</f>
        <v>0</v>
      </c>
      <c r="AI47" s="180">
        <f>AI48+AI49+AI50</f>
        <v>0</v>
      </c>
      <c r="AJ47" s="180">
        <f>AJ48+AJ49+AJ50</f>
        <v>0</v>
      </c>
      <c r="AK47" s="183"/>
      <c r="AL47" s="183"/>
      <c r="AM47" s="183"/>
      <c r="AN47" s="183"/>
      <c r="AO47" s="183"/>
      <c r="AP47" s="183"/>
      <c r="AQ47" s="183"/>
      <c r="AR47" s="183"/>
      <c r="AS47" s="183"/>
      <c r="AT47" s="180">
        <f>AT48+AT49+AT50</f>
        <v>0</v>
      </c>
      <c r="AU47" s="183"/>
      <c r="AV47" s="183"/>
      <c r="AW47" s="183"/>
      <c r="AX47" s="183"/>
      <c r="AY47" s="183"/>
      <c r="AZ47" s="183"/>
      <c r="BA47" s="183"/>
      <c r="BB47" s="183"/>
      <c r="BC47" s="183"/>
      <c r="BD47" s="759">
        <f>IF(AI47=0,0,(AT47-AI47)/AI47*100)</f>
        <v>0</v>
      </c>
      <c r="BE47" s="183"/>
      <c r="BF47" s="183"/>
      <c r="BG47" s="183"/>
      <c r="BH47" s="183"/>
      <c r="BI47" s="183"/>
      <c r="BJ47" s="183"/>
      <c r="BK47" s="183"/>
      <c r="BL47" s="183"/>
      <c r="BM47" s="183"/>
      <c r="BN47" s="1267"/>
      <c r="BO47" s="1267"/>
      <c r="BP47" s="1267"/>
      <c r="BQ47" s="680"/>
      <c r="BR47" s="680"/>
      <c r="BS47" s="1047" t="s">
        <v>1655</v>
      </c>
      <c r="BT47" s="1054"/>
      <c r="BU47" s="1054"/>
      <c r="BV47" s="687"/>
      <c r="BW47" s="687"/>
    </row>
    <row customHeight="1" ht="21.9375" hidden="1">
      <c r="A48" s="960"/>
      <c r="B48" s="961"/>
      <c r="C48" s="73"/>
      <c r="D48" s="73"/>
      <c r="E48" s="600">
        <v>22.5</v>
      </c>
      <c r="F48" s="50" cm="1" t="str">
        <f t="array" ref="F48:F48">OFFSET(E48,-1,1)</f>
        <v>0</v>
      </c>
      <c r="G48" s="73"/>
      <c r="H48" s="839"/>
      <c r="I48" s="839" t="s">
        <v>1232</v>
      </c>
      <c r="J48" s="73"/>
      <c r="K48" s="345" t="s">
        <v>1232</v>
      </c>
      <c r="L48" s="963"/>
      <c r="M48" s="73"/>
      <c r="N48" s="73"/>
      <c r="O48" s="73"/>
      <c r="P48" s="73"/>
      <c r="Q48" s="73"/>
      <c r="R48" s="73"/>
      <c r="S48" s="73"/>
      <c r="T48" s="439" cm="1" t="str">
        <f t="array" ref="T48:T48">T47</f>
        <v>false</v>
      </c>
      <c r="U48" s="73"/>
      <c r="V48" s="73"/>
      <c r="W48" s="73"/>
      <c r="X48" s="1534"/>
      <c r="Y48" s="960"/>
      <c r="Z48" s="1465"/>
      <c r="AA48" s="960"/>
      <c r="AB48" s="267" t="s">
        <v>1233</v>
      </c>
      <c r="AC48" s="746" t="s">
        <v>1838</v>
      </c>
      <c r="AD48" s="267" t="s">
        <v>784</v>
      </c>
      <c r="AE48" s="1268"/>
      <c r="AF48" s="1268"/>
      <c r="AG48" s="1268"/>
      <c r="AH48" s="1099">
        <f>AG48-AF48</f>
        <v>0</v>
      </c>
      <c r="AI48" s="1268"/>
      <c r="AJ48" s="4561"/>
      <c r="AK48" s="1100"/>
      <c r="AL48" s="1100"/>
      <c r="AM48" s="1100"/>
      <c r="AN48" s="1100"/>
      <c r="AO48" s="1100"/>
      <c r="AP48" s="1100"/>
      <c r="AQ48" s="1100"/>
      <c r="AR48" s="1100"/>
      <c r="AS48" s="1100"/>
      <c r="AT48" s="4561"/>
      <c r="AU48" s="1100"/>
      <c r="AV48" s="1100"/>
      <c r="AW48" s="1100"/>
      <c r="AX48" s="1100"/>
      <c r="AY48" s="1100"/>
      <c r="AZ48" s="1100"/>
      <c r="BA48" s="1100"/>
      <c r="BB48" s="1100"/>
      <c r="BC48" s="1100"/>
      <c r="BD48" s="1099">
        <f>IF(AI48=0,0,(AT48-AI48)/AI48*100)</f>
        <v>0</v>
      </c>
      <c r="BE48" s="1100"/>
      <c r="BF48" s="1100"/>
      <c r="BG48" s="1100"/>
      <c r="BH48" s="1100"/>
      <c r="BI48" s="1100"/>
      <c r="BJ48" s="1100"/>
      <c r="BK48" s="1100"/>
      <c r="BL48" s="1100"/>
      <c r="BM48" s="1100"/>
      <c r="BN48" s="1265"/>
      <c r="BO48" s="1265"/>
      <c r="BP48" s="1265"/>
      <c r="BQ48" s="960"/>
      <c r="BR48" s="960"/>
      <c r="BS48" s="1046" t="s">
        <v>1657</v>
      </c>
      <c r="BT48" s="1048"/>
      <c r="BU48" s="1048"/>
      <c r="BV48" s="962"/>
      <c r="BW48" s="962"/>
    </row>
    <row customHeight="1" ht="21.9375" hidden="1">
      <c r="A49" s="960"/>
      <c r="B49" s="961"/>
      <c r="C49" s="73"/>
      <c r="D49" s="73"/>
      <c r="E49" s="600">
        <v>22.5</v>
      </c>
      <c r="F49" s="50" cm="1" t="str">
        <f t="array" ref="F49:F49">OFFSET(E49,-1,1)</f>
        <v>0</v>
      </c>
      <c r="G49" s="73"/>
      <c r="H49" s="839"/>
      <c r="I49" s="839" t="s">
        <v>1236</v>
      </c>
      <c r="J49" s="73"/>
      <c r="K49" s="345" t="s">
        <v>1236</v>
      </c>
      <c r="L49" s="963"/>
      <c r="M49" s="73"/>
      <c r="N49" s="73"/>
      <c r="O49" s="73"/>
      <c r="P49" s="73"/>
      <c r="Q49" s="73"/>
      <c r="R49" s="73"/>
      <c r="S49" s="73"/>
      <c r="T49" s="439" cm="1" t="str">
        <f t="array" ref="T49:T49">T48</f>
        <v>false</v>
      </c>
      <c r="U49" s="73"/>
      <c r="V49" s="73"/>
      <c r="W49" s="73"/>
      <c r="X49" s="1534"/>
      <c r="Y49" s="960"/>
      <c r="Z49" s="1465"/>
      <c r="AA49" s="960"/>
      <c r="AB49" s="267" t="s">
        <v>1237</v>
      </c>
      <c r="AC49" s="746" t="s">
        <v>1839</v>
      </c>
      <c r="AD49" s="267" t="s">
        <v>784</v>
      </c>
      <c r="AE49" s="1268"/>
      <c r="AF49" s="1268"/>
      <c r="AG49" s="1268"/>
      <c r="AH49" s="1099">
        <f>AG49-AF49</f>
        <v>0</v>
      </c>
      <c r="AI49" s="1268"/>
      <c r="AJ49" s="4561"/>
      <c r="AK49" s="1100"/>
      <c r="AL49" s="1100"/>
      <c r="AM49" s="1100"/>
      <c r="AN49" s="1100"/>
      <c r="AO49" s="1100"/>
      <c r="AP49" s="1100"/>
      <c r="AQ49" s="1100"/>
      <c r="AR49" s="1100"/>
      <c r="AS49" s="1100"/>
      <c r="AT49" s="4561"/>
      <c r="AU49" s="1100"/>
      <c r="AV49" s="1100"/>
      <c r="AW49" s="1100"/>
      <c r="AX49" s="1100"/>
      <c r="AY49" s="1100"/>
      <c r="AZ49" s="1100"/>
      <c r="BA49" s="1100"/>
      <c r="BB49" s="1100"/>
      <c r="BC49" s="1100"/>
      <c r="BD49" s="1099">
        <f>IF(AI49=0,0,(AT49-AI49)/AI49*100)</f>
        <v>0</v>
      </c>
      <c r="BE49" s="1100"/>
      <c r="BF49" s="1100"/>
      <c r="BG49" s="1100"/>
      <c r="BH49" s="1100"/>
      <c r="BI49" s="1100"/>
      <c r="BJ49" s="1100"/>
      <c r="BK49" s="1100"/>
      <c r="BL49" s="1100"/>
      <c r="BM49" s="1100"/>
      <c r="BN49" s="1265"/>
      <c r="BO49" s="1265"/>
      <c r="BP49" s="1265"/>
      <c r="BQ49" s="960"/>
      <c r="BR49" s="960"/>
      <c r="BS49" s="1048" t="s">
        <v>1840</v>
      </c>
      <c r="BT49" s="1048"/>
      <c r="BU49" s="1048"/>
      <c r="BV49" s="962"/>
      <c r="BW49" s="962"/>
    </row>
    <row customHeight="1" ht="21.9375" hidden="1">
      <c r="A50" s="960"/>
      <c r="B50" s="961"/>
      <c r="C50" s="73"/>
      <c r="D50" s="73"/>
      <c r="E50" s="600">
        <v>22.5</v>
      </c>
      <c r="F50" s="50" cm="1" t="str">
        <f t="array" ref="F50:F50">OFFSET(E50,-1,1)</f>
        <v>0</v>
      </c>
      <c r="G50" s="73"/>
      <c r="H50" s="839"/>
      <c r="I50" s="839" t="s">
        <v>1240</v>
      </c>
      <c r="J50" s="73"/>
      <c r="K50" s="345" t="s">
        <v>1240</v>
      </c>
      <c r="L50" s="963" t="s">
        <v>462</v>
      </c>
      <c r="M50" s="73"/>
      <c r="N50" s="73"/>
      <c r="O50" s="73"/>
      <c r="P50" s="73"/>
      <c r="Q50" s="73"/>
      <c r="R50" s="73"/>
      <c r="S50" s="73"/>
      <c r="T50" s="439" cm="1" t="str">
        <f t="array" ref="T50:T50">T49</f>
        <v>false</v>
      </c>
      <c r="U50" s="73"/>
      <c r="V50" s="73"/>
      <c r="W50" s="73"/>
      <c r="X50" s="1534"/>
      <c r="Y50" s="960"/>
      <c r="Z50" s="1465"/>
      <c r="AA50" s="960"/>
      <c r="AB50" s="267" t="s">
        <v>1241</v>
      </c>
      <c r="AC50" s="746" t="s">
        <v>1841</v>
      </c>
      <c r="AD50" s="267" t="s">
        <v>784</v>
      </c>
      <c r="AE50" s="1101">
        <f>AE51+AE52</f>
        <v>0</v>
      </c>
      <c r="AF50" s="1101">
        <f>AF51+AF52</f>
        <v>0</v>
      </c>
      <c r="AG50" s="1101">
        <f>AG51+AG52</f>
        <v>0</v>
      </c>
      <c r="AH50" s="1099">
        <f>AG50-AF50</f>
        <v>0</v>
      </c>
      <c r="AI50" s="1101">
        <f>AI51+AI52</f>
        <v>0</v>
      </c>
      <c r="AJ50" s="1101">
        <f>AJ51+AJ52</f>
        <v>0</v>
      </c>
      <c r="AK50" s="1100"/>
      <c r="AL50" s="1100"/>
      <c r="AM50" s="1100"/>
      <c r="AN50" s="1100"/>
      <c r="AO50" s="1100"/>
      <c r="AP50" s="1100"/>
      <c r="AQ50" s="1100"/>
      <c r="AR50" s="1100"/>
      <c r="AS50" s="1100"/>
      <c r="AT50" s="1101">
        <f>AT51+AT52</f>
        <v>0</v>
      </c>
      <c r="AU50" s="1100"/>
      <c r="AV50" s="1100"/>
      <c r="AW50" s="1100"/>
      <c r="AX50" s="1100"/>
      <c r="AY50" s="1100"/>
      <c r="AZ50" s="1100"/>
      <c r="BA50" s="1100"/>
      <c r="BB50" s="1100"/>
      <c r="BC50" s="1100"/>
      <c r="BD50" s="1099">
        <f>IF(AI50=0,0,(AT50-AI50)/AI50*100)</f>
        <v>0</v>
      </c>
      <c r="BE50" s="1100"/>
      <c r="BF50" s="1100"/>
      <c r="BG50" s="1100"/>
      <c r="BH50" s="1100"/>
      <c r="BI50" s="1100"/>
      <c r="BJ50" s="1100"/>
      <c r="BK50" s="1100"/>
      <c r="BL50" s="1100"/>
      <c r="BM50" s="1100"/>
      <c r="BN50" s="1265"/>
      <c r="BO50" s="1265"/>
      <c r="BP50" s="1265"/>
      <c r="BQ50" s="960"/>
      <c r="BR50" s="960"/>
      <c r="BS50" s="1046" t="s">
        <v>1659</v>
      </c>
      <c r="BT50" s="1048"/>
      <c r="BU50" s="1048"/>
      <c r="BV50" s="962"/>
      <c r="BW50" s="962"/>
    </row>
    <row customHeight="1" ht="14.625" hidden="1">
      <c r="A51" s="960"/>
      <c r="B51" s="961"/>
      <c r="C51" s="73"/>
      <c r="D51" s="73"/>
      <c r="E51" s="600">
        <v>15</v>
      </c>
      <c r="F51" s="50" cm="1" t="str">
        <f t="array" ref="F51:F51">OFFSET(E51,-1,1)</f>
        <v>0</v>
      </c>
      <c r="G51" s="830" t="s">
        <v>1053</v>
      </c>
      <c r="H51" s="839"/>
      <c r="I51" s="839" t="s">
        <v>1842</v>
      </c>
      <c r="J51" s="73"/>
      <c r="K51" s="345" t="s">
        <v>1842</v>
      </c>
      <c r="L51" s="963" t="s">
        <v>1660</v>
      </c>
      <c r="M51" s="73"/>
      <c r="N51" s="73"/>
      <c r="O51" s="73"/>
      <c r="P51" s="73"/>
      <c r="Q51" s="73"/>
      <c r="R51" s="73"/>
      <c r="S51" s="73"/>
      <c r="T51" s="439" cm="1" t="str">
        <f t="array" ref="T51:T51">T50</f>
        <v>false</v>
      </c>
      <c r="U51" s="73"/>
      <c r="V51" s="73"/>
      <c r="W51" s="73"/>
      <c r="X51" s="1534"/>
      <c r="Y51" s="960"/>
      <c r="Z51" s="1465"/>
      <c r="AA51" s="960"/>
      <c r="AB51" s="267" t="s">
        <v>1843</v>
      </c>
      <c r="AC51" s="749" t="s">
        <v>1661</v>
      </c>
      <c r="AD51" s="267" t="s">
        <v>784</v>
      </c>
      <c r="AE51" s="1099">
        <f>_xlfn.SUMIFS(ФОТ!AE$25:AE$102,ФОТ!$F$25:$F$102,$F51,ФОТ!$G$25:$G$102,$G51)</f>
        <v>0</v>
      </c>
      <c r="AF51" s="1099">
        <f>_xlfn.SUMIFS(ФОТ!AF$25:AF$102,ФОТ!$F$25:$F$102,$F51,ФОТ!$G$25:$G$102,$G51)</f>
        <v>0</v>
      </c>
      <c r="AG51" s="1099">
        <f>_xlfn.SUMIFS(ФОТ!AG$25:AG$102,ФОТ!$F$25:$F$102,$F51,ФОТ!$G$25:$G$102,$G51)</f>
        <v>0</v>
      </c>
      <c r="AH51" s="1099">
        <f>AG51-AF51</f>
        <v>0</v>
      </c>
      <c r="AI51" s="1099">
        <f>_xlfn.SUMIFS(ФОТ!AH$25:AH$102,ФОТ!$F$25:$F$102,$F51,ФОТ!$G$25:$G$102,$G51)</f>
        <v>0</v>
      </c>
      <c r="AJ51" s="1099">
        <f>_xlfn.SUMIFS(ФОТ!AI$25:AI$102,ФОТ!$F$25:$F$102,$F51,ФОТ!$G$25:$G$102,$G51)</f>
        <v>0</v>
      </c>
      <c r="AK51" s="1100"/>
      <c r="AL51" s="1100"/>
      <c r="AM51" s="1100"/>
      <c r="AN51" s="1100"/>
      <c r="AO51" s="1100"/>
      <c r="AP51" s="1100"/>
      <c r="AQ51" s="1100"/>
      <c r="AR51" s="1100"/>
      <c r="AS51" s="1100"/>
      <c r="AT51" s="1099">
        <f>_xlfn.SUMIFS(ФОТ!AJ$25:AJ$102,ФОТ!$F$25:$F$102,$F51,ФОТ!$G$25:$G$102,$G51)</f>
        <v>0</v>
      </c>
      <c r="AU51" s="1100"/>
      <c r="AV51" s="1100"/>
      <c r="AW51" s="1100"/>
      <c r="AX51" s="1100"/>
      <c r="AY51" s="1100"/>
      <c r="AZ51" s="1100"/>
      <c r="BA51" s="1100"/>
      <c r="BB51" s="1100"/>
      <c r="BC51" s="1100"/>
      <c r="BD51" s="1099">
        <f>IF(AI51=0,0,(AT51-AI51)/AI51*100)</f>
        <v>0</v>
      </c>
      <c r="BE51" s="1100"/>
      <c r="BF51" s="1100"/>
      <c r="BG51" s="1100"/>
      <c r="BH51" s="1100"/>
      <c r="BI51" s="1100"/>
      <c r="BJ51" s="1100"/>
      <c r="BK51" s="1100"/>
      <c r="BL51" s="1100"/>
      <c r="BM51" s="1100"/>
      <c r="BN51" s="1265"/>
      <c r="BO51" s="1269" t="str">
        <f>IF(_xlfn.IFERROR(INDEX(ФОТ!$K$26:$L$102,MATCH($F51&amp;"3komm",ФОТ!$K$26:$K$102,0),2),"")=0,"",_xlfn.IFERROR(INDEX(ФОТ!$K$26:$L$102,MATCH($F51&amp;"3komm",ФОТ!$K$26:$K$102,0),2),""))</f>
        <v/>
      </c>
      <c r="BP51" s="1265"/>
      <c r="BQ51" s="960"/>
      <c r="BR51" s="960"/>
      <c r="BS51" s="1046" t="s">
        <v>1662</v>
      </c>
      <c r="BT51" s="1048"/>
      <c r="BU51" s="1048"/>
      <c r="BV51" s="962"/>
      <c r="BW51" s="962"/>
    </row>
    <row customHeight="1" ht="21.9375" hidden="1">
      <c r="A52" s="960"/>
      <c r="B52" s="961"/>
      <c r="C52" s="73"/>
      <c r="D52" s="73"/>
      <c r="E52" s="600">
        <v>22.5</v>
      </c>
      <c r="F52" s="50" cm="1" t="str">
        <f t="array" ref="F52:F52">OFFSET(E52,-1,1)</f>
        <v>0</v>
      </c>
      <c r="G52" s="830" t="s">
        <v>1058</v>
      </c>
      <c r="H52" s="839"/>
      <c r="I52" s="839" t="s">
        <v>1844</v>
      </c>
      <c r="J52" s="73"/>
      <c r="K52" s="345" t="s">
        <v>1844</v>
      </c>
      <c r="L52" s="963" t="s">
        <v>1663</v>
      </c>
      <c r="M52" s="73"/>
      <c r="N52" s="73"/>
      <c r="O52" s="73"/>
      <c r="P52" s="73"/>
      <c r="Q52" s="73"/>
      <c r="R52" s="73"/>
      <c r="S52" s="73"/>
      <c r="T52" s="439" cm="1" t="str">
        <f t="array" ref="T52:T52">T51</f>
        <v>false</v>
      </c>
      <c r="U52" s="73"/>
      <c r="V52" s="73"/>
      <c r="W52" s="73"/>
      <c r="X52" s="1534"/>
      <c r="Y52" s="960"/>
      <c r="Z52" s="1465"/>
      <c r="AA52" s="960"/>
      <c r="AB52" s="267" t="s">
        <v>1845</v>
      </c>
      <c r="AC52" s="749" t="s">
        <v>1846</v>
      </c>
      <c r="AD52" s="267" t="s">
        <v>784</v>
      </c>
      <c r="AE52" s="1099">
        <f>_xlfn.SUMIFS(ФОТ!AE$25:AE$102,ФОТ!$F$25:$F$102,$F52,ФОТ!$G$25:$G$102,$G52)</f>
        <v>0</v>
      </c>
      <c r="AF52" s="1099">
        <f>_xlfn.SUMIFS(ФОТ!AF$25:AF$102,ФОТ!$F$25:$F$102,$F52,ФОТ!$G$25:$G$102,$G52)</f>
        <v>0</v>
      </c>
      <c r="AG52" s="1099">
        <f>_xlfn.SUMIFS(ФОТ!AG$25:AG$102,ФОТ!$F$25:$F$102,$F52,ФОТ!$G$25:$G$102,$G52)</f>
        <v>0</v>
      </c>
      <c r="AH52" s="1099">
        <f>AG52-AF52</f>
        <v>0</v>
      </c>
      <c r="AI52" s="1099">
        <f>_xlfn.SUMIFS(ФОТ!AH$25:AH$102,ФОТ!$F$25:$F$102,$F52,ФОТ!$G$25:$G$102,$G52)</f>
        <v>0</v>
      </c>
      <c r="AJ52" s="1099">
        <f>_xlfn.SUMIFS(ФОТ!AI$25:AI$102,ФОТ!$F$25:$F$102,$F52,ФОТ!$G$25:$G$102,$G52)</f>
        <v>0</v>
      </c>
      <c r="AK52" s="1100"/>
      <c r="AL52" s="1100"/>
      <c r="AM52" s="1100"/>
      <c r="AN52" s="1100"/>
      <c r="AO52" s="1100"/>
      <c r="AP52" s="1100"/>
      <c r="AQ52" s="1100"/>
      <c r="AR52" s="1100"/>
      <c r="AS52" s="1100"/>
      <c r="AT52" s="1099">
        <f>_xlfn.SUMIFS(ФОТ!AJ$25:AJ$102,ФОТ!$F$25:$F$102,$F52,ФОТ!$G$25:$G$102,$G52)</f>
        <v>0</v>
      </c>
      <c r="AU52" s="1100"/>
      <c r="AV52" s="1100"/>
      <c r="AW52" s="1100"/>
      <c r="AX52" s="1100"/>
      <c r="AY52" s="1100"/>
      <c r="AZ52" s="1100"/>
      <c r="BA52" s="1100"/>
      <c r="BB52" s="1100"/>
      <c r="BC52" s="1100"/>
      <c r="BD52" s="1099">
        <f>IF(AI52=0,0,(AT52-AI52)/AI52*100)</f>
        <v>0</v>
      </c>
      <c r="BE52" s="1100"/>
      <c r="BF52" s="1100"/>
      <c r="BG52" s="1100"/>
      <c r="BH52" s="1100"/>
      <c r="BI52" s="1100"/>
      <c r="BJ52" s="1100"/>
      <c r="BK52" s="1100"/>
      <c r="BL52" s="1100"/>
      <c r="BM52" s="1100"/>
      <c r="BN52" s="1265"/>
      <c r="BO52" s="1269" t="str">
        <f>IF(_xlfn.IFERROR(INDEX(ФОТ!$K$26:$L$102,MATCH($F52&amp;"4komm",ФОТ!$K$26:$K$102,0),2),"")=0,"",_xlfn.IFERROR(INDEX(ФОТ!$K$26:$L$102,MATCH($F52&amp;"4komm",ФОТ!$K$26:$K$102,0),2),""))</f>
        <v/>
      </c>
      <c r="BP52" s="1265"/>
      <c r="BQ52" s="960"/>
      <c r="BR52" s="960"/>
      <c r="BS52" s="1046" t="s">
        <v>1665</v>
      </c>
      <c r="BT52" s="1048"/>
      <c r="BU52" s="1048"/>
      <c r="BV52" s="962"/>
      <c r="BW52" s="962"/>
    </row>
    <row s="680" customFormat="1" customHeight="1" ht="20.475" hidden="1">
      <c r="A53" s="680"/>
      <c r="B53" s="408"/>
      <c r="C53" s="75"/>
      <c r="D53" s="75"/>
      <c r="E53" s="807">
        <v>21</v>
      </c>
      <c r="F53" s="50" cm="1" t="str">
        <f t="array" ref="F53:F53">OFFSET(E53,-1,1)</f>
        <v>0</v>
      </c>
      <c r="G53" s="75"/>
      <c r="H53" s="839"/>
      <c r="I53" s="839" t="s">
        <v>452</v>
      </c>
      <c r="J53" s="75"/>
      <c r="K53" s="345" t="s">
        <v>452</v>
      </c>
      <c r="L53" s="968" t="s">
        <v>327</v>
      </c>
      <c r="M53" s="75"/>
      <c r="N53" s="75"/>
      <c r="O53" s="75"/>
      <c r="P53" s="75"/>
      <c r="Q53" s="75"/>
      <c r="R53" s="75"/>
      <c r="S53" s="75"/>
      <c r="T53" s="439" cm="1" t="str">
        <f t="array" ref="T53:T53">T52</f>
        <v>false</v>
      </c>
      <c r="U53" s="75"/>
      <c r="V53" s="75"/>
      <c r="W53" s="75"/>
      <c r="X53" s="1534"/>
      <c r="Y53" s="680"/>
      <c r="Z53" s="1465"/>
      <c r="AA53" s="680"/>
      <c r="AB53" s="178" t="s">
        <v>854</v>
      </c>
      <c r="AC53" s="328" t="s">
        <v>1847</v>
      </c>
      <c r="AD53" s="178" t="s">
        <v>784</v>
      </c>
      <c r="AE53" s="180">
        <f>AE54+AE62+AE65+AE66+AE67+AE68+AE69</f>
        <v>0</v>
      </c>
      <c r="AF53" s="180">
        <f>AF54+AF62+AF65+AF66+AF67+AF68+AF69</f>
        <v>0</v>
      </c>
      <c r="AG53" s="180">
        <f>AG54+AG62+AG65+AG66+AG67+AG68+AG69</f>
        <v>0</v>
      </c>
      <c r="AH53" s="759">
        <f>AG53-AF53</f>
        <v>0</v>
      </c>
      <c r="AI53" s="180">
        <f>AI54+AI62+AI65+AI66+AI67+AI68+AI69</f>
        <v>0</v>
      </c>
      <c r="AJ53" s="180">
        <f>AJ54+AJ62+AJ65+AJ66+AJ67+AJ68+AJ69</f>
        <v>0</v>
      </c>
      <c r="AK53" s="183"/>
      <c r="AL53" s="183"/>
      <c r="AM53" s="183"/>
      <c r="AN53" s="183"/>
      <c r="AO53" s="183"/>
      <c r="AP53" s="183"/>
      <c r="AQ53" s="183"/>
      <c r="AR53" s="183"/>
      <c r="AS53" s="183"/>
      <c r="AT53" s="180">
        <f>AT54+AT62+AT65+AT66+AT67+AT68+AT69</f>
        <v>0</v>
      </c>
      <c r="AU53" s="183"/>
      <c r="AV53" s="183"/>
      <c r="AW53" s="183"/>
      <c r="AX53" s="183"/>
      <c r="AY53" s="183"/>
      <c r="AZ53" s="183"/>
      <c r="BA53" s="183"/>
      <c r="BB53" s="183"/>
      <c r="BC53" s="183"/>
      <c r="BD53" s="759">
        <f>IF(AI53=0,0,(AT53-AI53)/AI53*100)</f>
        <v>0</v>
      </c>
      <c r="BE53" s="183"/>
      <c r="BF53" s="183"/>
      <c r="BG53" s="183"/>
      <c r="BH53" s="183"/>
      <c r="BI53" s="183"/>
      <c r="BJ53" s="183"/>
      <c r="BK53" s="183"/>
      <c r="BL53" s="183"/>
      <c r="BM53" s="183"/>
      <c r="BN53" s="1267"/>
      <c r="BO53" s="1267"/>
      <c r="BP53" s="1267"/>
      <c r="BQ53" s="680"/>
      <c r="BR53" s="680"/>
      <c r="BS53" s="1047" t="s">
        <v>1667</v>
      </c>
      <c r="BT53" s="1054"/>
      <c r="BU53" s="1054"/>
      <c r="BV53" s="687"/>
      <c r="BW53" s="687"/>
    </row>
    <row customHeight="1" ht="21.9375" hidden="1">
      <c r="A54" s="960"/>
      <c r="B54" s="961"/>
      <c r="C54" s="73"/>
      <c r="D54" s="73"/>
      <c r="E54" s="600">
        <v>22.5</v>
      </c>
      <c r="F54" s="50" cm="1" t="str">
        <f t="array" ref="F54:F54">OFFSET(E54,-1,1)</f>
        <v>0</v>
      </c>
      <c r="G54" s="73" t="s">
        <v>1079</v>
      </c>
      <c r="H54" s="839"/>
      <c r="I54" s="839" t="s">
        <v>1246</v>
      </c>
      <c r="J54" s="73"/>
      <c r="K54" s="345" t="s">
        <v>1246</v>
      </c>
      <c r="L54" s="963" t="s">
        <v>875</v>
      </c>
      <c r="M54" s="73"/>
      <c r="N54" s="73"/>
      <c r="O54" s="73"/>
      <c r="P54" s="73"/>
      <c r="Q54" s="73"/>
      <c r="R54" s="73"/>
      <c r="S54" s="73"/>
      <c r="T54" s="439" cm="1" t="str">
        <f t="array" ref="T54:T54">T53</f>
        <v>false</v>
      </c>
      <c r="U54" s="73"/>
      <c r="V54" s="73"/>
      <c r="W54" s="73"/>
      <c r="X54" s="1534"/>
      <c r="Y54" s="960"/>
      <c r="Z54" s="1465"/>
      <c r="AA54" s="960"/>
      <c r="AB54" s="267" t="s">
        <v>971</v>
      </c>
      <c r="AC54" s="746" t="s">
        <v>1848</v>
      </c>
      <c r="AD54" s="267" t="s">
        <v>784</v>
      </c>
      <c r="AE54" s="1099">
        <f>_xlfn.SUMIFS(Административные!AE$25:AE$84,Административные!$F$25:$F$84,$F54,Административные!$G$25:$G$84,$G54)</f>
        <v>0</v>
      </c>
      <c r="AF54" s="1099">
        <f>_xlfn.SUMIFS(Административные!AF$25:AF$84,Административные!$F$25:$F$84,$F54,Административные!$G$25:$G$84,$G54)</f>
        <v>0</v>
      </c>
      <c r="AG54" s="1099">
        <f>_xlfn.SUMIFS(Административные!AG$25:AG$84,Административные!$F$25:$F$84,$F54,Административные!$G$25:$G$84,$G54)</f>
        <v>0</v>
      </c>
      <c r="AH54" s="1099">
        <f>AG54-AF54</f>
        <v>0</v>
      </c>
      <c r="AI54" s="1099">
        <f>_xlfn.SUMIFS(Административные!AH$25:AH$84,Административные!$F$25:$F$84,$F54,Административные!$G$25:$G$84,$G54)</f>
        <v>0</v>
      </c>
      <c r="AJ54" s="1099">
        <f>_xlfn.SUMIFS(Административные!AI$25:AI$84,Административные!$F$25:$F$84,$F54,Административные!$G$25:$G$84,$G54)</f>
        <v>0</v>
      </c>
      <c r="AK54" s="1100"/>
      <c r="AL54" s="1100"/>
      <c r="AM54" s="1100"/>
      <c r="AN54" s="1100"/>
      <c r="AO54" s="1100"/>
      <c r="AP54" s="1100"/>
      <c r="AQ54" s="1100"/>
      <c r="AR54" s="1100"/>
      <c r="AS54" s="1100"/>
      <c r="AT54" s="1099">
        <f>_xlfn.SUMIFS(Административные!AJ$25:AJ$84,Административные!$F$25:$F$84,$F54,Административные!$G$25:$G$84,$G54)</f>
        <v>0</v>
      </c>
      <c r="AU54" s="1100"/>
      <c r="AV54" s="1100"/>
      <c r="AW54" s="1100"/>
      <c r="AX54" s="1100"/>
      <c r="AY54" s="1100"/>
      <c r="AZ54" s="1100"/>
      <c r="BA54" s="1100"/>
      <c r="BB54" s="1100"/>
      <c r="BC54" s="1100"/>
      <c r="BD54" s="1099">
        <f>IF(AI54=0,0,(AT54-AI54)/AI54*100)</f>
        <v>0</v>
      </c>
      <c r="BE54" s="1100"/>
      <c r="BF54" s="1100"/>
      <c r="BG54" s="1100"/>
      <c r="BH54" s="1100"/>
      <c r="BI54" s="1100"/>
      <c r="BJ54" s="1100"/>
      <c r="BK54" s="1100"/>
      <c r="BL54" s="1100"/>
      <c r="BM54" s="1100"/>
      <c r="BN54" s="1265"/>
      <c r="BO54" s="1269" t="str">
        <f>IF(_xlfn.IFERROR(INDEX(Административные!$K$26:$L$84,MATCH($F54&amp;"17komm",Административные!$K$26:$K$84,0),2),"")=0,"",_xlfn.IFERROR(INDEX(Административные!$K$26:$L$84,MATCH($F54&amp;"17komm",Административные!$K$26:$K$84,0),2),""))</f>
        <v/>
      </c>
      <c r="BP54" s="1265"/>
      <c r="BQ54" s="960"/>
      <c r="BR54" s="960"/>
      <c r="BS54" s="1046" t="s">
        <v>1081</v>
      </c>
      <c r="BT54" s="1048"/>
      <c r="BU54" s="1048"/>
      <c r="BV54" s="962"/>
      <c r="BW54" s="962"/>
    </row>
    <row customHeight="1" ht="14.625" hidden="1">
      <c r="A55" s="960"/>
      <c r="B55" s="961"/>
      <c r="C55" s="73"/>
      <c r="D55" s="73"/>
      <c r="E55" s="600">
        <v>15</v>
      </c>
      <c r="F55" s="50" cm="1" t="str">
        <f t="array" ref="F55:F55">OFFSET(E55,-1,1)</f>
        <v>0</v>
      </c>
      <c r="G55" s="73" t="s">
        <v>1082</v>
      </c>
      <c r="H55" s="839"/>
      <c r="I55" s="839" t="s">
        <v>1849</v>
      </c>
      <c r="J55" s="73"/>
      <c r="K55" s="345" t="s">
        <v>1849</v>
      </c>
      <c r="L55" s="963"/>
      <c r="M55" s="73"/>
      <c r="N55" s="73"/>
      <c r="O55" s="73"/>
      <c r="P55" s="73"/>
      <c r="Q55" s="73"/>
      <c r="R55" s="73"/>
      <c r="S55" s="73"/>
      <c r="T55" s="439" cm="1" t="str">
        <f t="array" ref="T55:T55">T54</f>
        <v>false</v>
      </c>
      <c r="U55" s="73"/>
      <c r="V55" s="73"/>
      <c r="W55" s="73"/>
      <c r="X55" s="1534"/>
      <c r="Y55" s="960"/>
      <c r="Z55" s="1465"/>
      <c r="AA55" s="960"/>
      <c r="AB55" s="267" t="s">
        <v>1850</v>
      </c>
      <c r="AC55" s="749" t="s">
        <v>1083</v>
      </c>
      <c r="AD55" s="267" t="s">
        <v>784</v>
      </c>
      <c r="AE55" s="1099">
        <f>_xlfn.SUMIFS(Административные!AE$25:AE$84,Административные!$F$25:$F$84,$F55,Административные!$G$25:$G$84,$G55)</f>
        <v>0</v>
      </c>
      <c r="AF55" s="1099">
        <f>_xlfn.SUMIFS(Административные!AF$25:AF$84,Административные!$F$25:$F$84,$F55,Административные!$G$25:$G$84,$G55)</f>
        <v>0</v>
      </c>
      <c r="AG55" s="1099">
        <f>_xlfn.SUMIFS(Административные!AG$25:AG$84,Административные!$F$25:$F$84,$F55,Административные!$G$25:$G$84,$G55)</f>
        <v>0</v>
      </c>
      <c r="AH55" s="1099">
        <f>AG55-AF55</f>
        <v>0</v>
      </c>
      <c r="AI55" s="1099">
        <f>_xlfn.SUMIFS(Административные!AH$25:AH$84,Административные!$F$25:$F$84,$F55,Административные!$G$25:$G$84,$G55)</f>
        <v>0</v>
      </c>
      <c r="AJ55" s="1099">
        <f>_xlfn.SUMIFS(Административные!AI$25:AI$84,Административные!$F$25:$F$84,$F55,Административные!$G$25:$G$84,$G55)</f>
        <v>0</v>
      </c>
      <c r="AK55" s="1100"/>
      <c r="AL55" s="1100"/>
      <c r="AM55" s="1100"/>
      <c r="AN55" s="1100"/>
      <c r="AO55" s="1100"/>
      <c r="AP55" s="1100"/>
      <c r="AQ55" s="1100"/>
      <c r="AR55" s="1100"/>
      <c r="AS55" s="1100"/>
      <c r="AT55" s="1099">
        <f>_xlfn.SUMIFS(Административные!AJ$25:AJ$84,Административные!$F$25:$F$84,$F55,Административные!$G$25:$G$84,$G55)</f>
        <v>0</v>
      </c>
      <c r="AU55" s="1100"/>
      <c r="AV55" s="1100"/>
      <c r="AW55" s="1100"/>
      <c r="AX55" s="1100"/>
      <c r="AY55" s="1100"/>
      <c r="AZ55" s="1100"/>
      <c r="BA55" s="1100"/>
      <c r="BB55" s="1100"/>
      <c r="BC55" s="1100"/>
      <c r="BD55" s="1099">
        <f>IF(AI55=0,0,(AT55-AI55)/AI55*100)</f>
        <v>0</v>
      </c>
      <c r="BE55" s="1100"/>
      <c r="BF55" s="1100"/>
      <c r="BG55" s="1100"/>
      <c r="BH55" s="1100"/>
      <c r="BI55" s="1100"/>
      <c r="BJ55" s="1100"/>
      <c r="BK55" s="1100"/>
      <c r="BL55" s="1100"/>
      <c r="BM55" s="1100"/>
      <c r="BN55" s="1265"/>
      <c r="BO55" s="1269" t="str">
        <f>IF(_xlfn.IFERROR(INDEX(Административные!$K$26:$L$84,MATCH($F55&amp;"18komm",Административные!$K$26:$K$84,0),2),"")=0,"",_xlfn.IFERROR(INDEX(Административные!$K$26:$L$84,MATCH($F55&amp;"18komm",Административные!$K$26:$K$84,0),2),""))</f>
        <v/>
      </c>
      <c r="BP55" s="1265"/>
      <c r="BQ55" s="960"/>
      <c r="BR55" s="960"/>
      <c r="BS55" s="1048" t="s">
        <v>1084</v>
      </c>
      <c r="BT55" s="1048"/>
      <c r="BU55" s="1048"/>
      <c r="BV55" s="962"/>
      <c r="BW55" s="962"/>
    </row>
    <row customHeight="1" ht="14.625" hidden="1">
      <c r="A56" s="960"/>
      <c r="B56" s="961"/>
      <c r="C56" s="73"/>
      <c r="D56" s="73"/>
      <c r="E56" s="600">
        <v>15</v>
      </c>
      <c r="F56" s="50" cm="1" t="str">
        <f t="array" ref="F56:F56">OFFSET(E56,-1,1)</f>
        <v>0</v>
      </c>
      <c r="G56" s="73" t="s">
        <v>1085</v>
      </c>
      <c r="H56" s="839"/>
      <c r="I56" s="839" t="s">
        <v>1851</v>
      </c>
      <c r="J56" s="73"/>
      <c r="K56" s="345" t="s">
        <v>1851</v>
      </c>
      <c r="L56" s="963"/>
      <c r="M56" s="73"/>
      <c r="N56" s="73"/>
      <c r="O56" s="73"/>
      <c r="P56" s="73"/>
      <c r="Q56" s="73"/>
      <c r="R56" s="73"/>
      <c r="S56" s="73"/>
      <c r="T56" s="439" cm="1" t="str">
        <f t="array" ref="T56:T56">T55</f>
        <v>false</v>
      </c>
      <c r="U56" s="73"/>
      <c r="V56" s="73"/>
      <c r="W56" s="73"/>
      <c r="X56" s="1534"/>
      <c r="Y56" s="960"/>
      <c r="Z56" s="1465"/>
      <c r="AA56" s="960"/>
      <c r="AB56" s="267" t="s">
        <v>1852</v>
      </c>
      <c r="AC56" s="749" t="s">
        <v>1086</v>
      </c>
      <c r="AD56" s="267" t="s">
        <v>784</v>
      </c>
      <c r="AE56" s="1099">
        <f>_xlfn.SUMIFS(Административные!AE$25:AE$84,Административные!$F$25:$F$84,$F56,Административные!$G$25:$G$84,$G56)</f>
        <v>0</v>
      </c>
      <c r="AF56" s="1099">
        <f>_xlfn.SUMIFS(Административные!AF$25:AF$84,Административные!$F$25:$F$84,$F56,Административные!$G$25:$G$84,$G56)</f>
        <v>0</v>
      </c>
      <c r="AG56" s="1099">
        <f>_xlfn.SUMIFS(Административные!AG$25:AG$84,Административные!$F$25:$F$84,$F56,Административные!$G$25:$G$84,$G56)</f>
        <v>0</v>
      </c>
      <c r="AH56" s="1099">
        <f>AG56-AF56</f>
        <v>0</v>
      </c>
      <c r="AI56" s="1099">
        <f>_xlfn.SUMIFS(Административные!AH$25:AH$84,Административные!$F$25:$F$84,$F56,Административные!$G$25:$G$84,$G56)</f>
        <v>0</v>
      </c>
      <c r="AJ56" s="1099">
        <f>_xlfn.SUMIFS(Административные!AI$25:AI$84,Административные!$F$25:$F$84,$F56,Административные!$G$25:$G$84,$G56)</f>
        <v>0</v>
      </c>
      <c r="AK56" s="1100"/>
      <c r="AL56" s="1100"/>
      <c r="AM56" s="1100"/>
      <c r="AN56" s="1100"/>
      <c r="AO56" s="1100"/>
      <c r="AP56" s="1100"/>
      <c r="AQ56" s="1100"/>
      <c r="AR56" s="1100"/>
      <c r="AS56" s="1100"/>
      <c r="AT56" s="1099">
        <f>_xlfn.SUMIFS(Административные!AJ$25:AJ$84,Административные!$F$25:$F$84,$F56,Административные!$G$25:$G$84,$G56)</f>
        <v>0</v>
      </c>
      <c r="AU56" s="1100"/>
      <c r="AV56" s="1100"/>
      <c r="AW56" s="1100"/>
      <c r="AX56" s="1100"/>
      <c r="AY56" s="1100"/>
      <c r="AZ56" s="1100"/>
      <c r="BA56" s="1100"/>
      <c r="BB56" s="1100"/>
      <c r="BC56" s="1100"/>
      <c r="BD56" s="1099">
        <f>IF(AI56=0,0,(AT56-AI56)/AI56*100)</f>
        <v>0</v>
      </c>
      <c r="BE56" s="1100"/>
      <c r="BF56" s="1100"/>
      <c r="BG56" s="1100"/>
      <c r="BH56" s="1100"/>
      <c r="BI56" s="1100"/>
      <c r="BJ56" s="1100"/>
      <c r="BK56" s="1100"/>
      <c r="BL56" s="1100"/>
      <c r="BM56" s="1100"/>
      <c r="BN56" s="1265"/>
      <c r="BO56" s="1269" t="str">
        <f>IF(_xlfn.IFERROR(INDEX(Административные!$K$26:$L$84,MATCH($F56&amp;"11komm",Административные!$K$26:$K$84,0),2),"")=0,"",_xlfn.IFERROR(INDEX(Административные!$K$26:$L$84,MATCH($F56&amp;"11komm",Административные!$K$26:$K$84,0),2),""))</f>
        <v/>
      </c>
      <c r="BP56" s="1265"/>
      <c r="BQ56" s="960"/>
      <c r="BR56" s="960"/>
      <c r="BS56" s="1048" t="s">
        <v>1087</v>
      </c>
      <c r="BT56" s="1048"/>
      <c r="BU56" s="1048"/>
      <c r="BV56" s="962"/>
      <c r="BW56" s="962"/>
    </row>
    <row customHeight="1" ht="14.625" hidden="1">
      <c r="A57" s="960"/>
      <c r="B57" s="961"/>
      <c r="C57" s="73"/>
      <c r="D57" s="73"/>
      <c r="E57" s="600">
        <v>15</v>
      </c>
      <c r="F57" s="50" cm="1" t="str">
        <f t="array" ref="F57:F57">OFFSET(E57,-1,1)</f>
        <v>0</v>
      </c>
      <c r="G57" s="73" t="s">
        <v>1088</v>
      </c>
      <c r="H57" s="839"/>
      <c r="I57" s="839" t="s">
        <v>1853</v>
      </c>
      <c r="J57" s="73"/>
      <c r="K57" s="345" t="s">
        <v>1853</v>
      </c>
      <c r="L57" s="963"/>
      <c r="M57" s="73"/>
      <c r="N57" s="73"/>
      <c r="O57" s="73"/>
      <c r="P57" s="73"/>
      <c r="Q57" s="73"/>
      <c r="R57" s="73"/>
      <c r="S57" s="73"/>
      <c r="T57" s="439" cm="1" t="str">
        <f t="array" ref="T57:T57">T56</f>
        <v>false</v>
      </c>
      <c r="U57" s="73"/>
      <c r="V57" s="73"/>
      <c r="W57" s="73"/>
      <c r="X57" s="1534"/>
      <c r="Y57" s="960"/>
      <c r="Z57" s="1465"/>
      <c r="AA57" s="960"/>
      <c r="AB57" s="267" t="s">
        <v>1854</v>
      </c>
      <c r="AC57" s="749" t="s">
        <v>1089</v>
      </c>
      <c r="AD57" s="267" t="s">
        <v>784</v>
      </c>
      <c r="AE57" s="1099">
        <f>_xlfn.SUMIFS(Административные!AE$25:AE$84,Административные!$F$25:$F$84,$F57,Административные!$G$25:$G$84,$G57)</f>
        <v>0</v>
      </c>
      <c r="AF57" s="1099">
        <f>_xlfn.SUMIFS(Административные!AF$25:AF$84,Административные!$F$25:$F$84,$F57,Административные!$G$25:$G$84,$G57)</f>
        <v>0</v>
      </c>
      <c r="AG57" s="1099">
        <f>_xlfn.SUMIFS(Административные!AG$25:AG$84,Административные!$F$25:$F$84,$F57,Административные!$G$25:$G$84,$G57)</f>
        <v>0</v>
      </c>
      <c r="AH57" s="1099">
        <f>AG57-AF57</f>
        <v>0</v>
      </c>
      <c r="AI57" s="1099">
        <f>_xlfn.SUMIFS(Административные!AH$25:AH$84,Административные!$F$25:$F$84,$F57,Административные!$G$25:$G$84,$G57)</f>
        <v>0</v>
      </c>
      <c r="AJ57" s="1099">
        <f>_xlfn.SUMIFS(Административные!AI$25:AI$84,Административные!$F$25:$F$84,$F57,Административные!$G$25:$G$84,$G57)</f>
        <v>0</v>
      </c>
      <c r="AK57" s="1100"/>
      <c r="AL57" s="1100"/>
      <c r="AM57" s="1100"/>
      <c r="AN57" s="1100"/>
      <c r="AO57" s="1100"/>
      <c r="AP57" s="1100"/>
      <c r="AQ57" s="1100"/>
      <c r="AR57" s="1100"/>
      <c r="AS57" s="1100"/>
      <c r="AT57" s="1099">
        <f>_xlfn.SUMIFS(Административные!AJ$25:AJ$84,Административные!$F$25:$F$84,$F57,Административные!$G$25:$G$84,$G57)</f>
        <v>0</v>
      </c>
      <c r="AU57" s="1100"/>
      <c r="AV57" s="1100"/>
      <c r="AW57" s="1100"/>
      <c r="AX57" s="1100"/>
      <c r="AY57" s="1100"/>
      <c r="AZ57" s="1100"/>
      <c r="BA57" s="1100"/>
      <c r="BB57" s="1100"/>
      <c r="BC57" s="1100"/>
      <c r="BD57" s="1099">
        <f>IF(AI57=0,0,(AT57-AI57)/AI57*100)</f>
        <v>0</v>
      </c>
      <c r="BE57" s="1100"/>
      <c r="BF57" s="1100"/>
      <c r="BG57" s="1100"/>
      <c r="BH57" s="1100"/>
      <c r="BI57" s="1100"/>
      <c r="BJ57" s="1100"/>
      <c r="BK57" s="1100"/>
      <c r="BL57" s="1100"/>
      <c r="BM57" s="1100"/>
      <c r="BN57" s="1265"/>
      <c r="BO57" s="1269" t="str">
        <f>IF(_xlfn.IFERROR(INDEX(Административные!$K$26:$L$84,MATCH($F57&amp;"12komm",Административные!$K$26:$K$84,0),2),"")=0,"",_xlfn.IFERROR(INDEX(Административные!$K$26:$L$84,MATCH($F57&amp;"12komm",Административные!$K$26:$K$84,0),2),""))</f>
        <v/>
      </c>
      <c r="BP57" s="1265"/>
      <c r="BQ57" s="960"/>
      <c r="BR57" s="960"/>
      <c r="BS57" s="1048" t="s">
        <v>1090</v>
      </c>
      <c r="BT57" s="1048"/>
      <c r="BU57" s="1048"/>
      <c r="BV57" s="962"/>
      <c r="BW57" s="962"/>
    </row>
    <row customHeight="1" ht="14.625" hidden="1">
      <c r="A58" s="960"/>
      <c r="B58" s="961"/>
      <c r="C58" s="73"/>
      <c r="D58" s="73"/>
      <c r="E58" s="600">
        <v>15</v>
      </c>
      <c r="F58" s="50" cm="1" t="str">
        <f t="array" ref="F58:F58">OFFSET(E58,-1,1)</f>
        <v>0</v>
      </c>
      <c r="G58" s="73" t="s">
        <v>1091</v>
      </c>
      <c r="H58" s="839"/>
      <c r="I58" s="839" t="s">
        <v>1855</v>
      </c>
      <c r="J58" s="73"/>
      <c r="K58" s="345" t="s">
        <v>1855</v>
      </c>
      <c r="L58" s="963"/>
      <c r="M58" s="73"/>
      <c r="N58" s="73"/>
      <c r="O58" s="73"/>
      <c r="P58" s="73"/>
      <c r="Q58" s="73"/>
      <c r="R58" s="73"/>
      <c r="S58" s="73"/>
      <c r="T58" s="439" cm="1" t="str">
        <f t="array" ref="T58:T58">T57</f>
        <v>false</v>
      </c>
      <c r="U58" s="73"/>
      <c r="V58" s="73"/>
      <c r="W58" s="73"/>
      <c r="X58" s="1534"/>
      <c r="Y58" s="960"/>
      <c r="Z58" s="1465"/>
      <c r="AA58" s="960"/>
      <c r="AB58" s="267" t="s">
        <v>1856</v>
      </c>
      <c r="AC58" s="749" t="s">
        <v>1092</v>
      </c>
      <c r="AD58" s="267" t="s">
        <v>784</v>
      </c>
      <c r="AE58" s="1099">
        <f>_xlfn.SUMIFS(Административные!AE$25:AE$84,Административные!$F$25:$F$84,$F58,Административные!$G$25:$G$84,$G58)</f>
        <v>0</v>
      </c>
      <c r="AF58" s="1099">
        <f>_xlfn.SUMIFS(Административные!AF$25:AF$84,Административные!$F$25:$F$84,$F58,Административные!$G$25:$G$84,$G58)</f>
        <v>0</v>
      </c>
      <c r="AG58" s="1099">
        <f>_xlfn.SUMIFS(Административные!AG$25:AG$84,Административные!$F$25:$F$84,$F58,Административные!$G$25:$G$84,$G58)</f>
        <v>0</v>
      </c>
      <c r="AH58" s="1099">
        <f>AG58-AF58</f>
        <v>0</v>
      </c>
      <c r="AI58" s="1099">
        <f>_xlfn.SUMIFS(Административные!AH$25:AH$84,Административные!$F$25:$F$84,$F58,Административные!$G$25:$G$84,$G58)</f>
        <v>0</v>
      </c>
      <c r="AJ58" s="1099">
        <f>_xlfn.SUMIFS(Административные!AI$25:AI$84,Административные!$F$25:$F$84,$F58,Административные!$G$25:$G$84,$G58)</f>
        <v>0</v>
      </c>
      <c r="AK58" s="1100"/>
      <c r="AL58" s="1100"/>
      <c r="AM58" s="1100"/>
      <c r="AN58" s="1100"/>
      <c r="AO58" s="1100"/>
      <c r="AP58" s="1100"/>
      <c r="AQ58" s="1100"/>
      <c r="AR58" s="1100"/>
      <c r="AS58" s="1100"/>
      <c r="AT58" s="1099">
        <f>_xlfn.SUMIFS(Административные!AJ$25:AJ$84,Административные!$F$25:$F$84,$F58,Административные!$G$25:$G$84,$G58)</f>
        <v>0</v>
      </c>
      <c r="AU58" s="1100"/>
      <c r="AV58" s="1100"/>
      <c r="AW58" s="1100"/>
      <c r="AX58" s="1100"/>
      <c r="AY58" s="1100"/>
      <c r="AZ58" s="1100"/>
      <c r="BA58" s="1100"/>
      <c r="BB58" s="1100"/>
      <c r="BC58" s="1100"/>
      <c r="BD58" s="1099">
        <f>IF(AI58=0,0,(AT58-AI58)/AI58*100)</f>
        <v>0</v>
      </c>
      <c r="BE58" s="1100"/>
      <c r="BF58" s="1100"/>
      <c r="BG58" s="1100"/>
      <c r="BH58" s="1100"/>
      <c r="BI58" s="1100"/>
      <c r="BJ58" s="1100"/>
      <c r="BK58" s="1100"/>
      <c r="BL58" s="1100"/>
      <c r="BM58" s="1100"/>
      <c r="BN58" s="1265"/>
      <c r="BO58" s="1269" t="str">
        <f>IF(_xlfn.IFERROR(INDEX(Административные!$K$26:$L$84,MATCH($F58&amp;"13komm",Административные!$K$26:$K$84,0),2),"")=0,"",_xlfn.IFERROR(INDEX(Административные!$K$26:$L$84,MATCH($F58&amp;"13komm",Административные!$K$26:$K$84,0),2),""))</f>
        <v/>
      </c>
      <c r="BP58" s="1265"/>
      <c r="BQ58" s="960"/>
      <c r="BR58" s="960"/>
      <c r="BS58" s="1048" t="s">
        <v>1093</v>
      </c>
      <c r="BT58" s="1048"/>
      <c r="BU58" s="1048"/>
      <c r="BV58" s="962"/>
      <c r="BW58" s="962"/>
    </row>
    <row customHeight="1" ht="14.625" hidden="1">
      <c r="A59" s="960"/>
      <c r="B59" s="961"/>
      <c r="C59" s="73"/>
      <c r="D59" s="73"/>
      <c r="E59" s="600">
        <v>15</v>
      </c>
      <c r="F59" s="50" cm="1" t="str">
        <f t="array" ref="F59:F59">OFFSET(E59,-1,1)</f>
        <v>0</v>
      </c>
      <c r="G59" s="73" t="s">
        <v>1094</v>
      </c>
      <c r="H59" s="839"/>
      <c r="I59" s="839" t="s">
        <v>1857</v>
      </c>
      <c r="J59" s="73"/>
      <c r="K59" s="345" t="s">
        <v>1857</v>
      </c>
      <c r="L59" s="963"/>
      <c r="M59" s="73"/>
      <c r="N59" s="73"/>
      <c r="O59" s="73"/>
      <c r="P59" s="73"/>
      <c r="Q59" s="73"/>
      <c r="R59" s="73"/>
      <c r="S59" s="73"/>
      <c r="T59" s="439" cm="1" t="str">
        <f t="array" ref="T59:T59">T58</f>
        <v>false</v>
      </c>
      <c r="U59" s="73"/>
      <c r="V59" s="73"/>
      <c r="W59" s="73"/>
      <c r="X59" s="1534"/>
      <c r="Y59" s="960"/>
      <c r="Z59" s="1465"/>
      <c r="AA59" s="960"/>
      <c r="AB59" s="267" t="s">
        <v>1858</v>
      </c>
      <c r="AC59" s="749" t="s">
        <v>1095</v>
      </c>
      <c r="AD59" s="267" t="s">
        <v>784</v>
      </c>
      <c r="AE59" s="768">
        <f>_xlfn.SUMIFS(Административные!AE$25:AE$84,Административные!$F$25:$F$84,$F59,Административные!$G$25:$G$84,$G59)</f>
        <v>0</v>
      </c>
      <c r="AF59" s="768">
        <f>_xlfn.SUMIFS(Административные!AF$25:AF$84,Административные!$F$25:$F$84,$F59,Административные!$G$25:$G$84,$G59)</f>
        <v>0</v>
      </c>
      <c r="AG59" s="768">
        <f>_xlfn.SUMIFS(Административные!AG$25:AG$84,Административные!$F$25:$F$84,$F59,Административные!$G$25:$G$84,$G59)</f>
        <v>0</v>
      </c>
      <c r="AH59" s="748">
        <f>AG59-AF59</f>
        <v>0</v>
      </c>
      <c r="AI59" s="768">
        <f>_xlfn.SUMIFS(Административные!AH$25:AH$84,Административные!$F$25:$F$84,$F59,Административные!$G$25:$G$84,$G59)</f>
        <v>0</v>
      </c>
      <c r="AJ59" s="768">
        <f>_xlfn.SUMIFS(Административные!AI$25:AI$84,Административные!$F$25:$F$84,$F59,Административные!$G$25:$G$84,$G59)</f>
        <v>0</v>
      </c>
      <c r="AK59" s="744"/>
      <c r="AL59" s="744"/>
      <c r="AM59" s="744"/>
      <c r="AN59" s="744"/>
      <c r="AO59" s="744"/>
      <c r="AP59" s="744"/>
      <c r="AQ59" s="744"/>
      <c r="AR59" s="744"/>
      <c r="AS59" s="744"/>
      <c r="AT59" s="768">
        <f>_xlfn.SUMIFS(Административные!AJ$25:AJ$84,Административные!$F$25:$F$84,$F59,Административные!$G$25:$G$84,$G59)</f>
        <v>0</v>
      </c>
      <c r="AU59" s="1100"/>
      <c r="AV59" s="1100"/>
      <c r="AW59" s="1100"/>
      <c r="AX59" s="1100"/>
      <c r="AY59" s="1100"/>
      <c r="AZ59" s="1100"/>
      <c r="BA59" s="1100"/>
      <c r="BB59" s="1100"/>
      <c r="BC59" s="1100"/>
      <c r="BD59" s="1099">
        <f>IF(AI59=0,0,(AT59-AI59)/AI59*100)</f>
        <v>0</v>
      </c>
      <c r="BE59" s="1100"/>
      <c r="BF59" s="1100"/>
      <c r="BG59" s="1100"/>
      <c r="BH59" s="1100"/>
      <c r="BI59" s="1100"/>
      <c r="BJ59" s="1100"/>
      <c r="BK59" s="1100"/>
      <c r="BL59" s="1100"/>
      <c r="BM59" s="1100"/>
      <c r="BN59" s="1265"/>
      <c r="BO59" s="1269" t="str">
        <f>IF(_xlfn.IFERROR(INDEX(Административные!$K$26:$L$84,MATCH($F59&amp;"14komm",Административные!$K$26:$K$84,0),2),"")=0,"",_xlfn.IFERROR(INDEX(Административные!$K$26:$L$84,MATCH($F59&amp;"14komm",Административные!$K$26:$K$84,0),2),""))</f>
        <v/>
      </c>
      <c r="BP59" s="1265"/>
      <c r="BQ59" s="960"/>
      <c r="BR59" s="960"/>
      <c r="BS59" s="1048" t="s">
        <v>1859</v>
      </c>
      <c r="BT59" s="1048"/>
      <c r="BU59" s="1048"/>
      <c r="BV59" s="962"/>
      <c r="BW59" s="962"/>
    </row>
    <row customHeight="1" ht="14.625" hidden="1">
      <c r="A60" s="960"/>
      <c r="B60" s="961"/>
      <c r="C60" s="73"/>
      <c r="D60" s="73"/>
      <c r="E60" s="600">
        <v>15</v>
      </c>
      <c r="F60" s="50" cm="1" t="str">
        <f t="array" ref="F60:F60">OFFSET(E60,-1,1)</f>
        <v>0</v>
      </c>
      <c r="G60" s="73" t="s">
        <v>1097</v>
      </c>
      <c r="H60" s="839"/>
      <c r="I60" s="839" t="s">
        <v>1860</v>
      </c>
      <c r="J60" s="73"/>
      <c r="K60" s="345" t="s">
        <v>1860</v>
      </c>
      <c r="L60" s="963"/>
      <c r="M60" s="73"/>
      <c r="N60" s="73"/>
      <c r="O60" s="73"/>
      <c r="P60" s="73"/>
      <c r="Q60" s="73"/>
      <c r="R60" s="73"/>
      <c r="S60" s="73"/>
      <c r="T60" s="439" cm="1" t="str">
        <f t="array" ref="T60:T60">T59</f>
        <v>false</v>
      </c>
      <c r="U60" s="73"/>
      <c r="V60" s="73"/>
      <c r="W60" s="73"/>
      <c r="X60" s="1534"/>
      <c r="Y60" s="960"/>
      <c r="Z60" s="1465"/>
      <c r="AA60" s="960"/>
      <c r="AB60" s="267" t="s">
        <v>1861</v>
      </c>
      <c r="AC60" s="749" t="s">
        <v>1100</v>
      </c>
      <c r="AD60" s="267" t="s">
        <v>784</v>
      </c>
      <c r="AE60" s="1099">
        <f>_xlfn.SUMIFS(Административные!AE$25:AE$84,Административные!$F$25:$F$84,$F60,Административные!$G$25:$G$84,$G60)</f>
        <v>0</v>
      </c>
      <c r="AF60" s="1099">
        <f>_xlfn.SUMIFS(Административные!AF$25:AF$84,Административные!$F$25:$F$84,$F60,Административные!$G$25:$G$84,$G60)</f>
        <v>0</v>
      </c>
      <c r="AG60" s="1099">
        <f>_xlfn.SUMIFS(Административные!AG$25:AG$84,Административные!$F$25:$F$84,$F60,Административные!$G$25:$G$84,$G60)</f>
        <v>0</v>
      </c>
      <c r="AH60" s="1099">
        <f>AG60-AF60</f>
        <v>0</v>
      </c>
      <c r="AI60" s="1099">
        <f>_xlfn.SUMIFS(Административные!AH$25:AH$84,Административные!$F$25:$F$84,$F60,Административные!$G$25:$G$84,$G60)</f>
        <v>0</v>
      </c>
      <c r="AJ60" s="1099">
        <f>_xlfn.SUMIFS(Административные!AI$25:AI$84,Административные!$F$25:$F$84,$F60,Административные!$G$25:$G$84,$G60)</f>
        <v>0</v>
      </c>
      <c r="AK60" s="1100"/>
      <c r="AL60" s="1100"/>
      <c r="AM60" s="1100"/>
      <c r="AN60" s="1100"/>
      <c r="AO60" s="1100"/>
      <c r="AP60" s="1100"/>
      <c r="AQ60" s="1100"/>
      <c r="AR60" s="1100"/>
      <c r="AS60" s="1100"/>
      <c r="AT60" s="1099">
        <f>_xlfn.SUMIFS(Административные!AJ$25:AJ$84,Административные!$F$25:$F$84,$F60,Административные!$G$25:$G$84,$G60)</f>
        <v>0</v>
      </c>
      <c r="AU60" s="1100"/>
      <c r="AV60" s="1100"/>
      <c r="AW60" s="1100"/>
      <c r="AX60" s="1100"/>
      <c r="AY60" s="1100"/>
      <c r="AZ60" s="1100"/>
      <c r="BA60" s="1100"/>
      <c r="BB60" s="1100"/>
      <c r="BC60" s="1100"/>
      <c r="BD60" s="1099">
        <f>IF(AI60=0,0,(AT60-AI60)/AI60*100)</f>
        <v>0</v>
      </c>
      <c r="BE60" s="1100"/>
      <c r="BF60" s="1100"/>
      <c r="BG60" s="1100"/>
      <c r="BH60" s="1100"/>
      <c r="BI60" s="1100"/>
      <c r="BJ60" s="1100"/>
      <c r="BK60" s="1100"/>
      <c r="BL60" s="1100"/>
      <c r="BM60" s="1100"/>
      <c r="BN60" s="1265"/>
      <c r="BO60" s="1269" t="str">
        <f>IF(_xlfn.IFERROR(INDEX(Административные!$K$26:$L$84,MATCH($F60&amp;"15komm",Административные!$K$26:$K$84,0),2),"")=0,"",_xlfn.IFERROR(INDEX(Административные!$K$26:$L$84,MATCH($F60&amp;"15komm",Административные!$K$26:$K$84,0),2),""))</f>
        <v/>
      </c>
      <c r="BP60" s="1265"/>
      <c r="BQ60" s="960"/>
      <c r="BR60" s="960"/>
      <c r="BS60" s="1048" t="s">
        <v>1101</v>
      </c>
      <c r="BT60" s="1048"/>
      <c r="BU60" s="1048"/>
      <c r="BV60" s="962"/>
      <c r="BW60" s="962"/>
    </row>
    <row customHeight="1" ht="14.625" hidden="1">
      <c r="A61" s="960"/>
      <c r="B61" s="961"/>
      <c r="C61" s="73"/>
      <c r="D61" s="73"/>
      <c r="E61" s="600">
        <v>15</v>
      </c>
      <c r="F61" s="50" cm="1" t="str">
        <f t="array" ref="F61:F61">OFFSET(E61,-1,1)</f>
        <v>0</v>
      </c>
      <c r="G61" s="73" t="s">
        <v>1102</v>
      </c>
      <c r="H61" s="839"/>
      <c r="I61" s="839" t="s">
        <v>1862</v>
      </c>
      <c r="J61" s="73"/>
      <c r="K61" s="345" t="s">
        <v>1862</v>
      </c>
      <c r="L61" s="963"/>
      <c r="M61" s="73"/>
      <c r="N61" s="73"/>
      <c r="O61" s="73"/>
      <c r="P61" s="73"/>
      <c r="Q61" s="73"/>
      <c r="R61" s="73"/>
      <c r="S61" s="73"/>
      <c r="T61" s="439" cm="1" t="str">
        <f t="array" ref="T61:T61">T60</f>
        <v>false</v>
      </c>
      <c r="U61" s="73"/>
      <c r="V61" s="73"/>
      <c r="W61" s="73"/>
      <c r="X61" s="1534"/>
      <c r="Y61" s="960"/>
      <c r="Z61" s="1465"/>
      <c r="AA61" s="960"/>
      <c r="AB61" s="267" t="s">
        <v>1863</v>
      </c>
      <c r="AC61" s="749" t="s">
        <v>1105</v>
      </c>
      <c r="AD61" s="267" t="s">
        <v>784</v>
      </c>
      <c r="AE61" s="1099">
        <f>_xlfn.SUMIFS(Административные!AE$25:AE$84,Административные!$F$25:$F$84,$F61,Административные!$G$25:$G$84,$G61)</f>
        <v>0</v>
      </c>
      <c r="AF61" s="1099">
        <f>_xlfn.SUMIFS(Административные!AF$25:AF$84,Административные!$F$25:$F$84,$F61,Административные!$G$25:$G$84,$G61)</f>
        <v>0</v>
      </c>
      <c r="AG61" s="1099">
        <f>_xlfn.SUMIFS(Административные!AG$25:AG$84,Административные!$F$25:$F$84,$F61,Административные!$G$25:$G$84,$G61)</f>
        <v>0</v>
      </c>
      <c r="AH61" s="1099">
        <f>AG61-AF61</f>
        <v>0</v>
      </c>
      <c r="AI61" s="1099">
        <f>_xlfn.SUMIFS(Административные!AH$25:AH$84,Административные!$F$25:$F$84,$F61,Административные!$G$25:$G$84,$G61)</f>
        <v>0</v>
      </c>
      <c r="AJ61" s="1099">
        <f>_xlfn.SUMIFS(Административные!AI$25:AI$84,Административные!$F$25:$F$84,$F61,Административные!$G$25:$G$84,$G61)</f>
        <v>0</v>
      </c>
      <c r="AK61" s="1100"/>
      <c r="AL61" s="1100"/>
      <c r="AM61" s="1100"/>
      <c r="AN61" s="1100"/>
      <c r="AO61" s="1100"/>
      <c r="AP61" s="1100"/>
      <c r="AQ61" s="1100"/>
      <c r="AR61" s="1100"/>
      <c r="AS61" s="1100"/>
      <c r="AT61" s="1099">
        <f>_xlfn.SUMIFS(Административные!AJ$25:AJ$84,Административные!$F$25:$F$84,$F61,Административные!$G$25:$G$84,$G61)</f>
        <v>0</v>
      </c>
      <c r="AU61" s="1100"/>
      <c r="AV61" s="1100"/>
      <c r="AW61" s="1100"/>
      <c r="AX61" s="1100"/>
      <c r="AY61" s="1100"/>
      <c r="AZ61" s="1100"/>
      <c r="BA61" s="1100"/>
      <c r="BB61" s="1100"/>
      <c r="BC61" s="1100"/>
      <c r="BD61" s="1099">
        <f>IF(AI61=0,0,(AT61-AI61)/AI61*100)</f>
        <v>0</v>
      </c>
      <c r="BE61" s="1100"/>
      <c r="BF61" s="1100"/>
      <c r="BG61" s="1100"/>
      <c r="BH61" s="1100"/>
      <c r="BI61" s="1100"/>
      <c r="BJ61" s="1100"/>
      <c r="BK61" s="1100"/>
      <c r="BL61" s="1100"/>
      <c r="BM61" s="1100"/>
      <c r="BN61" s="1265"/>
      <c r="BO61" s="1269" t="str">
        <f>IF(_xlfn.IFERROR(INDEX(Административные!$K$26:$L$84,MATCH($F61&amp;"16komm",Административные!$K$26:$K$84,0),2),"")=0,"",_xlfn.IFERROR(INDEX(Административные!$K$26:$L$84,MATCH($F61&amp;"16komm",Административные!$K$26:$K$84,0),2),""))</f>
        <v/>
      </c>
      <c r="BP61" s="1265"/>
      <c r="BQ61" s="960"/>
      <c r="BR61" s="960"/>
      <c r="BS61" s="1048" t="s">
        <v>1864</v>
      </c>
      <c r="BT61" s="1048"/>
      <c r="BU61" s="1048"/>
      <c r="BV61" s="962"/>
      <c r="BW61" s="962"/>
    </row>
    <row customHeight="1" ht="21.9375" hidden="1">
      <c r="A62" s="960"/>
      <c r="B62" s="961"/>
      <c r="C62" s="73"/>
      <c r="D62" s="73"/>
      <c r="E62" s="600">
        <v>22.5</v>
      </c>
      <c r="F62" s="50" cm="1" t="str">
        <f t="array" ref="F62:F62">OFFSET(E62,-1,1)</f>
        <v>0</v>
      </c>
      <c r="G62" s="73"/>
      <c r="H62" s="839"/>
      <c r="I62" s="839" t="s">
        <v>1247</v>
      </c>
      <c r="J62" s="73"/>
      <c r="K62" s="345" t="s">
        <v>1247</v>
      </c>
      <c r="L62" s="963" t="s">
        <v>877</v>
      </c>
      <c r="M62" s="73"/>
      <c r="N62" s="73"/>
      <c r="O62" s="73"/>
      <c r="P62" s="73"/>
      <c r="Q62" s="73"/>
      <c r="R62" s="73"/>
      <c r="S62" s="73"/>
      <c r="T62" s="439" cm="1" t="str">
        <f t="array" ref="T62:T62">T61</f>
        <v>false</v>
      </c>
      <c r="U62" s="73"/>
      <c r="V62" s="73"/>
      <c r="W62" s="73"/>
      <c r="X62" s="1534"/>
      <c r="Y62" s="960"/>
      <c r="Z62" s="1465"/>
      <c r="AA62" s="960"/>
      <c r="AB62" s="267" t="s">
        <v>974</v>
      </c>
      <c r="AC62" s="746" t="s">
        <v>1865</v>
      </c>
      <c r="AD62" s="267" t="s">
        <v>784</v>
      </c>
      <c r="AE62" s="1101">
        <f>AE63+AE64</f>
        <v>0</v>
      </c>
      <c r="AF62" s="1101">
        <f>AF63+AF64</f>
        <v>0</v>
      </c>
      <c r="AG62" s="1101">
        <f>AG63+AG64</f>
        <v>0</v>
      </c>
      <c r="AH62" s="1099">
        <f>AG62-AF62</f>
        <v>0</v>
      </c>
      <c r="AI62" s="1101">
        <f>AI63+AI64</f>
        <v>0</v>
      </c>
      <c r="AJ62" s="1101">
        <f>AJ63+AJ64</f>
        <v>0</v>
      </c>
      <c r="AK62" s="1100"/>
      <c r="AL62" s="1100"/>
      <c r="AM62" s="1100"/>
      <c r="AN62" s="1100"/>
      <c r="AO62" s="1100"/>
      <c r="AP62" s="1100"/>
      <c r="AQ62" s="1100"/>
      <c r="AR62" s="1100"/>
      <c r="AS62" s="1100"/>
      <c r="AT62" s="1101">
        <f>AT63+AT64</f>
        <v>0</v>
      </c>
      <c r="AU62" s="1100"/>
      <c r="AV62" s="1100"/>
      <c r="AW62" s="1100"/>
      <c r="AX62" s="1100"/>
      <c r="AY62" s="1100"/>
      <c r="AZ62" s="1100"/>
      <c r="BA62" s="1100"/>
      <c r="BB62" s="1100"/>
      <c r="BC62" s="1100"/>
      <c r="BD62" s="1099">
        <f>IF(AI62=0,0,(AT62-AI62)/AI62*100)</f>
        <v>0</v>
      </c>
      <c r="BE62" s="1100"/>
      <c r="BF62" s="1100"/>
      <c r="BG62" s="1100"/>
      <c r="BH62" s="1100"/>
      <c r="BI62" s="1100"/>
      <c r="BJ62" s="1100"/>
      <c r="BK62" s="1100"/>
      <c r="BL62" s="1100"/>
      <c r="BM62" s="1100"/>
      <c r="BN62" s="1265"/>
      <c r="BO62" s="1265"/>
      <c r="BP62" s="1265"/>
      <c r="BQ62" s="960"/>
      <c r="BR62" s="960"/>
      <c r="BS62" s="1046" t="s">
        <v>1670</v>
      </c>
      <c r="BT62" s="1048"/>
      <c r="BU62" s="1048"/>
      <c r="BV62" s="962"/>
      <c r="BW62" s="962"/>
    </row>
    <row customHeight="1" ht="14.625" hidden="1">
      <c r="A63" s="960"/>
      <c r="B63" s="961"/>
      <c r="C63" s="73"/>
      <c r="D63" s="73"/>
      <c r="E63" s="600">
        <v>15</v>
      </c>
      <c r="F63" s="50" cm="1" t="str">
        <f t="array" ref="F63:F63">OFFSET(E63,-1,1)</f>
        <v>0</v>
      </c>
      <c r="G63" s="73" t="s">
        <v>1061</v>
      </c>
      <c r="H63" s="839"/>
      <c r="I63" s="839" t="s">
        <v>1866</v>
      </c>
      <c r="J63" s="73"/>
      <c r="K63" s="345" t="s">
        <v>1866</v>
      </c>
      <c r="L63" s="963" t="s">
        <v>477</v>
      </c>
      <c r="M63" s="73"/>
      <c r="N63" s="73"/>
      <c r="O63" s="73"/>
      <c r="P63" s="73"/>
      <c r="Q63" s="73"/>
      <c r="R63" s="73"/>
      <c r="S63" s="73"/>
      <c r="T63" s="439" cm="1" t="str">
        <f t="array" ref="T63:T63">T62</f>
        <v>false</v>
      </c>
      <c r="U63" s="73"/>
      <c r="V63" s="73"/>
      <c r="W63" s="73"/>
      <c r="X63" s="1534"/>
      <c r="Y63" s="960"/>
      <c r="Z63" s="1465"/>
      <c r="AA63" s="960"/>
      <c r="AB63" s="267" t="s">
        <v>1867</v>
      </c>
      <c r="AC63" s="749" t="s">
        <v>1671</v>
      </c>
      <c r="AD63" s="752" t="s">
        <v>784</v>
      </c>
      <c r="AE63" s="1099">
        <f>_xlfn.SUMIFS(ФОТ!AE$25:AE$102,ФОТ!$F$25:$F$102,$F63,ФОТ!$G$25:$G$102,$G63)</f>
        <v>0</v>
      </c>
      <c r="AF63" s="1099">
        <f>_xlfn.SUMIFS(ФОТ!AF$25:AF$102,ФОТ!$F$25:$F$102,$F63,ФОТ!$G$25:$G$102,$G63)</f>
        <v>0</v>
      </c>
      <c r="AG63" s="1099">
        <f>_xlfn.SUMIFS(ФОТ!AG$25:AG$102,ФОТ!$F$25:$F$102,$F63,ФОТ!$G$25:$G$102,$G63)</f>
        <v>0</v>
      </c>
      <c r="AH63" s="1099">
        <f>AG63-AF63</f>
        <v>0</v>
      </c>
      <c r="AI63" s="1099">
        <f>_xlfn.SUMIFS(ФОТ!AH$25:AH$102,ФОТ!$F$25:$F$102,$F63,ФОТ!$G$25:$G$102,$G63)</f>
        <v>0</v>
      </c>
      <c r="AJ63" s="1099">
        <f>_xlfn.SUMIFS(ФОТ!AI$25:AI$102,ФОТ!$F$25:$F$102,$F63,ФОТ!$G$25:$G$102,$G63)</f>
        <v>0</v>
      </c>
      <c r="AK63" s="1100"/>
      <c r="AL63" s="1100"/>
      <c r="AM63" s="1100"/>
      <c r="AN63" s="1100"/>
      <c r="AO63" s="1100"/>
      <c r="AP63" s="1100"/>
      <c r="AQ63" s="1100"/>
      <c r="AR63" s="1100"/>
      <c r="AS63" s="1100"/>
      <c r="AT63" s="1099">
        <f>_xlfn.SUMIFS(ФОТ!AJ$25:AJ$102,ФОТ!$F$25:$F$102,$F63,ФОТ!$G$25:$G$102,$G63)</f>
        <v>0</v>
      </c>
      <c r="AU63" s="1100"/>
      <c r="AV63" s="1100"/>
      <c r="AW63" s="1100"/>
      <c r="AX63" s="1100"/>
      <c r="AY63" s="1100"/>
      <c r="AZ63" s="1100"/>
      <c r="BA63" s="1100"/>
      <c r="BB63" s="1100"/>
      <c r="BC63" s="1100"/>
      <c r="BD63" s="1099">
        <f>IF(AI63=0,0,(AT63-AI63)/AI63*100)</f>
        <v>0</v>
      </c>
      <c r="BE63" s="1100"/>
      <c r="BF63" s="1100"/>
      <c r="BG63" s="1100"/>
      <c r="BH63" s="1100"/>
      <c r="BI63" s="1100"/>
      <c r="BJ63" s="1100"/>
      <c r="BK63" s="1100"/>
      <c r="BL63" s="1100"/>
      <c r="BM63" s="1100"/>
      <c r="BN63" s="1265"/>
      <c r="BO63" s="1269" t="str">
        <f>IF(_xlfn.IFERROR(INDEX(ФОТ!$K$26:$L$102,MATCH($F63&amp;"5komm",ФОТ!$K$26:$K$102,0),2),"")=0,"",_xlfn.IFERROR(INDEX(ФОТ!$K$26:$L$102,MATCH($F63&amp;"5komm",ФОТ!$K$26:$K$102,0),2),""))</f>
        <v/>
      </c>
      <c r="BP63" s="1265"/>
      <c r="BQ63" s="960"/>
      <c r="BR63" s="960"/>
      <c r="BS63" s="1046" t="s">
        <v>1078</v>
      </c>
      <c r="BT63" s="1048"/>
      <c r="BU63" s="1048"/>
      <c r="BV63" s="962"/>
      <c r="BW63" s="962"/>
    </row>
    <row customHeight="1" ht="21.9375" hidden="1">
      <c r="A64" s="960"/>
      <c r="B64" s="961"/>
      <c r="C64" s="73"/>
      <c r="D64" s="73"/>
      <c r="E64" s="600">
        <v>22.5</v>
      </c>
      <c r="F64" s="50" cm="1" t="str">
        <f t="array" ref="F64:F64">OFFSET(E64,-1,1)</f>
        <v>0</v>
      </c>
      <c r="G64" s="73" t="s">
        <v>1066</v>
      </c>
      <c r="H64" s="839"/>
      <c r="I64" s="839" t="s">
        <v>1868</v>
      </c>
      <c r="J64" s="73"/>
      <c r="K64" s="345" t="s">
        <v>1868</v>
      </c>
      <c r="L64" s="963" t="s">
        <v>482</v>
      </c>
      <c r="M64" s="73"/>
      <c r="N64" s="73"/>
      <c r="O64" s="73"/>
      <c r="P64" s="73"/>
      <c r="Q64" s="73"/>
      <c r="R64" s="73"/>
      <c r="S64" s="73"/>
      <c r="T64" s="439" cm="1" t="str">
        <f t="array" ref="T64:T64">T63</f>
        <v>false</v>
      </c>
      <c r="U64" s="73"/>
      <c r="V64" s="73"/>
      <c r="W64" s="73"/>
      <c r="X64" s="1534"/>
      <c r="Y64" s="960"/>
      <c r="Z64" s="1465"/>
      <c r="AA64" s="960"/>
      <c r="AB64" s="267" t="s">
        <v>1869</v>
      </c>
      <c r="AC64" s="749" t="s">
        <v>1870</v>
      </c>
      <c r="AD64" s="267" t="s">
        <v>784</v>
      </c>
      <c r="AE64" s="1099">
        <f>_xlfn.SUMIFS(ФОТ!AE$25:AE$102,ФОТ!$F$25:$F$102,$F64,ФОТ!$G$25:$G$102,$G64)</f>
        <v>0</v>
      </c>
      <c r="AF64" s="1099">
        <f>_xlfn.SUMIFS(ФОТ!AF$25:AF$102,ФОТ!$F$25:$F$102,$F64,ФОТ!$G$25:$G$102,$G64)</f>
        <v>0</v>
      </c>
      <c r="AG64" s="1099">
        <f>_xlfn.SUMIFS(ФОТ!AG$25:AG$102,ФОТ!$F$25:$F$102,$F64,ФОТ!$G$25:$G$102,$G64)</f>
        <v>0</v>
      </c>
      <c r="AH64" s="1099">
        <f>AG64-AF64</f>
        <v>0</v>
      </c>
      <c r="AI64" s="1099">
        <f>_xlfn.SUMIFS(ФОТ!AH$25:AH$102,ФОТ!$F$25:$F$102,$F64,ФОТ!$G$25:$G$102,$G64)</f>
        <v>0</v>
      </c>
      <c r="AJ64" s="1099">
        <f>_xlfn.SUMIFS(ФОТ!AI$25:AI$102,ФОТ!$F$25:$F$102,$F64,ФОТ!$G$25:$G$102,$G64)</f>
        <v>0</v>
      </c>
      <c r="AK64" s="1100"/>
      <c r="AL64" s="1100"/>
      <c r="AM64" s="1100"/>
      <c r="AN64" s="1100"/>
      <c r="AO64" s="1100"/>
      <c r="AP64" s="1100"/>
      <c r="AQ64" s="1100"/>
      <c r="AR64" s="1100"/>
      <c r="AS64" s="1100"/>
      <c r="AT64" s="1099">
        <f>_xlfn.SUMIFS(ФОТ!AJ$25:AJ$102,ФОТ!$F$25:$F$102,$F64,ФОТ!$G$25:$G$102,$G64)</f>
        <v>0</v>
      </c>
      <c r="AU64" s="1100"/>
      <c r="AV64" s="1100"/>
      <c r="AW64" s="1100"/>
      <c r="AX64" s="1100"/>
      <c r="AY64" s="1100"/>
      <c r="AZ64" s="1100"/>
      <c r="BA64" s="1100"/>
      <c r="BB64" s="1100"/>
      <c r="BC64" s="1100"/>
      <c r="BD64" s="1099">
        <f>IF(AI64=0,0,(AT64-AI64)/AI64*100)</f>
        <v>0</v>
      </c>
      <c r="BE64" s="1100"/>
      <c r="BF64" s="1100"/>
      <c r="BG64" s="1100"/>
      <c r="BH64" s="1100"/>
      <c r="BI64" s="1100"/>
      <c r="BJ64" s="1100"/>
      <c r="BK64" s="1100"/>
      <c r="BL64" s="1100"/>
      <c r="BM64" s="1100"/>
      <c r="BN64" s="1265"/>
      <c r="BO64" s="1269" t="str">
        <f>IF(_xlfn.IFERROR(INDEX(ФОТ!$K$26:$L$102,MATCH($F64&amp;"6komm",ФОТ!$K$26:$K$102,0),2),"")=0,"",_xlfn.IFERROR(INDEX(ФОТ!$K$26:$L$102,MATCH($F64&amp;"6komm",ФОТ!$K$26:$K$102,0),2),""))</f>
        <v/>
      </c>
      <c r="BP64" s="1265"/>
      <c r="BQ64" s="960"/>
      <c r="BR64" s="960"/>
      <c r="BS64" s="1046" t="s">
        <v>1673</v>
      </c>
      <c r="BT64" s="1048"/>
      <c r="BU64" s="1048"/>
      <c r="BV64" s="962"/>
      <c r="BW64" s="962"/>
    </row>
    <row customHeight="1" ht="32.90625" hidden="1">
      <c r="A65" s="960"/>
      <c r="B65" s="961"/>
      <c r="C65" s="73"/>
      <c r="D65" s="73"/>
      <c r="E65" s="600">
        <v>33.75</v>
      </c>
      <c r="F65" s="50" cm="1" t="str">
        <f t="array" ref="F65:F65">OFFSET(E65,-1,1)</f>
        <v>0</v>
      </c>
      <c r="G65" s="830" t="s">
        <v>1107</v>
      </c>
      <c r="H65" s="839"/>
      <c r="I65" s="839" t="s">
        <v>1250</v>
      </c>
      <c r="J65" s="73"/>
      <c r="K65" s="345" t="s">
        <v>1250</v>
      </c>
      <c r="L65" s="963" t="s">
        <v>879</v>
      </c>
      <c r="M65" s="73"/>
      <c r="N65" s="73"/>
      <c r="O65" s="73"/>
      <c r="P65" s="73"/>
      <c r="Q65" s="73"/>
      <c r="R65" s="73"/>
      <c r="S65" s="73"/>
      <c r="T65" s="439" cm="1" t="str">
        <f t="array" ref="T65:T65">T64</f>
        <v>false</v>
      </c>
      <c r="U65" s="73"/>
      <c r="V65" s="73"/>
      <c r="W65" s="73"/>
      <c r="X65" s="1534"/>
      <c r="Y65" s="960"/>
      <c r="Z65" s="1465"/>
      <c r="AA65" s="960"/>
      <c r="AB65" s="267" t="s">
        <v>1251</v>
      </c>
      <c r="AC65" s="746" t="s">
        <v>1871</v>
      </c>
      <c r="AD65" s="267" t="s">
        <v>784</v>
      </c>
      <c r="AE65" s="1099">
        <f>_xlfn.SUMIFS(Административные!AE$25:AE$84,Административные!$F$25:$F$84,$F65,Административные!$G$25:$G$84,$G65)</f>
        <v>0</v>
      </c>
      <c r="AF65" s="1099">
        <f>_xlfn.SUMIFS(Административные!AF$25:AF$84,Административные!$F$25:$F$84,$F65,Административные!$G$25:$G$84,$G65)</f>
        <v>0</v>
      </c>
      <c r="AG65" s="1099">
        <f>_xlfn.SUMIFS(Административные!AG$25:AG$84,Административные!$F$25:$F$84,$F65,Административные!$G$25:$G$84,$G65)</f>
        <v>0</v>
      </c>
      <c r="AH65" s="1099">
        <f>AG65-AF65</f>
        <v>0</v>
      </c>
      <c r="AI65" s="1099">
        <f>_xlfn.SUMIFS(Административные!AH$25:AH$84,Административные!$F$25:$F$84,$F65,Административные!$G$25:$G$84,$G65)</f>
        <v>0</v>
      </c>
      <c r="AJ65" s="1099">
        <f>_xlfn.SUMIFS(Административные!AI$25:AI$84,Административные!$F$25:$F$84,$F65,Административные!$G$25:$G$84,$G65)</f>
        <v>0</v>
      </c>
      <c r="AK65" s="1100"/>
      <c r="AL65" s="1100"/>
      <c r="AM65" s="1100"/>
      <c r="AN65" s="1100"/>
      <c r="AO65" s="1100"/>
      <c r="AP65" s="1100"/>
      <c r="AQ65" s="1100"/>
      <c r="AR65" s="1100"/>
      <c r="AS65" s="1100"/>
      <c r="AT65" s="1099">
        <f>_xlfn.SUMIFS(Административные!AJ$25:AJ$84,Административные!$F$25:$F$84,$F65,Административные!$G$25:$G$84,$G65)</f>
        <v>0</v>
      </c>
      <c r="AU65" s="1100"/>
      <c r="AV65" s="1100"/>
      <c r="AW65" s="1100"/>
      <c r="AX65" s="1100"/>
      <c r="AY65" s="1100"/>
      <c r="AZ65" s="1100"/>
      <c r="BA65" s="1100"/>
      <c r="BB65" s="1100"/>
      <c r="BC65" s="1100"/>
      <c r="BD65" s="1099">
        <f>IF(AI65=0,0,(AT65-AI65)/AI65*100)</f>
        <v>0</v>
      </c>
      <c r="BE65" s="1100"/>
      <c r="BF65" s="1100"/>
      <c r="BG65" s="1100"/>
      <c r="BH65" s="1100"/>
      <c r="BI65" s="1100"/>
      <c r="BJ65" s="1100"/>
      <c r="BK65" s="1100"/>
      <c r="BL65" s="1100"/>
      <c r="BM65" s="1100"/>
      <c r="BN65" s="1265"/>
      <c r="BO65" s="1269" t="str">
        <f>IF(_xlfn.IFERROR(INDEX(Административные!$K$26:$L$84,MATCH($F65&amp;"2komm",Административные!$K$26:$K$84,0),2),"")=0,"",_xlfn.IFERROR(INDEX(Административные!$K$26:$L$84,MATCH($F65&amp;"2komm",Административные!$K$26:$K$84,0),2),""))</f>
        <v/>
      </c>
      <c r="BP65" s="1265"/>
      <c r="BQ65" s="960"/>
      <c r="BR65" s="960"/>
      <c r="BS65" s="1046" t="s">
        <v>1109</v>
      </c>
      <c r="BT65" s="1048"/>
      <c r="BU65" s="1048"/>
      <c r="BV65" s="962"/>
      <c r="BW65" s="962"/>
    </row>
    <row customHeight="1" ht="14.625" hidden="1">
      <c r="A66" s="960"/>
      <c r="B66" s="961"/>
      <c r="C66" s="73"/>
      <c r="D66" s="73"/>
      <c r="E66" s="600">
        <v>15</v>
      </c>
      <c r="F66" s="50" cm="1" t="str">
        <f t="array" ref="F66:F66">OFFSET(E66,-1,1)</f>
        <v>0</v>
      </c>
      <c r="G66" s="830" t="s">
        <v>1110</v>
      </c>
      <c r="H66" s="839"/>
      <c r="I66" s="839" t="s">
        <v>1254</v>
      </c>
      <c r="J66" s="73"/>
      <c r="K66" s="345" t="s">
        <v>1254</v>
      </c>
      <c r="L66" s="963" t="s">
        <v>881</v>
      </c>
      <c r="M66" s="73"/>
      <c r="N66" s="73"/>
      <c r="O66" s="73"/>
      <c r="P66" s="73"/>
      <c r="Q66" s="73"/>
      <c r="R66" s="73"/>
      <c r="S66" s="73"/>
      <c r="T66" s="439" cm="1" t="str">
        <f t="array" ref="T66:T66">T65</f>
        <v>false</v>
      </c>
      <c r="U66" s="73"/>
      <c r="V66" s="73"/>
      <c r="W66" s="73"/>
      <c r="X66" s="1534"/>
      <c r="Y66" s="960"/>
      <c r="Z66" s="1465"/>
      <c r="AA66" s="960"/>
      <c r="AB66" s="267" t="s">
        <v>1255</v>
      </c>
      <c r="AC66" s="746" t="s">
        <v>1872</v>
      </c>
      <c r="AD66" s="267" t="s">
        <v>784</v>
      </c>
      <c r="AE66" s="1099">
        <f>_xlfn.SUMIFS(Административные!AE$25:AE$84,Административные!$F$25:$F$84,$F66,Административные!$G$25:$G$84,$G66)</f>
        <v>0</v>
      </c>
      <c r="AF66" s="1099">
        <f>_xlfn.SUMIFS(Административные!AF$25:AF$84,Административные!$F$25:$F$84,$F66,Административные!$G$25:$G$84,$G66)</f>
        <v>0</v>
      </c>
      <c r="AG66" s="1099">
        <f>_xlfn.SUMIFS(Административные!AG$25:AG$84,Административные!$F$25:$F$84,$F66,Административные!$G$25:$G$84,$G66)</f>
        <v>0</v>
      </c>
      <c r="AH66" s="1099">
        <f>AG66-AF66</f>
        <v>0</v>
      </c>
      <c r="AI66" s="1099">
        <f>_xlfn.SUMIFS(Административные!AH$25:AH$84,Административные!$F$25:$F$84,$F66,Административные!$G$25:$G$84,$G66)</f>
        <v>0</v>
      </c>
      <c r="AJ66" s="1099">
        <f>_xlfn.SUMIFS(Административные!AI$25:AI$84,Административные!$F$25:$F$84,$F66,Административные!$G$25:$G$84,$G66)</f>
        <v>0</v>
      </c>
      <c r="AK66" s="1100"/>
      <c r="AL66" s="1100"/>
      <c r="AM66" s="1100"/>
      <c r="AN66" s="1100"/>
      <c r="AO66" s="1100"/>
      <c r="AP66" s="1100"/>
      <c r="AQ66" s="1100"/>
      <c r="AR66" s="1100"/>
      <c r="AS66" s="1100"/>
      <c r="AT66" s="1099">
        <f>_xlfn.SUMIFS(Административные!AJ$25:AJ$84,Административные!$F$25:$F$84,$F66,Административные!$G$25:$G$84,$G66)</f>
        <v>0</v>
      </c>
      <c r="AU66" s="1100"/>
      <c r="AV66" s="1100"/>
      <c r="AW66" s="1100"/>
      <c r="AX66" s="1100"/>
      <c r="AY66" s="1100"/>
      <c r="AZ66" s="1100"/>
      <c r="BA66" s="1100"/>
      <c r="BB66" s="1100"/>
      <c r="BC66" s="1100"/>
      <c r="BD66" s="1099">
        <f>IF(AI66=0,0,(AT66-AI66)/AI66*100)</f>
        <v>0</v>
      </c>
      <c r="BE66" s="1100"/>
      <c r="BF66" s="1100"/>
      <c r="BG66" s="1100"/>
      <c r="BH66" s="1100"/>
      <c r="BI66" s="1100"/>
      <c r="BJ66" s="1100"/>
      <c r="BK66" s="1100"/>
      <c r="BL66" s="1100"/>
      <c r="BM66" s="1100"/>
      <c r="BN66" s="1265"/>
      <c r="BO66" s="1269" t="str">
        <f>IF(_xlfn.IFERROR(INDEX(Административные!$K$26:$L$84,MATCH($F66&amp;"3komm",Административные!$K$26:$K$84,0),2),"")=0,"",_xlfn.IFERROR(INDEX(Административные!$K$26:$L$84,MATCH($F66&amp;"3komm",Административные!$K$26:$K$84,0),2),""))</f>
        <v/>
      </c>
      <c r="BP66" s="1265"/>
      <c r="BQ66" s="960"/>
      <c r="BR66" s="960"/>
      <c r="BS66" s="1046" t="s">
        <v>1112</v>
      </c>
      <c r="BT66" s="1048"/>
      <c r="BU66" s="1048"/>
      <c r="BV66" s="962"/>
      <c r="BW66" s="962"/>
    </row>
    <row customHeight="1" ht="14.625" hidden="1">
      <c r="A67" s="960"/>
      <c r="B67" s="961"/>
      <c r="C67" s="73"/>
      <c r="D67" s="73"/>
      <c r="E67" s="600">
        <v>15</v>
      </c>
      <c r="F67" s="50" cm="1" t="str">
        <f t="array" ref="F67:F67">OFFSET(E67,-1,1)</f>
        <v>0</v>
      </c>
      <c r="G67" s="830" t="s">
        <v>1113</v>
      </c>
      <c r="H67" s="839"/>
      <c r="I67" s="839" t="s">
        <v>1873</v>
      </c>
      <c r="J67" s="73"/>
      <c r="K67" s="345" t="s">
        <v>1873</v>
      </c>
      <c r="L67" s="963" t="s">
        <v>884</v>
      </c>
      <c r="M67" s="73"/>
      <c r="N67" s="73"/>
      <c r="O67" s="73"/>
      <c r="P67" s="73"/>
      <c r="Q67" s="73"/>
      <c r="R67" s="73"/>
      <c r="S67" s="73"/>
      <c r="T67" s="439" cm="1" t="str">
        <f t="array" ref="T67:T67">T66</f>
        <v>false</v>
      </c>
      <c r="U67" s="73"/>
      <c r="V67" s="73"/>
      <c r="W67" s="73"/>
      <c r="X67" s="1534"/>
      <c r="Y67" s="960"/>
      <c r="Z67" s="1465"/>
      <c r="AA67" s="960"/>
      <c r="AB67" s="267" t="s">
        <v>1874</v>
      </c>
      <c r="AC67" s="746" t="s">
        <v>1875</v>
      </c>
      <c r="AD67" s="267" t="s">
        <v>784</v>
      </c>
      <c r="AE67" s="1099">
        <f>_xlfn.SUMIFS(Административные!AE$25:AE$84,Административные!$F$25:$F$84,$F67,Административные!$G$25:$G$84,$G67)</f>
        <v>0</v>
      </c>
      <c r="AF67" s="1099">
        <f>_xlfn.SUMIFS(Административные!AF$25:AF$84,Административные!$F$25:$F$84,$F67,Административные!$G$25:$G$84,$G67)</f>
        <v>0</v>
      </c>
      <c r="AG67" s="1099">
        <f>_xlfn.SUMIFS(Административные!AG$25:AG$84,Административные!$F$25:$F$84,$F67,Административные!$G$25:$G$84,$G67)</f>
        <v>0</v>
      </c>
      <c r="AH67" s="1099">
        <f>AG67-AF67</f>
        <v>0</v>
      </c>
      <c r="AI67" s="1099">
        <f>_xlfn.SUMIFS(Административные!AH$25:AH$84,Административные!$F$25:$F$84,$F67,Административные!$G$25:$G$84,$G67)</f>
        <v>0</v>
      </c>
      <c r="AJ67" s="1099">
        <f>_xlfn.SUMIFS(Административные!AI$25:AI$84,Административные!$F$25:$F$84,$F67,Административные!$G$25:$G$84,$G67)</f>
        <v>0</v>
      </c>
      <c r="AK67" s="1100"/>
      <c r="AL67" s="1100"/>
      <c r="AM67" s="1100"/>
      <c r="AN67" s="1100"/>
      <c r="AO67" s="1100"/>
      <c r="AP67" s="1100"/>
      <c r="AQ67" s="1100"/>
      <c r="AR67" s="1100"/>
      <c r="AS67" s="1100"/>
      <c r="AT67" s="1099">
        <f>_xlfn.SUMIFS(Административные!AJ$25:AJ$84,Административные!$F$25:$F$84,$F67,Административные!$G$25:$G$84,$G67)</f>
        <v>0</v>
      </c>
      <c r="AU67" s="1100"/>
      <c r="AV67" s="1100"/>
      <c r="AW67" s="1100"/>
      <c r="AX67" s="1100"/>
      <c r="AY67" s="1100"/>
      <c r="AZ67" s="1100"/>
      <c r="BA67" s="1100"/>
      <c r="BB67" s="1100"/>
      <c r="BC67" s="1100"/>
      <c r="BD67" s="1099">
        <f>IF(AI67=0,0,(AT67-AI67)/AI67*100)</f>
        <v>0</v>
      </c>
      <c r="BE67" s="1100"/>
      <c r="BF67" s="1100"/>
      <c r="BG67" s="1100"/>
      <c r="BH67" s="1100"/>
      <c r="BI67" s="1100"/>
      <c r="BJ67" s="1100"/>
      <c r="BK67" s="1100"/>
      <c r="BL67" s="1100"/>
      <c r="BM67" s="1100"/>
      <c r="BN67" s="1265"/>
      <c r="BO67" s="1269" t="str">
        <f>IF(_xlfn.IFERROR(INDEX(Административные!$K$26:$L$84,MATCH($F67&amp;"4komm",Административные!$K$26:$K$84,0),2),"")=0,"",_xlfn.IFERROR(INDEX(Административные!$K$26:$L$84,MATCH($F67&amp;"4komm",Административные!$K$26:$K$84,0),2),""))</f>
        <v/>
      </c>
      <c r="BP67" s="1265"/>
      <c r="BQ67" s="960"/>
      <c r="BR67" s="960"/>
      <c r="BS67" s="1046" t="s">
        <v>1115</v>
      </c>
      <c r="BT67" s="1048"/>
      <c r="BU67" s="1048"/>
      <c r="BV67" s="962"/>
      <c r="BW67" s="962"/>
    </row>
    <row customHeight="1" ht="14.625" hidden="1">
      <c r="A68" s="960"/>
      <c r="B68" s="961"/>
      <c r="C68" s="73"/>
      <c r="D68" s="73"/>
      <c r="E68" s="600">
        <v>15</v>
      </c>
      <c r="F68" s="50" cm="1" t="str">
        <f t="array" ref="F68:F68">OFFSET(E68,-1,1)</f>
        <v>0</v>
      </c>
      <c r="G68" s="830" t="s">
        <v>1116</v>
      </c>
      <c r="H68" s="839"/>
      <c r="I68" s="839" t="s">
        <v>1876</v>
      </c>
      <c r="J68" s="73"/>
      <c r="K68" s="345" t="s">
        <v>1876</v>
      </c>
      <c r="L68" s="963" t="s">
        <v>1098</v>
      </c>
      <c r="M68" s="73"/>
      <c r="N68" s="73"/>
      <c r="O68" s="73"/>
      <c r="P68" s="73"/>
      <c r="Q68" s="73"/>
      <c r="R68" s="73"/>
      <c r="S68" s="73"/>
      <c r="T68" s="439" cm="1" t="str">
        <f t="array" ref="T68:T68">T67</f>
        <v>false</v>
      </c>
      <c r="U68" s="73"/>
      <c r="V68" s="73"/>
      <c r="W68" s="73"/>
      <c r="X68" s="1534"/>
      <c r="Y68" s="960"/>
      <c r="Z68" s="1465"/>
      <c r="AA68" s="960"/>
      <c r="AB68" s="267" t="s">
        <v>1877</v>
      </c>
      <c r="AC68" s="746" t="s">
        <v>1878</v>
      </c>
      <c r="AD68" s="267" t="s">
        <v>784</v>
      </c>
      <c r="AE68" s="1099">
        <f>_xlfn.SUMIFS(Административные!AE$25:AE$84,Административные!$F$25:$F$84,$F68,Административные!$G$25:$G$84,$G68)</f>
        <v>0</v>
      </c>
      <c r="AF68" s="1099">
        <f>_xlfn.SUMIFS(Административные!AF$25:AF$84,Административные!$F$25:$F$84,$F68,Административные!$G$25:$G$84,$G68)</f>
        <v>0</v>
      </c>
      <c r="AG68" s="1099">
        <f>_xlfn.SUMIFS(Административные!AG$25:AG$84,Административные!$F$25:$F$84,$F68,Административные!$G$25:$G$84,$G68)</f>
        <v>0</v>
      </c>
      <c r="AH68" s="1099">
        <f>AG68-AF68</f>
        <v>0</v>
      </c>
      <c r="AI68" s="1099">
        <f>_xlfn.SUMIFS(Административные!AH$25:AH$84,Административные!$F$25:$F$84,$F68,Административные!$G$25:$G$84,$G68)</f>
        <v>0</v>
      </c>
      <c r="AJ68" s="1099">
        <f>_xlfn.SUMIFS(Административные!AI$25:AI$84,Административные!$F$25:$F$84,$F68,Административные!$G$25:$G$84,$G68)</f>
        <v>0</v>
      </c>
      <c r="AK68" s="1100"/>
      <c r="AL68" s="1100"/>
      <c r="AM68" s="1100"/>
      <c r="AN68" s="1100"/>
      <c r="AO68" s="1100"/>
      <c r="AP68" s="1100"/>
      <c r="AQ68" s="1100"/>
      <c r="AR68" s="1100"/>
      <c r="AS68" s="1100"/>
      <c r="AT68" s="1099">
        <f>_xlfn.SUMIFS(Административные!AJ$25:AJ$84,Административные!$F$25:$F$84,$F68,Административные!$G$25:$G$84,$G68)</f>
        <v>0</v>
      </c>
      <c r="AU68" s="1100"/>
      <c r="AV68" s="1100"/>
      <c r="AW68" s="1100"/>
      <c r="AX68" s="1100"/>
      <c r="AY68" s="1100"/>
      <c r="AZ68" s="1100"/>
      <c r="BA68" s="1100"/>
      <c r="BB68" s="1100"/>
      <c r="BC68" s="1100"/>
      <c r="BD68" s="1099">
        <f>IF(AI68=0,0,(AT68-AI68)/AI68*100)</f>
        <v>0</v>
      </c>
      <c r="BE68" s="1100"/>
      <c r="BF68" s="1100"/>
      <c r="BG68" s="1100"/>
      <c r="BH68" s="1100"/>
      <c r="BI68" s="1100"/>
      <c r="BJ68" s="1100"/>
      <c r="BK68" s="1100"/>
      <c r="BL68" s="1100"/>
      <c r="BM68" s="1100"/>
      <c r="BN68" s="1265"/>
      <c r="BO68" s="1269" t="str">
        <f>IF(_xlfn.IFERROR(INDEX(Административные!$K$26:$L$84,MATCH($F68&amp;"5komm",Административные!$K$26:$K$84,0),2),"")=0,"",_xlfn.IFERROR(INDEX(Административные!$K$26:$L$84,MATCH($F68&amp;"5komm",Административные!$K$26:$K$84,0),2),""))</f>
        <v/>
      </c>
      <c r="BP68" s="1265"/>
      <c r="BQ68" s="960"/>
      <c r="BR68" s="960"/>
      <c r="BS68" s="1046" t="s">
        <v>1675</v>
      </c>
      <c r="BT68" s="1048"/>
      <c r="BU68" s="1048"/>
      <c r="BV68" s="962"/>
      <c r="BW68" s="962"/>
    </row>
    <row customHeight="1" ht="14.625" hidden="1">
      <c r="A69" s="960"/>
      <c r="B69" s="961"/>
      <c r="C69" s="73"/>
      <c r="D69" s="73"/>
      <c r="E69" s="600">
        <v>15</v>
      </c>
      <c r="F69" s="50" cm="1" t="str">
        <f t="array" ref="F69:F69">OFFSET(E69,-1,1)</f>
        <v>0</v>
      </c>
      <c r="G69" s="830" t="s">
        <v>1119</v>
      </c>
      <c r="H69" s="839"/>
      <c r="I69" s="839" t="s">
        <v>1879</v>
      </c>
      <c r="J69" s="73"/>
      <c r="K69" s="345" t="s">
        <v>1879</v>
      </c>
      <c r="L69" s="963" t="s">
        <v>1103</v>
      </c>
      <c r="M69" s="73"/>
      <c r="N69" s="73"/>
      <c r="O69" s="73"/>
      <c r="P69" s="73"/>
      <c r="Q69" s="73"/>
      <c r="R69" s="73"/>
      <c r="S69" s="73"/>
      <c r="T69" s="439" cm="1" t="str">
        <f t="array" ref="T69:T69">T68</f>
        <v>false</v>
      </c>
      <c r="U69" s="73"/>
      <c r="V69" s="73"/>
      <c r="W69" s="73"/>
      <c r="X69" s="1534"/>
      <c r="Y69" s="960"/>
      <c r="Z69" s="1465"/>
      <c r="AA69" s="960"/>
      <c r="AB69" s="267" t="s">
        <v>1880</v>
      </c>
      <c r="AC69" s="746" t="s">
        <v>1881</v>
      </c>
      <c r="AD69" s="267" t="s">
        <v>784</v>
      </c>
      <c r="AE69" s="1099">
        <f>_xlfn.SUMIFS(Административные!AE$25:AE$84,Административные!$F$25:$F$84,$F69,Административные!$G$25:$G$84,$G69)</f>
        <v>0</v>
      </c>
      <c r="AF69" s="1099">
        <f>_xlfn.SUMIFS(Административные!AF$25:AF$84,Административные!$F$25:$F$84,$F69,Административные!$G$25:$G$84,$G69)</f>
        <v>0</v>
      </c>
      <c r="AG69" s="1099">
        <f>_xlfn.SUMIFS(Административные!AG$25:AG$84,Административные!$F$25:$F$84,$F69,Административные!$G$25:$G$84,$G69)</f>
        <v>0</v>
      </c>
      <c r="AH69" s="1099">
        <f>AG69-AF69</f>
        <v>0</v>
      </c>
      <c r="AI69" s="1099">
        <f>_xlfn.SUMIFS(Административные!AH$25:AH$84,Административные!$F$25:$F$84,$F69,Административные!$G$25:$G$84,$G69)</f>
        <v>0</v>
      </c>
      <c r="AJ69" s="1099">
        <f>_xlfn.SUMIFS(Административные!AI$25:AI$84,Административные!$F$25:$F$84,$F69,Административные!$G$25:$G$84,$G69)</f>
        <v>0</v>
      </c>
      <c r="AK69" s="1100"/>
      <c r="AL69" s="1100"/>
      <c r="AM69" s="1100"/>
      <c r="AN69" s="1100"/>
      <c r="AO69" s="1100"/>
      <c r="AP69" s="1100"/>
      <c r="AQ69" s="1100"/>
      <c r="AR69" s="1100"/>
      <c r="AS69" s="1100"/>
      <c r="AT69" s="1099">
        <f>_xlfn.SUMIFS(Административные!AJ$25:AJ$84,Административные!$F$25:$F$84,$F69,Административные!$G$25:$G$84,$G69)</f>
        <v>0</v>
      </c>
      <c r="AU69" s="1100"/>
      <c r="AV69" s="1100"/>
      <c r="AW69" s="1100"/>
      <c r="AX69" s="1100"/>
      <c r="AY69" s="1100"/>
      <c r="AZ69" s="1100"/>
      <c r="BA69" s="1100"/>
      <c r="BB69" s="1100"/>
      <c r="BC69" s="1100"/>
      <c r="BD69" s="1099">
        <f>IF(AI69=0,0,(AT69-AI69)/AI69*100)</f>
        <v>0</v>
      </c>
      <c r="BE69" s="1100"/>
      <c r="BF69" s="1100"/>
      <c r="BG69" s="1100"/>
      <c r="BH69" s="1100"/>
      <c r="BI69" s="1100"/>
      <c r="BJ69" s="1100"/>
      <c r="BK69" s="1100"/>
      <c r="BL69" s="1100"/>
      <c r="BM69" s="1100"/>
      <c r="BN69" s="1265"/>
      <c r="BO69" s="1269" t="str">
        <f>IF(_xlfn.IFERROR(INDEX(Административные!$K$26:$L$84,MATCH($F69&amp;"6komm",Административные!$K$26:$K$84,0),2),"")=0,"",_xlfn.IFERROR(INDEX(Административные!$K$26:$L$84,MATCH($F69&amp;"6komm",Административные!$K$26:$K$84,0),2),""))</f>
        <v/>
      </c>
      <c r="BP69" s="1265"/>
      <c r="BQ69" s="960"/>
      <c r="BR69" s="960"/>
      <c r="BS69" s="1046" t="s">
        <v>1677</v>
      </c>
      <c r="BT69" s="1048"/>
      <c r="BU69" s="1048"/>
      <c r="BV69" s="962"/>
      <c r="BW69" s="962"/>
    </row>
    <row customHeight="1" ht="14.625" hidden="1">
      <c r="A70" s="960"/>
      <c r="B70" s="961"/>
      <c r="C70" s="73"/>
      <c r="D70" s="73"/>
      <c r="E70" s="600">
        <v>15</v>
      </c>
      <c r="F70" s="50" cm="1" t="str">
        <f t="array" ref="F70:F70">OFFSET(E70,-1,1)</f>
        <v>0</v>
      </c>
      <c r="G70" s="830" t="s">
        <v>1121</v>
      </c>
      <c r="H70" s="839"/>
      <c r="I70" s="839" t="s">
        <v>1882</v>
      </c>
      <c r="J70" s="73"/>
      <c r="K70" s="345" t="s">
        <v>1882</v>
      </c>
      <c r="L70" s="963" t="s">
        <v>1678</v>
      </c>
      <c r="M70" s="73"/>
      <c r="N70" s="73"/>
      <c r="O70" s="73"/>
      <c r="P70" s="73"/>
      <c r="Q70" s="73"/>
      <c r="R70" s="73"/>
      <c r="S70" s="73"/>
      <c r="T70" s="439" cm="1" t="str">
        <f t="array" ref="T70:T70">T69</f>
        <v>false</v>
      </c>
      <c r="U70" s="73"/>
      <c r="V70" s="73"/>
      <c r="W70" s="73"/>
      <c r="X70" s="1534"/>
      <c r="Y70" s="960"/>
      <c r="Z70" s="1465"/>
      <c r="AA70" s="960"/>
      <c r="AB70" s="267" t="s">
        <v>1883</v>
      </c>
      <c r="AC70" s="749" t="s">
        <v>1680</v>
      </c>
      <c r="AD70" s="267" t="s">
        <v>784</v>
      </c>
      <c r="AE70" s="1099">
        <f>_xlfn.SUMIFS(Административные!AE$25:AE$84,Административные!$F$25:$F$84,$F70,Административные!$G$25:$G$84,$G70)</f>
        <v>0</v>
      </c>
      <c r="AF70" s="1099">
        <f>_xlfn.SUMIFS(Административные!AF$25:AF$84,Административные!$F$25:$F$84,$F70,Административные!$G$25:$G$84,$G70)</f>
        <v>0</v>
      </c>
      <c r="AG70" s="1099">
        <f>_xlfn.SUMIFS(Административные!AG$25:AG$84,Административные!$F$25:$F$84,$F70,Административные!$G$25:$G$84,$G70)</f>
        <v>0</v>
      </c>
      <c r="AH70" s="1099">
        <f>AG70-AF70</f>
        <v>0</v>
      </c>
      <c r="AI70" s="1099">
        <f>_xlfn.SUMIFS(Административные!AH$25:AH$84,Административные!$F$25:$F$84,$F70,Административные!$G$25:$G$84,$G70)</f>
        <v>0</v>
      </c>
      <c r="AJ70" s="1099">
        <f>_xlfn.SUMIFS(Административные!AI$25:AI$84,Административные!$F$25:$F$84,$F70,Административные!$G$25:$G$84,$G70)</f>
        <v>0</v>
      </c>
      <c r="AK70" s="1100"/>
      <c r="AL70" s="1100"/>
      <c r="AM70" s="1100"/>
      <c r="AN70" s="1100"/>
      <c r="AO70" s="1100"/>
      <c r="AP70" s="1100"/>
      <c r="AQ70" s="1100"/>
      <c r="AR70" s="1100"/>
      <c r="AS70" s="1100"/>
      <c r="AT70" s="1099">
        <f>_xlfn.SUMIFS(Административные!AJ$25:AJ$84,Административные!$F$25:$F$84,$F70,Административные!$G$25:$G$84,$G70)</f>
        <v>0</v>
      </c>
      <c r="AU70" s="1100"/>
      <c r="AV70" s="1100"/>
      <c r="AW70" s="1100"/>
      <c r="AX70" s="1100"/>
      <c r="AY70" s="1100"/>
      <c r="AZ70" s="1100"/>
      <c r="BA70" s="1100"/>
      <c r="BB70" s="1100"/>
      <c r="BC70" s="1100"/>
      <c r="BD70" s="1099">
        <f>IF(AI70=0,0,(AT70-AI70)/AI70*100)</f>
        <v>0</v>
      </c>
      <c r="BE70" s="1100"/>
      <c r="BF70" s="1100"/>
      <c r="BG70" s="1100"/>
      <c r="BH70" s="1100"/>
      <c r="BI70" s="1100"/>
      <c r="BJ70" s="1100"/>
      <c r="BK70" s="1100"/>
      <c r="BL70" s="1100"/>
      <c r="BM70" s="1100"/>
      <c r="BN70" s="1265"/>
      <c r="BO70" s="1269" t="str">
        <f>IF(_xlfn.IFERROR(INDEX(Административные!$K$26:$L$84,MATCH($F70&amp;"7komm",Административные!$K$26:$K$84,0),2),"")=0,"",_xlfn.IFERROR(INDEX(Административные!$K$26:$L$84,MATCH($F70&amp;"7komm",Административные!$K$26:$K$84,0),2),""))</f>
        <v/>
      </c>
      <c r="BP70" s="1265"/>
      <c r="BQ70" s="960"/>
      <c r="BR70" s="960"/>
      <c r="BS70" s="1046" t="s">
        <v>1681</v>
      </c>
      <c r="BT70" s="1048"/>
      <c r="BU70" s="1048"/>
      <c r="BV70" s="962"/>
      <c r="BW70" s="962"/>
    </row>
    <row customHeight="1" ht="14.625" hidden="1">
      <c r="A71" s="960"/>
      <c r="B71" s="961"/>
      <c r="C71" s="73"/>
      <c r="D71" s="73"/>
      <c r="E71" s="600">
        <v>15</v>
      </c>
      <c r="F71" s="50" cm="1" t="str">
        <f t="array" ref="F71:F71">OFFSET(E71,-1,1)</f>
        <v>0</v>
      </c>
      <c r="G71" s="830" t="s">
        <v>1124</v>
      </c>
      <c r="H71" s="839"/>
      <c r="I71" s="839" t="s">
        <v>1884</v>
      </c>
      <c r="J71" s="73"/>
      <c r="K71" s="345" t="s">
        <v>1884</v>
      </c>
      <c r="L71" s="963" t="s">
        <v>1682</v>
      </c>
      <c r="M71" s="73"/>
      <c r="N71" s="73"/>
      <c r="O71" s="73"/>
      <c r="P71" s="73"/>
      <c r="Q71" s="73"/>
      <c r="R71" s="73"/>
      <c r="S71" s="73"/>
      <c r="T71" s="439" cm="1" t="str">
        <f t="array" ref="T71:T71">T70</f>
        <v>false</v>
      </c>
      <c r="U71" s="73"/>
      <c r="V71" s="73"/>
      <c r="W71" s="73"/>
      <c r="X71" s="1534"/>
      <c r="Y71" s="960"/>
      <c r="Z71" s="1465"/>
      <c r="AA71" s="960"/>
      <c r="AB71" s="267" t="s">
        <v>1885</v>
      </c>
      <c r="AC71" s="749" t="s">
        <v>1125</v>
      </c>
      <c r="AD71" s="267" t="s">
        <v>784</v>
      </c>
      <c r="AE71" s="1099">
        <f>_xlfn.SUMIFS(Административные!AE$25:AE$84,Административные!$F$25:$F$84,$F71,Административные!$G$25:$G$84,$G71)</f>
        <v>0</v>
      </c>
      <c r="AF71" s="1099">
        <f>_xlfn.SUMIFS(Административные!AF$25:AF$84,Административные!$F$25:$F$84,$F71,Административные!$G$25:$G$84,$G71)</f>
        <v>0</v>
      </c>
      <c r="AG71" s="1099">
        <f>_xlfn.SUMIFS(Административные!AG$25:AG$84,Административные!$F$25:$F$84,$F71,Административные!$G$25:$G$84,$G71)</f>
        <v>0</v>
      </c>
      <c r="AH71" s="1099">
        <f>AG71-AF71</f>
        <v>0</v>
      </c>
      <c r="AI71" s="1099">
        <f>_xlfn.SUMIFS(Административные!AH$25:AH$84,Административные!$F$25:$F$84,$F71,Административные!$G$25:$G$84,$G71)</f>
        <v>0</v>
      </c>
      <c r="AJ71" s="1099">
        <f>_xlfn.SUMIFS(Административные!AI$25:AI$84,Административные!$F$25:$F$84,$F71,Административные!$G$25:$G$84,$G71)</f>
        <v>0</v>
      </c>
      <c r="AK71" s="1100"/>
      <c r="AL71" s="1100"/>
      <c r="AM71" s="1100"/>
      <c r="AN71" s="1100"/>
      <c r="AO71" s="1100"/>
      <c r="AP71" s="1100"/>
      <c r="AQ71" s="1100"/>
      <c r="AR71" s="1100"/>
      <c r="AS71" s="1100"/>
      <c r="AT71" s="1099">
        <f>_xlfn.SUMIFS(Административные!AJ$25:AJ$84,Административные!$F$25:$F$84,$F71,Административные!$G$25:$G$84,$G71)</f>
        <v>0</v>
      </c>
      <c r="AU71" s="1100"/>
      <c r="AV71" s="1100"/>
      <c r="AW71" s="1100"/>
      <c r="AX71" s="1100"/>
      <c r="AY71" s="1100"/>
      <c r="AZ71" s="1100"/>
      <c r="BA71" s="1100"/>
      <c r="BB71" s="1100"/>
      <c r="BC71" s="1100"/>
      <c r="BD71" s="1099">
        <f>IF(AI71=0,0,(AT71-AI71)/AI71*100)</f>
        <v>0</v>
      </c>
      <c r="BE71" s="1100"/>
      <c r="BF71" s="1100"/>
      <c r="BG71" s="1100"/>
      <c r="BH71" s="1100"/>
      <c r="BI71" s="1100"/>
      <c r="BJ71" s="1100"/>
      <c r="BK71" s="1100"/>
      <c r="BL71" s="1100"/>
      <c r="BM71" s="1100"/>
      <c r="BN71" s="1265"/>
      <c r="BO71" s="1269" t="str">
        <f>IF(_xlfn.IFERROR(INDEX(Административные!$K$26:$L$84,MATCH($F71&amp;"8komm",Административные!$K$26:$K$84,0),2),"")=0,"",_xlfn.IFERROR(INDEX(Административные!$K$26:$L$84,MATCH($F71&amp;"8komm",Административные!$K$26:$K$84,0),2),""))</f>
        <v/>
      </c>
      <c r="BP71" s="1265"/>
      <c r="BQ71" s="960"/>
      <c r="BR71" s="960"/>
      <c r="BS71" s="1046" t="s">
        <v>1684</v>
      </c>
      <c r="BT71" s="1048"/>
      <c r="BU71" s="1048"/>
      <c r="BV71" s="962"/>
      <c r="BW71" s="962"/>
    </row>
    <row customHeight="1" ht="14.625" hidden="1">
      <c r="A72" s="960"/>
      <c r="B72" s="961"/>
      <c r="C72" s="73"/>
      <c r="D72" s="73"/>
      <c r="E72" s="600">
        <v>15</v>
      </c>
      <c r="F72" s="50" cm="1" t="str">
        <f t="array" ref="F72:F72">OFFSET(E72,-1,1)</f>
        <v>0</v>
      </c>
      <c r="G72" s="73" t="s">
        <v>1127</v>
      </c>
      <c r="H72" s="839"/>
      <c r="I72" s="839" t="s">
        <v>1886</v>
      </c>
      <c r="J72" s="73"/>
      <c r="K72" s="345" t="s">
        <v>1886</v>
      </c>
      <c r="L72" s="963" t="s">
        <v>1685</v>
      </c>
      <c r="M72" s="73"/>
      <c r="N72" s="73"/>
      <c r="O72" s="73"/>
      <c r="P72" s="73"/>
      <c r="Q72" s="73"/>
      <c r="R72" s="73"/>
      <c r="S72" s="73"/>
      <c r="T72" s="439" cm="1" t="str">
        <f t="array" ref="T72:T72">T71</f>
        <v>false</v>
      </c>
      <c r="U72" s="73"/>
      <c r="V72" s="73"/>
      <c r="W72" s="73"/>
      <c r="X72" s="1534"/>
      <c r="Y72" s="960"/>
      <c r="Z72" s="1465"/>
      <c r="AA72" s="960"/>
      <c r="AB72" s="267" t="s">
        <v>1887</v>
      </c>
      <c r="AC72" s="749" t="s">
        <v>1128</v>
      </c>
      <c r="AD72" s="267" t="s">
        <v>784</v>
      </c>
      <c r="AE72" s="1099">
        <f>_xlfn.SUMIFS(Административные!AE$25:AE$84,Административные!$F$25:$F$84,$F72,Административные!$G$25:$G$84,$G72)</f>
        <v>0</v>
      </c>
      <c r="AF72" s="1099">
        <f>_xlfn.SUMIFS(Административные!AF$25:AF$84,Административные!$F$25:$F$84,$F72,Административные!$G$25:$G$84,$G72)</f>
        <v>0</v>
      </c>
      <c r="AG72" s="1099">
        <f>_xlfn.SUMIFS(Административные!AG$25:AG$84,Административные!$F$25:$F$84,$F72,Административные!$G$25:$G$84,$G72)</f>
        <v>0</v>
      </c>
      <c r="AH72" s="1099">
        <f>AG72-AF72</f>
        <v>0</v>
      </c>
      <c r="AI72" s="1099">
        <f>_xlfn.SUMIFS(Административные!AH$25:AH$84,Административные!$F$25:$F$84,$F72,Административные!$G$25:$G$84,$G72)</f>
        <v>0</v>
      </c>
      <c r="AJ72" s="1101">
        <f>_xlfn.SUMIFS(Административные!AI$25:AI$84,Административные!$F$25:$F$84,$F72,Административные!$G$25:$G$84,$G72)</f>
        <v>0</v>
      </c>
      <c r="AK72" s="1100"/>
      <c r="AL72" s="1100"/>
      <c r="AM72" s="1100"/>
      <c r="AN72" s="1100"/>
      <c r="AO72" s="1100"/>
      <c r="AP72" s="1100"/>
      <c r="AQ72" s="1100"/>
      <c r="AR72" s="1100"/>
      <c r="AS72" s="1100"/>
      <c r="AT72" s="1100"/>
      <c r="AU72" s="1100"/>
      <c r="AV72" s="1100"/>
      <c r="AW72" s="1100"/>
      <c r="AX72" s="1100"/>
      <c r="AY72" s="1100"/>
      <c r="AZ72" s="1100"/>
      <c r="BA72" s="1100"/>
      <c r="BB72" s="1100"/>
      <c r="BC72" s="1100"/>
      <c r="BD72" s="1099">
        <f>IF(AI72=0,0,(AT72-AI72)/AI72*100)</f>
        <v>0</v>
      </c>
      <c r="BE72" s="1100"/>
      <c r="BF72" s="1100"/>
      <c r="BG72" s="1100"/>
      <c r="BH72" s="1100"/>
      <c r="BI72" s="1100"/>
      <c r="BJ72" s="1100"/>
      <c r="BK72" s="1100"/>
      <c r="BL72" s="1100"/>
      <c r="BM72" s="1100"/>
      <c r="BN72" s="1265"/>
      <c r="BO72" s="1269" t="str">
        <f>IF(_xlfn.IFERROR(INDEX(Административные!$K$26:$L$84,MATCH($F72&amp;"9komm",Административные!$K$26:$K$84,0),2),"")=0,"",_xlfn.IFERROR(INDEX(Административные!$K$26:$L$84,MATCH($F72&amp;"9komm",Административные!$K$26:$K$84,0),2),""))</f>
        <v/>
      </c>
      <c r="BP72" s="1265"/>
      <c r="BQ72" s="960"/>
      <c r="BR72" s="960"/>
      <c r="BS72" s="1046" t="s">
        <v>1687</v>
      </c>
      <c r="BT72" s="1048"/>
      <c r="BU72" s="1048"/>
      <c r="BV72" s="962"/>
      <c r="BW72" s="962"/>
    </row>
    <row customHeight="1" ht="21.9375" hidden="1">
      <c r="A73" s="960"/>
      <c r="B73" s="405">
        <f>STATUS_GO="да"</f>
        <v>0</v>
      </c>
      <c r="C73" s="73"/>
      <c r="D73" s="73"/>
      <c r="E73" s="600">
        <v>22.5</v>
      </c>
      <c r="F73" s="50" cm="1" t="str">
        <f t="array" ref="F73:F73">OFFSET(E73,-1,1)</f>
        <v>0</v>
      </c>
      <c r="G73" s="73"/>
      <c r="H73" s="839"/>
      <c r="I73" s="839" t="s">
        <v>857</v>
      </c>
      <c r="J73" s="73"/>
      <c r="K73" s="345" t="s">
        <v>857</v>
      </c>
      <c r="L73" s="963" t="s">
        <v>329</v>
      </c>
      <c r="M73" s="73"/>
      <c r="N73" s="73"/>
      <c r="O73" s="73"/>
      <c r="P73" s="73"/>
      <c r="Q73" s="73"/>
      <c r="R73" s="73"/>
      <c r="S73" s="73"/>
      <c r="T73" s="439" cm="1" t="str">
        <f t="array" ref="T73:T73">T72</f>
        <v>false</v>
      </c>
      <c r="U73" s="73"/>
      <c r="V73" s="73"/>
      <c r="W73" s="73"/>
      <c r="X73" s="1534"/>
      <c r="Y73" s="960"/>
      <c r="Z73" s="1465"/>
      <c r="AA73" s="960"/>
      <c r="AB73" s="267" t="s">
        <v>858</v>
      </c>
      <c r="AC73" s="743" t="s">
        <v>1888</v>
      </c>
      <c r="AD73" s="267" t="s">
        <v>784</v>
      </c>
      <c r="AE73" s="1099">
        <f>_xlfn.SUMIFS('Сбытовые расходы ГО'!AE$25:AE$63,'Сбытовые расходы ГО'!$F$25:$F$63,$F73,'Сбытовые расходы ГО'!$G$25:$G$63,"L0")-_xlfn.SUMIFS('Сбытовые расходы ГО'!AE$25:AE$63,'Сбытовые расходы ГО'!$F$25:$F$63,$F73,'Сбытовые расходы ГО'!$G$25:$G$63,"L1")</f>
        <v>0</v>
      </c>
      <c r="AF73" s="1099">
        <f>_xlfn.SUMIFS('Сбытовые расходы ГО'!AF$25:AF$63,'Сбытовые расходы ГО'!$F$25:$F$63,$F73,'Сбытовые расходы ГО'!$G$25:$G$63,"L0")-_xlfn.SUMIFS('Сбытовые расходы ГО'!AF$25:AF$63,'Сбытовые расходы ГО'!$F$25:$F$63,$F73,'Сбытовые расходы ГО'!$G$25:$G$63,"L1")</f>
        <v>0</v>
      </c>
      <c r="AG73" s="1099">
        <f>_xlfn.SUMIFS('Сбытовые расходы ГО'!AG$25:AG$63,'Сбытовые расходы ГО'!$F$25:$F$63,$F73,'Сбытовые расходы ГО'!$G$25:$G$63,"L0")-_xlfn.SUMIFS('Сбытовые расходы ГО'!AG$25:AG$63,'Сбытовые расходы ГО'!$F$25:$F$63,$F73,'Сбытовые расходы ГО'!$G$25:$G$63,"L1")</f>
        <v>0</v>
      </c>
      <c r="AH73" s="1099">
        <f>AG73-AF73</f>
        <v>0</v>
      </c>
      <c r="AI73" s="1099">
        <f>_xlfn.SUMIFS('Сбытовые расходы ГО'!AH$25:AH$63,'Сбытовые расходы ГО'!$F$25:$F$63,$F73,'Сбытовые расходы ГО'!$G$25:$G$63,"L0")-_xlfn.SUMIFS('Сбытовые расходы ГО'!AH$25:AH$63,'Сбытовые расходы ГО'!$F$25:$F$63,$F73,'Сбытовые расходы ГО'!$G$25:$G$63,"L1")</f>
        <v>0</v>
      </c>
      <c r="AJ73" s="1099">
        <f>_xlfn.SUMIFS('Сбытовые расходы ГО'!AI$25:AI$63,'Сбытовые расходы ГО'!$F$25:$F$63,$F73,'Сбытовые расходы ГО'!$G$25:$G$63,"L0")-_xlfn.SUMIFS('Сбытовые расходы ГО'!AI$25:AI$63,'Сбытовые расходы ГО'!$F$25:$F$63,$F73,'Сбытовые расходы ГО'!$G$25:$G$63,"L1")</f>
        <v>0</v>
      </c>
      <c r="AK73" s="1100"/>
      <c r="AL73" s="1100"/>
      <c r="AM73" s="1100"/>
      <c r="AN73" s="1100"/>
      <c r="AO73" s="1100"/>
      <c r="AP73" s="1100"/>
      <c r="AQ73" s="1100"/>
      <c r="AR73" s="1100"/>
      <c r="AS73" s="1100"/>
      <c r="AT73" s="1099">
        <f>_xlfn.SUMIFS('Сбытовые расходы ГО'!AJ$25:AJ$63,'Сбытовые расходы ГО'!$F$25:$F$63,$F73,'Сбытовые расходы ГО'!$G$25:$G$63,"L0")-_xlfn.SUMIFS('Сбытовые расходы ГО'!AJ$25:AJ$63,'Сбытовые расходы ГО'!$F$25:$F$63,$F73,'Сбытовые расходы ГО'!$G$25:$G$63,"L1")</f>
        <v>0</v>
      </c>
      <c r="AU73" s="1100"/>
      <c r="AV73" s="1100"/>
      <c r="AW73" s="1100"/>
      <c r="AX73" s="1100"/>
      <c r="AY73" s="1100"/>
      <c r="AZ73" s="1100"/>
      <c r="BA73" s="1100"/>
      <c r="BB73" s="1100"/>
      <c r="BC73" s="1100"/>
      <c r="BD73" s="1099">
        <f>IF(AI73=0,0,(AT73-AI73)/AI73*100)</f>
        <v>0</v>
      </c>
      <c r="BE73" s="1100"/>
      <c r="BF73" s="1100"/>
      <c r="BG73" s="1100"/>
      <c r="BH73" s="1100"/>
      <c r="BI73" s="1100"/>
      <c r="BJ73" s="1100"/>
      <c r="BK73" s="1100"/>
      <c r="BL73" s="1100"/>
      <c r="BM73" s="1100"/>
      <c r="BN73" s="1265"/>
      <c r="BO73" s="1265"/>
      <c r="BP73" s="1265"/>
      <c r="BQ73" s="960"/>
      <c r="BR73" s="960"/>
      <c r="BS73" s="1047" t="s">
        <v>1689</v>
      </c>
      <c r="BT73" s="1048"/>
      <c r="BU73" s="1048"/>
      <c r="BV73" s="962"/>
      <c r="BW73" s="962"/>
    </row>
    <row customHeight="1" ht="14.625" hidden="1">
      <c r="A74" s="960"/>
      <c r="B74" s="961"/>
      <c r="C74" s="73"/>
      <c r="D74" s="73"/>
      <c r="E74" s="600">
        <v>15</v>
      </c>
      <c r="F74" s="50" cm="1" t="str">
        <f t="array" ref="F74:F74">OFFSET(E74,-1,1)</f>
        <v>0</v>
      </c>
      <c r="G74" s="73"/>
      <c r="H74" s="839"/>
      <c r="I74" s="839" t="s">
        <v>1627</v>
      </c>
      <c r="J74" s="73"/>
      <c r="K74" s="345" t="s">
        <v>1627</v>
      </c>
      <c r="L74" s="963"/>
      <c r="M74" s="73"/>
      <c r="N74" s="73"/>
      <c r="O74" s="73"/>
      <c r="P74" s="73"/>
      <c r="Q74" s="73"/>
      <c r="R74" s="73"/>
      <c r="S74" s="73"/>
      <c r="T74" s="439" cm="1" t="str">
        <f t="array" ref="T74:T74">T73</f>
        <v>false</v>
      </c>
      <c r="U74" s="73"/>
      <c r="V74" s="73"/>
      <c r="W74" s="73"/>
      <c r="X74" s="1534"/>
      <c r="Y74" s="960"/>
      <c r="Z74" s="1465"/>
      <c r="AA74" s="960"/>
      <c r="AB74" s="267" t="s">
        <v>1628</v>
      </c>
      <c r="AC74" s="743" t="s">
        <v>1889</v>
      </c>
      <c r="AD74" s="267" t="s">
        <v>784</v>
      </c>
      <c r="AE74" s="1268"/>
      <c r="AF74" s="1268"/>
      <c r="AG74" s="1268"/>
      <c r="AH74" s="1099">
        <f>AG74-AF74</f>
        <v>0</v>
      </c>
      <c r="AI74" s="1268"/>
      <c r="AJ74" s="4561"/>
      <c r="AK74" s="1100"/>
      <c r="AL74" s="1100"/>
      <c r="AM74" s="1100"/>
      <c r="AN74" s="1100"/>
      <c r="AO74" s="1100"/>
      <c r="AP74" s="1100"/>
      <c r="AQ74" s="1100"/>
      <c r="AR74" s="1100"/>
      <c r="AS74" s="1100"/>
      <c r="AT74" s="4561"/>
      <c r="AU74" s="1100"/>
      <c r="AV74" s="1100"/>
      <c r="AW74" s="1100"/>
      <c r="AX74" s="1100"/>
      <c r="AY74" s="1100"/>
      <c r="AZ74" s="1100"/>
      <c r="BA74" s="1100"/>
      <c r="BB74" s="1100"/>
      <c r="BC74" s="1100"/>
      <c r="BD74" s="1099">
        <f>IF(AI74=0,0,(AT74-AI74)/AI74*100)</f>
        <v>0</v>
      </c>
      <c r="BE74" s="1100"/>
      <c r="BF74" s="1100"/>
      <c r="BG74" s="1100"/>
      <c r="BH74" s="1100"/>
      <c r="BI74" s="1100"/>
      <c r="BJ74" s="1100"/>
      <c r="BK74" s="1100"/>
      <c r="BL74" s="1100"/>
      <c r="BM74" s="1100"/>
      <c r="BN74" s="1265"/>
      <c r="BO74" s="1265"/>
      <c r="BP74" s="1265"/>
      <c r="BQ74" s="960"/>
      <c r="BR74" s="960"/>
      <c r="BS74" s="1048" t="s">
        <v>1890</v>
      </c>
      <c r="BT74" s="1048"/>
      <c r="BU74" s="1048"/>
      <c r="BV74" s="962"/>
      <c r="BW74" s="962"/>
    </row>
    <row s="680" customFormat="1" customHeight="1" ht="20.475" hidden="1">
      <c r="A75" s="680"/>
      <c r="B75" s="408"/>
      <c r="C75" s="75"/>
      <c r="D75" s="75"/>
      <c r="E75" s="807">
        <v>21</v>
      </c>
      <c r="F75" s="50" cm="1" t="str">
        <f t="array" ref="F75:F75">OFFSET(E75,-1,1)</f>
        <v>0</v>
      </c>
      <c r="G75" s="75"/>
      <c r="H75" s="839"/>
      <c r="I75" s="839" t="s">
        <v>1631</v>
      </c>
      <c r="J75" s="75"/>
      <c r="K75" s="345" t="s">
        <v>1631</v>
      </c>
      <c r="L75" s="968"/>
      <c r="M75" s="75"/>
      <c r="N75" s="75"/>
      <c r="O75" s="75"/>
      <c r="P75" s="75"/>
      <c r="Q75" s="75"/>
      <c r="R75" s="75"/>
      <c r="S75" s="75"/>
      <c r="T75" s="439">
        <f>AND(F75&gt;0,method_reg="Метод индексации")</f>
        <v>0</v>
      </c>
      <c r="U75" s="75"/>
      <c r="V75" s="75"/>
      <c r="W75" s="75"/>
      <c r="X75" s="1534"/>
      <c r="Y75" s="680"/>
      <c r="Z75" s="1465"/>
      <c r="AA75" s="680"/>
      <c r="AB75" s="178" t="s">
        <v>1632</v>
      </c>
      <c r="AC75" s="328" t="s">
        <v>1891</v>
      </c>
      <c r="AD75" s="178" t="s">
        <v>784</v>
      </c>
      <c r="AE75" s="180">
        <f>SUM(AE76:AE77)</f>
        <v>0</v>
      </c>
      <c r="AF75" s="180">
        <f>SUM(AF76:AF77)</f>
        <v>0</v>
      </c>
      <c r="AG75" s="180">
        <f>SUM(AG76:AG77)</f>
        <v>0</v>
      </c>
      <c r="AH75" s="759">
        <f>AG75-AF75</f>
        <v>0</v>
      </c>
      <c r="AI75" s="180">
        <f>SUM(AI76:AI77)</f>
        <v>0</v>
      </c>
      <c r="AJ75" s="180">
        <f>SUM(AJ76:AJ77)</f>
        <v>0</v>
      </c>
      <c r="AK75" s="183"/>
      <c r="AL75" s="183"/>
      <c r="AM75" s="183"/>
      <c r="AN75" s="183"/>
      <c r="AO75" s="183"/>
      <c r="AP75" s="183"/>
      <c r="AQ75" s="183"/>
      <c r="AR75" s="183"/>
      <c r="AS75" s="183"/>
      <c r="AT75" s="180">
        <f>SUM(AT76:AT77)</f>
        <v>0</v>
      </c>
      <c r="AU75" s="183"/>
      <c r="AV75" s="183"/>
      <c r="AW75" s="183"/>
      <c r="AX75" s="183"/>
      <c r="AY75" s="183"/>
      <c r="AZ75" s="183"/>
      <c r="BA75" s="183"/>
      <c r="BB75" s="183"/>
      <c r="BC75" s="183"/>
      <c r="BD75" s="759">
        <f>IF(AI75=0,0,(AT75-AI75)/AI75*100)</f>
        <v>0</v>
      </c>
      <c r="BE75" s="183"/>
      <c r="BF75" s="183"/>
      <c r="BG75" s="183"/>
      <c r="BH75" s="183"/>
      <c r="BI75" s="183"/>
      <c r="BJ75" s="183"/>
      <c r="BK75" s="183"/>
      <c r="BL75" s="183"/>
      <c r="BM75" s="183"/>
      <c r="BN75" s="1267"/>
      <c r="BO75" s="1267"/>
      <c r="BP75" s="1267"/>
      <c r="BQ75" s="680"/>
      <c r="BR75" s="680"/>
      <c r="BS75" s="1054" t="s">
        <v>1892</v>
      </c>
      <c r="BT75" s="1054"/>
      <c r="BU75" s="1054"/>
      <c r="BV75" s="687"/>
      <c r="BW75" s="687"/>
    </row>
    <row customHeight="1" ht="14.625" hidden="1">
      <c r="A76" s="960"/>
      <c r="B76" s="405">
        <f>method_reg="Метод индексации"</f>
        <v>1</v>
      </c>
      <c r="C76" s="73"/>
      <c r="D76" s="73"/>
      <c r="E76" s="600">
        <v>15</v>
      </c>
      <c r="F76" s="50" cm="1" t="str">
        <f t="array" ref="F76:F76">OFFSET(E76,-1,1)</f>
        <v>0</v>
      </c>
      <c r="G76" s="73"/>
      <c r="H76" s="73"/>
      <c r="I76" s="839" t="s">
        <v>1631</v>
      </c>
      <c r="J76" s="73" cm="1" t="str">
        <f t="array" ref="J76:J76">AC76</f>
        <v>0</v>
      </c>
      <c r="K76" s="345" t="s">
        <v>1631</v>
      </c>
      <c r="L76" s="963"/>
      <c r="M76" s="73"/>
      <c r="N76" s="73"/>
      <c r="O76" s="73"/>
      <c r="P76" s="73"/>
      <c r="Q76" s="73"/>
      <c r="R76" s="73"/>
      <c r="S76" s="73"/>
      <c r="T76" s="439">
        <f>AND(F76&gt;0,Y76&gt;0)</f>
        <v>0</v>
      </c>
      <c r="U76" s="73"/>
      <c r="V76" s="73"/>
      <c r="W76" s="73" t="s">
        <v>173</v>
      </c>
      <c r="X76" s="1534"/>
      <c r="Y76" s="124">
        <v>0</v>
      </c>
      <c r="Z76" s="1465"/>
      <c r="AA76" s="393" t="s">
        <v>174</v>
      </c>
      <c r="AB76" s="267" t="str">
        <f>"1.7."&amp;Y76</f>
        <v>1.7.0</v>
      </c>
      <c r="AC76" s="1270"/>
      <c r="AD76" s="267" t="s">
        <v>784</v>
      </c>
      <c r="AE76" s="1268"/>
      <c r="AF76" s="1268"/>
      <c r="AG76" s="1268"/>
      <c r="AH76" s="1099">
        <f>AG76-AF76</f>
        <v>0</v>
      </c>
      <c r="AI76" s="1268"/>
      <c r="AJ76" s="4561"/>
      <c r="AK76" s="1100"/>
      <c r="AL76" s="1100"/>
      <c r="AM76" s="1100"/>
      <c r="AN76" s="1100"/>
      <c r="AO76" s="1100"/>
      <c r="AP76" s="1100"/>
      <c r="AQ76" s="1100"/>
      <c r="AR76" s="1100"/>
      <c r="AS76" s="1100"/>
      <c r="AT76" s="4561"/>
      <c r="AU76" s="1100"/>
      <c r="AV76" s="1100"/>
      <c r="AW76" s="1100"/>
      <c r="AX76" s="1100"/>
      <c r="AY76" s="1100"/>
      <c r="AZ76" s="1100"/>
      <c r="BA76" s="1100"/>
      <c r="BB76" s="1100"/>
      <c r="BC76" s="1100"/>
      <c r="BD76" s="1099">
        <f>IF(AI76=0,0,(AT76-AI76)/AI76*100)</f>
        <v>0</v>
      </c>
      <c r="BE76" s="1100"/>
      <c r="BF76" s="1100"/>
      <c r="BG76" s="1100"/>
      <c r="BH76" s="1100"/>
      <c r="BI76" s="1100"/>
      <c r="BJ76" s="1100"/>
      <c r="BK76" s="1100"/>
      <c r="BL76" s="1100"/>
      <c r="BM76" s="1100"/>
      <c r="BN76" s="1265"/>
      <c r="BO76" s="1265"/>
      <c r="BP76" s="1265"/>
      <c r="BQ76" s="960"/>
      <c r="BR76" s="960"/>
      <c r="BS76" s="1048" t="s">
        <v>1892</v>
      </c>
      <c r="BT76" s="1048" t="s">
        <v>1893</v>
      </c>
      <c r="BU76" s="1048" cm="1" t="str">
        <f t="array" ref="BU76:BU76">AC76</f>
        <v>0</v>
      </c>
      <c r="BV76" s="962"/>
      <c r="BW76" s="683" t="b">
        <v>1</v>
      </c>
    </row>
    <row customHeight="1" ht="14.625" hidden="1">
      <c r="A77" s="960"/>
      <c r="B77" s="405" cm="1" t="str">
        <f t="array" ref="B77:B77">B76</f>
        <v>true</v>
      </c>
      <c r="C77" s="73"/>
      <c r="D77" s="73"/>
      <c r="E77" s="600">
        <v>15</v>
      </c>
      <c r="F77" s="50" cm="1" t="str">
        <f t="array" ref="F77:F77">OFFSET(E77,-1,1)</f>
        <v>0</v>
      </c>
      <c r="G77" s="454"/>
      <c r="H77" s="73"/>
      <c r="I77" s="73"/>
      <c r="J77" s="73" t="s">
        <v>1894</v>
      </c>
      <c r="K77" s="960"/>
      <c r="L77" s="963"/>
      <c r="M77" s="73"/>
      <c r="N77" s="73"/>
      <c r="O77" s="73"/>
      <c r="P77" s="73"/>
      <c r="Q77" s="73"/>
      <c r="R77" s="73"/>
      <c r="S77" s="73"/>
      <c r="T77" s="439">
        <f>F77&gt;0</f>
        <v>0</v>
      </c>
      <c r="U77" s="73"/>
      <c r="V77" s="73"/>
      <c r="W77" s="810" t="s">
        <v>392</v>
      </c>
      <c r="X77" s="1534"/>
      <c r="Y77" s="960"/>
      <c r="Z77" s="1465"/>
      <c r="AA77" s="960"/>
      <c r="AB77" s="856"/>
      <c r="AC77" s="227" t="s">
        <v>177</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1893</v>
      </c>
      <c r="BW77" s="962"/>
    </row>
    <row s="680" customFormat="1" customHeight="1" ht="20.475" hidden="1">
      <c r="A78" s="680"/>
      <c r="B78" s="408"/>
      <c r="C78" s="75"/>
      <c r="D78" s="75"/>
      <c r="E78" s="807">
        <v>21</v>
      </c>
      <c r="F78" s="50" cm="1" t="str">
        <f t="array" ref="F78:F78">OFFSET(E78,-1,1)</f>
        <v>0</v>
      </c>
      <c r="G78" s="75"/>
      <c r="H78" s="73"/>
      <c r="I78" s="73" t="s">
        <v>326</v>
      </c>
      <c r="J78" s="75"/>
      <c r="K78" s="124" t="s">
        <v>326</v>
      </c>
      <c r="L78" s="968"/>
      <c r="M78" s="75"/>
      <c r="N78" s="75"/>
      <c r="O78" s="75"/>
      <c r="P78" s="75"/>
      <c r="Q78" s="75"/>
      <c r="R78" s="75"/>
      <c r="S78" s="75"/>
      <c r="T78" s="439">
        <f>F78&gt;0</f>
        <v>0</v>
      </c>
      <c r="U78" s="75"/>
      <c r="V78" s="75"/>
      <c r="W78" s="75"/>
      <c r="X78" s="1534"/>
      <c r="Y78" s="680"/>
      <c r="Z78" s="1465"/>
      <c r="AA78" s="680"/>
      <c r="AB78" s="201" t="s">
        <v>283</v>
      </c>
      <c r="AC78" s="179" t="s">
        <v>1895</v>
      </c>
      <c r="AD78" s="201" t="s">
        <v>784</v>
      </c>
      <c r="AE78" s="180">
        <f>AE79+AE91+AE92++AE103+AE104+AE105+AE107+AE108+AE109+AE110+AE113</f>
        <v>0</v>
      </c>
      <c r="AF78" s="180">
        <f>AF79+AF91+AF92++AF103+AF104+AF105+AF107+AF108+AF109+AF110+AF113</f>
        <v>0</v>
      </c>
      <c r="AG78" s="180">
        <f>AG79+AG91+AG92++AG103+AG104+AG105+AG107+AG108+AG109+AG110+AG113</f>
        <v>0</v>
      </c>
      <c r="AH78" s="759">
        <f>AG78-AF78</f>
        <v>0</v>
      </c>
      <c r="AI78" s="180">
        <f>AI79+AI91+AI92++AI103+AI104+AI105+AI107+AI108+AI109+AI110+AI113</f>
        <v>0</v>
      </c>
      <c r="AJ78" s="180">
        <f>AJ79+AJ91+AJ92++AJ103+AJ104+AJ105+AJ107+AJ108+AJ109+AJ110+AJ113</f>
        <v>0</v>
      </c>
      <c r="AK78" s="180">
        <f>AK79+AK91+AK92++AK103+AK104+AK105+AK107+AK108+AK109+AK110+AK113</f>
        <v>0</v>
      </c>
      <c r="AL78" s="180">
        <f>AL79+AL91+AL92++AL103+AL104+AL105+AL107+AL108+AL109+AL110+AL113</f>
        <v>0</v>
      </c>
      <c r="AM78" s="180">
        <f>AM79+AM91+AM92++AM103+AM104+AM105+AM107+AM108+AM109+AM110+AM113</f>
        <v>0</v>
      </c>
      <c r="AN78" s="180">
        <f>AN79+AN91+AN92++AN103+AN104+AN105+AN107+AN108+AN109+AN110+AN113</f>
        <v>0</v>
      </c>
      <c r="AO78" s="180">
        <f>AO79+AO91+AO92++AO103+AO104+AO105+AO107+AO108+AO109+AO110+AO113</f>
        <v>0</v>
      </c>
      <c r="AP78" s="180">
        <f>AP79+AP91+AP92++AP103+AP104+AP105+AP107+AP108+AP109+AP110+AP113</f>
        <v>0</v>
      </c>
      <c r="AQ78" s="180">
        <f>AQ79+AQ91+AQ92++AQ103+AQ104+AQ105+AQ107+AQ108+AQ109+AQ110+AQ113</f>
        <v>0</v>
      </c>
      <c r="AR78" s="180">
        <f>AR79+AR91+AR92++AR103+AR104+AR105+AR107+AR108+AR109+AR110+AR113</f>
        <v>0</v>
      </c>
      <c r="AS78" s="180">
        <f>AS79+AS91+AS92++AS103+AS104+AS105+AS107+AS108+AS109+AS110+AS113</f>
        <v>0</v>
      </c>
      <c r="AT78" s="180">
        <f>AT79+AT91+AT92++AT103+AT104+AT105+AT107+AT108+AT109+AT110+AT113</f>
        <v>0</v>
      </c>
      <c r="AU78" s="180">
        <f>AU79+AU91+AU92++AU103+AU104+AU105+AU107+AU108+AU109+AU110+AU113</f>
        <v>0</v>
      </c>
      <c r="AV78" s="180">
        <f>AV79+AV91+AV92++AV103+AV104+AV105+AV107+AV108+AV109+AV110+AV113</f>
        <v>0</v>
      </c>
      <c r="AW78" s="180">
        <f>AW79+AW91+AW92++AW103+AW104+AW105+AW107+AW108+AW109+AW110+AW113</f>
        <v>0</v>
      </c>
      <c r="AX78" s="180">
        <f>AX79+AX91+AX92++AX103+AX104+AX105+AX107+AX108+AX109+AX110+AX113</f>
        <v>0</v>
      </c>
      <c r="AY78" s="180">
        <f>AY79+AY91+AY92++AY103+AY104+AY105+AY107+AY108+AY109+AY110+AY113</f>
        <v>0</v>
      </c>
      <c r="AZ78" s="180">
        <f>AZ79+AZ91+AZ92++AZ103+AZ104+AZ105+AZ107+AZ108+AZ109+AZ110+AZ113</f>
        <v>0</v>
      </c>
      <c r="BA78" s="180">
        <f>BA79+BA91+BA92++BA103+BA104+BA105+BA107+BA108+BA109+BA110+BA113</f>
        <v>0</v>
      </c>
      <c r="BB78" s="180">
        <f>BB79+BB91+BB92++BB103+BB104+BB105+BB107+BB108+BB109+BB110+BB113</f>
        <v>0</v>
      </c>
      <c r="BC78" s="180">
        <f>BC79+BC91+BC92++BC103+BC104+BC105+BC107+BC108+BC109+BC110+BC113</f>
        <v>0</v>
      </c>
      <c r="BD78" s="759">
        <f>IF(AI78=0,0,(AT78-AI78)/AI78*100)</f>
        <v>0</v>
      </c>
      <c r="BE78" s="759">
        <f>IF(AT78=0,0,(AU78-AT78)/AT78*100)</f>
        <v>0</v>
      </c>
      <c r="BF78" s="759">
        <f>IF(AU78=0,0,(AV78-AU78)/AU78*100)</f>
        <v>0</v>
      </c>
      <c r="BG78" s="759">
        <f>IF(AV78=0,0,(AW78-AV78)/AV78*100)</f>
        <v>0</v>
      </c>
      <c r="BH78" s="759">
        <f>IF(AW78=0,0,(AX78-AW78)/AW78*100)</f>
        <v>0</v>
      </c>
      <c r="BI78" s="759">
        <f>IF(AX78=0,0,(AY78-AX78)/AX78*100)</f>
        <v>0</v>
      </c>
      <c r="BJ78" s="759">
        <f>IF(AY78=0,0,(AZ78-AY78)/AY78*100)</f>
        <v>0</v>
      </c>
      <c r="BK78" s="759">
        <f>IF(AZ78=0,0,(BA78-AZ78)/AZ78*100)</f>
        <v>0</v>
      </c>
      <c r="BL78" s="759">
        <f>IF(BA78=0,0,(BB78-BA78)/BA78*100)</f>
        <v>0</v>
      </c>
      <c r="BM78" s="759">
        <f>IF(BB78=0,0,(BC78-BB78)/BB78*100)</f>
        <v>0</v>
      </c>
      <c r="BN78" s="1265"/>
      <c r="BO78" s="1265"/>
      <c r="BP78" s="1265"/>
      <c r="BQ78" s="126"/>
      <c r="BR78" s="680"/>
      <c r="BS78" s="1054" t="s">
        <v>1896</v>
      </c>
      <c r="BT78" s="1054"/>
      <c r="BU78" s="1054"/>
      <c r="BV78" s="687"/>
      <c r="BW78" s="687"/>
    </row>
    <row s="680" customFormat="1" customHeight="1" ht="21.9375" hidden="1">
      <c r="A79" s="680"/>
      <c r="B79" s="408"/>
      <c r="C79" s="75"/>
      <c r="D79" s="75"/>
      <c r="E79" s="807">
        <v>22.5</v>
      </c>
      <c r="F79" s="50" cm="1" t="str">
        <f t="array" ref="F79:F79">OFFSET(E79,-1,1)</f>
        <v>0</v>
      </c>
      <c r="G79" s="341" cm="1" t="str">
        <f t="array" ref="G79:G79">F78</f>
        <v>0</v>
      </c>
      <c r="H79" s="73"/>
      <c r="I79" s="73" t="s">
        <v>459</v>
      </c>
      <c r="J79" s="75"/>
      <c r="K79" s="124" t="s">
        <v>459</v>
      </c>
      <c r="L79" s="968" t="s">
        <v>445</v>
      </c>
      <c r="M79" s="75"/>
      <c r="N79" s="75"/>
      <c r="O79" s="75"/>
      <c r="P79" s="75"/>
      <c r="Q79" s="75"/>
      <c r="R79" s="75"/>
      <c r="S79" s="75"/>
      <c r="T79" s="439" cm="1" t="str">
        <f t="array" ref="T79:T79">T78</f>
        <v>false</v>
      </c>
      <c r="U79" s="75"/>
      <c r="V79" s="75"/>
      <c r="W79" s="75"/>
      <c r="X79" s="1534"/>
      <c r="Y79" s="680"/>
      <c r="Z79" s="1465"/>
      <c r="AA79" s="680"/>
      <c r="AB79" s="178" t="s">
        <v>515</v>
      </c>
      <c r="AC79" s="328" t="s">
        <v>1897</v>
      </c>
      <c r="AD79" s="178" t="s">
        <v>784</v>
      </c>
      <c r="AE79" s="180">
        <f>SUM(AE80:AE90)</f>
        <v>0</v>
      </c>
      <c r="AF79" s="180">
        <f>SUM(AF80:AF90)</f>
        <v>0</v>
      </c>
      <c r="AG79" s="180">
        <f>SUM(AG80:AG90)</f>
        <v>0</v>
      </c>
      <c r="AH79" s="759">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59">
        <f>IF(AI79=0,0,(AT79-AI79)/AI79*100)</f>
        <v>0</v>
      </c>
      <c r="BE79" s="759">
        <f>IF(AT79=0,0,(AU79-AT79)/AT79*100)</f>
        <v>0</v>
      </c>
      <c r="BF79" s="759">
        <f>IF(AU79=0,0,(AV79-AU79)/AU79*100)</f>
        <v>0</v>
      </c>
      <c r="BG79" s="759">
        <f>IF(AV79=0,0,(AW79-AV79)/AV79*100)</f>
        <v>0</v>
      </c>
      <c r="BH79" s="759">
        <f>IF(AW79=0,0,(AX79-AW79)/AW79*100)</f>
        <v>0</v>
      </c>
      <c r="BI79" s="759">
        <f>IF(AX79=0,0,(AY79-AX79)/AX79*100)</f>
        <v>0</v>
      </c>
      <c r="BJ79" s="759">
        <f>IF(AY79=0,0,(AZ79-AY79)/AY79*100)</f>
        <v>0</v>
      </c>
      <c r="BK79" s="759">
        <f>IF(AZ79=0,0,(BA79-AZ79)/AZ79*100)</f>
        <v>0</v>
      </c>
      <c r="BL79" s="759">
        <f>IF(BA79=0,0,(BB79-BA79)/BA79*100)</f>
        <v>0</v>
      </c>
      <c r="BM79" s="759">
        <f>IF(BB79=0,0,(BC79-BB79)/BB79*100)</f>
        <v>0</v>
      </c>
      <c r="BN79" s="1267"/>
      <c r="BO79" s="1267"/>
      <c r="BP79" s="1267"/>
      <c r="BQ79" s="680"/>
      <c r="BR79" s="680"/>
      <c r="BS79" s="1054" t="s">
        <v>1619</v>
      </c>
      <c r="BT79" s="1054"/>
      <c r="BU79" s="1054"/>
      <c r="BV79" s="687"/>
      <c r="BW79" s="687"/>
    </row>
    <row customHeight="1" ht="14.625" hidden="1">
      <c r="A80" s="960"/>
      <c r="B80" s="961"/>
      <c r="C80" s="73"/>
      <c r="D80" s="73"/>
      <c r="E80" s="600">
        <v>15</v>
      </c>
      <c r="F80" s="50" cm="1" t="str">
        <f t="array" ref="F80:F80">OFFSET(E80,-1,1)</f>
        <v>0</v>
      </c>
      <c r="G80" s="73" t="s">
        <v>1028</v>
      </c>
      <c r="H80" s="73"/>
      <c r="I80" s="73" t="s">
        <v>1445</v>
      </c>
      <c r="J80" s="73"/>
      <c r="K80" s="124" t="s">
        <v>1445</v>
      </c>
      <c r="L80" s="963" t="s">
        <v>1222</v>
      </c>
      <c r="M80" s="73"/>
      <c r="N80" s="73"/>
      <c r="O80" s="73"/>
      <c r="P80" s="73"/>
      <c r="Q80" s="73"/>
      <c r="R80" s="73"/>
      <c r="S80" s="73"/>
      <c r="T80" s="439" cm="1" t="str">
        <f t="array" ref="T80:T80">T79</f>
        <v>false</v>
      </c>
      <c r="U80" s="73"/>
      <c r="V80" s="73"/>
      <c r="W80" s="73"/>
      <c r="X80" s="1534"/>
      <c r="Y80" s="960"/>
      <c r="Z80" s="1465"/>
      <c r="AA80" s="960"/>
      <c r="AB80" s="267" t="s">
        <v>467</v>
      </c>
      <c r="AC80" s="746" t="s">
        <v>1898</v>
      </c>
      <c r="AD80" s="267" t="s">
        <v>784</v>
      </c>
      <c r="AE80" s="1099">
        <f>_xlfn.SUMIFS(Покупка!AE$25:AE$117,Покупка!$F$25:$F$117,$F80,Покупка!$AC$25:$AC$117,$G80)</f>
        <v>0</v>
      </c>
      <c r="AF80" s="1099">
        <f>_xlfn.SUMIFS(Покупка!AF$25:AF$117,Покупка!$F$25:$F$117,$F80,Покупка!$AC$25:$AC$117,$G80)</f>
        <v>0</v>
      </c>
      <c r="AG80" s="1099">
        <f>_xlfn.SUMIFS(Покупка!AG$25:AG$117,Покупка!$F$25:$F$117,$F80,Покупка!$AC$25:$AC$117,$G80)</f>
        <v>0</v>
      </c>
      <c r="AH80" s="1099">
        <f>AG80-AF80</f>
        <v>0</v>
      </c>
      <c r="AI80" s="1099">
        <f>_xlfn.SUMIFS(Покупка!AH$25:AH$117,Покупка!$F$25:$F$117,$F80,Покупка!$AC$25:$AC$117,$G80)</f>
        <v>0</v>
      </c>
      <c r="AJ80" s="1099">
        <f>_xlfn.SUMIFS(Покупка!AI$25:AI$117,Покупка!$F$25:$F$117,$F80,Покупка!$AC$25:$AC$117,$G80)</f>
        <v>0</v>
      </c>
      <c r="AK80" s="1099">
        <f>_xlfn.SUMIFS(Покупка!AJ$25:AJ$117,Покупка!$F$25:$F$117,$F80,Покупка!$AC$25:$AC$117,$G80)</f>
        <v>0</v>
      </c>
      <c r="AL80" s="1099">
        <f>_xlfn.SUMIFS(Покупка!AK$25:AK$117,Покупка!$F$25:$F$117,$F80,Покупка!$AC$25:$AC$117,$G80)</f>
        <v>0</v>
      </c>
      <c r="AM80" s="1099">
        <f>_xlfn.SUMIFS(Покупка!AL$25:AL$117,Покупка!$F$25:$F$117,$F80,Покупка!$AC$25:$AC$117,$G80)</f>
        <v>0</v>
      </c>
      <c r="AN80" s="1099">
        <f>_xlfn.SUMIFS(Покупка!AM$25:AM$117,Покупка!$F$25:$F$117,$F80,Покупка!$AC$25:$AC$117,$G80)</f>
        <v>0</v>
      </c>
      <c r="AO80" s="1099">
        <f>_xlfn.SUMIFS(Покупка!AN$25:AN$117,Покупка!$F$25:$F$117,$F80,Покупка!$AC$25:$AC$117,$G80)</f>
        <v>0</v>
      </c>
      <c r="AP80" s="1099">
        <f>_xlfn.SUMIFS(Покупка!AO$25:AO$117,Покупка!$F$25:$F$117,$F80,Покупка!$AC$25:$AC$117,$G80)</f>
        <v>0</v>
      </c>
      <c r="AQ80" s="1099">
        <f>_xlfn.SUMIFS(Покупка!AP$25:AP$117,Покупка!$F$25:$F$117,$F80,Покупка!$AC$25:$AC$117,$G80)</f>
        <v>0</v>
      </c>
      <c r="AR80" s="1099">
        <f>_xlfn.SUMIFS(Покупка!AQ$25:AQ$117,Покупка!$F$25:$F$117,$F80,Покупка!$AC$25:$AC$117,$G80)</f>
        <v>0</v>
      </c>
      <c r="AS80" s="1099">
        <f>_xlfn.SUMIFS(Покупка!AR$25:AR$117,Покупка!$F$25:$F$117,$F80,Покупка!$AC$25:$AC$117,$G80)</f>
        <v>0</v>
      </c>
      <c r="AT80" s="1099">
        <f>_xlfn.SUMIFS(Покупка!AS$25:AS$117,Покупка!$F$25:$F$117,$F80,Покупка!$AC$25:$AC$117,$G80)</f>
        <v>0</v>
      </c>
      <c r="AU80" s="1099">
        <f>_xlfn.SUMIFS(Покупка!AT$25:AT$117,Покупка!$F$25:$F$117,$F80,Покупка!$AC$25:$AC$117,$G80)</f>
        <v>0</v>
      </c>
      <c r="AV80" s="1099">
        <f>_xlfn.SUMIFS(Покупка!AU$25:AU$117,Покупка!$F$25:$F$117,$F80,Покупка!$AC$25:$AC$117,$G80)</f>
        <v>0</v>
      </c>
      <c r="AW80" s="1099">
        <f>_xlfn.SUMIFS(Покупка!AV$25:AV$117,Покупка!$F$25:$F$117,$F80,Покупка!$AC$25:$AC$117,$G80)</f>
        <v>0</v>
      </c>
      <c r="AX80" s="1099">
        <f>_xlfn.SUMIFS(Покупка!AW$25:AW$117,Покупка!$F$25:$F$117,$F80,Покупка!$AC$25:$AC$117,$G80)</f>
        <v>0</v>
      </c>
      <c r="AY80" s="1099">
        <f>_xlfn.SUMIFS(Покупка!AX$25:AX$117,Покупка!$F$25:$F$117,$F80,Покупка!$AC$25:$AC$117,$G80)</f>
        <v>0</v>
      </c>
      <c r="AZ80" s="1099">
        <f>_xlfn.SUMIFS(Покупка!AY$25:AY$117,Покупка!$F$25:$F$117,$F80,Покупка!$AC$25:$AC$117,$G80)</f>
        <v>0</v>
      </c>
      <c r="BA80" s="1099">
        <f>_xlfn.SUMIFS(Покупка!AZ$25:AZ$117,Покупка!$F$25:$F$117,$F80,Покупка!$AC$25:$AC$117,$G80)</f>
        <v>0</v>
      </c>
      <c r="BB80" s="1099">
        <f>_xlfn.SUMIFS(Покупка!BA$25:BA$117,Покупка!$F$25:$F$117,$F80,Покупка!$AC$25:$AC$117,$G80)</f>
        <v>0</v>
      </c>
      <c r="BC80" s="1099">
        <f>_xlfn.SUMIFS(Покупка!BB$25:BB$117,Покупка!$F$25:$F$117,$F80,Покупка!$AC$25:$AC$117,$G80)</f>
        <v>0</v>
      </c>
      <c r="BD80" s="1099">
        <f>IF(AI80=0,0,(AT80-AI80)/AI80*100)</f>
        <v>0</v>
      </c>
      <c r="BE80" s="1099">
        <f>IF(AT80=0,0,(AU80-AT80)/AT80*100)</f>
        <v>0</v>
      </c>
      <c r="BF80" s="1099">
        <f>IF(AU80=0,0,(AV80-AU80)/AU80*100)</f>
        <v>0</v>
      </c>
      <c r="BG80" s="1099">
        <f>IF(AV80=0,0,(AW80-AV80)/AV80*100)</f>
        <v>0</v>
      </c>
      <c r="BH80" s="1099">
        <f>IF(AW80=0,0,(AX80-AW80)/AW80*100)</f>
        <v>0</v>
      </c>
      <c r="BI80" s="1099">
        <f>IF(AX80=0,0,(AY80-AX80)/AX80*100)</f>
        <v>0</v>
      </c>
      <c r="BJ80" s="1099">
        <f>IF(AY80=0,0,(AZ80-AY80)/AY80*100)</f>
        <v>0</v>
      </c>
      <c r="BK80" s="1099">
        <f>IF(AZ80=0,0,(BA80-AZ80)/AZ80*100)</f>
        <v>0</v>
      </c>
      <c r="BL80" s="1099">
        <f>IF(BA80=0,0,(BB80-BA80)/BA80*100)</f>
        <v>0</v>
      </c>
      <c r="BM80" s="1099">
        <f>IF(BB80=0,0,(BC80-BB80)/BB80*100)</f>
        <v>0</v>
      </c>
      <c r="BN80" s="1265"/>
      <c r="BO80" s="1269" t="str">
        <f>IF(_xlfn.IFERROR(INDEX(Покупка!$K$26:$L$117,MATCH($F80&amp;"6komm",Покупка!$K$26:$K$117,0),2),"")=0,"",_xlfn.IFERROR(INDEX(Покупка!$K$26:$L$117,MATCH($F80&amp;"6komm",Покупка!$K$26:$K$117,0),2),""))</f>
        <v/>
      </c>
      <c r="BP80" s="1265"/>
      <c r="BQ80" s="960"/>
      <c r="BR80" s="960"/>
      <c r="BS80" s="1048" t="s">
        <v>1029</v>
      </c>
      <c r="BT80" s="1048"/>
      <c r="BU80" s="1048"/>
      <c r="BV80" s="962"/>
      <c r="BW80" s="962"/>
    </row>
    <row customHeight="1" ht="14.625" hidden="1">
      <c r="A81" s="960"/>
      <c r="B81" s="961"/>
      <c r="C81" s="73"/>
      <c r="D81" s="73"/>
      <c r="E81" s="600">
        <v>15</v>
      </c>
      <c r="F81" s="50" cm="1" t="str">
        <f t="array" ref="F81:F81">OFFSET(E81,-1,1)</f>
        <v>0</v>
      </c>
      <c r="G81" s="73" t="s">
        <v>1030</v>
      </c>
      <c r="H81" s="73"/>
      <c r="I81" s="73" t="s">
        <v>1449</v>
      </c>
      <c r="J81" s="73"/>
      <c r="K81" s="73" t="s">
        <v>1449</v>
      </c>
      <c r="L81" s="963" t="s">
        <v>1226</v>
      </c>
      <c r="M81" s="73"/>
      <c r="N81" s="73"/>
      <c r="O81" s="73"/>
      <c r="P81" s="73"/>
      <c r="Q81" s="73"/>
      <c r="R81" s="73"/>
      <c r="S81" s="73"/>
      <c r="T81" s="439" cm="1" t="str">
        <f t="array" ref="T81:T81">T80</f>
        <v>false</v>
      </c>
      <c r="U81" s="73"/>
      <c r="V81" s="73"/>
      <c r="W81" s="73"/>
      <c r="X81" s="1534"/>
      <c r="Y81" s="960"/>
      <c r="Z81" s="1465"/>
      <c r="AA81" s="960"/>
      <c r="AB81" s="267" t="s">
        <v>1899</v>
      </c>
      <c r="AC81" s="746" t="s">
        <v>1900</v>
      </c>
      <c r="AD81" s="267" t="s">
        <v>784</v>
      </c>
      <c r="AE81" s="1099">
        <f>_xlfn.SUMIFS(Покупка!AE$25:AE$117,Покупка!$F$25:$F$117,$F81,Покупка!$AC$25:$AC$117,$G81)</f>
        <v>0</v>
      </c>
      <c r="AF81" s="1099">
        <f>_xlfn.SUMIFS(Покупка!AF$25:AF$117,Покупка!$F$25:$F$117,$F81,Покупка!$AC$25:$AC$117,$G81)</f>
        <v>0</v>
      </c>
      <c r="AG81" s="1099">
        <f>_xlfn.SUMIFS(Покупка!AG$25:AG$117,Покупка!$F$25:$F$117,$F81,Покупка!$AC$25:$AC$117,$G81)</f>
        <v>0</v>
      </c>
      <c r="AH81" s="1099">
        <f>AG81-AF81</f>
        <v>0</v>
      </c>
      <c r="AI81" s="1099">
        <f>_xlfn.SUMIFS(Покупка!AH$25:AH$117,Покупка!$F$25:$F$117,$F81,Покупка!$AC$25:$AC$117,$G81)</f>
        <v>0</v>
      </c>
      <c r="AJ81" s="1099">
        <f>_xlfn.SUMIFS(Покупка!AI$25:AI$117,Покупка!$F$25:$F$117,$F81,Покупка!$AC$25:$AC$117,$G81)</f>
        <v>0</v>
      </c>
      <c r="AK81" s="1099">
        <f>_xlfn.SUMIFS(Покупка!AJ$25:AJ$117,Покупка!$F$25:$F$117,$F81,Покупка!$AC$25:$AC$117,$G81)</f>
        <v>0</v>
      </c>
      <c r="AL81" s="1099">
        <f>_xlfn.SUMIFS(Покупка!AK$25:AK$117,Покупка!$F$25:$F$117,$F81,Покупка!$AC$25:$AC$117,$G81)</f>
        <v>0</v>
      </c>
      <c r="AM81" s="1099">
        <f>_xlfn.SUMIFS(Покупка!AL$25:AL$117,Покупка!$F$25:$F$117,$F81,Покупка!$AC$25:$AC$117,$G81)</f>
        <v>0</v>
      </c>
      <c r="AN81" s="1099">
        <f>_xlfn.SUMIFS(Покупка!AM$25:AM$117,Покупка!$F$25:$F$117,$F81,Покупка!$AC$25:$AC$117,$G81)</f>
        <v>0</v>
      </c>
      <c r="AO81" s="1099">
        <f>_xlfn.SUMIFS(Покупка!AN$25:AN$117,Покупка!$F$25:$F$117,$F81,Покупка!$AC$25:$AC$117,$G81)</f>
        <v>0</v>
      </c>
      <c r="AP81" s="1099">
        <f>_xlfn.SUMIFS(Покупка!AO$25:AO$117,Покупка!$F$25:$F$117,$F81,Покупка!$AC$25:$AC$117,$G81)</f>
        <v>0</v>
      </c>
      <c r="AQ81" s="1099">
        <f>_xlfn.SUMIFS(Покупка!AP$25:AP$117,Покупка!$F$25:$F$117,$F81,Покупка!$AC$25:$AC$117,$G81)</f>
        <v>0</v>
      </c>
      <c r="AR81" s="1099">
        <f>_xlfn.SUMIFS(Покупка!AQ$25:AQ$117,Покупка!$F$25:$F$117,$F81,Покупка!$AC$25:$AC$117,$G81)</f>
        <v>0</v>
      </c>
      <c r="AS81" s="1099">
        <f>_xlfn.SUMIFS(Покупка!AR$25:AR$117,Покупка!$F$25:$F$117,$F81,Покупка!$AC$25:$AC$117,$G81)</f>
        <v>0</v>
      </c>
      <c r="AT81" s="1099">
        <f>_xlfn.SUMIFS(Покупка!AS$25:AS$117,Покупка!$F$25:$F$117,$F81,Покупка!$AC$25:$AC$117,$G81)</f>
        <v>0</v>
      </c>
      <c r="AU81" s="1099">
        <f>_xlfn.SUMIFS(Покупка!AT$25:AT$117,Покупка!$F$25:$F$117,$F81,Покупка!$AC$25:$AC$117,$G81)</f>
        <v>0</v>
      </c>
      <c r="AV81" s="1099">
        <f>_xlfn.SUMIFS(Покупка!AU$25:AU$117,Покупка!$F$25:$F$117,$F81,Покупка!$AC$25:$AC$117,$G81)</f>
        <v>0</v>
      </c>
      <c r="AW81" s="1099">
        <f>_xlfn.SUMIFS(Покупка!AV$25:AV$117,Покупка!$F$25:$F$117,$F81,Покупка!$AC$25:$AC$117,$G81)</f>
        <v>0</v>
      </c>
      <c r="AX81" s="1099">
        <f>_xlfn.SUMIFS(Покупка!AW$25:AW$117,Покупка!$F$25:$F$117,$F81,Покупка!$AC$25:$AC$117,$G81)</f>
        <v>0</v>
      </c>
      <c r="AY81" s="1099">
        <f>_xlfn.SUMIFS(Покупка!AX$25:AX$117,Покупка!$F$25:$F$117,$F81,Покупка!$AC$25:$AC$117,$G81)</f>
        <v>0</v>
      </c>
      <c r="AZ81" s="1099">
        <f>_xlfn.SUMIFS(Покупка!AY$25:AY$117,Покупка!$F$25:$F$117,$F81,Покупка!$AC$25:$AC$117,$G81)</f>
        <v>0</v>
      </c>
      <c r="BA81" s="1099">
        <f>_xlfn.SUMIFS(Покупка!AZ$25:AZ$117,Покупка!$F$25:$F$117,$F81,Покупка!$AC$25:$AC$117,$G81)</f>
        <v>0</v>
      </c>
      <c r="BB81" s="1099">
        <f>_xlfn.SUMIFS(Покупка!BA$25:BA$117,Покупка!$F$25:$F$117,$F81,Покупка!$AC$25:$AC$117,$G81)</f>
        <v>0</v>
      </c>
      <c r="BC81" s="1099">
        <f>_xlfn.SUMIFS(Покупка!BB$25:BB$117,Покупка!$F$25:$F$117,$F81,Покупка!$AC$25:$AC$117,$G81)</f>
        <v>0</v>
      </c>
      <c r="BD81" s="1099">
        <f>IF(AI81=0,0,(AT81-AI81)/AI81*100)</f>
        <v>0</v>
      </c>
      <c r="BE81" s="1099">
        <f>IF(AT81=0,0,(AU81-AT81)/AT81*100)</f>
        <v>0</v>
      </c>
      <c r="BF81" s="1099">
        <f>IF(AU81=0,0,(AV81-AU81)/AU81*100)</f>
        <v>0</v>
      </c>
      <c r="BG81" s="1099">
        <f>IF(AV81=0,0,(AW81-AV81)/AV81*100)</f>
        <v>0</v>
      </c>
      <c r="BH81" s="1099">
        <f>IF(AW81=0,0,(AX81-AW81)/AW81*100)</f>
        <v>0</v>
      </c>
      <c r="BI81" s="1099">
        <f>IF(AX81=0,0,(AY81-AX81)/AX81*100)</f>
        <v>0</v>
      </c>
      <c r="BJ81" s="1099">
        <f>IF(AY81=0,0,(AZ81-AY81)/AY81*100)</f>
        <v>0</v>
      </c>
      <c r="BK81" s="1099">
        <f>IF(AZ81=0,0,(BA81-AZ81)/AZ81*100)</f>
        <v>0</v>
      </c>
      <c r="BL81" s="1099">
        <f>IF(BA81=0,0,(BB81-BA81)/BA81*100)</f>
        <v>0</v>
      </c>
      <c r="BM81" s="1099">
        <f>IF(BB81=0,0,(BC81-BB81)/BB81*100)</f>
        <v>0</v>
      </c>
      <c r="BN81" s="1265"/>
      <c r="BO81" s="1269" t="str">
        <f>IF(_xlfn.IFERROR(INDEX(Покупка!$K$26:$L$117,MATCH($F81&amp;"7komm",Покупка!$K$26:$K$117,0),2),"")=0,"",_xlfn.IFERROR(INDEX(Покупка!$K$26:$L$117,MATCH($F81&amp;"7komm",Покупка!$K$26:$K$117,0),2),""))</f>
        <v/>
      </c>
      <c r="BP81" s="1265"/>
      <c r="BQ81" s="960"/>
      <c r="BR81" s="960"/>
      <c r="BS81" s="1048" t="s">
        <v>1031</v>
      </c>
      <c r="BT81" s="1048"/>
      <c r="BU81" s="1048"/>
      <c r="BV81" s="962"/>
      <c r="BW81" s="962"/>
    </row>
    <row customHeight="1" ht="14.625" hidden="1">
      <c r="A82" s="960"/>
      <c r="B82" s="961"/>
      <c r="C82" s="73"/>
      <c r="D82" s="73"/>
      <c r="E82" s="600">
        <v>15</v>
      </c>
      <c r="F82" s="50" cm="1" t="str">
        <f t="array" ref="F82:F82">OFFSET(E82,-1,1)</f>
        <v>0</v>
      </c>
      <c r="G82" s="73" t="s">
        <v>1005</v>
      </c>
      <c r="H82" s="73"/>
      <c r="I82" s="73" t="s">
        <v>1531</v>
      </c>
      <c r="J82" s="73"/>
      <c r="K82" s="73" t="s">
        <v>1531</v>
      </c>
      <c r="L82" s="963" t="s">
        <v>1394</v>
      </c>
      <c r="M82" s="73"/>
      <c r="N82" s="73"/>
      <c r="O82" s="73"/>
      <c r="P82" s="73"/>
      <c r="Q82" s="73"/>
      <c r="R82" s="73"/>
      <c r="S82" s="73"/>
      <c r="T82" s="439" cm="1" t="str">
        <f t="array" ref="T82:T82">T81</f>
        <v>false</v>
      </c>
      <c r="U82" s="73"/>
      <c r="V82" s="73"/>
      <c r="W82" s="73"/>
      <c r="X82" s="1534"/>
      <c r="Y82" s="960"/>
      <c r="Z82" s="1465"/>
      <c r="AA82" s="960"/>
      <c r="AB82" s="267" t="s">
        <v>1901</v>
      </c>
      <c r="AC82" s="746" t="s">
        <v>1902</v>
      </c>
      <c r="AD82" s="267" t="s">
        <v>784</v>
      </c>
      <c r="AE82" s="1099">
        <f>_xlfn.SUMIFS(Покупка!AE$25:AE$117,Покупка!$F$25:$F$117,$F82,Покупка!$AC$25:$AC$117,$G82)</f>
        <v>0</v>
      </c>
      <c r="AF82" s="1099">
        <f>_xlfn.SUMIFS(Покупка!AF$25:AF$117,Покупка!$F$25:$F$117,$F82,Покупка!$AC$25:$AC$117,$G82)</f>
        <v>0</v>
      </c>
      <c r="AG82" s="1099">
        <f>_xlfn.SUMIFS(Покупка!AG$25:AG$117,Покупка!$F$25:$F$117,$F82,Покупка!$AC$25:$AC$117,$G82)</f>
        <v>0</v>
      </c>
      <c r="AH82" s="1099">
        <f>AG82-AF82</f>
        <v>0</v>
      </c>
      <c r="AI82" s="1099">
        <f>_xlfn.SUMIFS(Покупка!AH$25:AH$117,Покупка!$F$25:$F$117,$F82,Покупка!$AC$25:$AC$117,$G82)</f>
        <v>0</v>
      </c>
      <c r="AJ82" s="1099">
        <f>_xlfn.SUMIFS(Покупка!AI$25:AI$117,Покупка!$F$25:$F$117,$F82,Покупка!$AC$25:$AC$117,$G82)</f>
        <v>0</v>
      </c>
      <c r="AK82" s="1099">
        <f>_xlfn.SUMIFS(Покупка!AJ$25:AJ$117,Покупка!$F$25:$F$117,$F82,Покупка!$AC$25:$AC$117,$G82)</f>
        <v>0</v>
      </c>
      <c r="AL82" s="1099">
        <f>_xlfn.SUMIFS(Покупка!AK$25:AK$117,Покупка!$F$25:$F$117,$F82,Покупка!$AC$25:$AC$117,$G82)</f>
        <v>0</v>
      </c>
      <c r="AM82" s="1099">
        <f>_xlfn.SUMIFS(Покупка!AL$25:AL$117,Покупка!$F$25:$F$117,$F82,Покупка!$AC$25:$AC$117,$G82)</f>
        <v>0</v>
      </c>
      <c r="AN82" s="1099">
        <f>_xlfn.SUMIFS(Покупка!AM$25:AM$117,Покупка!$F$25:$F$117,$F82,Покупка!$AC$25:$AC$117,$G82)</f>
        <v>0</v>
      </c>
      <c r="AO82" s="1099">
        <f>_xlfn.SUMIFS(Покупка!AN$25:AN$117,Покупка!$F$25:$F$117,$F82,Покупка!$AC$25:$AC$117,$G82)</f>
        <v>0</v>
      </c>
      <c r="AP82" s="1099">
        <f>_xlfn.SUMIFS(Покупка!AO$25:AO$117,Покупка!$F$25:$F$117,$F82,Покупка!$AC$25:$AC$117,$G82)</f>
        <v>0</v>
      </c>
      <c r="AQ82" s="1099">
        <f>_xlfn.SUMIFS(Покупка!AP$25:AP$117,Покупка!$F$25:$F$117,$F82,Покупка!$AC$25:$AC$117,$G82)</f>
        <v>0</v>
      </c>
      <c r="AR82" s="1099">
        <f>_xlfn.SUMIFS(Покупка!AQ$25:AQ$117,Покупка!$F$25:$F$117,$F82,Покупка!$AC$25:$AC$117,$G82)</f>
        <v>0</v>
      </c>
      <c r="AS82" s="1099">
        <f>_xlfn.SUMIFS(Покупка!AR$25:AR$117,Покупка!$F$25:$F$117,$F82,Покупка!$AC$25:$AC$117,$G82)</f>
        <v>0</v>
      </c>
      <c r="AT82" s="1099">
        <f>_xlfn.SUMIFS(Покупка!AS$25:AS$117,Покупка!$F$25:$F$117,$F82,Покупка!$AC$25:$AC$117,$G82)</f>
        <v>0</v>
      </c>
      <c r="AU82" s="1099">
        <f>_xlfn.SUMIFS(Покупка!AT$25:AT$117,Покупка!$F$25:$F$117,$F82,Покупка!$AC$25:$AC$117,$G82)</f>
        <v>0</v>
      </c>
      <c r="AV82" s="1099">
        <f>_xlfn.SUMIFS(Покупка!AU$25:AU$117,Покупка!$F$25:$F$117,$F82,Покупка!$AC$25:$AC$117,$G82)</f>
        <v>0</v>
      </c>
      <c r="AW82" s="1099">
        <f>_xlfn.SUMIFS(Покупка!AV$25:AV$117,Покупка!$F$25:$F$117,$F82,Покупка!$AC$25:$AC$117,$G82)</f>
        <v>0</v>
      </c>
      <c r="AX82" s="1099">
        <f>_xlfn.SUMIFS(Покупка!AW$25:AW$117,Покупка!$F$25:$F$117,$F82,Покупка!$AC$25:$AC$117,$G82)</f>
        <v>0</v>
      </c>
      <c r="AY82" s="1099">
        <f>_xlfn.SUMIFS(Покупка!AX$25:AX$117,Покупка!$F$25:$F$117,$F82,Покупка!$AC$25:$AC$117,$G82)</f>
        <v>0</v>
      </c>
      <c r="AZ82" s="1099">
        <f>_xlfn.SUMIFS(Покупка!AY$25:AY$117,Покупка!$F$25:$F$117,$F82,Покупка!$AC$25:$AC$117,$G82)</f>
        <v>0</v>
      </c>
      <c r="BA82" s="1099">
        <f>_xlfn.SUMIFS(Покупка!AZ$25:AZ$117,Покупка!$F$25:$F$117,$F82,Покупка!$AC$25:$AC$117,$G82)</f>
        <v>0</v>
      </c>
      <c r="BB82" s="1099">
        <f>_xlfn.SUMIFS(Покупка!BA$25:BA$117,Покупка!$F$25:$F$117,$F82,Покупка!$AC$25:$AC$117,$G82)</f>
        <v>0</v>
      </c>
      <c r="BC82" s="1099">
        <f>_xlfn.SUMIFS(Покупка!BB$25:BB$117,Покупка!$F$25:$F$117,$F82,Покупка!$AC$25:$AC$117,$G82)</f>
        <v>0</v>
      </c>
      <c r="BD82" s="1099">
        <f>IF(AI82=0,0,(AT82-AI82)/AI82*100)</f>
        <v>0</v>
      </c>
      <c r="BE82" s="1099">
        <f>IF(AT82=0,0,(AU82-AT82)/AT82*100)</f>
        <v>0</v>
      </c>
      <c r="BF82" s="1099">
        <f>IF(AU82=0,0,(AV82-AU82)/AU82*100)</f>
        <v>0</v>
      </c>
      <c r="BG82" s="1099">
        <f>IF(AV82=0,0,(AW82-AV82)/AV82*100)</f>
        <v>0</v>
      </c>
      <c r="BH82" s="1099">
        <f>IF(AW82=0,0,(AX82-AW82)/AW82*100)</f>
        <v>0</v>
      </c>
      <c r="BI82" s="1099">
        <f>IF(AX82=0,0,(AY82-AX82)/AX82*100)</f>
        <v>0</v>
      </c>
      <c r="BJ82" s="1099">
        <f>IF(AY82=0,0,(AZ82-AY82)/AY82*100)</f>
        <v>0</v>
      </c>
      <c r="BK82" s="1099">
        <f>IF(AZ82=0,0,(BA82-AZ82)/AZ82*100)</f>
        <v>0</v>
      </c>
      <c r="BL82" s="1099">
        <f>IF(BA82=0,0,(BB82-BA82)/BA82*100)</f>
        <v>0</v>
      </c>
      <c r="BM82" s="1099">
        <f>IF(BB82=0,0,(BC82-BB82)/BB82*100)</f>
        <v>0</v>
      </c>
      <c r="BN82" s="1265"/>
      <c r="BO82" s="1269" t="str">
        <f>IF(_xlfn.IFERROR(INDEX(Покупка!$K$26:$L$117,MATCH($F82&amp;"2komm",Покупка!$K$26:$K$117,0),2),"")=0,"",_xlfn.IFERROR(INDEX(Покупка!$K$26:$L$117,MATCH($F82&amp;"2komm",Покупка!$K$26:$K$117,0),2),""))</f>
        <v/>
      </c>
      <c r="BP82" s="1265"/>
      <c r="BQ82" s="960"/>
      <c r="BR82" s="960"/>
      <c r="BS82" s="1048" t="s">
        <v>1903</v>
      </c>
      <c r="BT82" s="1048"/>
      <c r="BU82" s="1048"/>
      <c r="BV82" s="962"/>
      <c r="BW82" s="962"/>
    </row>
    <row customHeight="1" ht="14.625" hidden="1">
      <c r="A83" s="960"/>
      <c r="B83" s="961"/>
      <c r="C83" s="73"/>
      <c r="D83" s="73"/>
      <c r="E83" s="600">
        <v>15</v>
      </c>
      <c r="F83" s="50" cm="1" t="str">
        <f t="array" ref="F83:F83">OFFSET(E83,-1,1)</f>
        <v>0</v>
      </c>
      <c r="G83" s="73" t="s">
        <v>996</v>
      </c>
      <c r="H83" s="73"/>
      <c r="I83" s="73" t="s">
        <v>1533</v>
      </c>
      <c r="J83" s="73"/>
      <c r="K83" s="73" t="s">
        <v>1533</v>
      </c>
      <c r="L83" s="963" t="s">
        <v>1389</v>
      </c>
      <c r="M83" s="73"/>
      <c r="N83" s="73"/>
      <c r="O83" s="73"/>
      <c r="P83" s="73"/>
      <c r="Q83" s="73"/>
      <c r="R83" s="73"/>
      <c r="S83" s="73"/>
      <c r="T83" s="439" cm="1" t="str">
        <f t="array" ref="T83:T83">T82</f>
        <v>false</v>
      </c>
      <c r="U83" s="73"/>
      <c r="V83" s="73"/>
      <c r="W83" s="73"/>
      <c r="X83" s="1534"/>
      <c r="Y83" s="960"/>
      <c r="Z83" s="1465"/>
      <c r="AA83" s="960"/>
      <c r="AB83" s="267" t="s">
        <v>1904</v>
      </c>
      <c r="AC83" s="746" t="s">
        <v>1905</v>
      </c>
      <c r="AD83" s="267" t="s">
        <v>784</v>
      </c>
      <c r="AE83" s="1099">
        <f>_xlfn.SUMIFS(Покупка!AE$25:AE$117,Покупка!$F$25:$F$117,$F83,Покупка!$AC$25:$AC$117,$G83)</f>
        <v>0</v>
      </c>
      <c r="AF83" s="1099">
        <f>_xlfn.SUMIFS(Покупка!AF$25:AF$117,Покупка!$F$25:$F$117,$F83,Покупка!$AC$25:$AC$117,$G83)</f>
        <v>0</v>
      </c>
      <c r="AG83" s="1099">
        <f>_xlfn.SUMIFS(Покупка!AG$25:AG$117,Покупка!$F$25:$F$117,$F83,Покупка!$AC$25:$AC$117,$G83)</f>
        <v>0</v>
      </c>
      <c r="AH83" s="1099">
        <f>AG83-AF83</f>
        <v>0</v>
      </c>
      <c r="AI83" s="1099">
        <f>_xlfn.SUMIFS(Покупка!AH$25:AH$117,Покупка!$F$25:$F$117,$F83,Покупка!$AC$25:$AC$117,$G83)</f>
        <v>0</v>
      </c>
      <c r="AJ83" s="1099">
        <f>_xlfn.SUMIFS(Покупка!AI$25:AI$117,Покупка!$F$25:$F$117,$F83,Покупка!$AC$25:$AC$117,$G83)</f>
        <v>0</v>
      </c>
      <c r="AK83" s="1099">
        <f>_xlfn.SUMIFS(Покупка!AJ$25:AJ$117,Покупка!$F$25:$F$117,$F83,Покупка!$AC$25:$AC$117,$G83)</f>
        <v>0</v>
      </c>
      <c r="AL83" s="1099">
        <f>_xlfn.SUMIFS(Покупка!AK$25:AK$117,Покупка!$F$25:$F$117,$F83,Покупка!$AC$25:$AC$117,$G83)</f>
        <v>0</v>
      </c>
      <c r="AM83" s="1099">
        <f>_xlfn.SUMIFS(Покупка!AL$25:AL$117,Покупка!$F$25:$F$117,$F83,Покупка!$AC$25:$AC$117,$G83)</f>
        <v>0</v>
      </c>
      <c r="AN83" s="1099">
        <f>_xlfn.SUMIFS(Покупка!AM$25:AM$117,Покупка!$F$25:$F$117,$F83,Покупка!$AC$25:$AC$117,$G83)</f>
        <v>0</v>
      </c>
      <c r="AO83" s="1099">
        <f>_xlfn.SUMIFS(Покупка!AN$25:AN$117,Покупка!$F$25:$F$117,$F83,Покупка!$AC$25:$AC$117,$G83)</f>
        <v>0</v>
      </c>
      <c r="AP83" s="1099">
        <f>_xlfn.SUMIFS(Покупка!AO$25:AO$117,Покупка!$F$25:$F$117,$F83,Покупка!$AC$25:$AC$117,$G83)</f>
        <v>0</v>
      </c>
      <c r="AQ83" s="1099">
        <f>_xlfn.SUMIFS(Покупка!AP$25:AP$117,Покупка!$F$25:$F$117,$F83,Покупка!$AC$25:$AC$117,$G83)</f>
        <v>0</v>
      </c>
      <c r="AR83" s="1099">
        <f>_xlfn.SUMIFS(Покупка!AQ$25:AQ$117,Покупка!$F$25:$F$117,$F83,Покупка!$AC$25:$AC$117,$G83)</f>
        <v>0</v>
      </c>
      <c r="AS83" s="1099">
        <f>_xlfn.SUMIFS(Покупка!AR$25:AR$117,Покупка!$F$25:$F$117,$F83,Покупка!$AC$25:$AC$117,$G83)</f>
        <v>0</v>
      </c>
      <c r="AT83" s="1099">
        <f>_xlfn.SUMIFS(Покупка!AS$25:AS$117,Покупка!$F$25:$F$117,$F83,Покупка!$AC$25:$AC$117,$G83)</f>
        <v>0</v>
      </c>
      <c r="AU83" s="1099">
        <f>_xlfn.SUMIFS(Покупка!AT$25:AT$117,Покупка!$F$25:$F$117,$F83,Покупка!$AC$25:$AC$117,$G83)</f>
        <v>0</v>
      </c>
      <c r="AV83" s="1099">
        <f>_xlfn.SUMIFS(Покупка!AU$25:AU$117,Покупка!$F$25:$F$117,$F83,Покупка!$AC$25:$AC$117,$G83)</f>
        <v>0</v>
      </c>
      <c r="AW83" s="1099">
        <f>_xlfn.SUMIFS(Покупка!AV$25:AV$117,Покупка!$F$25:$F$117,$F83,Покупка!$AC$25:$AC$117,$G83)</f>
        <v>0</v>
      </c>
      <c r="AX83" s="1099">
        <f>_xlfn.SUMIFS(Покупка!AW$25:AW$117,Покупка!$F$25:$F$117,$F83,Покупка!$AC$25:$AC$117,$G83)</f>
        <v>0</v>
      </c>
      <c r="AY83" s="1099">
        <f>_xlfn.SUMIFS(Покупка!AX$25:AX$117,Покупка!$F$25:$F$117,$F83,Покупка!$AC$25:$AC$117,$G83)</f>
        <v>0</v>
      </c>
      <c r="AZ83" s="1099">
        <f>_xlfn.SUMIFS(Покупка!AY$25:AY$117,Покупка!$F$25:$F$117,$F83,Покупка!$AC$25:$AC$117,$G83)</f>
        <v>0</v>
      </c>
      <c r="BA83" s="1099">
        <f>_xlfn.SUMIFS(Покупка!AZ$25:AZ$117,Покупка!$F$25:$F$117,$F83,Покупка!$AC$25:$AC$117,$G83)</f>
        <v>0</v>
      </c>
      <c r="BB83" s="1099">
        <f>_xlfn.SUMIFS(Покупка!BA$25:BA$117,Покупка!$F$25:$F$117,$F83,Покупка!$AC$25:$AC$117,$G83)</f>
        <v>0</v>
      </c>
      <c r="BC83" s="1099">
        <f>_xlfn.SUMIFS(Покупка!BB$25:BB$117,Покупка!$F$25:$F$117,$F83,Покупка!$AC$25:$AC$117,$G83)</f>
        <v>0</v>
      </c>
      <c r="BD83" s="1099">
        <f>IF(AI83=0,0,(AT83-AI83)/AI83*100)</f>
        <v>0</v>
      </c>
      <c r="BE83" s="1099">
        <f>IF(AT83=0,0,(AU83-AT83)/AT83*100)</f>
        <v>0</v>
      </c>
      <c r="BF83" s="1099">
        <f>IF(AU83=0,0,(AV83-AU83)/AU83*100)</f>
        <v>0</v>
      </c>
      <c r="BG83" s="1099">
        <f>IF(AV83=0,0,(AW83-AV83)/AV83*100)</f>
        <v>0</v>
      </c>
      <c r="BH83" s="1099">
        <f>IF(AW83=0,0,(AX83-AW83)/AW83*100)</f>
        <v>0</v>
      </c>
      <c r="BI83" s="1099">
        <f>IF(AX83=0,0,(AY83-AX83)/AX83*100)</f>
        <v>0</v>
      </c>
      <c r="BJ83" s="1099">
        <f>IF(AY83=0,0,(AZ83-AY83)/AY83*100)</f>
        <v>0</v>
      </c>
      <c r="BK83" s="1099">
        <f>IF(AZ83=0,0,(BA83-AZ83)/AZ83*100)</f>
        <v>0</v>
      </c>
      <c r="BL83" s="1099">
        <f>IF(BA83=0,0,(BB83-BA83)/BA83*100)</f>
        <v>0</v>
      </c>
      <c r="BM83" s="1099">
        <f>IF(BB83=0,0,(BC83-BB83)/BB83*100)</f>
        <v>0</v>
      </c>
      <c r="BN83" s="1265"/>
      <c r="BO83" s="1269" t="str">
        <f>IF(_xlfn.IFERROR(INDEX(Покупка!$K$26:$L$117,MATCH($F83&amp;"1komm",Покупка!$K$26:$K$117,0),2),"")=0,"",_xlfn.IFERROR(INDEX(Покупка!$K$26:$L$117,MATCH($F83&amp;"1komm",Покупка!$K$26:$K$117,0),2),""))</f>
        <v/>
      </c>
      <c r="BP83" s="1265"/>
      <c r="BQ83" s="960"/>
      <c r="BR83" s="960"/>
      <c r="BS83" s="1048" t="s">
        <v>1906</v>
      </c>
      <c r="BT83" s="1048"/>
      <c r="BU83" s="1048"/>
      <c r="BV83" s="962"/>
      <c r="BW83" s="962"/>
    </row>
    <row customHeight="1" ht="14.625" hidden="1">
      <c r="A84" s="960"/>
      <c r="B84" s="961"/>
      <c r="C84" s="73"/>
      <c r="D84" s="73"/>
      <c r="E84" s="600">
        <v>15</v>
      </c>
      <c r="F84" s="50" cm="1" t="str">
        <f t="array" ref="F84:F84">OFFSET(E84,-1,1)</f>
        <v>0</v>
      </c>
      <c r="G84" s="73" t="s">
        <v>1032</v>
      </c>
      <c r="H84" s="73"/>
      <c r="I84" s="73" t="s">
        <v>1536</v>
      </c>
      <c r="J84" s="73"/>
      <c r="K84" s="73" t="s">
        <v>1536</v>
      </c>
      <c r="L84" s="963"/>
      <c r="M84" s="73"/>
      <c r="N84" s="73"/>
      <c r="O84" s="73"/>
      <c r="P84" s="73"/>
      <c r="Q84" s="73"/>
      <c r="R84" s="73"/>
      <c r="S84" s="73"/>
      <c r="T84" s="439" cm="1" t="str">
        <f t="array" ref="T84:T84">T83</f>
        <v>false</v>
      </c>
      <c r="U84" s="73"/>
      <c r="V84" s="73"/>
      <c r="W84" s="73"/>
      <c r="X84" s="1534"/>
      <c r="Y84" s="960"/>
      <c r="Z84" s="1465"/>
      <c r="AA84" s="960"/>
      <c r="AB84" s="267" t="s">
        <v>1907</v>
      </c>
      <c r="AC84" s="746" t="s">
        <v>1908</v>
      </c>
      <c r="AD84" s="267" t="s">
        <v>784</v>
      </c>
      <c r="AE84" s="1099">
        <f>_xlfn.SUMIFS(Покупка!AE$25:AE$117,Покупка!$F$25:$F$117,$F84,Покупка!$AC$25:$AC$117,$G84)</f>
        <v>0</v>
      </c>
      <c r="AF84" s="1099">
        <f>_xlfn.SUMIFS(Покупка!AF$25:AF$117,Покупка!$F$25:$F$117,$F84,Покупка!$AC$25:$AC$117,$G84)</f>
        <v>0</v>
      </c>
      <c r="AG84" s="1099">
        <f>_xlfn.SUMIFS(Покупка!AG$25:AG$117,Покупка!$F$25:$F$117,$F84,Покупка!$AC$25:$AC$117,$G84)</f>
        <v>0</v>
      </c>
      <c r="AH84" s="1099">
        <f>AG84-AF84</f>
        <v>0</v>
      </c>
      <c r="AI84" s="1099">
        <f>_xlfn.SUMIFS(Покупка!AH$25:AH$117,Покупка!$F$25:$F$117,$F84,Покупка!$AC$25:$AC$117,$G84)</f>
        <v>0</v>
      </c>
      <c r="AJ84" s="1099">
        <f>_xlfn.SUMIFS(Покупка!AI$25:AI$117,Покупка!$F$25:$F$117,$F84,Покупка!$AC$25:$AC$117,$G84)</f>
        <v>0</v>
      </c>
      <c r="AK84" s="1099">
        <f>_xlfn.SUMIFS(Покупка!AJ$25:AJ$117,Покупка!$F$25:$F$117,$F84,Покупка!$AC$25:$AC$117,$G84)</f>
        <v>0</v>
      </c>
      <c r="AL84" s="1099">
        <f>_xlfn.SUMIFS(Покупка!AK$25:AK$117,Покупка!$F$25:$F$117,$F84,Покупка!$AC$25:$AC$117,$G84)</f>
        <v>0</v>
      </c>
      <c r="AM84" s="1099">
        <f>_xlfn.SUMIFS(Покупка!AL$25:AL$117,Покупка!$F$25:$F$117,$F84,Покупка!$AC$25:$AC$117,$G84)</f>
        <v>0</v>
      </c>
      <c r="AN84" s="1099">
        <f>_xlfn.SUMIFS(Покупка!AM$25:AM$117,Покупка!$F$25:$F$117,$F84,Покупка!$AC$25:$AC$117,$G84)</f>
        <v>0</v>
      </c>
      <c r="AO84" s="1099">
        <f>_xlfn.SUMIFS(Покупка!AN$25:AN$117,Покупка!$F$25:$F$117,$F84,Покупка!$AC$25:$AC$117,$G84)</f>
        <v>0</v>
      </c>
      <c r="AP84" s="1099">
        <f>_xlfn.SUMIFS(Покупка!AO$25:AO$117,Покупка!$F$25:$F$117,$F84,Покупка!$AC$25:$AC$117,$G84)</f>
        <v>0</v>
      </c>
      <c r="AQ84" s="1099">
        <f>_xlfn.SUMIFS(Покупка!AP$25:AP$117,Покупка!$F$25:$F$117,$F84,Покупка!$AC$25:$AC$117,$G84)</f>
        <v>0</v>
      </c>
      <c r="AR84" s="1099">
        <f>_xlfn.SUMIFS(Покупка!AQ$25:AQ$117,Покупка!$F$25:$F$117,$F84,Покупка!$AC$25:$AC$117,$G84)</f>
        <v>0</v>
      </c>
      <c r="AS84" s="1099">
        <f>_xlfn.SUMIFS(Покупка!AR$25:AR$117,Покупка!$F$25:$F$117,$F84,Покупка!$AC$25:$AC$117,$G84)</f>
        <v>0</v>
      </c>
      <c r="AT84" s="1099">
        <f>_xlfn.SUMIFS(Покупка!AS$25:AS$117,Покупка!$F$25:$F$117,$F84,Покупка!$AC$25:$AC$117,$G84)</f>
        <v>0</v>
      </c>
      <c r="AU84" s="1099">
        <f>_xlfn.SUMIFS(Покупка!AT$25:AT$117,Покупка!$F$25:$F$117,$F84,Покупка!$AC$25:$AC$117,$G84)</f>
        <v>0</v>
      </c>
      <c r="AV84" s="1099">
        <f>_xlfn.SUMIFS(Покупка!AU$25:AU$117,Покупка!$F$25:$F$117,$F84,Покупка!$AC$25:$AC$117,$G84)</f>
        <v>0</v>
      </c>
      <c r="AW84" s="1099">
        <f>_xlfn.SUMIFS(Покупка!AV$25:AV$117,Покупка!$F$25:$F$117,$F84,Покупка!$AC$25:$AC$117,$G84)</f>
        <v>0</v>
      </c>
      <c r="AX84" s="1099">
        <f>_xlfn.SUMIFS(Покупка!AW$25:AW$117,Покупка!$F$25:$F$117,$F84,Покупка!$AC$25:$AC$117,$G84)</f>
        <v>0</v>
      </c>
      <c r="AY84" s="1099">
        <f>_xlfn.SUMIFS(Покупка!AX$25:AX$117,Покупка!$F$25:$F$117,$F84,Покупка!$AC$25:$AC$117,$G84)</f>
        <v>0</v>
      </c>
      <c r="AZ84" s="1099">
        <f>_xlfn.SUMIFS(Покупка!AY$25:AY$117,Покупка!$F$25:$F$117,$F84,Покупка!$AC$25:$AC$117,$G84)</f>
        <v>0</v>
      </c>
      <c r="BA84" s="1099">
        <f>_xlfn.SUMIFS(Покупка!AZ$25:AZ$117,Покупка!$F$25:$F$117,$F84,Покупка!$AC$25:$AC$117,$G84)</f>
        <v>0</v>
      </c>
      <c r="BB84" s="1099">
        <f>_xlfn.SUMIFS(Покупка!BA$25:BA$117,Покупка!$F$25:$F$117,$F84,Покупка!$AC$25:$AC$117,$G84)</f>
        <v>0</v>
      </c>
      <c r="BC84" s="1099">
        <f>_xlfn.SUMIFS(Покупка!BB$25:BB$117,Покупка!$F$25:$F$117,$F84,Покупка!$AC$25:$AC$117,$G84)</f>
        <v>0</v>
      </c>
      <c r="BD84" s="1099">
        <f>IF(AI84=0,0,(AT84-AI84)/AI84*100)</f>
        <v>0</v>
      </c>
      <c r="BE84" s="1099">
        <f>IF(AT84=0,0,(AU84-AT84)/AT84*100)</f>
        <v>0</v>
      </c>
      <c r="BF84" s="1099">
        <f>IF(AU84=0,0,(AV84-AU84)/AU84*100)</f>
        <v>0</v>
      </c>
      <c r="BG84" s="1099">
        <f>IF(AV84=0,0,(AW84-AV84)/AV84*100)</f>
        <v>0</v>
      </c>
      <c r="BH84" s="1099">
        <f>IF(AW84=0,0,(AX84-AW84)/AW84*100)</f>
        <v>0</v>
      </c>
      <c r="BI84" s="1099">
        <f>IF(AX84=0,0,(AY84-AX84)/AX84*100)</f>
        <v>0</v>
      </c>
      <c r="BJ84" s="1099">
        <f>IF(AY84=0,0,(AZ84-AY84)/AY84*100)</f>
        <v>0</v>
      </c>
      <c r="BK84" s="1099">
        <f>IF(AZ84=0,0,(BA84-AZ84)/AZ84*100)</f>
        <v>0</v>
      </c>
      <c r="BL84" s="1099">
        <f>IF(BA84=0,0,(BB84-BA84)/BA84*100)</f>
        <v>0</v>
      </c>
      <c r="BM84" s="1099">
        <f>IF(BB84=0,0,(BC84-BB84)/BB84*100)</f>
        <v>0</v>
      </c>
      <c r="BN84" s="1265"/>
      <c r="BO84" s="1269" t="str">
        <f>IF(_xlfn.IFERROR(INDEX(Покупка!$K$26:$L$117,MATCH($F84&amp;"8komm",Покупка!$K$26:$K$117,0),2),"")=0,"",_xlfn.IFERROR(INDEX(Покупка!$K$26:$L$117,MATCH($F84&amp;"8komm",Покупка!$K$26:$K$117,0),2),""))</f>
        <v/>
      </c>
      <c r="BP84" s="1265"/>
      <c r="BQ84" s="960"/>
      <c r="BR84" s="960"/>
      <c r="BS84" s="1048" t="s">
        <v>1033</v>
      </c>
      <c r="BT84" s="1048"/>
      <c r="BU84" s="1048"/>
      <c r="BV84" s="962"/>
      <c r="BW84" s="962"/>
    </row>
    <row customHeight="1" ht="14.625" hidden="1">
      <c r="A85" s="960"/>
      <c r="B85" s="961"/>
      <c r="C85" s="73"/>
      <c r="D85" s="73"/>
      <c r="E85" s="600">
        <v>15</v>
      </c>
      <c r="F85" s="50" cm="1" t="str">
        <f t="array" ref="F85:F85">OFFSET(E85,-1,1)</f>
        <v>0</v>
      </c>
      <c r="G85" s="73"/>
      <c r="H85" s="73"/>
      <c r="I85" s="73" t="s">
        <v>1909</v>
      </c>
      <c r="J85" s="73"/>
      <c r="K85" s="73" t="s">
        <v>1909</v>
      </c>
      <c r="L85" s="963"/>
      <c r="M85" s="73"/>
      <c r="N85" s="73"/>
      <c r="O85" s="73"/>
      <c r="P85" s="73"/>
      <c r="Q85" s="73"/>
      <c r="R85" s="73"/>
      <c r="S85" s="73"/>
      <c r="T85" s="439" cm="1" t="str">
        <f t="array" ref="T85:T85">T84</f>
        <v>false</v>
      </c>
      <c r="U85" s="73"/>
      <c r="V85" s="73"/>
      <c r="W85" s="73"/>
      <c r="X85" s="1534"/>
      <c r="Y85" s="960"/>
      <c r="Z85" s="1465"/>
      <c r="AA85" s="960"/>
      <c r="AB85" s="267" t="s">
        <v>1910</v>
      </c>
      <c r="AC85" s="746" t="s">
        <v>1911</v>
      </c>
      <c r="AD85" s="267" t="s">
        <v>784</v>
      </c>
      <c r="AE85" s="1268"/>
      <c r="AF85" s="1268"/>
      <c r="AG85" s="1268"/>
      <c r="AH85" s="1099">
        <f>AG85-AF85</f>
        <v>0</v>
      </c>
      <c r="AI85" s="1268"/>
      <c r="AJ85" s="4561"/>
      <c r="AK85" s="1268"/>
      <c r="AL85" s="1268"/>
      <c r="AM85" s="1268"/>
      <c r="AN85" s="1268"/>
      <c r="AO85" s="1268"/>
      <c r="AP85" s="1268"/>
      <c r="AQ85" s="1268"/>
      <c r="AR85" s="1268"/>
      <c r="AS85" s="1268"/>
      <c r="AT85" s="4561"/>
      <c r="AU85" s="1268"/>
      <c r="AV85" s="1268"/>
      <c r="AW85" s="1268"/>
      <c r="AX85" s="1268"/>
      <c r="AY85" s="1268"/>
      <c r="AZ85" s="1268"/>
      <c r="BA85" s="1268"/>
      <c r="BB85" s="1268"/>
      <c r="BC85" s="1268"/>
      <c r="BD85" s="1099">
        <f>IF(AI85=0,0,(AT85-AI85)/AI85*100)</f>
        <v>0</v>
      </c>
      <c r="BE85" s="1099">
        <f>IF(AT85=0,0,(AU85-AT85)/AT85*100)</f>
        <v>0</v>
      </c>
      <c r="BF85" s="1099">
        <f>IF(AU85=0,0,(AV85-AU85)/AU85*100)</f>
        <v>0</v>
      </c>
      <c r="BG85" s="1099">
        <f>IF(AV85=0,0,(AW85-AV85)/AV85*100)</f>
        <v>0</v>
      </c>
      <c r="BH85" s="1099">
        <f>IF(AW85=0,0,(AX85-AW85)/AW85*100)</f>
        <v>0</v>
      </c>
      <c r="BI85" s="1099">
        <f>IF(AX85=0,0,(AY85-AX85)/AX85*100)</f>
        <v>0</v>
      </c>
      <c r="BJ85" s="1099">
        <f>IF(AY85=0,0,(AZ85-AY85)/AY85*100)</f>
        <v>0</v>
      </c>
      <c r="BK85" s="1099">
        <f>IF(AZ85=0,0,(BA85-AZ85)/AZ85*100)</f>
        <v>0</v>
      </c>
      <c r="BL85" s="1099">
        <f>IF(BA85=0,0,(BB85-BA85)/BA85*100)</f>
        <v>0</v>
      </c>
      <c r="BM85" s="1099">
        <f>IF(BB85=0,0,(BC85-BB85)/BB85*100)</f>
        <v>0</v>
      </c>
      <c r="BN85" s="1265"/>
      <c r="BO85" s="1265"/>
      <c r="BP85" s="1265"/>
      <c r="BQ85" s="960"/>
      <c r="BR85" s="960"/>
      <c r="BS85" s="1048" t="s">
        <v>1912</v>
      </c>
      <c r="BT85" s="1048"/>
      <c r="BU85" s="1048"/>
      <c r="BV85" s="962"/>
      <c r="BW85" s="962"/>
    </row>
    <row customHeight="1" ht="14.625" hidden="1">
      <c r="A86" s="960"/>
      <c r="B86" s="961"/>
      <c r="C86" s="73"/>
      <c r="D86" s="73"/>
      <c r="E86" s="600">
        <v>15</v>
      </c>
      <c r="F86" s="50" cm="1" t="str">
        <f t="array" ref="F86:F86">OFFSET(E86,-1,1)</f>
        <v>0</v>
      </c>
      <c r="G86" s="73"/>
      <c r="H86" s="73"/>
      <c r="I86" s="73" t="s">
        <v>1913</v>
      </c>
      <c r="J86" s="73"/>
      <c r="K86" s="73" t="s">
        <v>1913</v>
      </c>
      <c r="L86" s="963"/>
      <c r="M86" s="73"/>
      <c r="N86" s="73"/>
      <c r="O86" s="73"/>
      <c r="P86" s="73"/>
      <c r="Q86" s="73"/>
      <c r="R86" s="73"/>
      <c r="S86" s="73"/>
      <c r="T86" s="439" cm="1" t="str">
        <f t="array" ref="T86:T86">T85</f>
        <v>false</v>
      </c>
      <c r="U86" s="73"/>
      <c r="V86" s="73"/>
      <c r="W86" s="73"/>
      <c r="X86" s="1534"/>
      <c r="Y86" s="960"/>
      <c r="Z86" s="1465"/>
      <c r="AA86" s="960"/>
      <c r="AB86" s="267" t="s">
        <v>1914</v>
      </c>
      <c r="AC86" s="746" t="s">
        <v>1915</v>
      </c>
      <c r="AD86" s="267" t="s">
        <v>784</v>
      </c>
      <c r="AE86" s="1268"/>
      <c r="AF86" s="1268"/>
      <c r="AG86" s="1268"/>
      <c r="AH86" s="1099">
        <f>AG86-AF86</f>
        <v>0</v>
      </c>
      <c r="AI86" s="1268"/>
      <c r="AJ86" s="4561"/>
      <c r="AK86" s="1268"/>
      <c r="AL86" s="1268"/>
      <c r="AM86" s="1268"/>
      <c r="AN86" s="1268"/>
      <c r="AO86" s="1268"/>
      <c r="AP86" s="1268"/>
      <c r="AQ86" s="1268"/>
      <c r="AR86" s="1268"/>
      <c r="AS86" s="1268"/>
      <c r="AT86" s="4561"/>
      <c r="AU86" s="1268"/>
      <c r="AV86" s="1268"/>
      <c r="AW86" s="1268"/>
      <c r="AX86" s="1268"/>
      <c r="AY86" s="1268"/>
      <c r="AZ86" s="1268"/>
      <c r="BA86" s="1268"/>
      <c r="BB86" s="1268"/>
      <c r="BC86" s="1268"/>
      <c r="BD86" s="1099">
        <f>IF(AI86=0,0,(AT86-AI86)/AI86*100)</f>
        <v>0</v>
      </c>
      <c r="BE86" s="1099">
        <f>IF(AT86=0,0,(AU86-AT86)/AT86*100)</f>
        <v>0</v>
      </c>
      <c r="BF86" s="1099">
        <f>IF(AU86=0,0,(AV86-AU86)/AU86*100)</f>
        <v>0</v>
      </c>
      <c r="BG86" s="1099">
        <f>IF(AV86=0,0,(AW86-AV86)/AV86*100)</f>
        <v>0</v>
      </c>
      <c r="BH86" s="1099">
        <f>IF(AW86=0,0,(AX86-AW86)/AW86*100)</f>
        <v>0</v>
      </c>
      <c r="BI86" s="1099">
        <f>IF(AX86=0,0,(AY86-AX86)/AX86*100)</f>
        <v>0</v>
      </c>
      <c r="BJ86" s="1099">
        <f>IF(AY86=0,0,(AZ86-AY86)/AY86*100)</f>
        <v>0</v>
      </c>
      <c r="BK86" s="1099">
        <f>IF(AZ86=0,0,(BA86-AZ86)/AZ86*100)</f>
        <v>0</v>
      </c>
      <c r="BL86" s="1099">
        <f>IF(BA86=0,0,(BB86-BA86)/BA86*100)</f>
        <v>0</v>
      </c>
      <c r="BM86" s="1099">
        <f>IF(BB86=0,0,(BC86-BB86)/BB86*100)</f>
        <v>0</v>
      </c>
      <c r="BN86" s="1265"/>
      <c r="BO86" s="1265"/>
      <c r="BP86" s="1265"/>
      <c r="BQ86" s="960"/>
      <c r="BR86" s="960"/>
      <c r="BS86" s="1048" t="s">
        <v>1916</v>
      </c>
      <c r="BT86" s="1048"/>
      <c r="BU86" s="1048"/>
      <c r="BV86" s="962"/>
      <c r="BW86" s="962"/>
    </row>
    <row customHeight="1" ht="14.625" hidden="1">
      <c r="A87" s="960"/>
      <c r="B87" s="961"/>
      <c r="C87" s="73"/>
      <c r="D87" s="73"/>
      <c r="E87" s="600">
        <v>15</v>
      </c>
      <c r="F87" s="50" cm="1" t="str">
        <f t="array" ref="F87:F87">OFFSET(E87,-1,1)</f>
        <v>0</v>
      </c>
      <c r="G87" s="73" t="s">
        <v>1010</v>
      </c>
      <c r="H87" s="73"/>
      <c r="I87" s="73" t="s">
        <v>1917</v>
      </c>
      <c r="J87" s="73"/>
      <c r="K87" s="73" t="s">
        <v>1917</v>
      </c>
      <c r="L87" s="963" t="s">
        <v>1403</v>
      </c>
      <c r="M87" s="73"/>
      <c r="N87" s="73"/>
      <c r="O87" s="73"/>
      <c r="P87" s="73"/>
      <c r="Q87" s="73"/>
      <c r="R87" s="73"/>
      <c r="S87" s="73"/>
      <c r="T87" s="439" cm="1" t="str">
        <f t="array" ref="T87:T87">T86</f>
        <v>false</v>
      </c>
      <c r="U87" s="73"/>
      <c r="V87" s="73"/>
      <c r="W87" s="73"/>
      <c r="X87" s="1534"/>
      <c r="Y87" s="960"/>
      <c r="Z87" s="1465"/>
      <c r="AA87" s="960"/>
      <c r="AB87" s="267" t="s">
        <v>1918</v>
      </c>
      <c r="AC87" s="746" t="s">
        <v>1919</v>
      </c>
      <c r="AD87" s="267" t="s">
        <v>784</v>
      </c>
      <c r="AE87" s="1099">
        <f>_xlfn.SUMIFS(Покупка!AE$25:AE$117,Покупка!$F$25:$F$117,$F87,Покупка!$AC$25:$AC$117,$G87)</f>
        <v>0</v>
      </c>
      <c r="AF87" s="1099">
        <f>_xlfn.SUMIFS(Покупка!AF$25:AF$117,Покупка!$F$25:$F$117,$F87,Покупка!$AC$25:$AC$117,$G87)</f>
        <v>0</v>
      </c>
      <c r="AG87" s="1099">
        <f>_xlfn.SUMIFS(Покупка!AG$25:AG$117,Покупка!$F$25:$F$117,$F87,Покупка!$AC$25:$AC$117,$G87)</f>
        <v>0</v>
      </c>
      <c r="AH87" s="1099">
        <f>AG87-AF87</f>
        <v>0</v>
      </c>
      <c r="AI87" s="1099">
        <f>_xlfn.SUMIFS(Покупка!AH$25:AH$117,Покупка!$F$25:$F$117,$F87,Покупка!$AC$25:$AC$117,$G87)</f>
        <v>0</v>
      </c>
      <c r="AJ87" s="1099">
        <f>_xlfn.SUMIFS(Покупка!AI$25:AI$117,Покупка!$F$25:$F$117,$F87,Покупка!$AC$25:$AC$117,$G87)</f>
        <v>0</v>
      </c>
      <c r="AK87" s="1099">
        <f>_xlfn.SUMIFS(Покупка!AJ$25:AJ$117,Покупка!$F$25:$F$117,$F87,Покупка!$AC$25:$AC$117,$G87)</f>
        <v>0</v>
      </c>
      <c r="AL87" s="1099">
        <f>_xlfn.SUMIFS(Покупка!AK$25:AK$117,Покупка!$F$25:$F$117,$F87,Покупка!$AC$25:$AC$117,$G87)</f>
        <v>0</v>
      </c>
      <c r="AM87" s="1099">
        <f>_xlfn.SUMIFS(Покупка!AL$25:AL$117,Покупка!$F$25:$F$117,$F87,Покупка!$AC$25:$AC$117,$G87)</f>
        <v>0</v>
      </c>
      <c r="AN87" s="1099">
        <f>_xlfn.SUMIFS(Покупка!AM$25:AM$117,Покупка!$F$25:$F$117,$F87,Покупка!$AC$25:$AC$117,$G87)</f>
        <v>0</v>
      </c>
      <c r="AO87" s="1099">
        <f>_xlfn.SUMIFS(Покупка!AN$25:AN$117,Покупка!$F$25:$F$117,$F87,Покупка!$AC$25:$AC$117,$G87)</f>
        <v>0</v>
      </c>
      <c r="AP87" s="1099">
        <f>_xlfn.SUMIFS(Покупка!AO$25:AO$117,Покупка!$F$25:$F$117,$F87,Покупка!$AC$25:$AC$117,$G87)</f>
        <v>0</v>
      </c>
      <c r="AQ87" s="1099">
        <f>_xlfn.SUMIFS(Покупка!AP$25:AP$117,Покупка!$F$25:$F$117,$F87,Покупка!$AC$25:$AC$117,$G87)</f>
        <v>0</v>
      </c>
      <c r="AR87" s="1099">
        <f>_xlfn.SUMIFS(Покупка!AQ$25:AQ$117,Покупка!$F$25:$F$117,$F87,Покупка!$AC$25:$AC$117,$G87)</f>
        <v>0</v>
      </c>
      <c r="AS87" s="1099">
        <f>_xlfn.SUMIFS(Покупка!AR$25:AR$117,Покупка!$F$25:$F$117,$F87,Покупка!$AC$25:$AC$117,$G87)</f>
        <v>0</v>
      </c>
      <c r="AT87" s="1099">
        <f>_xlfn.SUMIFS(Покупка!AS$25:AS$117,Покупка!$F$25:$F$117,$F87,Покупка!$AC$25:$AC$117,$G87)</f>
        <v>0</v>
      </c>
      <c r="AU87" s="1099">
        <f>_xlfn.SUMIFS(Покупка!AT$25:AT$117,Покупка!$F$25:$F$117,$F87,Покупка!$AC$25:$AC$117,$G87)</f>
        <v>0</v>
      </c>
      <c r="AV87" s="1099">
        <f>_xlfn.SUMIFS(Покупка!AU$25:AU$117,Покупка!$F$25:$F$117,$F87,Покупка!$AC$25:$AC$117,$G87)</f>
        <v>0</v>
      </c>
      <c r="AW87" s="1099">
        <f>_xlfn.SUMIFS(Покупка!AV$25:AV$117,Покупка!$F$25:$F$117,$F87,Покупка!$AC$25:$AC$117,$G87)</f>
        <v>0</v>
      </c>
      <c r="AX87" s="1099">
        <f>_xlfn.SUMIFS(Покупка!AW$25:AW$117,Покупка!$F$25:$F$117,$F87,Покупка!$AC$25:$AC$117,$G87)</f>
        <v>0</v>
      </c>
      <c r="AY87" s="1099">
        <f>_xlfn.SUMIFS(Покупка!AX$25:AX$117,Покупка!$F$25:$F$117,$F87,Покупка!$AC$25:$AC$117,$G87)</f>
        <v>0</v>
      </c>
      <c r="AZ87" s="1099">
        <f>_xlfn.SUMIFS(Покупка!AY$25:AY$117,Покупка!$F$25:$F$117,$F87,Покупка!$AC$25:$AC$117,$G87)</f>
        <v>0</v>
      </c>
      <c r="BA87" s="1099">
        <f>_xlfn.SUMIFS(Покупка!AZ$25:AZ$117,Покупка!$F$25:$F$117,$F87,Покупка!$AC$25:$AC$117,$G87)</f>
        <v>0</v>
      </c>
      <c r="BB87" s="1099">
        <f>_xlfn.SUMIFS(Покупка!BA$25:BA$117,Покупка!$F$25:$F$117,$F87,Покупка!$AC$25:$AC$117,$G87)</f>
        <v>0</v>
      </c>
      <c r="BC87" s="1099">
        <f>_xlfn.SUMIFS(Покупка!BB$25:BB$117,Покупка!$F$25:$F$117,$F87,Покупка!$AC$25:$AC$117,$G87)</f>
        <v>0</v>
      </c>
      <c r="BD87" s="1099">
        <f>IF(AI87=0,0,(AT87-AI87)/AI87*100)</f>
        <v>0</v>
      </c>
      <c r="BE87" s="1099">
        <f>IF(AT87=0,0,(AU87-AT87)/AT87*100)</f>
        <v>0</v>
      </c>
      <c r="BF87" s="1099">
        <f>IF(AU87=0,0,(AV87-AU87)/AU87*100)</f>
        <v>0</v>
      </c>
      <c r="BG87" s="1099">
        <f>IF(AV87=0,0,(AW87-AV87)/AV87*100)</f>
        <v>0</v>
      </c>
      <c r="BH87" s="1099">
        <f>IF(AW87=0,0,(AX87-AW87)/AW87*100)</f>
        <v>0</v>
      </c>
      <c r="BI87" s="1099">
        <f>IF(AX87=0,0,(AY87-AX87)/AX87*100)</f>
        <v>0</v>
      </c>
      <c r="BJ87" s="1099">
        <f>IF(AY87=0,0,(AZ87-AY87)/AY87*100)</f>
        <v>0</v>
      </c>
      <c r="BK87" s="1099">
        <f>IF(AZ87=0,0,(BA87-AZ87)/AZ87*100)</f>
        <v>0</v>
      </c>
      <c r="BL87" s="1099">
        <f>IF(BA87=0,0,(BB87-BA87)/BA87*100)</f>
        <v>0</v>
      </c>
      <c r="BM87" s="1099">
        <f>IF(BB87=0,0,(BC87-BB87)/BB87*100)</f>
        <v>0</v>
      </c>
      <c r="BN87" s="1265"/>
      <c r="BO87" s="1269" t="str">
        <f>IF(_xlfn.IFERROR(INDEX(Покупка!$K$26:$L$117,MATCH($F87&amp;"3komm",Покупка!$K$26:$K$117,0),2),"")=0,"",_xlfn.IFERROR(INDEX(Покупка!$K$26:$L$117,MATCH($F87&amp;"3komm",Покупка!$K$26:$K$117,0),2),""))</f>
        <v/>
      </c>
      <c r="BP87" s="1265"/>
      <c r="BQ87" s="960"/>
      <c r="BR87" s="960"/>
      <c r="BS87" s="1048" t="s">
        <v>1611</v>
      </c>
      <c r="BT87" s="1048"/>
      <c r="BU87" s="1048"/>
      <c r="BV87" s="962"/>
      <c r="BW87" s="962"/>
    </row>
    <row customHeight="1" ht="14.625" hidden="1">
      <c r="A88" s="960"/>
      <c r="B88" s="961"/>
      <c r="C88" s="73"/>
      <c r="D88" s="73"/>
      <c r="E88" s="600">
        <v>15</v>
      </c>
      <c r="F88" s="50" cm="1" t="str">
        <f t="array" ref="F88:F88">OFFSET(E88,-1,1)</f>
        <v>0</v>
      </c>
      <c r="G88" s="73" t="s">
        <v>1016</v>
      </c>
      <c r="H88" s="73"/>
      <c r="I88" s="73" t="s">
        <v>1920</v>
      </c>
      <c r="J88" s="73"/>
      <c r="K88" s="73" t="s">
        <v>1920</v>
      </c>
      <c r="L88" s="963" t="s">
        <v>1408</v>
      </c>
      <c r="M88" s="73"/>
      <c r="N88" s="73"/>
      <c r="O88" s="73"/>
      <c r="P88" s="73"/>
      <c r="Q88" s="73"/>
      <c r="R88" s="73"/>
      <c r="S88" s="73"/>
      <c r="T88" s="439" cm="1" t="str">
        <f t="array" ref="T88:T88">T87</f>
        <v>false</v>
      </c>
      <c r="U88" s="73"/>
      <c r="V88" s="73"/>
      <c r="W88" s="73"/>
      <c r="X88" s="1534"/>
      <c r="Y88" s="960"/>
      <c r="Z88" s="1465"/>
      <c r="AA88" s="960"/>
      <c r="AB88" s="267" t="s">
        <v>1921</v>
      </c>
      <c r="AC88" s="746" t="s">
        <v>1922</v>
      </c>
      <c r="AD88" s="267" t="s">
        <v>784</v>
      </c>
      <c r="AE88" s="1099">
        <f>_xlfn.SUMIFS(Покупка!AE$25:AE$117,Покупка!$F$25:$F$117,$F88,Покупка!$AC$25:$AC$117,$G88)</f>
        <v>0</v>
      </c>
      <c r="AF88" s="1099">
        <f>_xlfn.SUMIFS(Покупка!AF$25:AF$117,Покупка!$F$25:$F$117,$F88,Покупка!$AC$25:$AC$117,$G88)</f>
        <v>0</v>
      </c>
      <c r="AG88" s="1099">
        <f>_xlfn.SUMIFS(Покупка!AG$25:AG$117,Покупка!$F$25:$F$117,$F88,Покупка!$AC$25:$AC$117,$G88)</f>
        <v>0</v>
      </c>
      <c r="AH88" s="1099">
        <f>AG88-AF88</f>
        <v>0</v>
      </c>
      <c r="AI88" s="1099">
        <f>_xlfn.SUMIFS(Покупка!AH$25:AH$117,Покупка!$F$25:$F$117,$F88,Покупка!$AC$25:$AC$117,$G88)</f>
        <v>0</v>
      </c>
      <c r="AJ88" s="1099">
        <f>_xlfn.SUMIFS(Покупка!AI$25:AI$117,Покупка!$F$25:$F$117,$F88,Покупка!$AC$25:$AC$117,$G88)</f>
        <v>0</v>
      </c>
      <c r="AK88" s="1099">
        <f>_xlfn.SUMIFS(Покупка!AJ$25:AJ$117,Покупка!$F$25:$F$117,$F88,Покупка!$AC$25:$AC$117,$G88)</f>
        <v>0</v>
      </c>
      <c r="AL88" s="1099">
        <f>_xlfn.SUMIFS(Покупка!AK$25:AK$117,Покупка!$F$25:$F$117,$F88,Покупка!$AC$25:$AC$117,$G88)</f>
        <v>0</v>
      </c>
      <c r="AM88" s="1099">
        <f>_xlfn.SUMIFS(Покупка!AL$25:AL$117,Покупка!$F$25:$F$117,$F88,Покупка!$AC$25:$AC$117,$G88)</f>
        <v>0</v>
      </c>
      <c r="AN88" s="1099">
        <f>_xlfn.SUMIFS(Покупка!AM$25:AM$117,Покупка!$F$25:$F$117,$F88,Покупка!$AC$25:$AC$117,$G88)</f>
        <v>0</v>
      </c>
      <c r="AO88" s="1099">
        <f>_xlfn.SUMIFS(Покупка!AN$25:AN$117,Покупка!$F$25:$F$117,$F88,Покупка!$AC$25:$AC$117,$G88)</f>
        <v>0</v>
      </c>
      <c r="AP88" s="1099">
        <f>_xlfn.SUMIFS(Покупка!AO$25:AO$117,Покупка!$F$25:$F$117,$F88,Покупка!$AC$25:$AC$117,$G88)</f>
        <v>0</v>
      </c>
      <c r="AQ88" s="1099">
        <f>_xlfn.SUMIFS(Покупка!AP$25:AP$117,Покупка!$F$25:$F$117,$F88,Покупка!$AC$25:$AC$117,$G88)</f>
        <v>0</v>
      </c>
      <c r="AR88" s="1099">
        <f>_xlfn.SUMIFS(Покупка!AQ$25:AQ$117,Покупка!$F$25:$F$117,$F88,Покупка!$AC$25:$AC$117,$G88)</f>
        <v>0</v>
      </c>
      <c r="AS88" s="1099">
        <f>_xlfn.SUMIFS(Покупка!AR$25:AR$117,Покупка!$F$25:$F$117,$F88,Покупка!$AC$25:$AC$117,$G88)</f>
        <v>0</v>
      </c>
      <c r="AT88" s="1099">
        <f>_xlfn.SUMIFS(Покупка!AS$25:AS$117,Покупка!$F$25:$F$117,$F88,Покупка!$AC$25:$AC$117,$G88)</f>
        <v>0</v>
      </c>
      <c r="AU88" s="1099">
        <f>_xlfn.SUMIFS(Покупка!AT$25:AT$117,Покупка!$F$25:$F$117,$F88,Покупка!$AC$25:$AC$117,$G88)</f>
        <v>0</v>
      </c>
      <c r="AV88" s="1099">
        <f>_xlfn.SUMIFS(Покупка!AU$25:AU$117,Покупка!$F$25:$F$117,$F88,Покупка!$AC$25:$AC$117,$G88)</f>
        <v>0</v>
      </c>
      <c r="AW88" s="1099">
        <f>_xlfn.SUMIFS(Покупка!AV$25:AV$117,Покупка!$F$25:$F$117,$F88,Покупка!$AC$25:$AC$117,$G88)</f>
        <v>0</v>
      </c>
      <c r="AX88" s="1099">
        <f>_xlfn.SUMIFS(Покупка!AW$25:AW$117,Покупка!$F$25:$F$117,$F88,Покупка!$AC$25:$AC$117,$G88)</f>
        <v>0</v>
      </c>
      <c r="AY88" s="1099">
        <f>_xlfn.SUMIFS(Покупка!AX$25:AX$117,Покупка!$F$25:$F$117,$F88,Покупка!$AC$25:$AC$117,$G88)</f>
        <v>0</v>
      </c>
      <c r="AZ88" s="1099">
        <f>_xlfn.SUMIFS(Покупка!AY$25:AY$117,Покупка!$F$25:$F$117,$F88,Покупка!$AC$25:$AC$117,$G88)</f>
        <v>0</v>
      </c>
      <c r="BA88" s="1099">
        <f>_xlfn.SUMIFS(Покупка!AZ$25:AZ$117,Покупка!$F$25:$F$117,$F88,Покупка!$AC$25:$AC$117,$G88)</f>
        <v>0</v>
      </c>
      <c r="BB88" s="1099">
        <f>_xlfn.SUMIFS(Покупка!BA$25:BA$117,Покупка!$F$25:$F$117,$F88,Покупка!$AC$25:$AC$117,$G88)</f>
        <v>0</v>
      </c>
      <c r="BC88" s="1099">
        <f>_xlfn.SUMIFS(Покупка!BB$25:BB$117,Покупка!$F$25:$F$117,$F88,Покупка!$AC$25:$AC$117,$G88)</f>
        <v>0</v>
      </c>
      <c r="BD88" s="1099">
        <f>IF(AI88=0,0,(AT88-AI88)/AI88*100)</f>
        <v>0</v>
      </c>
      <c r="BE88" s="1099">
        <f>IF(AT88=0,0,(AU88-AT88)/AT88*100)</f>
        <v>0</v>
      </c>
      <c r="BF88" s="1099">
        <f>IF(AU88=0,0,(AV88-AU88)/AU88*100)</f>
        <v>0</v>
      </c>
      <c r="BG88" s="1099">
        <f>IF(AV88=0,0,(AW88-AV88)/AV88*100)</f>
        <v>0</v>
      </c>
      <c r="BH88" s="1099">
        <f>IF(AW88=0,0,(AX88-AW88)/AW88*100)</f>
        <v>0</v>
      </c>
      <c r="BI88" s="1099">
        <f>IF(AX88=0,0,(AY88-AX88)/AX88*100)</f>
        <v>0</v>
      </c>
      <c r="BJ88" s="1099">
        <f>IF(AY88=0,0,(AZ88-AY88)/AY88*100)</f>
        <v>0</v>
      </c>
      <c r="BK88" s="1099">
        <f>IF(AZ88=0,0,(BA88-AZ88)/AZ88*100)</f>
        <v>0</v>
      </c>
      <c r="BL88" s="1099">
        <f>IF(BA88=0,0,(BB88-BA88)/BA88*100)</f>
        <v>0</v>
      </c>
      <c r="BM88" s="1099">
        <f>IF(BB88=0,0,(BC88-BB88)/BB88*100)</f>
        <v>0</v>
      </c>
      <c r="BN88" s="1265"/>
      <c r="BO88" s="1269" t="str">
        <f>IF(_xlfn.IFERROR(INDEX(Покупка!$K$26:$L$117,MATCH($F88&amp;"4komm",Покупка!$K$26:$K$117,0),2),"")=0,"",_xlfn.IFERROR(INDEX(Покупка!$K$26:$L$117,MATCH($F87&amp;"3komm",Покупка!$K$26:$K$117,0),2),""))</f>
        <v/>
      </c>
      <c r="BP88" s="1265"/>
      <c r="BQ88" s="960"/>
      <c r="BR88" s="960"/>
      <c r="BS88" s="1048" t="s">
        <v>1614</v>
      </c>
      <c r="BT88" s="1048"/>
      <c r="BU88" s="1048"/>
      <c r="BV88" s="962"/>
      <c r="BW88" s="962"/>
    </row>
    <row customHeight="1" ht="14.625" hidden="1">
      <c r="A89" s="960"/>
      <c r="B89" s="961"/>
      <c r="C89" s="73"/>
      <c r="D89" s="73"/>
      <c r="E89" s="600">
        <v>15</v>
      </c>
      <c r="F89" s="50" cm="1" t="str">
        <f t="array" ref="F89:F89">OFFSET(E89,-1,1)</f>
        <v>0</v>
      </c>
      <c r="G89" s="73" t="s">
        <v>1022</v>
      </c>
      <c r="H89" s="73"/>
      <c r="I89" s="73" t="s">
        <v>1923</v>
      </c>
      <c r="J89" s="73"/>
      <c r="K89" s="73" t="s">
        <v>1923</v>
      </c>
      <c r="L89" s="963" t="s">
        <v>1418</v>
      </c>
      <c r="M89" s="73"/>
      <c r="N89" s="73"/>
      <c r="O89" s="73"/>
      <c r="P89" s="73"/>
      <c r="Q89" s="73"/>
      <c r="R89" s="73"/>
      <c r="S89" s="73"/>
      <c r="T89" s="439" cm="1" t="str">
        <f t="array" ref="T89:T89">T88</f>
        <v>false</v>
      </c>
      <c r="U89" s="73"/>
      <c r="V89" s="73"/>
      <c r="W89" s="73"/>
      <c r="X89" s="1534"/>
      <c r="Y89" s="960"/>
      <c r="Z89" s="1465"/>
      <c r="AA89" s="960"/>
      <c r="AB89" s="267" t="s">
        <v>1924</v>
      </c>
      <c r="AC89" s="746" t="s">
        <v>1925</v>
      </c>
      <c r="AD89" s="267" t="s">
        <v>784</v>
      </c>
      <c r="AE89" s="1099">
        <f>_xlfn.SUMIFS(Покупка!AE$25:AE$117,Покупка!$F$25:$F$117,$F89,Покупка!$AC$25:$AC$117,$G89)</f>
        <v>0</v>
      </c>
      <c r="AF89" s="1099">
        <f>_xlfn.SUMIFS(Покупка!AF$25:AF$117,Покупка!$F$25:$F$117,$F89,Покупка!$AC$25:$AC$117,$G89)</f>
        <v>0</v>
      </c>
      <c r="AG89" s="1099">
        <f>_xlfn.SUMIFS(Покупка!AG$25:AG$117,Покупка!$F$25:$F$117,$F89,Покупка!$AC$25:$AC$117,$G89)</f>
        <v>0</v>
      </c>
      <c r="AH89" s="1099">
        <f>AG89-AF89</f>
        <v>0</v>
      </c>
      <c r="AI89" s="1099">
        <f>_xlfn.SUMIFS(Покупка!AH$25:AH$117,Покупка!$F$25:$F$117,$F89,Покупка!$AC$25:$AC$117,$G89)</f>
        <v>0</v>
      </c>
      <c r="AJ89" s="1099">
        <f>_xlfn.SUMIFS(Покупка!AI$25:AI$117,Покупка!$F$25:$F$117,$F89,Покупка!$AC$25:$AC$117,$G89)</f>
        <v>0</v>
      </c>
      <c r="AK89" s="1099">
        <f>_xlfn.SUMIFS(Покупка!AJ$25:AJ$117,Покупка!$F$25:$F$117,$F89,Покупка!$AC$25:$AC$117,$G89)</f>
        <v>0</v>
      </c>
      <c r="AL89" s="1099">
        <f>_xlfn.SUMIFS(Покупка!AK$25:AK$117,Покупка!$F$25:$F$117,$F89,Покупка!$AC$25:$AC$117,$G89)</f>
        <v>0</v>
      </c>
      <c r="AM89" s="1099">
        <f>_xlfn.SUMIFS(Покупка!AL$25:AL$117,Покупка!$F$25:$F$117,$F89,Покупка!$AC$25:$AC$117,$G89)</f>
        <v>0</v>
      </c>
      <c r="AN89" s="1099">
        <f>_xlfn.SUMIFS(Покупка!AM$25:AM$117,Покупка!$F$25:$F$117,$F89,Покупка!$AC$25:$AC$117,$G89)</f>
        <v>0</v>
      </c>
      <c r="AO89" s="1099">
        <f>_xlfn.SUMIFS(Покупка!AN$25:AN$117,Покупка!$F$25:$F$117,$F89,Покупка!$AC$25:$AC$117,$G89)</f>
        <v>0</v>
      </c>
      <c r="AP89" s="1099">
        <f>_xlfn.SUMIFS(Покупка!AO$25:AO$117,Покупка!$F$25:$F$117,$F89,Покупка!$AC$25:$AC$117,$G89)</f>
        <v>0</v>
      </c>
      <c r="AQ89" s="1099">
        <f>_xlfn.SUMIFS(Покупка!AP$25:AP$117,Покупка!$F$25:$F$117,$F89,Покупка!$AC$25:$AC$117,$G89)</f>
        <v>0</v>
      </c>
      <c r="AR89" s="1099">
        <f>_xlfn.SUMIFS(Покупка!AQ$25:AQ$117,Покупка!$F$25:$F$117,$F89,Покупка!$AC$25:$AC$117,$G89)</f>
        <v>0</v>
      </c>
      <c r="AS89" s="1099">
        <f>_xlfn.SUMIFS(Покупка!AR$25:AR$117,Покупка!$F$25:$F$117,$F89,Покупка!$AC$25:$AC$117,$G89)</f>
        <v>0</v>
      </c>
      <c r="AT89" s="1099">
        <f>_xlfn.SUMIFS(Покупка!AS$25:AS$117,Покупка!$F$25:$F$117,$F89,Покупка!$AC$25:$AC$117,$G89)</f>
        <v>0</v>
      </c>
      <c r="AU89" s="1099">
        <f>_xlfn.SUMIFS(Покупка!AT$25:AT$117,Покупка!$F$25:$F$117,$F89,Покупка!$AC$25:$AC$117,$G89)</f>
        <v>0</v>
      </c>
      <c r="AV89" s="1099">
        <f>_xlfn.SUMIFS(Покупка!AU$25:AU$117,Покупка!$F$25:$F$117,$F89,Покупка!$AC$25:$AC$117,$G89)</f>
        <v>0</v>
      </c>
      <c r="AW89" s="1099">
        <f>_xlfn.SUMIFS(Покупка!AV$25:AV$117,Покупка!$F$25:$F$117,$F89,Покупка!$AC$25:$AC$117,$G89)</f>
        <v>0</v>
      </c>
      <c r="AX89" s="1099">
        <f>_xlfn.SUMIFS(Покупка!AW$25:AW$117,Покупка!$F$25:$F$117,$F89,Покупка!$AC$25:$AC$117,$G89)</f>
        <v>0</v>
      </c>
      <c r="AY89" s="1099">
        <f>_xlfn.SUMIFS(Покупка!AX$25:AX$117,Покупка!$F$25:$F$117,$F89,Покупка!$AC$25:$AC$117,$G89)</f>
        <v>0</v>
      </c>
      <c r="AZ89" s="1099">
        <f>_xlfn.SUMIFS(Покупка!AY$25:AY$117,Покупка!$F$25:$F$117,$F89,Покупка!$AC$25:$AC$117,$G89)</f>
        <v>0</v>
      </c>
      <c r="BA89" s="1099">
        <f>_xlfn.SUMIFS(Покупка!AZ$25:AZ$117,Покупка!$F$25:$F$117,$F89,Покупка!$AC$25:$AC$117,$G89)</f>
        <v>0</v>
      </c>
      <c r="BB89" s="1099">
        <f>_xlfn.SUMIFS(Покупка!BA$25:BA$117,Покупка!$F$25:$F$117,$F89,Покупка!$AC$25:$AC$117,$G89)</f>
        <v>0</v>
      </c>
      <c r="BC89" s="1099">
        <f>_xlfn.SUMIFS(Покупка!BB$25:BB$117,Покупка!$F$25:$F$117,$F89,Покупка!$AC$25:$AC$117,$G89)</f>
        <v>0</v>
      </c>
      <c r="BD89" s="1099">
        <f>IF(AI89=0,0,(AT89-AI89)/AI89*100)</f>
        <v>0</v>
      </c>
      <c r="BE89" s="1099">
        <f>IF(AT89=0,0,(AU89-AT89)/AT89*100)</f>
        <v>0</v>
      </c>
      <c r="BF89" s="1099">
        <f>IF(AU89=0,0,(AV89-AU89)/AU89*100)</f>
        <v>0</v>
      </c>
      <c r="BG89" s="1099">
        <f>IF(AV89=0,0,(AW89-AV89)/AV89*100)</f>
        <v>0</v>
      </c>
      <c r="BH89" s="1099">
        <f>IF(AW89=0,0,(AX89-AW89)/AW89*100)</f>
        <v>0</v>
      </c>
      <c r="BI89" s="1099">
        <f>IF(AX89=0,0,(AY89-AX89)/AX89*100)</f>
        <v>0</v>
      </c>
      <c r="BJ89" s="1099">
        <f>IF(AY89=0,0,(AZ89-AY89)/AY89*100)</f>
        <v>0</v>
      </c>
      <c r="BK89" s="1099">
        <f>IF(AZ89=0,0,(BA89-AZ89)/AZ89*100)</f>
        <v>0</v>
      </c>
      <c r="BL89" s="1099">
        <f>IF(BA89=0,0,(BB89-BA89)/BA89*100)</f>
        <v>0</v>
      </c>
      <c r="BM89" s="1099">
        <f>IF(BB89=0,0,(BC89-BB89)/BB89*100)</f>
        <v>0</v>
      </c>
      <c r="BN89" s="1265"/>
      <c r="BO89" s="1269" t="str">
        <f>IF(_xlfn.IFERROR(INDEX(Покупка!$K$26:$L$117,MATCH($F89&amp;"5komm",Покупка!$K$26:$K$117,0),2),"")=0,"",_xlfn.IFERROR(INDEX(Покупка!$K$26:$L$117,MATCH($F89&amp;"5komm",Покупка!$K$26:$K$117,0),2),""))</f>
        <v/>
      </c>
      <c r="BP89" s="1265"/>
      <c r="BQ89" s="960"/>
      <c r="BR89" s="960"/>
      <c r="BS89" s="1048" t="s">
        <v>1617</v>
      </c>
      <c r="BT89" s="1048"/>
      <c r="BU89" s="1048"/>
      <c r="BV89" s="962"/>
      <c r="BW89" s="962"/>
    </row>
    <row customHeight="1" ht="14.625" hidden="1">
      <c r="A90" s="960"/>
      <c r="B90" s="961"/>
      <c r="C90" s="73"/>
      <c r="D90" s="73"/>
      <c r="E90" s="600">
        <v>15</v>
      </c>
      <c r="F90" s="50" cm="1" t="str">
        <f t="array" ref="F90:F90">OFFSET(E90,-1,1)</f>
        <v>0</v>
      </c>
      <c r="G90" s="73" t="s">
        <v>1034</v>
      </c>
      <c r="H90" s="73"/>
      <c r="I90" s="73"/>
      <c r="J90" s="73"/>
      <c r="K90" s="73"/>
      <c r="L90" s="963" t="s">
        <v>1385</v>
      </c>
      <c r="M90" s="73"/>
      <c r="N90" s="73"/>
      <c r="O90" s="73"/>
      <c r="P90" s="73"/>
      <c r="Q90" s="73"/>
      <c r="R90" s="73"/>
      <c r="S90" s="73"/>
      <c r="T90" s="439" cm="1" t="str">
        <f t="array" ref="T90:T90">T89</f>
        <v>false</v>
      </c>
      <c r="U90" s="73"/>
      <c r="V90" s="73"/>
      <c r="W90" s="73"/>
      <c r="X90" s="1534"/>
      <c r="Y90" s="960"/>
      <c r="Z90" s="1465"/>
      <c r="AA90" s="960"/>
      <c r="AB90" s="267" t="s">
        <v>1926</v>
      </c>
      <c r="AC90" s="746" t="s">
        <v>1927</v>
      </c>
      <c r="AD90" s="267" t="s">
        <v>784</v>
      </c>
      <c r="AE90" s="1099">
        <f>_xlfn.SUMIFS(Покупка!AE$25:AE$117,Покупка!$F$25:$F$117,$F90,Покупка!$AC$25:$AC$117,$G90)</f>
        <v>0</v>
      </c>
      <c r="AF90" s="1099">
        <f>_xlfn.SUMIFS(Покупка!AF$25:AF$117,Покупка!$F$25:$F$117,$F90,Покупка!$AC$25:$AC$117,$G90)</f>
        <v>0</v>
      </c>
      <c r="AG90" s="1099">
        <f>_xlfn.SUMIFS(Покупка!AG$25:AG$117,Покупка!$F$25:$F$117,$F90,Покупка!$AC$25:$AC$117,$G90)</f>
        <v>0</v>
      </c>
      <c r="AH90" s="1099">
        <f>AG90-AF90</f>
        <v>0</v>
      </c>
      <c r="AI90" s="1099">
        <f>_xlfn.SUMIFS(Покупка!AH$25:AH$117,Покупка!$F$25:$F$117,$F90,Покупка!$AC$25:$AC$117,$G90)</f>
        <v>0</v>
      </c>
      <c r="AJ90" s="1099">
        <f>_xlfn.SUMIFS(Покупка!AI$25:AI$117,Покупка!$F$25:$F$117,$F90,Покупка!$AC$25:$AC$117,$G90)</f>
        <v>0</v>
      </c>
      <c r="AK90" s="1099">
        <f>_xlfn.SUMIFS(Покупка!AJ$25:AJ$117,Покупка!$F$25:$F$117,$F90,Покупка!$AC$25:$AC$117,$G90)</f>
        <v>0</v>
      </c>
      <c r="AL90" s="1099">
        <f>_xlfn.SUMIFS(Покупка!AK$25:AK$117,Покупка!$F$25:$F$117,$F90,Покупка!$AC$25:$AC$117,$G90)</f>
        <v>0</v>
      </c>
      <c r="AM90" s="1099">
        <f>_xlfn.SUMIFS(Покупка!AL$25:AL$117,Покупка!$F$25:$F$117,$F90,Покупка!$AC$25:$AC$117,$G90)</f>
        <v>0</v>
      </c>
      <c r="AN90" s="1099">
        <f>_xlfn.SUMIFS(Покупка!AM$25:AM$117,Покупка!$F$25:$F$117,$F90,Покупка!$AC$25:$AC$117,$G90)</f>
        <v>0</v>
      </c>
      <c r="AO90" s="1099">
        <f>_xlfn.SUMIFS(Покупка!AN$25:AN$117,Покупка!$F$25:$F$117,$F90,Покупка!$AC$25:$AC$117,$G90)</f>
        <v>0</v>
      </c>
      <c r="AP90" s="1099">
        <f>_xlfn.SUMIFS(Покупка!AO$25:AO$117,Покупка!$F$25:$F$117,$F90,Покупка!$AC$25:$AC$117,$G90)</f>
        <v>0</v>
      </c>
      <c r="AQ90" s="1099">
        <f>_xlfn.SUMIFS(Покупка!AP$25:AP$117,Покупка!$F$25:$F$117,$F90,Покупка!$AC$25:$AC$117,$G90)</f>
        <v>0</v>
      </c>
      <c r="AR90" s="1099">
        <f>_xlfn.SUMIFS(Покупка!AQ$25:AQ$117,Покупка!$F$25:$F$117,$F90,Покупка!$AC$25:$AC$117,$G90)</f>
        <v>0</v>
      </c>
      <c r="AS90" s="1099">
        <f>_xlfn.SUMIFS(Покупка!AR$25:AR$117,Покупка!$F$25:$F$117,$F90,Покупка!$AC$25:$AC$117,$G90)</f>
        <v>0</v>
      </c>
      <c r="AT90" s="1099">
        <f>_xlfn.SUMIFS(Покупка!AS$25:AS$117,Покупка!$F$25:$F$117,$F90,Покупка!$AC$25:$AC$117,$G90)</f>
        <v>0</v>
      </c>
      <c r="AU90" s="1099">
        <f>_xlfn.SUMIFS(Покупка!AT$25:AT$117,Покупка!$F$25:$F$117,$F90,Покупка!$AC$25:$AC$117,$G90)</f>
        <v>0</v>
      </c>
      <c r="AV90" s="1099">
        <f>_xlfn.SUMIFS(Покупка!AU$25:AU$117,Покупка!$F$25:$F$117,$F90,Покупка!$AC$25:$AC$117,$G90)</f>
        <v>0</v>
      </c>
      <c r="AW90" s="1099">
        <f>_xlfn.SUMIFS(Покупка!AV$25:AV$117,Покупка!$F$25:$F$117,$F90,Покупка!$AC$25:$AC$117,$G90)</f>
        <v>0</v>
      </c>
      <c r="AX90" s="1099">
        <f>_xlfn.SUMIFS(Покупка!AW$25:AW$117,Покупка!$F$25:$F$117,$F90,Покупка!$AC$25:$AC$117,$G90)</f>
        <v>0</v>
      </c>
      <c r="AY90" s="1099">
        <f>_xlfn.SUMIFS(Покупка!AX$25:AX$117,Покупка!$F$25:$F$117,$F90,Покупка!$AC$25:$AC$117,$G90)</f>
        <v>0</v>
      </c>
      <c r="AZ90" s="1099">
        <f>_xlfn.SUMIFS(Покупка!AY$25:AY$117,Покупка!$F$25:$F$117,$F90,Покупка!$AC$25:$AC$117,$G90)</f>
        <v>0</v>
      </c>
      <c r="BA90" s="1099">
        <f>_xlfn.SUMIFS(Покупка!AZ$25:AZ$117,Покупка!$F$25:$F$117,$F90,Покупка!$AC$25:$AC$117,$G90)</f>
        <v>0</v>
      </c>
      <c r="BB90" s="1099">
        <f>_xlfn.SUMIFS(Покупка!BA$25:BA$117,Покупка!$F$25:$F$117,$F90,Покупка!$AC$25:$AC$117,$G90)</f>
        <v>0</v>
      </c>
      <c r="BC90" s="1099">
        <f>_xlfn.SUMIFS(Покупка!BB$25:BB$117,Покупка!$F$25:$F$117,$F90,Покупка!$AC$25:$AC$117,$G90)</f>
        <v>0</v>
      </c>
      <c r="BD90" s="1099">
        <f>IF(AI90=0,0,(AT90-AI90)/AI90*100)</f>
        <v>0</v>
      </c>
      <c r="BE90" s="1099">
        <f>IF(AT90=0,0,(AU90-AT90)/AT90*100)</f>
        <v>0</v>
      </c>
      <c r="BF90" s="1099">
        <f>IF(AU90=0,0,(AV90-AU90)/AU90*100)</f>
        <v>0</v>
      </c>
      <c r="BG90" s="1099">
        <f>IF(AV90=0,0,(AW90-AV90)/AV90*100)</f>
        <v>0</v>
      </c>
      <c r="BH90" s="1099">
        <f>IF(AW90=0,0,(AX90-AW90)/AW90*100)</f>
        <v>0</v>
      </c>
      <c r="BI90" s="1099">
        <f>IF(AX90=0,0,(AY90-AX90)/AX90*100)</f>
        <v>0</v>
      </c>
      <c r="BJ90" s="1099">
        <f>IF(AY90=0,0,(AZ90-AY90)/AY90*100)</f>
        <v>0</v>
      </c>
      <c r="BK90" s="1099">
        <f>IF(AZ90=0,0,(BA90-AZ90)/AZ90*100)</f>
        <v>0</v>
      </c>
      <c r="BL90" s="1099">
        <f>IF(BA90=0,0,(BB90-BA90)/BA90*100)</f>
        <v>0</v>
      </c>
      <c r="BM90" s="1099">
        <f>IF(BB90=0,0,(BC90-BB90)/BB90*100)</f>
        <v>0</v>
      </c>
      <c r="BN90" s="1265"/>
      <c r="BO90" s="1269" t="str">
        <f>IF(_xlfn.IFERROR(INDEX(Покупка!$K$26:$L$117,MATCH($F90&amp;"9komm",Покупка!$K$26:$K$117,0),2),"")=0,"",_xlfn.IFERROR(INDEX(Покупка!$K$26:$L$117,MATCH($F90&amp;"9komm",Покупка!$K$26:$K$117,0),2),""))</f>
        <v/>
      </c>
      <c r="BP90" s="1265"/>
      <c r="BQ90" s="960"/>
      <c r="BR90" s="960"/>
      <c r="BS90" s="1048" t="s">
        <v>1035</v>
      </c>
      <c r="BT90" s="1048"/>
      <c r="BU90" s="1048"/>
      <c r="BV90" s="962"/>
      <c r="BW90" s="962"/>
    </row>
    <row customHeight="1" ht="14.625" hidden="1">
      <c r="A91" s="960"/>
      <c r="B91" s="961"/>
      <c r="C91" s="73"/>
      <c r="D91" s="73"/>
      <c r="E91" s="600">
        <v>15</v>
      </c>
      <c r="F91" s="50" cm="1" t="str">
        <f t="array" ref="F91:F91">OFFSET(E91,-1,1)</f>
        <v>0</v>
      </c>
      <c r="G91" s="73"/>
      <c r="H91" s="73"/>
      <c r="I91" s="73" t="s">
        <v>462</v>
      </c>
      <c r="J91" s="73"/>
      <c r="K91" s="73" t="s">
        <v>462</v>
      </c>
      <c r="L91" s="963"/>
      <c r="M91" s="73"/>
      <c r="N91" s="73"/>
      <c r="O91" s="73"/>
      <c r="P91" s="73"/>
      <c r="Q91" s="73"/>
      <c r="R91" s="73"/>
      <c r="S91" s="73"/>
      <c r="T91" s="439" cm="1" t="str">
        <f t="array" ref="T91:T91">T90</f>
        <v>false</v>
      </c>
      <c r="U91" s="73"/>
      <c r="V91" s="73"/>
      <c r="W91" s="73"/>
      <c r="X91" s="1534"/>
      <c r="Y91" s="960"/>
      <c r="Z91" s="1465"/>
      <c r="AA91" s="960"/>
      <c r="AB91" s="267" t="s">
        <v>519</v>
      </c>
      <c r="AC91" s="743" t="s">
        <v>1928</v>
      </c>
      <c r="AD91" s="760" t="s">
        <v>784</v>
      </c>
      <c r="AE91" s="1099">
        <f>_xlfn.SUMIFS('Сырье и материалы'!AE$25:AE$39,'Сырье и материалы'!$F$25:$F$39,$F91,'Сырье и материалы'!$AC$25:$AC$39,"Всего по тарифу")</f>
        <v>0</v>
      </c>
      <c r="AF91" s="1099">
        <f>_xlfn.SUMIFS('Сырье и материалы'!AF$25:AF$39,'Сырье и материалы'!$F$25:$F$39,$F91,'Сырье и материалы'!$AC$25:$AC$39,"Всего по тарифу")</f>
        <v>0</v>
      </c>
      <c r="AG91" s="1099">
        <f>_xlfn.SUMIFS('Сырье и материалы'!AG$25:AG$39,'Сырье и материалы'!$F$25:$F$39,$F91,'Сырье и материалы'!$AC$25:$AC$39,"Всего по тарифу")</f>
        <v>0</v>
      </c>
      <c r="AH91" s="1099">
        <f>AG91-AF91</f>
        <v>0</v>
      </c>
      <c r="AI91" s="1099">
        <f>_xlfn.SUMIFS('Сырье и материалы'!AH$25:AH$39,'Сырье и материалы'!$F$25:$F$39,$F91,'Сырье и материалы'!$AC$25:$AC$39,"Всего по тарифу")</f>
        <v>0</v>
      </c>
      <c r="AJ91" s="1099">
        <f>_xlfn.SUMIFS('Сырье и материалы'!AI$25:AI$39,'Сырье и материалы'!$F$25:$F$39,$F91,'Сырье и материалы'!$AC$25:$AC$39,"Всего по тарифу")</f>
        <v>0</v>
      </c>
      <c r="AK91" s="1099">
        <f>_xlfn.SUMIFS('Сырье и материалы'!AJ$25:AJ$39,'Сырье и материалы'!$F$25:$F$39,$F91,'Сырье и материалы'!$AC$25:$AC$39,"Всего по тарифу")</f>
        <v>0</v>
      </c>
      <c r="AL91" s="1099">
        <f>_xlfn.SUMIFS('Сырье и материалы'!AK$25:AK$39,'Сырье и материалы'!$F$25:$F$39,$F91,'Сырье и материалы'!$AC$25:$AC$39,"Всего по тарифу")</f>
        <v>0</v>
      </c>
      <c r="AM91" s="1099">
        <f>_xlfn.SUMIFS('Сырье и материалы'!AL$25:AL$39,'Сырье и материалы'!$F$25:$F$39,$F91,'Сырье и материалы'!$AC$25:$AC$39,"Всего по тарифу")</f>
        <v>0</v>
      </c>
      <c r="AN91" s="1099">
        <f>_xlfn.SUMIFS('Сырье и материалы'!AM$25:AM$39,'Сырье и материалы'!$F$25:$F$39,$F91,'Сырье и материалы'!$AC$25:$AC$39,"Всего по тарифу")</f>
        <v>0</v>
      </c>
      <c r="AO91" s="1099">
        <f>_xlfn.SUMIFS('Сырье и материалы'!AN$25:AN$39,'Сырье и материалы'!$F$25:$F$39,$F91,'Сырье и материалы'!$AC$25:$AC$39,"Всего по тарифу")</f>
        <v>0</v>
      </c>
      <c r="AP91" s="1099">
        <f>_xlfn.SUMIFS('Сырье и материалы'!AO$25:AO$39,'Сырье и материалы'!$F$25:$F$39,$F91,'Сырье и материалы'!$AC$25:$AC$39,"Всего по тарифу")</f>
        <v>0</v>
      </c>
      <c r="AQ91" s="1099">
        <f>_xlfn.SUMIFS('Сырье и материалы'!AP$25:AP$39,'Сырье и материалы'!$F$25:$F$39,$F91,'Сырье и материалы'!$AC$25:$AC$39,"Всего по тарифу")</f>
        <v>0</v>
      </c>
      <c r="AR91" s="1099">
        <f>_xlfn.SUMIFS('Сырье и материалы'!AQ$25:AQ$39,'Сырье и материалы'!$F$25:$F$39,$F91,'Сырье и материалы'!$AC$25:$AC$39,"Всего по тарифу")</f>
        <v>0</v>
      </c>
      <c r="AS91" s="1099">
        <f>_xlfn.SUMIFS('Сырье и материалы'!AR$25:AR$39,'Сырье и материалы'!$F$25:$F$39,$F91,'Сырье и материалы'!$AC$25:$AC$39,"Всего по тарифу")</f>
        <v>0</v>
      </c>
      <c r="AT91" s="1099">
        <f>_xlfn.SUMIFS('Сырье и материалы'!AS$25:AS$39,'Сырье и материалы'!$F$25:$F$39,$F91,'Сырье и материалы'!$AC$25:$AC$39,"Всего по тарифу")</f>
        <v>0</v>
      </c>
      <c r="AU91" s="1099">
        <f>_xlfn.SUMIFS('Сырье и материалы'!AT$25:AT$39,'Сырье и материалы'!$F$25:$F$39,$F91,'Сырье и материалы'!$AC$25:$AC$39,"Всего по тарифу")</f>
        <v>0</v>
      </c>
      <c r="AV91" s="1099">
        <f>_xlfn.SUMIFS('Сырье и материалы'!AU$25:AU$39,'Сырье и материалы'!$F$25:$F$39,$F91,'Сырье и материалы'!$AC$25:$AC$39,"Всего по тарифу")</f>
        <v>0</v>
      </c>
      <c r="AW91" s="1099">
        <f>_xlfn.SUMIFS('Сырье и материалы'!AV$25:AV$39,'Сырье и материалы'!$F$25:$F$39,$F91,'Сырье и материалы'!$AC$25:$AC$39,"Всего по тарифу")</f>
        <v>0</v>
      </c>
      <c r="AX91" s="1099">
        <f>_xlfn.SUMIFS('Сырье и материалы'!AW$25:AW$39,'Сырье и материалы'!$F$25:$F$39,$F91,'Сырье и материалы'!$AC$25:$AC$39,"Всего по тарифу")</f>
        <v>0</v>
      </c>
      <c r="AY91" s="1099">
        <f>_xlfn.SUMIFS('Сырье и материалы'!AX$25:AX$39,'Сырье и материалы'!$F$25:$F$39,$F91,'Сырье и материалы'!$AC$25:$AC$39,"Всего по тарифу")</f>
        <v>0</v>
      </c>
      <c r="AZ91" s="1099">
        <f>_xlfn.SUMIFS('Сырье и материалы'!AY$25:AY$39,'Сырье и материалы'!$F$25:$F$39,$F91,'Сырье и материалы'!$AC$25:$AC$39,"Всего по тарифу")</f>
        <v>0</v>
      </c>
      <c r="BA91" s="1099">
        <f>_xlfn.SUMIFS('Сырье и материалы'!AZ$25:AZ$39,'Сырье и материалы'!$F$25:$F$39,$F91,'Сырье и материалы'!$AC$25:$AC$39,"Всего по тарифу")</f>
        <v>0</v>
      </c>
      <c r="BB91" s="1099">
        <f>_xlfn.SUMIFS('Сырье и материалы'!BA$25:BA$39,'Сырье и материалы'!$F$25:$F$39,$F91,'Сырье и материалы'!$AC$25:$AC$39,"Всего по тарифу")</f>
        <v>0</v>
      </c>
      <c r="BC91" s="1099">
        <f>_xlfn.SUMIFS('Сырье и материалы'!BB$25:BB$39,'Сырье и материалы'!$F$25:$F$39,$F91,'Сырье и материалы'!$AC$25:$AC$39,"Всего по тарифу")</f>
        <v>0</v>
      </c>
      <c r="BD91" s="1099">
        <f>IF(AI91=0,0,(AT91-AI91)/AI91*100)</f>
        <v>0</v>
      </c>
      <c r="BE91" s="1099">
        <f>IF(AT91=0,0,(AU91-AT91)/AT91*100)</f>
        <v>0</v>
      </c>
      <c r="BF91" s="1099">
        <f>IF(AU91=0,0,(AV91-AU91)/AU91*100)</f>
        <v>0</v>
      </c>
      <c r="BG91" s="1099">
        <f>IF(AV91=0,0,(AW91-AV91)/AV91*100)</f>
        <v>0</v>
      </c>
      <c r="BH91" s="1099">
        <f>IF(AW91=0,0,(AX91-AW91)/AW91*100)</f>
        <v>0</v>
      </c>
      <c r="BI91" s="1099">
        <f>IF(AX91=0,0,(AY91-AX91)/AX91*100)</f>
        <v>0</v>
      </c>
      <c r="BJ91" s="1099">
        <f>IF(AY91=0,0,(AZ91-AY91)/AY91*100)</f>
        <v>0</v>
      </c>
      <c r="BK91" s="1099">
        <f>IF(AZ91=0,0,(BA91-AZ91)/AZ91*100)</f>
        <v>0</v>
      </c>
      <c r="BL91" s="1099">
        <f>IF(BA91=0,0,(BB91-BA91)/BA91*100)</f>
        <v>0</v>
      </c>
      <c r="BM91" s="1099">
        <f>IF(BB91=0,0,(BC91-BB91)/BB91*100)</f>
        <v>0</v>
      </c>
      <c r="BN91" s="1265"/>
      <c r="BO91" s="1269" t="str">
        <f>IF(_xlfn.IFERROR(INDEX('Сырье и материалы'!$K$26:$L$39,MATCH($F91&amp;"komm",'Сырье и материалы'!$K$26:$K$39,0),2),"")=0,"",_xlfn.IFERROR(INDEX('Сырье и материалы'!$K$26:$L$39,MATCH($F91&amp;"komm",'Сырье и материалы'!$K$26:$K$39,0),2),""))</f>
        <v/>
      </c>
      <c r="BP91" s="1265"/>
      <c r="BQ91" s="960"/>
      <c r="BR91" s="960"/>
      <c r="BS91" s="1048" t="s">
        <v>1590</v>
      </c>
      <c r="BT91" s="1048"/>
      <c r="BU91" s="1048"/>
      <c r="BV91" s="962"/>
      <c r="BW91" s="962"/>
    </row>
    <row s="680" customFormat="1" customHeight="1" ht="20.475" hidden="1">
      <c r="A92" s="680"/>
      <c r="B92" s="408"/>
      <c r="C92" s="75"/>
      <c r="D92" s="75"/>
      <c r="E92" s="807">
        <v>21</v>
      </c>
      <c r="F92" s="50" cm="1" t="str">
        <f t="array" ref="F92:F92">OFFSET(E92,-1,1)</f>
        <v>0</v>
      </c>
      <c r="G92" s="75"/>
      <c r="H92" s="73"/>
      <c r="I92" s="73" t="s">
        <v>865</v>
      </c>
      <c r="J92" s="75"/>
      <c r="K92" s="73" t="s">
        <v>865</v>
      </c>
      <c r="L92" s="968" t="s">
        <v>495</v>
      </c>
      <c r="M92" s="75"/>
      <c r="N92" s="75"/>
      <c r="O92" s="75"/>
      <c r="P92" s="75"/>
      <c r="Q92" s="75"/>
      <c r="R92" s="75"/>
      <c r="S92" s="75"/>
      <c r="T92" s="439" cm="1" t="str">
        <f t="array" ref="T92:T92">T91</f>
        <v>false</v>
      </c>
      <c r="U92" s="75"/>
      <c r="V92" s="75"/>
      <c r="W92" s="75"/>
      <c r="X92" s="1534"/>
      <c r="Y92" s="680"/>
      <c r="Z92" s="1465"/>
      <c r="AA92" s="680"/>
      <c r="AB92" s="178" t="s">
        <v>523</v>
      </c>
      <c r="AC92" s="328" t="s">
        <v>1929</v>
      </c>
      <c r="AD92" s="178" t="s">
        <v>784</v>
      </c>
      <c r="AE92" s="759">
        <f>SUM(AE93:AE102)</f>
        <v>0</v>
      </c>
      <c r="AF92" s="759">
        <f>SUM(AF93:AF102)</f>
        <v>0</v>
      </c>
      <c r="AG92" s="759">
        <f>SUM(AG93:AG102)</f>
        <v>0</v>
      </c>
      <c r="AH92" s="759">
        <f>AG92-AF92</f>
        <v>0</v>
      </c>
      <c r="AI92" s="759">
        <f>SUM(AI93:AI102)</f>
        <v>0</v>
      </c>
      <c r="AJ92" s="180">
        <f>SUM(AJ93:AJ102)</f>
        <v>0</v>
      </c>
      <c r="AK92" s="759">
        <f>SUM(AK93:AK102)</f>
        <v>0</v>
      </c>
      <c r="AL92" s="759">
        <f>SUM(AL93:AL102)</f>
        <v>0</v>
      </c>
      <c r="AM92" s="759">
        <f>SUM(AM93:AM102)</f>
        <v>0</v>
      </c>
      <c r="AN92" s="759">
        <f>SUM(AN93:AN102)</f>
        <v>0</v>
      </c>
      <c r="AO92" s="759">
        <f>SUM(AO93:AO102)</f>
        <v>0</v>
      </c>
      <c r="AP92" s="759">
        <f>SUM(AP93:AP102)</f>
        <v>0</v>
      </c>
      <c r="AQ92" s="759">
        <f>SUM(AQ93:AQ102)</f>
        <v>0</v>
      </c>
      <c r="AR92" s="759">
        <f>SUM(AR93:AR102)</f>
        <v>0</v>
      </c>
      <c r="AS92" s="759">
        <f>SUM(AS93:AS102)</f>
        <v>0</v>
      </c>
      <c r="AT92" s="180">
        <f>SUM(AT93:AT102)</f>
        <v>0</v>
      </c>
      <c r="AU92" s="759">
        <f>SUM(AU93:AU102)</f>
        <v>0</v>
      </c>
      <c r="AV92" s="759">
        <f>SUM(AV93:AV102)</f>
        <v>0</v>
      </c>
      <c r="AW92" s="759">
        <f>SUM(AW93:AW102)</f>
        <v>0</v>
      </c>
      <c r="AX92" s="759">
        <f>SUM(AX93:AX102)</f>
        <v>0</v>
      </c>
      <c r="AY92" s="759">
        <f>SUM(AY93:AY102)</f>
        <v>0</v>
      </c>
      <c r="AZ92" s="759">
        <f>SUM(AZ93:AZ102)</f>
        <v>0</v>
      </c>
      <c r="BA92" s="759">
        <f>SUM(BA93:BA102)</f>
        <v>0</v>
      </c>
      <c r="BB92" s="759">
        <f>SUM(BB93:BB102)</f>
        <v>0</v>
      </c>
      <c r="BC92" s="759">
        <f>SUM(BC93:BC102)</f>
        <v>0</v>
      </c>
      <c r="BD92" s="759">
        <f>IF(AI92=0,0,(AT92-AI92)/AI92*100)</f>
        <v>0</v>
      </c>
      <c r="BE92" s="759">
        <f>IF(AT92=0,0,(AU92-AT92)/AT92*100)</f>
        <v>0</v>
      </c>
      <c r="BF92" s="759">
        <f>IF(AU92=0,0,(AV92-AU92)/AU92*100)</f>
        <v>0</v>
      </c>
      <c r="BG92" s="759">
        <f>IF(AV92=0,0,(AW92-AV92)/AV92*100)</f>
        <v>0</v>
      </c>
      <c r="BH92" s="759">
        <f>IF(AW92=0,0,(AX92-AW92)/AW92*100)</f>
        <v>0</v>
      </c>
      <c r="BI92" s="759">
        <f>IF(AX92=0,0,(AY92-AX92)/AX92*100)</f>
        <v>0</v>
      </c>
      <c r="BJ92" s="759">
        <f>IF(AY92=0,0,(AZ92-AY92)/AY92*100)</f>
        <v>0</v>
      </c>
      <c r="BK92" s="759">
        <f>IF(AZ92=0,0,(BA92-AZ92)/AZ92*100)</f>
        <v>0</v>
      </c>
      <c r="BL92" s="759">
        <f>IF(BA92=0,0,(BB92-BA92)/BA92*100)</f>
        <v>0</v>
      </c>
      <c r="BM92" s="759">
        <f>IF(BB92=0,0,(BC92-BB92)/BB92*100)</f>
        <v>0</v>
      </c>
      <c r="BN92" s="1267"/>
      <c r="BO92" s="1269" t="str">
        <f>IF(_xlfn.IFERROR(INDEX(Налоги!$K$26:$L$69,MATCH($F92&amp;"komm",Налоги!$K$26:$K$69,0),2),"")=0,"",_xlfn.IFERROR(INDEX(Налоги!$K$26:$L$69,MATCH($F92&amp;"komm",Налоги!$K$26:$K$69,0),2),""))</f>
        <v/>
      </c>
      <c r="BP92" s="1267"/>
      <c r="BQ92" s="680"/>
      <c r="BR92" s="680"/>
      <c r="BS92" s="1054" t="s">
        <v>1151</v>
      </c>
      <c r="BT92" s="1054"/>
      <c r="BU92" s="1054"/>
      <c r="BV92" s="687"/>
      <c r="BW92" s="687"/>
    </row>
    <row customHeight="1" ht="14.625" hidden="1">
      <c r="A93" s="960"/>
      <c r="B93" s="961"/>
      <c r="C93" s="73"/>
      <c r="D93" s="73"/>
      <c r="E93" s="600">
        <v>15</v>
      </c>
      <c r="F93" s="50" cm="1" t="str">
        <f t="array" ref="F93:F93">OFFSET(E93,-1,1)</f>
        <v>0</v>
      </c>
      <c r="G93" s="904">
        <v>7</v>
      </c>
      <c r="H93" s="73"/>
      <c r="I93" s="73" t="s">
        <v>1930</v>
      </c>
      <c r="J93" s="73"/>
      <c r="K93" s="73" t="s">
        <v>1930</v>
      </c>
      <c r="L93" s="963"/>
      <c r="M93" s="73"/>
      <c r="N93" s="73"/>
      <c r="O93" s="73"/>
      <c r="P93" s="73"/>
      <c r="Q93" s="73"/>
      <c r="R93" s="73"/>
      <c r="S93" s="73"/>
      <c r="T93" s="439" cm="1" t="str">
        <f t="array" ref="T93:T93">T92</f>
        <v>false</v>
      </c>
      <c r="U93" s="73"/>
      <c r="V93" s="73"/>
      <c r="W93" s="73"/>
      <c r="X93" s="1534"/>
      <c r="Y93" s="960"/>
      <c r="Z93" s="1465"/>
      <c r="AA93" s="960"/>
      <c r="AB93" s="267" t="s">
        <v>478</v>
      </c>
      <c r="AC93" s="746" t="s">
        <v>1165</v>
      </c>
      <c r="AD93" s="267" t="s">
        <v>784</v>
      </c>
      <c r="AE93" s="1099">
        <f>_xlfn.SUMIFS(Налоги!AE$25:AE$69,Налоги!$F$25:$F$69,$F93,Налоги!$AB$25:$AB$69,$G93)</f>
        <v>0</v>
      </c>
      <c r="AF93" s="1099">
        <f>_xlfn.SUMIFS(Налоги!AF$25:AF$69,Налоги!$F$25:$F$69,$F93,Налоги!$AB$25:$AB$69,$G93)</f>
        <v>0</v>
      </c>
      <c r="AG93" s="1099">
        <f>_xlfn.SUMIFS(Налоги!AG$25:AG$69,Налоги!$F$25:$F$69,$F93,Налоги!$AB$25:$AB$69,$G93)</f>
        <v>0</v>
      </c>
      <c r="AH93" s="1099">
        <f>AG93-AF93</f>
        <v>0</v>
      </c>
      <c r="AI93" s="1099">
        <f>_xlfn.SUMIFS(Налоги!AH$25:AH$69,Налоги!$F$25:$F$69,$F93,Налоги!$AB$25:$AB$69,$G93)</f>
        <v>0</v>
      </c>
      <c r="AJ93" s="1099">
        <f>_xlfn.SUMIFS(Налоги!AI$25:AI$69,Налоги!$F$25:$F$69,$F93,Налоги!$AB$25:$AB$69,$G93)</f>
        <v>0</v>
      </c>
      <c r="AK93" s="1099">
        <f>_xlfn.SUMIFS(Налоги!AJ$25:AJ$69,Налоги!$F$25:$F$69,$F93,Налоги!$AB$25:$AB$69,$G93)</f>
        <v>0</v>
      </c>
      <c r="AL93" s="1099">
        <f>_xlfn.SUMIFS(Налоги!AK$25:AK$69,Налоги!$F$25:$F$69,$F93,Налоги!$AB$25:$AB$69,$G93)</f>
        <v>0</v>
      </c>
      <c r="AM93" s="1099">
        <f>_xlfn.SUMIFS(Налоги!AL$25:AL$69,Налоги!$F$25:$F$69,$F93,Налоги!$AB$25:$AB$69,$G93)</f>
        <v>0</v>
      </c>
      <c r="AN93" s="1099">
        <f>_xlfn.SUMIFS(Налоги!AM$25:AM$69,Налоги!$F$25:$F$69,$F93,Налоги!$AB$25:$AB$69,$G93)</f>
        <v>0</v>
      </c>
      <c r="AO93" s="1099">
        <f>_xlfn.SUMIFS(Налоги!AN$25:AN$69,Налоги!$F$25:$F$69,$F93,Налоги!$AB$25:$AB$69,$G93)</f>
        <v>0</v>
      </c>
      <c r="AP93" s="1099">
        <f>_xlfn.SUMIFS(Налоги!AO$25:AO$69,Налоги!$F$25:$F$69,$F93,Налоги!$AB$25:$AB$69,$G93)</f>
        <v>0</v>
      </c>
      <c r="AQ93" s="1099">
        <f>_xlfn.SUMIFS(Налоги!AP$25:AP$69,Налоги!$F$25:$F$69,$F93,Налоги!$AB$25:$AB$69,$G93)</f>
        <v>0</v>
      </c>
      <c r="AR93" s="1099">
        <f>_xlfn.SUMIFS(Налоги!AQ$25:AQ$69,Налоги!$F$25:$F$69,$F93,Налоги!$AB$25:$AB$69,$G93)</f>
        <v>0</v>
      </c>
      <c r="AS93" s="1099">
        <f>_xlfn.SUMIFS(Налоги!AR$25:AR$69,Налоги!$F$25:$F$69,$F93,Налоги!$AB$25:$AB$69,$G93)</f>
        <v>0</v>
      </c>
      <c r="AT93" s="1099">
        <f>_xlfn.SUMIFS(Налоги!AS$25:AS$69,Налоги!$F$25:$F$69,$F93,Налоги!$AB$25:$AB$69,$G93)</f>
        <v>0</v>
      </c>
      <c r="AU93" s="1099">
        <f>_xlfn.SUMIFS(Налоги!AT$25:AT$69,Налоги!$F$25:$F$69,$F93,Налоги!$AB$25:$AB$69,$G93)</f>
        <v>0</v>
      </c>
      <c r="AV93" s="1099">
        <f>_xlfn.SUMIFS(Налоги!AU$25:AU$69,Налоги!$F$25:$F$69,$F93,Налоги!$AB$25:$AB$69,$G93)</f>
        <v>0</v>
      </c>
      <c r="AW93" s="1099">
        <f>_xlfn.SUMIFS(Налоги!AV$25:AV$69,Налоги!$F$25:$F$69,$F93,Налоги!$AB$25:$AB$69,$G93)</f>
        <v>0</v>
      </c>
      <c r="AX93" s="1099">
        <f>_xlfn.SUMIFS(Налоги!AW$25:AW$69,Налоги!$F$25:$F$69,$F93,Налоги!$AB$25:$AB$69,$G93)</f>
        <v>0</v>
      </c>
      <c r="AY93" s="1099">
        <f>_xlfn.SUMIFS(Налоги!AX$25:AX$69,Налоги!$F$25:$F$69,$F93,Налоги!$AB$25:$AB$69,$G93)</f>
        <v>0</v>
      </c>
      <c r="AZ93" s="1099">
        <f>_xlfn.SUMIFS(Налоги!AY$25:AY$69,Налоги!$F$25:$F$69,$F93,Налоги!$AB$25:$AB$69,$G93)</f>
        <v>0</v>
      </c>
      <c r="BA93" s="1099">
        <f>_xlfn.SUMIFS(Налоги!AZ$25:AZ$69,Налоги!$F$25:$F$69,$F93,Налоги!$AB$25:$AB$69,$G93)</f>
        <v>0</v>
      </c>
      <c r="BB93" s="1099">
        <f>_xlfn.SUMIFS(Налоги!BA$25:BA$69,Налоги!$F$25:$F$69,$F93,Налоги!$AB$25:$AB$69,$G93)</f>
        <v>0</v>
      </c>
      <c r="BC93" s="1099">
        <f>_xlfn.SUMIFS(Налоги!BB$25:BB$69,Налоги!$F$25:$F$69,$F93,Налоги!$AB$25:$AB$69,$G93)</f>
        <v>0</v>
      </c>
      <c r="BD93" s="1099">
        <f>IF(AI93=0,0,(AT93-AI93)/AI93*100)</f>
        <v>0</v>
      </c>
      <c r="BE93" s="1099">
        <f>IF(AT93=0,0,(AU93-AT93)/AT93*100)</f>
        <v>0</v>
      </c>
      <c r="BF93" s="1099">
        <f>IF(AU93=0,0,(AV93-AU93)/AU93*100)</f>
        <v>0</v>
      </c>
      <c r="BG93" s="1099">
        <f>IF(AV93=0,0,(AW93-AV93)/AV93*100)</f>
        <v>0</v>
      </c>
      <c r="BH93" s="1099">
        <f>IF(AW93=0,0,(AX93-AW93)/AW93*100)</f>
        <v>0</v>
      </c>
      <c r="BI93" s="1099">
        <f>IF(AX93=0,0,(AY93-AX93)/AX93*100)</f>
        <v>0</v>
      </c>
      <c r="BJ93" s="1099">
        <f>IF(AY93=0,0,(AZ93-AY93)/AY93*100)</f>
        <v>0</v>
      </c>
      <c r="BK93" s="1099">
        <f>IF(AZ93=0,0,(BA93-AZ93)/AZ93*100)</f>
        <v>0</v>
      </c>
      <c r="BL93" s="1099">
        <f>IF(BA93=0,0,(BB93-BA93)/BA93*100)</f>
        <v>0</v>
      </c>
      <c r="BM93" s="1099">
        <f>IF(BB93=0,0,(BC93-BB93)/BB93*100)</f>
        <v>0</v>
      </c>
      <c r="BN93" s="1265"/>
      <c r="BO93" s="1269" t="str">
        <f>IF(_xlfn.IFERROR(INDEX(Налоги!$K$26:$L$69,MATCH($F93&amp;"7komm",Налоги!$K$26:$K$69,0),2),"")=0,"",_xlfn.IFERROR(INDEX(Налоги!$K$26:$L$69,MATCH($F93&amp;"7komm",Налоги!$K$26:$K$69,0),2),""))</f>
        <v/>
      </c>
      <c r="BP93" s="1265"/>
      <c r="BQ93" s="960"/>
      <c r="BR93" s="960"/>
      <c r="BS93" s="1048" t="s">
        <v>1931</v>
      </c>
      <c r="BT93" s="1048"/>
      <c r="BU93" s="1048"/>
      <c r="BV93" s="962"/>
      <c r="BW93" s="962"/>
    </row>
    <row customHeight="1" ht="14.625" hidden="1">
      <c r="A94" s="960"/>
      <c r="B94" s="961"/>
      <c r="C94" s="73"/>
      <c r="D94" s="73"/>
      <c r="E94" s="600">
        <v>15</v>
      </c>
      <c r="F94" s="50" cm="1" t="str">
        <f t="array" ref="F94:F94">OFFSET(E94,-1,1)</f>
        <v>0</v>
      </c>
      <c r="G94" s="904">
        <v>6</v>
      </c>
      <c r="H94" s="73"/>
      <c r="I94" s="73" t="s">
        <v>1932</v>
      </c>
      <c r="J94" s="73"/>
      <c r="K94" s="73" t="s">
        <v>1932</v>
      </c>
      <c r="L94" s="963"/>
      <c r="M94" s="73"/>
      <c r="N94" s="73"/>
      <c r="O94" s="73"/>
      <c r="P94" s="73"/>
      <c r="Q94" s="73"/>
      <c r="R94" s="73"/>
      <c r="S94" s="73"/>
      <c r="T94" s="439" cm="1" t="str">
        <f t="array" ref="T94:T94">T93</f>
        <v>false</v>
      </c>
      <c r="U94" s="73"/>
      <c r="V94" s="73"/>
      <c r="W94" s="73"/>
      <c r="X94" s="1534"/>
      <c r="Y94" s="960"/>
      <c r="Z94" s="1465"/>
      <c r="AA94" s="960"/>
      <c r="AB94" s="267" t="s">
        <v>1375</v>
      </c>
      <c r="AC94" s="746" t="s">
        <v>1933</v>
      </c>
      <c r="AD94" s="267" t="s">
        <v>784</v>
      </c>
      <c r="AE94" s="1099">
        <f>_xlfn.SUMIFS(Налоги!AE$25:AE$69,Налоги!$F$25:$F$69,$F94,Налоги!$AB$25:$AB$69,$G94)</f>
        <v>0</v>
      </c>
      <c r="AF94" s="1099">
        <f>_xlfn.SUMIFS(Налоги!AF$25:AF$69,Налоги!$F$25:$F$69,$F94,Налоги!$AB$25:$AB$69,$G94)</f>
        <v>0</v>
      </c>
      <c r="AG94" s="1099">
        <f>_xlfn.SUMIFS(Налоги!AG$25:AG$69,Налоги!$F$25:$F$69,$F94,Налоги!$AB$25:$AB$69,$G94)</f>
        <v>0</v>
      </c>
      <c r="AH94" s="1099">
        <f>AG94-AF94</f>
        <v>0</v>
      </c>
      <c r="AI94" s="1099">
        <f>_xlfn.SUMIFS(Налоги!AH$25:AH$69,Налоги!$F$25:$F$69,$F94,Налоги!$AB$25:$AB$69,$G94)</f>
        <v>0</v>
      </c>
      <c r="AJ94" s="1099">
        <f>_xlfn.SUMIFS(Налоги!AI$25:AI$69,Налоги!$F$25:$F$69,$F94,Налоги!$AB$25:$AB$69,$G94)</f>
        <v>0</v>
      </c>
      <c r="AK94" s="1099">
        <f>_xlfn.SUMIFS(Налоги!AJ$25:AJ$69,Налоги!$F$25:$F$69,$F94,Налоги!$AB$25:$AB$69,$G94)</f>
        <v>0</v>
      </c>
      <c r="AL94" s="1099">
        <f>_xlfn.SUMIFS(Налоги!AK$25:AK$69,Налоги!$F$25:$F$69,$F94,Налоги!$AB$25:$AB$69,$G94)</f>
        <v>0</v>
      </c>
      <c r="AM94" s="1099">
        <f>_xlfn.SUMIFS(Налоги!AL$25:AL$69,Налоги!$F$25:$F$69,$F94,Налоги!$AB$25:$AB$69,$G94)</f>
        <v>0</v>
      </c>
      <c r="AN94" s="1099">
        <f>_xlfn.SUMIFS(Налоги!AM$25:AM$69,Налоги!$F$25:$F$69,$F94,Налоги!$AB$25:$AB$69,$G94)</f>
        <v>0</v>
      </c>
      <c r="AO94" s="1099">
        <f>_xlfn.SUMIFS(Налоги!AN$25:AN$69,Налоги!$F$25:$F$69,$F94,Налоги!$AB$25:$AB$69,$G94)</f>
        <v>0</v>
      </c>
      <c r="AP94" s="1099">
        <f>_xlfn.SUMIFS(Налоги!AO$25:AO$69,Налоги!$F$25:$F$69,$F94,Налоги!$AB$25:$AB$69,$G94)</f>
        <v>0</v>
      </c>
      <c r="AQ94" s="1099">
        <f>_xlfn.SUMIFS(Налоги!AP$25:AP$69,Налоги!$F$25:$F$69,$F94,Налоги!$AB$25:$AB$69,$G94)</f>
        <v>0</v>
      </c>
      <c r="AR94" s="1099">
        <f>_xlfn.SUMIFS(Налоги!AQ$25:AQ$69,Налоги!$F$25:$F$69,$F94,Налоги!$AB$25:$AB$69,$G94)</f>
        <v>0</v>
      </c>
      <c r="AS94" s="1099">
        <f>_xlfn.SUMIFS(Налоги!AR$25:AR$69,Налоги!$F$25:$F$69,$F94,Налоги!$AB$25:$AB$69,$G94)</f>
        <v>0</v>
      </c>
      <c r="AT94" s="1099">
        <f>_xlfn.SUMIFS(Налоги!AS$25:AS$69,Налоги!$F$25:$F$69,$F94,Налоги!$AB$25:$AB$69,$G94)</f>
        <v>0</v>
      </c>
      <c r="AU94" s="1099">
        <f>_xlfn.SUMIFS(Налоги!AT$25:AT$69,Налоги!$F$25:$F$69,$F94,Налоги!$AB$25:$AB$69,$G94)</f>
        <v>0</v>
      </c>
      <c r="AV94" s="1099">
        <f>_xlfn.SUMIFS(Налоги!AU$25:AU$69,Налоги!$F$25:$F$69,$F94,Налоги!$AB$25:$AB$69,$G94)</f>
        <v>0</v>
      </c>
      <c r="AW94" s="1099">
        <f>_xlfn.SUMIFS(Налоги!AV$25:AV$69,Налоги!$F$25:$F$69,$F94,Налоги!$AB$25:$AB$69,$G94)</f>
        <v>0</v>
      </c>
      <c r="AX94" s="1099">
        <f>_xlfn.SUMIFS(Налоги!AW$25:AW$69,Налоги!$F$25:$F$69,$F94,Налоги!$AB$25:$AB$69,$G94)</f>
        <v>0</v>
      </c>
      <c r="AY94" s="1099">
        <f>_xlfn.SUMIFS(Налоги!AX$25:AX$69,Налоги!$F$25:$F$69,$F94,Налоги!$AB$25:$AB$69,$G94)</f>
        <v>0</v>
      </c>
      <c r="AZ94" s="1099">
        <f>_xlfn.SUMIFS(Налоги!AY$25:AY$69,Налоги!$F$25:$F$69,$F94,Налоги!$AB$25:$AB$69,$G94)</f>
        <v>0</v>
      </c>
      <c r="BA94" s="1099">
        <f>_xlfn.SUMIFS(Налоги!AZ$25:AZ$69,Налоги!$F$25:$F$69,$F94,Налоги!$AB$25:$AB$69,$G94)</f>
        <v>0</v>
      </c>
      <c r="BB94" s="1099">
        <f>_xlfn.SUMIFS(Налоги!BA$25:BA$69,Налоги!$F$25:$F$69,$F94,Налоги!$AB$25:$AB$69,$G94)</f>
        <v>0</v>
      </c>
      <c r="BC94" s="1099">
        <f>_xlfn.SUMIFS(Налоги!BB$25:BB$69,Налоги!$F$25:$F$69,$F94,Налоги!$AB$25:$AB$69,$G94)</f>
        <v>0</v>
      </c>
      <c r="BD94" s="1099">
        <f>IF(AI94=0,0,(AT94-AI94)/AI94*100)</f>
        <v>0</v>
      </c>
      <c r="BE94" s="1099">
        <f>IF(AT94=0,0,(AU94-AT94)/AT94*100)</f>
        <v>0</v>
      </c>
      <c r="BF94" s="1099">
        <f>IF(AU94=0,0,(AV94-AU94)/AU94*100)</f>
        <v>0</v>
      </c>
      <c r="BG94" s="1099">
        <f>IF(AV94=0,0,(AW94-AV94)/AV94*100)</f>
        <v>0</v>
      </c>
      <c r="BH94" s="1099">
        <f>IF(AW94=0,0,(AX94-AW94)/AW94*100)</f>
        <v>0</v>
      </c>
      <c r="BI94" s="1099">
        <f>IF(AX94=0,0,(AY94-AX94)/AX94*100)</f>
        <v>0</v>
      </c>
      <c r="BJ94" s="1099">
        <f>IF(AY94=0,0,(AZ94-AY94)/AY94*100)</f>
        <v>0</v>
      </c>
      <c r="BK94" s="1099">
        <f>IF(AZ94=0,0,(BA94-AZ94)/AZ94*100)</f>
        <v>0</v>
      </c>
      <c r="BL94" s="1099">
        <f>IF(BA94=0,0,(BB94-BA94)/BA94*100)</f>
        <v>0</v>
      </c>
      <c r="BM94" s="1099">
        <f>IF(BB94=0,0,(BC94-BB94)/BB94*100)</f>
        <v>0</v>
      </c>
      <c r="BN94" s="1265"/>
      <c r="BO94" s="1269" t="str">
        <f>IF(_xlfn.IFERROR(INDEX(Налоги!$K$26:$L$69,MATCH($F94&amp;"6komm",Налоги!$K$26:$K$69,0),2),"")=0,"",_xlfn.IFERROR(INDEX(Налоги!$K$26:$L$69,MATCH($F94&amp;"6komm",Налоги!$K$26:$K$69,0),2),""))</f>
        <v/>
      </c>
      <c r="BP94" s="1265"/>
      <c r="BQ94" s="960"/>
      <c r="BR94" s="960"/>
      <c r="BS94" s="1048" t="s">
        <v>1934</v>
      </c>
      <c r="BT94" s="1048"/>
      <c r="BU94" s="1048"/>
      <c r="BV94" s="962"/>
      <c r="BW94" s="962"/>
    </row>
    <row customHeight="1" ht="14.625" hidden="1">
      <c r="A95" s="960"/>
      <c r="B95" s="961"/>
      <c r="C95" s="73"/>
      <c r="D95" s="73"/>
      <c r="E95" s="600">
        <v>15</v>
      </c>
      <c r="F95" s="50" cm="1" t="str">
        <f t="array" ref="F95:F95">OFFSET(E95,-1,1)</f>
        <v>0</v>
      </c>
      <c r="G95" s="904">
        <v>2</v>
      </c>
      <c r="H95" s="73"/>
      <c r="I95" s="73" t="s">
        <v>1935</v>
      </c>
      <c r="J95" s="73"/>
      <c r="K95" s="73" t="s">
        <v>1935</v>
      </c>
      <c r="L95" s="963"/>
      <c r="M95" s="73"/>
      <c r="N95" s="73"/>
      <c r="O95" s="73"/>
      <c r="P95" s="73"/>
      <c r="Q95" s="73"/>
      <c r="R95" s="73"/>
      <c r="S95" s="73"/>
      <c r="T95" s="439" cm="1" t="str">
        <f t="array" ref="T95:T95">T94</f>
        <v>false</v>
      </c>
      <c r="U95" s="73"/>
      <c r="V95" s="73"/>
      <c r="W95" s="73"/>
      <c r="X95" s="1534"/>
      <c r="Y95" s="960"/>
      <c r="Z95" s="1465"/>
      <c r="AA95" s="960"/>
      <c r="AB95" s="267" t="s">
        <v>1380</v>
      </c>
      <c r="AC95" s="746" t="s">
        <v>1936</v>
      </c>
      <c r="AD95" s="267" t="s">
        <v>784</v>
      </c>
      <c r="AE95" s="1099">
        <f>_xlfn.SUMIFS(Налоги!AE$25:AE$69,Налоги!$F$25:$F$69,$F95,Налоги!$AB$25:$AB$69,$G95)</f>
        <v>0</v>
      </c>
      <c r="AF95" s="1099">
        <f>_xlfn.SUMIFS(Налоги!AF$25:AF$69,Налоги!$F$25:$F$69,$F95,Налоги!$AB$25:$AB$69,$G95)</f>
        <v>0</v>
      </c>
      <c r="AG95" s="1099">
        <f>_xlfn.SUMIFS(Налоги!AG$25:AG$69,Налоги!$F$25:$F$69,$F95,Налоги!$AB$25:$AB$69,$G95)</f>
        <v>0</v>
      </c>
      <c r="AH95" s="1099">
        <f>AG95-AF95</f>
        <v>0</v>
      </c>
      <c r="AI95" s="1099">
        <f>_xlfn.SUMIFS(Налоги!AH$25:AH$69,Налоги!$F$25:$F$69,$F95,Налоги!$AB$25:$AB$69,$G95)</f>
        <v>0</v>
      </c>
      <c r="AJ95" s="1099">
        <f>_xlfn.SUMIFS(Налоги!AI$25:AI$69,Налоги!$F$25:$F$69,$F95,Налоги!$AB$25:$AB$69,$G95)</f>
        <v>0</v>
      </c>
      <c r="AK95" s="1099">
        <f>_xlfn.SUMIFS(Налоги!AJ$25:AJ$69,Налоги!$F$25:$F$69,$F95,Налоги!$AB$25:$AB$69,$G95)</f>
        <v>0</v>
      </c>
      <c r="AL95" s="1099">
        <f>_xlfn.SUMIFS(Налоги!AK$25:AK$69,Налоги!$F$25:$F$69,$F95,Налоги!$AB$25:$AB$69,$G95)</f>
        <v>0</v>
      </c>
      <c r="AM95" s="1099">
        <f>_xlfn.SUMIFS(Налоги!AL$25:AL$69,Налоги!$F$25:$F$69,$F95,Налоги!$AB$25:$AB$69,$G95)</f>
        <v>0</v>
      </c>
      <c r="AN95" s="1099">
        <f>_xlfn.SUMIFS(Налоги!AM$25:AM$69,Налоги!$F$25:$F$69,$F95,Налоги!$AB$25:$AB$69,$G95)</f>
        <v>0</v>
      </c>
      <c r="AO95" s="1099">
        <f>_xlfn.SUMIFS(Налоги!AN$25:AN$69,Налоги!$F$25:$F$69,$F95,Налоги!$AB$25:$AB$69,$G95)</f>
        <v>0</v>
      </c>
      <c r="AP95" s="1099">
        <f>_xlfn.SUMIFS(Налоги!AO$25:AO$69,Налоги!$F$25:$F$69,$F95,Налоги!$AB$25:$AB$69,$G95)</f>
        <v>0</v>
      </c>
      <c r="AQ95" s="1099">
        <f>_xlfn.SUMIFS(Налоги!AP$25:AP$69,Налоги!$F$25:$F$69,$F95,Налоги!$AB$25:$AB$69,$G95)</f>
        <v>0</v>
      </c>
      <c r="AR95" s="1099">
        <f>_xlfn.SUMIFS(Налоги!AQ$25:AQ$69,Налоги!$F$25:$F$69,$F95,Налоги!$AB$25:$AB$69,$G95)</f>
        <v>0</v>
      </c>
      <c r="AS95" s="1099">
        <f>_xlfn.SUMIFS(Налоги!AR$25:AR$69,Налоги!$F$25:$F$69,$F95,Налоги!$AB$25:$AB$69,$G95)</f>
        <v>0</v>
      </c>
      <c r="AT95" s="1099">
        <f>_xlfn.SUMIFS(Налоги!AS$25:AS$69,Налоги!$F$25:$F$69,$F95,Налоги!$AB$25:$AB$69,$G95)</f>
        <v>0</v>
      </c>
      <c r="AU95" s="1099">
        <f>_xlfn.SUMIFS(Налоги!AT$25:AT$69,Налоги!$F$25:$F$69,$F95,Налоги!$AB$25:$AB$69,$G95)</f>
        <v>0</v>
      </c>
      <c r="AV95" s="1099">
        <f>_xlfn.SUMIFS(Налоги!AU$25:AU$69,Налоги!$F$25:$F$69,$F95,Налоги!$AB$25:$AB$69,$G95)</f>
        <v>0</v>
      </c>
      <c r="AW95" s="1099">
        <f>_xlfn.SUMIFS(Налоги!AV$25:AV$69,Налоги!$F$25:$F$69,$F95,Налоги!$AB$25:$AB$69,$G95)</f>
        <v>0</v>
      </c>
      <c r="AX95" s="1099">
        <f>_xlfn.SUMIFS(Налоги!AW$25:AW$69,Налоги!$F$25:$F$69,$F95,Налоги!$AB$25:$AB$69,$G95)</f>
        <v>0</v>
      </c>
      <c r="AY95" s="1099">
        <f>_xlfn.SUMIFS(Налоги!AX$25:AX$69,Налоги!$F$25:$F$69,$F95,Налоги!$AB$25:$AB$69,$G95)</f>
        <v>0</v>
      </c>
      <c r="AZ95" s="1099">
        <f>_xlfn.SUMIFS(Налоги!AY$25:AY$69,Налоги!$F$25:$F$69,$F95,Налоги!$AB$25:$AB$69,$G95)</f>
        <v>0</v>
      </c>
      <c r="BA95" s="1099">
        <f>_xlfn.SUMIFS(Налоги!AZ$25:AZ$69,Налоги!$F$25:$F$69,$F95,Налоги!$AB$25:$AB$69,$G95)</f>
        <v>0</v>
      </c>
      <c r="BB95" s="1099">
        <f>_xlfn.SUMIFS(Налоги!BA$25:BA$69,Налоги!$F$25:$F$69,$F95,Налоги!$AB$25:$AB$69,$G95)</f>
        <v>0</v>
      </c>
      <c r="BC95" s="1099">
        <f>_xlfn.SUMIFS(Налоги!BB$25:BB$69,Налоги!$F$25:$F$69,$F95,Налоги!$AB$25:$AB$69,$G95)</f>
        <v>0</v>
      </c>
      <c r="BD95" s="1099">
        <f>IF(AI95=0,0,(AT95-AI95)/AI95*100)</f>
        <v>0</v>
      </c>
      <c r="BE95" s="1099">
        <f>IF(AT95=0,0,(AU95-AT95)/AT95*100)</f>
        <v>0</v>
      </c>
      <c r="BF95" s="1099">
        <f>IF(AU95=0,0,(AV95-AU95)/AU95*100)</f>
        <v>0</v>
      </c>
      <c r="BG95" s="1099">
        <f>IF(AV95=0,0,(AW95-AV95)/AV95*100)</f>
        <v>0</v>
      </c>
      <c r="BH95" s="1099">
        <f>IF(AW95=0,0,(AX95-AW95)/AW95*100)</f>
        <v>0</v>
      </c>
      <c r="BI95" s="1099">
        <f>IF(AX95=0,0,(AY95-AX95)/AX95*100)</f>
        <v>0</v>
      </c>
      <c r="BJ95" s="1099">
        <f>IF(AY95=0,0,(AZ95-AY95)/AY95*100)</f>
        <v>0</v>
      </c>
      <c r="BK95" s="1099">
        <f>IF(AZ95=0,0,(BA95-AZ95)/AZ95*100)</f>
        <v>0</v>
      </c>
      <c r="BL95" s="1099">
        <f>IF(BA95=0,0,(BB95-BA95)/BA95*100)</f>
        <v>0</v>
      </c>
      <c r="BM95" s="1099">
        <f>IF(BB95=0,0,(BC95-BB95)/BB95*100)</f>
        <v>0</v>
      </c>
      <c r="BN95" s="1265"/>
      <c r="BO95" s="1269" t="str">
        <f>IF(_xlfn.IFERROR(INDEX(Налоги!$K$26:$L$69,MATCH($F95&amp;"2komm",Налоги!$K$26:$K$69,0),2),"")=0,"",_xlfn.IFERROR(INDEX(Налоги!$K$26:$L$69,MATCH($F95&amp;"2komm",Налоги!$K$26:$K$69,0),2),""))</f>
        <v/>
      </c>
      <c r="BP95" s="1265"/>
      <c r="BQ95" s="960"/>
      <c r="BR95" s="960"/>
      <c r="BS95" s="1048" t="s">
        <v>1937</v>
      </c>
      <c r="BT95" s="1048"/>
      <c r="BU95" s="1048"/>
      <c r="BV95" s="962"/>
      <c r="BW95" s="962"/>
    </row>
    <row customHeight="1" ht="14.625" hidden="1">
      <c r="A96" s="960"/>
      <c r="B96" s="961"/>
      <c r="C96" s="73"/>
      <c r="D96" s="73"/>
      <c r="E96" s="600">
        <v>15</v>
      </c>
      <c r="F96" s="50" cm="1" t="str">
        <f t="array" ref="F96:F96">OFFSET(E96,-1,1)</f>
        <v>0</v>
      </c>
      <c r="G96" s="904">
        <v>4</v>
      </c>
      <c r="H96" s="73"/>
      <c r="I96" s="73" t="s">
        <v>1938</v>
      </c>
      <c r="J96" s="73"/>
      <c r="K96" s="73" t="s">
        <v>1938</v>
      </c>
      <c r="L96" s="963"/>
      <c r="M96" s="73"/>
      <c r="N96" s="73"/>
      <c r="O96" s="73"/>
      <c r="P96" s="73"/>
      <c r="Q96" s="73"/>
      <c r="R96" s="73"/>
      <c r="S96" s="73"/>
      <c r="T96" s="439" cm="1" t="str">
        <f t="array" ref="T96:T96">T95</f>
        <v>false</v>
      </c>
      <c r="U96" s="73"/>
      <c r="V96" s="73"/>
      <c r="W96" s="73"/>
      <c r="X96" s="1534"/>
      <c r="Y96" s="960"/>
      <c r="Z96" s="1465"/>
      <c r="AA96" s="960"/>
      <c r="AB96" s="267" t="s">
        <v>1939</v>
      </c>
      <c r="AC96" s="746" t="s">
        <v>1940</v>
      </c>
      <c r="AD96" s="267" t="s">
        <v>784</v>
      </c>
      <c r="AE96" s="1099">
        <f>_xlfn.SUMIFS(Налоги!AE$25:AE$69,Налоги!$F$25:$F$69,$F96,Налоги!$AB$25:$AB$69,$G96)</f>
        <v>0</v>
      </c>
      <c r="AF96" s="1099">
        <f>_xlfn.SUMIFS(Налоги!AF$25:AF$69,Налоги!$F$25:$F$69,$F96,Налоги!$AB$25:$AB$69,$G96)</f>
        <v>0</v>
      </c>
      <c r="AG96" s="1099">
        <f>_xlfn.SUMIFS(Налоги!AG$25:AG$69,Налоги!$F$25:$F$69,$F96,Налоги!$AB$25:$AB$69,$G96)</f>
        <v>0</v>
      </c>
      <c r="AH96" s="1099">
        <f>AG96-AF96</f>
        <v>0</v>
      </c>
      <c r="AI96" s="1099">
        <f>_xlfn.SUMIFS(Налоги!AH$25:AH$69,Налоги!$F$25:$F$69,$F96,Налоги!$AB$25:$AB$69,$G96)</f>
        <v>0</v>
      </c>
      <c r="AJ96" s="1099">
        <f>_xlfn.SUMIFS(Налоги!AI$25:AI$69,Налоги!$F$25:$F$69,$F96,Налоги!$AB$25:$AB$69,$G96)</f>
        <v>0</v>
      </c>
      <c r="AK96" s="1099">
        <f>_xlfn.SUMIFS(Налоги!AJ$25:AJ$69,Налоги!$F$25:$F$69,$F96,Налоги!$AB$25:$AB$69,$G96)</f>
        <v>0</v>
      </c>
      <c r="AL96" s="1099">
        <f>_xlfn.SUMIFS(Налоги!AK$25:AK$69,Налоги!$F$25:$F$69,$F96,Налоги!$AB$25:$AB$69,$G96)</f>
        <v>0</v>
      </c>
      <c r="AM96" s="1099">
        <f>_xlfn.SUMIFS(Налоги!AL$25:AL$69,Налоги!$F$25:$F$69,$F96,Налоги!$AB$25:$AB$69,$G96)</f>
        <v>0</v>
      </c>
      <c r="AN96" s="1099">
        <f>_xlfn.SUMIFS(Налоги!AM$25:AM$69,Налоги!$F$25:$F$69,$F96,Налоги!$AB$25:$AB$69,$G96)</f>
        <v>0</v>
      </c>
      <c r="AO96" s="1099">
        <f>_xlfn.SUMIFS(Налоги!AN$25:AN$69,Налоги!$F$25:$F$69,$F96,Налоги!$AB$25:$AB$69,$G96)</f>
        <v>0</v>
      </c>
      <c r="AP96" s="1099">
        <f>_xlfn.SUMIFS(Налоги!AO$25:AO$69,Налоги!$F$25:$F$69,$F96,Налоги!$AB$25:$AB$69,$G96)</f>
        <v>0</v>
      </c>
      <c r="AQ96" s="1099">
        <f>_xlfn.SUMIFS(Налоги!AP$25:AP$69,Налоги!$F$25:$F$69,$F96,Налоги!$AB$25:$AB$69,$G96)</f>
        <v>0</v>
      </c>
      <c r="AR96" s="1099">
        <f>_xlfn.SUMIFS(Налоги!AQ$25:AQ$69,Налоги!$F$25:$F$69,$F96,Налоги!$AB$25:$AB$69,$G96)</f>
        <v>0</v>
      </c>
      <c r="AS96" s="1099">
        <f>_xlfn.SUMIFS(Налоги!AR$25:AR$69,Налоги!$F$25:$F$69,$F96,Налоги!$AB$25:$AB$69,$G96)</f>
        <v>0</v>
      </c>
      <c r="AT96" s="1099">
        <f>_xlfn.SUMIFS(Налоги!AS$25:AS$69,Налоги!$F$25:$F$69,$F96,Налоги!$AB$25:$AB$69,$G96)</f>
        <v>0</v>
      </c>
      <c r="AU96" s="1099">
        <f>_xlfn.SUMIFS(Налоги!AT$25:AT$69,Налоги!$F$25:$F$69,$F96,Налоги!$AB$25:$AB$69,$G96)</f>
        <v>0</v>
      </c>
      <c r="AV96" s="1099">
        <f>_xlfn.SUMIFS(Налоги!AU$25:AU$69,Налоги!$F$25:$F$69,$F96,Налоги!$AB$25:$AB$69,$G96)</f>
        <v>0</v>
      </c>
      <c r="AW96" s="1099">
        <f>_xlfn.SUMIFS(Налоги!AV$25:AV$69,Налоги!$F$25:$F$69,$F96,Налоги!$AB$25:$AB$69,$G96)</f>
        <v>0</v>
      </c>
      <c r="AX96" s="1099">
        <f>_xlfn.SUMIFS(Налоги!AW$25:AW$69,Налоги!$F$25:$F$69,$F96,Налоги!$AB$25:$AB$69,$G96)</f>
        <v>0</v>
      </c>
      <c r="AY96" s="1099">
        <f>_xlfn.SUMIFS(Налоги!AX$25:AX$69,Налоги!$F$25:$F$69,$F96,Налоги!$AB$25:$AB$69,$G96)</f>
        <v>0</v>
      </c>
      <c r="AZ96" s="1099">
        <f>_xlfn.SUMIFS(Налоги!AY$25:AY$69,Налоги!$F$25:$F$69,$F96,Налоги!$AB$25:$AB$69,$G96)</f>
        <v>0</v>
      </c>
      <c r="BA96" s="1099">
        <f>_xlfn.SUMIFS(Налоги!AZ$25:AZ$69,Налоги!$F$25:$F$69,$F96,Налоги!$AB$25:$AB$69,$G96)</f>
        <v>0</v>
      </c>
      <c r="BB96" s="1099">
        <f>_xlfn.SUMIFS(Налоги!BA$25:BA$69,Налоги!$F$25:$F$69,$F96,Налоги!$AB$25:$AB$69,$G96)</f>
        <v>0</v>
      </c>
      <c r="BC96" s="1099">
        <f>_xlfn.SUMIFS(Налоги!BB$25:BB$69,Налоги!$F$25:$F$69,$F96,Налоги!$AB$25:$AB$69,$G96)</f>
        <v>0</v>
      </c>
      <c r="BD96" s="1099">
        <f>IF(AI96=0,0,(AT96-AI96)/AI96*100)</f>
        <v>0</v>
      </c>
      <c r="BE96" s="1099">
        <f>IF(AT96=0,0,(AU96-AT96)/AT96*100)</f>
        <v>0</v>
      </c>
      <c r="BF96" s="1099">
        <f>IF(AU96=0,0,(AV96-AU96)/AU96*100)</f>
        <v>0</v>
      </c>
      <c r="BG96" s="1099">
        <f>IF(AV96=0,0,(AW96-AV96)/AV96*100)</f>
        <v>0</v>
      </c>
      <c r="BH96" s="1099">
        <f>IF(AW96=0,0,(AX96-AW96)/AW96*100)</f>
        <v>0</v>
      </c>
      <c r="BI96" s="1099">
        <f>IF(AX96=0,0,(AY96-AX96)/AX96*100)</f>
        <v>0</v>
      </c>
      <c r="BJ96" s="1099">
        <f>IF(AY96=0,0,(AZ96-AY96)/AY96*100)</f>
        <v>0</v>
      </c>
      <c r="BK96" s="1099">
        <f>IF(AZ96=0,0,(BA96-AZ96)/AZ96*100)</f>
        <v>0</v>
      </c>
      <c r="BL96" s="1099">
        <f>IF(BA96=0,0,(BB96-BA96)/BA96*100)</f>
        <v>0</v>
      </c>
      <c r="BM96" s="1099">
        <f>IF(BB96=0,0,(BC96-BB96)/BB96*100)</f>
        <v>0</v>
      </c>
      <c r="BN96" s="1265"/>
      <c r="BO96" s="1269" t="str">
        <f>IF(_xlfn.IFERROR(INDEX(Налоги!$K$26:$L$69,MATCH($F96&amp;"4komm",Налоги!$K$26:$K$69,0),2),"")=0,"",_xlfn.IFERROR(INDEX(Налоги!$K$26:$L$69,MATCH($F96&amp;"4komm",Налоги!$K$26:$K$69,0),2),""))</f>
        <v/>
      </c>
      <c r="BP96" s="1265"/>
      <c r="BQ96" s="960"/>
      <c r="BR96" s="960"/>
      <c r="BS96" s="1048" t="s">
        <v>1941</v>
      </c>
      <c r="BT96" s="1048"/>
      <c r="BU96" s="1048"/>
      <c r="BV96" s="962"/>
      <c r="BW96" s="962"/>
    </row>
    <row customHeight="1" ht="14.625" hidden="1">
      <c r="A97" s="960"/>
      <c r="B97" s="961"/>
      <c r="C97" s="73"/>
      <c r="D97" s="73"/>
      <c r="E97" s="600">
        <v>15</v>
      </c>
      <c r="F97" s="50" cm="1" t="str">
        <f t="array" ref="F97:F97">OFFSET(E97,-1,1)</f>
        <v>0</v>
      </c>
      <c r="G97" s="904">
        <v>5</v>
      </c>
      <c r="H97" s="73"/>
      <c r="I97" s="73" t="s">
        <v>1942</v>
      </c>
      <c r="J97" s="73"/>
      <c r="K97" s="73" t="s">
        <v>1942</v>
      </c>
      <c r="L97" s="963"/>
      <c r="M97" s="73"/>
      <c r="N97" s="73"/>
      <c r="O97" s="73"/>
      <c r="P97" s="73"/>
      <c r="Q97" s="73"/>
      <c r="R97" s="73"/>
      <c r="S97" s="73"/>
      <c r="T97" s="439" cm="1" t="str">
        <f t="array" ref="T97:T97">T96</f>
        <v>false</v>
      </c>
      <c r="U97" s="73"/>
      <c r="V97" s="73"/>
      <c r="W97" s="73"/>
      <c r="X97" s="1534"/>
      <c r="Y97" s="960"/>
      <c r="Z97" s="1465"/>
      <c r="AA97" s="960"/>
      <c r="AB97" s="267" t="s">
        <v>1943</v>
      </c>
      <c r="AC97" s="746" t="s">
        <v>1944</v>
      </c>
      <c r="AD97" s="267" t="s">
        <v>784</v>
      </c>
      <c r="AE97" s="1099">
        <f>_xlfn.SUMIFS(Налоги!AE$25:AE$69,Налоги!$F$25:$F$69,$F97,Налоги!$AB$25:$AB$69,$G97)</f>
        <v>0</v>
      </c>
      <c r="AF97" s="1099">
        <f>_xlfn.SUMIFS(Налоги!AF$25:AF$69,Налоги!$F$25:$F$69,$F97,Налоги!$AB$25:$AB$69,$G97)</f>
        <v>0</v>
      </c>
      <c r="AG97" s="1099">
        <f>_xlfn.SUMIFS(Налоги!AG$25:AG$69,Налоги!$F$25:$F$69,$F97,Налоги!$AB$25:$AB$69,$G97)</f>
        <v>0</v>
      </c>
      <c r="AH97" s="1099">
        <f>AG97-AF97</f>
        <v>0</v>
      </c>
      <c r="AI97" s="1099">
        <f>_xlfn.SUMIFS(Налоги!AH$25:AH$69,Налоги!$F$25:$F$69,$F97,Налоги!$AB$25:$AB$69,$G97)</f>
        <v>0</v>
      </c>
      <c r="AJ97" s="1099">
        <f>_xlfn.SUMIFS(Налоги!AI$25:AI$69,Налоги!$F$25:$F$69,$F97,Налоги!$AB$25:$AB$69,$G97)</f>
        <v>0</v>
      </c>
      <c r="AK97" s="1099">
        <f>_xlfn.SUMIFS(Налоги!AJ$25:AJ$69,Налоги!$F$25:$F$69,$F97,Налоги!$AB$25:$AB$69,$G97)</f>
        <v>0</v>
      </c>
      <c r="AL97" s="1099">
        <f>_xlfn.SUMIFS(Налоги!AK$25:AK$69,Налоги!$F$25:$F$69,$F97,Налоги!$AB$25:$AB$69,$G97)</f>
        <v>0</v>
      </c>
      <c r="AM97" s="1099">
        <f>_xlfn.SUMIFS(Налоги!AL$25:AL$69,Налоги!$F$25:$F$69,$F97,Налоги!$AB$25:$AB$69,$G97)</f>
        <v>0</v>
      </c>
      <c r="AN97" s="1099">
        <f>_xlfn.SUMIFS(Налоги!AM$25:AM$69,Налоги!$F$25:$F$69,$F97,Налоги!$AB$25:$AB$69,$G97)</f>
        <v>0</v>
      </c>
      <c r="AO97" s="1099">
        <f>_xlfn.SUMIFS(Налоги!AN$25:AN$69,Налоги!$F$25:$F$69,$F97,Налоги!$AB$25:$AB$69,$G97)</f>
        <v>0</v>
      </c>
      <c r="AP97" s="1099">
        <f>_xlfn.SUMIFS(Налоги!AO$25:AO$69,Налоги!$F$25:$F$69,$F97,Налоги!$AB$25:$AB$69,$G97)</f>
        <v>0</v>
      </c>
      <c r="AQ97" s="1099">
        <f>_xlfn.SUMIFS(Налоги!AP$25:AP$69,Налоги!$F$25:$F$69,$F97,Налоги!$AB$25:$AB$69,$G97)</f>
        <v>0</v>
      </c>
      <c r="AR97" s="1099">
        <f>_xlfn.SUMIFS(Налоги!AQ$25:AQ$69,Налоги!$F$25:$F$69,$F97,Налоги!$AB$25:$AB$69,$G97)</f>
        <v>0</v>
      </c>
      <c r="AS97" s="1099">
        <f>_xlfn.SUMIFS(Налоги!AR$25:AR$69,Налоги!$F$25:$F$69,$F97,Налоги!$AB$25:$AB$69,$G97)</f>
        <v>0</v>
      </c>
      <c r="AT97" s="1099">
        <f>_xlfn.SUMIFS(Налоги!AS$25:AS$69,Налоги!$F$25:$F$69,$F97,Налоги!$AB$25:$AB$69,$G97)</f>
        <v>0</v>
      </c>
      <c r="AU97" s="1099">
        <f>_xlfn.SUMIFS(Налоги!AT$25:AT$69,Налоги!$F$25:$F$69,$F97,Налоги!$AB$25:$AB$69,$G97)</f>
        <v>0</v>
      </c>
      <c r="AV97" s="1099">
        <f>_xlfn.SUMIFS(Налоги!AU$25:AU$69,Налоги!$F$25:$F$69,$F97,Налоги!$AB$25:$AB$69,$G97)</f>
        <v>0</v>
      </c>
      <c r="AW97" s="1099">
        <f>_xlfn.SUMIFS(Налоги!AV$25:AV$69,Налоги!$F$25:$F$69,$F97,Налоги!$AB$25:$AB$69,$G97)</f>
        <v>0</v>
      </c>
      <c r="AX97" s="1099">
        <f>_xlfn.SUMIFS(Налоги!AW$25:AW$69,Налоги!$F$25:$F$69,$F97,Налоги!$AB$25:$AB$69,$G97)</f>
        <v>0</v>
      </c>
      <c r="AY97" s="1099">
        <f>_xlfn.SUMIFS(Налоги!AX$25:AX$69,Налоги!$F$25:$F$69,$F97,Налоги!$AB$25:$AB$69,$G97)</f>
        <v>0</v>
      </c>
      <c r="AZ97" s="1099">
        <f>_xlfn.SUMIFS(Налоги!AY$25:AY$69,Налоги!$F$25:$F$69,$F97,Налоги!$AB$25:$AB$69,$G97)</f>
        <v>0</v>
      </c>
      <c r="BA97" s="1099">
        <f>_xlfn.SUMIFS(Налоги!AZ$25:AZ$69,Налоги!$F$25:$F$69,$F97,Налоги!$AB$25:$AB$69,$G97)</f>
        <v>0</v>
      </c>
      <c r="BB97" s="1099">
        <f>_xlfn.SUMIFS(Налоги!BA$25:BA$69,Налоги!$F$25:$F$69,$F97,Налоги!$AB$25:$AB$69,$G97)</f>
        <v>0</v>
      </c>
      <c r="BC97" s="1099">
        <f>_xlfn.SUMIFS(Налоги!BB$25:BB$69,Налоги!$F$25:$F$69,$F97,Налоги!$AB$25:$AB$69,$G97)</f>
        <v>0</v>
      </c>
      <c r="BD97" s="1099">
        <f>IF(AI97=0,0,(AT97-AI97)/AI97*100)</f>
        <v>0</v>
      </c>
      <c r="BE97" s="1099">
        <f>IF(AT97=0,0,(AU97-AT97)/AT97*100)</f>
        <v>0</v>
      </c>
      <c r="BF97" s="1099">
        <f>IF(AU97=0,0,(AV97-AU97)/AU97*100)</f>
        <v>0</v>
      </c>
      <c r="BG97" s="1099">
        <f>IF(AV97=0,0,(AW97-AV97)/AV97*100)</f>
        <v>0</v>
      </c>
      <c r="BH97" s="1099">
        <f>IF(AW97=0,0,(AX97-AW97)/AW97*100)</f>
        <v>0</v>
      </c>
      <c r="BI97" s="1099">
        <f>IF(AX97=0,0,(AY97-AX97)/AX97*100)</f>
        <v>0</v>
      </c>
      <c r="BJ97" s="1099">
        <f>IF(AY97=0,0,(AZ97-AY97)/AY97*100)</f>
        <v>0</v>
      </c>
      <c r="BK97" s="1099">
        <f>IF(AZ97=0,0,(BA97-AZ97)/AZ97*100)</f>
        <v>0</v>
      </c>
      <c r="BL97" s="1099">
        <f>IF(BA97=0,0,(BB97-BA97)/BA97*100)</f>
        <v>0</v>
      </c>
      <c r="BM97" s="1099">
        <f>IF(BB97=0,0,(BC97-BB97)/BB97*100)</f>
        <v>0</v>
      </c>
      <c r="BN97" s="1265"/>
      <c r="BO97" s="1269" t="str">
        <f>IF(_xlfn.IFERROR(INDEX(Налоги!$K$26:$L$69,MATCH($F97&amp;"5komm",Налоги!$K$26:$K$69,0),2),"")=0,"",_xlfn.IFERROR(INDEX(Налоги!$K$26:$L$69,MATCH($F97&amp;"5komm",Налоги!$K$26:$K$69,0),2),""))</f>
        <v/>
      </c>
      <c r="BP97" s="1265"/>
      <c r="BQ97" s="960"/>
      <c r="BR97" s="960"/>
      <c r="BS97" s="1048" t="s">
        <v>1945</v>
      </c>
      <c r="BT97" s="1048"/>
      <c r="BU97" s="1048"/>
      <c r="BV97" s="962"/>
      <c r="BW97" s="962"/>
    </row>
    <row customHeight="1" ht="14.625" hidden="1">
      <c r="A98" s="960"/>
      <c r="B98" s="961"/>
      <c r="C98" s="73"/>
      <c r="D98" s="73"/>
      <c r="E98" s="600">
        <v>15</v>
      </c>
      <c r="F98" s="50" cm="1" t="str">
        <f t="array" ref="F98:F98">OFFSET(E98,-1,1)</f>
        <v>0</v>
      </c>
      <c r="G98" s="904">
        <v>1</v>
      </c>
      <c r="H98" s="73"/>
      <c r="I98" s="73" t="s">
        <v>1946</v>
      </c>
      <c r="J98" s="73"/>
      <c r="K98" s="73" t="s">
        <v>1946</v>
      </c>
      <c r="L98" s="963"/>
      <c r="M98" s="73"/>
      <c r="N98" s="73"/>
      <c r="O98" s="73"/>
      <c r="P98" s="73"/>
      <c r="Q98" s="73"/>
      <c r="R98" s="73"/>
      <c r="S98" s="73"/>
      <c r="T98" s="439" cm="1" t="str">
        <f t="array" ref="T98:T98">T97</f>
        <v>false</v>
      </c>
      <c r="U98" s="73"/>
      <c r="V98" s="73"/>
      <c r="W98" s="73"/>
      <c r="X98" s="1534"/>
      <c r="Y98" s="960"/>
      <c r="Z98" s="1465"/>
      <c r="AA98" s="960"/>
      <c r="AB98" s="267" t="s">
        <v>1947</v>
      </c>
      <c r="AC98" s="746" t="s">
        <v>1948</v>
      </c>
      <c r="AD98" s="267" t="s">
        <v>784</v>
      </c>
      <c r="AE98" s="1099">
        <f>_xlfn.SUMIFS(Налоги!AE$25:AE$69,Налоги!$F$25:$F$69,$F98,Налоги!$AB$25:$AB$69,$G98)</f>
        <v>0</v>
      </c>
      <c r="AF98" s="1099">
        <f>_xlfn.SUMIFS(Налоги!AF$25:AF$69,Налоги!$F$25:$F$69,$F98,Налоги!$AB$25:$AB$69,$G98)</f>
        <v>0</v>
      </c>
      <c r="AG98" s="1099">
        <f>_xlfn.SUMIFS(Налоги!AG$25:AG$69,Налоги!$F$25:$F$69,$F98,Налоги!$AB$25:$AB$69,$G98)</f>
        <v>0</v>
      </c>
      <c r="AH98" s="1099">
        <f>AG98-AF98</f>
        <v>0</v>
      </c>
      <c r="AI98" s="1099">
        <f>_xlfn.SUMIFS(Налоги!AH$25:AH$69,Налоги!$F$25:$F$69,$F98,Налоги!$AB$25:$AB$69,$G98)</f>
        <v>0</v>
      </c>
      <c r="AJ98" s="1099">
        <f>_xlfn.SUMIFS(Налоги!AI$25:AI$69,Налоги!$F$25:$F$69,$F98,Налоги!$AB$25:$AB$69,$G98)</f>
        <v>0</v>
      </c>
      <c r="AK98" s="1099">
        <f>_xlfn.SUMIFS(Налоги!AJ$25:AJ$69,Налоги!$F$25:$F$69,$F98,Налоги!$AB$25:$AB$69,$G98)</f>
        <v>0</v>
      </c>
      <c r="AL98" s="1099">
        <f>_xlfn.SUMIFS(Налоги!AK$25:AK$69,Налоги!$F$25:$F$69,$F98,Налоги!$AB$25:$AB$69,$G98)</f>
        <v>0</v>
      </c>
      <c r="AM98" s="1099">
        <f>_xlfn.SUMIFS(Налоги!AL$25:AL$69,Налоги!$F$25:$F$69,$F98,Налоги!$AB$25:$AB$69,$G98)</f>
        <v>0</v>
      </c>
      <c r="AN98" s="1099">
        <f>_xlfn.SUMIFS(Налоги!AM$25:AM$69,Налоги!$F$25:$F$69,$F98,Налоги!$AB$25:$AB$69,$G98)</f>
        <v>0</v>
      </c>
      <c r="AO98" s="1099">
        <f>_xlfn.SUMIFS(Налоги!AN$25:AN$69,Налоги!$F$25:$F$69,$F98,Налоги!$AB$25:$AB$69,$G98)</f>
        <v>0</v>
      </c>
      <c r="AP98" s="1099">
        <f>_xlfn.SUMIFS(Налоги!AO$25:AO$69,Налоги!$F$25:$F$69,$F98,Налоги!$AB$25:$AB$69,$G98)</f>
        <v>0</v>
      </c>
      <c r="AQ98" s="1099">
        <f>_xlfn.SUMIFS(Налоги!AP$25:AP$69,Налоги!$F$25:$F$69,$F98,Налоги!$AB$25:$AB$69,$G98)</f>
        <v>0</v>
      </c>
      <c r="AR98" s="1099">
        <f>_xlfn.SUMIFS(Налоги!AQ$25:AQ$69,Налоги!$F$25:$F$69,$F98,Налоги!$AB$25:$AB$69,$G98)</f>
        <v>0</v>
      </c>
      <c r="AS98" s="1099">
        <f>_xlfn.SUMIFS(Налоги!AR$25:AR$69,Налоги!$F$25:$F$69,$F98,Налоги!$AB$25:$AB$69,$G98)</f>
        <v>0</v>
      </c>
      <c r="AT98" s="1099">
        <f>_xlfn.SUMIFS(Налоги!AS$25:AS$69,Налоги!$F$25:$F$69,$F98,Налоги!$AB$25:$AB$69,$G98)</f>
        <v>0</v>
      </c>
      <c r="AU98" s="1099">
        <f>_xlfn.SUMIFS(Налоги!AT$25:AT$69,Налоги!$F$25:$F$69,$F98,Налоги!$AB$25:$AB$69,$G98)</f>
        <v>0</v>
      </c>
      <c r="AV98" s="1099">
        <f>_xlfn.SUMIFS(Налоги!AU$25:AU$69,Налоги!$F$25:$F$69,$F98,Налоги!$AB$25:$AB$69,$G98)</f>
        <v>0</v>
      </c>
      <c r="AW98" s="1099">
        <f>_xlfn.SUMIFS(Налоги!AV$25:AV$69,Налоги!$F$25:$F$69,$F98,Налоги!$AB$25:$AB$69,$G98)</f>
        <v>0</v>
      </c>
      <c r="AX98" s="1099">
        <f>_xlfn.SUMIFS(Налоги!AW$25:AW$69,Налоги!$F$25:$F$69,$F98,Налоги!$AB$25:$AB$69,$G98)</f>
        <v>0</v>
      </c>
      <c r="AY98" s="1099">
        <f>_xlfn.SUMIFS(Налоги!AX$25:AX$69,Налоги!$F$25:$F$69,$F98,Налоги!$AB$25:$AB$69,$G98)</f>
        <v>0</v>
      </c>
      <c r="AZ98" s="1099">
        <f>_xlfn.SUMIFS(Налоги!AY$25:AY$69,Налоги!$F$25:$F$69,$F98,Налоги!$AB$25:$AB$69,$G98)</f>
        <v>0</v>
      </c>
      <c r="BA98" s="1099">
        <f>_xlfn.SUMIFS(Налоги!AZ$25:AZ$69,Налоги!$F$25:$F$69,$F98,Налоги!$AB$25:$AB$69,$G98)</f>
        <v>0</v>
      </c>
      <c r="BB98" s="1099">
        <f>_xlfn.SUMIFS(Налоги!BA$25:BA$69,Налоги!$F$25:$F$69,$F98,Налоги!$AB$25:$AB$69,$G98)</f>
        <v>0</v>
      </c>
      <c r="BC98" s="1099">
        <f>_xlfn.SUMIFS(Налоги!BB$25:BB$69,Налоги!$F$25:$F$69,$F98,Налоги!$AB$25:$AB$69,$G98)</f>
        <v>0</v>
      </c>
      <c r="BD98" s="1099">
        <f>IF(AI98=0,0,(AT98-AI98)/AI98*100)</f>
        <v>0</v>
      </c>
      <c r="BE98" s="1099">
        <f>IF(AT98=0,0,(AU98-AT98)/AT98*100)</f>
        <v>0</v>
      </c>
      <c r="BF98" s="1099">
        <f>IF(AU98=0,0,(AV98-AU98)/AU98*100)</f>
        <v>0</v>
      </c>
      <c r="BG98" s="1099">
        <f>IF(AV98=0,0,(AW98-AV98)/AV98*100)</f>
        <v>0</v>
      </c>
      <c r="BH98" s="1099">
        <f>IF(AW98=0,0,(AX98-AW98)/AW98*100)</f>
        <v>0</v>
      </c>
      <c r="BI98" s="1099">
        <f>IF(AX98=0,0,(AY98-AX98)/AX98*100)</f>
        <v>0</v>
      </c>
      <c r="BJ98" s="1099">
        <f>IF(AY98=0,0,(AZ98-AY98)/AY98*100)</f>
        <v>0</v>
      </c>
      <c r="BK98" s="1099">
        <f>IF(AZ98=0,0,(BA98-AZ98)/AZ98*100)</f>
        <v>0</v>
      </c>
      <c r="BL98" s="1099">
        <f>IF(BA98=0,0,(BB98-BA98)/BA98*100)</f>
        <v>0</v>
      </c>
      <c r="BM98" s="1099">
        <f>IF(BB98=0,0,(BC98-BB98)/BB98*100)</f>
        <v>0</v>
      </c>
      <c r="BN98" s="1265"/>
      <c r="BO98" s="1269" t="str">
        <f>IF(_xlfn.IFERROR(INDEX(Налоги!$K$26:$L$69,MATCH($F98&amp;"1komm",Налоги!$K$26:$K$69,0),2),"")=0,"",_xlfn.IFERROR(INDEX(Налоги!$K$26:$L$69,MATCH($F98&amp;"1komm",Налоги!$K$26:$K$69,0),2),""))</f>
        <v/>
      </c>
      <c r="BP98" s="1265"/>
      <c r="BQ98" s="960"/>
      <c r="BR98" s="960"/>
      <c r="BS98" s="1048" t="s">
        <v>1949</v>
      </c>
      <c r="BT98" s="1048"/>
      <c r="BU98" s="1048"/>
      <c r="BV98" s="962"/>
      <c r="BW98" s="962"/>
    </row>
    <row customHeight="1" ht="14.625" hidden="1">
      <c r="A99" s="960"/>
      <c r="B99" s="961"/>
      <c r="C99" s="73"/>
      <c r="D99" s="73"/>
      <c r="E99" s="600">
        <v>15</v>
      </c>
      <c r="F99" s="50" cm="1" t="str">
        <f t="array" ref="F99:F99">OFFSET(E99,-1,1)</f>
        <v>0</v>
      </c>
      <c r="G99" s="904">
        <v>3</v>
      </c>
      <c r="H99" s="73"/>
      <c r="I99" s="73" t="s">
        <v>1950</v>
      </c>
      <c r="J99" s="73"/>
      <c r="K99" s="73" t="s">
        <v>1950</v>
      </c>
      <c r="L99" s="963"/>
      <c r="M99" s="73"/>
      <c r="N99" s="73"/>
      <c r="O99" s="73"/>
      <c r="P99" s="73"/>
      <c r="Q99" s="73"/>
      <c r="R99" s="73"/>
      <c r="S99" s="73"/>
      <c r="T99" s="439" cm="1" t="str">
        <f t="array" ref="T99:T99">T98</f>
        <v>false</v>
      </c>
      <c r="U99" s="73"/>
      <c r="V99" s="73"/>
      <c r="W99" s="73"/>
      <c r="X99" s="1534"/>
      <c r="Y99" s="960"/>
      <c r="Z99" s="1465"/>
      <c r="AA99" s="960"/>
      <c r="AB99" s="267" t="s">
        <v>1951</v>
      </c>
      <c r="AC99" s="746" t="s">
        <v>1952</v>
      </c>
      <c r="AD99" s="267" t="s">
        <v>784</v>
      </c>
      <c r="AE99" s="1099">
        <f>_xlfn.SUMIFS(Налоги!AE$25:AE$69,Налоги!$F$25:$F$69,$F99,Налоги!$AB$25:$AB$69,$G99)</f>
        <v>0</v>
      </c>
      <c r="AF99" s="1099">
        <f>_xlfn.SUMIFS(Налоги!AF$25:AF$69,Налоги!$F$25:$F$69,$F99,Налоги!$AB$25:$AB$69,$G99)</f>
        <v>0</v>
      </c>
      <c r="AG99" s="1099">
        <f>_xlfn.SUMIFS(Налоги!AG$25:AG$69,Налоги!$F$25:$F$69,$F99,Налоги!$AB$25:$AB$69,$G99)</f>
        <v>0</v>
      </c>
      <c r="AH99" s="1099">
        <f>AG99-AF99</f>
        <v>0</v>
      </c>
      <c r="AI99" s="1099">
        <f>_xlfn.SUMIFS(Налоги!AH$25:AH$69,Налоги!$F$25:$F$69,$F99,Налоги!$AB$25:$AB$69,$G99)</f>
        <v>0</v>
      </c>
      <c r="AJ99" s="1099">
        <f>_xlfn.SUMIFS(Налоги!AI$25:AI$69,Налоги!$F$25:$F$69,$F99,Налоги!$AB$25:$AB$69,$G99)</f>
        <v>0</v>
      </c>
      <c r="AK99" s="1099">
        <f>_xlfn.SUMIFS(Налоги!AJ$25:AJ$69,Налоги!$F$25:$F$69,$F99,Налоги!$AB$25:$AB$69,$G99)</f>
        <v>0</v>
      </c>
      <c r="AL99" s="1099">
        <f>_xlfn.SUMIFS(Налоги!AK$25:AK$69,Налоги!$F$25:$F$69,$F99,Налоги!$AB$25:$AB$69,$G99)</f>
        <v>0</v>
      </c>
      <c r="AM99" s="1099">
        <f>_xlfn.SUMIFS(Налоги!AL$25:AL$69,Налоги!$F$25:$F$69,$F99,Налоги!$AB$25:$AB$69,$G99)</f>
        <v>0</v>
      </c>
      <c r="AN99" s="1099">
        <f>_xlfn.SUMIFS(Налоги!AM$25:AM$69,Налоги!$F$25:$F$69,$F99,Налоги!$AB$25:$AB$69,$G99)</f>
        <v>0</v>
      </c>
      <c r="AO99" s="1099">
        <f>_xlfn.SUMIFS(Налоги!AN$25:AN$69,Налоги!$F$25:$F$69,$F99,Налоги!$AB$25:$AB$69,$G99)</f>
        <v>0</v>
      </c>
      <c r="AP99" s="1099">
        <f>_xlfn.SUMIFS(Налоги!AO$25:AO$69,Налоги!$F$25:$F$69,$F99,Налоги!$AB$25:$AB$69,$G99)</f>
        <v>0</v>
      </c>
      <c r="AQ99" s="1099">
        <f>_xlfn.SUMIFS(Налоги!AP$25:AP$69,Налоги!$F$25:$F$69,$F99,Налоги!$AB$25:$AB$69,$G99)</f>
        <v>0</v>
      </c>
      <c r="AR99" s="1099">
        <f>_xlfn.SUMIFS(Налоги!AQ$25:AQ$69,Налоги!$F$25:$F$69,$F99,Налоги!$AB$25:$AB$69,$G99)</f>
        <v>0</v>
      </c>
      <c r="AS99" s="1099">
        <f>_xlfn.SUMIFS(Налоги!AR$25:AR$69,Налоги!$F$25:$F$69,$F99,Налоги!$AB$25:$AB$69,$G99)</f>
        <v>0</v>
      </c>
      <c r="AT99" s="1099">
        <f>_xlfn.SUMIFS(Налоги!AS$25:AS$69,Налоги!$F$25:$F$69,$F99,Налоги!$AB$25:$AB$69,$G99)</f>
        <v>0</v>
      </c>
      <c r="AU99" s="1099">
        <f>_xlfn.SUMIFS(Налоги!AT$25:AT$69,Налоги!$F$25:$F$69,$F99,Налоги!$AB$25:$AB$69,$G99)</f>
        <v>0</v>
      </c>
      <c r="AV99" s="1099">
        <f>_xlfn.SUMIFS(Налоги!AU$25:AU$69,Налоги!$F$25:$F$69,$F99,Налоги!$AB$25:$AB$69,$G99)</f>
        <v>0</v>
      </c>
      <c r="AW99" s="1099">
        <f>_xlfn.SUMIFS(Налоги!AV$25:AV$69,Налоги!$F$25:$F$69,$F99,Налоги!$AB$25:$AB$69,$G99)</f>
        <v>0</v>
      </c>
      <c r="AX99" s="1099">
        <f>_xlfn.SUMIFS(Налоги!AW$25:AW$69,Налоги!$F$25:$F$69,$F99,Налоги!$AB$25:$AB$69,$G99)</f>
        <v>0</v>
      </c>
      <c r="AY99" s="1099">
        <f>_xlfn.SUMIFS(Налоги!AX$25:AX$69,Налоги!$F$25:$F$69,$F99,Налоги!$AB$25:$AB$69,$G99)</f>
        <v>0</v>
      </c>
      <c r="AZ99" s="1099">
        <f>_xlfn.SUMIFS(Налоги!AY$25:AY$69,Налоги!$F$25:$F$69,$F99,Налоги!$AB$25:$AB$69,$G99)</f>
        <v>0</v>
      </c>
      <c r="BA99" s="1099">
        <f>_xlfn.SUMIFS(Налоги!AZ$25:AZ$69,Налоги!$F$25:$F$69,$F99,Налоги!$AB$25:$AB$69,$G99)</f>
        <v>0</v>
      </c>
      <c r="BB99" s="1099">
        <f>_xlfn.SUMIFS(Налоги!BA$25:BA$69,Налоги!$F$25:$F$69,$F99,Налоги!$AB$25:$AB$69,$G99)</f>
        <v>0</v>
      </c>
      <c r="BC99" s="1099">
        <f>_xlfn.SUMIFS(Налоги!BB$25:BB$69,Налоги!$F$25:$F$69,$F99,Налоги!$AB$25:$AB$69,$G99)</f>
        <v>0</v>
      </c>
      <c r="BD99" s="1099">
        <f>IF(AI99=0,0,(AT99-AI99)/AI99*100)</f>
        <v>0</v>
      </c>
      <c r="BE99" s="1099">
        <f>IF(AT99=0,0,(AU99-AT99)/AT99*100)</f>
        <v>0</v>
      </c>
      <c r="BF99" s="1099">
        <f>IF(AU99=0,0,(AV99-AU99)/AU99*100)</f>
        <v>0</v>
      </c>
      <c r="BG99" s="1099">
        <f>IF(AV99=0,0,(AW99-AV99)/AV99*100)</f>
        <v>0</v>
      </c>
      <c r="BH99" s="1099">
        <f>IF(AW99=0,0,(AX99-AW99)/AW99*100)</f>
        <v>0</v>
      </c>
      <c r="BI99" s="1099">
        <f>IF(AX99=0,0,(AY99-AX99)/AX99*100)</f>
        <v>0</v>
      </c>
      <c r="BJ99" s="1099">
        <f>IF(AY99=0,0,(AZ99-AY99)/AY99*100)</f>
        <v>0</v>
      </c>
      <c r="BK99" s="1099">
        <f>IF(AZ99=0,0,(BA99-AZ99)/AZ99*100)</f>
        <v>0</v>
      </c>
      <c r="BL99" s="1099">
        <f>IF(BA99=0,0,(BB99-BA99)/BA99*100)</f>
        <v>0</v>
      </c>
      <c r="BM99" s="1099">
        <f>IF(BB99=0,0,(BC99-BB99)/BB99*100)</f>
        <v>0</v>
      </c>
      <c r="BN99" s="1265"/>
      <c r="BO99" s="1269" t="str">
        <f>IF(_xlfn.IFERROR(INDEX(Налоги!$K$26:$L$69,MATCH($F99&amp;"5komm",Налоги!$K$26:$K$69,0),2),"")=0,"",_xlfn.IFERROR(INDEX(Налоги!$K$26:$L$69,MATCH($F99&amp;"5komm",Налоги!$K$26:$K$69,0),2),""))</f>
        <v/>
      </c>
      <c r="BP99" s="1265"/>
      <c r="BQ99" s="960"/>
      <c r="BR99" s="960"/>
      <c r="BS99" s="1048" t="s">
        <v>1953</v>
      </c>
      <c r="BT99" s="1048"/>
      <c r="BU99" s="1048"/>
      <c r="BV99" s="962"/>
      <c r="BW99" s="962"/>
    </row>
    <row customHeight="1" ht="14.625" hidden="1">
      <c r="A100" s="960"/>
      <c r="B100" s="961"/>
      <c r="C100" s="73"/>
      <c r="D100" s="73"/>
      <c r="E100" s="600">
        <v>15</v>
      </c>
      <c r="F100" s="50" cm="1" t="str">
        <f t="array" ref="F100:F100">OFFSET(E100,-1,1)</f>
        <v>0</v>
      </c>
      <c r="G100" s="904">
        <v>8</v>
      </c>
      <c r="H100" s="73"/>
      <c r="I100" s="73" t="s">
        <v>1954</v>
      </c>
      <c r="J100" s="73"/>
      <c r="K100" s="73" t="s">
        <v>1954</v>
      </c>
      <c r="L100" s="963"/>
      <c r="M100" s="73"/>
      <c r="N100" s="73"/>
      <c r="O100" s="73"/>
      <c r="P100" s="73"/>
      <c r="Q100" s="73"/>
      <c r="R100" s="73"/>
      <c r="S100" s="73"/>
      <c r="T100" s="439" cm="1" t="str">
        <f t="array" ref="T100:T100">T99</f>
        <v>false</v>
      </c>
      <c r="U100" s="73"/>
      <c r="V100" s="73"/>
      <c r="W100" s="73"/>
      <c r="X100" s="1534"/>
      <c r="Y100" s="960"/>
      <c r="Z100" s="1465"/>
      <c r="AA100" s="960"/>
      <c r="AB100" s="267" t="s">
        <v>1955</v>
      </c>
      <c r="AC100" s="746" t="s">
        <v>1956</v>
      </c>
      <c r="AD100" s="267" t="s">
        <v>784</v>
      </c>
      <c r="AE100" s="1099">
        <f>_xlfn.SUMIFS(Налоги!AE$25:AE$69,Налоги!$F$25:$F$69,$F100,Налоги!$AB$25:$AB$69,$G100)</f>
        <v>0</v>
      </c>
      <c r="AF100" s="1099">
        <f>_xlfn.SUMIFS(Налоги!AF$25:AF$69,Налоги!$F$25:$F$69,$F100,Налоги!$AB$25:$AB$69,$G100)</f>
        <v>0</v>
      </c>
      <c r="AG100" s="1099">
        <f>_xlfn.SUMIFS(Налоги!AG$25:AG$69,Налоги!$F$25:$F$69,$F100,Налоги!$AB$25:$AB$69,$G100)</f>
        <v>0</v>
      </c>
      <c r="AH100" s="1099">
        <f>AG100-AF100</f>
        <v>0</v>
      </c>
      <c r="AI100" s="1099">
        <f>_xlfn.SUMIFS(Налоги!AH$25:AH$69,Налоги!$F$25:$F$69,$F100,Налоги!$AB$25:$AB$69,$G100)</f>
        <v>0</v>
      </c>
      <c r="AJ100" s="1099">
        <f>_xlfn.SUMIFS(Налоги!AI$25:AI$69,Налоги!$F$25:$F$69,$F100,Налоги!$AB$25:$AB$69,$G100)</f>
        <v>0</v>
      </c>
      <c r="AK100" s="1099">
        <f>_xlfn.SUMIFS(Налоги!AJ$25:AJ$69,Налоги!$F$25:$F$69,$F100,Налоги!$AB$25:$AB$69,$G100)</f>
        <v>0</v>
      </c>
      <c r="AL100" s="1099">
        <f>_xlfn.SUMIFS(Налоги!AK$25:AK$69,Налоги!$F$25:$F$69,$F100,Налоги!$AB$25:$AB$69,$G100)</f>
        <v>0</v>
      </c>
      <c r="AM100" s="1099">
        <f>_xlfn.SUMIFS(Налоги!AL$25:AL$69,Налоги!$F$25:$F$69,$F100,Налоги!$AB$25:$AB$69,$G100)</f>
        <v>0</v>
      </c>
      <c r="AN100" s="1099">
        <f>_xlfn.SUMIFS(Налоги!AM$25:AM$69,Налоги!$F$25:$F$69,$F100,Налоги!$AB$25:$AB$69,$G100)</f>
        <v>0</v>
      </c>
      <c r="AO100" s="1099">
        <f>_xlfn.SUMIFS(Налоги!AN$25:AN$69,Налоги!$F$25:$F$69,$F100,Налоги!$AB$25:$AB$69,$G100)</f>
        <v>0</v>
      </c>
      <c r="AP100" s="1099">
        <f>_xlfn.SUMIFS(Налоги!AO$25:AO$69,Налоги!$F$25:$F$69,$F100,Налоги!$AB$25:$AB$69,$G100)</f>
        <v>0</v>
      </c>
      <c r="AQ100" s="1099">
        <f>_xlfn.SUMIFS(Налоги!AP$25:AP$69,Налоги!$F$25:$F$69,$F100,Налоги!$AB$25:$AB$69,$G100)</f>
        <v>0</v>
      </c>
      <c r="AR100" s="1099">
        <f>_xlfn.SUMIFS(Налоги!AQ$25:AQ$69,Налоги!$F$25:$F$69,$F100,Налоги!$AB$25:$AB$69,$G100)</f>
        <v>0</v>
      </c>
      <c r="AS100" s="1099">
        <f>_xlfn.SUMIFS(Налоги!AR$25:AR$69,Налоги!$F$25:$F$69,$F100,Налоги!$AB$25:$AB$69,$G100)</f>
        <v>0</v>
      </c>
      <c r="AT100" s="1099">
        <f>_xlfn.SUMIFS(Налоги!AS$25:AS$69,Налоги!$F$25:$F$69,$F100,Налоги!$AB$25:$AB$69,$G100)</f>
        <v>0</v>
      </c>
      <c r="AU100" s="1099">
        <f>_xlfn.SUMIFS(Налоги!AT$25:AT$69,Налоги!$F$25:$F$69,$F100,Налоги!$AB$25:$AB$69,$G100)</f>
        <v>0</v>
      </c>
      <c r="AV100" s="1099">
        <f>_xlfn.SUMIFS(Налоги!AU$25:AU$69,Налоги!$F$25:$F$69,$F100,Налоги!$AB$25:$AB$69,$G100)</f>
        <v>0</v>
      </c>
      <c r="AW100" s="1099">
        <f>_xlfn.SUMIFS(Налоги!AV$25:AV$69,Налоги!$F$25:$F$69,$F100,Налоги!$AB$25:$AB$69,$G100)</f>
        <v>0</v>
      </c>
      <c r="AX100" s="1099">
        <f>_xlfn.SUMIFS(Налоги!AW$25:AW$69,Налоги!$F$25:$F$69,$F100,Налоги!$AB$25:$AB$69,$G100)</f>
        <v>0</v>
      </c>
      <c r="AY100" s="1099">
        <f>_xlfn.SUMIFS(Налоги!AX$25:AX$69,Налоги!$F$25:$F$69,$F100,Налоги!$AB$25:$AB$69,$G100)</f>
        <v>0</v>
      </c>
      <c r="AZ100" s="1099">
        <f>_xlfn.SUMIFS(Налоги!AY$25:AY$69,Налоги!$F$25:$F$69,$F100,Налоги!$AB$25:$AB$69,$G100)</f>
        <v>0</v>
      </c>
      <c r="BA100" s="1099">
        <f>_xlfn.SUMIFS(Налоги!AZ$25:AZ$69,Налоги!$F$25:$F$69,$F100,Налоги!$AB$25:$AB$69,$G100)</f>
        <v>0</v>
      </c>
      <c r="BB100" s="1099">
        <f>_xlfn.SUMIFS(Налоги!BA$25:BA$69,Налоги!$F$25:$F$69,$F100,Налоги!$AB$25:$AB$69,$G100)</f>
        <v>0</v>
      </c>
      <c r="BC100" s="1099">
        <f>_xlfn.SUMIFS(Налоги!BB$25:BB$69,Налоги!$F$25:$F$69,$F100,Налоги!$AB$25:$AB$69,$G100)</f>
        <v>0</v>
      </c>
      <c r="BD100" s="1099">
        <f>IF(AI100=0,0,(AT100-AI100)/AI100*100)</f>
        <v>0</v>
      </c>
      <c r="BE100" s="1099">
        <f>IF(AT100=0,0,(AU100-AT100)/AT100*100)</f>
        <v>0</v>
      </c>
      <c r="BF100" s="1099">
        <f>IF(AU100=0,0,(AV100-AU100)/AU100*100)</f>
        <v>0</v>
      </c>
      <c r="BG100" s="1099">
        <f>IF(AV100=0,0,(AW100-AV100)/AV100*100)</f>
        <v>0</v>
      </c>
      <c r="BH100" s="1099">
        <f>IF(AW100=0,0,(AX100-AW100)/AW100*100)</f>
        <v>0</v>
      </c>
      <c r="BI100" s="1099">
        <f>IF(AX100=0,0,(AY100-AX100)/AX100*100)</f>
        <v>0</v>
      </c>
      <c r="BJ100" s="1099">
        <f>IF(AY100=0,0,(AZ100-AY100)/AY100*100)</f>
        <v>0</v>
      </c>
      <c r="BK100" s="1099">
        <f>IF(AZ100=0,0,(BA100-AZ100)/AZ100*100)</f>
        <v>0</v>
      </c>
      <c r="BL100" s="1099">
        <f>IF(BA100=0,0,(BB100-BA100)/BA100*100)</f>
        <v>0</v>
      </c>
      <c r="BM100" s="1099">
        <f>IF(BB100=0,0,(BC100-BB100)/BB100*100)</f>
        <v>0</v>
      </c>
      <c r="BN100" s="1265"/>
      <c r="BO100" s="1269" t="str">
        <f>IF(_xlfn.IFERROR(INDEX(Налоги!$K$26:$L$69,MATCH($F100&amp;"8komm",Налоги!$K$26:$K$69,0),2),"")=0,"",_xlfn.IFERROR(INDEX(Налоги!$K$26:$L$69,MATCH($F100&amp;"8komm",Налоги!$K$26:$K$69,0),2),""))</f>
        <v/>
      </c>
      <c r="BP100" s="1265"/>
      <c r="BQ100" s="960"/>
      <c r="BR100" s="960"/>
      <c r="BS100" s="1048" t="s">
        <v>1169</v>
      </c>
      <c r="BT100" s="1048"/>
      <c r="BU100" s="1048"/>
      <c r="BV100" s="962"/>
      <c r="BW100" s="962"/>
    </row>
    <row s="1260" customFormat="1" customHeight="1" ht="14.625" hidden="1">
      <c r="A101" s="1260"/>
      <c r="B101" s="734"/>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73"/>
      <c r="X101" s="1534"/>
      <c r="Y101" s="1260"/>
      <c r="Z101" s="1465"/>
      <c r="AA101" s="1260"/>
      <c r="AB101" s="267" t="s">
        <v>1957</v>
      </c>
      <c r="AC101" s="761" t="s">
        <v>1958</v>
      </c>
      <c r="AD101" s="267" t="s">
        <v>784</v>
      </c>
      <c r="AE101" s="1099">
        <f>_xlfn.SUMIFS(Налоги!AE$25:AE$69,Налоги!$F$25:$F$69,$F101,Налоги!$AB$25:$AB$69,$G101)</f>
        <v>0</v>
      </c>
      <c r="AF101" s="1099">
        <f>_xlfn.SUMIFS(Налоги!AF$25:AF$69,Налоги!$F$25:$F$69,$F101,Налоги!$AB$25:$AB$69,$G101)</f>
        <v>0</v>
      </c>
      <c r="AG101" s="1099">
        <f>_xlfn.SUMIFS(Налоги!AG$25:AG$69,Налоги!$F$25:$F$69,$F101,Налоги!$AB$25:$AB$69,$G101)</f>
        <v>0</v>
      </c>
      <c r="AH101" s="1099">
        <f>AG101-AF101</f>
        <v>0</v>
      </c>
      <c r="AI101" s="1099">
        <f>_xlfn.SUMIFS(Налоги!AH$25:AH$69,Налоги!$F$25:$F$69,$F101,Налоги!$AB$25:$AB$69,$G101)</f>
        <v>0</v>
      </c>
      <c r="AJ101" s="1099">
        <f>_xlfn.SUMIFS(Налоги!AI$25:AI$69,Налоги!$F$25:$F$69,$F101,Налоги!$AB$25:$AB$69,$G101)</f>
        <v>0</v>
      </c>
      <c r="AK101" s="1099">
        <f>_xlfn.SUMIFS(Налоги!AJ$25:AJ$69,Налоги!$F$25:$F$69,$F101,Налоги!$AB$25:$AB$69,$G101)</f>
        <v>0</v>
      </c>
      <c r="AL101" s="1099">
        <f>_xlfn.SUMIFS(Налоги!AK$25:AK$69,Налоги!$F$25:$F$69,$F101,Налоги!$AB$25:$AB$69,$G101)</f>
        <v>0</v>
      </c>
      <c r="AM101" s="1099">
        <f>_xlfn.SUMIFS(Налоги!AL$25:AL$69,Налоги!$F$25:$F$69,$F101,Налоги!$AB$25:$AB$69,$G101)</f>
        <v>0</v>
      </c>
      <c r="AN101" s="1099">
        <f>_xlfn.SUMIFS(Налоги!AM$25:AM$69,Налоги!$F$25:$F$69,$F101,Налоги!$AB$25:$AB$69,$G101)</f>
        <v>0</v>
      </c>
      <c r="AO101" s="1099">
        <f>_xlfn.SUMIFS(Налоги!AN$25:AN$69,Налоги!$F$25:$F$69,$F101,Налоги!$AB$25:$AB$69,$G101)</f>
        <v>0</v>
      </c>
      <c r="AP101" s="1099">
        <f>_xlfn.SUMIFS(Налоги!AO$25:AO$69,Налоги!$F$25:$F$69,$F101,Налоги!$AB$25:$AB$69,$G101)</f>
        <v>0</v>
      </c>
      <c r="AQ101" s="1099">
        <f>_xlfn.SUMIFS(Налоги!AP$25:AP$69,Налоги!$F$25:$F$69,$F101,Налоги!$AB$25:$AB$69,$G101)</f>
        <v>0</v>
      </c>
      <c r="AR101" s="1099">
        <f>_xlfn.SUMIFS(Налоги!AQ$25:AQ$69,Налоги!$F$25:$F$69,$F101,Налоги!$AB$25:$AB$69,$G101)</f>
        <v>0</v>
      </c>
      <c r="AS101" s="1099">
        <f>_xlfn.SUMIFS(Налоги!AR$25:AR$69,Налоги!$F$25:$F$69,$F101,Налоги!$AB$25:$AB$69,$G101)</f>
        <v>0</v>
      </c>
      <c r="AT101" s="1099">
        <f>_xlfn.SUMIFS(Налоги!AS$25:AS$69,Налоги!$F$25:$F$69,$F101,Налоги!$AB$25:$AB$69,$G101)</f>
        <v>0</v>
      </c>
      <c r="AU101" s="1099">
        <f>_xlfn.SUMIFS(Налоги!AT$25:AT$69,Налоги!$F$25:$F$69,$F101,Налоги!$AB$25:$AB$69,$G101)</f>
        <v>0</v>
      </c>
      <c r="AV101" s="1099">
        <f>_xlfn.SUMIFS(Налоги!AU$25:AU$69,Налоги!$F$25:$F$69,$F101,Налоги!$AB$25:$AB$69,$G101)</f>
        <v>0</v>
      </c>
      <c r="AW101" s="1099">
        <f>_xlfn.SUMIFS(Налоги!AV$25:AV$69,Налоги!$F$25:$F$69,$F101,Налоги!$AB$25:$AB$69,$G101)</f>
        <v>0</v>
      </c>
      <c r="AX101" s="1099">
        <f>_xlfn.SUMIFS(Налоги!AW$25:AW$69,Налоги!$F$25:$F$69,$F101,Налоги!$AB$25:$AB$69,$G101)</f>
        <v>0</v>
      </c>
      <c r="AY101" s="1099">
        <f>_xlfn.SUMIFS(Налоги!AX$25:AX$69,Налоги!$F$25:$F$69,$F101,Налоги!$AB$25:$AB$69,$G101)</f>
        <v>0</v>
      </c>
      <c r="AZ101" s="1099">
        <f>_xlfn.SUMIFS(Налоги!AY$25:AY$69,Налоги!$F$25:$F$69,$F101,Налоги!$AB$25:$AB$69,$G101)</f>
        <v>0</v>
      </c>
      <c r="BA101" s="1099">
        <f>_xlfn.SUMIFS(Налоги!AZ$25:AZ$69,Налоги!$F$25:$F$69,$F101,Налоги!$AB$25:$AB$69,$G101)</f>
        <v>0</v>
      </c>
      <c r="BB101" s="1099">
        <f>_xlfn.SUMIFS(Налоги!BA$25:BA$69,Налоги!$F$25:$F$69,$F101,Налоги!$AB$25:$AB$69,$G101)</f>
        <v>0</v>
      </c>
      <c r="BC101" s="1099">
        <f>_xlfn.SUMIFS(Налоги!BB$25:BB$69,Налоги!$F$25:$F$69,$F101,Налоги!$AB$25:$AB$69,$G101)</f>
        <v>0</v>
      </c>
      <c r="BD101" s="1099">
        <f>IF(AI101=0,0,(AT101-AI101)/AI101*100)</f>
        <v>0</v>
      </c>
      <c r="BE101" s="1099">
        <f>IF(AT101=0,0,(AU101-AT101)/AT101*100)</f>
        <v>0</v>
      </c>
      <c r="BF101" s="1099">
        <f>IF(AU101=0,0,(AV101-AU101)/AU101*100)</f>
        <v>0</v>
      </c>
      <c r="BG101" s="1099">
        <f>IF(AV101=0,0,(AW101-AV101)/AV101*100)</f>
        <v>0</v>
      </c>
      <c r="BH101" s="1099">
        <f>IF(AW101=0,0,(AX101-AW101)/AW101*100)</f>
        <v>0</v>
      </c>
      <c r="BI101" s="1099">
        <f>IF(AX101=0,0,(AY101-AX101)/AX101*100)</f>
        <v>0</v>
      </c>
      <c r="BJ101" s="1099">
        <f>IF(AY101=0,0,(AZ101-AY101)/AY101*100)</f>
        <v>0</v>
      </c>
      <c r="BK101" s="1099">
        <f>IF(AZ101=0,0,(BA101-AZ101)/AZ101*100)</f>
        <v>0</v>
      </c>
      <c r="BL101" s="1099">
        <f>IF(BA101=0,0,(BB101-BA101)/BA101*100)</f>
        <v>0</v>
      </c>
      <c r="BM101" s="1099">
        <f>IF(BB101=0,0,(BC101-BB101)/BB101*100)</f>
        <v>0</v>
      </c>
      <c r="BN101" s="1265"/>
      <c r="BO101" s="1269" t="str">
        <f>IF(_xlfn.IFERROR(INDEX(Налоги!$K$26:$L$69,MATCH($F101&amp;"9komm",Налоги!$K$26:$K$69,0),2),"")=0,"",_xlfn.IFERROR(INDEX(Налоги!$K$26:$L$69,MATCH($F101&amp;"9komm",Налоги!$K$26:$K$69,0),2),""))</f>
        <v/>
      </c>
      <c r="BP101" s="1265"/>
      <c r="BQ101" s="1260"/>
      <c r="BR101" s="1260"/>
      <c r="BS101" s="1055" t="s">
        <v>1959</v>
      </c>
      <c r="BT101" s="1055"/>
      <c r="BU101" s="1055"/>
      <c r="BV101" s="1056"/>
      <c r="BW101" s="1056"/>
    </row>
    <row customHeight="1" ht="14.625" hidden="1">
      <c r="A102" s="960"/>
      <c r="B102" s="961"/>
      <c r="C102" s="73"/>
      <c r="D102" s="73"/>
      <c r="E102" s="600">
        <v>15</v>
      </c>
      <c r="F102" s="50" cm="1" t="str">
        <f t="array" ref="F102:F102">OFFSET(E102,-1,1)</f>
        <v>0</v>
      </c>
      <c r="G102" s="904">
        <v>10</v>
      </c>
      <c r="H102" s="73"/>
      <c r="I102" s="73" t="s">
        <v>1960</v>
      </c>
      <c r="J102" s="73"/>
      <c r="K102" s="73" t="s">
        <v>1960</v>
      </c>
      <c r="L102" s="963"/>
      <c r="M102" s="73"/>
      <c r="N102" s="73"/>
      <c r="O102" s="73"/>
      <c r="P102" s="73"/>
      <c r="Q102" s="73"/>
      <c r="R102" s="73"/>
      <c r="S102" s="73"/>
      <c r="T102" s="439" cm="1" t="str">
        <f t="array" ref="T102:T102">T101</f>
        <v>false</v>
      </c>
      <c r="U102" s="73"/>
      <c r="V102" s="73"/>
      <c r="W102" s="73"/>
      <c r="X102" s="1534"/>
      <c r="Y102" s="960"/>
      <c r="Z102" s="1465"/>
      <c r="AA102" s="960"/>
      <c r="AB102" s="267" t="s">
        <v>1961</v>
      </c>
      <c r="AC102" s="762" t="s">
        <v>1962</v>
      </c>
      <c r="AD102" s="267" t="s">
        <v>784</v>
      </c>
      <c r="AE102" s="1099">
        <f>_xlfn.SUMIFS(Налоги!AE$25:AE$69,Налоги!$F$25:$F$69,$F102,Налоги!$AB$25:$AB$69,$G102)</f>
        <v>0</v>
      </c>
      <c r="AF102" s="1099">
        <f>_xlfn.SUMIFS(Налоги!AF$25:AF$69,Налоги!$F$25:$F$69,$F102,Налоги!$AB$25:$AB$69,$G102)</f>
        <v>0</v>
      </c>
      <c r="AG102" s="1099">
        <f>_xlfn.SUMIFS(Налоги!AG$25:AG$69,Налоги!$F$25:$F$69,$F102,Налоги!$AB$25:$AB$69,$G102)</f>
        <v>0</v>
      </c>
      <c r="AH102" s="1099">
        <f>AG102-AF102</f>
        <v>0</v>
      </c>
      <c r="AI102" s="1099">
        <f>_xlfn.SUMIFS(Налоги!AH$25:AH$69,Налоги!$F$25:$F$69,$F102,Налоги!$AB$25:$AB$69,$G102)</f>
        <v>0</v>
      </c>
      <c r="AJ102" s="1099">
        <f>_xlfn.SUMIFS(Налоги!AI$25:AI$69,Налоги!$F$25:$F$69,$F102,Налоги!$AB$25:$AB$69,$G102)</f>
        <v>0</v>
      </c>
      <c r="AK102" s="1099">
        <f>_xlfn.SUMIFS(Налоги!AJ$25:AJ$69,Налоги!$F$25:$F$69,$F102,Налоги!$AB$25:$AB$69,$G102)</f>
        <v>0</v>
      </c>
      <c r="AL102" s="1099">
        <f>_xlfn.SUMIFS(Налоги!AK$25:AK$69,Налоги!$F$25:$F$69,$F102,Налоги!$AB$25:$AB$69,$G102)</f>
        <v>0</v>
      </c>
      <c r="AM102" s="1099">
        <f>_xlfn.SUMIFS(Налоги!AL$25:AL$69,Налоги!$F$25:$F$69,$F102,Налоги!$AB$25:$AB$69,$G102)</f>
        <v>0</v>
      </c>
      <c r="AN102" s="1099">
        <f>_xlfn.SUMIFS(Налоги!AM$25:AM$69,Налоги!$F$25:$F$69,$F102,Налоги!$AB$25:$AB$69,$G102)</f>
        <v>0</v>
      </c>
      <c r="AO102" s="1099">
        <f>_xlfn.SUMIFS(Налоги!AN$25:AN$69,Налоги!$F$25:$F$69,$F102,Налоги!$AB$25:$AB$69,$G102)</f>
        <v>0</v>
      </c>
      <c r="AP102" s="1099">
        <f>_xlfn.SUMIFS(Налоги!AO$25:AO$69,Налоги!$F$25:$F$69,$F102,Налоги!$AB$25:$AB$69,$G102)</f>
        <v>0</v>
      </c>
      <c r="AQ102" s="1099">
        <f>_xlfn.SUMIFS(Налоги!AP$25:AP$69,Налоги!$F$25:$F$69,$F102,Налоги!$AB$25:$AB$69,$G102)</f>
        <v>0</v>
      </c>
      <c r="AR102" s="1099">
        <f>_xlfn.SUMIFS(Налоги!AQ$25:AQ$69,Налоги!$F$25:$F$69,$F102,Налоги!$AB$25:$AB$69,$G102)</f>
        <v>0</v>
      </c>
      <c r="AS102" s="1099">
        <f>_xlfn.SUMIFS(Налоги!AR$25:AR$69,Налоги!$F$25:$F$69,$F102,Налоги!$AB$25:$AB$69,$G102)</f>
        <v>0</v>
      </c>
      <c r="AT102" s="1099">
        <f>_xlfn.SUMIFS(Налоги!AS$25:AS$69,Налоги!$F$25:$F$69,$F102,Налоги!$AB$25:$AB$69,$G102)</f>
        <v>0</v>
      </c>
      <c r="AU102" s="1099">
        <f>_xlfn.SUMIFS(Налоги!AT$25:AT$69,Налоги!$F$25:$F$69,$F102,Налоги!$AB$25:$AB$69,$G102)</f>
        <v>0</v>
      </c>
      <c r="AV102" s="1099">
        <f>_xlfn.SUMIFS(Налоги!AU$25:AU$69,Налоги!$F$25:$F$69,$F102,Налоги!$AB$25:$AB$69,$G102)</f>
        <v>0</v>
      </c>
      <c r="AW102" s="1099">
        <f>_xlfn.SUMIFS(Налоги!AV$25:AV$69,Налоги!$F$25:$F$69,$F102,Налоги!$AB$25:$AB$69,$G102)</f>
        <v>0</v>
      </c>
      <c r="AX102" s="1099">
        <f>_xlfn.SUMIFS(Налоги!AW$25:AW$69,Налоги!$F$25:$F$69,$F102,Налоги!$AB$25:$AB$69,$G102)</f>
        <v>0</v>
      </c>
      <c r="AY102" s="1099">
        <f>_xlfn.SUMIFS(Налоги!AX$25:AX$69,Налоги!$F$25:$F$69,$F102,Налоги!$AB$25:$AB$69,$G102)</f>
        <v>0</v>
      </c>
      <c r="AZ102" s="1099">
        <f>_xlfn.SUMIFS(Налоги!AY$25:AY$69,Налоги!$F$25:$F$69,$F102,Налоги!$AB$25:$AB$69,$G102)</f>
        <v>0</v>
      </c>
      <c r="BA102" s="1099">
        <f>_xlfn.SUMIFS(Налоги!AZ$25:AZ$69,Налоги!$F$25:$F$69,$F102,Налоги!$AB$25:$AB$69,$G102)</f>
        <v>0</v>
      </c>
      <c r="BB102" s="1099">
        <f>_xlfn.SUMIFS(Налоги!BA$25:BA$69,Налоги!$F$25:$F$69,$F102,Налоги!$AB$25:$AB$69,$G102)</f>
        <v>0</v>
      </c>
      <c r="BC102" s="1099">
        <f>_xlfn.SUMIFS(Налоги!BB$25:BB$69,Налоги!$F$25:$F$69,$F102,Налоги!$AB$25:$AB$69,$G102)</f>
        <v>0</v>
      </c>
      <c r="BD102" s="1099">
        <f>IF(AI102=0,0,(AT102-AI102)/AI102*100)</f>
        <v>0</v>
      </c>
      <c r="BE102" s="1099">
        <f>IF(AT102=0,0,(AU102-AT102)/AT102*100)</f>
        <v>0</v>
      </c>
      <c r="BF102" s="1099">
        <f>IF(AU102=0,0,(AV102-AU102)/AU102*100)</f>
        <v>0</v>
      </c>
      <c r="BG102" s="1099">
        <f>IF(AV102=0,0,(AW102-AV102)/AV102*100)</f>
        <v>0</v>
      </c>
      <c r="BH102" s="1099">
        <f>IF(AW102=0,0,(AX102-AW102)/AW102*100)</f>
        <v>0</v>
      </c>
      <c r="BI102" s="1099">
        <f>IF(AX102=0,0,(AY102-AX102)/AX102*100)</f>
        <v>0</v>
      </c>
      <c r="BJ102" s="1099">
        <f>IF(AY102=0,0,(AZ102-AY102)/AY102*100)</f>
        <v>0</v>
      </c>
      <c r="BK102" s="1099">
        <f>IF(AZ102=0,0,(BA102-AZ102)/AZ102*100)</f>
        <v>0</v>
      </c>
      <c r="BL102" s="1099">
        <f>IF(BA102=0,0,(BB102-BA102)/BA102*100)</f>
        <v>0</v>
      </c>
      <c r="BM102" s="1099">
        <f>IF(BB102=0,0,(BC102-BB102)/BB102*100)</f>
        <v>0</v>
      </c>
      <c r="BN102" s="1265"/>
      <c r="BO102" s="1269" t="str">
        <f>IF(_xlfn.IFERROR(INDEX(Налоги!$K$26:$L$69,MATCH($F102&amp;"10komm",Налоги!$K$26:$K$69,0),2),"")=0,"",_xlfn.IFERROR(INDEX(Налоги!$K$26:$L$69,MATCH($F102&amp;"10komm",Налоги!$K$26:$K$69,0),2),""))</f>
        <v/>
      </c>
      <c r="BP102" s="1265"/>
      <c r="BQ102" s="960"/>
      <c r="BR102" s="960"/>
      <c r="BS102" s="1048" t="s">
        <v>1963</v>
      </c>
      <c r="BT102" s="1048"/>
      <c r="BU102" s="1048"/>
      <c r="BV102" s="962"/>
      <c r="BW102" s="962"/>
    </row>
    <row customHeight="1" ht="65.8125" hidden="1">
      <c r="A103" s="960"/>
      <c r="B103" s="961"/>
      <c r="C103" s="73"/>
      <c r="D103" s="73"/>
      <c r="E103" s="600">
        <v>67.5</v>
      </c>
      <c r="F103" s="50" cm="1" t="str">
        <f t="array" ref="F103:F103">OFFSET(E103,-1,1)</f>
        <v>0</v>
      </c>
      <c r="G103" s="73" t="s">
        <v>1328</v>
      </c>
      <c r="H103" s="73"/>
      <c r="I103" s="73" t="s">
        <v>867</v>
      </c>
      <c r="J103" s="73"/>
      <c r="K103" s="124" t="s">
        <v>867</v>
      </c>
      <c r="L103" s="963"/>
      <c r="M103" s="73"/>
      <c r="N103" s="73"/>
      <c r="O103" s="73"/>
      <c r="P103" s="73"/>
      <c r="Q103" s="73"/>
      <c r="R103" s="73"/>
      <c r="S103" s="73"/>
      <c r="T103" s="439" cm="1" t="str">
        <f t="array" ref="T103:T103">T102</f>
        <v>false</v>
      </c>
      <c r="U103" s="73"/>
      <c r="V103" s="73"/>
      <c r="W103" s="73"/>
      <c r="X103" s="1534"/>
      <c r="Y103" s="960"/>
      <c r="Z103" s="1465"/>
      <c r="AA103" s="960"/>
      <c r="AB103" s="267" t="s">
        <v>868</v>
      </c>
      <c r="AC103" s="763" t="s">
        <v>1331</v>
      </c>
      <c r="AD103" s="267" t="s">
        <v>784</v>
      </c>
      <c r="AE103" s="1271"/>
      <c r="AF103" s="1271"/>
      <c r="AG103" s="1271"/>
      <c r="AH103" s="1099">
        <f>AG103-AF103</f>
        <v>0</v>
      </c>
      <c r="AI103" s="1271"/>
      <c r="AJ103" s="4587"/>
      <c r="AK103" s="1271"/>
      <c r="AL103" s="1271"/>
      <c r="AM103" s="1271"/>
      <c r="AN103" s="1271"/>
      <c r="AO103" s="1271"/>
      <c r="AP103" s="1271"/>
      <c r="AQ103" s="1271"/>
      <c r="AR103" s="1271"/>
      <c r="AS103" s="1271"/>
      <c r="AT103" s="4587"/>
      <c r="AU103" s="1271"/>
      <c r="AV103" s="1271"/>
      <c r="AW103" s="1271"/>
      <c r="AX103" s="1271"/>
      <c r="AY103" s="1271"/>
      <c r="AZ103" s="1271"/>
      <c r="BA103" s="1271"/>
      <c r="BB103" s="1271"/>
      <c r="BC103" s="1271"/>
      <c r="BD103" s="1099">
        <f>IF(AI103=0,0,(AT103-AI103)/AI103*100)</f>
        <v>0</v>
      </c>
      <c r="BE103" s="1099">
        <f>IF(AT103=0,0,(AU103-AT103)/AT103*100)</f>
        <v>0</v>
      </c>
      <c r="BF103" s="1099">
        <f>IF(AU103=0,0,(AV103-AU103)/AU103*100)</f>
        <v>0</v>
      </c>
      <c r="BG103" s="1099">
        <f>IF(AV103=0,0,(AW103-AV103)/AV103*100)</f>
        <v>0</v>
      </c>
      <c r="BH103" s="1099">
        <f>IF(AW103=0,0,(AX103-AW103)/AW103*100)</f>
        <v>0</v>
      </c>
      <c r="BI103" s="1099">
        <f>IF(AX103=0,0,(AY103-AX103)/AX103*100)</f>
        <v>0</v>
      </c>
      <c r="BJ103" s="1099">
        <f>IF(AY103=0,0,(AZ103-AY103)/AY103*100)</f>
        <v>0</v>
      </c>
      <c r="BK103" s="1099">
        <f>IF(AZ103=0,0,(BA103-AZ103)/AZ103*100)</f>
        <v>0</v>
      </c>
      <c r="BL103" s="1099">
        <f>IF(BA103=0,0,(BB103-BA103)/BA103*100)</f>
        <v>0</v>
      </c>
      <c r="BM103" s="1099">
        <f>IF(BB103=0,0,(BC103-BB103)/BB103*100)</f>
        <v>0</v>
      </c>
      <c r="BN103" s="1265"/>
      <c r="BO103" s="1265"/>
      <c r="BP103" s="1265"/>
      <c r="BQ103" s="960"/>
      <c r="BR103" s="960"/>
      <c r="BS103" s="1048" t="s">
        <v>1964</v>
      </c>
      <c r="BT103" s="1048"/>
      <c r="BU103" s="1048"/>
      <c r="BV103" s="962"/>
      <c r="BW103" s="962"/>
    </row>
    <row customHeight="1" ht="14.625" hidden="1">
      <c r="A104" s="960"/>
      <c r="B104" s="961"/>
      <c r="C104" s="73"/>
      <c r="D104" s="73"/>
      <c r="E104" s="600">
        <v>15</v>
      </c>
      <c r="F104" s="50" cm="1" t="str">
        <f t="array" ref="F104:F104">OFFSET(E104,-1,1)</f>
        <v>0</v>
      </c>
      <c r="G104" s="73" t="s">
        <v>949</v>
      </c>
      <c r="H104" s="73"/>
      <c r="I104" s="73" t="s">
        <v>870</v>
      </c>
      <c r="J104" s="73"/>
      <c r="K104" s="124" t="s">
        <v>870</v>
      </c>
      <c r="L104" s="963" t="s">
        <v>491</v>
      </c>
      <c r="M104" s="73"/>
      <c r="N104" s="73"/>
      <c r="O104" s="73"/>
      <c r="P104" s="73"/>
      <c r="Q104" s="73"/>
      <c r="R104" s="73"/>
      <c r="S104" s="73"/>
      <c r="T104" s="439" cm="1" t="str">
        <f t="array" ref="T104:T104">T103</f>
        <v>false</v>
      </c>
      <c r="U104" s="73"/>
      <c r="V104" s="73"/>
      <c r="W104" s="73"/>
      <c r="X104" s="1534"/>
      <c r="Y104" s="960"/>
      <c r="Z104" s="1465"/>
      <c r="AA104" s="960"/>
      <c r="AB104" s="267" t="s">
        <v>871</v>
      </c>
      <c r="AC104" s="743" t="s">
        <v>949</v>
      </c>
      <c r="AD104" s="267" t="s">
        <v>784</v>
      </c>
      <c r="AE104" s="1099">
        <f>_xlfn.SUMIFS(Аренда!AE$25:AE$57,Аренда!$F$25:$F$57,$F104,Аренда!$G$25:$G$57,"Арендная и концессионная плата, лизинговые платежи")</f>
        <v>0</v>
      </c>
      <c r="AF104" s="1099">
        <f>_xlfn.SUMIFS(Аренда!AF$25:AF$57,Аренда!$F$25:$F$57,$F104,Аренда!$G$25:$G$57,"Арендная и концессионная плата, лизинговые платежи")</f>
        <v>0</v>
      </c>
      <c r="AG104" s="1099">
        <f>_xlfn.SUMIFS(Аренда!AG$25:AG$57,Аренда!$F$25:$F$57,$F104,Аренда!$G$25:$G$57,"Арендная и концессионная плата, лизинговые платежи")</f>
        <v>0</v>
      </c>
      <c r="AH104" s="1099">
        <f>AG104-AF104</f>
        <v>0</v>
      </c>
      <c r="AI104" s="1099">
        <f>_xlfn.SUMIFS(Аренда!AH$25:AH$57,Аренда!$F$25:$F$57,$F104,Аренда!$G$25:$G$57,"Арендная и концессионная плата, лизинговые платежи")</f>
        <v>0</v>
      </c>
      <c r="AJ104" s="1099">
        <f>_xlfn.SUMIFS(Аренда!AI$25:AI$57,Аренда!$F$25:$F$57,$F104,Аренда!$G$25:$G$57,"Арендная и концессионная плата, лизинговые платежи")</f>
        <v>0</v>
      </c>
      <c r="AK104" s="1099">
        <f>_xlfn.SUMIFS(Аренда!AJ$25:AJ$57,Аренда!$F$25:$F$57,$F104,Аренда!$G$25:$G$57,"Арендная и концессионная плата, лизинговые платежи")</f>
        <v>0</v>
      </c>
      <c r="AL104" s="1099">
        <f>_xlfn.SUMIFS(Аренда!AK$25:AK$57,Аренда!$F$25:$F$57,$F104,Аренда!$G$25:$G$57,"Арендная и концессионная плата, лизинговые платежи")</f>
        <v>0</v>
      </c>
      <c r="AM104" s="1099">
        <f>_xlfn.SUMIFS(Аренда!AL$25:AL$57,Аренда!$F$25:$F$57,$F104,Аренда!$G$25:$G$57,"Арендная и концессионная плата, лизинговые платежи")</f>
        <v>0</v>
      </c>
      <c r="AN104" s="1099">
        <f>_xlfn.SUMIFS(Аренда!AM$25:AM$57,Аренда!$F$25:$F$57,$F104,Аренда!$G$25:$G$57,"Арендная и концессионная плата, лизинговые платежи")</f>
        <v>0</v>
      </c>
      <c r="AO104" s="1099">
        <f>_xlfn.SUMIFS(Аренда!AN$25:AN$57,Аренда!$F$25:$F$57,$F104,Аренда!$G$25:$G$57,"Арендная и концессионная плата, лизинговые платежи")</f>
        <v>0</v>
      </c>
      <c r="AP104" s="1099">
        <f>_xlfn.SUMIFS(Аренда!AO$25:AO$57,Аренда!$F$25:$F$57,$F104,Аренда!$G$25:$G$57,"Арендная и концессионная плата, лизинговые платежи")</f>
        <v>0</v>
      </c>
      <c r="AQ104" s="1099">
        <f>_xlfn.SUMIFS(Аренда!AP$25:AP$57,Аренда!$F$25:$F$57,$F104,Аренда!$G$25:$G$57,"Арендная и концессионная плата, лизинговые платежи")</f>
        <v>0</v>
      </c>
      <c r="AR104" s="1099">
        <f>_xlfn.SUMIFS(Аренда!AQ$25:AQ$57,Аренда!$F$25:$F$57,$F104,Аренда!$G$25:$G$57,"Арендная и концессионная плата, лизинговые платежи")</f>
        <v>0</v>
      </c>
      <c r="AS104" s="1099">
        <f>_xlfn.SUMIFS(Аренда!AR$25:AR$57,Аренда!$F$25:$F$57,$F104,Аренда!$G$25:$G$57,"Арендная и концессионная плата, лизинговые платежи")</f>
        <v>0</v>
      </c>
      <c r="AT104" s="1099">
        <f>_xlfn.SUMIFS(Аренда!AS$25:AS$57,Аренда!$F$25:$F$57,$F104,Аренда!$G$25:$G$57,"Арендная и концессионная плата, лизинговые платежи")</f>
        <v>0</v>
      </c>
      <c r="AU104" s="1099">
        <f>_xlfn.SUMIFS(Аренда!AT$25:AT$57,Аренда!$F$25:$F$57,$F104,Аренда!$G$25:$G$57,"Арендная и концессионная плата, лизинговые платежи")</f>
        <v>0</v>
      </c>
      <c r="AV104" s="1099">
        <f>_xlfn.SUMIFS(Аренда!AU$25:AU$57,Аренда!$F$25:$F$57,$F104,Аренда!$G$25:$G$57,"Арендная и концессионная плата, лизинговые платежи")</f>
        <v>0</v>
      </c>
      <c r="AW104" s="1099">
        <f>_xlfn.SUMIFS(Аренда!AV$25:AV$57,Аренда!$F$25:$F$57,$F104,Аренда!$G$25:$G$57,"Арендная и концессионная плата, лизинговые платежи")</f>
        <v>0</v>
      </c>
      <c r="AX104" s="1099">
        <f>_xlfn.SUMIFS(Аренда!AW$25:AW$57,Аренда!$F$25:$F$57,$F104,Аренда!$G$25:$G$57,"Арендная и концессионная плата, лизинговые платежи")</f>
        <v>0</v>
      </c>
      <c r="AY104" s="1099">
        <f>_xlfn.SUMIFS(Аренда!AX$25:AX$57,Аренда!$F$25:$F$57,$F104,Аренда!$G$25:$G$57,"Арендная и концессионная плата, лизинговые платежи")</f>
        <v>0</v>
      </c>
      <c r="AZ104" s="1099">
        <f>_xlfn.SUMIFS(Аренда!AY$25:AY$57,Аренда!$F$25:$F$57,$F104,Аренда!$G$25:$G$57,"Арендная и концессионная плата, лизинговые платежи")</f>
        <v>0</v>
      </c>
      <c r="BA104" s="1099">
        <f>_xlfn.SUMIFS(Аренда!AZ$25:AZ$57,Аренда!$F$25:$F$57,$F104,Аренда!$G$25:$G$57,"Арендная и концессионная плата, лизинговые платежи")</f>
        <v>0</v>
      </c>
      <c r="BB104" s="1099">
        <f>_xlfn.SUMIFS(Аренда!BA$25:BA$57,Аренда!$F$25:$F$57,$F104,Аренда!$G$25:$G$57,"Арендная и концессионная плата, лизинговые платежи")</f>
        <v>0</v>
      </c>
      <c r="BC104" s="1099">
        <f>_xlfn.SUMIFS(Аренда!BB$25:BB$57,Аренда!$F$25:$F$57,$F104,Аренда!$G$25:$G$57,"Арендная и концессионная плата, лизинговые платежи")</f>
        <v>0</v>
      </c>
      <c r="BD104" s="1099">
        <f>IF(AI104=0,0,(AT104-AI104)/AI104*100)</f>
        <v>0</v>
      </c>
      <c r="BE104" s="1099">
        <f>IF(AT104=0,0,(AU104-AT104)/AT104*100)</f>
        <v>0</v>
      </c>
      <c r="BF104" s="1099">
        <f>IF(AU104=0,0,(AV104-AU104)/AU104*100)</f>
        <v>0</v>
      </c>
      <c r="BG104" s="1099">
        <f>IF(AV104=0,0,(AW104-AV104)/AV104*100)</f>
        <v>0</v>
      </c>
      <c r="BH104" s="1099">
        <f>IF(AW104=0,0,(AX104-AW104)/AW104*100)</f>
        <v>0</v>
      </c>
      <c r="BI104" s="1099">
        <f>IF(AX104=0,0,(AY104-AX104)/AX104*100)</f>
        <v>0</v>
      </c>
      <c r="BJ104" s="1099">
        <f>IF(AY104=0,0,(AZ104-AY104)/AY104*100)</f>
        <v>0</v>
      </c>
      <c r="BK104" s="1099">
        <f>IF(AZ104=0,0,(BA104-AZ104)/AZ104*100)</f>
        <v>0</v>
      </c>
      <c r="BL104" s="1099">
        <f>IF(BA104=0,0,(BB104-BA104)/BA104*100)</f>
        <v>0</v>
      </c>
      <c r="BM104" s="1099">
        <f>IF(BB104=0,0,(BC104-BB104)/BB104*100)</f>
        <v>0</v>
      </c>
      <c r="BN104" s="1265"/>
      <c r="BO104" s="1272" t="str">
        <f>IF(_xlfn.IFERROR(INDEX(Аренда!$K$26:$L$57,MATCH($F104&amp;"komm",Аренда!$K$26:$K$57,0),2),"")=0,"",_xlfn.IFERROR(INDEX(Аренда!$K$26:$L$57,MATCH($F104&amp;"komm",Аренда!$K$26:$K$57,0),2),""))</f>
        <v/>
      </c>
      <c r="BP104" s="1265"/>
      <c r="BQ104" s="960"/>
      <c r="BR104" s="960"/>
      <c r="BS104" s="1048" t="s">
        <v>1965</v>
      </c>
      <c r="BT104" s="1048"/>
      <c r="BU104" s="1048"/>
      <c r="BV104" s="962"/>
      <c r="BW104" s="962"/>
    </row>
    <row customHeight="1" ht="14.625" hidden="1">
      <c r="A105" s="960"/>
      <c r="B105" s="405">
        <f>STATUS_GO="да"</f>
        <v>0</v>
      </c>
      <c r="C105" s="73"/>
      <c r="D105" s="73"/>
      <c r="E105" s="600">
        <v>15</v>
      </c>
      <c r="F105" s="50" cm="1" t="str">
        <f t="array" ref="F105:F105">OFFSET(E105,-1,1)</f>
        <v>0</v>
      </c>
      <c r="G105" s="73"/>
      <c r="H105" s="73"/>
      <c r="I105" s="73" t="s">
        <v>1966</v>
      </c>
      <c r="J105" s="73"/>
      <c r="K105" s="124" t="s">
        <v>1966</v>
      </c>
      <c r="L105" s="963"/>
      <c r="M105" s="73"/>
      <c r="N105" s="73"/>
      <c r="O105" s="73"/>
      <c r="P105" s="73"/>
      <c r="Q105" s="73"/>
      <c r="R105" s="73"/>
      <c r="S105" s="73"/>
      <c r="T105" s="439" cm="1" t="str">
        <f t="array" ref="T105:T105">T104</f>
        <v>false</v>
      </c>
      <c r="U105" s="73"/>
      <c r="V105" s="73"/>
      <c r="W105" s="73"/>
      <c r="X105" s="1534"/>
      <c r="Y105" s="960"/>
      <c r="Z105" s="1465"/>
      <c r="AA105" s="960"/>
      <c r="AB105" s="267" t="s">
        <v>1395</v>
      </c>
      <c r="AC105" s="743" t="s">
        <v>1967</v>
      </c>
      <c r="AD105" s="267" t="s">
        <v>784</v>
      </c>
      <c r="AE105" s="1268" cm="1" t="str">
        <f t="array" ref="AE105:AE105">AE106</f>
        <v>0</v>
      </c>
      <c r="AF105" s="1268" cm="1" t="str">
        <f t="array" ref="AF105:AF105">AF106</f>
        <v>0</v>
      </c>
      <c r="AG105" s="1268" cm="1" t="str">
        <f t="array" ref="AG105:AG105">AG106</f>
        <v>0</v>
      </c>
      <c r="AH105" s="1099">
        <f>AG105-AF105</f>
        <v>0</v>
      </c>
      <c r="AI105" s="1268" cm="1" t="str">
        <f t="array" ref="AI105:AI105">AI106</f>
        <v>0</v>
      </c>
      <c r="AJ105" s="4561" cm="1" t="str">
        <f t="array" ref="AJ105:AJ105">AJ106</f>
        <v>0</v>
      </c>
      <c r="AK105" s="1268" cm="1" t="str">
        <f t="array" ref="AK105:AK105">AK106</f>
        <v>0</v>
      </c>
      <c r="AL105" s="1268" cm="1" t="str">
        <f t="array" ref="AL105:AL105">AL106</f>
        <v>0</v>
      </c>
      <c r="AM105" s="1268" cm="1" t="str">
        <f t="array" ref="AM105:AM105">AM106</f>
        <v>0</v>
      </c>
      <c r="AN105" s="1268" cm="1" t="str">
        <f t="array" ref="AN105:AN105">AN106</f>
        <v>0</v>
      </c>
      <c r="AO105" s="1268" cm="1" t="str">
        <f t="array" ref="AO105:AO105">AO106</f>
        <v>0</v>
      </c>
      <c r="AP105" s="1268" cm="1" t="str">
        <f t="array" ref="AP105:AP105">AP106</f>
        <v>0</v>
      </c>
      <c r="AQ105" s="1268" cm="1" t="str">
        <f t="array" ref="AQ105:AQ105">AQ106</f>
        <v>0</v>
      </c>
      <c r="AR105" s="1268" cm="1" t="str">
        <f t="array" ref="AR105:AR105">AR106</f>
        <v>0</v>
      </c>
      <c r="AS105" s="1268" cm="1" t="str">
        <f t="array" ref="AS105:AS105">AS106</f>
        <v>0</v>
      </c>
      <c r="AT105" s="4561" cm="1" t="str">
        <f t="array" ref="AT105:AT105">AT106</f>
        <v>0</v>
      </c>
      <c r="AU105" s="1268" cm="1" t="str">
        <f t="array" ref="AU105:AU105">AU106</f>
        <v>0</v>
      </c>
      <c r="AV105" s="1268" cm="1" t="str">
        <f t="array" ref="AV105:AV105">AV106</f>
        <v>0</v>
      </c>
      <c r="AW105" s="1268" cm="1" t="str">
        <f t="array" ref="AW105:AW105">AW106</f>
        <v>0</v>
      </c>
      <c r="AX105" s="1268" cm="1" t="str">
        <f t="array" ref="AX105:AX105">AX106</f>
        <v>0</v>
      </c>
      <c r="AY105" s="1268" cm="1" t="str">
        <f t="array" ref="AY105:AY105">AY106</f>
        <v>0</v>
      </c>
      <c r="AZ105" s="1268" cm="1" t="str">
        <f t="array" ref="AZ105:AZ105">AZ106</f>
        <v>0</v>
      </c>
      <c r="BA105" s="1268" cm="1" t="str">
        <f t="array" ref="BA105:BA105">BA106</f>
        <v>0</v>
      </c>
      <c r="BB105" s="1268" cm="1" t="str">
        <f t="array" ref="BB105:BB105">BB106</f>
        <v>0</v>
      </c>
      <c r="BC105" s="1268" cm="1" t="str">
        <f t="array" ref="BC105:BC105">BC106</f>
        <v>0</v>
      </c>
      <c r="BD105" s="1099">
        <f>IF(AI105=0,0,(AT105-AI105)/AI105*100)</f>
        <v>0</v>
      </c>
      <c r="BE105" s="1099">
        <f>IF(AT105=0,0,(AU105-AT105)/AT105*100)</f>
        <v>0</v>
      </c>
      <c r="BF105" s="1099">
        <f>IF(AU105=0,0,(AV105-AU105)/AU105*100)</f>
        <v>0</v>
      </c>
      <c r="BG105" s="1099">
        <f>IF(AV105=0,0,(AW105-AV105)/AV105*100)</f>
        <v>0</v>
      </c>
      <c r="BH105" s="1099">
        <f>IF(AW105=0,0,(AX105-AW105)/AW105*100)</f>
        <v>0</v>
      </c>
      <c r="BI105" s="1099">
        <f>IF(AX105=0,0,(AY105-AX105)/AX105*100)</f>
        <v>0</v>
      </c>
      <c r="BJ105" s="1099">
        <f>IF(AY105=0,0,(AZ105-AY105)/AY105*100)</f>
        <v>0</v>
      </c>
      <c r="BK105" s="1099">
        <f>IF(AZ105=0,0,(BA105-AZ105)/AZ105*100)</f>
        <v>0</v>
      </c>
      <c r="BL105" s="1099">
        <f>IF(BA105=0,0,(BB105-BA105)/BA105*100)</f>
        <v>0</v>
      </c>
      <c r="BM105" s="1099">
        <f>IF(BB105=0,0,(BC105-BB105)/BB105*100)</f>
        <v>0</v>
      </c>
      <c r="BN105" s="1265"/>
      <c r="BO105" s="1265"/>
      <c r="BP105" s="1265"/>
      <c r="BQ105" s="960"/>
      <c r="BR105" s="960"/>
      <c r="BS105" s="1048" t="s">
        <v>1689</v>
      </c>
      <c r="BT105" s="1048"/>
      <c r="BU105" s="1048"/>
      <c r="BV105" s="962"/>
      <c r="BW105" s="962"/>
    </row>
    <row customHeight="1" ht="14.625" hidden="1">
      <c r="A106" s="960"/>
      <c r="B106" s="405">
        <f>STATUS_GO="да"</f>
        <v>0</v>
      </c>
      <c r="C106" s="73"/>
      <c r="D106" s="73"/>
      <c r="E106" s="600">
        <v>15</v>
      </c>
      <c r="F106" s="50" cm="1" t="str">
        <f t="array" ref="F106:F106">OFFSET(E106,-1,1)</f>
        <v>0</v>
      </c>
      <c r="G106" s="73" t="s">
        <v>1337</v>
      </c>
      <c r="H106" s="73"/>
      <c r="I106" s="73" t="s">
        <v>1968</v>
      </c>
      <c r="J106" s="73"/>
      <c r="K106" s="124" t="s">
        <v>1968</v>
      </c>
      <c r="L106" s="963"/>
      <c r="M106" s="73"/>
      <c r="N106" s="73"/>
      <c r="O106" s="73"/>
      <c r="P106" s="73"/>
      <c r="Q106" s="73"/>
      <c r="R106" s="73"/>
      <c r="S106" s="73"/>
      <c r="T106" s="439" cm="1" t="str">
        <f t="array" ref="T106:T106">T105</f>
        <v>false</v>
      </c>
      <c r="U106" s="73"/>
      <c r="V106" s="73"/>
      <c r="W106" s="73"/>
      <c r="X106" s="1534"/>
      <c r="Y106" s="960"/>
      <c r="Z106" s="1465"/>
      <c r="AA106" s="960"/>
      <c r="AB106" s="267" t="s">
        <v>1969</v>
      </c>
      <c r="AC106" s="746" t="s">
        <v>1337</v>
      </c>
      <c r="AD106" s="267" t="s">
        <v>784</v>
      </c>
      <c r="AE106" s="1099">
        <f>_xlfn.SUMIFS('Сбытовые расходы ГО'!AE$25:AE$63,'Сбытовые расходы ГО'!$F$25:$F$63,$F106,'Сбытовые расходы ГО'!$G$25:$G$63,"l1")</f>
        <v>0</v>
      </c>
      <c r="AF106" s="1099">
        <f>_xlfn.SUMIFS('Сбытовые расходы ГО'!AF$25:AF$63,'Сбытовые расходы ГО'!$F$25:$F$63,$F106,'Сбытовые расходы ГО'!$G$25:$G$63,"l1")</f>
        <v>0</v>
      </c>
      <c r="AG106" s="1099">
        <f>_xlfn.SUMIFS('Сбытовые расходы ГО'!AG$25:AG$63,'Сбытовые расходы ГО'!$F$25:$F$63,$F106,'Сбытовые расходы ГО'!$G$25:$G$63,"l1")</f>
        <v>0</v>
      </c>
      <c r="AH106" s="1099">
        <f>AG106-AF106</f>
        <v>0</v>
      </c>
      <c r="AI106" s="1099">
        <f>_xlfn.SUMIFS('Сбытовые расходы ГО'!AH$25:AH$63,'Сбытовые расходы ГО'!$F$25:$F$63,$F106,'Сбытовые расходы ГО'!$G$25:$G$63,"l1")</f>
        <v>0</v>
      </c>
      <c r="AJ106" s="1099">
        <f>_xlfn.SUMIFS('Сбытовые расходы ГО'!AI$25:AI$63,'Сбытовые расходы ГО'!$F$25:$F$63,$F106,'Сбытовые расходы ГО'!$G$25:$G$63,"l1")</f>
        <v>0</v>
      </c>
      <c r="AK106" s="1268"/>
      <c r="AL106" s="1268"/>
      <c r="AM106" s="1268"/>
      <c r="AN106" s="1268"/>
      <c r="AO106" s="1268"/>
      <c r="AP106" s="1268"/>
      <c r="AQ106" s="1268"/>
      <c r="AR106" s="1268"/>
      <c r="AS106" s="1268"/>
      <c r="AT106" s="1099">
        <f>_xlfn.SUMIFS('Сбытовые расходы ГО'!AJ$25:AJ$63,'Сбытовые расходы ГО'!$F$25:$F$63,$F106,'Сбытовые расходы ГО'!$G$25:$G$63,"l1")</f>
        <v>0</v>
      </c>
      <c r="AU106" s="1268"/>
      <c r="AV106" s="1268"/>
      <c r="AW106" s="1268"/>
      <c r="AX106" s="1268"/>
      <c r="AY106" s="1268"/>
      <c r="AZ106" s="1268"/>
      <c r="BA106" s="1268"/>
      <c r="BB106" s="1268"/>
      <c r="BC106" s="1268"/>
      <c r="BD106" s="1099">
        <f>IF(AI106=0,0,(AT106-AI106)/AI106*100)</f>
        <v>0</v>
      </c>
      <c r="BE106" s="1099">
        <f>IF(AT106=0,0,(AU106-AT106)/AT106*100)</f>
        <v>0</v>
      </c>
      <c r="BF106" s="1099">
        <f>IF(AU106=0,0,(AV106-AU106)/AU106*100)</f>
        <v>0</v>
      </c>
      <c r="BG106" s="1099">
        <f>IF(AV106=0,0,(AW106-AV106)/AV106*100)</f>
        <v>0</v>
      </c>
      <c r="BH106" s="1099">
        <f>IF(AW106=0,0,(AX106-AW106)/AW106*100)</f>
        <v>0</v>
      </c>
      <c r="BI106" s="1099">
        <f>IF(AX106=0,0,(AY106-AX106)/AX106*100)</f>
        <v>0</v>
      </c>
      <c r="BJ106" s="1099">
        <f>IF(AY106=0,0,(AZ106-AY106)/AY106*100)</f>
        <v>0</v>
      </c>
      <c r="BK106" s="1099">
        <f>IF(AZ106=0,0,(BA106-AZ106)/AZ106*100)</f>
        <v>0</v>
      </c>
      <c r="BL106" s="1099">
        <f>IF(BA106=0,0,(BB106-BA106)/BA106*100)</f>
        <v>0</v>
      </c>
      <c r="BM106" s="1099">
        <f>IF(BB106=0,0,(BC106-BB106)/BB106*100)</f>
        <v>0</v>
      </c>
      <c r="BN106" s="1265"/>
      <c r="BO106" s="1272" t="str">
        <f>IF(_xlfn.IFERROR(INDEX('Сбытовые расходы ГО'!$K$26:$M$63,MATCH($F106&amp;"komm",'Сбытовые расходы ГО'!$K$26:$K$63,0),2),"")=0,"",_xlfn.IFERROR(INDEX('Сбытовые расходы ГО'!$K$26:$M$63,MATCH($F106&amp;"komm",'Сбытовые расходы ГО'!$K$26:$K$63,0),2),""))</f>
        <v/>
      </c>
      <c r="BP106" s="1265"/>
      <c r="BQ106" s="960"/>
      <c r="BR106" s="960"/>
      <c r="BS106" s="1048" t="s">
        <v>1970</v>
      </c>
      <c r="BT106" s="1048"/>
      <c r="BU106" s="1048"/>
      <c r="BV106" s="962"/>
      <c r="BW106" s="962"/>
    </row>
    <row customHeight="1" ht="14.625" hidden="1">
      <c r="A107" s="960"/>
      <c r="B107" s="961"/>
      <c r="C107" s="73"/>
      <c r="D107" s="73"/>
      <c r="E107" s="600">
        <v>15</v>
      </c>
      <c r="F107" s="50" cm="1" t="str">
        <f t="array" ref="F107:F107">OFFSET(E107,-1,1)</f>
        <v>0</v>
      </c>
      <c r="G107" s="73" t="s">
        <v>1342</v>
      </c>
      <c r="H107" s="73"/>
      <c r="I107" s="73" t="s">
        <v>1971</v>
      </c>
      <c r="J107" s="73"/>
      <c r="K107" s="124" t="s">
        <v>1971</v>
      </c>
      <c r="L107" s="963"/>
      <c r="M107" s="73"/>
      <c r="N107" s="73"/>
      <c r="O107" s="73"/>
      <c r="P107" s="73"/>
      <c r="Q107" s="73"/>
      <c r="R107" s="73"/>
      <c r="S107" s="73"/>
      <c r="T107" s="439" cm="1" t="str">
        <f t="array" ref="T107:T107">T106</f>
        <v>false</v>
      </c>
      <c r="U107" s="73"/>
      <c r="V107" s="73"/>
      <c r="W107" s="73"/>
      <c r="X107" s="1534"/>
      <c r="Y107" s="960"/>
      <c r="Z107" s="1465"/>
      <c r="AA107" s="960"/>
      <c r="AB107" s="267" t="s">
        <v>1400</v>
      </c>
      <c r="AC107" s="743" t="s">
        <v>1342</v>
      </c>
      <c r="AD107" s="267" t="s">
        <v>784</v>
      </c>
      <c r="AE107" s="1268"/>
      <c r="AF107" s="1268"/>
      <c r="AG107" s="1268"/>
      <c r="AH107" s="1099">
        <f>AG107-AF107</f>
        <v>0</v>
      </c>
      <c r="AI107" s="1268"/>
      <c r="AJ107" s="4561">
        <f>_xlfn.SUMIFS(Экономия_корр!AE$25:AE$51,Экономия_корр!$F$25:$F$51,$F107,Экономия_корр!$AC$25:$AC$51,"Экономия расходов с учетом ИПЦ")</f>
        <v>0</v>
      </c>
      <c r="AK107" s="1268">
        <f>_xlfn.SUMIFS(Экономия_корр!AF$25:AF$51,Экономия_корр!$F$25:$F$51,$F107,Экономия_корр!$AC$25:$AC$51,"Экономия расходов с учетом ИПЦ")</f>
        <v>0</v>
      </c>
      <c r="AL107" s="1268">
        <f>_xlfn.SUMIFS(Экономия_корр!AG$25:AG$51,Экономия_корр!$F$25:$F$51,$F107,Экономия_корр!$AC$25:$AC$51,"Экономия расходов с учетом ИПЦ")</f>
        <v>0</v>
      </c>
      <c r="AM107" s="1268">
        <f>_xlfn.SUMIFS(Экономия_корр!AH$25:AH$51,Экономия_корр!$F$25:$F$51,$F107,Экономия_корр!$AC$25:$AC$51,"Экономия расходов с учетом ИПЦ")</f>
        <v>0</v>
      </c>
      <c r="AN107" s="1268">
        <f>_xlfn.SUMIFS(Экономия_корр!AI$25:AI$51,Экономия_корр!$F$25:$F$51,$F107,Экономия_корр!$AC$25:$AC$51,"Экономия расходов с учетом ИПЦ")</f>
        <v>0</v>
      </c>
      <c r="AO107" s="1268">
        <f>_xlfn.SUMIFS(Экономия_корр!AJ$25:AJ$51,Экономия_корр!$F$25:$F$51,$F107,Экономия_корр!$AC$25:$AC$51,"Экономия расходов с учетом ИПЦ")</f>
        <v>0</v>
      </c>
      <c r="AP107" s="1268">
        <f>_xlfn.SUMIFS(Экономия_корр!AK$25:AK$51,Экономия_корр!$F$25:$F$51,$F107,Экономия_корр!$AC$25:$AC$51,"Экономия расходов с учетом ИПЦ")</f>
        <v>0</v>
      </c>
      <c r="AQ107" s="1268">
        <f>_xlfn.SUMIFS(Экономия_корр!AL$25:AL$51,Экономия_корр!$F$25:$F$51,$F107,Экономия_корр!$AC$25:$AC$51,"Экономия расходов с учетом ИПЦ")</f>
        <v>0</v>
      </c>
      <c r="AR107" s="1268">
        <f>_xlfn.SUMIFS(Экономия_корр!AM$25:AM$51,Экономия_корр!$F$25:$F$51,$F107,Экономия_корр!$AC$25:$AC$51,"Экономия расходов с учетом ИПЦ")</f>
        <v>0</v>
      </c>
      <c r="AS107" s="1268">
        <f>_xlfn.SUMIFS(Экономия_корр!AN$25:AN$51,Экономия_корр!$F$25:$F$51,$F107,Экономия_корр!$AC$25:$AC$51,"Экономия расходов с учетом ИПЦ")</f>
        <v>0</v>
      </c>
      <c r="AT107" s="4561">
        <f>_xlfn.SUMIFS(Экономия_корр!AO$25:AO$51,Экономия_корр!$F$25:$F$51,$F107,Экономия_корр!$AC$25:$AC$51,"Экономия расходов с учетом ИПЦ")</f>
        <v>0</v>
      </c>
      <c r="AU107" s="1268">
        <f>_xlfn.SUMIFS(Экономия_корр!AP$25:AP$51,Экономия_корр!$F$25:$F$51,$F107,Экономия_корр!$AC$25:$AC$51,"Экономия расходов с учетом ИПЦ")</f>
        <v>0</v>
      </c>
      <c r="AV107" s="1268">
        <f>_xlfn.SUMIFS(Экономия_корр!AQ$25:AQ$51,Экономия_корр!$F$25:$F$51,$F107,Экономия_корр!$AC$25:$AC$51,"Экономия расходов с учетом ИПЦ")</f>
        <v>0</v>
      </c>
      <c r="AW107" s="1268">
        <f>_xlfn.SUMIFS(Экономия_корр!AR$25:AR$51,Экономия_корр!$F$25:$F$51,$F107,Экономия_корр!$AC$25:$AC$51,"Экономия расходов с учетом ИПЦ")</f>
        <v>0</v>
      </c>
      <c r="AX107" s="1268">
        <f>_xlfn.SUMIFS(Экономия_корр!AS$25:AS$51,Экономия_корр!$F$25:$F$51,$F107,Экономия_корр!$AC$25:$AC$51,"Экономия расходов с учетом ИПЦ")</f>
        <v>0</v>
      </c>
      <c r="AY107" s="1268">
        <f>_xlfn.SUMIFS(Экономия_корр!AT$25:AT$51,Экономия_корр!$F$25:$F$51,$F107,Экономия_корр!$AC$25:$AC$51,"Экономия расходов с учетом ИПЦ")</f>
        <v>0</v>
      </c>
      <c r="AZ107" s="1268">
        <f>_xlfn.SUMIFS(Экономия_корр!AU$25:AU$51,Экономия_корр!$F$25:$F$51,$F107,Экономия_корр!$AC$25:$AC$51,"Экономия расходов с учетом ИПЦ")</f>
        <v>0</v>
      </c>
      <c r="BA107" s="1268">
        <f>_xlfn.SUMIFS(Экономия_корр!AV$25:AV$51,Экономия_корр!$F$25:$F$51,$F107,Экономия_корр!$AC$25:$AC$51,"Экономия расходов с учетом ИПЦ")</f>
        <v>0</v>
      </c>
      <c r="BB107" s="1268">
        <f>_xlfn.SUMIFS(Экономия_корр!AW$25:AW$51,Экономия_корр!$F$25:$F$51,$F107,Экономия_корр!$AC$25:$AC$51,"Экономия расходов с учетом ИПЦ")</f>
        <v>0</v>
      </c>
      <c r="BC107" s="1268">
        <f>_xlfn.SUMIFS(Экономия_корр!AX$25:AX$51,Экономия_корр!$F$25:$F$51,$F107,Экономия_корр!$AC$25:$AC$51,"Экономия расходов с учетом ИПЦ")</f>
        <v>0</v>
      </c>
      <c r="BD107" s="1099">
        <f>IF(AI107=0,0,(AT107-AI107)/AI107*100)</f>
        <v>0</v>
      </c>
      <c r="BE107" s="1099">
        <f>IF(AT107=0,0,(AU107-AT107)/AT107*100)</f>
        <v>0</v>
      </c>
      <c r="BF107" s="1099">
        <f>IF(AU107=0,0,(AV107-AU107)/AU107*100)</f>
        <v>0</v>
      </c>
      <c r="BG107" s="1099">
        <f>IF(AV107=0,0,(AW107-AV107)/AV107*100)</f>
        <v>0</v>
      </c>
      <c r="BH107" s="1099">
        <f>IF(AW107=0,0,(AX107-AW107)/AW107*100)</f>
        <v>0</v>
      </c>
      <c r="BI107" s="1099">
        <f>IF(AX107=0,0,(AY107-AX107)/AX107*100)</f>
        <v>0</v>
      </c>
      <c r="BJ107" s="1099">
        <f>IF(AY107=0,0,(AZ107-AY107)/AY107*100)</f>
        <v>0</v>
      </c>
      <c r="BK107" s="1099">
        <f>IF(AZ107=0,0,(BA107-AZ107)/AZ107*100)</f>
        <v>0</v>
      </c>
      <c r="BL107" s="1099">
        <f>IF(BA107=0,0,(BB107-BA107)/BA107*100)</f>
        <v>0</v>
      </c>
      <c r="BM107" s="1099">
        <f>IF(BB107=0,0,(BC107-BB107)/BB107*100)</f>
        <v>0</v>
      </c>
      <c r="BN107" s="1265"/>
      <c r="BO107" s="1265"/>
      <c r="BP107" s="1265"/>
      <c r="BQ107" s="960"/>
      <c r="BR107" s="960"/>
      <c r="BS107" s="1048" t="s">
        <v>1972</v>
      </c>
      <c r="BT107" s="1048"/>
      <c r="BU107" s="1048"/>
      <c r="BV107" s="962"/>
      <c r="BW107" s="962"/>
    </row>
    <row customHeight="1" ht="14.625" hidden="1">
      <c r="A108" s="960"/>
      <c r="B108" s="961"/>
      <c r="C108" s="73"/>
      <c r="D108" s="73"/>
      <c r="E108" s="600">
        <v>15</v>
      </c>
      <c r="F108" s="50" cm="1" t="str">
        <f t="array" ref="F108:F108">OFFSET(E108,-1,1)</f>
        <v>0</v>
      </c>
      <c r="G108" s="73" t="s">
        <v>1347</v>
      </c>
      <c r="H108" s="73"/>
      <c r="I108" s="73" t="s">
        <v>1973</v>
      </c>
      <c r="J108" s="73"/>
      <c r="K108" s="124" t="s">
        <v>1973</v>
      </c>
      <c r="L108" s="963"/>
      <c r="M108" s="73"/>
      <c r="N108" s="73"/>
      <c r="O108" s="73"/>
      <c r="P108" s="73"/>
      <c r="Q108" s="73"/>
      <c r="R108" s="73"/>
      <c r="S108" s="73"/>
      <c r="T108" s="439" cm="1" t="str">
        <f t="array" ref="T108:T108">T107</f>
        <v>false</v>
      </c>
      <c r="U108" s="73"/>
      <c r="V108" s="73"/>
      <c r="W108" s="73"/>
      <c r="X108" s="1534"/>
      <c r="Y108" s="960"/>
      <c r="Z108" s="1465"/>
      <c r="AA108" s="960"/>
      <c r="AB108" s="267" t="s">
        <v>1974</v>
      </c>
      <c r="AC108" s="743" t="s">
        <v>1347</v>
      </c>
      <c r="AD108" s="267" t="s">
        <v>784</v>
      </c>
      <c r="AE108" s="1268"/>
      <c r="AF108" s="1268"/>
      <c r="AG108" s="1268"/>
      <c r="AH108" s="1099">
        <f>AG108-AF108</f>
        <v>0</v>
      </c>
      <c r="AI108" s="1268"/>
      <c r="AJ108" s="4561"/>
      <c r="AK108" s="1268"/>
      <c r="AL108" s="1268"/>
      <c r="AM108" s="1268"/>
      <c r="AN108" s="1268"/>
      <c r="AO108" s="1268"/>
      <c r="AP108" s="1268"/>
      <c r="AQ108" s="1268"/>
      <c r="AR108" s="1268"/>
      <c r="AS108" s="1268"/>
      <c r="AT108" s="4561"/>
      <c r="AU108" s="1268"/>
      <c r="AV108" s="1268"/>
      <c r="AW108" s="1268"/>
      <c r="AX108" s="1268"/>
      <c r="AY108" s="1268"/>
      <c r="AZ108" s="1268"/>
      <c r="BA108" s="1268"/>
      <c r="BB108" s="1268"/>
      <c r="BC108" s="1268"/>
      <c r="BD108" s="1099">
        <f>IF(AI108=0,0,(AT108-AI108)/AI108*100)</f>
        <v>0</v>
      </c>
      <c r="BE108" s="1099">
        <f>IF(AT108=0,0,(AU108-AT108)/AT108*100)</f>
        <v>0</v>
      </c>
      <c r="BF108" s="1099">
        <f>IF(AU108=0,0,(AV108-AU108)/AU108*100)</f>
        <v>0</v>
      </c>
      <c r="BG108" s="1099">
        <f>IF(AV108=0,0,(AW108-AV108)/AV108*100)</f>
        <v>0</v>
      </c>
      <c r="BH108" s="1099">
        <f>IF(AW108=0,0,(AX108-AW108)/AW108*100)</f>
        <v>0</v>
      </c>
      <c r="BI108" s="1099">
        <f>IF(AX108=0,0,(AY108-AX108)/AX108*100)</f>
        <v>0</v>
      </c>
      <c r="BJ108" s="1099">
        <f>IF(AY108=0,0,(AZ108-AY108)/AY108*100)</f>
        <v>0</v>
      </c>
      <c r="BK108" s="1099">
        <f>IF(AZ108=0,0,(BA108-AZ108)/AZ108*100)</f>
        <v>0</v>
      </c>
      <c r="BL108" s="1099">
        <f>IF(BA108=0,0,(BB108-BA108)/BA108*100)</f>
        <v>0</v>
      </c>
      <c r="BM108" s="1099">
        <f>IF(BB108=0,0,(BC108-BB108)/BB108*100)</f>
        <v>0</v>
      </c>
      <c r="BN108" s="1265"/>
      <c r="BO108" s="1265"/>
      <c r="BP108" s="1265"/>
      <c r="BQ108" s="960"/>
      <c r="BR108" s="960"/>
      <c r="BS108" s="1048" t="s">
        <v>1704</v>
      </c>
      <c r="BT108" s="1048"/>
      <c r="BU108" s="1048"/>
      <c r="BV108" s="962"/>
      <c r="BW108" s="962"/>
    </row>
    <row customHeight="1" ht="14.625" hidden="1">
      <c r="A109" s="960"/>
      <c r="B109" s="961"/>
      <c r="C109" s="73"/>
      <c r="D109" s="73"/>
      <c r="E109" s="600">
        <v>15</v>
      </c>
      <c r="F109" s="50" cm="1" t="str">
        <f t="array" ref="F109:F109">OFFSET(E109,-1,1)</f>
        <v>0</v>
      </c>
      <c r="G109" s="73" t="s">
        <v>1352</v>
      </c>
      <c r="H109" s="73"/>
      <c r="I109" s="73" t="s">
        <v>1975</v>
      </c>
      <c r="J109" s="73"/>
      <c r="K109" s="124" t="s">
        <v>1975</v>
      </c>
      <c r="L109" s="963"/>
      <c r="M109" s="73"/>
      <c r="N109" s="73"/>
      <c r="O109" s="73"/>
      <c r="P109" s="73"/>
      <c r="Q109" s="73"/>
      <c r="R109" s="73"/>
      <c r="S109" s="73"/>
      <c r="T109" s="439" cm="1" t="str">
        <f t="array" ref="T109:T109">T108</f>
        <v>false</v>
      </c>
      <c r="U109" s="73"/>
      <c r="V109" s="73"/>
      <c r="W109" s="73"/>
      <c r="X109" s="1534"/>
      <c r="Y109" s="960"/>
      <c r="Z109" s="1465"/>
      <c r="AA109" s="960"/>
      <c r="AB109" s="267" t="s">
        <v>1419</v>
      </c>
      <c r="AC109" s="743" t="s">
        <v>1352</v>
      </c>
      <c r="AD109" s="267" t="s">
        <v>784</v>
      </c>
      <c r="AE109" s="1268"/>
      <c r="AF109" s="1268"/>
      <c r="AG109" s="1268"/>
      <c r="AH109" s="1099">
        <f>AG109-AF109</f>
        <v>0</v>
      </c>
      <c r="AI109" s="1268"/>
      <c r="AJ109" s="4561"/>
      <c r="AK109" s="1268"/>
      <c r="AL109" s="1268"/>
      <c r="AM109" s="1268"/>
      <c r="AN109" s="1268"/>
      <c r="AO109" s="1268"/>
      <c r="AP109" s="1268"/>
      <c r="AQ109" s="1268"/>
      <c r="AR109" s="1268"/>
      <c r="AS109" s="1268"/>
      <c r="AT109" s="4561"/>
      <c r="AU109" s="1268"/>
      <c r="AV109" s="1268"/>
      <c r="AW109" s="1268"/>
      <c r="AX109" s="1268"/>
      <c r="AY109" s="1268"/>
      <c r="AZ109" s="1268"/>
      <c r="BA109" s="1268"/>
      <c r="BB109" s="1268"/>
      <c r="BC109" s="1268"/>
      <c r="BD109" s="1099">
        <f>IF(AI109=0,0,(AT109-AI109)/AI109*100)</f>
        <v>0</v>
      </c>
      <c r="BE109" s="1099">
        <f>IF(AT109=0,0,(AU109-AT109)/AT109*100)</f>
        <v>0</v>
      </c>
      <c r="BF109" s="1099">
        <f>IF(AU109=0,0,(AV109-AU109)/AU109*100)</f>
        <v>0</v>
      </c>
      <c r="BG109" s="1099">
        <f>IF(AV109=0,0,(AW109-AV109)/AV109*100)</f>
        <v>0</v>
      </c>
      <c r="BH109" s="1099">
        <f>IF(AW109=0,0,(AX109-AW109)/AW109*100)</f>
        <v>0</v>
      </c>
      <c r="BI109" s="1099">
        <f>IF(AX109=0,0,(AY109-AX109)/AX109*100)</f>
        <v>0</v>
      </c>
      <c r="BJ109" s="1099">
        <f>IF(AY109=0,0,(AZ109-AY109)/AY109*100)</f>
        <v>0</v>
      </c>
      <c r="BK109" s="1099">
        <f>IF(AZ109=0,0,(BA109-AZ109)/AZ109*100)</f>
        <v>0</v>
      </c>
      <c r="BL109" s="1099">
        <f>IF(BA109=0,0,(BB109-BA109)/BA109*100)</f>
        <v>0</v>
      </c>
      <c r="BM109" s="1099">
        <f>IF(BB109=0,0,(BC109-BB109)/BB109*100)</f>
        <v>0</v>
      </c>
      <c r="BN109" s="1265"/>
      <c r="BO109" s="1265"/>
      <c r="BP109" s="1265"/>
      <c r="BQ109" s="960"/>
      <c r="BR109" s="960"/>
      <c r="BS109" s="1048" t="s">
        <v>1976</v>
      </c>
      <c r="BT109" s="1048"/>
      <c r="BU109" s="1048"/>
      <c r="BV109" s="962"/>
      <c r="BW109" s="962"/>
    </row>
    <row customHeight="1" ht="14.625" hidden="1">
      <c r="A110" s="960"/>
      <c r="B110" s="961"/>
      <c r="C110" s="73"/>
      <c r="D110" s="73"/>
      <c r="E110" s="600">
        <v>15</v>
      </c>
      <c r="F110" s="50" cm="1" t="str">
        <f t="array" ref="F110:F110">OFFSET(E110,-1,1)</f>
        <v>0</v>
      </c>
      <c r="G110" s="73" t="s">
        <v>1357</v>
      </c>
      <c r="H110" s="73"/>
      <c r="I110" s="73" t="s">
        <v>1977</v>
      </c>
      <c r="J110" s="73"/>
      <c r="K110" s="124" t="s">
        <v>1977</v>
      </c>
      <c r="L110" s="963"/>
      <c r="M110" s="73"/>
      <c r="N110" s="73"/>
      <c r="O110" s="73"/>
      <c r="P110" s="73"/>
      <c r="Q110" s="73"/>
      <c r="R110" s="73"/>
      <c r="S110" s="73"/>
      <c r="T110" s="439" cm="1" t="str">
        <f t="array" ref="T110:T110">T109</f>
        <v>false</v>
      </c>
      <c r="U110" s="73"/>
      <c r="V110" s="73"/>
      <c r="W110" s="73"/>
      <c r="X110" s="1534"/>
      <c r="Y110" s="960"/>
      <c r="Z110" s="1465"/>
      <c r="AA110" s="960"/>
      <c r="AB110" s="267" t="s">
        <v>1423</v>
      </c>
      <c r="AC110" s="743" t="s">
        <v>1357</v>
      </c>
      <c r="AD110" s="267" t="s">
        <v>784</v>
      </c>
      <c r="AE110" s="1101">
        <f>SUM(AE111,AE112)</f>
        <v>0</v>
      </c>
      <c r="AF110" s="1099">
        <f>SUM(AF111,AF112)</f>
        <v>0</v>
      </c>
      <c r="AG110" s="1099">
        <f>SUM(AG111,AG112)</f>
        <v>0</v>
      </c>
      <c r="AH110" s="1099">
        <f>AG110-AF110</f>
        <v>0</v>
      </c>
      <c r="AI110" s="1099">
        <f>SUM(AI111,AI112)</f>
        <v>0</v>
      </c>
      <c r="AJ110" s="1101">
        <f>SUM(AJ111,AJ112)</f>
        <v>0</v>
      </c>
      <c r="AK110" s="1099">
        <f>SUM(AK111,AK112)</f>
        <v>0</v>
      </c>
      <c r="AL110" s="1099">
        <f>SUM(AL111,AL112)</f>
        <v>0</v>
      </c>
      <c r="AM110" s="1099">
        <f>SUM(AM111,AM112)</f>
        <v>0</v>
      </c>
      <c r="AN110" s="1099">
        <f>SUM(AN111,AN112)</f>
        <v>0</v>
      </c>
      <c r="AO110" s="1099">
        <f>SUM(AO111,AO112)</f>
        <v>0</v>
      </c>
      <c r="AP110" s="1099">
        <f>SUM(AP111,AP112)</f>
        <v>0</v>
      </c>
      <c r="AQ110" s="1099">
        <f>SUM(AQ111,AQ112)</f>
        <v>0</v>
      </c>
      <c r="AR110" s="1099">
        <f>SUM(AR111,AR112)</f>
        <v>0</v>
      </c>
      <c r="AS110" s="1099">
        <f>SUM(AS111,AS112)</f>
        <v>0</v>
      </c>
      <c r="AT110" s="1101">
        <f>SUM(AT111,AT112)</f>
        <v>0</v>
      </c>
      <c r="AU110" s="1099">
        <f>SUM(AU111,AU112)</f>
        <v>0</v>
      </c>
      <c r="AV110" s="1099">
        <f>SUM(AV111,AV112)</f>
        <v>0</v>
      </c>
      <c r="AW110" s="1099">
        <f>SUM(AW111,AW112)</f>
        <v>0</v>
      </c>
      <c r="AX110" s="1099">
        <f>SUM(AX111,AX112)</f>
        <v>0</v>
      </c>
      <c r="AY110" s="1099">
        <f>SUM(AY111,AY112)</f>
        <v>0</v>
      </c>
      <c r="AZ110" s="1099">
        <f>SUM(AZ111,AZ112)</f>
        <v>0</v>
      </c>
      <c r="BA110" s="1099">
        <f>SUM(BA111,BA112)</f>
        <v>0</v>
      </c>
      <c r="BB110" s="1099">
        <f>SUM(BB111,BB112)</f>
        <v>0</v>
      </c>
      <c r="BC110" s="1099">
        <f>SUM(BC111,BC112)</f>
        <v>0</v>
      </c>
      <c r="BD110" s="1099">
        <f>IF(AI110=0,0,(AT110-AI110)/AI110*100)</f>
        <v>0</v>
      </c>
      <c r="BE110" s="1099">
        <f>IF(AT110=0,0,(AU110-AT110)/AT110*100)</f>
        <v>0</v>
      </c>
      <c r="BF110" s="1099">
        <f>IF(AU110=0,0,(AV110-AU110)/AU110*100)</f>
        <v>0</v>
      </c>
      <c r="BG110" s="1099">
        <f>IF(AV110=0,0,(AW110-AV110)/AV110*100)</f>
        <v>0</v>
      </c>
      <c r="BH110" s="1099">
        <f>IF(AW110=0,0,(AX110-AW110)/AW110*100)</f>
        <v>0</v>
      </c>
      <c r="BI110" s="1099">
        <f>IF(AX110=0,0,(AY110-AX110)/AX110*100)</f>
        <v>0</v>
      </c>
      <c r="BJ110" s="1099">
        <f>IF(AY110=0,0,(AZ110-AY110)/AY110*100)</f>
        <v>0</v>
      </c>
      <c r="BK110" s="1099">
        <f>IF(AZ110=0,0,(BA110-AZ110)/AZ110*100)</f>
        <v>0</v>
      </c>
      <c r="BL110" s="1099">
        <f>IF(BA110=0,0,(BB110-BA110)/BA110*100)</f>
        <v>0</v>
      </c>
      <c r="BM110" s="1099">
        <f>IF(BB110=0,0,(BC110-BB110)/BB110*100)</f>
        <v>0</v>
      </c>
      <c r="BN110" s="1265"/>
      <c r="BO110" s="1265"/>
      <c r="BP110" s="1265"/>
      <c r="BQ110" s="960"/>
      <c r="BR110" s="960"/>
      <c r="BS110" s="1048" t="s">
        <v>1978</v>
      </c>
      <c r="BT110" s="1048"/>
      <c r="BU110" s="1048"/>
      <c r="BV110" s="962"/>
      <c r="BW110" s="962"/>
    </row>
    <row customHeight="1" ht="14.625" hidden="1">
      <c r="A111" s="960"/>
      <c r="B111" s="961"/>
      <c r="C111" s="73"/>
      <c r="D111" s="73"/>
      <c r="E111" s="600">
        <v>15</v>
      </c>
      <c r="F111" s="50" cm="1" t="str">
        <f t="array" ref="F111:F111">OFFSET(E111,-1,1)</f>
        <v>0</v>
      </c>
      <c r="G111" s="73"/>
      <c r="H111" s="73"/>
      <c r="I111" s="73" t="s">
        <v>1979</v>
      </c>
      <c r="J111" s="73"/>
      <c r="K111" s="124" t="s">
        <v>1979</v>
      </c>
      <c r="L111" s="963"/>
      <c r="M111" s="73"/>
      <c r="N111" s="73"/>
      <c r="O111" s="73"/>
      <c r="P111" s="73"/>
      <c r="Q111" s="73"/>
      <c r="R111" s="73"/>
      <c r="S111" s="73"/>
      <c r="T111" s="439" cm="1" t="str">
        <f t="array" ref="T111:T111">T110</f>
        <v>false</v>
      </c>
      <c r="U111" s="73"/>
      <c r="V111" s="73"/>
      <c r="W111" s="73"/>
      <c r="X111" s="1534"/>
      <c r="Y111" s="960"/>
      <c r="Z111" s="1465"/>
      <c r="AA111" s="960"/>
      <c r="AB111" s="267" t="s">
        <v>1980</v>
      </c>
      <c r="AC111" s="746" t="s">
        <v>1981</v>
      </c>
      <c r="AD111" s="267" t="s">
        <v>784</v>
      </c>
      <c r="AE111" s="1268"/>
      <c r="AF111" s="1268"/>
      <c r="AG111" s="1268"/>
      <c r="AH111" s="1099">
        <f>AG111-AF111</f>
        <v>0</v>
      </c>
      <c r="AI111" s="1268"/>
      <c r="AJ111" s="4561"/>
      <c r="AK111" s="1268"/>
      <c r="AL111" s="1268"/>
      <c r="AM111" s="1268"/>
      <c r="AN111" s="1268"/>
      <c r="AO111" s="1268"/>
      <c r="AP111" s="1268"/>
      <c r="AQ111" s="1268"/>
      <c r="AR111" s="1268"/>
      <c r="AS111" s="1268"/>
      <c r="AT111" s="4561"/>
      <c r="AU111" s="1268"/>
      <c r="AV111" s="1268"/>
      <c r="AW111" s="1268"/>
      <c r="AX111" s="1268"/>
      <c r="AY111" s="1268"/>
      <c r="AZ111" s="1268"/>
      <c r="BA111" s="1268"/>
      <c r="BB111" s="1268"/>
      <c r="BC111" s="1268"/>
      <c r="BD111" s="1099">
        <f>IF(AI111=0,0,(AT111-AI111)/AI111*100)</f>
        <v>0</v>
      </c>
      <c r="BE111" s="1099">
        <f>IF(AT111=0,0,(AU111-AT111)/AT111*100)</f>
        <v>0</v>
      </c>
      <c r="BF111" s="1099">
        <f>IF(AU111=0,0,(AV111-AU111)/AU111*100)</f>
        <v>0</v>
      </c>
      <c r="BG111" s="1099">
        <f>IF(AV111=0,0,(AW111-AV111)/AV111*100)</f>
        <v>0</v>
      </c>
      <c r="BH111" s="1099">
        <f>IF(AW111=0,0,(AX111-AW111)/AW111*100)</f>
        <v>0</v>
      </c>
      <c r="BI111" s="1099">
        <f>IF(AX111=0,0,(AY111-AX111)/AX111*100)</f>
        <v>0</v>
      </c>
      <c r="BJ111" s="1099">
        <f>IF(AY111=0,0,(AZ111-AY111)/AY111*100)</f>
        <v>0</v>
      </c>
      <c r="BK111" s="1099">
        <f>IF(AZ111=0,0,(BA111-AZ111)/AZ111*100)</f>
        <v>0</v>
      </c>
      <c r="BL111" s="1099">
        <f>IF(BA111=0,0,(BB111-BA111)/BA111*100)</f>
        <v>0</v>
      </c>
      <c r="BM111" s="1099">
        <f>IF(BB111=0,0,(BC111-BB111)/BB111*100)</f>
        <v>0</v>
      </c>
      <c r="BN111" s="1265"/>
      <c r="BO111" s="1265"/>
      <c r="BP111" s="1265"/>
      <c r="BQ111" s="960"/>
      <c r="BR111" s="960"/>
      <c r="BS111" s="1048" t="s">
        <v>1144</v>
      </c>
      <c r="BT111" s="1048"/>
      <c r="BU111" s="1048"/>
      <c r="BV111" s="962"/>
      <c r="BW111" s="962"/>
    </row>
    <row customHeight="1" ht="14.625" hidden="1">
      <c r="A112" s="960"/>
      <c r="B112" s="961"/>
      <c r="C112" s="73"/>
      <c r="D112" s="73"/>
      <c r="E112" s="600">
        <v>15</v>
      </c>
      <c r="F112" s="50" cm="1" t="str">
        <f t="array" ref="F112:F112">OFFSET(E112,-1,1)</f>
        <v>0</v>
      </c>
      <c r="G112" s="73"/>
      <c r="H112" s="73"/>
      <c r="I112" s="73" t="s">
        <v>1982</v>
      </c>
      <c r="J112" s="73"/>
      <c r="K112" s="124" t="s">
        <v>1982</v>
      </c>
      <c r="L112" s="963" t="s">
        <v>857</v>
      </c>
      <c r="M112" s="73"/>
      <c r="N112" s="73"/>
      <c r="O112" s="73"/>
      <c r="P112" s="73"/>
      <c r="Q112" s="73"/>
      <c r="R112" s="73"/>
      <c r="S112" s="73"/>
      <c r="T112" s="439" cm="1" t="str">
        <f t="array" ref="T112:T112">T111</f>
        <v>false</v>
      </c>
      <c r="U112" s="73"/>
      <c r="V112" s="73"/>
      <c r="W112" s="73"/>
      <c r="X112" s="1534"/>
      <c r="Y112" s="960"/>
      <c r="Z112" s="1465"/>
      <c r="AA112" s="960"/>
      <c r="AB112" s="267" t="s">
        <v>1983</v>
      </c>
      <c r="AC112" s="746" t="s">
        <v>1984</v>
      </c>
      <c r="AD112" s="267" t="s">
        <v>784</v>
      </c>
      <c r="AE112" s="1268"/>
      <c r="AF112" s="1268"/>
      <c r="AG112" s="1268"/>
      <c r="AH112" s="1099">
        <f>AG112-AF112</f>
        <v>0</v>
      </c>
      <c r="AI112" s="1268"/>
      <c r="AJ112" s="4561"/>
      <c r="AK112" s="1268"/>
      <c r="AL112" s="1268"/>
      <c r="AM112" s="1268"/>
      <c r="AN112" s="1268"/>
      <c r="AO112" s="1268"/>
      <c r="AP112" s="1268"/>
      <c r="AQ112" s="1268"/>
      <c r="AR112" s="1268"/>
      <c r="AS112" s="1268"/>
      <c r="AT112" s="4561"/>
      <c r="AU112" s="1268"/>
      <c r="AV112" s="1268"/>
      <c r="AW112" s="1268"/>
      <c r="AX112" s="1268"/>
      <c r="AY112" s="1268"/>
      <c r="AZ112" s="1268"/>
      <c r="BA112" s="1268"/>
      <c r="BB112" s="1268"/>
      <c r="BC112" s="1268"/>
      <c r="BD112" s="1099">
        <f>IF(AI112=0,0,(AT112-AI112)/AI112*100)</f>
        <v>0</v>
      </c>
      <c r="BE112" s="1099">
        <f>IF(AT112=0,0,(AU112-AT112)/AT112*100)</f>
        <v>0</v>
      </c>
      <c r="BF112" s="1099">
        <f>IF(AU112=0,0,(AV112-AU112)/AU112*100)</f>
        <v>0</v>
      </c>
      <c r="BG112" s="1099">
        <f>IF(AV112=0,0,(AW112-AV112)/AV112*100)</f>
        <v>0</v>
      </c>
      <c r="BH112" s="1099">
        <f>IF(AW112=0,0,(AX112-AW112)/AW112*100)</f>
        <v>0</v>
      </c>
      <c r="BI112" s="1099">
        <f>IF(AX112=0,0,(AY112-AX112)/AX112*100)</f>
        <v>0</v>
      </c>
      <c r="BJ112" s="1099">
        <f>IF(AY112=0,0,(AZ112-AY112)/AY112*100)</f>
        <v>0</v>
      </c>
      <c r="BK112" s="1099">
        <f>IF(AZ112=0,0,(BA112-AZ112)/AZ112*100)</f>
        <v>0</v>
      </c>
      <c r="BL112" s="1099">
        <f>IF(BA112=0,0,(BB112-BA112)/BA112*100)</f>
        <v>0</v>
      </c>
      <c r="BM112" s="1099">
        <f>IF(BB112=0,0,(BC112-BB112)/BB112*100)</f>
        <v>0</v>
      </c>
      <c r="BN112" s="1265"/>
      <c r="BO112" s="1265"/>
      <c r="BP112" s="1265"/>
      <c r="BQ112" s="960"/>
      <c r="BR112" s="960"/>
      <c r="BS112" s="1048" t="s">
        <v>1985</v>
      </c>
      <c r="BT112" s="1048"/>
      <c r="BU112" s="1048"/>
      <c r="BV112" s="962"/>
      <c r="BW112" s="962"/>
    </row>
    <row customHeight="1" ht="21.9375" hidden="1">
      <c r="A113" s="960"/>
      <c r="B113" s="961"/>
      <c r="C113" s="73"/>
      <c r="D113" s="73"/>
      <c r="E113" s="600">
        <v>22.5</v>
      </c>
      <c r="F113" s="50" cm="1" t="str">
        <f t="array" ref="F113:F113">OFFSET(E113,-1,1)</f>
        <v>0</v>
      </c>
      <c r="G113" s="73" t="s">
        <v>1362</v>
      </c>
      <c r="H113" s="73"/>
      <c r="I113" s="73" t="s">
        <v>1986</v>
      </c>
      <c r="J113" s="73"/>
      <c r="K113" s="124" t="s">
        <v>1986</v>
      </c>
      <c r="L113" s="963"/>
      <c r="M113" s="73"/>
      <c r="N113" s="73"/>
      <c r="O113" s="73"/>
      <c r="P113" s="73"/>
      <c r="Q113" s="73"/>
      <c r="R113" s="73"/>
      <c r="S113" s="73"/>
      <c r="T113" s="439" cm="1" t="str">
        <f t="array" ref="T113:T113">T112</f>
        <v>false</v>
      </c>
      <c r="U113" s="73"/>
      <c r="V113" s="73"/>
      <c r="W113" s="73"/>
      <c r="X113" s="1534"/>
      <c r="Y113" s="960"/>
      <c r="Z113" s="1465"/>
      <c r="AA113" s="960"/>
      <c r="AB113" s="267" t="s">
        <v>1426</v>
      </c>
      <c r="AC113" s="743" t="s">
        <v>1987</v>
      </c>
      <c r="AD113" s="267" t="s">
        <v>784</v>
      </c>
      <c r="AE113" s="1268"/>
      <c r="AF113" s="1268"/>
      <c r="AG113" s="1268"/>
      <c r="AH113" s="1099">
        <f>AG113-AF113</f>
        <v>0</v>
      </c>
      <c r="AI113" s="1268"/>
      <c r="AJ113" s="4561"/>
      <c r="AK113" s="1268"/>
      <c r="AL113" s="1268"/>
      <c r="AM113" s="1268"/>
      <c r="AN113" s="1268"/>
      <c r="AO113" s="1268"/>
      <c r="AP113" s="1268"/>
      <c r="AQ113" s="1268"/>
      <c r="AR113" s="1268"/>
      <c r="AS113" s="1268"/>
      <c r="AT113" s="4561"/>
      <c r="AU113" s="1268"/>
      <c r="AV113" s="1268"/>
      <c r="AW113" s="1268"/>
      <c r="AX113" s="1268"/>
      <c r="AY113" s="1268"/>
      <c r="AZ113" s="1268"/>
      <c r="BA113" s="1268"/>
      <c r="BB113" s="1268"/>
      <c r="BC113" s="1268"/>
      <c r="BD113" s="1099">
        <f>IF(AI113=0,0,(AT113-AI113)/AI113*100)</f>
        <v>0</v>
      </c>
      <c r="BE113" s="1099">
        <f>IF(AT113=0,0,(AU113-AT113)/AT113*100)</f>
        <v>0</v>
      </c>
      <c r="BF113" s="1099">
        <f>IF(AU113=0,0,(AV113-AU113)/AU113*100)</f>
        <v>0</v>
      </c>
      <c r="BG113" s="1099">
        <f>IF(AV113=0,0,(AW113-AV113)/AV113*100)</f>
        <v>0</v>
      </c>
      <c r="BH113" s="1099">
        <f>IF(AW113=0,0,(AX113-AW113)/AW113*100)</f>
        <v>0</v>
      </c>
      <c r="BI113" s="1099">
        <f>IF(AX113=0,0,(AY113-AX113)/AX113*100)</f>
        <v>0</v>
      </c>
      <c r="BJ113" s="1099">
        <f>IF(AY113=0,0,(AZ113-AY113)/AY113*100)</f>
        <v>0</v>
      </c>
      <c r="BK113" s="1099">
        <f>IF(AZ113=0,0,(BA113-AZ113)/AZ113*100)</f>
        <v>0</v>
      </c>
      <c r="BL113" s="1099">
        <f>IF(BA113=0,0,(BB113-BA113)/BA113*100)</f>
        <v>0</v>
      </c>
      <c r="BM113" s="1099">
        <f>IF(BB113=0,0,(BC113-BB113)/BB113*100)</f>
        <v>0</v>
      </c>
      <c r="BN113" s="1265"/>
      <c r="BO113" s="1265"/>
      <c r="BP113" s="1265"/>
      <c r="BQ113" s="960"/>
      <c r="BR113" s="960"/>
      <c r="BS113" s="1048" t="s">
        <v>1988</v>
      </c>
      <c r="BT113" s="1048"/>
      <c r="BU113" s="1048"/>
      <c r="BV113" s="962"/>
      <c r="BW113" s="962"/>
    </row>
    <row s="680" customFormat="1" customHeight="1" ht="20.475" hidden="1">
      <c r="A114" s="680"/>
      <c r="B114" s="408"/>
      <c r="C114" s="75"/>
      <c r="D114" s="75"/>
      <c r="E114" s="807">
        <v>21</v>
      </c>
      <c r="F114" s="50" cm="1" t="str">
        <f t="array" ref="F114:F114">OFFSET(E114,-1,1)</f>
        <v>0</v>
      </c>
      <c r="G114" s="73" t="s">
        <v>1989</v>
      </c>
      <c r="H114" s="73"/>
      <c r="I114" s="73" t="s">
        <v>327</v>
      </c>
      <c r="J114" s="75"/>
      <c r="K114" s="124" t="s">
        <v>327</v>
      </c>
      <c r="L114" s="968" t="s">
        <v>1219</v>
      </c>
      <c r="M114" s="75"/>
      <c r="N114" s="75"/>
      <c r="O114" s="75"/>
      <c r="P114" s="75"/>
      <c r="Q114" s="75"/>
      <c r="R114" s="75"/>
      <c r="S114" s="75"/>
      <c r="T114" s="439" cm="1" t="str">
        <f t="array" ref="T114:T114">T113</f>
        <v>false</v>
      </c>
      <c r="U114" s="75"/>
      <c r="V114" s="75"/>
      <c r="W114" s="75"/>
      <c r="X114" s="1534"/>
      <c r="Y114" s="680"/>
      <c r="Z114" s="1465"/>
      <c r="AA114" s="680"/>
      <c r="AB114" s="178" t="s">
        <v>323</v>
      </c>
      <c r="AC114" s="179" t="s">
        <v>1990</v>
      </c>
      <c r="AD114" s="178" t="s">
        <v>784</v>
      </c>
      <c r="AE114" s="759">
        <f>_xlfn.SUMIFS(ЭЭ!AE$25:AE$93,ЭЭ!$F$25:$F$93,$F114,ЭЭ!$AC$25:$AC$93,"Всего по тарифу")</f>
        <v>0</v>
      </c>
      <c r="AF114" s="759">
        <f>_xlfn.SUMIFS(ЭЭ!AF$25:AF$93,ЭЭ!$F$25:$F$93,$F114,ЭЭ!$AC$25:$AC$93,"Всего по тарифу")</f>
        <v>0</v>
      </c>
      <c r="AG114" s="759">
        <f>_xlfn.SUMIFS(ЭЭ!AG$25:AG$93,ЭЭ!$F$25:$F$93,$F114,ЭЭ!$AC$25:$AC$93,"Всего по тарифу")</f>
        <v>0</v>
      </c>
      <c r="AH114" s="759">
        <f>AG114-AF114</f>
        <v>0</v>
      </c>
      <c r="AI114" s="759">
        <f>_xlfn.SUMIFS(ЭЭ!AH$25:AH$93,ЭЭ!$F$25:$F$93,$F114,ЭЭ!$AC$25:$AC$93,"Всего по тарифу")</f>
        <v>0</v>
      </c>
      <c r="AJ114" s="759">
        <f>_xlfn.SUMIFS(ЭЭ!AI$25:AI$93,ЭЭ!$F$25:$F$93,$F114,ЭЭ!$AC$25:$AC$93,"Всего по тарифу")</f>
        <v>0</v>
      </c>
      <c r="AK114" s="759">
        <f>_xlfn.SUMIFS(ЭЭ!AJ$25:AJ$93,ЭЭ!$F$25:$F$93,$F114,ЭЭ!$AC$25:$AC$93,"Всего по тарифу")</f>
        <v>0</v>
      </c>
      <c r="AL114" s="759">
        <f>_xlfn.SUMIFS(ЭЭ!AK$25:AK$93,ЭЭ!$F$25:$F$93,$F114,ЭЭ!$AC$25:$AC$93,"Всего по тарифу")</f>
        <v>0</v>
      </c>
      <c r="AM114" s="759">
        <f>_xlfn.SUMIFS(ЭЭ!AL$25:AL$93,ЭЭ!$F$25:$F$93,$F114,ЭЭ!$AC$25:$AC$93,"Всего по тарифу")</f>
        <v>0</v>
      </c>
      <c r="AN114" s="759">
        <f>_xlfn.SUMIFS(ЭЭ!AM$25:AM$93,ЭЭ!$F$25:$F$93,$F114,ЭЭ!$AC$25:$AC$93,"Всего по тарифу")</f>
        <v>0</v>
      </c>
      <c r="AO114" s="759">
        <f>_xlfn.SUMIFS(ЭЭ!AN$25:AN$93,ЭЭ!$F$25:$F$93,$F114,ЭЭ!$AC$25:$AC$93,"Всего по тарифу")</f>
        <v>0</v>
      </c>
      <c r="AP114" s="759">
        <f>_xlfn.SUMIFS(ЭЭ!AO$25:AO$93,ЭЭ!$F$25:$F$93,$F114,ЭЭ!$AC$25:$AC$93,"Всего по тарифу")</f>
        <v>0</v>
      </c>
      <c r="AQ114" s="759">
        <f>_xlfn.SUMIFS(ЭЭ!AP$25:AP$93,ЭЭ!$F$25:$F$93,$F114,ЭЭ!$AC$25:$AC$93,"Всего по тарифу")</f>
        <v>0</v>
      </c>
      <c r="AR114" s="759">
        <f>_xlfn.SUMIFS(ЭЭ!AQ$25:AQ$93,ЭЭ!$F$25:$F$93,$F114,ЭЭ!$AC$25:$AC$93,"Всего по тарифу")</f>
        <v>0</v>
      </c>
      <c r="AS114" s="759">
        <f>_xlfn.SUMIFS(ЭЭ!AR$25:AR$93,ЭЭ!$F$25:$F$93,$F114,ЭЭ!$AC$25:$AC$93,"Всего по тарифу")</f>
        <v>0</v>
      </c>
      <c r="AT114" s="759">
        <f>_xlfn.SUMIFS(ЭЭ!AS$25:AS$93,ЭЭ!$F$25:$F$93,$F114,ЭЭ!$AC$25:$AC$93,"Всего по тарифу")</f>
        <v>0</v>
      </c>
      <c r="AU114" s="759">
        <f>_xlfn.SUMIFS(ЭЭ!AT$25:AT$93,ЭЭ!$F$25:$F$93,$F114,ЭЭ!$AC$25:$AC$93,"Всего по тарифу")</f>
        <v>0</v>
      </c>
      <c r="AV114" s="759">
        <f>_xlfn.SUMIFS(ЭЭ!AU$25:AU$93,ЭЭ!$F$25:$F$93,$F114,ЭЭ!$AC$25:$AC$93,"Всего по тарифу")</f>
        <v>0</v>
      </c>
      <c r="AW114" s="759">
        <f>_xlfn.SUMIFS(ЭЭ!AV$25:AV$93,ЭЭ!$F$25:$F$93,$F114,ЭЭ!$AC$25:$AC$93,"Всего по тарифу")</f>
        <v>0</v>
      </c>
      <c r="AX114" s="759">
        <f>_xlfn.SUMIFS(ЭЭ!AW$25:AW$93,ЭЭ!$F$25:$F$93,$F114,ЭЭ!$AC$25:$AC$93,"Всего по тарифу")</f>
        <v>0</v>
      </c>
      <c r="AY114" s="759">
        <f>_xlfn.SUMIFS(ЭЭ!AX$25:AX$93,ЭЭ!$F$25:$F$93,$F114,ЭЭ!$AC$25:$AC$93,"Всего по тарифу")</f>
        <v>0</v>
      </c>
      <c r="AZ114" s="759">
        <f>_xlfn.SUMIFS(ЭЭ!AY$25:AY$93,ЭЭ!$F$25:$F$93,$F114,ЭЭ!$AC$25:$AC$93,"Всего по тарифу")</f>
        <v>0</v>
      </c>
      <c r="BA114" s="759">
        <f>_xlfn.SUMIFS(ЭЭ!AZ$25:AZ$93,ЭЭ!$F$25:$F$93,$F114,ЭЭ!$AC$25:$AC$93,"Всего по тарифу")</f>
        <v>0</v>
      </c>
      <c r="BB114" s="759">
        <f>_xlfn.SUMIFS(ЭЭ!BA$25:BA$93,ЭЭ!$F$25:$F$93,$F114,ЭЭ!$AC$25:$AC$93,"Всего по тарифу")</f>
        <v>0</v>
      </c>
      <c r="BC114" s="759">
        <f>_xlfn.SUMIFS(ЭЭ!BB$25:BB$93,ЭЭ!$F$25:$F$93,$F114,ЭЭ!$AC$25:$AC$93,"Всего по тарифу")</f>
        <v>0</v>
      </c>
      <c r="BD114" s="759">
        <f>IF(AI114=0,0,(AT114-AI114)/AI114*100)</f>
        <v>0</v>
      </c>
      <c r="BE114" s="759">
        <f>IF(AT114=0,0,(AU114-AT114)/AT114*100)</f>
        <v>0</v>
      </c>
      <c r="BF114" s="759">
        <f>IF(AU114=0,0,(AV114-AU114)/AU114*100)</f>
        <v>0</v>
      </c>
      <c r="BG114" s="759">
        <f>IF(AV114=0,0,(AW114-AV114)/AV114*100)</f>
        <v>0</v>
      </c>
      <c r="BH114" s="759">
        <f>IF(AW114=0,0,(AX114-AW114)/AW114*100)</f>
        <v>0</v>
      </c>
      <c r="BI114" s="759">
        <f>IF(AX114=0,0,(AY114-AX114)/AX114*100)</f>
        <v>0</v>
      </c>
      <c r="BJ114" s="759">
        <f>IF(AY114=0,0,(AZ114-AY114)/AY114*100)</f>
        <v>0</v>
      </c>
      <c r="BK114" s="759">
        <f>IF(AZ114=0,0,(BA114-AZ114)/AZ114*100)</f>
        <v>0</v>
      </c>
      <c r="BL114" s="759">
        <f>IF(BA114=0,0,(BB114-BA114)/BA114*100)</f>
        <v>0</v>
      </c>
      <c r="BM114" s="759">
        <f>IF(BB114=0,0,(BC114-BB114)/BB114*100)</f>
        <v>0</v>
      </c>
      <c r="BN114" s="1265"/>
      <c r="BO114" s="1272" t="str">
        <f>IF(_xlfn.IFERROR(INDEX(ЭЭ!$K$26:$L$93,MATCH($F114&amp;"komm",ЭЭ!$K$26:$K$93,0),2),"")=0,"",_xlfn.IFERROR(INDEX(ЭЭ!$K$26:$L$93,MATCH($F114&amp;"komm",ЭЭ!$K$26:$K$93,0),2),""))</f>
        <v/>
      </c>
      <c r="BP114" s="1265"/>
      <c r="BQ114" s="680"/>
      <c r="BR114" s="680"/>
      <c r="BS114" s="1054" t="s">
        <v>1598</v>
      </c>
      <c r="BT114" s="1054"/>
      <c r="BU114" s="1054"/>
      <c r="BV114" s="687"/>
      <c r="BW114" s="687"/>
    </row>
    <row s="680" customFormat="1" customHeight="1" ht="21.9375" hidden="1">
      <c r="A115" s="680"/>
      <c r="B115" s="128">
        <f>method_reg="Метод индексации"</f>
        <v>1</v>
      </c>
      <c r="C115" s="75"/>
      <c r="D115" s="75"/>
      <c r="E115" s="807">
        <v>22.5</v>
      </c>
      <c r="F115" s="50" cm="1" t="str">
        <f t="array" ref="F115:F115">OFFSET(E115,-1,1)</f>
        <v>0</v>
      </c>
      <c r="G115" s="73" t="s">
        <v>1384</v>
      </c>
      <c r="H115" s="73"/>
      <c r="I115" s="73" t="s">
        <v>329</v>
      </c>
      <c r="J115" s="75"/>
      <c r="K115" s="124"/>
      <c r="L115" s="968" t="s">
        <v>328</v>
      </c>
      <c r="M115" s="75"/>
      <c r="N115" s="75"/>
      <c r="O115" s="75"/>
      <c r="P115" s="75"/>
      <c r="Q115" s="75"/>
      <c r="R115" s="75"/>
      <c r="S115" s="75"/>
      <c r="T115" s="439" cm="1" t="str">
        <f t="array" ref="T115:T115">T114</f>
        <v>false</v>
      </c>
      <c r="U115" s="75"/>
      <c r="V115" s="75"/>
      <c r="W115" s="75"/>
      <c r="X115" s="1534"/>
      <c r="Y115" s="680"/>
      <c r="Z115" s="1465"/>
      <c r="AA115" s="680"/>
      <c r="AB115" s="178" t="s">
        <v>536</v>
      </c>
      <c r="AC115" s="179" t="s">
        <v>1991</v>
      </c>
      <c r="AD115" s="178" t="s">
        <v>784</v>
      </c>
      <c r="AE115" s="759">
        <f>_xlfn.SUMIFS(Амортизация!AE$25:AE$174,Амортизация!$F$25:$F$174,$F115,Амортизация!$AC$25:$AC$174,"Сумма амортизационных отчислений")</f>
        <v>0</v>
      </c>
      <c r="AF115" s="759">
        <f>_xlfn.SUMIFS(Амортизация!AF$25:AF$174,Амортизация!$F$25:$F$174,$F115,Амортизация!$AC$25:$AC$174,"Сумма амортизационных отчислений")</f>
        <v>0</v>
      </c>
      <c r="AG115" s="759">
        <f>_xlfn.SUMIFS(Амортизация!AG$25:AG$174,Амортизация!$F$25:$F$174,$F115,Амортизация!$AC$25:$AC$174,"Сумма амортизационных отчислений")</f>
        <v>0</v>
      </c>
      <c r="AH115" s="759">
        <f>AG115-AF115</f>
        <v>0</v>
      </c>
      <c r="AI115" s="759">
        <f>_xlfn.SUMIFS(Амортизация!AH$25:AH$174,Амортизация!$F$25:$F$174,$F115,Амортизация!$AC$25:$AC$174,"Сумма амортизационных отчислений")</f>
        <v>0</v>
      </c>
      <c r="AJ115" s="759">
        <f>_xlfn.SUMIFS(Амортизация!AI$25:AI$174,Амортизация!$F$25:$F$174,$F115,Амортизация!$AC$25:$AC$174,"Сумма амортизационных отчислений")</f>
        <v>0</v>
      </c>
      <c r="AK115" s="759">
        <f>_xlfn.SUMIFS(Амортизация!AJ$25:AJ$174,Амортизация!$F$25:$F$174,$F115,Амортизация!$AC$25:$AC$174,"Сумма амортизационных отчислений")</f>
        <v>0</v>
      </c>
      <c r="AL115" s="759">
        <f>_xlfn.SUMIFS(Амортизация!AK$25:AK$174,Амортизация!$F$25:$F$174,$F115,Амортизация!$AC$25:$AC$174,"Сумма амортизационных отчислений")</f>
        <v>0</v>
      </c>
      <c r="AM115" s="759">
        <f>_xlfn.SUMIFS(Амортизация!AL$25:AL$174,Амортизация!$F$25:$F$174,$F115,Амортизация!$AC$25:$AC$174,"Сумма амортизационных отчислений")</f>
        <v>0</v>
      </c>
      <c r="AN115" s="759">
        <f>_xlfn.SUMIFS(Амортизация!AM$25:AM$174,Амортизация!$F$25:$F$174,$F115,Амортизация!$AC$25:$AC$174,"Сумма амортизационных отчислений")</f>
        <v>0</v>
      </c>
      <c r="AO115" s="759">
        <f>_xlfn.SUMIFS(Амортизация!AN$25:AN$174,Амортизация!$F$25:$F$174,$F115,Амортизация!$AC$25:$AC$174,"Сумма амортизационных отчислений")</f>
        <v>0</v>
      </c>
      <c r="AP115" s="759">
        <f>_xlfn.SUMIFS(Амортизация!AO$25:AO$174,Амортизация!$F$25:$F$174,$F115,Амортизация!$AC$25:$AC$174,"Сумма амортизационных отчислений")</f>
        <v>0</v>
      </c>
      <c r="AQ115" s="759">
        <f>_xlfn.SUMIFS(Амортизация!AP$25:AP$174,Амортизация!$F$25:$F$174,$F115,Амортизация!$AC$25:$AC$174,"Сумма амортизационных отчислений")</f>
        <v>0</v>
      </c>
      <c r="AR115" s="759">
        <f>_xlfn.SUMIFS(Амортизация!AQ$25:AQ$174,Амортизация!$F$25:$F$174,$F115,Амортизация!$AC$25:$AC$174,"Сумма амортизационных отчислений")</f>
        <v>0</v>
      </c>
      <c r="AS115" s="759">
        <f>_xlfn.SUMIFS(Амортизация!AR$25:AR$174,Амортизация!$F$25:$F$174,$F115,Амортизация!$AC$25:$AC$174,"Сумма амортизационных отчислений")</f>
        <v>0</v>
      </c>
      <c r="AT115" s="759">
        <f>_xlfn.SUMIFS(Амортизация!AS$25:AS$174,Амортизация!$F$25:$F$174,$F115,Амортизация!$AC$25:$AC$174,"Сумма амортизационных отчислений")</f>
        <v>0</v>
      </c>
      <c r="AU115" s="759">
        <f>_xlfn.SUMIFS(Амортизация!AT$25:AT$174,Амортизация!$F$25:$F$174,$F115,Амортизация!$AC$25:$AC$174,"Сумма амортизационных отчислений")</f>
        <v>0</v>
      </c>
      <c r="AV115" s="759">
        <f>_xlfn.SUMIFS(Амортизация!AU$25:AU$174,Амортизация!$F$25:$F$174,$F115,Амортизация!$AC$25:$AC$174,"Сумма амортизационных отчислений")</f>
        <v>0</v>
      </c>
      <c r="AW115" s="759">
        <f>_xlfn.SUMIFS(Амортизация!AV$25:AV$174,Амортизация!$F$25:$F$174,$F115,Амортизация!$AC$25:$AC$174,"Сумма амортизационных отчислений")</f>
        <v>0</v>
      </c>
      <c r="AX115" s="759">
        <f>_xlfn.SUMIFS(Амортизация!AW$25:AW$174,Амортизация!$F$25:$F$174,$F115,Амортизация!$AC$25:$AC$174,"Сумма амортизационных отчислений")</f>
        <v>0</v>
      </c>
      <c r="AY115" s="759">
        <f>_xlfn.SUMIFS(Амортизация!AX$25:AX$174,Амортизация!$F$25:$F$174,$F115,Амортизация!$AC$25:$AC$174,"Сумма амортизационных отчислений")</f>
        <v>0</v>
      </c>
      <c r="AZ115" s="759">
        <f>_xlfn.SUMIFS(Амортизация!AY$25:AY$174,Амортизация!$F$25:$F$174,$F115,Амортизация!$AC$25:$AC$174,"Сумма амортизационных отчислений")</f>
        <v>0</v>
      </c>
      <c r="BA115" s="759">
        <f>_xlfn.SUMIFS(Амортизация!AZ$25:AZ$174,Амортизация!$F$25:$F$174,$F115,Амортизация!$AC$25:$AC$174,"Сумма амортизационных отчислений")</f>
        <v>0</v>
      </c>
      <c r="BB115" s="759">
        <f>_xlfn.SUMIFS(Амортизация!BA$25:BA$174,Амортизация!$F$25:$F$174,$F115,Амортизация!$AC$25:$AC$174,"Сумма амортизационных отчислений")</f>
        <v>0</v>
      </c>
      <c r="BC115" s="759">
        <f>_xlfn.SUMIFS(Амортизация!BB$25:BB$174,Амортизация!$F$25:$F$174,$F115,Амортизация!$AC$25:$AC$174,"Сумма амортизационных отчислений")</f>
        <v>0</v>
      </c>
      <c r="BD115" s="759">
        <f>IF(AI115=0,0,(AT115-AI115)/AI115*100)</f>
        <v>0</v>
      </c>
      <c r="BE115" s="759">
        <f>IF(AT115=0,0,(AU115-AT115)/AT115*100)</f>
        <v>0</v>
      </c>
      <c r="BF115" s="759">
        <f>IF(AU115=0,0,(AV115-AU115)/AU115*100)</f>
        <v>0</v>
      </c>
      <c r="BG115" s="759">
        <f>IF(AV115=0,0,(AW115-AV115)/AV115*100)</f>
        <v>0</v>
      </c>
      <c r="BH115" s="759">
        <f>IF(AW115=0,0,(AX115-AW115)/AW115*100)</f>
        <v>0</v>
      </c>
      <c r="BI115" s="759">
        <f>IF(AX115=0,0,(AY115-AX115)/AX115*100)</f>
        <v>0</v>
      </c>
      <c r="BJ115" s="759">
        <f>IF(AY115=0,0,(AZ115-AY115)/AY115*100)</f>
        <v>0</v>
      </c>
      <c r="BK115" s="759">
        <f>IF(AZ115=0,0,(BA115-AZ115)/AZ115*100)</f>
        <v>0</v>
      </c>
      <c r="BL115" s="759">
        <f>IF(BA115=0,0,(BB115-BA115)/BA115*100)</f>
        <v>0</v>
      </c>
      <c r="BM115" s="759">
        <f>IF(BB115=0,0,(BC115-BB115)/BB115*100)</f>
        <v>0</v>
      </c>
      <c r="BN115" s="1265"/>
      <c r="BO115" s="1269" t="str">
        <f>IF(_xlfn.IFERROR(INDEX(Амортизация!$K$26:$L$174,MATCH($F115&amp;"komm",Амортизация!$K$26:$K$174,0),2),"")=0,"",_xlfn.IFERROR(INDEX(Амортизация!$K$26:$L$174,MATCH($F115&amp;"komm",Амортизация!$K$26:$K$174,0),2),""))</f>
        <v/>
      </c>
      <c r="BP115" s="1265"/>
      <c r="BQ115" s="680"/>
      <c r="BR115" s="680"/>
      <c r="BS115" s="1054" t="s">
        <v>1123</v>
      </c>
      <c r="BT115" s="1054"/>
      <c r="BU115" s="1054"/>
      <c r="BV115" s="687"/>
      <c r="BW115" s="687"/>
    </row>
    <row customHeight="1" ht="14.625" hidden="1">
      <c r="A116" s="960"/>
      <c r="B116" s="405" cm="1" t="str">
        <f t="array" ref="B116:B116">B115</f>
        <v>true</v>
      </c>
      <c r="C116" s="73"/>
      <c r="D116" s="73"/>
      <c r="E116" s="600">
        <v>15</v>
      </c>
      <c r="F116" s="50" cm="1" t="str">
        <f t="array" ref="F116:F116">OFFSET(E116,-1,1)</f>
        <v>0</v>
      </c>
      <c r="G116" s="73"/>
      <c r="H116" s="73"/>
      <c r="I116" s="73" t="s">
        <v>514</v>
      </c>
      <c r="J116" s="73"/>
      <c r="K116" s="960"/>
      <c r="L116" s="963" t="s">
        <v>528</v>
      </c>
      <c r="M116" s="73"/>
      <c r="N116" s="73"/>
      <c r="O116" s="73"/>
      <c r="P116" s="73"/>
      <c r="Q116" s="73"/>
      <c r="R116" s="73"/>
      <c r="S116" s="73"/>
      <c r="T116" s="439" cm="1" t="str">
        <f t="array" ref="T116:T116">T115</f>
        <v>false</v>
      </c>
      <c r="U116" s="73"/>
      <c r="V116" s="73"/>
      <c r="W116" s="73"/>
      <c r="X116" s="1534"/>
      <c r="Y116" s="960"/>
      <c r="Z116" s="1465"/>
      <c r="AA116" s="960"/>
      <c r="AB116" s="267" t="s">
        <v>652</v>
      </c>
      <c r="AC116" s="743" t="s">
        <v>1691</v>
      </c>
      <c r="AD116" s="267" t="s">
        <v>784</v>
      </c>
      <c r="AE116" s="1268">
        <f>_xlfn.SUMIFS('ИП + источники'!AF$27:AF$116,'ИП + источники'!$F$27:$F$116,$F116,'ИП + источники'!$AC$27:$AC$116,"Амортизационные отчисления")+_xlfn.SUMIFS('ИП + источники'!AF$27:AF$116,'ИП + источники'!$F$27:$F$116,$F116,'ИП + источники'!$AC$27:$AC$116,"погашение займов и кредитов из амортизации")</f>
        <v>0</v>
      </c>
      <c r="AF116" s="1268">
        <f>_xlfn.SUMIFS('ИП + источники'!AG$27:AG$116,'ИП + источники'!$F$27:$F$116,$F116,'ИП + источники'!$AC$27:$AC$116,"Амортизационные отчисления")+_xlfn.SUMIFS('ИП + источники'!AG$27:AG$116,'ИП + источники'!$F$27:$F$116,$F116,'ИП + источники'!$AC$27:$AC$116,"погашение займов и кредитов из амортизации")</f>
        <v>0</v>
      </c>
      <c r="AG116" s="1268">
        <f>_xlfn.SUMIFS('ИП + источники'!AH$27:AH$116,'ИП + источники'!$F$27:$F$116,$F116,'ИП + источники'!$AC$27:$AC$116,"Амортизационные отчисления")+_xlfn.SUMIFS('ИП + источники'!AH$27:AH$116,'ИП + источники'!$F$27:$F$116,$F116,'ИП + источники'!$AC$27:$AC$116,"погашение займов и кредитов из амортизации")</f>
        <v>0</v>
      </c>
      <c r="AH116" s="1099">
        <f>AG116-AF116</f>
        <v>0</v>
      </c>
      <c r="AI116" s="1268">
        <f>_xlfn.SUMIFS('ИП + источники'!AJ$27:AJ$116,'ИП + источники'!$F$27:$F$116,$F116,'ИП + источники'!$AC$27:$AC$116,"Амортизационные отчисления")+_xlfn.SUMIFS('ИП + источники'!AJ$27:AJ$116,'ИП + источники'!$F$27:$F$116,$F116,'ИП + источники'!$AC$27:$AC$116,"погашение займов и кредитов из амортизации")</f>
        <v>0</v>
      </c>
      <c r="AJ116" s="4561">
        <f>_xlfn.SUMIFS('ИП + источники'!AK$27:AK$116,'ИП + источники'!$F$27:$F$116,$F116,'ИП + источники'!$AC$27:$AC$116,"Амортизационные отчисления")+_xlfn.SUMIFS('ИП + источники'!AK$27:AK$116,'ИП + источники'!$F$27:$F$116,$F116,'ИП + источники'!$AC$27:$AC$116,"погашение займов и кредитов из амортизации")</f>
        <v>0</v>
      </c>
      <c r="AK116" s="1268">
        <f>_xlfn.SUMIFS('ИП + источники'!AL$27:AL$116,'ИП + источники'!$F$27:$F$116,$F116,'ИП + источники'!$AC$27:$AC$116,"Амортизационные отчисления")+_xlfn.SUMIFS('ИП + источники'!AL$27:AL$116,'ИП + источники'!$F$27:$F$116,$F116,'ИП + источники'!$AC$27:$AC$116,"погашение займов и кредитов из амортизации")</f>
        <v>0</v>
      </c>
      <c r="AL116" s="1268">
        <f>_xlfn.SUMIFS('ИП + источники'!AM$27:AM$116,'ИП + источники'!$F$27:$F$116,$F116,'ИП + источники'!$AC$27:$AC$116,"Амортизационные отчисления")+_xlfn.SUMIFS('ИП + источники'!AM$27:AM$116,'ИП + источники'!$F$27:$F$116,$F116,'ИП + источники'!$AC$27:$AC$116,"погашение займов и кредитов из амортизации")</f>
        <v>0</v>
      </c>
      <c r="AM116" s="1268">
        <f>_xlfn.SUMIFS('ИП + источники'!AN$27:AN$116,'ИП + источники'!$F$27:$F$116,$F116,'ИП + источники'!$AC$27:$AC$116,"Амортизационные отчисления")+_xlfn.SUMIFS('ИП + источники'!AN$27:AN$116,'ИП + источники'!$F$27:$F$116,$F116,'ИП + источники'!$AC$27:$AC$116,"погашение займов и кредитов из амортизации")</f>
        <v>0</v>
      </c>
      <c r="AN116" s="1268">
        <f>_xlfn.SUMIFS('ИП + источники'!AO$27:AO$116,'ИП + источники'!$F$27:$F$116,$F116,'ИП + источники'!$AC$27:$AC$116,"Амортизационные отчисления")+_xlfn.SUMIFS('ИП + источники'!AO$27:AO$116,'ИП + источники'!$F$27:$F$116,$F116,'ИП + источники'!$AC$27:$AC$116,"погашение займов и кредитов из амортизации")</f>
        <v>0</v>
      </c>
      <c r="AO116" s="1268">
        <f>_xlfn.SUMIFS('ИП + источники'!AP$27:AP$116,'ИП + источники'!$F$27:$F$116,$F116,'ИП + источники'!$AC$27:$AC$116,"Амортизационные отчисления")+_xlfn.SUMIFS('ИП + источники'!AP$27:AP$116,'ИП + источники'!$F$27:$F$116,$F116,'ИП + источники'!$AC$27:$AC$116,"погашение займов и кредитов из амортизации")</f>
        <v>0</v>
      </c>
      <c r="AP116" s="1268">
        <f>_xlfn.SUMIFS('ИП + источники'!AQ$27:AQ$116,'ИП + источники'!$F$27:$F$116,$F116,'ИП + источники'!$AC$27:$AC$116,"Амортизационные отчисления")+_xlfn.SUMIFS('ИП + источники'!AQ$27:AQ$116,'ИП + источники'!$F$27:$F$116,$F116,'ИП + источники'!$AC$27:$AC$116,"погашение займов и кредитов из амортизации")</f>
        <v>0</v>
      </c>
      <c r="AQ116" s="1268">
        <f>_xlfn.SUMIFS('ИП + источники'!AR$27:AR$116,'ИП + источники'!$F$27:$F$116,$F116,'ИП + источники'!$AC$27:$AC$116,"Амортизационные отчисления")+_xlfn.SUMIFS('ИП + источники'!AR$27:AR$116,'ИП + источники'!$F$27:$F$116,$F116,'ИП + источники'!$AC$27:$AC$116,"погашение займов и кредитов из амортизации")</f>
        <v>0</v>
      </c>
      <c r="AR116" s="1268">
        <f>_xlfn.SUMIFS('ИП + источники'!AS$27:AS$116,'ИП + источники'!$F$27:$F$116,$F116,'ИП + источники'!$AC$27:$AC$116,"Амортизационные отчисления")+_xlfn.SUMIFS('ИП + источники'!AS$27:AS$116,'ИП + источники'!$F$27:$F$116,$F116,'ИП + источники'!$AC$27:$AC$116,"погашение займов и кредитов из амортизации")</f>
        <v>0</v>
      </c>
      <c r="AS116" s="1268">
        <f>_xlfn.SUMIFS('ИП + источники'!AT$27:AT$116,'ИП + источники'!$F$27:$F$116,$F116,'ИП + источники'!$AC$27:$AC$116,"Амортизационные отчисления")+_xlfn.SUMIFS('ИП + источники'!AT$27:AT$116,'ИП + источники'!$F$27:$F$116,$F116,'ИП + источники'!$AC$27:$AC$116,"погашение займов и кредитов из амортизации")</f>
        <v>0</v>
      </c>
      <c r="AT116" s="4561">
        <f>_xlfn.SUMIFS('ИП + источники'!AU$27:AU$116,'ИП + источники'!$F$27:$F$116,$F116,'ИП + источники'!$AC$27:$AC$116,"Амортизационные отчисления")+_xlfn.SUMIFS('ИП + источники'!AU$27:AU$116,'ИП + источники'!$F$27:$F$116,$F116,'ИП + источники'!$AC$27:$AC$116,"погашение займов и кредитов из амортизации")</f>
        <v>0</v>
      </c>
      <c r="AU116" s="1268">
        <f>_xlfn.SUMIFS('ИП + источники'!AV$27:AV$116,'ИП + источники'!$F$27:$F$116,$F116,'ИП + источники'!$AC$27:$AC$116,"Амортизационные отчисления")+_xlfn.SUMIFS('ИП + источники'!AV$27:AV$116,'ИП + источники'!$F$27:$F$116,$F116,'ИП + источники'!$AC$27:$AC$116,"погашение займов и кредитов из амортизации")</f>
        <v>0</v>
      </c>
      <c r="AV116" s="1268">
        <f>_xlfn.SUMIFS('ИП + источники'!AW$27:AW$116,'ИП + источники'!$F$27:$F$116,$F116,'ИП + источники'!$AC$27:$AC$116,"Амортизационные отчисления")+_xlfn.SUMIFS('ИП + источники'!AW$27:AW$116,'ИП + источники'!$F$27:$F$116,$F116,'ИП + источники'!$AC$27:$AC$116,"погашение займов и кредитов из амортизации")</f>
        <v>0</v>
      </c>
      <c r="AW116" s="1268">
        <f>_xlfn.SUMIFS('ИП + источники'!AX$27:AX$116,'ИП + источники'!$F$27:$F$116,$F116,'ИП + источники'!$AC$27:$AC$116,"Амортизационные отчисления")+_xlfn.SUMIFS('ИП + источники'!AX$27:AX$116,'ИП + источники'!$F$27:$F$116,$F116,'ИП + источники'!$AC$27:$AC$116,"погашение займов и кредитов из амортизации")</f>
        <v>0</v>
      </c>
      <c r="AX116" s="1268">
        <f>_xlfn.SUMIFS('ИП + источники'!AY$27:AY$116,'ИП + источники'!$F$27:$F$116,$F116,'ИП + источники'!$AC$27:$AC$116,"Амортизационные отчисления")+_xlfn.SUMIFS('ИП + источники'!AY$27:AY$116,'ИП + источники'!$F$27:$F$116,$F116,'ИП + источники'!$AC$27:$AC$116,"погашение займов и кредитов из амортизации")</f>
        <v>0</v>
      </c>
      <c r="AY116" s="1268">
        <f>_xlfn.SUMIFS('ИП + источники'!AZ$27:AZ$116,'ИП + источники'!$F$27:$F$116,$F116,'ИП + источники'!$AC$27:$AC$116,"Амортизационные отчисления")+_xlfn.SUMIFS('ИП + источники'!AZ$27:AZ$116,'ИП + источники'!$F$27:$F$116,$F116,'ИП + источники'!$AC$27:$AC$116,"погашение займов и кредитов из амортизации")</f>
        <v>0</v>
      </c>
      <c r="AZ116" s="1268">
        <f>_xlfn.SUMIFS('ИП + источники'!BA$27:BA$116,'ИП + источники'!$F$27:$F$116,$F116,'ИП + источники'!$AC$27:$AC$116,"Амортизационные отчисления")+_xlfn.SUMIFS('ИП + источники'!BA$27:BA$116,'ИП + источники'!$F$27:$F$116,$F116,'ИП + источники'!$AC$27:$AC$116,"погашение займов и кредитов из амортизации")</f>
        <v>0</v>
      </c>
      <c r="BA116" s="1268">
        <f>_xlfn.SUMIFS('ИП + источники'!BB$27:BB$116,'ИП + источники'!$F$27:$F$116,$F116,'ИП + источники'!$AC$27:$AC$116,"Амортизационные отчисления")+_xlfn.SUMIFS('ИП + источники'!BB$27:BB$116,'ИП + источники'!$F$27:$F$116,$F116,'ИП + источники'!$AC$27:$AC$116,"погашение займов и кредитов из амортизации")</f>
        <v>0</v>
      </c>
      <c r="BB116" s="1268">
        <f>_xlfn.SUMIFS('ИП + источники'!BC$27:BC$116,'ИП + источники'!$F$27:$F$116,$F116,'ИП + источники'!$AC$27:$AC$116,"Амортизационные отчисления")+_xlfn.SUMIFS('ИП + источники'!BC$27:BC$116,'ИП + источники'!$F$27:$F$116,$F116,'ИП + источники'!$AC$27:$AC$116,"погашение займов и кредитов из амортизации")</f>
        <v>0</v>
      </c>
      <c r="BC116" s="1268">
        <f>_xlfn.SUMIFS('ИП + источники'!BD$27:BD$116,'ИП + источники'!$F$27:$F$116,$F116,'ИП + источники'!$AC$27:$AC$116,"Амортизационные отчисления")+_xlfn.SUMIFS('ИП + источники'!BD$27:BD$116,'ИП + источники'!$F$27:$F$116,$F116,'ИП + источники'!$AC$27:$AC$116,"погашение займов и кредитов из амортизации")</f>
        <v>0</v>
      </c>
      <c r="BD116" s="1099">
        <f>IF(AI116=0,0,(AT116-AI116)/AI116*100)</f>
        <v>0</v>
      </c>
      <c r="BE116" s="1099">
        <f>IF(AT116=0,0,(AU116-AT116)/AT116*100)</f>
        <v>0</v>
      </c>
      <c r="BF116" s="1099">
        <f>IF(AU116=0,0,(AV116-AU116)/AU116*100)</f>
        <v>0</v>
      </c>
      <c r="BG116" s="1099">
        <f>IF(AV116=0,0,(AW116-AV116)/AV116*100)</f>
        <v>0</v>
      </c>
      <c r="BH116" s="1099">
        <f>IF(AW116=0,0,(AX116-AW116)/AW116*100)</f>
        <v>0</v>
      </c>
      <c r="BI116" s="1099">
        <f>IF(AX116=0,0,(AY116-AX116)/AX116*100)</f>
        <v>0</v>
      </c>
      <c r="BJ116" s="1099">
        <f>IF(AY116=0,0,(AZ116-AY116)/AY116*100)</f>
        <v>0</v>
      </c>
      <c r="BK116" s="1099">
        <f>IF(AZ116=0,0,(BA116-AZ116)/AZ116*100)</f>
        <v>0</v>
      </c>
      <c r="BL116" s="1099">
        <f>IF(BA116=0,0,(BB116-BA116)/BA116*100)</f>
        <v>0</v>
      </c>
      <c r="BM116" s="1099">
        <f>IF(BB116=0,0,(BC116-BB116)/BB116*100)</f>
        <v>0</v>
      </c>
      <c r="BN116" s="1265"/>
      <c r="BO116" s="1265"/>
      <c r="BP116" s="1265"/>
      <c r="BQ116" s="960"/>
      <c r="BR116" s="960"/>
      <c r="BS116" s="1048" t="s">
        <v>1692</v>
      </c>
      <c r="BT116" s="1048"/>
      <c r="BU116" s="1048"/>
      <c r="BV116" s="962"/>
      <c r="BW116" s="962"/>
    </row>
    <row s="680" customFormat="1" customHeight="1" ht="20.475" hidden="1">
      <c r="A117" s="680"/>
      <c r="B117" s="405" cm="1" t="str">
        <f t="array" ref="B117:B117">B116</f>
        <v>true</v>
      </c>
      <c r="C117" s="75"/>
      <c r="D117" s="75"/>
      <c r="E117" s="807">
        <v>21</v>
      </c>
      <c r="F117" s="50" cm="1" t="str">
        <f t="array" ref="F117:F117">OFFSET(E117,-1,1)</f>
        <v>0</v>
      </c>
      <c r="G117" s="73" t="s">
        <v>1388</v>
      </c>
      <c r="H117" s="73"/>
      <c r="I117" s="73" t="s">
        <v>328</v>
      </c>
      <c r="J117" s="75"/>
      <c r="K117" s="124"/>
      <c r="L117" s="968" t="s">
        <v>541</v>
      </c>
      <c r="M117" s="75"/>
      <c r="N117" s="75"/>
      <c r="O117" s="75"/>
      <c r="P117" s="75"/>
      <c r="Q117" s="75"/>
      <c r="R117" s="75"/>
      <c r="S117" s="75"/>
      <c r="T117" s="439" cm="1" t="str">
        <f t="array" ref="T117:T117">T116</f>
        <v>false</v>
      </c>
      <c r="U117" s="75"/>
      <c r="V117" s="75"/>
      <c r="W117" s="75"/>
      <c r="X117" s="1534"/>
      <c r="Y117" s="680"/>
      <c r="Z117" s="1465"/>
      <c r="AA117" s="680"/>
      <c r="AB117" s="178" t="s">
        <v>492</v>
      </c>
      <c r="AC117" s="179" t="s">
        <v>1388</v>
      </c>
      <c r="AD117" s="201" t="s">
        <v>784</v>
      </c>
      <c r="AE117" s="180">
        <f>AE118+AE119+AE120+AE121</f>
        <v>0</v>
      </c>
      <c r="AF117" s="180">
        <f>AF118+AF119+AF120+AF121</f>
        <v>0</v>
      </c>
      <c r="AG117" s="180">
        <f>AG118+AG119+AG120+AG121</f>
        <v>0</v>
      </c>
      <c r="AH117" s="180">
        <f>AG117-AF117</f>
        <v>0</v>
      </c>
      <c r="AI117" s="180">
        <f>AI118+AI119+AI120+AI121</f>
        <v>0</v>
      </c>
      <c r="AJ117" s="180">
        <f>AJ118+AJ119+AJ120+AJ121</f>
        <v>0</v>
      </c>
      <c r="AK117" s="180">
        <f>AK118+AK119+AK120+AK121</f>
        <v>0</v>
      </c>
      <c r="AL117" s="180">
        <f>AL118+AL119+AL120+AL121</f>
        <v>0</v>
      </c>
      <c r="AM117" s="180">
        <f>AM118+AM119+AM120+AM121</f>
        <v>0</v>
      </c>
      <c r="AN117" s="180">
        <f>AN118+AN119+AN120+AN121</f>
        <v>0</v>
      </c>
      <c r="AO117" s="180">
        <f>AO118+AO119+AO120+AO121</f>
        <v>0</v>
      </c>
      <c r="AP117" s="180">
        <f>AP118+AP119+AP120+AP121</f>
        <v>0</v>
      </c>
      <c r="AQ117" s="180">
        <f>AQ118+AQ119+AQ120+AQ121</f>
        <v>0</v>
      </c>
      <c r="AR117" s="180">
        <f>AR118+AR119+AR120+AR121</f>
        <v>0</v>
      </c>
      <c r="AS117" s="180">
        <f>AS118+AS119+AS120+AS121</f>
        <v>0</v>
      </c>
      <c r="AT117" s="180">
        <f>AT118+AT119+AT120+AT121</f>
        <v>0</v>
      </c>
      <c r="AU117" s="180">
        <f>AU118+AU119+AU120+AU121</f>
        <v>0</v>
      </c>
      <c r="AV117" s="180">
        <f>AV118+AV119+AV120+AV121</f>
        <v>0</v>
      </c>
      <c r="AW117" s="180">
        <f>AW118+AW119+AW120+AW121</f>
        <v>0</v>
      </c>
      <c r="AX117" s="180">
        <f>AX118+AX119+AX120+AX121</f>
        <v>0</v>
      </c>
      <c r="AY117" s="180">
        <f>AY118+AY119+AY120+AY121</f>
        <v>0</v>
      </c>
      <c r="AZ117" s="180">
        <f>AZ118+AZ119+AZ120+AZ121</f>
        <v>0</v>
      </c>
      <c r="BA117" s="180">
        <f>BA118+BA119+BA120+BA121</f>
        <v>0</v>
      </c>
      <c r="BB117" s="180">
        <f>BB118+BB119+BB120+BB121</f>
        <v>0</v>
      </c>
      <c r="BC117" s="180">
        <f>BC118+BC119+BC120+BC121</f>
        <v>0</v>
      </c>
      <c r="BD117" s="759">
        <f>IF(AI117=0,0,(AT117-AI117)/AI117*100)</f>
        <v>0</v>
      </c>
      <c r="BE117" s="759">
        <f>IF(AT117=0,0,(AU117-AT117)/AT117*100)</f>
        <v>0</v>
      </c>
      <c r="BF117" s="759">
        <f>IF(AU117=0,0,(AV117-AU117)/AU117*100)</f>
        <v>0</v>
      </c>
      <c r="BG117" s="759">
        <f>IF(AV117=0,0,(AW117-AV117)/AV117*100)</f>
        <v>0</v>
      </c>
      <c r="BH117" s="759">
        <f>IF(AW117=0,0,(AX117-AW117)/AW117*100)</f>
        <v>0</v>
      </c>
      <c r="BI117" s="759">
        <f>IF(AX117=0,0,(AY117-AX117)/AX117*100)</f>
        <v>0</v>
      </c>
      <c r="BJ117" s="759">
        <f>IF(AY117=0,0,(AZ117-AY117)/AY117*100)</f>
        <v>0</v>
      </c>
      <c r="BK117" s="759">
        <f>IF(AZ117=0,0,(BA117-AZ117)/AZ117*100)</f>
        <v>0</v>
      </c>
      <c r="BL117" s="759">
        <f>IF(BA117=0,0,(BB117-BA117)/BA117*100)</f>
        <v>0</v>
      </c>
      <c r="BM117" s="759">
        <f>IF(BB117=0,0,(BC117-BB117)/BB117*100)</f>
        <v>0</v>
      </c>
      <c r="BN117" s="1265"/>
      <c r="BO117" s="1265"/>
      <c r="BP117" s="1265"/>
      <c r="BQ117" s="680"/>
      <c r="BR117" s="680"/>
      <c r="BS117" s="1047" t="s">
        <v>1392</v>
      </c>
      <c r="BT117" s="1054"/>
      <c r="BU117" s="1054"/>
      <c r="BV117" s="687"/>
      <c r="BW117" s="687"/>
    </row>
    <row customHeight="1" ht="14.625" hidden="1">
      <c r="A118" s="960"/>
      <c r="B118" s="405" cm="1" t="str">
        <f t="array" ref="B118:B118">B117</f>
        <v>true</v>
      </c>
      <c r="C118" s="73"/>
      <c r="D118" s="73"/>
      <c r="E118" s="600">
        <v>15</v>
      </c>
      <c r="F118" s="50" cm="1" t="str">
        <f t="array" ref="F118:F118">OFFSET(E118,-1,1)</f>
        <v>0</v>
      </c>
      <c r="G118" s="73"/>
      <c r="H118" s="73"/>
      <c r="I118" s="73" t="s">
        <v>528</v>
      </c>
      <c r="J118" s="73"/>
      <c r="K118" s="960"/>
      <c r="L118" s="963"/>
      <c r="M118" s="73"/>
      <c r="N118" s="73"/>
      <c r="O118" s="73"/>
      <c r="P118" s="73"/>
      <c r="Q118" s="73"/>
      <c r="R118" s="73"/>
      <c r="S118" s="73"/>
      <c r="T118" s="439" cm="1" t="str">
        <f t="array" ref="T118:T118">T117</f>
        <v>false</v>
      </c>
      <c r="U118" s="73"/>
      <c r="V118" s="73"/>
      <c r="W118" s="73"/>
      <c r="X118" s="1534"/>
      <c r="Y118" s="960"/>
      <c r="Z118" s="1465"/>
      <c r="AA118" s="960"/>
      <c r="AB118" s="267" t="s">
        <v>659</v>
      </c>
      <c r="AC118" s="743" t="s">
        <v>1992</v>
      </c>
      <c r="AD118" s="267" t="s">
        <v>784</v>
      </c>
      <c r="AE118" s="1268">
        <f>_xlfn.SUMIFS('ИП + источники'!AF$27:AF$116,'ИП + источники'!$F$27:$F$116,$F118,'ИП + источники'!$AC$27:$AC$116,"погашение займов и кредитов из нормативной прибыли")</f>
        <v>0</v>
      </c>
      <c r="AF118" s="1268">
        <f>_xlfn.SUMIFS('ИП + источники'!AG$27:AG$116,'ИП + источники'!$F$27:$F$116,$F118,'ИП + источники'!$AC$27:$AC$116,"погашение займов и кредитов из нормативной прибыли")</f>
        <v>0</v>
      </c>
      <c r="AG118" s="1268">
        <f>_xlfn.SUMIFS('ИП + источники'!AH$27:AH$116,'ИП + источники'!$F$27:$F$116,$F118,'ИП + источники'!$AC$27:$AC$116,"погашение займов и кредитов из нормативной прибыли")</f>
        <v>0</v>
      </c>
      <c r="AH118" s="1099">
        <f>AG118-AF118</f>
        <v>0</v>
      </c>
      <c r="AI118" s="1268">
        <f>_xlfn.SUMIFS('ИП + источники'!AJ$27:AJ$116,'ИП + источники'!$F$27:$F$116,$F118,'ИП + источники'!$AC$27:$AC$116,"погашение займов и кредитов из нормативной прибыли")</f>
        <v>0</v>
      </c>
      <c r="AJ118" s="4561">
        <f>_xlfn.SUMIFS('ИП + источники'!AK$27:AK$116,'ИП + источники'!$F$27:$F$116,$F118,'ИП + источники'!$AC$27:$AC$116,"погашение займов и кредитов из нормативной прибыли")</f>
        <v>0</v>
      </c>
      <c r="AK118" s="1268">
        <f>_xlfn.SUMIFS('ИП + источники'!AL$27:AL$116,'ИП + источники'!$F$27:$F$116,$F118,'ИП + источники'!$AC$27:$AC$116,"погашение займов и кредитов из нормативной прибыли")</f>
        <v>0</v>
      </c>
      <c r="AL118" s="1268">
        <f>_xlfn.SUMIFS('ИП + источники'!AM$27:AM$116,'ИП + источники'!$F$27:$F$116,$F118,'ИП + источники'!$AC$27:$AC$116,"погашение займов и кредитов из нормативной прибыли")</f>
        <v>0</v>
      </c>
      <c r="AM118" s="1268">
        <f>_xlfn.SUMIFS('ИП + источники'!AN$27:AN$116,'ИП + источники'!$F$27:$F$116,$F118,'ИП + источники'!$AC$27:$AC$116,"погашение займов и кредитов из нормативной прибыли")</f>
        <v>0</v>
      </c>
      <c r="AN118" s="1268">
        <f>_xlfn.SUMIFS('ИП + источники'!AO$27:AO$116,'ИП + источники'!$F$27:$F$116,$F118,'ИП + источники'!$AC$27:$AC$116,"погашение займов и кредитов из нормативной прибыли")</f>
        <v>0</v>
      </c>
      <c r="AO118" s="1268">
        <f>_xlfn.SUMIFS('ИП + источники'!AP$27:AP$116,'ИП + источники'!$F$27:$F$116,$F118,'ИП + источники'!$AC$27:$AC$116,"погашение займов и кредитов из нормативной прибыли")</f>
        <v>0</v>
      </c>
      <c r="AP118" s="1268">
        <f>_xlfn.SUMIFS('ИП + источники'!AQ$27:AQ$116,'ИП + источники'!$F$27:$F$116,$F118,'ИП + источники'!$AC$27:$AC$116,"погашение займов и кредитов из нормативной прибыли")</f>
        <v>0</v>
      </c>
      <c r="AQ118" s="1268">
        <f>_xlfn.SUMIFS('ИП + источники'!AR$27:AR$116,'ИП + источники'!$F$27:$F$116,$F118,'ИП + источники'!$AC$27:$AC$116,"погашение займов и кредитов из нормативной прибыли")</f>
        <v>0</v>
      </c>
      <c r="AR118" s="1268">
        <f>_xlfn.SUMIFS('ИП + источники'!AS$27:AS$116,'ИП + источники'!$F$27:$F$116,$F118,'ИП + источники'!$AC$27:$AC$116,"погашение займов и кредитов из нормативной прибыли")</f>
        <v>0</v>
      </c>
      <c r="AS118" s="1268">
        <f>_xlfn.SUMIFS('ИП + источники'!AT$27:AT$116,'ИП + источники'!$F$27:$F$116,$F118,'ИП + источники'!$AC$27:$AC$116,"погашение займов и кредитов из нормативной прибыли")</f>
        <v>0</v>
      </c>
      <c r="AT118" s="4561">
        <f>_xlfn.SUMIFS('ИП + источники'!AU$27:AU$116,'ИП + источники'!$F$27:$F$116,$F118,'ИП + источники'!$AC$27:$AC$116,"погашение займов и кредитов из нормативной прибыли")</f>
        <v>0</v>
      </c>
      <c r="AU118" s="1268">
        <f>_xlfn.SUMIFS('ИП + источники'!AV$27:AV$116,'ИП + источники'!$F$27:$F$116,$F118,'ИП + источники'!$AC$27:$AC$116,"погашение займов и кредитов из нормативной прибыли")</f>
        <v>0</v>
      </c>
      <c r="AV118" s="1268">
        <f>_xlfn.SUMIFS('ИП + источники'!AW$27:AW$116,'ИП + источники'!$F$27:$F$116,$F118,'ИП + источники'!$AC$27:$AC$116,"погашение займов и кредитов из нормативной прибыли")</f>
        <v>0</v>
      </c>
      <c r="AW118" s="1268">
        <f>_xlfn.SUMIFS('ИП + источники'!AX$27:AX$116,'ИП + источники'!$F$27:$F$116,$F118,'ИП + источники'!$AC$27:$AC$116,"погашение займов и кредитов из нормативной прибыли")</f>
        <v>0</v>
      </c>
      <c r="AX118" s="1268">
        <f>_xlfn.SUMIFS('ИП + источники'!AY$27:AY$116,'ИП + источники'!$F$27:$F$116,$F118,'ИП + источники'!$AC$27:$AC$116,"погашение займов и кредитов из нормативной прибыли")</f>
        <v>0</v>
      </c>
      <c r="AY118" s="1268">
        <f>_xlfn.SUMIFS('ИП + источники'!AZ$27:AZ$116,'ИП + источники'!$F$27:$F$116,$F118,'ИП + источники'!$AC$27:$AC$116,"погашение займов и кредитов из нормативной прибыли")</f>
        <v>0</v>
      </c>
      <c r="AZ118" s="1268">
        <f>_xlfn.SUMIFS('ИП + источники'!BA$27:BA$116,'ИП + источники'!$F$27:$F$116,$F118,'ИП + источники'!$AC$27:$AC$116,"погашение займов и кредитов из нормативной прибыли")</f>
        <v>0</v>
      </c>
      <c r="BA118" s="1268">
        <f>_xlfn.SUMIFS('ИП + источники'!BB$27:BB$116,'ИП + источники'!$F$27:$F$116,$F118,'ИП + источники'!$AC$27:$AC$116,"погашение займов и кредитов из нормативной прибыли")</f>
        <v>0</v>
      </c>
      <c r="BB118" s="1268">
        <f>_xlfn.SUMIFS('ИП + источники'!BC$27:BC$116,'ИП + источники'!$F$27:$F$116,$F118,'ИП + источники'!$AC$27:$AC$116,"погашение займов и кредитов из нормативной прибыли")</f>
        <v>0</v>
      </c>
      <c r="BC118" s="1268">
        <f>_xlfn.SUMIFS('ИП + источники'!BD$27:BD$116,'ИП + источники'!$F$27:$F$116,$F118,'ИП + источники'!$AC$27:$AC$116,"погашение займов и кредитов из нормативной прибыли")</f>
        <v>0</v>
      </c>
      <c r="BD118" s="1099">
        <f>IF(AI118=0,0,(AT118-AI118)/AI118*100)</f>
        <v>0</v>
      </c>
      <c r="BE118" s="1099">
        <f>IF(AT118=0,0,(AU118-AT118)/AT118*100)</f>
        <v>0</v>
      </c>
      <c r="BF118" s="1099">
        <f>IF(AU118=0,0,(AV118-AU118)/AU118*100)</f>
        <v>0</v>
      </c>
      <c r="BG118" s="1099">
        <f>IF(AV118=0,0,(AW118-AV118)/AV118*100)</f>
        <v>0</v>
      </c>
      <c r="BH118" s="1099">
        <f>IF(AW118=0,0,(AX118-AW118)/AW118*100)</f>
        <v>0</v>
      </c>
      <c r="BI118" s="1099">
        <f>IF(AX118=0,0,(AY118-AX118)/AX118*100)</f>
        <v>0</v>
      </c>
      <c r="BJ118" s="1099">
        <f>IF(AY118=0,0,(AZ118-AY118)/AY118*100)</f>
        <v>0</v>
      </c>
      <c r="BK118" s="1099">
        <f>IF(AZ118=0,0,(BA118-AZ118)/AZ118*100)</f>
        <v>0</v>
      </c>
      <c r="BL118" s="1099">
        <f>IF(BA118=0,0,(BB118-BA118)/BA118*100)</f>
        <v>0</v>
      </c>
      <c r="BM118" s="1099">
        <f>IF(BB118=0,0,(BC118-BB118)/BB118*100)</f>
        <v>0</v>
      </c>
      <c r="BN118" s="1265"/>
      <c r="BO118" s="1269" t="str">
        <f>IF(_xlfn.IFERROR(INDEX('ИП + источники'!$K$28:$L$116,MATCH($F118&amp;"2komm",'ИП + источники'!$K$28:$K$116,0),2),"")=0,"",_xlfn.IFERROR(INDEX('ИП + источники'!$K$28:$L$116,MATCH($F118&amp;"2komm",'ИП + источники'!$K$28:$K$116,0),2),""))</f>
        <v/>
      </c>
      <c r="BP118" s="1265"/>
      <c r="BQ118" s="960"/>
      <c r="BR118" s="960"/>
      <c r="BS118" s="1048" t="s">
        <v>1993</v>
      </c>
      <c r="BT118" s="1048"/>
      <c r="BU118" s="1048"/>
      <c r="BV118" s="962"/>
      <c r="BW118" s="962"/>
    </row>
    <row customHeight="1" ht="14.625" hidden="1">
      <c r="A119" s="960"/>
      <c r="B119" s="405" cm="1" t="str">
        <f t="array" ref="B119:B119">B118</f>
        <v>true</v>
      </c>
      <c r="C119" s="73"/>
      <c r="D119" s="73"/>
      <c r="E119" s="600">
        <v>15</v>
      </c>
      <c r="F119" s="50" cm="1" t="str">
        <f t="array" ref="F119:F119">OFFSET(E119,-1,1)</f>
        <v>0</v>
      </c>
      <c r="G119" s="73"/>
      <c r="H119" s="73"/>
      <c r="I119" s="73" t="s">
        <v>532</v>
      </c>
      <c r="J119" s="73"/>
      <c r="K119" s="960"/>
      <c r="L119" s="963"/>
      <c r="M119" s="73"/>
      <c r="N119" s="73"/>
      <c r="O119" s="73"/>
      <c r="P119" s="73"/>
      <c r="Q119" s="73"/>
      <c r="R119" s="73"/>
      <c r="S119" s="73"/>
      <c r="T119" s="439" cm="1" t="str">
        <f t="array" ref="T119:T119">T118</f>
        <v>false</v>
      </c>
      <c r="U119" s="73"/>
      <c r="V119" s="73"/>
      <c r="W119" s="73"/>
      <c r="X119" s="1534"/>
      <c r="Y119" s="960"/>
      <c r="Z119" s="1465"/>
      <c r="AA119" s="960"/>
      <c r="AB119" s="267" t="s">
        <v>662</v>
      </c>
      <c r="AC119" s="743" t="s">
        <v>1994</v>
      </c>
      <c r="AD119" s="267" t="s">
        <v>784</v>
      </c>
      <c r="AE119" s="1268">
        <f>_xlfn.SUMIFS('ИП + источники'!AF$27:AF$116,'ИП + источники'!$F$27:$F$116,$F119,'ИП + источники'!$AC$27:$AC$116,"уплата процентов по кредитам из нормативной прибыли")</f>
        <v>0</v>
      </c>
      <c r="AF119" s="1268">
        <f>_xlfn.SUMIFS('ИП + источники'!AG$27:AG$116,'ИП + источники'!$F$27:$F$116,$F119,'ИП + источники'!$AC$27:$AC$116,"уплата процентов по кредитам из нормативной прибыли")</f>
        <v>0</v>
      </c>
      <c r="AG119" s="1268">
        <f>_xlfn.SUMIFS('ИП + источники'!AH$27:AH$116,'ИП + источники'!$F$27:$F$116,$F119,'ИП + источники'!$AC$27:$AC$116,"уплата процентов по кредитам из нормативной прибыли")</f>
        <v>0</v>
      </c>
      <c r="AH119" s="1099">
        <f>AG119-AF119</f>
        <v>0</v>
      </c>
      <c r="AI119" s="1268">
        <f>_xlfn.SUMIFS('ИП + источники'!AJ$27:AJ$116,'ИП + источники'!$F$27:$F$116,$F119,'ИП + источники'!$AC$27:$AC$116,"уплата процентов по кредитам из нормативной прибыли")</f>
        <v>0</v>
      </c>
      <c r="AJ119" s="4561">
        <f>_xlfn.SUMIFS('ИП + источники'!AK$27:AK$116,'ИП + источники'!$F$27:$F$116,$F119,'ИП + источники'!$AC$27:$AC$116,"уплата процентов по кредитам из нормативной прибыли")</f>
        <v>0</v>
      </c>
      <c r="AK119" s="1268">
        <f>_xlfn.SUMIFS('ИП + источники'!AL$27:AL$116,'ИП + источники'!$F$27:$F$116,$F119,'ИП + источники'!$AC$27:$AC$116,"уплата процентов по кредитам из нормативной прибыли")</f>
        <v>0</v>
      </c>
      <c r="AL119" s="1268">
        <f>_xlfn.SUMIFS('ИП + источники'!AM$27:AM$116,'ИП + источники'!$F$27:$F$116,$F119,'ИП + источники'!$AC$27:$AC$116,"уплата процентов по кредитам из нормативной прибыли")</f>
        <v>0</v>
      </c>
      <c r="AM119" s="1268">
        <f>_xlfn.SUMIFS('ИП + источники'!AN$27:AN$116,'ИП + источники'!$F$27:$F$116,$F119,'ИП + источники'!$AC$27:$AC$116,"уплата процентов по кредитам из нормативной прибыли")</f>
        <v>0</v>
      </c>
      <c r="AN119" s="1268">
        <f>_xlfn.SUMIFS('ИП + источники'!AO$27:AO$116,'ИП + источники'!$F$27:$F$116,$F119,'ИП + источники'!$AC$27:$AC$116,"уплата процентов по кредитам из нормативной прибыли")</f>
        <v>0</v>
      </c>
      <c r="AO119" s="1268">
        <f>_xlfn.SUMIFS('ИП + источники'!AP$27:AP$116,'ИП + источники'!$F$27:$F$116,$F119,'ИП + источники'!$AC$27:$AC$116,"уплата процентов по кредитам из нормативной прибыли")</f>
        <v>0</v>
      </c>
      <c r="AP119" s="1268">
        <f>_xlfn.SUMIFS('ИП + источники'!AQ$27:AQ$116,'ИП + источники'!$F$27:$F$116,$F119,'ИП + источники'!$AC$27:$AC$116,"уплата процентов по кредитам из нормативной прибыли")</f>
        <v>0</v>
      </c>
      <c r="AQ119" s="1268">
        <f>_xlfn.SUMIFS('ИП + источники'!AR$27:AR$116,'ИП + источники'!$F$27:$F$116,$F119,'ИП + источники'!$AC$27:$AC$116,"уплата процентов по кредитам из нормативной прибыли")</f>
        <v>0</v>
      </c>
      <c r="AR119" s="1268">
        <f>_xlfn.SUMIFS('ИП + источники'!AS$27:AS$116,'ИП + источники'!$F$27:$F$116,$F119,'ИП + источники'!$AC$27:$AC$116,"уплата процентов по кредитам из нормативной прибыли")</f>
        <v>0</v>
      </c>
      <c r="AS119" s="1268">
        <f>_xlfn.SUMIFS('ИП + источники'!AT$27:AT$116,'ИП + источники'!$F$27:$F$116,$F119,'ИП + источники'!$AC$27:$AC$116,"уплата процентов по кредитам из нормативной прибыли")</f>
        <v>0</v>
      </c>
      <c r="AT119" s="4561">
        <f>_xlfn.SUMIFS('ИП + источники'!AU$27:AU$116,'ИП + источники'!$F$27:$F$116,$F119,'ИП + источники'!$AC$27:$AC$116,"уплата процентов по кредитам из нормативной прибыли")</f>
        <v>0</v>
      </c>
      <c r="AU119" s="1268">
        <f>_xlfn.SUMIFS('ИП + источники'!AV$27:AV$116,'ИП + источники'!$F$27:$F$116,$F119,'ИП + источники'!$AC$27:$AC$116,"уплата процентов по кредитам из нормативной прибыли")</f>
        <v>0</v>
      </c>
      <c r="AV119" s="1268">
        <f>_xlfn.SUMIFS('ИП + источники'!AW$27:AW$116,'ИП + источники'!$F$27:$F$116,$F119,'ИП + источники'!$AC$27:$AC$116,"уплата процентов по кредитам из нормативной прибыли")</f>
        <v>0</v>
      </c>
      <c r="AW119" s="1268">
        <f>_xlfn.SUMIFS('ИП + источники'!AX$27:AX$116,'ИП + источники'!$F$27:$F$116,$F119,'ИП + источники'!$AC$27:$AC$116,"уплата процентов по кредитам из нормативной прибыли")</f>
        <v>0</v>
      </c>
      <c r="AX119" s="1268">
        <f>_xlfn.SUMIFS('ИП + источники'!AY$27:AY$116,'ИП + источники'!$F$27:$F$116,$F119,'ИП + источники'!$AC$27:$AC$116,"уплата процентов по кредитам из нормативной прибыли")</f>
        <v>0</v>
      </c>
      <c r="AY119" s="1268">
        <f>_xlfn.SUMIFS('ИП + источники'!AZ$27:AZ$116,'ИП + источники'!$F$27:$F$116,$F119,'ИП + источники'!$AC$27:$AC$116,"уплата процентов по кредитам из нормативной прибыли")</f>
        <v>0</v>
      </c>
      <c r="AZ119" s="1268">
        <f>_xlfn.SUMIFS('ИП + источники'!BA$27:BA$116,'ИП + источники'!$F$27:$F$116,$F119,'ИП + источники'!$AC$27:$AC$116,"уплата процентов по кредитам из нормативной прибыли")</f>
        <v>0</v>
      </c>
      <c r="BA119" s="1268">
        <f>_xlfn.SUMIFS('ИП + источники'!BB$27:BB$116,'ИП + источники'!$F$27:$F$116,$F119,'ИП + источники'!$AC$27:$AC$116,"уплата процентов по кредитам из нормативной прибыли")</f>
        <v>0</v>
      </c>
      <c r="BB119" s="1268">
        <f>_xlfn.SUMIFS('ИП + источники'!BC$27:BC$116,'ИП + источники'!$F$27:$F$116,$F119,'ИП + источники'!$AC$27:$AC$116,"уплата процентов по кредитам из нормативной прибыли")</f>
        <v>0</v>
      </c>
      <c r="BC119" s="1268">
        <f>_xlfn.SUMIFS('ИП + источники'!BD$27:BD$116,'ИП + источники'!$F$27:$F$116,$F119,'ИП + источники'!$AC$27:$AC$116,"уплата процентов по кредитам из нормативной прибыли")</f>
        <v>0</v>
      </c>
      <c r="BD119" s="1099">
        <f>IF(AI119=0,0,(AT119-AI119)/AI119*100)</f>
        <v>0</v>
      </c>
      <c r="BE119" s="1099">
        <f>IF(AT119=0,0,(AU119-AT119)/AT119*100)</f>
        <v>0</v>
      </c>
      <c r="BF119" s="1099">
        <f>IF(AU119=0,0,(AV119-AU119)/AU119*100)</f>
        <v>0</v>
      </c>
      <c r="BG119" s="1099">
        <f>IF(AV119=0,0,(AW119-AV119)/AV119*100)</f>
        <v>0</v>
      </c>
      <c r="BH119" s="1099">
        <f>IF(AW119=0,0,(AX119-AW119)/AW119*100)</f>
        <v>0</v>
      </c>
      <c r="BI119" s="1099">
        <f>IF(AX119=0,0,(AY119-AX119)/AX119*100)</f>
        <v>0</v>
      </c>
      <c r="BJ119" s="1099">
        <f>IF(AY119=0,0,(AZ119-AY119)/AY119*100)</f>
        <v>0</v>
      </c>
      <c r="BK119" s="1099">
        <f>IF(AZ119=0,0,(BA119-AZ119)/AZ119*100)</f>
        <v>0</v>
      </c>
      <c r="BL119" s="1099">
        <f>IF(BA119=0,0,(BB119-BA119)/BA119*100)</f>
        <v>0</v>
      </c>
      <c r="BM119" s="1099">
        <f>IF(BB119=0,0,(BC119-BB119)/BB119*100)</f>
        <v>0</v>
      </c>
      <c r="BN119" s="1265"/>
      <c r="BO119" s="1269" t="str">
        <f>IF(_xlfn.IFERROR(INDEX('ИП + источники'!$K$28:$L$116,MATCH($F119&amp;"3komm",'ИП + источники'!$K$28:$K$116,0),2),"")=0,"",_xlfn.IFERROR(INDEX('ИП + источники'!$K$28:$L$116,MATCH($F119&amp;"3komm",'ИП + источники'!$K$28:$K$116,0),2),""))</f>
        <v/>
      </c>
      <c r="BP119" s="1265"/>
      <c r="BQ119" s="960"/>
      <c r="BR119" s="960"/>
      <c r="BS119" s="1048" t="s">
        <v>1995</v>
      </c>
      <c r="BT119" s="1048"/>
      <c r="BU119" s="1048"/>
      <c r="BV119" s="962"/>
      <c r="BW119" s="962"/>
    </row>
    <row customHeight="1" ht="14.625" hidden="1">
      <c r="A120" s="960"/>
      <c r="B120" s="405" cm="1" t="str">
        <f t="array" ref="B120:B120">B119</f>
        <v>true</v>
      </c>
      <c r="C120" s="73"/>
      <c r="D120" s="73"/>
      <c r="E120" s="600">
        <v>15</v>
      </c>
      <c r="F120" s="50" cm="1" t="str">
        <f t="array" ref="F120:F120">OFFSET(E120,-1,1)</f>
        <v>0</v>
      </c>
      <c r="G120" s="73"/>
      <c r="H120" s="73"/>
      <c r="I120" s="73" t="s">
        <v>749</v>
      </c>
      <c r="J120" s="73"/>
      <c r="K120" s="960"/>
      <c r="L120" s="963" t="s">
        <v>548</v>
      </c>
      <c r="M120" s="73"/>
      <c r="N120" s="73"/>
      <c r="O120" s="73"/>
      <c r="P120" s="73"/>
      <c r="Q120" s="73"/>
      <c r="R120" s="73"/>
      <c r="S120" s="73"/>
      <c r="T120" s="439" cm="1" t="str">
        <f t="array" ref="T120:T120">T119</f>
        <v>false</v>
      </c>
      <c r="U120" s="73"/>
      <c r="V120" s="73"/>
      <c r="W120" s="73"/>
      <c r="X120" s="1534"/>
      <c r="Y120" s="960"/>
      <c r="Z120" s="1465"/>
      <c r="AA120" s="960"/>
      <c r="AB120" s="267" t="s">
        <v>900</v>
      </c>
      <c r="AC120" s="743" t="s">
        <v>1996</v>
      </c>
      <c r="AD120" s="267" t="s">
        <v>784</v>
      </c>
      <c r="AE120" s="1268">
        <f>_xlfn.SUMIFS('ИП + источники'!AF$27:AF$116,'ИП + источники'!$F$27:$F$116,$F120,'ИП + источники'!$AC$27:$AC$116,"Прибыль на капвложения")</f>
        <v>0</v>
      </c>
      <c r="AF120" s="1268">
        <f>_xlfn.SUMIFS('ИП + источники'!AG$27:AG$116,'ИП + источники'!$F$27:$F$116,$F120,'ИП + источники'!$AC$27:$AC$116,"Прибыль на капвложения")</f>
        <v>0</v>
      </c>
      <c r="AG120" s="1268">
        <f>_xlfn.SUMIFS('ИП + источники'!AH$27:AH$116,'ИП + источники'!$F$27:$F$116,$F120,'ИП + источники'!$AC$27:$AC$116,"Прибыль на капвложения")</f>
        <v>0</v>
      </c>
      <c r="AH120" s="1099">
        <f>AG120-AF120</f>
        <v>0</v>
      </c>
      <c r="AI120" s="1268">
        <f>_xlfn.SUMIFS('ИП + источники'!AJ$27:AJ$116,'ИП + источники'!$F$27:$F$116,$F120,'ИП + источники'!$AC$27:$AC$116,"Прибыль на капвложения")</f>
        <v>0</v>
      </c>
      <c r="AJ120" s="4561">
        <f>_xlfn.SUMIFS('ИП + источники'!AK$27:AK$116,'ИП + источники'!$F$27:$F$116,$F120,'ИП + источники'!$AC$27:$AC$116,"Прибыль на капвложения")</f>
        <v>0</v>
      </c>
      <c r="AK120" s="1268">
        <f>_xlfn.SUMIFS('ИП + источники'!AL$27:AL$116,'ИП + источники'!$F$27:$F$116,$F120,'ИП + источники'!$AC$27:$AC$116,"Прибыль на капвложения")</f>
        <v>0</v>
      </c>
      <c r="AL120" s="1268">
        <f>_xlfn.SUMIFS('ИП + источники'!AM$27:AM$116,'ИП + источники'!$F$27:$F$116,$F120,'ИП + источники'!$AC$27:$AC$116,"Прибыль на капвложения")</f>
        <v>0</v>
      </c>
      <c r="AM120" s="1268">
        <f>_xlfn.SUMIFS('ИП + источники'!AN$27:AN$116,'ИП + источники'!$F$27:$F$116,$F120,'ИП + источники'!$AC$27:$AC$116,"Прибыль на капвложения")</f>
        <v>0</v>
      </c>
      <c r="AN120" s="1268">
        <f>_xlfn.SUMIFS('ИП + источники'!AO$27:AO$116,'ИП + источники'!$F$27:$F$116,$F120,'ИП + источники'!$AC$27:$AC$116,"Прибыль на капвложения")</f>
        <v>0</v>
      </c>
      <c r="AO120" s="1268">
        <f>_xlfn.SUMIFS('ИП + источники'!AP$27:AP$116,'ИП + источники'!$F$27:$F$116,$F120,'ИП + источники'!$AC$27:$AC$116,"Прибыль на капвложения")</f>
        <v>0</v>
      </c>
      <c r="AP120" s="1268">
        <f>_xlfn.SUMIFS('ИП + источники'!AQ$27:AQ$116,'ИП + источники'!$F$27:$F$116,$F120,'ИП + источники'!$AC$27:$AC$116,"Прибыль на капвложения")</f>
        <v>0</v>
      </c>
      <c r="AQ120" s="1268">
        <f>_xlfn.SUMIFS('ИП + источники'!AR$27:AR$116,'ИП + источники'!$F$27:$F$116,$F120,'ИП + источники'!$AC$27:$AC$116,"Прибыль на капвложения")</f>
        <v>0</v>
      </c>
      <c r="AR120" s="1268">
        <f>_xlfn.SUMIFS('ИП + источники'!AS$27:AS$116,'ИП + источники'!$F$27:$F$116,$F120,'ИП + источники'!$AC$27:$AC$116,"Прибыль на капвложения")</f>
        <v>0</v>
      </c>
      <c r="AS120" s="1268">
        <f>_xlfn.SUMIFS('ИП + источники'!AT$27:AT$116,'ИП + источники'!$F$27:$F$116,$F120,'ИП + источники'!$AC$27:$AC$116,"Прибыль на капвложения")</f>
        <v>0</v>
      </c>
      <c r="AT120" s="4561">
        <f>_xlfn.SUMIFS('ИП + источники'!AU$27:AU$116,'ИП + источники'!$F$27:$F$116,$F120,'ИП + источники'!$AC$27:$AC$116,"Прибыль на капвложения")</f>
        <v>0</v>
      </c>
      <c r="AU120" s="1268">
        <f>_xlfn.SUMIFS('ИП + источники'!AV$27:AV$116,'ИП + источники'!$F$27:$F$116,$F120,'ИП + источники'!$AC$27:$AC$116,"Прибыль на капвложения")</f>
        <v>0</v>
      </c>
      <c r="AV120" s="1268">
        <f>_xlfn.SUMIFS('ИП + источники'!AW$27:AW$116,'ИП + источники'!$F$27:$F$116,$F120,'ИП + источники'!$AC$27:$AC$116,"Прибыль на капвложения")</f>
        <v>0</v>
      </c>
      <c r="AW120" s="1268">
        <f>_xlfn.SUMIFS('ИП + источники'!AX$27:AX$116,'ИП + источники'!$F$27:$F$116,$F120,'ИП + источники'!$AC$27:$AC$116,"Прибыль на капвложения")</f>
        <v>0</v>
      </c>
      <c r="AX120" s="1268">
        <f>_xlfn.SUMIFS('ИП + источники'!AY$27:AY$116,'ИП + источники'!$F$27:$F$116,$F120,'ИП + источники'!$AC$27:$AC$116,"Прибыль на капвложения")</f>
        <v>0</v>
      </c>
      <c r="AY120" s="1268">
        <f>_xlfn.SUMIFS('ИП + источники'!AZ$27:AZ$116,'ИП + источники'!$F$27:$F$116,$F120,'ИП + источники'!$AC$27:$AC$116,"Прибыль на капвложения")</f>
        <v>0</v>
      </c>
      <c r="AZ120" s="1268">
        <f>_xlfn.SUMIFS('ИП + источники'!BA$27:BA$116,'ИП + источники'!$F$27:$F$116,$F120,'ИП + источники'!$AC$27:$AC$116,"Прибыль на капвложения")</f>
        <v>0</v>
      </c>
      <c r="BA120" s="1268">
        <f>_xlfn.SUMIFS('ИП + источники'!BB$27:BB$116,'ИП + источники'!$F$27:$F$116,$F120,'ИП + источники'!$AC$27:$AC$116,"Прибыль на капвложения")</f>
        <v>0</v>
      </c>
      <c r="BB120" s="1268">
        <f>_xlfn.SUMIFS('ИП + источники'!BC$27:BC$116,'ИП + источники'!$F$27:$F$116,$F120,'ИП + источники'!$AC$27:$AC$116,"Прибыль на капвложения")</f>
        <v>0</v>
      </c>
      <c r="BC120" s="1268">
        <f>_xlfn.SUMIFS('ИП + источники'!BD$27:BD$116,'ИП + источники'!$F$27:$F$116,$F120,'ИП + источники'!$AC$27:$AC$116,"Прибыль на капвложения")</f>
        <v>0</v>
      </c>
      <c r="BD120" s="1099">
        <f>IF(AI120=0,0,(AT120-AI120)/AI120*100)</f>
        <v>0</v>
      </c>
      <c r="BE120" s="1099">
        <f>IF(AT120=0,0,(AU120-AT120)/AT120*100)</f>
        <v>0</v>
      </c>
      <c r="BF120" s="1099">
        <f>IF(AU120=0,0,(AV120-AU120)/AU120*100)</f>
        <v>0</v>
      </c>
      <c r="BG120" s="1099">
        <f>IF(AV120=0,0,(AW120-AV120)/AV120*100)</f>
        <v>0</v>
      </c>
      <c r="BH120" s="1099">
        <f>IF(AW120=0,0,(AX120-AW120)/AW120*100)</f>
        <v>0</v>
      </c>
      <c r="BI120" s="1099">
        <f>IF(AX120=0,0,(AY120-AX120)/AX120*100)</f>
        <v>0</v>
      </c>
      <c r="BJ120" s="1099">
        <f>IF(AY120=0,0,(AZ120-AY120)/AY120*100)</f>
        <v>0</v>
      </c>
      <c r="BK120" s="1099">
        <f>IF(AZ120=0,0,(BA120-AZ120)/AZ120*100)</f>
        <v>0</v>
      </c>
      <c r="BL120" s="1099">
        <f>IF(BA120=0,0,(BB120-BA120)/BA120*100)</f>
        <v>0</v>
      </c>
      <c r="BM120" s="1099">
        <f>IF(BB120=0,0,(BC120-BB120)/BB120*100)</f>
        <v>0</v>
      </c>
      <c r="BN120" s="1265"/>
      <c r="BO120" s="1269" t="str">
        <f>IF(_xlfn.IFERROR(INDEX('ИП + источники'!$K$28:$L$116,MATCH($F120&amp;"1komm",'ИП + источники'!$K$28:$K$116,0),2),"")=0,"",_xlfn.IFERROR(INDEX('ИП + источники'!$K$28:$L$116,MATCH($F120&amp;"1komm",'ИП + источники'!$K$28:$K$116,0),2),""))</f>
        <v/>
      </c>
      <c r="BP120" s="1265"/>
      <c r="BQ120" s="960"/>
      <c r="BR120" s="960"/>
      <c r="BS120" s="1048" t="s">
        <v>1699</v>
      </c>
      <c r="BT120" s="1048"/>
      <c r="BU120" s="1048"/>
      <c r="BV120" s="962"/>
      <c r="BW120" s="962"/>
    </row>
    <row customHeight="1" ht="21.9375" hidden="1">
      <c r="A121" s="960"/>
      <c r="B121" s="405" cm="1" t="str">
        <f t="array" ref="B121:B121">B120</f>
        <v>true</v>
      </c>
      <c r="C121" s="73"/>
      <c r="D121" s="73"/>
      <c r="E121" s="600">
        <v>22.5</v>
      </c>
      <c r="F121" s="50" cm="1" t="str">
        <f t="array" ref="F121:F121">OFFSET(E121,-1,1)</f>
        <v>0</v>
      </c>
      <c r="G121" s="73" t="s">
        <v>1997</v>
      </c>
      <c r="H121" s="73"/>
      <c r="I121" s="73" t="s">
        <v>902</v>
      </c>
      <c r="J121" s="73"/>
      <c r="K121" s="960"/>
      <c r="L121" s="963" t="s">
        <v>552</v>
      </c>
      <c r="M121" s="73"/>
      <c r="N121" s="73"/>
      <c r="O121" s="73"/>
      <c r="P121" s="73"/>
      <c r="Q121" s="73"/>
      <c r="R121" s="73"/>
      <c r="S121" s="73"/>
      <c r="T121" s="439" cm="1" t="str">
        <f t="array" ref="T121:T121">T120</f>
        <v>false</v>
      </c>
      <c r="U121" s="73"/>
      <c r="V121" s="73"/>
      <c r="W121" s="73"/>
      <c r="X121" s="1534"/>
      <c r="Y121" s="960"/>
      <c r="Z121" s="1465"/>
      <c r="AA121" s="960"/>
      <c r="AB121" s="267" t="s">
        <v>903</v>
      </c>
      <c r="AC121" s="743" t="s">
        <v>1998</v>
      </c>
      <c r="AD121" s="267" t="s">
        <v>784</v>
      </c>
      <c r="AE121" s="1268"/>
      <c r="AF121" s="1268"/>
      <c r="AG121" s="1268"/>
      <c r="AH121" s="1099">
        <f>AG121-AF121</f>
        <v>0</v>
      </c>
      <c r="AI121" s="1268"/>
      <c r="AJ121" s="4561"/>
      <c r="AK121" s="1268"/>
      <c r="AL121" s="1268"/>
      <c r="AM121" s="1268"/>
      <c r="AN121" s="1268"/>
      <c r="AO121" s="1268"/>
      <c r="AP121" s="1268"/>
      <c r="AQ121" s="1268"/>
      <c r="AR121" s="1268"/>
      <c r="AS121" s="1268"/>
      <c r="AT121" s="4561"/>
      <c r="AU121" s="1268"/>
      <c r="AV121" s="1268"/>
      <c r="AW121" s="1268"/>
      <c r="AX121" s="1268"/>
      <c r="AY121" s="1268"/>
      <c r="AZ121" s="1268"/>
      <c r="BA121" s="1268"/>
      <c r="BB121" s="1268"/>
      <c r="BC121" s="1268"/>
      <c r="BD121" s="1099">
        <f>IF(AI121=0,0,(AT121-AI121)/AI121*100)</f>
        <v>0</v>
      </c>
      <c r="BE121" s="1099">
        <f>IF(AT121=0,0,(AU121-AT121)/AT121*100)</f>
        <v>0</v>
      </c>
      <c r="BF121" s="1099">
        <f>IF(AU121=0,0,(AV121-AU121)/AU121*100)</f>
        <v>0</v>
      </c>
      <c r="BG121" s="1099">
        <f>IF(AV121=0,0,(AW121-AV121)/AV121*100)</f>
        <v>0</v>
      </c>
      <c r="BH121" s="1099">
        <f>IF(AW121=0,0,(AX121-AW121)/AW121*100)</f>
        <v>0</v>
      </c>
      <c r="BI121" s="1099">
        <f>IF(AX121=0,0,(AY121-AX121)/AX121*100)</f>
        <v>0</v>
      </c>
      <c r="BJ121" s="1099">
        <f>IF(AY121=0,0,(AZ121-AY121)/AY121*100)</f>
        <v>0</v>
      </c>
      <c r="BK121" s="1099">
        <f>IF(AZ121=0,0,(BA121-AZ121)/AZ121*100)</f>
        <v>0</v>
      </c>
      <c r="BL121" s="1099">
        <f>IF(BA121=0,0,(BB121-BA121)/BA121*100)</f>
        <v>0</v>
      </c>
      <c r="BM121" s="1099">
        <f>IF(BB121=0,0,(BC121-BB121)/BB121*100)</f>
        <v>0</v>
      </c>
      <c r="BN121" s="1265"/>
      <c r="BO121" s="1265"/>
      <c r="BP121" s="1265"/>
      <c r="BQ121" s="960"/>
      <c r="BR121" s="960"/>
      <c r="BS121" s="1048" t="s">
        <v>1999</v>
      </c>
      <c r="BT121" s="1048"/>
      <c r="BU121" s="1048"/>
      <c r="BV121" s="962"/>
      <c r="BW121" s="962"/>
    </row>
    <row customHeight="1" ht="14.625" hidden="1">
      <c r="A122" s="960"/>
      <c r="B122" s="405">
        <f>AND(method_reg="Метод индексации",STATUS_GO="да")</f>
        <v>0</v>
      </c>
      <c r="C122" s="73"/>
      <c r="D122" s="73"/>
      <c r="E122" s="600">
        <v>15</v>
      </c>
      <c r="F122" s="50" cm="1" t="str">
        <f t="array" ref="F122:F122">OFFSET(E122,-1,1)</f>
        <v>0</v>
      </c>
      <c r="G122" s="73" t="s">
        <v>1702</v>
      </c>
      <c r="H122" s="73"/>
      <c r="I122" s="73" t="s">
        <v>491</v>
      </c>
      <c r="J122" s="73"/>
      <c r="K122" s="960"/>
      <c r="L122" s="963" t="s">
        <v>556</v>
      </c>
      <c r="M122" s="73"/>
      <c r="N122" s="73"/>
      <c r="O122" s="73"/>
      <c r="P122" s="73"/>
      <c r="Q122" s="73"/>
      <c r="R122" s="73"/>
      <c r="S122" s="73"/>
      <c r="T122" s="439" cm="1" t="str">
        <f t="array" ref="T122:T122">T121</f>
        <v>false</v>
      </c>
      <c r="U122" s="73"/>
      <c r="V122" s="73"/>
      <c r="W122" s="73"/>
      <c r="X122" s="1534"/>
      <c r="Y122" s="960"/>
      <c r="Z122" s="1465"/>
      <c r="AA122" s="960"/>
      <c r="AB122" s="267" t="s">
        <v>496</v>
      </c>
      <c r="AC122" s="425" t="s">
        <v>1702</v>
      </c>
      <c r="AD122" s="267" t="s">
        <v>784</v>
      </c>
      <c r="AE122" s="1268"/>
      <c r="AF122" s="1268"/>
      <c r="AG122" s="1268"/>
      <c r="AH122" s="1099">
        <f>AG122-AF122</f>
        <v>0</v>
      </c>
      <c r="AI122" s="1268"/>
      <c r="AJ122" s="4561"/>
      <c r="AK122" s="1268"/>
      <c r="AL122" s="1268"/>
      <c r="AM122" s="1268"/>
      <c r="AN122" s="1268"/>
      <c r="AO122" s="1268"/>
      <c r="AP122" s="1268"/>
      <c r="AQ122" s="1268"/>
      <c r="AR122" s="1268"/>
      <c r="AS122" s="1268"/>
      <c r="AT122" s="4561"/>
      <c r="AU122" s="1268"/>
      <c r="AV122" s="1268"/>
      <c r="AW122" s="1268"/>
      <c r="AX122" s="1268"/>
      <c r="AY122" s="1268"/>
      <c r="AZ122" s="1268"/>
      <c r="BA122" s="1268"/>
      <c r="BB122" s="1268"/>
      <c r="BC122" s="1268"/>
      <c r="BD122" s="1099">
        <f>IF(AI122=0,0,(AT122-AI122)/AI122*100)</f>
        <v>0</v>
      </c>
      <c r="BE122" s="1099">
        <f>IF(AT122=0,0,(AU122-AT122)/AT122*100)</f>
        <v>0</v>
      </c>
      <c r="BF122" s="1099">
        <f>IF(AU122=0,0,(AV122-AU122)/AU122*100)</f>
        <v>0</v>
      </c>
      <c r="BG122" s="1099">
        <f>IF(AV122=0,0,(AW122-AV122)/AV122*100)</f>
        <v>0</v>
      </c>
      <c r="BH122" s="1099">
        <f>IF(AW122=0,0,(AX122-AW122)/AW122*100)</f>
        <v>0</v>
      </c>
      <c r="BI122" s="1099">
        <f>IF(AX122=0,0,(AY122-AX122)/AX122*100)</f>
        <v>0</v>
      </c>
      <c r="BJ122" s="1099">
        <f>IF(AY122=0,0,(AZ122-AY122)/AY122*100)</f>
        <v>0</v>
      </c>
      <c r="BK122" s="1099">
        <f>IF(AZ122=0,0,(BA122-AZ122)/AZ122*100)</f>
        <v>0</v>
      </c>
      <c r="BL122" s="1099">
        <f>IF(BA122=0,0,(BB122-BA122)/BA122*100)</f>
        <v>0</v>
      </c>
      <c r="BM122" s="1099">
        <f>IF(BB122=0,0,(BC122-BB122)/BB122*100)</f>
        <v>0</v>
      </c>
      <c r="BN122" s="1265"/>
      <c r="BO122" s="1265"/>
      <c r="BP122" s="1265"/>
      <c r="BQ122" s="960"/>
      <c r="BR122" s="960"/>
      <c r="BS122" s="1048" t="s">
        <v>1703</v>
      </c>
      <c r="BT122" s="1048"/>
      <c r="BU122" s="1048"/>
      <c r="BV122" s="962"/>
      <c r="BW122" s="962"/>
    </row>
    <row customHeight="1" ht="14.625" hidden="1">
      <c r="A123" s="960"/>
      <c r="B123" s="842">
        <f>method_reg="Метод обеспечения доходности инвестированного капитала"</f>
        <v>0</v>
      </c>
      <c r="C123" s="73"/>
      <c r="D123" s="73"/>
      <c r="E123" s="600">
        <v>15</v>
      </c>
      <c r="F123" s="50" cm="1" t="str">
        <f t="array" ref="F123:F123">OFFSET(E123,-1,1)</f>
        <v>0</v>
      </c>
      <c r="G123" s="73"/>
      <c r="H123" s="73"/>
      <c r="I123" s="73"/>
      <c r="J123" s="73"/>
      <c r="K123" s="73" t="s">
        <v>329</v>
      </c>
      <c r="L123" s="963"/>
      <c r="M123" s="73"/>
      <c r="N123" s="73"/>
      <c r="O123" s="73"/>
      <c r="P123" s="73"/>
      <c r="Q123" s="73"/>
      <c r="R123" s="73"/>
      <c r="S123" s="73"/>
      <c r="T123" s="842" cm="1" t="str">
        <f t="array" ref="T123:T123">T122</f>
        <v>false</v>
      </c>
      <c r="U123" s="73"/>
      <c r="V123" s="73"/>
      <c r="W123" s="73"/>
      <c r="X123" s="1534"/>
      <c r="Y123" s="960"/>
      <c r="Z123" s="1465"/>
      <c r="AA123" s="960"/>
      <c r="AB123" s="775" t="s">
        <v>536</v>
      </c>
      <c r="AC123" s="774" t="s">
        <v>2000</v>
      </c>
      <c r="AD123" s="775" t="s">
        <v>784</v>
      </c>
      <c r="AE123" s="1273"/>
      <c r="AF123" s="1273"/>
      <c r="AG123" s="1273"/>
      <c r="AH123" s="742">
        <f>AG123-AF123</f>
        <v>0</v>
      </c>
      <c r="AI123" s="1273"/>
      <c r="AJ123" s="4595"/>
      <c r="AK123" s="1273"/>
      <c r="AL123" s="1273"/>
      <c r="AM123" s="1273"/>
      <c r="AN123" s="1273"/>
      <c r="AO123" s="1273"/>
      <c r="AP123" s="1273"/>
      <c r="AQ123" s="1273"/>
      <c r="AR123" s="1273"/>
      <c r="AS123" s="1273"/>
      <c r="AT123" s="4595"/>
      <c r="AU123" s="1273"/>
      <c r="AV123" s="1273"/>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2001</v>
      </c>
      <c r="BT123" s="1048"/>
      <c r="BU123" s="1048"/>
      <c r="BV123" s="962"/>
      <c r="BW123" s="962"/>
    </row>
    <row customHeight="1" ht="14.625" hidden="1">
      <c r="A124" s="960"/>
      <c r="B124" s="842" cm="1" t="str">
        <f t="array" ref="B124:B124">B123</f>
        <v>false</v>
      </c>
      <c r="C124" s="73"/>
      <c r="D124" s="73"/>
      <c r="E124" s="600">
        <v>15</v>
      </c>
      <c r="F124" s="50" cm="1" t="str">
        <f t="array" ref="F124:F124">OFFSET(E124,-1,1)</f>
        <v>0</v>
      </c>
      <c r="G124" s="73"/>
      <c r="H124" s="73"/>
      <c r="I124" s="73"/>
      <c r="J124" s="73"/>
      <c r="K124" s="73" t="s">
        <v>514</v>
      </c>
      <c r="L124" s="963"/>
      <c r="M124" s="73"/>
      <c r="N124" s="73"/>
      <c r="O124" s="73"/>
      <c r="P124" s="73"/>
      <c r="Q124" s="73"/>
      <c r="R124" s="73"/>
      <c r="S124" s="73"/>
      <c r="T124" s="842" cm="1" t="str">
        <f t="array" ref="T124:T124">T123</f>
        <v>false</v>
      </c>
      <c r="U124" s="73"/>
      <c r="V124" s="73"/>
      <c r="W124" s="73"/>
      <c r="X124" s="1534"/>
      <c r="Y124" s="960"/>
      <c r="Z124" s="1465"/>
      <c r="AA124" s="960"/>
      <c r="AB124" s="778" t="s">
        <v>652</v>
      </c>
      <c r="AC124" s="777" t="s">
        <v>2002</v>
      </c>
      <c r="AD124" s="778" t="s">
        <v>784</v>
      </c>
      <c r="AE124" s="1275"/>
      <c r="AF124" s="1275"/>
      <c r="AG124" s="1275"/>
      <c r="AH124" s="744"/>
      <c r="AI124" s="1275"/>
      <c r="AJ124" s="4600"/>
      <c r="AK124" s="1275"/>
      <c r="AL124" s="1275"/>
      <c r="AM124" s="1275"/>
      <c r="AN124" s="1275"/>
      <c r="AO124" s="1275"/>
      <c r="AP124" s="1275"/>
      <c r="AQ124" s="1275"/>
      <c r="AR124" s="1275"/>
      <c r="AS124" s="1275"/>
      <c r="AT124" s="4600"/>
      <c r="AU124" s="1275"/>
      <c r="AV124" s="1275"/>
      <c r="AW124" s="1275"/>
      <c r="AX124" s="1275"/>
      <c r="AY124" s="1275"/>
      <c r="AZ124" s="1275"/>
      <c r="BA124" s="1275"/>
      <c r="BB124" s="1275"/>
      <c r="BC124" s="1275"/>
      <c r="BD124" s="744"/>
      <c r="BE124" s="744"/>
      <c r="BF124" s="744"/>
      <c r="BG124" s="744"/>
      <c r="BH124" s="744"/>
      <c r="BI124" s="744"/>
      <c r="BJ124" s="744"/>
      <c r="BK124" s="744"/>
      <c r="BL124" s="744"/>
      <c r="BM124" s="744"/>
      <c r="BN124" s="1276"/>
      <c r="BO124" s="1276"/>
      <c r="BP124" s="1276"/>
      <c r="BQ124" s="960"/>
      <c r="BR124" s="960"/>
      <c r="BS124" s="1048" t="s">
        <v>2003</v>
      </c>
      <c r="BT124" s="1048"/>
      <c r="BU124" s="1048"/>
      <c r="BV124" s="962"/>
      <c r="BW124" s="962"/>
    </row>
    <row customHeight="1" ht="14.625" hidden="1">
      <c r="A125" s="960"/>
      <c r="B125" s="842" cm="1" t="str">
        <f t="array" ref="B125:B125">B124</f>
        <v>false</v>
      </c>
      <c r="C125" s="73"/>
      <c r="D125" s="73"/>
      <c r="E125" s="600">
        <v>15</v>
      </c>
      <c r="F125" s="50" cm="1" t="str">
        <f t="array" ref="F125:F125">OFFSET(E125,-1,1)</f>
        <v>0</v>
      </c>
      <c r="G125" s="73"/>
      <c r="H125" s="73"/>
      <c r="I125" s="73"/>
      <c r="J125" s="73"/>
      <c r="K125" s="73" t="s">
        <v>518</v>
      </c>
      <c r="L125" s="963"/>
      <c r="M125" s="73"/>
      <c r="N125" s="73"/>
      <c r="O125" s="73"/>
      <c r="P125" s="73"/>
      <c r="Q125" s="73"/>
      <c r="R125" s="73"/>
      <c r="S125" s="73"/>
      <c r="T125" s="842" cm="1" t="str">
        <f t="array" ref="T125:T125">T124</f>
        <v>false</v>
      </c>
      <c r="U125" s="73"/>
      <c r="V125" s="73"/>
      <c r="W125" s="73"/>
      <c r="X125" s="1534"/>
      <c r="Y125" s="960"/>
      <c r="Z125" s="1465"/>
      <c r="AA125" s="960"/>
      <c r="AB125" s="778" t="s">
        <v>655</v>
      </c>
      <c r="AC125" s="777" t="s">
        <v>2004</v>
      </c>
      <c r="AD125" s="778" t="s">
        <v>2005</v>
      </c>
      <c r="AE125" s="1275"/>
      <c r="AF125" s="1275"/>
      <c r="AG125" s="1275"/>
      <c r="AH125" s="744"/>
      <c r="AI125" s="1275"/>
      <c r="AJ125" s="4600"/>
      <c r="AK125" s="1275"/>
      <c r="AL125" s="1275"/>
      <c r="AM125" s="1275"/>
      <c r="AN125" s="1275"/>
      <c r="AO125" s="1275"/>
      <c r="AP125" s="1275"/>
      <c r="AQ125" s="1275"/>
      <c r="AR125" s="1275"/>
      <c r="AS125" s="1275"/>
      <c r="AT125" s="4600"/>
      <c r="AU125" s="1275"/>
      <c r="AV125" s="1275"/>
      <c r="AW125" s="1275"/>
      <c r="AX125" s="1275"/>
      <c r="AY125" s="1275"/>
      <c r="AZ125" s="1275"/>
      <c r="BA125" s="1275"/>
      <c r="BB125" s="1275"/>
      <c r="BC125" s="1275"/>
      <c r="BD125" s="744"/>
      <c r="BE125" s="744"/>
      <c r="BF125" s="744"/>
      <c r="BG125" s="744"/>
      <c r="BH125" s="744"/>
      <c r="BI125" s="744"/>
      <c r="BJ125" s="744"/>
      <c r="BK125" s="744"/>
      <c r="BL125" s="744"/>
      <c r="BM125" s="744"/>
      <c r="BN125" s="1276"/>
      <c r="BO125" s="1276"/>
      <c r="BP125" s="1276"/>
      <c r="BQ125" s="960"/>
      <c r="BR125" s="960"/>
      <c r="BS125" s="1048" t="s">
        <v>2006</v>
      </c>
      <c r="BT125" s="1048"/>
      <c r="BU125" s="1048"/>
      <c r="BV125" s="962"/>
      <c r="BW125" s="962"/>
    </row>
    <row customHeight="1" ht="14.625" hidden="1">
      <c r="A126" s="960"/>
      <c r="B126" s="842" cm="1" t="str">
        <f t="array" ref="B126:B126">B125</f>
        <v>false</v>
      </c>
      <c r="C126" s="73"/>
      <c r="D126" s="73"/>
      <c r="E126" s="600">
        <v>15</v>
      </c>
      <c r="F126" s="50" cm="1" t="str">
        <f t="array" ref="F126:F126">OFFSET(E126,-1,1)</f>
        <v>0</v>
      </c>
      <c r="G126" s="73"/>
      <c r="H126" s="73"/>
      <c r="I126" s="73"/>
      <c r="J126" s="73"/>
      <c r="K126" s="73" t="s">
        <v>328</v>
      </c>
      <c r="L126" s="963"/>
      <c r="M126" s="73"/>
      <c r="N126" s="73"/>
      <c r="O126" s="73"/>
      <c r="P126" s="73"/>
      <c r="Q126" s="73"/>
      <c r="R126" s="73"/>
      <c r="S126" s="73"/>
      <c r="T126" s="842" cm="1" t="str">
        <f t="array" ref="T126:T126">T125</f>
        <v>false</v>
      </c>
      <c r="U126" s="73"/>
      <c r="V126" s="73"/>
      <c r="W126" s="73"/>
      <c r="X126" s="1534"/>
      <c r="Y126" s="960"/>
      <c r="Z126" s="1465"/>
      <c r="AA126" s="960"/>
      <c r="AB126" s="775" t="s">
        <v>492</v>
      </c>
      <c r="AC126" s="774" t="s">
        <v>2007</v>
      </c>
      <c r="AD126" s="775" t="s">
        <v>784</v>
      </c>
      <c r="AE126" s="1273"/>
      <c r="AF126" s="1273"/>
      <c r="AG126" s="1273"/>
      <c r="AH126" s="742">
        <f>AG126-AF126</f>
        <v>0</v>
      </c>
      <c r="AI126" s="1273"/>
      <c r="AJ126" s="4595"/>
      <c r="AK126" s="1273"/>
      <c r="AL126" s="1273"/>
      <c r="AM126" s="1273"/>
      <c r="AN126" s="1273"/>
      <c r="AO126" s="1273"/>
      <c r="AP126" s="1273"/>
      <c r="AQ126" s="1273"/>
      <c r="AR126" s="1273"/>
      <c r="AS126" s="1273"/>
      <c r="AT126" s="4595"/>
      <c r="AU126" s="1273"/>
      <c r="AV126" s="1273"/>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2008</v>
      </c>
      <c r="BT126" s="1048"/>
      <c r="BU126" s="1048"/>
      <c r="BV126" s="962"/>
      <c r="BW126" s="962"/>
    </row>
    <row customHeight="1" ht="14.625" hidden="1">
      <c r="A127" s="960"/>
      <c r="B127" s="842" cm="1" t="str">
        <f t="array" ref="B127:B127">B126</f>
        <v>false</v>
      </c>
      <c r="C127" s="73"/>
      <c r="D127" s="73"/>
      <c r="E127" s="600">
        <v>15</v>
      </c>
      <c r="F127" s="50" cm="1" t="str">
        <f t="array" ref="F127:F127">OFFSET(E127,-1,1)</f>
        <v>0</v>
      </c>
      <c r="G127" s="73"/>
      <c r="H127" s="73"/>
      <c r="I127" s="73"/>
      <c r="J127" s="73"/>
      <c r="K127" s="73" t="s">
        <v>528</v>
      </c>
      <c r="L127" s="963"/>
      <c r="M127" s="73"/>
      <c r="N127" s="73"/>
      <c r="O127" s="73"/>
      <c r="P127" s="73"/>
      <c r="Q127" s="73"/>
      <c r="R127" s="73"/>
      <c r="S127" s="73"/>
      <c r="T127" s="842" cm="1" t="str">
        <f t="array" ref="T127:T127">T126</f>
        <v>false</v>
      </c>
      <c r="U127" s="73"/>
      <c r="V127" s="73"/>
      <c r="W127" s="73"/>
      <c r="X127" s="1534"/>
      <c r="Y127" s="960"/>
      <c r="Z127" s="1465"/>
      <c r="AA127" s="960"/>
      <c r="AB127" s="778" t="s">
        <v>659</v>
      </c>
      <c r="AC127" s="777" t="s">
        <v>2009</v>
      </c>
      <c r="AD127" s="778" t="s">
        <v>784</v>
      </c>
      <c r="AE127" s="1275"/>
      <c r="AF127" s="1275"/>
      <c r="AG127" s="1275"/>
      <c r="AH127" s="744"/>
      <c r="AI127" s="1275"/>
      <c r="AJ127" s="4600"/>
      <c r="AK127" s="1275"/>
      <c r="AL127" s="1275"/>
      <c r="AM127" s="1275"/>
      <c r="AN127" s="1275"/>
      <c r="AO127" s="1275"/>
      <c r="AP127" s="1275"/>
      <c r="AQ127" s="1275"/>
      <c r="AR127" s="1275"/>
      <c r="AS127" s="1275"/>
      <c r="AT127" s="4600"/>
      <c r="AU127" s="1275"/>
      <c r="AV127" s="1275"/>
      <c r="AW127" s="1275"/>
      <c r="AX127" s="1275"/>
      <c r="AY127" s="1275"/>
      <c r="AZ127" s="1275"/>
      <c r="BA127" s="1275"/>
      <c r="BB127" s="1275"/>
      <c r="BC127" s="1275"/>
      <c r="BD127" s="744"/>
      <c r="BE127" s="744"/>
      <c r="BF127" s="744"/>
      <c r="BG127" s="744"/>
      <c r="BH127" s="744"/>
      <c r="BI127" s="744"/>
      <c r="BJ127" s="744"/>
      <c r="BK127" s="744"/>
      <c r="BL127" s="744"/>
      <c r="BM127" s="744"/>
      <c r="BN127" s="1276"/>
      <c r="BO127" s="1276"/>
      <c r="BP127" s="1276"/>
      <c r="BQ127" s="960"/>
      <c r="BR127" s="960"/>
      <c r="BS127" s="1048" t="s">
        <v>2010</v>
      </c>
      <c r="BT127" s="1048"/>
      <c r="BU127" s="1048"/>
      <c r="BV127" s="962"/>
      <c r="BW127" s="962"/>
    </row>
    <row customHeight="1" ht="14.625" hidden="1">
      <c r="A128" s="960"/>
      <c r="B128" s="842" cm="1" t="str">
        <f t="array" ref="B128:B128">B127</f>
        <v>false</v>
      </c>
      <c r="C128" s="73"/>
      <c r="D128" s="73"/>
      <c r="E128" s="600">
        <v>15</v>
      </c>
      <c r="F128" s="50" cm="1" t="str">
        <f t="array" ref="F128:F128">OFFSET(E128,-1,1)</f>
        <v>0</v>
      </c>
      <c r="G128" s="73"/>
      <c r="H128" s="73"/>
      <c r="I128" s="73"/>
      <c r="J128" s="73"/>
      <c r="K128" s="73" t="s">
        <v>532</v>
      </c>
      <c r="L128" s="963"/>
      <c r="M128" s="73"/>
      <c r="N128" s="73"/>
      <c r="O128" s="73"/>
      <c r="P128" s="73"/>
      <c r="Q128" s="73"/>
      <c r="R128" s="73"/>
      <c r="S128" s="73"/>
      <c r="T128" s="842" cm="1" t="str">
        <f t="array" ref="T128:T128">T127</f>
        <v>false</v>
      </c>
      <c r="U128" s="73"/>
      <c r="V128" s="73"/>
      <c r="W128" s="73"/>
      <c r="X128" s="1534"/>
      <c r="Y128" s="960"/>
      <c r="Z128" s="1465"/>
      <c r="AA128" s="960"/>
      <c r="AB128" s="778" t="s">
        <v>662</v>
      </c>
      <c r="AC128" s="777" t="s">
        <v>2011</v>
      </c>
      <c r="AD128" s="778" t="s">
        <v>437</v>
      </c>
      <c r="AE128" s="1275"/>
      <c r="AF128" s="1275"/>
      <c r="AG128" s="1275"/>
      <c r="AH128" s="744"/>
      <c r="AI128" s="1275"/>
      <c r="AJ128" s="4600"/>
      <c r="AK128" s="1275"/>
      <c r="AL128" s="1275"/>
      <c r="AM128" s="1275"/>
      <c r="AN128" s="1275"/>
      <c r="AO128" s="1275"/>
      <c r="AP128" s="1275"/>
      <c r="AQ128" s="1275"/>
      <c r="AR128" s="1275"/>
      <c r="AS128" s="1275"/>
      <c r="AT128" s="4600"/>
      <c r="AU128" s="1275"/>
      <c r="AV128" s="1275"/>
      <c r="AW128" s="1275"/>
      <c r="AX128" s="1275"/>
      <c r="AY128" s="1275"/>
      <c r="AZ128" s="1275"/>
      <c r="BA128" s="1275"/>
      <c r="BB128" s="1275"/>
      <c r="BC128" s="1275"/>
      <c r="BD128" s="744"/>
      <c r="BE128" s="744"/>
      <c r="BF128" s="744"/>
      <c r="BG128" s="744"/>
      <c r="BH128" s="744"/>
      <c r="BI128" s="744"/>
      <c r="BJ128" s="744"/>
      <c r="BK128" s="744"/>
      <c r="BL128" s="744"/>
      <c r="BM128" s="744"/>
      <c r="BN128" s="1276"/>
      <c r="BO128" s="1276"/>
      <c r="BP128" s="1276"/>
      <c r="BQ128" s="960"/>
      <c r="BR128" s="960"/>
      <c r="BS128" s="1048" t="s">
        <v>2012</v>
      </c>
      <c r="BT128" s="1048"/>
      <c r="BU128" s="1048"/>
      <c r="BV128" s="962"/>
      <c r="BW128" s="962"/>
    </row>
    <row customHeight="1" ht="14.625" hidden="1">
      <c r="A129" s="960"/>
      <c r="B129" s="842" cm="1" t="str">
        <f t="array" ref="B129:B129">B128</f>
        <v>false</v>
      </c>
      <c r="C129" s="73"/>
      <c r="D129" s="73"/>
      <c r="E129" s="600">
        <v>15</v>
      </c>
      <c r="F129" s="50" cm="1" t="str">
        <f t="array" ref="F129:F129">OFFSET(E129,-1,1)</f>
        <v>0</v>
      </c>
      <c r="G129" s="73"/>
      <c r="H129" s="73"/>
      <c r="I129" s="73"/>
      <c r="J129" s="73"/>
      <c r="K129" s="73" t="s">
        <v>749</v>
      </c>
      <c r="L129" s="963"/>
      <c r="M129" s="73"/>
      <c r="N129" s="73"/>
      <c r="O129" s="73"/>
      <c r="P129" s="73"/>
      <c r="Q129" s="73"/>
      <c r="R129" s="73"/>
      <c r="S129" s="73"/>
      <c r="T129" s="842" cm="1" t="str">
        <f t="array" ref="T129:T129">T128</f>
        <v>false</v>
      </c>
      <c r="U129" s="73"/>
      <c r="V129" s="73"/>
      <c r="W129" s="73"/>
      <c r="X129" s="1534"/>
      <c r="Y129" s="960"/>
      <c r="Z129" s="1465"/>
      <c r="AA129" s="960"/>
      <c r="AB129" s="778" t="s">
        <v>900</v>
      </c>
      <c r="AC129" s="777" t="s">
        <v>2013</v>
      </c>
      <c r="AD129" s="778" t="s">
        <v>784</v>
      </c>
      <c r="AE129" s="1275"/>
      <c r="AF129" s="1275"/>
      <c r="AG129" s="1275"/>
      <c r="AH129" s="744"/>
      <c r="AI129" s="1275"/>
      <c r="AJ129" s="4600"/>
      <c r="AK129" s="1275"/>
      <c r="AL129" s="1275"/>
      <c r="AM129" s="1275"/>
      <c r="AN129" s="1275"/>
      <c r="AO129" s="1275"/>
      <c r="AP129" s="1275"/>
      <c r="AQ129" s="1275"/>
      <c r="AR129" s="1275"/>
      <c r="AS129" s="1275"/>
      <c r="AT129" s="4600"/>
      <c r="AU129" s="1275"/>
      <c r="AV129" s="1275"/>
      <c r="AW129" s="1275"/>
      <c r="AX129" s="1275"/>
      <c r="AY129" s="1275"/>
      <c r="AZ129" s="1275"/>
      <c r="BA129" s="1275"/>
      <c r="BB129" s="1275"/>
      <c r="BC129" s="1275"/>
      <c r="BD129" s="744"/>
      <c r="BE129" s="744"/>
      <c r="BF129" s="744"/>
      <c r="BG129" s="744"/>
      <c r="BH129" s="744"/>
      <c r="BI129" s="744"/>
      <c r="BJ129" s="744"/>
      <c r="BK129" s="744"/>
      <c r="BL129" s="744"/>
      <c r="BM129" s="744"/>
      <c r="BN129" s="1276"/>
      <c r="BO129" s="1276"/>
      <c r="BP129" s="1276"/>
      <c r="BQ129" s="960"/>
      <c r="BR129" s="960"/>
      <c r="BS129" s="1048" t="s">
        <v>2014</v>
      </c>
      <c r="BT129" s="1048"/>
      <c r="BU129" s="1048"/>
      <c r="BV129" s="962"/>
      <c r="BW129" s="962"/>
    </row>
    <row customHeight="1" ht="14.625" hidden="1">
      <c r="A130" s="960"/>
      <c r="B130" s="842" cm="1" t="str">
        <f t="array" ref="B130:B130">B129</f>
        <v>false</v>
      </c>
      <c r="C130" s="73"/>
      <c r="D130" s="73"/>
      <c r="E130" s="600">
        <v>15</v>
      </c>
      <c r="F130" s="50" cm="1" t="str">
        <f t="array" ref="F130:F130">OFFSET(E130,-1,1)</f>
        <v>0</v>
      </c>
      <c r="G130" s="73"/>
      <c r="H130" s="73"/>
      <c r="I130" s="73"/>
      <c r="J130" s="73"/>
      <c r="K130" s="73" t="s">
        <v>902</v>
      </c>
      <c r="L130" s="963"/>
      <c r="M130" s="73"/>
      <c r="N130" s="73"/>
      <c r="O130" s="73"/>
      <c r="P130" s="73"/>
      <c r="Q130" s="73"/>
      <c r="R130" s="73"/>
      <c r="S130" s="73"/>
      <c r="T130" s="842" cm="1" t="str">
        <f t="array" ref="T130:T130">T129</f>
        <v>false</v>
      </c>
      <c r="U130" s="73"/>
      <c r="V130" s="73"/>
      <c r="W130" s="73"/>
      <c r="X130" s="1534"/>
      <c r="Y130" s="960"/>
      <c r="Z130" s="1465"/>
      <c r="AA130" s="960"/>
      <c r="AB130" s="778" t="s">
        <v>903</v>
      </c>
      <c r="AC130" s="777" t="s">
        <v>2015</v>
      </c>
      <c r="AD130" s="778" t="s">
        <v>784</v>
      </c>
      <c r="AE130" s="1275"/>
      <c r="AF130" s="1275"/>
      <c r="AG130" s="1275"/>
      <c r="AH130" s="744"/>
      <c r="AI130" s="1275"/>
      <c r="AJ130" s="4600"/>
      <c r="AK130" s="1275"/>
      <c r="AL130" s="1275"/>
      <c r="AM130" s="1275"/>
      <c r="AN130" s="1275"/>
      <c r="AO130" s="1275"/>
      <c r="AP130" s="1275"/>
      <c r="AQ130" s="1275"/>
      <c r="AR130" s="1275"/>
      <c r="AS130" s="1275"/>
      <c r="AT130" s="4600"/>
      <c r="AU130" s="1275"/>
      <c r="AV130" s="1275"/>
      <c r="AW130" s="1275"/>
      <c r="AX130" s="1275"/>
      <c r="AY130" s="1275"/>
      <c r="AZ130" s="1275"/>
      <c r="BA130" s="1275"/>
      <c r="BB130" s="1275"/>
      <c r="BC130" s="1275"/>
      <c r="BD130" s="744"/>
      <c r="BE130" s="744"/>
      <c r="BF130" s="744"/>
      <c r="BG130" s="744"/>
      <c r="BH130" s="744"/>
      <c r="BI130" s="744"/>
      <c r="BJ130" s="744"/>
      <c r="BK130" s="744"/>
      <c r="BL130" s="744"/>
      <c r="BM130" s="744"/>
      <c r="BN130" s="1276"/>
      <c r="BO130" s="1276"/>
      <c r="BP130" s="1276"/>
      <c r="BQ130" s="960"/>
      <c r="BR130" s="960"/>
      <c r="BS130" s="1048" t="s">
        <v>2016</v>
      </c>
      <c r="BT130" s="1048"/>
      <c r="BU130" s="1048"/>
      <c r="BV130" s="962"/>
      <c r="BW130" s="962"/>
    </row>
    <row customHeight="1" ht="14.625" hidden="1">
      <c r="A131" s="960"/>
      <c r="B131" s="842" cm="1" t="str">
        <f t="array" ref="B131:B131">B130</f>
        <v>false</v>
      </c>
      <c r="C131" s="73"/>
      <c r="D131" s="73"/>
      <c r="E131" s="600">
        <v>15</v>
      </c>
      <c r="F131" s="50" cm="1" t="str">
        <f t="array" ref="F131:F131">OFFSET(E131,-1,1)</f>
        <v>0</v>
      </c>
      <c r="G131" s="73"/>
      <c r="H131" s="73"/>
      <c r="I131" s="73"/>
      <c r="J131" s="73"/>
      <c r="K131" s="73" t="s">
        <v>2017</v>
      </c>
      <c r="L131" s="963"/>
      <c r="M131" s="73"/>
      <c r="N131" s="73"/>
      <c r="O131" s="73"/>
      <c r="P131" s="73"/>
      <c r="Q131" s="73"/>
      <c r="R131" s="73"/>
      <c r="S131" s="73"/>
      <c r="T131" s="842" cm="1" t="str">
        <f t="array" ref="T131:T131">T130</f>
        <v>false</v>
      </c>
      <c r="U131" s="73"/>
      <c r="V131" s="73"/>
      <c r="W131" s="73"/>
      <c r="X131" s="1534"/>
      <c r="Y131" s="960"/>
      <c r="Z131" s="1465"/>
      <c r="AA131" s="960"/>
      <c r="AB131" s="778" t="s">
        <v>2018</v>
      </c>
      <c r="AC131" s="779" t="s">
        <v>2019</v>
      </c>
      <c r="AD131" s="778" t="s">
        <v>437</v>
      </c>
      <c r="AE131" s="1275"/>
      <c r="AF131" s="1275"/>
      <c r="AG131" s="1275"/>
      <c r="AH131" s="744"/>
      <c r="AI131" s="1275"/>
      <c r="AJ131" s="4600"/>
      <c r="AK131" s="1275"/>
      <c r="AL131" s="1275"/>
      <c r="AM131" s="1275"/>
      <c r="AN131" s="1275"/>
      <c r="AO131" s="1275"/>
      <c r="AP131" s="1275"/>
      <c r="AQ131" s="1275"/>
      <c r="AR131" s="1275"/>
      <c r="AS131" s="1275"/>
      <c r="AT131" s="4600"/>
      <c r="AU131" s="1275"/>
      <c r="AV131" s="1275"/>
      <c r="AW131" s="1275"/>
      <c r="AX131" s="1275"/>
      <c r="AY131" s="1275"/>
      <c r="AZ131" s="1275"/>
      <c r="BA131" s="1275"/>
      <c r="BB131" s="1275"/>
      <c r="BC131" s="1275"/>
      <c r="BD131" s="744"/>
      <c r="BE131" s="744"/>
      <c r="BF131" s="744"/>
      <c r="BG131" s="744"/>
      <c r="BH131" s="744"/>
      <c r="BI131" s="744"/>
      <c r="BJ131" s="744"/>
      <c r="BK131" s="744"/>
      <c r="BL131" s="744"/>
      <c r="BM131" s="744"/>
      <c r="BN131" s="1276"/>
      <c r="BO131" s="1276"/>
      <c r="BP131" s="1276"/>
      <c r="BQ131" s="960"/>
      <c r="BR131" s="960"/>
      <c r="BS131" s="1048" t="s">
        <v>2020</v>
      </c>
      <c r="BT131" s="1048"/>
      <c r="BU131" s="1048"/>
      <c r="BV131" s="962"/>
      <c r="BW131" s="962"/>
    </row>
    <row customHeight="1" ht="14.625" hidden="1">
      <c r="A132" s="960"/>
      <c r="B132" s="842" cm="1" t="str">
        <f t="array" ref="B132:B132">B131</f>
        <v>false</v>
      </c>
      <c r="C132" s="73"/>
      <c r="D132" s="73"/>
      <c r="E132" s="600">
        <v>15</v>
      </c>
      <c r="F132" s="50" cm="1" t="str">
        <f t="array" ref="F132:F132">OFFSET(E132,-1,1)</f>
        <v>0</v>
      </c>
      <c r="G132" s="73"/>
      <c r="H132" s="73"/>
      <c r="I132" s="73"/>
      <c r="J132" s="73"/>
      <c r="K132" s="73" t="s">
        <v>905</v>
      </c>
      <c r="L132" s="963"/>
      <c r="M132" s="73"/>
      <c r="N132" s="73"/>
      <c r="O132" s="73"/>
      <c r="P132" s="73"/>
      <c r="Q132" s="73"/>
      <c r="R132" s="73"/>
      <c r="S132" s="73"/>
      <c r="T132" s="842" cm="1" t="str">
        <f t="array" ref="T132:T132">T131</f>
        <v>false</v>
      </c>
      <c r="U132" s="73"/>
      <c r="V132" s="73"/>
      <c r="W132" s="73"/>
      <c r="X132" s="1534"/>
      <c r="Y132" s="960"/>
      <c r="Z132" s="1465"/>
      <c r="AA132" s="960"/>
      <c r="AB132" s="778" t="s">
        <v>906</v>
      </c>
      <c r="AC132" s="777" t="s">
        <v>2021</v>
      </c>
      <c r="AD132" s="778" t="s">
        <v>437</v>
      </c>
      <c r="AE132" s="1275"/>
      <c r="AF132" s="1275"/>
      <c r="AG132" s="1275"/>
      <c r="AH132" s="744"/>
      <c r="AI132" s="1275"/>
      <c r="AJ132" s="4600"/>
      <c r="AK132" s="1275"/>
      <c r="AL132" s="1275"/>
      <c r="AM132" s="1275"/>
      <c r="AN132" s="1275"/>
      <c r="AO132" s="1275"/>
      <c r="AP132" s="1275"/>
      <c r="AQ132" s="1275"/>
      <c r="AR132" s="1275"/>
      <c r="AS132" s="1275"/>
      <c r="AT132" s="4600"/>
      <c r="AU132" s="1275"/>
      <c r="AV132" s="1275"/>
      <c r="AW132" s="1275"/>
      <c r="AX132" s="1275"/>
      <c r="AY132" s="1275"/>
      <c r="AZ132" s="1275"/>
      <c r="BA132" s="1275"/>
      <c r="BB132" s="1275"/>
      <c r="BC132" s="1275"/>
      <c r="BD132" s="744"/>
      <c r="BE132" s="744"/>
      <c r="BF132" s="744"/>
      <c r="BG132" s="744"/>
      <c r="BH132" s="744"/>
      <c r="BI132" s="744"/>
      <c r="BJ132" s="744"/>
      <c r="BK132" s="744"/>
      <c r="BL132" s="744"/>
      <c r="BM132" s="744"/>
      <c r="BN132" s="1276"/>
      <c r="BO132" s="1276"/>
      <c r="BP132" s="1276"/>
      <c r="BQ132" s="960"/>
      <c r="BR132" s="960"/>
      <c r="BS132" s="1048" t="s">
        <v>2022</v>
      </c>
      <c r="BT132" s="1048"/>
      <c r="BU132" s="1048"/>
      <c r="BV132" s="962"/>
      <c r="BW132" s="962"/>
    </row>
    <row customHeight="1" ht="14.625" hidden="1">
      <c r="A133" s="960"/>
      <c r="B133" s="842" cm="1" t="str">
        <f t="array" ref="B133:B133">B132</f>
        <v>false</v>
      </c>
      <c r="C133" s="73"/>
      <c r="D133" s="73"/>
      <c r="E133" s="600">
        <v>15</v>
      </c>
      <c r="F133" s="50" cm="1" t="str">
        <f t="array" ref="F133:F133">OFFSET(E133,-1,1)</f>
        <v>0</v>
      </c>
      <c r="G133" s="73"/>
      <c r="H133" s="73"/>
      <c r="I133" s="73"/>
      <c r="J133" s="73"/>
      <c r="K133" s="73" t="s">
        <v>2023</v>
      </c>
      <c r="L133" s="963"/>
      <c r="M133" s="73"/>
      <c r="N133" s="73"/>
      <c r="O133" s="73"/>
      <c r="P133" s="73"/>
      <c r="Q133" s="73"/>
      <c r="R133" s="73"/>
      <c r="S133" s="73"/>
      <c r="T133" s="842" cm="1" t="str">
        <f t="array" ref="T133:T133">T132</f>
        <v>false</v>
      </c>
      <c r="U133" s="73"/>
      <c r="V133" s="73"/>
      <c r="W133" s="73"/>
      <c r="X133" s="1534"/>
      <c r="Y133" s="960"/>
      <c r="Z133" s="1465"/>
      <c r="AA133" s="960"/>
      <c r="AB133" s="778" t="s">
        <v>2024</v>
      </c>
      <c r="AC133" s="779" t="s">
        <v>2025</v>
      </c>
      <c r="AD133" s="778" t="s">
        <v>437</v>
      </c>
      <c r="AE133" s="1275"/>
      <c r="AF133" s="1275"/>
      <c r="AG133" s="1275"/>
      <c r="AH133" s="744"/>
      <c r="AI133" s="1275"/>
      <c r="AJ133" s="4600"/>
      <c r="AK133" s="1275"/>
      <c r="AL133" s="1275"/>
      <c r="AM133" s="1275"/>
      <c r="AN133" s="1275"/>
      <c r="AO133" s="1275"/>
      <c r="AP133" s="1275"/>
      <c r="AQ133" s="1275"/>
      <c r="AR133" s="1275"/>
      <c r="AS133" s="1275"/>
      <c r="AT133" s="4600"/>
      <c r="AU133" s="1275"/>
      <c r="AV133" s="1275"/>
      <c r="AW133" s="1275"/>
      <c r="AX133" s="1275"/>
      <c r="AY133" s="1275"/>
      <c r="AZ133" s="1275"/>
      <c r="BA133" s="1275"/>
      <c r="BB133" s="1275"/>
      <c r="BC133" s="1275"/>
      <c r="BD133" s="744"/>
      <c r="BE133" s="744"/>
      <c r="BF133" s="744"/>
      <c r="BG133" s="744"/>
      <c r="BH133" s="744"/>
      <c r="BI133" s="744"/>
      <c r="BJ133" s="744"/>
      <c r="BK133" s="744"/>
      <c r="BL133" s="744"/>
      <c r="BM133" s="744"/>
      <c r="BN133" s="1276"/>
      <c r="BO133" s="1276"/>
      <c r="BP133" s="1276"/>
      <c r="BQ133" s="960"/>
      <c r="BR133" s="960"/>
      <c r="BS133" s="1048" t="s">
        <v>2026</v>
      </c>
      <c r="BT133" s="1048"/>
      <c r="BU133" s="1048"/>
      <c r="BV133" s="962"/>
      <c r="BW133" s="962"/>
    </row>
    <row customHeight="1" ht="14.625" hidden="1">
      <c r="A134" s="960"/>
      <c r="B134" s="842" cm="1" t="str">
        <f t="array" ref="B134:B134">B133</f>
        <v>false</v>
      </c>
      <c r="C134" s="73"/>
      <c r="D134" s="73"/>
      <c r="E134" s="600">
        <v>15</v>
      </c>
      <c r="F134" s="50" cm="1" t="str">
        <f t="array" ref="F134:F134">OFFSET(E134,-1,1)</f>
        <v>0</v>
      </c>
      <c r="G134" s="73"/>
      <c r="H134" s="73"/>
      <c r="I134" s="73"/>
      <c r="J134" s="73"/>
      <c r="K134" s="73" t="s">
        <v>2027</v>
      </c>
      <c r="L134" s="963"/>
      <c r="M134" s="73"/>
      <c r="N134" s="73"/>
      <c r="O134" s="73"/>
      <c r="P134" s="73"/>
      <c r="Q134" s="73"/>
      <c r="R134" s="73"/>
      <c r="S134" s="73"/>
      <c r="T134" s="842" cm="1" t="str">
        <f t="array" ref="T134:T134">T133</f>
        <v>false</v>
      </c>
      <c r="U134" s="73"/>
      <c r="V134" s="73"/>
      <c r="W134" s="73"/>
      <c r="X134" s="1534"/>
      <c r="Y134" s="960"/>
      <c r="Z134" s="1465"/>
      <c r="AA134" s="960"/>
      <c r="AB134" s="778" t="s">
        <v>2028</v>
      </c>
      <c r="AC134" s="779" t="s">
        <v>2029</v>
      </c>
      <c r="AD134" s="778" t="s">
        <v>437</v>
      </c>
      <c r="AE134" s="1275"/>
      <c r="AF134" s="1275"/>
      <c r="AG134" s="1275"/>
      <c r="AH134" s="744"/>
      <c r="AI134" s="1275"/>
      <c r="AJ134" s="4600"/>
      <c r="AK134" s="1275"/>
      <c r="AL134" s="1275"/>
      <c r="AM134" s="1275"/>
      <c r="AN134" s="1275"/>
      <c r="AO134" s="1275"/>
      <c r="AP134" s="1275"/>
      <c r="AQ134" s="1275"/>
      <c r="AR134" s="1275"/>
      <c r="AS134" s="1275"/>
      <c r="AT134" s="4600"/>
      <c r="AU134" s="1275"/>
      <c r="AV134" s="1275"/>
      <c r="AW134" s="1275"/>
      <c r="AX134" s="1275"/>
      <c r="AY134" s="1275"/>
      <c r="AZ134" s="1275"/>
      <c r="BA134" s="1275"/>
      <c r="BB134" s="1275"/>
      <c r="BC134" s="1275"/>
      <c r="BD134" s="744"/>
      <c r="BE134" s="744"/>
      <c r="BF134" s="744"/>
      <c r="BG134" s="744"/>
      <c r="BH134" s="744"/>
      <c r="BI134" s="744"/>
      <c r="BJ134" s="744"/>
      <c r="BK134" s="744"/>
      <c r="BL134" s="744"/>
      <c r="BM134" s="744"/>
      <c r="BN134" s="1276"/>
      <c r="BO134" s="1276"/>
      <c r="BP134" s="1276"/>
      <c r="BQ134" s="960"/>
      <c r="BR134" s="960"/>
      <c r="BS134" s="1048" t="s">
        <v>2030</v>
      </c>
      <c r="BT134" s="1048"/>
      <c r="BU134" s="1048"/>
      <c r="BV134" s="962"/>
      <c r="BW134" s="962"/>
    </row>
    <row s="680" customFormat="1" customHeight="1" ht="20.475" hidden="1">
      <c r="A135" s="680"/>
      <c r="B135" s="408"/>
      <c r="C135" s="75"/>
      <c r="D135" s="75" t="str">
        <f>IF(B134,"6","7")</f>
        <v>7</v>
      </c>
      <c r="E135" s="807">
        <v>21</v>
      </c>
      <c r="F135" s="50" cm="1" t="str">
        <f t="array" ref="F135:F135">OFFSET(E135,-1,1)</f>
        <v>0</v>
      </c>
      <c r="G135" s="73" t="s">
        <v>2031</v>
      </c>
      <c r="H135" s="73"/>
      <c r="I135" s="351" t="s">
        <v>2032</v>
      </c>
      <c r="J135" s="75"/>
      <c r="K135" s="347" t="s">
        <v>2032</v>
      </c>
      <c r="L135" s="968"/>
      <c r="M135" s="75"/>
      <c r="N135" s="75"/>
      <c r="O135" s="75"/>
      <c r="P135" s="75"/>
      <c r="Q135" s="75"/>
      <c r="R135" s="75"/>
      <c r="S135" s="75"/>
      <c r="T135" s="439" cm="1" t="str">
        <f t="array" ref="T135:T135">T134</f>
        <v>false</v>
      </c>
      <c r="U135" s="75"/>
      <c r="V135" s="75"/>
      <c r="W135" s="75"/>
      <c r="X135" s="1534"/>
      <c r="Y135" s="680"/>
      <c r="Z135" s="1465"/>
      <c r="AA135" s="680"/>
      <c r="AB135" s="178" cm="1" t="str">
        <f t="array" ref="AB135:AB135">D135</f>
        <v>7</v>
      </c>
      <c r="AC135" s="186" t="s">
        <v>1473</v>
      </c>
      <c r="AD135" s="178" t="s">
        <v>784</v>
      </c>
      <c r="AE135" s="1264"/>
      <c r="AF135" s="1264"/>
      <c r="AG135" s="1264"/>
      <c r="AH135" s="759">
        <f>AG135-AF135</f>
        <v>0</v>
      </c>
      <c r="AI135" s="1264"/>
      <c r="AJ135" s="4561">
        <f>_xlfn.SUMIFS('Корректировка НВВ'!$AF$25:$AF$180,'Корректировка НВВ'!$F$25:$F$180,$F135,'Корректировка НВВ'!$I$25:$I$180,$G135)</f>
        <v>0</v>
      </c>
      <c r="AK135" s="1264"/>
      <c r="AL135" s="1264"/>
      <c r="AM135" s="1264"/>
      <c r="AN135" s="1264"/>
      <c r="AO135" s="1264"/>
      <c r="AP135" s="1264"/>
      <c r="AQ135" s="1264"/>
      <c r="AR135" s="1264"/>
      <c r="AS135" s="1264"/>
      <c r="AT135" s="4561">
        <f>_xlfn.SUMIFS('Корректировка НВВ'!$AG$25:$AG$180,'Корректировка НВВ'!$F$25:$F$180,$F135,'Корректировка НВВ'!$I$25:$I$180,$G135)</f>
        <v>0</v>
      </c>
      <c r="AU135" s="1264"/>
      <c r="AV135" s="1264"/>
      <c r="AW135" s="1264"/>
      <c r="AX135" s="1264"/>
      <c r="AY135" s="1264"/>
      <c r="AZ135" s="1264"/>
      <c r="BA135" s="1264"/>
      <c r="BB135" s="1264"/>
      <c r="BC135" s="1264"/>
      <c r="BD135" s="759">
        <f>IF(AI135=0,0,(AT135-AI135)/AI135*100)</f>
        <v>0</v>
      </c>
      <c r="BE135" s="759">
        <f>IF(AT135=0,0,(AU135-AT135)/AT135*100)</f>
        <v>0</v>
      </c>
      <c r="BF135" s="759">
        <f>IF(AU135=0,0,(AV135-AU135)/AU135*100)</f>
        <v>0</v>
      </c>
      <c r="BG135" s="759">
        <f>IF(AV135=0,0,(AW135-AV135)/AV135*100)</f>
        <v>0</v>
      </c>
      <c r="BH135" s="759">
        <f>IF(AW135=0,0,(AX135-AW135)/AW135*100)</f>
        <v>0</v>
      </c>
      <c r="BI135" s="759">
        <f>IF(AX135=0,0,(AY135-AX135)/AX135*100)</f>
        <v>0</v>
      </c>
      <c r="BJ135" s="759">
        <f>IF(AY135=0,0,(AZ135-AY135)/AY135*100)</f>
        <v>0</v>
      </c>
      <c r="BK135" s="759">
        <f>IF(AZ135=0,0,(BA135-AZ135)/AZ135*100)</f>
        <v>0</v>
      </c>
      <c r="BL135" s="759">
        <f>IF(BA135=0,0,(BB135-BA135)/BA135*100)</f>
        <v>0</v>
      </c>
      <c r="BM135" s="759">
        <f>IF(BB135=0,0,(BC135-BB135)/BB135*100)</f>
        <v>0</v>
      </c>
      <c r="BN135" s="1267"/>
      <c r="BO135" s="1269" t="str">
        <f>IF(_xlfn.IFERROR(INDEX('Корректировка НВВ'!$K$26:$L$180,MATCH($F135&amp;"11komm",'Корректировка НВВ'!$K$26:$K$180,0),2),"")=0,"",_xlfn.IFERROR(INDEX('Корректировка НВВ'!$K$26:$L$180,MATCH($F135&amp;"11komm",'Корректировка НВВ'!$K$26:$K$180,0),2),""))</f>
        <v/>
      </c>
      <c r="BP135" s="1267"/>
      <c r="BQ135" s="680"/>
      <c r="BR135" s="680"/>
      <c r="BS135" s="1054" t="s">
        <v>2033</v>
      </c>
      <c r="BT135" s="1054"/>
      <c r="BU135" s="1054"/>
      <c r="BV135" s="687"/>
      <c r="BW135" s="687"/>
    </row>
    <row customHeight="1" ht="14.625" hidden="1">
      <c r="A136" s="960"/>
      <c r="B136" s="961"/>
      <c r="C136" s="73"/>
      <c r="D136" s="73" cm="1" t="str">
        <f t="array" ref="D136:D136">D135</f>
        <v>7</v>
      </c>
      <c r="E136" s="600">
        <v>15</v>
      </c>
      <c r="F136" s="50" cm="1" t="str">
        <f t="array" ref="F136:F136">OFFSET(E136,-1,1)</f>
        <v>0</v>
      </c>
      <c r="G136" s="73"/>
      <c r="H136" s="73"/>
      <c r="I136" s="73"/>
      <c r="J136" s="73"/>
      <c r="K136" s="960"/>
      <c r="L136" s="963"/>
      <c r="M136" s="73"/>
      <c r="N136" s="73"/>
      <c r="O136" s="73"/>
      <c r="P136" s="73"/>
      <c r="Q136" s="73"/>
      <c r="R136" s="73"/>
      <c r="S136" s="73"/>
      <c r="T136" s="439" cm="1" t="str">
        <f t="array" ref="T136:T136">T135</f>
        <v>false</v>
      </c>
      <c r="U136" s="73"/>
      <c r="V136" s="73"/>
      <c r="W136" s="73"/>
      <c r="X136" s="1534"/>
      <c r="Y136" s="960"/>
      <c r="Z136" s="1465"/>
      <c r="AA136" s="960"/>
      <c r="AB136" s="267"/>
      <c r="AC136" s="425" t="s">
        <v>2034</v>
      </c>
      <c r="AD136" s="267"/>
      <c r="AE136" s="1100"/>
      <c r="AF136" s="1100"/>
      <c r="AG136" s="1100"/>
      <c r="AH136" s="1100"/>
      <c r="AI136" s="1100"/>
      <c r="AJ136" s="1100"/>
      <c r="AK136" s="1100"/>
      <c r="AL136" s="1100"/>
      <c r="AM136" s="1100"/>
      <c r="AN136" s="1100"/>
      <c r="AO136" s="1100"/>
      <c r="AP136" s="1100"/>
      <c r="AQ136" s="1100"/>
      <c r="AR136" s="1100"/>
      <c r="AS136" s="1100"/>
      <c r="AT136" s="1100"/>
      <c r="AU136" s="1100"/>
      <c r="AV136" s="1100"/>
      <c r="AW136" s="1100"/>
      <c r="AX136" s="1100"/>
      <c r="AY136" s="1100"/>
      <c r="AZ136" s="1100"/>
      <c r="BA136" s="1100"/>
      <c r="BB136" s="1100"/>
      <c r="BC136" s="1100"/>
      <c r="BD136" s="1100"/>
      <c r="BE136" s="1100"/>
      <c r="BF136" s="1100"/>
      <c r="BG136" s="1100"/>
      <c r="BH136" s="1100"/>
      <c r="BI136" s="1100"/>
      <c r="BJ136" s="1100"/>
      <c r="BK136" s="1100"/>
      <c r="BL136" s="1100"/>
      <c r="BM136" s="1100"/>
      <c r="BN136" s="1102"/>
      <c r="BO136" s="1102"/>
      <c r="BP136" s="1102"/>
      <c r="BQ136" s="960"/>
      <c r="BR136" s="960"/>
      <c r="BS136" s="1048"/>
      <c r="BT136" s="1048"/>
      <c r="BU136" s="1048"/>
      <c r="BV136" s="962"/>
      <c r="BW136" s="962"/>
    </row>
    <row customHeight="1" ht="21.9375" hidden="1">
      <c r="A137" s="960"/>
      <c r="B137" s="961"/>
      <c r="C137" s="73"/>
      <c r="D137" s="73" cm="1" t="str">
        <f t="array" ref="D137:D137">D136</f>
        <v>7</v>
      </c>
      <c r="E137" s="600">
        <v>22.5</v>
      </c>
      <c r="F137" s="50" cm="1" t="str">
        <f t="array" ref="F137:F137">OFFSET(E137,-1,1)</f>
        <v>0</v>
      </c>
      <c r="G137" s="73" t="s">
        <v>368</v>
      </c>
      <c r="H137" s="73"/>
      <c r="I137" s="73" t="s">
        <v>495</v>
      </c>
      <c r="J137" s="73"/>
      <c r="K137" s="124" t="s">
        <v>495</v>
      </c>
      <c r="L137" s="963"/>
      <c r="M137" s="73"/>
      <c r="N137" s="73"/>
      <c r="O137" s="73"/>
      <c r="P137" s="73"/>
      <c r="Q137" s="73"/>
      <c r="R137" s="73"/>
      <c r="S137" s="73"/>
      <c r="T137" s="439" cm="1" t="str">
        <f t="array" ref="T137:T137">T136</f>
        <v>false</v>
      </c>
      <c r="U137" s="73"/>
      <c r="V137" s="73"/>
      <c r="W137" s="73"/>
      <c r="X137" s="1534"/>
      <c r="Y137" s="960"/>
      <c r="Z137" s="1465"/>
      <c r="AA137" s="960"/>
      <c r="AB137" s="267" t="str">
        <f>D137&amp;".1"</f>
        <v>7.1</v>
      </c>
      <c r="AC137" s="743" t="s">
        <v>2035</v>
      </c>
      <c r="AD137" s="267" t="s">
        <v>784</v>
      </c>
      <c r="AE137" s="1268"/>
      <c r="AF137" s="1268"/>
      <c r="AG137" s="1268"/>
      <c r="AH137" s="1099">
        <f>AG137-AF137</f>
        <v>0</v>
      </c>
      <c r="AI137" s="1268"/>
      <c r="AJ137" s="4561">
        <f>_xlfn.SUMIFS('Корректировка НВВ'!$AF$25:$AF$180,'Корректировка НВВ'!$F$25:$F$180,$F137,'Корректировка НВВ'!$I$25:$I$180,$G137)</f>
        <v>0</v>
      </c>
      <c r="AK137" s="1268"/>
      <c r="AL137" s="1268"/>
      <c r="AM137" s="1268"/>
      <c r="AN137" s="1268"/>
      <c r="AO137" s="1268"/>
      <c r="AP137" s="1268"/>
      <c r="AQ137" s="1268"/>
      <c r="AR137" s="1268"/>
      <c r="AS137" s="1268"/>
      <c r="AT137" s="4561">
        <f>_xlfn.SUMIFS('Корректировка НВВ'!$AG$25:$AG$180,'Корректировка НВВ'!$F$25:$F$180,$F137,'Корректировка НВВ'!$I$25:$I$180,$G137)</f>
        <v>0</v>
      </c>
      <c r="AU137" s="1268"/>
      <c r="AV137" s="1268"/>
      <c r="AW137" s="1268"/>
      <c r="AX137" s="1268"/>
      <c r="AY137" s="1268"/>
      <c r="AZ137" s="1268"/>
      <c r="BA137" s="1268"/>
      <c r="BB137" s="1268"/>
      <c r="BC137" s="1268"/>
      <c r="BD137" s="1100"/>
      <c r="BE137" s="1100"/>
      <c r="BF137" s="1100"/>
      <c r="BG137" s="1100"/>
      <c r="BH137" s="1100"/>
      <c r="BI137" s="1100"/>
      <c r="BJ137" s="1100"/>
      <c r="BK137" s="1100"/>
      <c r="BL137" s="1100"/>
      <c r="BM137" s="1100"/>
      <c r="BN137" s="1265"/>
      <c r="BO137" s="1269" t="str">
        <f>IF(_xlfn.IFERROR(INDEX('Корректировка НВВ'!$K$26:$L$180,MATCH($F137&amp;"1komm",'Корректировка НВВ'!$K$26:$K$180,0),2),"")=0,"",_xlfn.IFERROR(INDEX('Корректировка НВВ'!$K$26:$L$180,MATCH($F137&amp;"1komm",'Корректировка НВВ'!$K$26:$K$180,0),2),""))</f>
        <v/>
      </c>
      <c r="BP137" s="1265"/>
      <c r="BQ137" s="960"/>
      <c r="BR137" s="960"/>
      <c r="BS137" s="1048" t="s">
        <v>2036</v>
      </c>
      <c r="BT137" s="1048"/>
      <c r="BU137" s="1048"/>
      <c r="BV137" s="962"/>
      <c r="BW137" s="962"/>
    </row>
    <row customHeight="1" ht="98.71875" hidden="1">
      <c r="A138" s="960"/>
      <c r="B138" s="961"/>
      <c r="C138" s="73"/>
      <c r="D138" s="73" cm="1" t="str">
        <f t="array" ref="D138:D138">D137</f>
        <v>7</v>
      </c>
      <c r="E138" s="600">
        <v>101.25</v>
      </c>
      <c r="F138" s="50" cm="1" t="str">
        <f t="array" ref="F138:F138">OFFSET(E138,-1,1)</f>
        <v>0</v>
      </c>
      <c r="G138" s="73" t="s">
        <v>2037</v>
      </c>
      <c r="H138" s="73"/>
      <c r="I138" s="73" t="s">
        <v>541</v>
      </c>
      <c r="J138" s="73"/>
      <c r="K138" s="124" t="s">
        <v>541</v>
      </c>
      <c r="L138" s="963"/>
      <c r="M138" s="73"/>
      <c r="N138" s="73"/>
      <c r="O138" s="73"/>
      <c r="P138" s="73"/>
      <c r="Q138" s="73"/>
      <c r="R138" s="73"/>
      <c r="S138" s="73"/>
      <c r="T138" s="439" cm="1" t="str">
        <f t="array" ref="T138:T138">T137</f>
        <v>false</v>
      </c>
      <c r="U138" s="73"/>
      <c r="V138" s="73"/>
      <c r="W138" s="73"/>
      <c r="X138" s="1534"/>
      <c r="Y138" s="960"/>
      <c r="Z138" s="1465"/>
      <c r="AA138" s="960"/>
      <c r="AB138" s="267" t="str">
        <f>D138&amp;".2"</f>
        <v>7.2</v>
      </c>
      <c r="AC138" s="743" t="s">
        <v>2038</v>
      </c>
      <c r="AD138" s="267" t="s">
        <v>784</v>
      </c>
      <c r="AE138" s="1268"/>
      <c r="AF138" s="1268"/>
      <c r="AG138" s="1268"/>
      <c r="AH138" s="1099">
        <f>AG138-AF138</f>
        <v>0</v>
      </c>
      <c r="AI138" s="1268"/>
      <c r="AJ138" s="4561">
        <f>_xlfn.SUMIFS('Корректировка НВВ'!$AF$25:$AF$180,'Корректировка НВВ'!$F$25:$F$180,$F138,'Корректировка НВВ'!$I$25:$I$180,$G138)</f>
        <v>0</v>
      </c>
      <c r="AK138" s="1268"/>
      <c r="AL138" s="1268"/>
      <c r="AM138" s="1268"/>
      <c r="AN138" s="1268"/>
      <c r="AO138" s="1268"/>
      <c r="AP138" s="1268"/>
      <c r="AQ138" s="1268"/>
      <c r="AR138" s="1268"/>
      <c r="AS138" s="1268"/>
      <c r="AT138" s="4561">
        <f>_xlfn.SUMIFS('Корректировка НВВ'!$AG$25:$AG$180,'Корректировка НВВ'!$F$25:$F$180,$F138,'Корректировка НВВ'!$I$25:$I$180,$G138)</f>
        <v>0</v>
      </c>
      <c r="AU138" s="1268"/>
      <c r="AV138" s="1268"/>
      <c r="AW138" s="1268"/>
      <c r="AX138" s="1268"/>
      <c r="AY138" s="1268"/>
      <c r="AZ138" s="1268"/>
      <c r="BA138" s="1268"/>
      <c r="BB138" s="1268"/>
      <c r="BC138" s="1268"/>
      <c r="BD138" s="1100"/>
      <c r="BE138" s="1100"/>
      <c r="BF138" s="1100"/>
      <c r="BG138" s="1100"/>
      <c r="BH138" s="1100"/>
      <c r="BI138" s="1100"/>
      <c r="BJ138" s="1100"/>
      <c r="BK138" s="1100"/>
      <c r="BL138" s="1100"/>
      <c r="BM138" s="1100"/>
      <c r="BN138" s="1265"/>
      <c r="BO138" s="1269" t="str">
        <f>IF(_xlfn.IFERROR(INDEX('Корректировка НВВ'!$K$26:$L$180,MATCH($F138&amp;"2komm",'Корректировка НВВ'!$K$26:$K$180,0),2),"")=0,"",_xlfn.IFERROR(INDEX('Корректировка НВВ'!$K$26:$L$180,MATCH($F138&amp;"2komm",'Корректировка НВВ'!$K$26:$K$180,0),2),""))</f>
        <v/>
      </c>
      <c r="BP138" s="1265"/>
      <c r="BQ138" s="960"/>
      <c r="BR138" s="960"/>
      <c r="BS138" s="1048" t="s">
        <v>2039</v>
      </c>
      <c r="BT138" s="1048"/>
      <c r="BU138" s="1048"/>
      <c r="BV138" s="962"/>
      <c r="BW138" s="962"/>
    </row>
    <row customHeight="1" ht="43.875" hidden="1">
      <c r="A139" s="960"/>
      <c r="B139" s="961"/>
      <c r="C139" s="73"/>
      <c r="D139" s="73" cm="1" t="str">
        <f t="array" ref="D139:D139">D138</f>
        <v>7</v>
      </c>
      <c r="E139" s="600">
        <v>45</v>
      </c>
      <c r="F139" s="50" cm="1" t="str">
        <f t="array" ref="F139:F139">OFFSET(E139,-1,1)</f>
        <v>0</v>
      </c>
      <c r="G139" s="73"/>
      <c r="H139" s="73"/>
      <c r="I139" s="73" t="s">
        <v>556</v>
      </c>
      <c r="J139" s="73"/>
      <c r="K139" s="124" t="s">
        <v>556</v>
      </c>
      <c r="L139" s="963"/>
      <c r="M139" s="73"/>
      <c r="N139" s="73"/>
      <c r="O139" s="73"/>
      <c r="P139" s="73"/>
      <c r="Q139" s="73"/>
      <c r="R139" s="73"/>
      <c r="S139" s="73"/>
      <c r="T139" s="439" cm="1" t="str">
        <f t="array" ref="T139:T139">T138</f>
        <v>false</v>
      </c>
      <c r="U139" s="73"/>
      <c r="V139" s="73"/>
      <c r="W139" s="73"/>
      <c r="X139" s="1534"/>
      <c r="Y139" s="960"/>
      <c r="Z139" s="1465"/>
      <c r="AA139" s="960"/>
      <c r="AB139" s="267" t="str">
        <f>D139&amp;".3"</f>
        <v>7.3</v>
      </c>
      <c r="AC139" s="743" t="s">
        <v>2040</v>
      </c>
      <c r="AD139" s="267" t="s">
        <v>784</v>
      </c>
      <c r="AE139" s="1268"/>
      <c r="AF139" s="1268"/>
      <c r="AG139" s="1268"/>
      <c r="AH139" s="1099">
        <f>AG139-AF139</f>
        <v>0</v>
      </c>
      <c r="AI139" s="1268"/>
      <c r="AJ139" s="4561">
        <f>_xlfn.SUMIFS('Корректировка НВВ'!$AF$25:$AF$180,'Корректировка НВВ'!$F$25:$F$180,$F139,'Корректировка НВВ'!$I$25:$I$180,"L1")+_xlfn.SUMIFS('Корректировка НВВ'!$AF$25:$AF$180,'Корректировка НВВ'!$F$25:$F$180,$F139,'Корректировка НВВ'!$I$25:$I$180,"L2")</f>
        <v>0</v>
      </c>
      <c r="AK139" s="1268"/>
      <c r="AL139" s="1268"/>
      <c r="AM139" s="1268"/>
      <c r="AN139" s="1268"/>
      <c r="AO139" s="1268"/>
      <c r="AP139" s="1268"/>
      <c r="AQ139" s="1268"/>
      <c r="AR139" s="1268"/>
      <c r="AS139" s="1268"/>
      <c r="AT139" s="4561">
        <f>_xlfn.SUMIFS('Корректировка НВВ'!$AG$25:$AG$180,'Корректировка НВВ'!$F$25:$F$180,$F139,'Корректировка НВВ'!$I$25:$I$180,"L1")+_xlfn.SUMIFS('Корректировка НВВ'!$AF$25:$AF$180,'Корректировка НВВ'!$F$25:$F$180,$F139,'Корректировка НВВ'!$I$25:$I$180,"L2")</f>
        <v>0</v>
      </c>
      <c r="AU139" s="1268"/>
      <c r="AV139" s="1268"/>
      <c r="AW139" s="1268"/>
      <c r="AX139" s="1268"/>
      <c r="AY139" s="1268"/>
      <c r="AZ139" s="1268"/>
      <c r="BA139" s="1268"/>
      <c r="BB139" s="1268"/>
      <c r="BC139" s="1268"/>
      <c r="BD139" s="1100"/>
      <c r="BE139" s="1100"/>
      <c r="BF139" s="1100"/>
      <c r="BG139" s="1100"/>
      <c r="BH139" s="1100"/>
      <c r="BI139" s="1100"/>
      <c r="BJ139" s="1100"/>
      <c r="BK139" s="1100"/>
      <c r="BL139" s="1100"/>
      <c r="BM139" s="1100"/>
      <c r="BN139" s="1265"/>
      <c r="BO139" s="1269"/>
      <c r="BP139" s="1265"/>
      <c r="BQ139" s="960"/>
      <c r="BR139" s="960"/>
      <c r="BS139" s="1048" t="s">
        <v>2041</v>
      </c>
      <c r="BT139" s="1048"/>
      <c r="BU139" s="1048"/>
      <c r="BV139" s="962"/>
      <c r="BW139" s="962"/>
    </row>
    <row customHeight="1" ht="87.75" hidden="1">
      <c r="A140" s="960"/>
      <c r="B140" s="418">
        <f>S27="Водоотведение"</f>
        <v>0</v>
      </c>
      <c r="C140" s="73"/>
      <c r="D140" s="73" cm="1" t="str">
        <f t="array" ref="D140:D140">D139</f>
        <v>7</v>
      </c>
      <c r="E140" s="600">
        <v>90</v>
      </c>
      <c r="F140" s="50" cm="1" t="str">
        <f t="array" ref="F140:F140">OFFSET(E140,-1,1)</f>
        <v>0</v>
      </c>
      <c r="G140" s="73" t="s">
        <v>2042</v>
      </c>
      <c r="H140" s="830"/>
      <c r="I140" s="73" t="s">
        <v>725</v>
      </c>
      <c r="J140" s="73"/>
      <c r="K140" s="124" t="s">
        <v>725</v>
      </c>
      <c r="L140" s="963" t="s">
        <v>722</v>
      </c>
      <c r="M140" s="73"/>
      <c r="N140" s="73"/>
      <c r="O140" s="73"/>
      <c r="P140" s="73"/>
      <c r="Q140" s="73"/>
      <c r="R140" s="73"/>
      <c r="S140" s="73"/>
      <c r="T140" s="439" cm="1" t="str">
        <f t="array" ref="T140:T140">T139</f>
        <v>false</v>
      </c>
      <c r="U140" s="73"/>
      <c r="V140" s="73"/>
      <c r="W140" s="73"/>
      <c r="X140" s="1534"/>
      <c r="Y140" s="960"/>
      <c r="Z140" s="1465"/>
      <c r="AA140" s="960"/>
      <c r="AB140" s="267" t="str">
        <f>D140&amp;".4"</f>
        <v>7.4</v>
      </c>
      <c r="AC140" s="743" t="s">
        <v>1705</v>
      </c>
      <c r="AD140" s="747" t="s">
        <v>784</v>
      </c>
      <c r="AE140" s="1268"/>
      <c r="AF140" s="1268"/>
      <c r="AG140" s="1268"/>
      <c r="AH140" s="1099">
        <f>AG140-AF140</f>
        <v>0</v>
      </c>
      <c r="AI140" s="1268"/>
      <c r="AJ140" s="4561">
        <f>_xlfn.SUMIFS('Корректировка НВВ'!$AF$25:$AF$180,'Корректировка НВВ'!$F$25:$F$180,$F140,'Корректировка НВВ'!$I$25:$I$180,$G140)</f>
        <v>0</v>
      </c>
      <c r="AK140" s="1268"/>
      <c r="AL140" s="1268"/>
      <c r="AM140" s="1268"/>
      <c r="AN140" s="1268"/>
      <c r="AO140" s="1268"/>
      <c r="AP140" s="1268"/>
      <c r="AQ140" s="1268"/>
      <c r="AR140" s="1268"/>
      <c r="AS140" s="1268"/>
      <c r="AT140" s="4561">
        <f>_xlfn.SUMIFS('Корректировка НВВ'!$AG$25:$AG$180,'Корректировка НВВ'!$F$25:$F$180,$F140,'Корректировка НВВ'!$I$25:$I$180,$G140)</f>
        <v>0</v>
      </c>
      <c r="AU140" s="1268"/>
      <c r="AV140" s="1268"/>
      <c r="AW140" s="1268"/>
      <c r="AX140" s="1268"/>
      <c r="AY140" s="1268"/>
      <c r="AZ140" s="1268"/>
      <c r="BA140" s="1268"/>
      <c r="BB140" s="1268"/>
      <c r="BC140" s="1268"/>
      <c r="BD140" s="1100"/>
      <c r="BE140" s="1100"/>
      <c r="BF140" s="1100"/>
      <c r="BG140" s="1100"/>
      <c r="BH140" s="1100"/>
      <c r="BI140" s="1100"/>
      <c r="BJ140" s="1100"/>
      <c r="BK140" s="1100"/>
      <c r="BL140" s="1100"/>
      <c r="BM140" s="1100"/>
      <c r="BN140" s="1265"/>
      <c r="BO140" s="1269" t="str">
        <f>IF(_xlfn.IFERROR(INDEX('Корректировка НВВ'!$K$26:$L$180,MATCH($F140&amp;"3komm",'Корректировка НВВ'!$K$26:$K$180,0),2),"")=0,"",_xlfn.IFERROR(INDEX('Корректировка НВВ'!$K$26:$L$180,MATCH($F140&amp;"3komm",'Корректировка НВВ'!$K$26:$K$180,0),2),""))</f>
        <v/>
      </c>
      <c r="BP140" s="1265"/>
      <c r="BQ140" s="960"/>
      <c r="BR140" s="960"/>
      <c r="BS140" s="1048" t="s">
        <v>1249</v>
      </c>
      <c r="BT140" s="1048"/>
      <c r="BU140" s="1048"/>
      <c r="BV140" s="962"/>
      <c r="BW140" s="962"/>
    </row>
    <row customHeight="1" ht="54.84375" hidden="1">
      <c r="A141" s="960"/>
      <c r="B141" s="418" cm="1" t="str">
        <f t="array" ref="B141:B141">B140</f>
        <v>false</v>
      </c>
      <c r="C141" s="73"/>
      <c r="D141" s="73" cm="1" t="str">
        <f t="array" ref="D141:D141">D140</f>
        <v>7</v>
      </c>
      <c r="E141" s="600">
        <v>56.25</v>
      </c>
      <c r="F141" s="50" cm="1" t="str">
        <f t="array" ref="F141:F141">OFFSET(E141,-1,1)</f>
        <v>0</v>
      </c>
      <c r="G141" s="73" t="s">
        <v>2043</v>
      </c>
      <c r="H141" s="830"/>
      <c r="I141" s="73" t="s">
        <v>762</v>
      </c>
      <c r="J141" s="73"/>
      <c r="K141" s="124" t="s">
        <v>762</v>
      </c>
      <c r="L141" s="963" t="s">
        <v>725</v>
      </c>
      <c r="M141" s="73"/>
      <c r="N141" s="73"/>
      <c r="O141" s="73"/>
      <c r="P141" s="73"/>
      <c r="Q141" s="73"/>
      <c r="R141" s="73"/>
      <c r="S141" s="73"/>
      <c r="T141" s="439" cm="1" t="str">
        <f t="array" ref="T141:T141">T140</f>
        <v>false</v>
      </c>
      <c r="U141" s="73"/>
      <c r="V141" s="73"/>
      <c r="W141" s="73"/>
      <c r="X141" s="1534"/>
      <c r="Y141" s="960"/>
      <c r="Z141" s="1465"/>
      <c r="AA141" s="960"/>
      <c r="AB141" s="267" t="str">
        <f>D141&amp;".5"</f>
        <v>7.5</v>
      </c>
      <c r="AC141" s="743" t="s">
        <v>1707</v>
      </c>
      <c r="AD141" s="747" t="s">
        <v>784</v>
      </c>
      <c r="AE141" s="1268"/>
      <c r="AF141" s="1268"/>
      <c r="AG141" s="1268"/>
      <c r="AH141" s="1099">
        <f>AG141-AF141</f>
        <v>0</v>
      </c>
      <c r="AI141" s="1268"/>
      <c r="AJ141" s="4561">
        <f>_xlfn.SUMIFS('Корректировка НВВ'!$AF$25:$AF$180,'Корректировка НВВ'!$F$25:$F$180,$F141,'Корректировка НВВ'!$I$25:$I$180,$G141)</f>
        <v>0</v>
      </c>
      <c r="AK141" s="1268"/>
      <c r="AL141" s="1268"/>
      <c r="AM141" s="1268"/>
      <c r="AN141" s="1268"/>
      <c r="AO141" s="1268"/>
      <c r="AP141" s="1268"/>
      <c r="AQ141" s="1268"/>
      <c r="AR141" s="1268"/>
      <c r="AS141" s="1268"/>
      <c r="AT141" s="4561">
        <f>_xlfn.SUMIFS('Корректировка НВВ'!$AG$25:$AG$180,'Корректировка НВВ'!$F$25:$F$180,$F141,'Корректировка НВВ'!$I$25:$I$180,$G141)</f>
        <v>0</v>
      </c>
      <c r="AU141" s="1268"/>
      <c r="AV141" s="1268"/>
      <c r="AW141" s="1268"/>
      <c r="AX141" s="1268"/>
      <c r="AY141" s="1268"/>
      <c r="AZ141" s="1268"/>
      <c r="BA141" s="1268"/>
      <c r="BB141" s="1268"/>
      <c r="BC141" s="1268"/>
      <c r="BD141" s="1100"/>
      <c r="BE141" s="1100"/>
      <c r="BF141" s="1100"/>
      <c r="BG141" s="1100"/>
      <c r="BH141" s="1100"/>
      <c r="BI141" s="1100"/>
      <c r="BJ141" s="1100"/>
      <c r="BK141" s="1100"/>
      <c r="BL141" s="1100"/>
      <c r="BM141" s="1100"/>
      <c r="BN141" s="1265"/>
      <c r="BO141" s="1269" t="str">
        <f>IF(_xlfn.IFERROR(INDEX('Корректировка НВВ'!$K$26:$L$180,MATCH($F141&amp;"4komm",'Корректировка НВВ'!$K$26:$K$180,0),2),"")=0,"",_xlfn.IFERROR(INDEX('Корректировка НВВ'!$K$26:$L$180,MATCH($F141&amp;"4komm",'Корректировка НВВ'!$K$26:$K$180,0),2),""))</f>
        <v/>
      </c>
      <c r="BP141" s="1265"/>
      <c r="BQ141" s="960"/>
      <c r="BR141" s="960"/>
      <c r="BS141" s="1048" t="s">
        <v>1253</v>
      </c>
      <c r="BT141" s="1048"/>
      <c r="BU141" s="1048"/>
      <c r="BV141" s="962"/>
      <c r="BW141" s="962"/>
    </row>
    <row customHeight="1" ht="14.625" hidden="1">
      <c r="A142" s="960"/>
      <c r="B142" s="400"/>
      <c r="C142" s="73"/>
      <c r="D142" s="73" cm="1" t="str">
        <f t="array" ref="D142:D142">D141</f>
        <v>7</v>
      </c>
      <c r="E142" s="600">
        <v>15</v>
      </c>
      <c r="F142" s="50" cm="1" t="str">
        <f t="array" ref="F142:F142">OFFSET(E142,-1,1)</f>
        <v>0</v>
      </c>
      <c r="G142" s="73" t="s">
        <v>2044</v>
      </c>
      <c r="H142" s="73"/>
      <c r="I142" s="73" t="s">
        <v>763</v>
      </c>
      <c r="J142" s="73"/>
      <c r="K142" s="124" t="s">
        <v>763</v>
      </c>
      <c r="L142" s="963" t="s">
        <v>762</v>
      </c>
      <c r="M142" s="73"/>
      <c r="N142" s="73"/>
      <c r="O142" s="73"/>
      <c r="P142" s="73"/>
      <c r="Q142" s="73"/>
      <c r="R142" s="73"/>
      <c r="S142" s="73"/>
      <c r="T142" s="439" cm="1" t="str">
        <f t="array" ref="T142:T142">T141</f>
        <v>false</v>
      </c>
      <c r="U142" s="73"/>
      <c r="V142" s="73"/>
      <c r="W142" s="73"/>
      <c r="X142" s="1534"/>
      <c r="Y142" s="960"/>
      <c r="Z142" s="1465"/>
      <c r="AA142" s="960"/>
      <c r="AB142" s="267" t="str">
        <f>IF(B141,D142&amp;".6",D142&amp;".4")</f>
        <v>7.4</v>
      </c>
      <c r="AC142" s="743" t="s">
        <v>1466</v>
      </c>
      <c r="AD142" s="267" t="s">
        <v>784</v>
      </c>
      <c r="AE142" s="1268"/>
      <c r="AF142" s="1268"/>
      <c r="AG142" s="1268"/>
      <c r="AH142" s="1099">
        <f>AG142-AF142</f>
        <v>0</v>
      </c>
      <c r="AI142" s="1268"/>
      <c r="AJ142" s="4561">
        <f>_xlfn.SUMIFS('Корректировка НВВ'!$AF$25:$AF$180,'Корректировка НВВ'!$F$25:$F$180,$F142,'Корректировка НВВ'!$I$25:$I$180,$G142)</f>
        <v>0</v>
      </c>
      <c r="AK142" s="1268"/>
      <c r="AL142" s="1268"/>
      <c r="AM142" s="1268"/>
      <c r="AN142" s="1268"/>
      <c r="AO142" s="1268"/>
      <c r="AP142" s="1268"/>
      <c r="AQ142" s="1268"/>
      <c r="AR142" s="1268"/>
      <c r="AS142" s="1268"/>
      <c r="AT142" s="4561">
        <f>_xlfn.SUMIFS('Корректировка НВВ'!$AG$25:$AG$180,'Корректировка НВВ'!$F$25:$F$180,$F142,'Корректировка НВВ'!$I$25:$I$180,$G142)</f>
        <v>0</v>
      </c>
      <c r="AU142" s="1268"/>
      <c r="AV142" s="1268"/>
      <c r="AW142" s="1268"/>
      <c r="AX142" s="1268"/>
      <c r="AY142" s="1268"/>
      <c r="AZ142" s="1268"/>
      <c r="BA142" s="1268"/>
      <c r="BB142" s="1268"/>
      <c r="BC142" s="1268"/>
      <c r="BD142" s="1100"/>
      <c r="BE142" s="1100"/>
      <c r="BF142" s="1100"/>
      <c r="BG142" s="1100"/>
      <c r="BH142" s="1100"/>
      <c r="BI142" s="1100"/>
      <c r="BJ142" s="1100"/>
      <c r="BK142" s="1100"/>
      <c r="BL142" s="1100"/>
      <c r="BM142" s="1100"/>
      <c r="BN142" s="1265"/>
      <c r="BO142" s="1269" t="str">
        <f>IF(_xlfn.IFERROR(INDEX('Корректировка НВВ'!$K$26:$L$180,MATCH($F142&amp;"5komm",'Корректировка НВВ'!$K$26:$K$180,0),2),"")=0,"",_xlfn.IFERROR(INDEX('Корректировка НВВ'!$K$26:$L$180,MATCH($F142&amp;"5komm",'Корректировка НВВ'!$K$26:$K$180,0),2),""))</f>
        <v/>
      </c>
      <c r="BP142" s="1265"/>
      <c r="BQ142" s="960"/>
      <c r="BR142" s="960"/>
      <c r="BS142" s="1048" t="s">
        <v>2045</v>
      </c>
      <c r="BT142" s="1048"/>
      <c r="BU142" s="1048"/>
      <c r="BV142" s="962"/>
      <c r="BW142" s="962"/>
    </row>
    <row customHeight="1" ht="14.625" hidden="1">
      <c r="A143" s="960"/>
      <c r="B143" s="961"/>
      <c r="C143" s="73"/>
      <c r="D143" s="73" cm="1" t="str">
        <f t="array" ref="D143:D143">D142</f>
        <v>7</v>
      </c>
      <c r="E143" s="600">
        <v>15</v>
      </c>
      <c r="F143" s="50" cm="1" t="str">
        <f t="array" ref="F143:F143">OFFSET(E143,-1,1)</f>
        <v>0</v>
      </c>
      <c r="G143" s="73" t="s">
        <v>2046</v>
      </c>
      <c r="H143" s="73"/>
      <c r="I143" s="73" t="s">
        <v>1717</v>
      </c>
      <c r="J143" s="73"/>
      <c r="K143" s="124" t="s">
        <v>1717</v>
      </c>
      <c r="L143" s="963" t="s">
        <v>763</v>
      </c>
      <c r="M143" s="73"/>
      <c r="N143" s="73"/>
      <c r="O143" s="73"/>
      <c r="P143" s="73"/>
      <c r="Q143" s="73"/>
      <c r="R143" s="73"/>
      <c r="S143" s="73"/>
      <c r="T143" s="439" cm="1" t="str">
        <f t="array" ref="T143:T143">T142</f>
        <v>false</v>
      </c>
      <c r="U143" s="73"/>
      <c r="V143" s="73"/>
      <c r="W143" s="73"/>
      <c r="X143" s="1534"/>
      <c r="Y143" s="960"/>
      <c r="Z143" s="1465"/>
      <c r="AA143" s="960"/>
      <c r="AB143" s="267" t="str">
        <f>IF(B141,D142&amp;".7",D142&amp;".5")</f>
        <v>7.5</v>
      </c>
      <c r="AC143" s="743" t="s">
        <v>1428</v>
      </c>
      <c r="AD143" s="267" t="s">
        <v>784</v>
      </c>
      <c r="AE143" s="1268">
        <f>AE144+AE145</f>
        <v>0</v>
      </c>
      <c r="AF143" s="1268">
        <f>AF144+AF145</f>
        <v>0</v>
      </c>
      <c r="AG143" s="1268">
        <f>AG144+AG145</f>
        <v>0</v>
      </c>
      <c r="AH143" s="1099">
        <f>AG143-AF143</f>
        <v>0</v>
      </c>
      <c r="AI143" s="1268">
        <f>AI144+AI145</f>
        <v>0</v>
      </c>
      <c r="AJ143" s="4561">
        <f>_xlfn.SUMIFS('Корректировка НВВ'!$AF$25:$AF$180,'Корректировка НВВ'!$F$25:$F$180,$F143,'Корректировка НВВ'!$I$25:$I$180,$G143)</f>
        <v>0</v>
      </c>
      <c r="AK143" s="1268">
        <f>AK144+AK145</f>
        <v>0</v>
      </c>
      <c r="AL143" s="1268">
        <f>AL144+AL145</f>
        <v>0</v>
      </c>
      <c r="AM143" s="1268">
        <f>AM144+AM145</f>
        <v>0</v>
      </c>
      <c r="AN143" s="1268">
        <f>AN144+AN145</f>
        <v>0</v>
      </c>
      <c r="AO143" s="1268">
        <f>AO144+AO145</f>
        <v>0</v>
      </c>
      <c r="AP143" s="1268">
        <f>AP144+AP145</f>
        <v>0</v>
      </c>
      <c r="AQ143" s="1268">
        <f>AQ144+AQ145</f>
        <v>0</v>
      </c>
      <c r="AR143" s="1268">
        <f>AR144+AR145</f>
        <v>0</v>
      </c>
      <c r="AS143" s="1268">
        <f>AS144+AS145</f>
        <v>0</v>
      </c>
      <c r="AT143" s="4561">
        <f>_xlfn.SUMIFS('Корректировка НВВ'!$AG$25:$AG$180,'Корректировка НВВ'!$F$25:$F$180,$F143,'Корректировка НВВ'!$I$25:$I$180,$G143)</f>
        <v>0</v>
      </c>
      <c r="AU143" s="1268">
        <f>AU144+AU145</f>
        <v>0</v>
      </c>
      <c r="AV143" s="1268">
        <f>AV144+AV145</f>
        <v>0</v>
      </c>
      <c r="AW143" s="1268">
        <f>AW144+AW145</f>
        <v>0</v>
      </c>
      <c r="AX143" s="1268">
        <f>AX144+AX145</f>
        <v>0</v>
      </c>
      <c r="AY143" s="1268">
        <f>AY144+AY145</f>
        <v>0</v>
      </c>
      <c r="AZ143" s="1268">
        <f>AZ144+AZ145</f>
        <v>0</v>
      </c>
      <c r="BA143" s="1268">
        <f>BA144+BA145</f>
        <v>0</v>
      </c>
      <c r="BB143" s="1268">
        <f>BB144+BB145</f>
        <v>0</v>
      </c>
      <c r="BC143" s="1268">
        <f>BC144+BC145</f>
        <v>0</v>
      </c>
      <c r="BD143" s="1099">
        <f>IF(AI143=0,0,(AT143-AI143)/AI143*100)</f>
        <v>0</v>
      </c>
      <c r="BE143" s="1099">
        <f>IF(AT143=0,0,(AU143-AT143)/AT143*100)</f>
        <v>0</v>
      </c>
      <c r="BF143" s="1099">
        <f>IF(AU143=0,0,(AV143-AU143)/AU143*100)</f>
        <v>0</v>
      </c>
      <c r="BG143" s="1099">
        <f>IF(AV143=0,0,(AW143-AV143)/AV143*100)</f>
        <v>0</v>
      </c>
      <c r="BH143" s="1099">
        <f>IF(AW143=0,0,(AX143-AW143)/AW143*100)</f>
        <v>0</v>
      </c>
      <c r="BI143" s="1099">
        <f>IF(AX143=0,0,(AY143-AX143)/AX143*100)</f>
        <v>0</v>
      </c>
      <c r="BJ143" s="1099">
        <f>IF(AY143=0,0,(AZ143-AY143)/AY143*100)</f>
        <v>0</v>
      </c>
      <c r="BK143" s="1099">
        <f>IF(AZ143=0,0,(BA143-AZ143)/AZ143*100)</f>
        <v>0</v>
      </c>
      <c r="BL143" s="1099">
        <f>IF(BA143=0,0,(BB143-BA143)/BA143*100)</f>
        <v>0</v>
      </c>
      <c r="BM143" s="1099">
        <f>IF(BB143=0,0,(BC143-BB143)/BB143*100)</f>
        <v>0</v>
      </c>
      <c r="BN143" s="1265"/>
      <c r="BO143" s="1269" t="str">
        <f>IF(_xlfn.IFERROR(INDEX('Корректировка НВВ'!$K$26:$L$180,MATCH($F143&amp;"6komm",'Корректировка НВВ'!$K$26:$K$180,0),2),"")=0,"",_xlfn.IFERROR(INDEX('Корректировка НВВ'!$K$26:$L$180,MATCH($F143&amp;"6komm",'Корректировка НВВ'!$K$26:$K$180,0),2),""))</f>
        <v/>
      </c>
      <c r="BP143" s="1265"/>
      <c r="BQ143" s="960"/>
      <c r="BR143" s="960"/>
      <c r="BS143" s="1048" t="s">
        <v>1430</v>
      </c>
      <c r="BT143" s="1048"/>
      <c r="BU143" s="1048"/>
      <c r="BV143" s="962"/>
      <c r="BW143" s="962"/>
    </row>
    <row customHeight="1" ht="21.9375" hidden="1">
      <c r="A144" s="960"/>
      <c r="B144" s="961"/>
      <c r="C144" s="73"/>
      <c r="D144" s="73" cm="1" t="str">
        <f t="array" ref="D144:D144">D143</f>
        <v>7</v>
      </c>
      <c r="E144" s="600">
        <v>22.5</v>
      </c>
      <c r="F144" s="50" cm="1" t="str">
        <f t="array" ref="F144:F144">OFFSET(E144,-1,1)</f>
        <v>0</v>
      </c>
      <c r="G144" s="73" t="s">
        <v>2047</v>
      </c>
      <c r="H144" s="73"/>
      <c r="I144" s="73" t="s">
        <v>2048</v>
      </c>
      <c r="J144" s="73"/>
      <c r="K144" s="124" t="s">
        <v>2048</v>
      </c>
      <c r="L144" s="963" t="s">
        <v>1712</v>
      </c>
      <c r="M144" s="73"/>
      <c r="N144" s="73"/>
      <c r="O144" s="73"/>
      <c r="P144" s="73"/>
      <c r="Q144" s="73"/>
      <c r="R144" s="73"/>
      <c r="S144" s="73"/>
      <c r="T144" s="439" cm="1" t="str">
        <f t="array" ref="T144:T144">T143</f>
        <v>false</v>
      </c>
      <c r="U144" s="73"/>
      <c r="V144" s="73"/>
      <c r="W144" s="73"/>
      <c r="X144" s="1534"/>
      <c r="Y144" s="960"/>
      <c r="Z144" s="1465"/>
      <c r="AA144" s="960"/>
      <c r="AB144" s="267" t="str">
        <f>AB143&amp;".1"</f>
        <v>7.5.1</v>
      </c>
      <c r="AC144" s="762" t="s">
        <v>1431</v>
      </c>
      <c r="AD144" s="267" t="s">
        <v>784</v>
      </c>
      <c r="AE144" s="1268"/>
      <c r="AF144" s="1268"/>
      <c r="AG144" s="1268"/>
      <c r="AH144" s="1099">
        <f>AG144-AF144</f>
        <v>0</v>
      </c>
      <c r="AI144" s="1268"/>
      <c r="AJ144" s="4561">
        <f>_xlfn.SUMIFS('Корректировка НВВ'!$AF$25:$AF$180,'Корректировка НВВ'!$F$25:$F$180,$F144,'Корректировка НВВ'!$I$25:$I$180,$G144)</f>
        <v>0</v>
      </c>
      <c r="AK144" s="1268"/>
      <c r="AL144" s="1268"/>
      <c r="AM144" s="1268"/>
      <c r="AN144" s="1268"/>
      <c r="AO144" s="1268"/>
      <c r="AP144" s="1268"/>
      <c r="AQ144" s="1268"/>
      <c r="AR144" s="1268"/>
      <c r="AS144" s="1268"/>
      <c r="AT144" s="4561">
        <f>_xlfn.SUMIFS('Корректировка НВВ'!$AG$25:$AG$180,'Корректировка НВВ'!$F$25:$F$180,$F144,'Корректировка НВВ'!$I$25:$I$180,$G144)</f>
        <v>0</v>
      </c>
      <c r="AU144" s="1268"/>
      <c r="AV144" s="1268"/>
      <c r="AW144" s="1268"/>
      <c r="AX144" s="1268"/>
      <c r="AY144" s="1268"/>
      <c r="AZ144" s="1268"/>
      <c r="BA144" s="1268"/>
      <c r="BB144" s="1268"/>
      <c r="BC144" s="1268"/>
      <c r="BD144" s="1100"/>
      <c r="BE144" s="1100"/>
      <c r="BF144" s="1100"/>
      <c r="BG144" s="1100"/>
      <c r="BH144" s="1100"/>
      <c r="BI144" s="1100"/>
      <c r="BJ144" s="1100"/>
      <c r="BK144" s="1100"/>
      <c r="BL144" s="1100"/>
      <c r="BM144" s="1100"/>
      <c r="BN144" s="1265"/>
      <c r="BO144" s="1269" t="str">
        <f>IF(_xlfn.IFERROR(INDEX('Корректировка НВВ'!$K$26:$L$180,MATCH($F144&amp;"7komm",'Корректировка НВВ'!$K$26:$K$180,0),2),"")=0,"",_xlfn.IFERROR(INDEX('Корректировка НВВ'!$K$26:$L$180,MATCH($F144&amp;"7komm",'Корректировка НВВ'!$K$26:$K$180,0),2),""))</f>
        <v/>
      </c>
      <c r="BP144" s="1265"/>
      <c r="BQ144" s="960"/>
      <c r="BR144" s="960"/>
      <c r="BS144" s="1048" t="s">
        <v>1432</v>
      </c>
      <c r="BT144" s="1048"/>
      <c r="BU144" s="1048"/>
      <c r="BV144" s="962"/>
      <c r="BW144" s="962"/>
    </row>
    <row customHeight="1" ht="21.9375" hidden="1">
      <c r="A145" s="960"/>
      <c r="B145" s="961"/>
      <c r="C145" s="73"/>
      <c r="D145" s="73" cm="1" t="str">
        <f t="array" ref="D145:D145">D144</f>
        <v>7</v>
      </c>
      <c r="E145" s="600">
        <v>22.5</v>
      </c>
      <c r="F145" s="50" cm="1" t="str">
        <f t="array" ref="F145:F145">OFFSET(E145,-1,1)</f>
        <v>0</v>
      </c>
      <c r="G145" s="73" t="s">
        <v>2049</v>
      </c>
      <c r="H145" s="73"/>
      <c r="I145" s="73" t="s">
        <v>2050</v>
      </c>
      <c r="J145" s="73"/>
      <c r="K145" s="124" t="s">
        <v>2050</v>
      </c>
      <c r="L145" s="963" t="s">
        <v>1714</v>
      </c>
      <c r="M145" s="73"/>
      <c r="N145" s="73"/>
      <c r="O145" s="73"/>
      <c r="P145" s="73"/>
      <c r="Q145" s="73"/>
      <c r="R145" s="73"/>
      <c r="S145" s="73"/>
      <c r="T145" s="439" cm="1" t="str">
        <f t="array" ref="T145:T145">T144</f>
        <v>false</v>
      </c>
      <c r="U145" s="73"/>
      <c r="V145" s="73"/>
      <c r="W145" s="73"/>
      <c r="X145" s="1534"/>
      <c r="Y145" s="960"/>
      <c r="Z145" s="1465"/>
      <c r="AA145" s="960"/>
      <c r="AB145" s="267" t="str">
        <f>AB143&amp;".2"</f>
        <v>7.5.2</v>
      </c>
      <c r="AC145" s="762" t="s">
        <v>1433</v>
      </c>
      <c r="AD145" s="267" t="s">
        <v>784</v>
      </c>
      <c r="AE145" s="1268"/>
      <c r="AF145" s="1268"/>
      <c r="AG145" s="1268"/>
      <c r="AH145" s="1099">
        <f>AG145-AF145</f>
        <v>0</v>
      </c>
      <c r="AI145" s="1268"/>
      <c r="AJ145" s="4561">
        <f>_xlfn.SUMIFS('Корректировка НВВ'!$AF$25:$AF$180,'Корректировка НВВ'!$F$25:$F$180,$F145,'Корректировка НВВ'!$I$25:$I$180,$G145)</f>
        <v>0</v>
      </c>
      <c r="AK145" s="1268"/>
      <c r="AL145" s="1268"/>
      <c r="AM145" s="1268"/>
      <c r="AN145" s="1268"/>
      <c r="AO145" s="1268"/>
      <c r="AP145" s="1268"/>
      <c r="AQ145" s="1268"/>
      <c r="AR145" s="1268"/>
      <c r="AS145" s="1268"/>
      <c r="AT145" s="4561">
        <f>_xlfn.SUMIFS('Корректировка НВВ'!$AG$25:$AG$180,'Корректировка НВВ'!$F$25:$F$180,$F145,'Корректировка НВВ'!$I$25:$I$180,$G145)</f>
        <v>0</v>
      </c>
      <c r="AU145" s="1268"/>
      <c r="AV145" s="1268"/>
      <c r="AW145" s="1268"/>
      <c r="AX145" s="1268"/>
      <c r="AY145" s="1268"/>
      <c r="AZ145" s="1268"/>
      <c r="BA145" s="1268"/>
      <c r="BB145" s="1268"/>
      <c r="BC145" s="1268"/>
      <c r="BD145" s="1100"/>
      <c r="BE145" s="1100"/>
      <c r="BF145" s="1100"/>
      <c r="BG145" s="1100"/>
      <c r="BH145" s="1100"/>
      <c r="BI145" s="1100"/>
      <c r="BJ145" s="1100"/>
      <c r="BK145" s="1100"/>
      <c r="BL145" s="1100"/>
      <c r="BM145" s="1100"/>
      <c r="BN145" s="1265"/>
      <c r="BO145" s="1269" t="str">
        <f>IF(_xlfn.IFERROR(INDEX('Корректировка НВВ'!$K$26:$L$180,MATCH($F145&amp;"8komm",'Корректировка НВВ'!$K$26:$K$180,0),2),"")=0,"",_xlfn.IFERROR(INDEX('Корректировка НВВ'!$K$26:$L$180,MATCH($F145&amp;"8komm",'Корректировка НВВ'!$K$26:$K$180,0),2),""))</f>
        <v/>
      </c>
      <c r="BP145" s="1265"/>
      <c r="BQ145" s="960"/>
      <c r="BR145" s="960"/>
      <c r="BS145" s="1048" t="s">
        <v>1434</v>
      </c>
      <c r="BT145" s="1048"/>
      <c r="BU145" s="1048"/>
      <c r="BV145" s="962"/>
      <c r="BW145" s="962"/>
    </row>
    <row customHeight="1" ht="14.625" hidden="1">
      <c r="A146" s="960"/>
      <c r="B146" s="961"/>
      <c r="C146" s="73"/>
      <c r="D146" s="73" cm="1" t="str">
        <f t="array" ref="D146:D146">D145</f>
        <v>7</v>
      </c>
      <c r="E146" s="600">
        <v>15</v>
      </c>
      <c r="F146" s="50" cm="1" t="str">
        <f t="array" ref="F146:F146">OFFSET(E146,-1,1)</f>
        <v>0</v>
      </c>
      <c r="G146" s="73" t="s">
        <v>312</v>
      </c>
      <c r="H146" s="73"/>
      <c r="I146" s="73" t="s">
        <v>1718</v>
      </c>
      <c r="J146" s="73"/>
      <c r="K146" s="124" t="s">
        <v>1718</v>
      </c>
      <c r="L146" s="963" t="s">
        <v>1717</v>
      </c>
      <c r="M146" s="73"/>
      <c r="N146" s="73"/>
      <c r="O146" s="73"/>
      <c r="P146" s="73"/>
      <c r="Q146" s="73"/>
      <c r="R146" s="73"/>
      <c r="S146" s="73"/>
      <c r="T146" s="439" cm="1" t="str">
        <f t="array" ref="T146:T146">T145</f>
        <v>false</v>
      </c>
      <c r="U146" s="73"/>
      <c r="V146" s="73"/>
      <c r="W146" s="73"/>
      <c r="X146" s="1534"/>
      <c r="Y146" s="960"/>
      <c r="Z146" s="1465"/>
      <c r="AA146" s="960"/>
      <c r="AB146" s="267" t="str">
        <f>IF(B141,D142&amp;".8",D142&amp;".6")</f>
        <v>7.6</v>
      </c>
      <c r="AC146" s="763" t="s">
        <v>1435</v>
      </c>
      <c r="AD146" s="267" t="s">
        <v>784</v>
      </c>
      <c r="AE146" s="1268"/>
      <c r="AF146" s="1268"/>
      <c r="AG146" s="1268"/>
      <c r="AH146" s="1099">
        <f>AG146-AF146</f>
        <v>0</v>
      </c>
      <c r="AI146" s="1268"/>
      <c r="AJ146" s="4561">
        <f>_xlfn.SUMIFS('Корректировка НВВ'!$AF$25:$AF$180,'Корректировка НВВ'!$F$25:$F$180,$F146,'Корректировка НВВ'!$I$25:$I$180,$G146)</f>
        <v>0</v>
      </c>
      <c r="AK146" s="1268"/>
      <c r="AL146" s="1268"/>
      <c r="AM146" s="1268"/>
      <c r="AN146" s="1268"/>
      <c r="AO146" s="1268"/>
      <c r="AP146" s="1268"/>
      <c r="AQ146" s="1268"/>
      <c r="AR146" s="1268"/>
      <c r="AS146" s="1268"/>
      <c r="AT146" s="4561">
        <f>_xlfn.SUMIFS('Корректировка НВВ'!$AG$25:$AG$180,'Корректировка НВВ'!$F$25:$F$180,$F146,'Корректировка НВВ'!$I$25:$I$180,$G146)</f>
        <v>0</v>
      </c>
      <c r="AU146" s="1268"/>
      <c r="AV146" s="1268"/>
      <c r="AW146" s="1268"/>
      <c r="AX146" s="1268"/>
      <c r="AY146" s="1268"/>
      <c r="AZ146" s="1268"/>
      <c r="BA146" s="1268"/>
      <c r="BB146" s="1268"/>
      <c r="BC146" s="1268"/>
      <c r="BD146" s="1100"/>
      <c r="BE146" s="1100"/>
      <c r="BF146" s="1100"/>
      <c r="BG146" s="1100"/>
      <c r="BH146" s="1100"/>
      <c r="BI146" s="1100"/>
      <c r="BJ146" s="1100"/>
      <c r="BK146" s="1100"/>
      <c r="BL146" s="1100"/>
      <c r="BM146" s="1100"/>
      <c r="BN146" s="1265"/>
      <c r="BO146" s="1269" t="str">
        <f>IF(_xlfn.IFERROR(INDEX('Корректировка НВВ'!$K$26:$L$180,MATCH($F146&amp;"9komm",'Корректировка НВВ'!$K$26:$K$180,0),2),"")=0,"",_xlfn.IFERROR(INDEX('Корректировка НВВ'!$K$26:$L$180,MATCH($F146&amp;"9komm",'Корректировка НВВ'!$K$26:$K$180,0),2),""))</f>
        <v/>
      </c>
      <c r="BP146" s="1265"/>
      <c r="BQ146" s="960"/>
      <c r="BR146" s="960"/>
      <c r="BS146" s="1048" t="s">
        <v>2051</v>
      </c>
      <c r="BT146" s="1048"/>
      <c r="BU146" s="1048"/>
      <c r="BV146" s="962"/>
      <c r="BW146" s="962"/>
    </row>
    <row customHeight="1" ht="14.625" hidden="1">
      <c r="A147" s="960"/>
      <c r="B147" s="961"/>
      <c r="C147" s="73"/>
      <c r="D147" s="73" cm="1" t="str">
        <f t="array" ref="D147:D147">D146</f>
        <v>7</v>
      </c>
      <c r="E147" s="600">
        <v>15</v>
      </c>
      <c r="F147" s="50" cm="1" t="str">
        <f t="array" ref="F147:F147">OFFSET(E147,-1,1)</f>
        <v>0</v>
      </c>
      <c r="G147" s="73" t="s">
        <v>2052</v>
      </c>
      <c r="H147" s="73"/>
      <c r="I147" s="73" t="s">
        <v>1720</v>
      </c>
      <c r="J147" s="73"/>
      <c r="K147" s="124" t="s">
        <v>1720</v>
      </c>
      <c r="L147" s="963" t="s">
        <v>1718</v>
      </c>
      <c r="M147" s="73"/>
      <c r="N147" s="73"/>
      <c r="O147" s="73"/>
      <c r="P147" s="73"/>
      <c r="Q147" s="73"/>
      <c r="R147" s="73"/>
      <c r="S147" s="73"/>
      <c r="T147" s="439" cm="1" t="str">
        <f t="array" ref="T147:T147">T146</f>
        <v>false</v>
      </c>
      <c r="U147" s="73"/>
      <c r="V147" s="73"/>
      <c r="W147" s="73"/>
      <c r="X147" s="1534"/>
      <c r="Y147" s="960"/>
      <c r="Z147" s="1465"/>
      <c r="AA147" s="960"/>
      <c r="AB147" s="267" t="str">
        <f>IF(B141,D142&amp;".9",D142&amp;".7")</f>
        <v>7.7</v>
      </c>
      <c r="AC147" s="763" t="s">
        <v>1437</v>
      </c>
      <c r="AD147" s="267" t="s">
        <v>784</v>
      </c>
      <c r="AE147" s="1268"/>
      <c r="AF147" s="1268"/>
      <c r="AG147" s="1268"/>
      <c r="AH147" s="1099">
        <f>AG147-AF147</f>
        <v>0</v>
      </c>
      <c r="AI147" s="1268"/>
      <c r="AJ147" s="4561">
        <f>_xlfn.SUMIFS('Корректировка НВВ'!$AF$25:$AF$180,'Корректировка НВВ'!$F$25:$F$180,$F147,'Корректировка НВВ'!$I$25:$I$180,$G147)</f>
        <v>0</v>
      </c>
      <c r="AK147" s="1268"/>
      <c r="AL147" s="1268"/>
      <c r="AM147" s="1268"/>
      <c r="AN147" s="1268"/>
      <c r="AO147" s="1268"/>
      <c r="AP147" s="1268"/>
      <c r="AQ147" s="1268"/>
      <c r="AR147" s="1268"/>
      <c r="AS147" s="1268"/>
      <c r="AT147" s="4561">
        <f>_xlfn.SUMIFS('Корректировка НВВ'!$AG$25:$AG$180,'Корректировка НВВ'!$F$25:$F$180,$F147,'Корректировка НВВ'!$I$25:$I$180,$G147)</f>
        <v>0</v>
      </c>
      <c r="AU147" s="1268"/>
      <c r="AV147" s="1268"/>
      <c r="AW147" s="1268"/>
      <c r="AX147" s="1268"/>
      <c r="AY147" s="1268"/>
      <c r="AZ147" s="1268"/>
      <c r="BA147" s="1268"/>
      <c r="BB147" s="1268"/>
      <c r="BC147" s="1268"/>
      <c r="BD147" s="1100"/>
      <c r="BE147" s="1100"/>
      <c r="BF147" s="1100"/>
      <c r="BG147" s="1100"/>
      <c r="BH147" s="1100"/>
      <c r="BI147" s="1100"/>
      <c r="BJ147" s="1100"/>
      <c r="BK147" s="1100"/>
      <c r="BL147" s="1100"/>
      <c r="BM147" s="1100"/>
      <c r="BN147" s="1265"/>
      <c r="BO147" s="1269" t="str">
        <f>IF(_xlfn.IFERROR(INDEX('Корректировка НВВ'!$K$26:$L$180,MATCH($F147&amp;"10komm",'Корректировка НВВ'!$K$26:$K$180,0),2),"")=0,"",_xlfn.IFERROR(INDEX('Корректировка НВВ'!$K$26:$L$180,MATCH($F147&amp;"10komm",'Корректировка НВВ'!$K$26:$K$180,0),2),""))</f>
        <v/>
      </c>
      <c r="BP147" s="1265"/>
      <c r="BQ147" s="960"/>
      <c r="BR147" s="960"/>
      <c r="BS147" s="1048" t="s">
        <v>1438</v>
      </c>
      <c r="BT147" s="1048"/>
      <c r="BU147" s="1048"/>
      <c r="BV147" s="962"/>
      <c r="BW147" s="962"/>
    </row>
    <row s="680" customFormat="1" customHeight="1" ht="20.475" hidden="1">
      <c r="A148" s="680"/>
      <c r="B148" s="408"/>
      <c r="C148" s="75"/>
      <c r="D148" s="75">
        <f>D147+1</f>
        <v>8</v>
      </c>
      <c r="E148" s="807">
        <v>21</v>
      </c>
      <c r="F148" s="50" cm="1" t="str">
        <f t="array" ref="F148:F148">OFFSET(E148,-1,1)</f>
        <v>0</v>
      </c>
      <c r="G148" s="75"/>
      <c r="H148" s="75"/>
      <c r="I148" s="75" t="s">
        <v>564</v>
      </c>
      <c r="J148" s="75"/>
      <c r="K148" s="128" t="s">
        <v>564</v>
      </c>
      <c r="L148" s="968"/>
      <c r="M148" s="75"/>
      <c r="N148" s="75"/>
      <c r="O148" s="75"/>
      <c r="P148" s="75"/>
      <c r="Q148" s="75"/>
      <c r="R148" s="75"/>
      <c r="S148" s="75"/>
      <c r="T148" s="439" cm="1" t="str">
        <f t="array" ref="T148:T148">T147</f>
        <v>false</v>
      </c>
      <c r="U148" s="75"/>
      <c r="V148" s="75"/>
      <c r="W148" s="75"/>
      <c r="X148" s="1534"/>
      <c r="Y148" s="680"/>
      <c r="Z148" s="1465"/>
      <c r="AA148" s="680"/>
      <c r="AB148" s="178" cm="1" t="str">
        <f t="array" ref="AB148:AB148">D148</f>
        <v>8</v>
      </c>
      <c r="AC148" s="179" t="s">
        <v>2053</v>
      </c>
      <c r="AD148" s="178" t="s">
        <v>784</v>
      </c>
      <c r="AE148" s="1264"/>
      <c r="AF148" s="1264"/>
      <c r="AG148" s="1264"/>
      <c r="AH148" s="759">
        <f>AG148-AF148</f>
        <v>0</v>
      </c>
      <c r="AI148" s="1264"/>
      <c r="AJ148" s="4606"/>
      <c r="AK148" s="1264"/>
      <c r="AL148" s="1264"/>
      <c r="AM148" s="1264"/>
      <c r="AN148" s="1264"/>
      <c r="AO148" s="1264"/>
      <c r="AP148" s="1264"/>
      <c r="AQ148" s="1264"/>
      <c r="AR148" s="1264"/>
      <c r="AS148" s="1264"/>
      <c r="AT148" s="4606"/>
      <c r="AU148" s="1264"/>
      <c r="AV148" s="1264"/>
      <c r="AW148" s="1264"/>
      <c r="AX148" s="1264"/>
      <c r="AY148" s="1264"/>
      <c r="AZ148" s="1264"/>
      <c r="BA148" s="1264"/>
      <c r="BB148" s="1264"/>
      <c r="BC148" s="1264"/>
      <c r="BD148" s="183"/>
      <c r="BE148" s="183"/>
      <c r="BF148" s="183"/>
      <c r="BG148" s="183"/>
      <c r="BH148" s="183"/>
      <c r="BI148" s="183"/>
      <c r="BJ148" s="183"/>
      <c r="BK148" s="183"/>
      <c r="BL148" s="183"/>
      <c r="BM148" s="183"/>
      <c r="BN148" s="1267"/>
      <c r="BO148" s="1267"/>
      <c r="BP148" s="1267"/>
      <c r="BQ148" s="680"/>
      <c r="BR148" s="680"/>
      <c r="BS148" s="1054" t="s">
        <v>2054</v>
      </c>
      <c r="BT148" s="1054"/>
      <c r="BU148" s="1054"/>
      <c r="BV148" s="687"/>
      <c r="BW148" s="687"/>
    </row>
    <row customHeight="1" ht="14.625" hidden="1">
      <c r="A149" s="960"/>
      <c r="B149" s="961"/>
      <c r="C149" s="73"/>
      <c r="D149" s="75" cm="1" t="str">
        <f t="array" ref="D149:D149">D148</f>
        <v>8</v>
      </c>
      <c r="E149" s="600">
        <v>15</v>
      </c>
      <c r="F149" s="50" cm="1" t="str">
        <f t="array" ref="F149:F149">OFFSET(E149,-1,1)</f>
        <v>0</v>
      </c>
      <c r="G149" s="73"/>
      <c r="H149" s="73"/>
      <c r="I149" s="73" t="s">
        <v>568</v>
      </c>
      <c r="J149" s="73"/>
      <c r="K149" s="124" t="s">
        <v>568</v>
      </c>
      <c r="L149" s="963"/>
      <c r="M149" s="73"/>
      <c r="N149" s="73"/>
      <c r="O149" s="73"/>
      <c r="P149" s="73"/>
      <c r="Q149" s="73"/>
      <c r="R149" s="73"/>
      <c r="S149" s="73"/>
      <c r="T149" s="439" cm="1" t="str">
        <f t="array" ref="T149:T149">T148</f>
        <v>false</v>
      </c>
      <c r="U149" s="73"/>
      <c r="V149" s="73"/>
      <c r="W149" s="73"/>
      <c r="X149" s="1534"/>
      <c r="Y149" s="960"/>
      <c r="Z149" s="1465"/>
      <c r="AA149" s="960"/>
      <c r="AB149" s="267" t="str">
        <f>D149&amp;".1"</f>
        <v>8.1</v>
      </c>
      <c r="AC149" s="743" t="s">
        <v>2055</v>
      </c>
      <c r="AD149" s="267" t="s">
        <v>437</v>
      </c>
      <c r="AE149" s="1099">
        <f>IF(AE150=0,0,AE148/(AE150+AE135)*100)</f>
        <v>0</v>
      </c>
      <c r="AF149" s="1099">
        <f>IF(AF150=0,0,AF148/(AF150+AF135)*100)</f>
        <v>0</v>
      </c>
      <c r="AG149" s="1099">
        <f>IF(AG150=0,0,AG148/(AG150+AG135)*100)</f>
        <v>0</v>
      </c>
      <c r="AH149" s="1099">
        <f>AG149-AF149</f>
        <v>0</v>
      </c>
      <c r="AI149" s="1099">
        <f>IF(AI150=0,0,AI148/(AI150+AI135)*100)</f>
        <v>0</v>
      </c>
      <c r="AJ149" s="1099">
        <f>IF(AJ150=0,0,AJ148/(AJ150+AJ135)*100)</f>
        <v>0</v>
      </c>
      <c r="AK149" s="1099">
        <f>IF(AK150=0,0,AK148/(AK150+AK135)*100)</f>
        <v>0</v>
      </c>
      <c r="AL149" s="1099">
        <f>IF(AL150=0,0,AL148/(AL150+AL135)*100)</f>
        <v>0</v>
      </c>
      <c r="AM149" s="1099">
        <f>IF(AM150=0,0,AM148/(AM150+AM135)*100)</f>
        <v>0</v>
      </c>
      <c r="AN149" s="1099">
        <f>IF(AN150=0,0,AN148/(AN150+AN135)*100)</f>
        <v>0</v>
      </c>
      <c r="AO149" s="1099">
        <f>IF(AO150=0,0,AO148/(AO150+AO135)*100)</f>
        <v>0</v>
      </c>
      <c r="AP149" s="1099">
        <f>IF(AP150=0,0,AP148/(AP150+AP135)*100)</f>
        <v>0</v>
      </c>
      <c r="AQ149" s="1099">
        <f>IF(AQ150=0,0,AQ148/(AQ150+AQ135)*100)</f>
        <v>0</v>
      </c>
      <c r="AR149" s="1099">
        <f>IF(AR150=0,0,AR148/(AR150+AR135)*100)</f>
        <v>0</v>
      </c>
      <c r="AS149" s="1099">
        <f>IF(AS150=0,0,AS148/(AS150+AS135)*100)</f>
        <v>0</v>
      </c>
      <c r="AT149" s="1099">
        <f>IF(AT150=0,0,AT148/(AT150+AT135)*100)</f>
        <v>0</v>
      </c>
      <c r="AU149" s="1099">
        <f>IF(AU150=0,0,AU148/(AU150+AU135)*100)</f>
        <v>0</v>
      </c>
      <c r="AV149" s="1099">
        <f>IF(AV150=0,0,AV148/(AV150+AV135)*100)</f>
        <v>0</v>
      </c>
      <c r="AW149" s="1099">
        <f>IF(AW150=0,0,AW148/(AW150+AW135)*100)</f>
        <v>0</v>
      </c>
      <c r="AX149" s="1099">
        <f>IF(AX150=0,0,AX148/(AX150+AX135)*100)</f>
        <v>0</v>
      </c>
      <c r="AY149" s="1099">
        <f>IF(AY150=0,0,AY148/(AY150+AY135)*100)</f>
        <v>0</v>
      </c>
      <c r="AZ149" s="1099">
        <f>IF(AZ150=0,0,AZ148/(AZ150+AZ135)*100)</f>
        <v>0</v>
      </c>
      <c r="BA149" s="1099">
        <f>IF(BA150=0,0,BA148/(BA150+BA135)*100)</f>
        <v>0</v>
      </c>
      <c r="BB149" s="1099">
        <f>IF(BB150=0,0,BB148/(BB150+BB135)*100)</f>
        <v>0</v>
      </c>
      <c r="BC149" s="1099">
        <f>IF(BC150=0,0,BC148/(BC150+BC135)*100)</f>
        <v>0</v>
      </c>
      <c r="BD149" s="1100"/>
      <c r="BE149" s="1100"/>
      <c r="BF149" s="1100"/>
      <c r="BG149" s="1100"/>
      <c r="BH149" s="1100"/>
      <c r="BI149" s="1100"/>
      <c r="BJ149" s="1100"/>
      <c r="BK149" s="1100"/>
      <c r="BL149" s="1100"/>
      <c r="BM149" s="1100"/>
      <c r="BN149" s="1265"/>
      <c r="BO149" s="1265"/>
      <c r="BP149" s="1265"/>
      <c r="BQ149" s="960"/>
      <c r="BR149" s="960"/>
      <c r="BS149" s="1048" t="s">
        <v>2056</v>
      </c>
      <c r="BT149" s="1048"/>
      <c r="BU149" s="1048"/>
      <c r="BV149" s="962"/>
      <c r="BW149" s="962"/>
    </row>
    <row s="680" customFormat="1" customHeight="1" ht="20.475" hidden="1">
      <c r="A150" s="680"/>
      <c r="B150" s="408"/>
      <c r="C150" s="75"/>
      <c r="D150" s="75">
        <f>D149+1</f>
        <v>9</v>
      </c>
      <c r="E150" s="807">
        <v>21</v>
      </c>
      <c r="F150" s="50" cm="1" t="str">
        <f t="array" ref="F150:F150">OFFSET(E150,-1,1)</f>
        <v>0</v>
      </c>
      <c r="G150" s="75"/>
      <c r="H150" s="73"/>
      <c r="I150" s="73" t="s">
        <v>722</v>
      </c>
      <c r="J150" s="75"/>
      <c r="K150" s="124" t="s">
        <v>722</v>
      </c>
      <c r="L150" s="968" t="s">
        <v>1720</v>
      </c>
      <c r="M150" s="75"/>
      <c r="N150" s="75"/>
      <c r="O150" s="75"/>
      <c r="P150" s="75"/>
      <c r="Q150" s="75"/>
      <c r="R150" s="75"/>
      <c r="S150" s="75"/>
      <c r="T150" s="439" cm="1" t="str">
        <f t="array" ref="T150:T150">T149</f>
        <v>false</v>
      </c>
      <c r="U150" s="75"/>
      <c r="V150" s="75"/>
      <c r="W150" s="75"/>
      <c r="X150" s="1534"/>
      <c r="Y150" s="680"/>
      <c r="Z150" s="1465"/>
      <c r="AA150" s="680"/>
      <c r="AB150" s="178" cm="1" t="str">
        <f t="array" ref="AB150:AB150">D150</f>
        <v>9</v>
      </c>
      <c r="AC150" s="179" t="s">
        <v>1722</v>
      </c>
      <c r="AD150" s="201" t="s">
        <v>784</v>
      </c>
      <c r="AE150" s="180">
        <f>AE28+AE78+AE114+AE115+AE117+AE122+AE123+AE126</f>
        <v>0</v>
      </c>
      <c r="AF150" s="180">
        <f>AF28+AF78+AF114+AF115+AF117+AF122+AF123+AF126</f>
        <v>0</v>
      </c>
      <c r="AG150" s="180">
        <f>AG28+AG78+AG114+AG115+AG117+AG122+AG123+AG126</f>
        <v>0</v>
      </c>
      <c r="AH150" s="759">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59">
        <f>IF(AI150=0,0,(AT150-AI150)/AI150*100)</f>
        <v>0</v>
      </c>
      <c r="BE150" s="759">
        <f>IF(AT150=0,0,(AU150-AT150)/AT150*100)</f>
        <v>0</v>
      </c>
      <c r="BF150" s="759">
        <f>IF(AU150=0,0,(AV150-AU150)/AU150*100)</f>
        <v>0</v>
      </c>
      <c r="BG150" s="759">
        <f>IF(AV150=0,0,(AW150-AV150)/AV150*100)</f>
        <v>0</v>
      </c>
      <c r="BH150" s="759">
        <f>IF(AW150=0,0,(AX150-AW150)/AW150*100)</f>
        <v>0</v>
      </c>
      <c r="BI150" s="759">
        <f>IF(AX150=0,0,(AY150-AX150)/AX150*100)</f>
        <v>0</v>
      </c>
      <c r="BJ150" s="759">
        <f>IF(AY150=0,0,(AZ150-AY150)/AY150*100)</f>
        <v>0</v>
      </c>
      <c r="BK150" s="759">
        <f>IF(AZ150=0,0,(BA150-AZ150)/AZ150*100)</f>
        <v>0</v>
      </c>
      <c r="BL150" s="759">
        <f>IF(BA150=0,0,(BB150-BA150)/BA150*100)</f>
        <v>0</v>
      </c>
      <c r="BM150" s="759">
        <f>IF(BB150=0,0,(BC150-BB150)/BB150*100)</f>
        <v>0</v>
      </c>
      <c r="BN150" s="1265"/>
      <c r="BO150" s="1265"/>
      <c r="BP150" s="1265"/>
      <c r="BQ150" s="680"/>
      <c r="BR150" s="680"/>
      <c r="BS150" s="1054" t="s">
        <v>1723</v>
      </c>
      <c r="BT150" s="1054"/>
      <c r="BU150" s="1054"/>
      <c r="BV150" s="687"/>
      <c r="BW150" s="687"/>
    </row>
    <row s="680" customFormat="1" customHeight="1" ht="20.475" hidden="1">
      <c r="A151" s="680"/>
      <c r="B151" s="408"/>
      <c r="C151" s="75"/>
      <c r="D151" s="75">
        <f>D150+1</f>
        <v>10</v>
      </c>
      <c r="E151" s="807">
        <v>21</v>
      </c>
      <c r="F151" s="50" cm="1" t="str">
        <f t="array" ref="F151:F151">OFFSET(E151,-1,1)</f>
        <v>0</v>
      </c>
      <c r="G151" s="75"/>
      <c r="H151" s="73"/>
      <c r="I151" s="73" t="s">
        <v>1732</v>
      </c>
      <c r="J151" s="75"/>
      <c r="K151" s="124" t="s">
        <v>1732</v>
      </c>
      <c r="L151" s="968"/>
      <c r="M151" s="75"/>
      <c r="N151" s="75"/>
      <c r="O151" s="75"/>
      <c r="P151" s="75"/>
      <c r="Q151" s="75"/>
      <c r="R151" s="75"/>
      <c r="S151" s="75"/>
      <c r="T151" s="439" cm="1" t="str">
        <f t="array" ref="T151:T151">T150</f>
        <v>false</v>
      </c>
      <c r="U151" s="75"/>
      <c r="V151" s="75"/>
      <c r="W151" s="75"/>
      <c r="X151" s="1534"/>
      <c r="Y151" s="680"/>
      <c r="Z151" s="1465"/>
      <c r="AA151" s="680"/>
      <c r="AB151" s="178" cm="1" t="str">
        <f t="array" ref="AB151:AB151">D151</f>
        <v>10</v>
      </c>
      <c r="AC151" s="179" t="s">
        <v>2057</v>
      </c>
      <c r="AD151" s="178" t="s">
        <v>784</v>
      </c>
      <c r="AE151" s="180">
        <f>AE150+AE135+AE148</f>
        <v>0</v>
      </c>
      <c r="AF151" s="180">
        <f>AF150+AF135+AF148</f>
        <v>0</v>
      </c>
      <c r="AG151" s="180">
        <f>AG150+AG135+AG148</f>
        <v>0</v>
      </c>
      <c r="AH151" s="180">
        <f>AH150+AH135+AH148</f>
        <v>0</v>
      </c>
      <c r="AI151" s="180">
        <f>AI150+AI135+AI148</f>
        <v>0</v>
      </c>
      <c r="AJ151" s="180">
        <f>AJ150+AJ135+AJ148</f>
        <v>0</v>
      </c>
      <c r="AK151" s="180">
        <f>AK150+AK135+AK148</f>
        <v>0</v>
      </c>
      <c r="AL151" s="180">
        <f>AL150+AL135+AL148</f>
        <v>0</v>
      </c>
      <c r="AM151" s="180">
        <f>AM150+AM135+AM148</f>
        <v>0</v>
      </c>
      <c r="AN151" s="180">
        <f>AN150+AN135+AN148</f>
        <v>0</v>
      </c>
      <c r="AO151" s="180">
        <f>AO150+AO135+AO148</f>
        <v>0</v>
      </c>
      <c r="AP151" s="180">
        <f>AP150+AP135+AP148</f>
        <v>0</v>
      </c>
      <c r="AQ151" s="180">
        <f>AQ150+AQ135+AQ148</f>
        <v>0</v>
      </c>
      <c r="AR151" s="180">
        <f>AR150+AR135+AR148</f>
        <v>0</v>
      </c>
      <c r="AS151" s="180">
        <f>AS150+AS135+AS148</f>
        <v>0</v>
      </c>
      <c r="AT151" s="180">
        <f>AT150+AT135+AT148</f>
        <v>0</v>
      </c>
      <c r="AU151" s="180">
        <f>AU150+AU135+AU148</f>
        <v>0</v>
      </c>
      <c r="AV151" s="180">
        <f>AV150+AV135+AV148</f>
        <v>0</v>
      </c>
      <c r="AW151" s="180">
        <f>AW150+AW135+AW148</f>
        <v>0</v>
      </c>
      <c r="AX151" s="180">
        <f>AX150+AX135+AX148</f>
        <v>0</v>
      </c>
      <c r="AY151" s="180">
        <f>AY150+AY135+AY148</f>
        <v>0</v>
      </c>
      <c r="AZ151" s="180">
        <f>AZ150+AZ135+AZ148</f>
        <v>0</v>
      </c>
      <c r="BA151" s="180">
        <f>BA150+BA135+BA148</f>
        <v>0</v>
      </c>
      <c r="BB151" s="180">
        <f>BB150+BB135+BB148</f>
        <v>0</v>
      </c>
      <c r="BC151" s="180">
        <f>BC150+BC135+BC148</f>
        <v>0</v>
      </c>
      <c r="BD151" s="759">
        <f>IF(AI151=0,0,(AT151-AI151)/AI151*100)</f>
        <v>0</v>
      </c>
      <c r="BE151" s="759">
        <f>IF(AT151=0,0,(AU151-AT151)/AT151*100)</f>
        <v>0</v>
      </c>
      <c r="BF151" s="759">
        <f>IF(AU151=0,0,(AV151-AU151)/AU151*100)</f>
        <v>0</v>
      </c>
      <c r="BG151" s="759">
        <f>IF(AV151=0,0,(AW151-AV151)/AV151*100)</f>
        <v>0</v>
      </c>
      <c r="BH151" s="759">
        <f>IF(AW151=0,0,(AX151-AW151)/AW151*100)</f>
        <v>0</v>
      </c>
      <c r="BI151" s="759">
        <f>IF(AX151=0,0,(AY151-AX151)/AX151*100)</f>
        <v>0</v>
      </c>
      <c r="BJ151" s="759">
        <f>IF(AY151=0,0,(AZ151-AY151)/AY151*100)</f>
        <v>0</v>
      </c>
      <c r="BK151" s="759">
        <f>IF(AZ151=0,0,(BA151-AZ151)/AZ151*100)</f>
        <v>0</v>
      </c>
      <c r="BL151" s="759">
        <f>IF(BA151=0,0,(BB151-BA151)/BA151*100)</f>
        <v>0</v>
      </c>
      <c r="BM151" s="759">
        <f>IF(BB151=0,0,(BC151-BB151)/BB151*100)</f>
        <v>0</v>
      </c>
      <c r="BN151" s="1265"/>
      <c r="BO151" s="1265"/>
      <c r="BP151" s="1265"/>
      <c r="BQ151" s="680"/>
      <c r="BR151" s="680"/>
      <c r="BS151" s="1054" t="s">
        <v>2058</v>
      </c>
      <c r="BT151" s="1054"/>
      <c r="BU151" s="1054"/>
      <c r="BV151" s="687"/>
      <c r="BW151" s="687"/>
    </row>
    <row customHeight="1" ht="14.625" hidden="1">
      <c r="A152" s="960"/>
      <c r="B152" s="418">
        <f>A27="двухставочный"</f>
        <v>0</v>
      </c>
      <c r="C152" s="73"/>
      <c r="D152" s="73" cm="1" t="str">
        <f t="array" ref="D152:D152">D151</f>
        <v>10</v>
      </c>
      <c r="E152" s="600">
        <v>15</v>
      </c>
      <c r="F152" s="50" cm="1" t="str">
        <f t="array" ref="F152:F152">OFFSET(E152,-1,1)</f>
        <v>0</v>
      </c>
      <c r="G152" s="73"/>
      <c r="H152" s="830"/>
      <c r="I152" s="830" t="s">
        <v>1736</v>
      </c>
      <c r="J152" s="73"/>
      <c r="K152" s="346" t="s">
        <v>1736</v>
      </c>
      <c r="L152" s="963" t="s">
        <v>1724</v>
      </c>
      <c r="M152" s="73"/>
      <c r="N152" s="73"/>
      <c r="O152" s="73"/>
      <c r="P152" s="73"/>
      <c r="Q152" s="73"/>
      <c r="R152" s="73"/>
      <c r="S152" s="73"/>
      <c r="T152" s="439" cm="1" t="str">
        <f t="array" ref="T152:T152">T151</f>
        <v>false</v>
      </c>
      <c r="U152" s="73"/>
      <c r="V152" s="73"/>
      <c r="W152" s="73"/>
      <c r="X152" s="1534"/>
      <c r="Y152" s="960"/>
      <c r="Z152" s="1465"/>
      <c r="AA152" s="960"/>
      <c r="AB152" s="267" t="str">
        <f>D152&amp;".1"</f>
        <v>10.1</v>
      </c>
      <c r="AC152" s="1097" t="s">
        <v>1726</v>
      </c>
      <c r="AD152" s="267" t="s">
        <v>784</v>
      </c>
      <c r="AE152" s="1268"/>
      <c r="AF152" s="1268"/>
      <c r="AG152" s="1268"/>
      <c r="AH152" s="1099">
        <f>AG152-AF152</f>
        <v>0</v>
      </c>
      <c r="AI152" s="1268"/>
      <c r="AJ152" s="4561"/>
      <c r="AK152" s="1268"/>
      <c r="AL152" s="1268"/>
      <c r="AM152" s="1268"/>
      <c r="AN152" s="1268"/>
      <c r="AO152" s="1268"/>
      <c r="AP152" s="1268"/>
      <c r="AQ152" s="1268"/>
      <c r="AR152" s="1268"/>
      <c r="AS152" s="1268"/>
      <c r="AT152" s="4561"/>
      <c r="AU152" s="1268"/>
      <c r="AV152" s="1268"/>
      <c r="AW152" s="1268"/>
      <c r="AX152" s="1268"/>
      <c r="AY152" s="1268"/>
      <c r="AZ152" s="1268"/>
      <c r="BA152" s="1268"/>
      <c r="BB152" s="1268"/>
      <c r="BC152" s="1268"/>
      <c r="BD152" s="1100"/>
      <c r="BE152" s="1100"/>
      <c r="BF152" s="1100"/>
      <c r="BG152" s="1100"/>
      <c r="BH152" s="1100"/>
      <c r="BI152" s="1100"/>
      <c r="BJ152" s="1100"/>
      <c r="BK152" s="1100"/>
      <c r="BL152" s="1100"/>
      <c r="BM152" s="1100"/>
      <c r="BN152" s="1265"/>
      <c r="BO152" s="1265"/>
      <c r="BP152" s="1265"/>
      <c r="BQ152" s="960"/>
      <c r="BR152" s="960"/>
      <c r="BS152" s="1046" t="s">
        <v>1727</v>
      </c>
      <c r="BT152" s="1048"/>
      <c r="BU152" s="1048"/>
      <c r="BV152" s="962"/>
      <c r="BW152" s="962"/>
    </row>
    <row customHeight="1" ht="14.625" hidden="1">
      <c r="A153" s="960"/>
      <c r="B153" s="418">
        <f>A27="двухставочный"</f>
        <v>0</v>
      </c>
      <c r="C153" s="73"/>
      <c r="D153" s="73" cm="1" t="str">
        <f t="array" ref="D153:D153">D152</f>
        <v>10</v>
      </c>
      <c r="E153" s="600">
        <v>15</v>
      </c>
      <c r="F153" s="50" cm="1" t="str">
        <f t="array" ref="F153:F153">OFFSET(E153,-1,1)</f>
        <v>0</v>
      </c>
      <c r="G153" s="73"/>
      <c r="H153" s="830"/>
      <c r="I153" s="830" t="s">
        <v>1740</v>
      </c>
      <c r="J153" s="73"/>
      <c r="K153" s="346" t="s">
        <v>1740</v>
      </c>
      <c r="L153" s="963" t="s">
        <v>1728</v>
      </c>
      <c r="M153" s="73"/>
      <c r="N153" s="73"/>
      <c r="O153" s="73"/>
      <c r="P153" s="73"/>
      <c r="Q153" s="73"/>
      <c r="R153" s="73"/>
      <c r="S153" s="73"/>
      <c r="T153" s="439" cm="1" t="str">
        <f t="array" ref="T153:T153">T152</f>
        <v>false</v>
      </c>
      <c r="U153" s="73"/>
      <c r="V153" s="73"/>
      <c r="W153" s="73"/>
      <c r="X153" s="1534"/>
      <c r="Y153" s="960"/>
      <c r="Z153" s="1465"/>
      <c r="AA153" s="960"/>
      <c r="AB153" s="267" t="str">
        <f>D153&amp;".2"</f>
        <v>10.2</v>
      </c>
      <c r="AC153" s="1097" t="s">
        <v>1730</v>
      </c>
      <c r="AD153" s="267" t="s">
        <v>784</v>
      </c>
      <c r="AE153" s="1268"/>
      <c r="AF153" s="1268"/>
      <c r="AG153" s="1268"/>
      <c r="AH153" s="1099">
        <f>AG153-AF153</f>
        <v>0</v>
      </c>
      <c r="AI153" s="1268"/>
      <c r="AJ153" s="4561"/>
      <c r="AK153" s="1268"/>
      <c r="AL153" s="1268"/>
      <c r="AM153" s="1268"/>
      <c r="AN153" s="1268"/>
      <c r="AO153" s="1268"/>
      <c r="AP153" s="1268"/>
      <c r="AQ153" s="1268"/>
      <c r="AR153" s="1268"/>
      <c r="AS153" s="1268"/>
      <c r="AT153" s="4561"/>
      <c r="AU153" s="1268"/>
      <c r="AV153" s="1268"/>
      <c r="AW153" s="1268"/>
      <c r="AX153" s="1268"/>
      <c r="AY153" s="1268"/>
      <c r="AZ153" s="1268"/>
      <c r="BA153" s="1268"/>
      <c r="BB153" s="1268"/>
      <c r="BC153" s="1268"/>
      <c r="BD153" s="1100"/>
      <c r="BE153" s="1100"/>
      <c r="BF153" s="1100"/>
      <c r="BG153" s="1100"/>
      <c r="BH153" s="1100"/>
      <c r="BI153" s="1100"/>
      <c r="BJ153" s="1100"/>
      <c r="BK153" s="1100"/>
      <c r="BL153" s="1100"/>
      <c r="BM153" s="1100"/>
      <c r="BN153" s="1265"/>
      <c r="BO153" s="1265"/>
      <c r="BP153" s="1265"/>
      <c r="BQ153" s="960"/>
      <c r="BR153" s="960"/>
      <c r="BS153" s="1046" t="s">
        <v>1731</v>
      </c>
      <c r="BT153" s="1048"/>
      <c r="BU153" s="1048"/>
      <c r="BV153" s="962"/>
      <c r="BW153" s="962"/>
    </row>
    <row s="680" customFormat="1" customHeight="1" ht="20.475" hidden="1">
      <c r="A154" s="680"/>
      <c r="B154" s="408"/>
      <c r="C154" s="75"/>
      <c r="D154" s="75">
        <f>D153+1</f>
        <v>11</v>
      </c>
      <c r="E154" s="807">
        <v>21</v>
      </c>
      <c r="F154" s="50" cm="1" t="str">
        <f t="array" ref="F154:F154">OFFSET(E154,-1,1)</f>
        <v>0</v>
      </c>
      <c r="G154" s="73" t="s">
        <v>1503</v>
      </c>
      <c r="H154" s="73"/>
      <c r="I154" s="73" t="s">
        <v>1760</v>
      </c>
      <c r="J154" s="75"/>
      <c r="K154" s="124" t="s">
        <v>1760</v>
      </c>
      <c r="L154" s="968" t="s">
        <v>1732</v>
      </c>
      <c r="M154" s="75"/>
      <c r="N154" s="75"/>
      <c r="O154" s="75"/>
      <c r="P154" s="75"/>
      <c r="Q154" s="75"/>
      <c r="R154" s="75"/>
      <c r="S154" s="75"/>
      <c r="T154" s="439" cm="1" t="str">
        <f t="array" ref="T154:T154">T153</f>
        <v>false</v>
      </c>
      <c r="U154" s="75"/>
      <c r="V154" s="75"/>
      <c r="W154" s="75"/>
      <c r="X154" s="1534"/>
      <c r="Y154" s="680"/>
      <c r="Z154" s="1465"/>
      <c r="AA154" s="680"/>
      <c r="AB154" s="178" cm="1" t="str">
        <f t="array" ref="AB154:AB154">D154</f>
        <v>11</v>
      </c>
      <c r="AC154" s="179" t="s">
        <v>1734</v>
      </c>
      <c r="AD154" s="178" t="s">
        <v>512</v>
      </c>
      <c r="AE154" s="766">
        <f>_xlfn.SUMIFS(Баланс!AE$26:AE$300,Баланс!$F$26:$F$300,$F154,Баланс!$G$26:$G$300,"ПО")</f>
        <v>0</v>
      </c>
      <c r="AF154" s="766">
        <f>_xlfn.SUMIFS(Баланс!AF$26:AF$300,Баланс!$F$26:$F$300,$F154,Баланс!$G$26:$G$300,"ПО")</f>
        <v>0</v>
      </c>
      <c r="AG154" s="766">
        <f>_xlfn.SUMIFS(Баланс!AG$26:AG$300,Баланс!$F$26:$F$300,$F154,Баланс!$G$26:$G$300,"ПО")</f>
        <v>0</v>
      </c>
      <c r="AH154" s="766">
        <f>AG154-AF154</f>
        <v>0</v>
      </c>
      <c r="AI154" s="766">
        <f>_xlfn.SUMIFS(Баланс!AH$26:AH$300,Баланс!$F$26:$F$300,$F154,Баланс!$G$26:$G$300,"ПО")</f>
        <v>0</v>
      </c>
      <c r="AJ154" s="766">
        <f>_xlfn.SUMIFS(Баланс!AI$26:AI$300,Баланс!$F$26:$F$300,$F154,Баланс!$G$26:$G$300,"ПО")</f>
        <v>0</v>
      </c>
      <c r="AK154" s="766">
        <f>_xlfn.SUMIFS(Баланс!AJ$26:AJ$300,Баланс!$F$26:$F$300,$F154,Баланс!$G$26:$G$300,"ПО")</f>
        <v>0</v>
      </c>
      <c r="AL154" s="766">
        <f>_xlfn.SUMIFS(Баланс!AK$26:AK$300,Баланс!$F$26:$F$300,$F154,Баланс!$G$26:$G$300,"ПО")</f>
        <v>0</v>
      </c>
      <c r="AM154" s="766">
        <f>_xlfn.SUMIFS(Баланс!AL$26:AL$300,Баланс!$F$26:$F$300,$F154,Баланс!$G$26:$G$300,"ПО")</f>
        <v>0</v>
      </c>
      <c r="AN154" s="766">
        <f>_xlfn.SUMIFS(Баланс!AM$26:AM$300,Баланс!$F$26:$F$300,$F154,Баланс!$G$26:$G$300,"ПО")</f>
        <v>0</v>
      </c>
      <c r="AO154" s="766">
        <f>_xlfn.SUMIFS(Баланс!AN$26:AN$300,Баланс!$F$26:$F$300,$F154,Баланс!$G$26:$G$300,"ПО")</f>
        <v>0</v>
      </c>
      <c r="AP154" s="766">
        <f>_xlfn.SUMIFS(Баланс!AO$26:AO$300,Баланс!$F$26:$F$300,$F154,Баланс!$G$26:$G$300,"ПО")</f>
        <v>0</v>
      </c>
      <c r="AQ154" s="766">
        <f>_xlfn.SUMIFS(Баланс!AP$26:AP$300,Баланс!$F$26:$F$300,$F154,Баланс!$G$26:$G$300,"ПО")</f>
        <v>0</v>
      </c>
      <c r="AR154" s="766">
        <f>_xlfn.SUMIFS(Баланс!AQ$26:AQ$300,Баланс!$F$26:$F$300,$F154,Баланс!$G$26:$G$300,"ПО")</f>
        <v>0</v>
      </c>
      <c r="AS154" s="766">
        <f>_xlfn.SUMIFS(Баланс!AR$26:AR$300,Баланс!$F$26:$F$300,$F154,Баланс!$G$26:$G$300,"ПО")</f>
        <v>0</v>
      </c>
      <c r="AT154" s="766">
        <f>_xlfn.SUMIFS(Баланс!AS$26:AS$300,Баланс!$F$26:$F$300,$F154,Баланс!$G$26:$G$300,"ПО")</f>
        <v>0</v>
      </c>
      <c r="AU154" s="766">
        <f>_xlfn.SUMIFS(Баланс!AT$26:AT$300,Баланс!$F$26:$F$300,$F154,Баланс!$G$26:$G$300,"ПО")</f>
        <v>0</v>
      </c>
      <c r="AV154" s="766">
        <f>_xlfn.SUMIFS(Баланс!AU$26:AU$300,Баланс!$F$26:$F$300,$F154,Баланс!$G$26:$G$300,"ПО")</f>
        <v>0</v>
      </c>
      <c r="AW154" s="766">
        <f>_xlfn.SUMIFS(Баланс!AV$26:AV$300,Баланс!$F$26:$F$300,$F154,Баланс!$G$26:$G$300,"ПО")</f>
        <v>0</v>
      </c>
      <c r="AX154" s="766">
        <f>_xlfn.SUMIFS(Баланс!AW$26:AW$300,Баланс!$F$26:$F$300,$F154,Баланс!$G$26:$G$300,"ПО")</f>
        <v>0</v>
      </c>
      <c r="AY154" s="766">
        <f>_xlfn.SUMIFS(Баланс!AX$26:AX$300,Баланс!$F$26:$F$300,$F154,Баланс!$G$26:$G$300,"ПО")</f>
        <v>0</v>
      </c>
      <c r="AZ154" s="766">
        <f>_xlfn.SUMIFS(Баланс!AY$26:AY$300,Баланс!$F$26:$F$300,$F154,Баланс!$G$26:$G$300,"ПО")</f>
        <v>0</v>
      </c>
      <c r="BA154" s="766">
        <f>_xlfn.SUMIFS(Баланс!AZ$26:AZ$300,Баланс!$F$26:$F$300,$F154,Баланс!$G$26:$G$300,"ПО")</f>
        <v>0</v>
      </c>
      <c r="BB154" s="766">
        <f>_xlfn.SUMIFS(Баланс!BA$26:BA$300,Баланс!$F$26:$F$300,$F154,Баланс!$G$26:$G$300,"ПО")</f>
        <v>0</v>
      </c>
      <c r="BC154" s="766">
        <f>_xlfn.SUMIFS(Баланс!BB$26:BB$300,Баланс!$F$26:$F$300,$F154,Баланс!$G$26:$G$300,"ПО")</f>
        <v>0</v>
      </c>
      <c r="BD154" s="183"/>
      <c r="BE154" s="183"/>
      <c r="BF154" s="183"/>
      <c r="BG154" s="183"/>
      <c r="BH154" s="183"/>
      <c r="BI154" s="183"/>
      <c r="BJ154" s="183"/>
      <c r="BK154" s="183"/>
      <c r="BL154" s="183"/>
      <c r="BM154" s="183"/>
      <c r="BN154" s="1265"/>
      <c r="BO154" s="1265"/>
      <c r="BP154" s="1265"/>
      <c r="BQ154" s="680"/>
      <c r="BR154" s="680"/>
      <c r="BS154" s="1047" t="s">
        <v>1735</v>
      </c>
      <c r="BT154" s="1054"/>
      <c r="BU154" s="1054"/>
      <c r="BV154" s="687"/>
      <c r="BW154" s="687"/>
    </row>
    <row customHeight="1" ht="14.625" hidden="1">
      <c r="A155" s="960"/>
      <c r="B155" s="961"/>
      <c r="C155" s="73"/>
      <c r="D155" s="73" cm="1" t="str">
        <f t="array" ref="D155:D155">D154</f>
        <v>11</v>
      </c>
      <c r="E155" s="600">
        <v>15</v>
      </c>
      <c r="F155" s="50" cm="1" t="str">
        <f t="array" ref="F155:F155">OFFSET(E155,-1,1)</f>
        <v>0</v>
      </c>
      <c r="G155" s="73" t="s">
        <v>1530</v>
      </c>
      <c r="H155" s="73"/>
      <c r="I155" s="73" t="s">
        <v>2059</v>
      </c>
      <c r="J155" s="73"/>
      <c r="K155" s="124" t="s">
        <v>2059</v>
      </c>
      <c r="L155" s="963" t="s">
        <v>1736</v>
      </c>
      <c r="M155" s="73"/>
      <c r="N155" s="73"/>
      <c r="O155" s="73"/>
      <c r="P155" s="73"/>
      <c r="Q155" s="73"/>
      <c r="R155" s="73"/>
      <c r="S155" s="73"/>
      <c r="T155" s="439" cm="1" t="str">
        <f t="array" ref="T155:T155">T154</f>
        <v>false</v>
      </c>
      <c r="U155" s="73"/>
      <c r="V155" s="73"/>
      <c r="W155" s="73"/>
      <c r="X155" s="1534"/>
      <c r="Y155" s="960"/>
      <c r="Z155" s="1465"/>
      <c r="AA155" s="960"/>
      <c r="AB155" s="267" t="str">
        <f>D155&amp;".1"</f>
        <v>11.1</v>
      </c>
      <c r="AC155" s="1096" t="s">
        <v>1738</v>
      </c>
      <c r="AD155" s="267" t="s">
        <v>512</v>
      </c>
      <c r="AE155" s="1266">
        <f>AE154/2</f>
        <v>0</v>
      </c>
      <c r="AF155" s="1266">
        <f>AF154/2</f>
        <v>0</v>
      </c>
      <c r="AG155" s="1266">
        <f>AG154/2</f>
        <v>0</v>
      </c>
      <c r="AH155" s="1098">
        <f>AG155-AF155</f>
        <v>0</v>
      </c>
      <c r="AI155" s="1266">
        <f>AI154/2</f>
        <v>0</v>
      </c>
      <c r="AJ155" s="4548">
        <f>IF(god=2026,AJ154/12*9,AJ154/2)</f>
        <v>0</v>
      </c>
      <c r="AK155" s="1266">
        <f>IF(god=2025,AK154/12*9,AK154/2)</f>
        <v>0</v>
      </c>
      <c r="AL155" s="1266">
        <f>AL154/2</f>
        <v>0</v>
      </c>
      <c r="AM155" s="1266">
        <f>AM154/2</f>
        <v>0</v>
      </c>
      <c r="AN155" s="1266">
        <f>AN154/2</f>
        <v>0</v>
      </c>
      <c r="AO155" s="1266">
        <f>AO154/2</f>
        <v>0</v>
      </c>
      <c r="AP155" s="1266">
        <f>AP154/2</f>
        <v>0</v>
      </c>
      <c r="AQ155" s="1266">
        <f>AQ154/2</f>
        <v>0</v>
      </c>
      <c r="AR155" s="1266">
        <f>AR154/2</f>
        <v>0</v>
      </c>
      <c r="AS155" s="1266">
        <f>AS154/2</f>
        <v>0</v>
      </c>
      <c r="AT155" s="4548">
        <f>AT154/2</f>
        <v>0</v>
      </c>
      <c r="AU155" s="1266">
        <f>AU154/2</f>
        <v>0</v>
      </c>
      <c r="AV155" s="1266">
        <f>AV154/2</f>
        <v>0</v>
      </c>
      <c r="AW155" s="1266">
        <f>AW154/2</f>
        <v>0</v>
      </c>
      <c r="AX155" s="1266">
        <f>AX154/2</f>
        <v>0</v>
      </c>
      <c r="AY155" s="1266">
        <f>AY154/2</f>
        <v>0</v>
      </c>
      <c r="AZ155" s="1266">
        <f>AZ154/2</f>
        <v>0</v>
      </c>
      <c r="BA155" s="1266">
        <f>BA154/2</f>
        <v>0</v>
      </c>
      <c r="BB155" s="1266">
        <f>BB154/2</f>
        <v>0</v>
      </c>
      <c r="BC155" s="1266">
        <f>BC154/2</f>
        <v>0</v>
      </c>
      <c r="BD155" s="1100"/>
      <c r="BE155" s="1100"/>
      <c r="BF155" s="1100"/>
      <c r="BG155" s="1100"/>
      <c r="BH155" s="1100"/>
      <c r="BI155" s="1100"/>
      <c r="BJ155" s="1100"/>
      <c r="BK155" s="1100"/>
      <c r="BL155" s="1100"/>
      <c r="BM155" s="1100"/>
      <c r="BN155" s="1265"/>
      <c r="BO155" s="1265"/>
      <c r="BP155" s="1265"/>
      <c r="BQ155" s="960"/>
      <c r="BR155" s="960"/>
      <c r="BS155" s="1046" t="s">
        <v>1739</v>
      </c>
      <c r="BT155" s="1048"/>
      <c r="BU155" s="1048"/>
      <c r="BV155" s="962"/>
      <c r="BW155" s="962"/>
    </row>
    <row customHeight="1" ht="14.625" hidden="1">
      <c r="A156" s="960"/>
      <c r="B156" s="961"/>
      <c r="C156" s="73"/>
      <c r="D156" s="73" cm="1" t="str">
        <f t="array" ref="D156:D156">D155</f>
        <v>11</v>
      </c>
      <c r="E156" s="600">
        <v>15</v>
      </c>
      <c r="F156" s="50" cm="1" t="str">
        <f t="array" ref="F156:F156">OFFSET(E156,-1,1)</f>
        <v>0</v>
      </c>
      <c r="G156" s="73" t="s">
        <v>1491</v>
      </c>
      <c r="H156" s="73"/>
      <c r="I156" s="73" t="s">
        <v>2060</v>
      </c>
      <c r="J156" s="73"/>
      <c r="K156" s="124" t="s">
        <v>2060</v>
      </c>
      <c r="L156" s="963" t="s">
        <v>1740</v>
      </c>
      <c r="M156" s="73"/>
      <c r="N156" s="73"/>
      <c r="O156" s="73"/>
      <c r="P156" s="73"/>
      <c r="Q156" s="73"/>
      <c r="R156" s="73"/>
      <c r="S156" s="73"/>
      <c r="T156" s="439" cm="1" t="str">
        <f t="array" ref="T156:T156">T155</f>
        <v>false</v>
      </c>
      <c r="U156" s="73"/>
      <c r="V156" s="73"/>
      <c r="W156" s="73"/>
      <c r="X156" s="1534"/>
      <c r="Y156" s="960"/>
      <c r="Z156" s="1465"/>
      <c r="AA156" s="960"/>
      <c r="AB156" s="267" t="str">
        <f>D156&amp;".2"</f>
        <v>11.2</v>
      </c>
      <c r="AC156" s="1096" t="s">
        <v>1742</v>
      </c>
      <c r="AD156" s="267" t="s">
        <v>1494</v>
      </c>
      <c r="AE156" s="1268"/>
      <c r="AF156" s="1268"/>
      <c r="AG156" s="1268"/>
      <c r="AH156" s="1099">
        <f>AG156-AF156</f>
        <v>0</v>
      </c>
      <c r="AI156" s="1268"/>
      <c r="AJ156" s="4561"/>
      <c r="AK156" s="1268"/>
      <c r="AL156" s="1268"/>
      <c r="AM156" s="1268"/>
      <c r="AN156" s="1268"/>
      <c r="AO156" s="1268"/>
      <c r="AP156" s="1268"/>
      <c r="AQ156" s="1268"/>
      <c r="AR156" s="1268"/>
      <c r="AS156" s="1268"/>
      <c r="AT156" s="4561"/>
      <c r="AU156" s="1268" cm="1" t="str">
        <f t="array" ref="AU156:AU156">AT158</f>
        <v>0</v>
      </c>
      <c r="AV156" s="1268" cm="1" t="str">
        <f t="array" ref="AV156:AV156">AU158</f>
        <v>0</v>
      </c>
      <c r="AW156" s="1268" cm="1" t="str">
        <f t="array" ref="AW156:AW156">AV158</f>
        <v>0</v>
      </c>
      <c r="AX156" s="1268" cm="1" t="str">
        <f t="array" ref="AX156:AX156">AW158</f>
        <v>0</v>
      </c>
      <c r="AY156" s="1268" cm="1" t="str">
        <f t="array" ref="AY156:AY156">AX158</f>
        <v>0</v>
      </c>
      <c r="AZ156" s="1268" cm="1" t="str">
        <f t="array" ref="AZ156:AZ156">AY158</f>
        <v>0</v>
      </c>
      <c r="BA156" s="1268" cm="1" t="str">
        <f t="array" ref="BA156:BA156">AZ158</f>
        <v>0</v>
      </c>
      <c r="BB156" s="1268" cm="1" t="str">
        <f t="array" ref="BB156:BB156">BA158</f>
        <v>0</v>
      </c>
      <c r="BC156" s="1268" cm="1" t="str">
        <f t="array" ref="BC156:BC156">BB158</f>
        <v>0</v>
      </c>
      <c r="BD156" s="1100"/>
      <c r="BE156" s="1100"/>
      <c r="BF156" s="1100"/>
      <c r="BG156" s="1100"/>
      <c r="BH156" s="1100"/>
      <c r="BI156" s="1100"/>
      <c r="BJ156" s="1100"/>
      <c r="BK156" s="1100"/>
      <c r="BL156" s="1100"/>
      <c r="BM156" s="1100"/>
      <c r="BN156" s="1265"/>
      <c r="BO156" s="1265"/>
      <c r="BP156" s="1265"/>
      <c r="BQ156" s="960"/>
      <c r="BR156" s="960"/>
      <c r="BS156" s="1046" t="s">
        <v>1743</v>
      </c>
      <c r="BT156" s="1048"/>
      <c r="BU156" s="1048"/>
      <c r="BV156" s="962"/>
      <c r="BW156" s="962"/>
    </row>
    <row customHeight="1" ht="14.625" hidden="1">
      <c r="A157" s="960"/>
      <c r="B157" s="961"/>
      <c r="C157" s="73"/>
      <c r="D157" s="73" cm="1" t="str">
        <f t="array" ref="D157:D157">D156</f>
        <v>11</v>
      </c>
      <c r="E157" s="600">
        <v>15</v>
      </c>
      <c r="F157" s="50" cm="1" t="str">
        <f t="array" ref="F157:F157">OFFSET(E157,-1,1)</f>
        <v>0</v>
      </c>
      <c r="G157" s="73" t="s">
        <v>1543</v>
      </c>
      <c r="H157" s="73"/>
      <c r="I157" s="73" t="s">
        <v>2061</v>
      </c>
      <c r="J157" s="73"/>
      <c r="K157" s="124" t="s">
        <v>2061</v>
      </c>
      <c r="L157" s="963" t="s">
        <v>1744</v>
      </c>
      <c r="M157" s="73"/>
      <c r="N157" s="73"/>
      <c r="O157" s="73"/>
      <c r="P157" s="73"/>
      <c r="Q157" s="73"/>
      <c r="R157" s="73"/>
      <c r="S157" s="73"/>
      <c r="T157" s="439" cm="1" t="str">
        <f t="array" ref="T157:T157">T156</f>
        <v>false</v>
      </c>
      <c r="U157" s="73"/>
      <c r="V157" s="73"/>
      <c r="W157" s="73"/>
      <c r="X157" s="1534"/>
      <c r="Y157" s="960"/>
      <c r="Z157" s="1465"/>
      <c r="AA157" s="960"/>
      <c r="AB157" s="267" t="str">
        <f>D157&amp;".3"</f>
        <v>11.3</v>
      </c>
      <c r="AC157" s="1096" t="s">
        <v>2062</v>
      </c>
      <c r="AD157" s="267" t="s">
        <v>512</v>
      </c>
      <c r="AE157" s="1098">
        <f>AE154-AE155</f>
        <v>0</v>
      </c>
      <c r="AF157" s="1098">
        <f>AF154-AF155</f>
        <v>0</v>
      </c>
      <c r="AG157" s="1098">
        <f>AG154-AG155</f>
        <v>0</v>
      </c>
      <c r="AH157" s="1098">
        <f>AG157-AF157</f>
        <v>0</v>
      </c>
      <c r="AI157" s="1098">
        <f>AI154-AI155</f>
        <v>0</v>
      </c>
      <c r="AJ157" s="1098">
        <f>AJ154-AJ155</f>
        <v>0</v>
      </c>
      <c r="AK157" s="1098">
        <f>AK154-AK155</f>
        <v>0</v>
      </c>
      <c r="AL157" s="1098">
        <f>AL154-AL155</f>
        <v>0</v>
      </c>
      <c r="AM157" s="1098">
        <f>AM154-AM155</f>
        <v>0</v>
      </c>
      <c r="AN157" s="1098">
        <f>AN154-AN155</f>
        <v>0</v>
      </c>
      <c r="AO157" s="1098">
        <f>AO154-AO155</f>
        <v>0</v>
      </c>
      <c r="AP157" s="1098">
        <f>AP154-AP155</f>
        <v>0</v>
      </c>
      <c r="AQ157" s="1098">
        <f>AQ154-AQ155</f>
        <v>0</v>
      </c>
      <c r="AR157" s="1098">
        <f>AR154-AR155</f>
        <v>0</v>
      </c>
      <c r="AS157" s="1098">
        <f>AS154-AS155</f>
        <v>0</v>
      </c>
      <c r="AT157" s="1098">
        <f>AT154-AT155</f>
        <v>0</v>
      </c>
      <c r="AU157" s="1098">
        <f>AU154-AU155</f>
        <v>0</v>
      </c>
      <c r="AV157" s="1098">
        <f>AV154-AV155</f>
        <v>0</v>
      </c>
      <c r="AW157" s="1098">
        <f>AW154-AW155</f>
        <v>0</v>
      </c>
      <c r="AX157" s="1098">
        <f>AX154-AX155</f>
        <v>0</v>
      </c>
      <c r="AY157" s="1098">
        <f>AY154-AY155</f>
        <v>0</v>
      </c>
      <c r="AZ157" s="1098">
        <f>AZ154-AZ155</f>
        <v>0</v>
      </c>
      <c r="BA157" s="1098">
        <f>BA154-BA155</f>
        <v>0</v>
      </c>
      <c r="BB157" s="1098">
        <f>BB154-BB155</f>
        <v>0</v>
      </c>
      <c r="BC157" s="1098">
        <f>BC154-BC155</f>
        <v>0</v>
      </c>
      <c r="BD157" s="1100"/>
      <c r="BE157" s="1100"/>
      <c r="BF157" s="1100"/>
      <c r="BG157" s="1100"/>
      <c r="BH157" s="1100"/>
      <c r="BI157" s="1100"/>
      <c r="BJ157" s="1100"/>
      <c r="BK157" s="1100"/>
      <c r="BL157" s="1100"/>
      <c r="BM157" s="1100"/>
      <c r="BN157" s="1265"/>
      <c r="BO157" s="1265"/>
      <c r="BP157" s="1265"/>
      <c r="BQ157" s="960"/>
      <c r="BR157" s="960"/>
      <c r="BS157" s="1046" t="s">
        <v>1747</v>
      </c>
      <c r="BT157" s="1048"/>
      <c r="BU157" s="1048"/>
      <c r="BV157" s="962"/>
      <c r="BW157" s="962"/>
    </row>
    <row customHeight="1" ht="14.625" hidden="1">
      <c r="A158" s="960"/>
      <c r="B158" s="961"/>
      <c r="C158" s="73"/>
      <c r="D158" s="73" cm="1" t="str">
        <f t="array" ref="D158:D158">D157</f>
        <v>11</v>
      </c>
      <c r="E158" s="600">
        <v>15</v>
      </c>
      <c r="F158" s="50" cm="1" t="str">
        <f t="array" ref="F158:F158">OFFSET(E158,-1,1)</f>
        <v>0</v>
      </c>
      <c r="G158" s="73" t="s">
        <v>1496</v>
      </c>
      <c r="H158" s="73"/>
      <c r="I158" s="73" t="s">
        <v>2063</v>
      </c>
      <c r="J158" s="73"/>
      <c r="K158" s="124" t="s">
        <v>2063</v>
      </c>
      <c r="L158" s="963" t="s">
        <v>1748</v>
      </c>
      <c r="M158" s="73"/>
      <c r="N158" s="73"/>
      <c r="O158" s="73"/>
      <c r="P158" s="73"/>
      <c r="Q158" s="73"/>
      <c r="R158" s="73"/>
      <c r="S158" s="73"/>
      <c r="T158" s="439" cm="1" t="str">
        <f t="array" ref="T158:T158">T157</f>
        <v>false</v>
      </c>
      <c r="U158" s="73"/>
      <c r="V158" s="73"/>
      <c r="W158" s="73"/>
      <c r="X158" s="1534"/>
      <c r="Y158" s="960"/>
      <c r="Z158" s="1465"/>
      <c r="AA158" s="960"/>
      <c r="AB158" s="267" t="str">
        <f>D158&amp;".4"</f>
        <v>11.4</v>
      </c>
      <c r="AC158" s="1096" t="s">
        <v>1750</v>
      </c>
      <c r="AD158" s="267" t="s">
        <v>1494</v>
      </c>
      <c r="AE158" s="1268">
        <f>IF(AE157=0,0,(AE151-AE155*AE156)/AE157)</f>
        <v>0</v>
      </c>
      <c r="AF158" s="1268">
        <f>IF(AF157=0,0,(AF151-AF155*AF156)/AF157)</f>
        <v>0</v>
      </c>
      <c r="AG158" s="1268">
        <f>IF(AG157=0,0,(AG151-AG155*AG156)/AG157)</f>
        <v>0</v>
      </c>
      <c r="AH158" s="1099">
        <f>AG158-AF158</f>
        <v>0</v>
      </c>
      <c r="AI158" s="1268">
        <f>IF(AI157=0,0,(AI151-AI155*AI156)/AI157)</f>
        <v>0</v>
      </c>
      <c r="AJ158" s="4561">
        <f>IF(AJ157=0,0,(AJ151-AJ155*AJ156)/AJ157)</f>
        <v>0</v>
      </c>
      <c r="AK158" s="1268">
        <f>IF(AK157=0,0,(AK151-AK155*AK156)/AK157)</f>
        <v>0</v>
      </c>
      <c r="AL158" s="1268">
        <f>IF(AL157=0,0,(AL151-AL155*AL156)/AL157)</f>
        <v>0</v>
      </c>
      <c r="AM158" s="1268">
        <f>IF(AM157=0,0,(AM151-AM155*AM156)/AM157)</f>
        <v>0</v>
      </c>
      <c r="AN158" s="1268">
        <f>IF(AN157=0,0,(AN151-AN155*AN156)/AN157)</f>
        <v>0</v>
      </c>
      <c r="AO158" s="1268">
        <f>IF(AO157=0,0,(AO151-AO155*AO156)/AO157)</f>
        <v>0</v>
      </c>
      <c r="AP158" s="1268">
        <f>IF(AP157=0,0,(AP151-AP155*AP156)/AP157)</f>
        <v>0</v>
      </c>
      <c r="AQ158" s="1268">
        <f>IF(AQ157=0,0,(AQ151-AQ155*AQ156)/AQ157)</f>
        <v>0</v>
      </c>
      <c r="AR158" s="1268">
        <f>IF(AR157=0,0,(AR151-AR155*AR156)/AR157)</f>
        <v>0</v>
      </c>
      <c r="AS158" s="1268">
        <f>IF(AS157=0,0,(AS151-AS155*AS156)/AS157)</f>
        <v>0</v>
      </c>
      <c r="AT158" s="4561">
        <f>IF(AT157=0,0,(AT151-AT155*AT156)/AT157)</f>
        <v>0</v>
      </c>
      <c r="AU158" s="1268">
        <f>IF(AU157=0,0,(AU151-AU155*AU156)/AU157)</f>
        <v>0</v>
      </c>
      <c r="AV158" s="1268">
        <f>IF(AV157=0,0,(AV151-AV155*AV156)/AV157)</f>
        <v>0</v>
      </c>
      <c r="AW158" s="1268">
        <f>IF(AW157=0,0,(AW151-AW155*AW156)/AW157)</f>
        <v>0</v>
      </c>
      <c r="AX158" s="1268">
        <f>IF(AX157=0,0,(AX151-AX155*AX156)/AX157)</f>
        <v>0</v>
      </c>
      <c r="AY158" s="1268">
        <f>IF(AY157=0,0,(AY151-AY155*AY156)/AY157)</f>
        <v>0</v>
      </c>
      <c r="AZ158" s="1268">
        <f>IF(AZ157=0,0,(AZ151-AZ155*AZ156)/AZ157)</f>
        <v>0</v>
      </c>
      <c r="BA158" s="1268">
        <f>IF(BA157=0,0,(BA151-BA155*BA156)/BA157)</f>
        <v>0</v>
      </c>
      <c r="BB158" s="1268">
        <f>IF(BB157=0,0,(BB151-BB155*BB156)/BB157)</f>
        <v>0</v>
      </c>
      <c r="BC158" s="1268">
        <f>IF(BC157=0,0,(BC151-BC155*BC156)/BC157)</f>
        <v>0</v>
      </c>
      <c r="BD158" s="1100"/>
      <c r="BE158" s="1100"/>
      <c r="BF158" s="1100"/>
      <c r="BG158" s="1100"/>
      <c r="BH158" s="1100"/>
      <c r="BI158" s="1100"/>
      <c r="BJ158" s="1100"/>
      <c r="BK158" s="1100"/>
      <c r="BL158" s="1100"/>
      <c r="BM158" s="1100"/>
      <c r="BN158" s="1265"/>
      <c r="BO158" s="1265"/>
      <c r="BP158" s="1265"/>
      <c r="BQ158" s="960"/>
      <c r="BR158" s="960"/>
      <c r="BS158" s="1046" t="s">
        <v>1751</v>
      </c>
      <c r="BT158" s="1048"/>
      <c r="BU158" s="1048"/>
      <c r="BV158" s="962"/>
      <c r="BW158" s="962"/>
    </row>
    <row customHeight="1" ht="14.625" hidden="1">
      <c r="A159" s="960"/>
      <c r="B159" s="961"/>
      <c r="C159" s="73"/>
      <c r="D159" s="73" cm="1" t="str">
        <f t="array" ref="D159:D159">D158</f>
        <v>11</v>
      </c>
      <c r="E159" s="600">
        <v>15</v>
      </c>
      <c r="F159" s="50" cm="1" t="str">
        <f t="array" ref="F159:F159">OFFSET(E159,-1,1)</f>
        <v>0</v>
      </c>
      <c r="G159" s="73"/>
      <c r="H159" s="73"/>
      <c r="I159" s="73" t="s">
        <v>2064</v>
      </c>
      <c r="J159" s="73"/>
      <c r="K159" s="124" t="s">
        <v>2064</v>
      </c>
      <c r="L159" s="963" t="s">
        <v>1752</v>
      </c>
      <c r="M159" s="73"/>
      <c r="N159" s="73"/>
      <c r="O159" s="73"/>
      <c r="P159" s="73"/>
      <c r="Q159" s="73"/>
      <c r="R159" s="73"/>
      <c r="S159" s="73"/>
      <c r="T159" s="439" cm="1" t="str">
        <f t="array" ref="T159:T159">T158</f>
        <v>false</v>
      </c>
      <c r="U159" s="73"/>
      <c r="V159" s="73"/>
      <c r="W159" s="73"/>
      <c r="X159" s="1534"/>
      <c r="Y159" s="960"/>
      <c r="Z159" s="1465"/>
      <c r="AA159" s="960"/>
      <c r="AB159" s="267" t="str">
        <f>D159&amp;".5"</f>
        <v>11.5</v>
      </c>
      <c r="AC159" s="1096" t="s">
        <v>1754</v>
      </c>
      <c r="AD159" s="267" t="s">
        <v>437</v>
      </c>
      <c r="AE159" s="1099">
        <f>IF(AE156=0,0,AE158/AE156*100)</f>
        <v>0</v>
      </c>
      <c r="AF159" s="1099">
        <f>IF(AF156=0,0,AF158/AF156*100)</f>
        <v>0</v>
      </c>
      <c r="AG159" s="1099">
        <f>IF(AG156=0,0,AG158/AG156*100)</f>
        <v>0</v>
      </c>
      <c r="AH159" s="1100"/>
      <c r="AI159" s="1099">
        <f>IF(AI156=0,0,AI158/AI156*100)</f>
        <v>0</v>
      </c>
      <c r="AJ159" s="1099">
        <f>IF(AJ156=0,0,AJ158/AJ156*100)</f>
        <v>0</v>
      </c>
      <c r="AK159" s="1099">
        <f>IF(AK156=0,0,AK158/AK156*100)</f>
        <v>0</v>
      </c>
      <c r="AL159" s="1099">
        <f>IF(AL156=0,0,AL158/AL156*100)</f>
        <v>0</v>
      </c>
      <c r="AM159" s="1099">
        <f>IF(AM156=0,0,AM158/AM156*100)</f>
        <v>0</v>
      </c>
      <c r="AN159" s="1099">
        <f>IF(AN156=0,0,AN158/AN156*100)</f>
        <v>0</v>
      </c>
      <c r="AO159" s="1099">
        <f>IF(AO156=0,0,AO158/AO156*100)</f>
        <v>0</v>
      </c>
      <c r="AP159" s="1099">
        <f>IF(AP156=0,0,AP158/AP156*100)</f>
        <v>0</v>
      </c>
      <c r="AQ159" s="1099">
        <f>IF(AQ156=0,0,AQ158/AQ156*100)</f>
        <v>0</v>
      </c>
      <c r="AR159" s="1099">
        <f>IF(AR156=0,0,AR158/AR156*100)</f>
        <v>0</v>
      </c>
      <c r="AS159" s="1099">
        <f>IF(AS156=0,0,AS158/AS156*100)</f>
        <v>0</v>
      </c>
      <c r="AT159" s="1099">
        <f>IF(AT156=0,0,AT158/AT156*100)</f>
        <v>0</v>
      </c>
      <c r="AU159" s="1099">
        <f>IF(AU156=0,0,AU158/AU156*100)</f>
        <v>0</v>
      </c>
      <c r="AV159" s="1099">
        <f>IF(AV156=0,0,AV158/AV156*100)</f>
        <v>0</v>
      </c>
      <c r="AW159" s="1099">
        <f>IF(AW156=0,0,AW158/AW156*100)</f>
        <v>0</v>
      </c>
      <c r="AX159" s="1099">
        <f>IF(AX156=0,0,AX158/AX156*100)</f>
        <v>0</v>
      </c>
      <c r="AY159" s="1099">
        <f>IF(AY156=0,0,AY158/AY156*100)</f>
        <v>0</v>
      </c>
      <c r="AZ159" s="1099">
        <f>IF(AZ156=0,0,AZ158/AZ156*100)</f>
        <v>0</v>
      </c>
      <c r="BA159" s="1099">
        <f>IF(BA156=0,0,BA158/BA156*100)</f>
        <v>0</v>
      </c>
      <c r="BB159" s="1099">
        <f>IF(BB156=0,0,BB158/BB156*100)</f>
        <v>0</v>
      </c>
      <c r="BC159" s="1099">
        <f>IF(BC156=0,0,BC158/BC156*100)</f>
        <v>0</v>
      </c>
      <c r="BD159" s="1100"/>
      <c r="BE159" s="1100"/>
      <c r="BF159" s="1100"/>
      <c r="BG159" s="1100"/>
      <c r="BH159" s="1100"/>
      <c r="BI159" s="1100"/>
      <c r="BJ159" s="1100"/>
      <c r="BK159" s="1100"/>
      <c r="BL159" s="1100"/>
      <c r="BM159" s="1100"/>
      <c r="BN159" s="1265"/>
      <c r="BO159" s="1265"/>
      <c r="BP159" s="1265"/>
      <c r="BQ159" s="960"/>
      <c r="BR159" s="960"/>
      <c r="BS159" s="1046" t="s">
        <v>1755</v>
      </c>
      <c r="BT159" s="1048"/>
      <c r="BU159" s="1048"/>
      <c r="BV159" s="962"/>
      <c r="BW159" s="962"/>
    </row>
    <row customHeight="1" ht="14.625" hidden="1">
      <c r="A160" s="960"/>
      <c r="B160" s="961"/>
      <c r="C160" s="73"/>
      <c r="D160" s="73" cm="1" t="str">
        <f t="array" ref="D160:D160">D159</f>
        <v>11</v>
      </c>
      <c r="E160" s="600">
        <v>15</v>
      </c>
      <c r="F160" s="50" cm="1" t="str">
        <f t="array" ref="F160:F160">OFFSET(E160,-1,1)</f>
        <v>0</v>
      </c>
      <c r="G160" s="73"/>
      <c r="H160" s="73"/>
      <c r="I160" s="73" t="s">
        <v>2065</v>
      </c>
      <c r="J160" s="73"/>
      <c r="K160" s="124" t="s">
        <v>2065</v>
      </c>
      <c r="L160" s="963" t="s">
        <v>1756</v>
      </c>
      <c r="M160" s="73"/>
      <c r="N160" s="73"/>
      <c r="O160" s="73"/>
      <c r="P160" s="73"/>
      <c r="Q160" s="73"/>
      <c r="R160" s="73"/>
      <c r="S160" s="73"/>
      <c r="T160" s="439" cm="1" t="str">
        <f t="array" ref="T160:T160">T159</f>
        <v>false</v>
      </c>
      <c r="U160" s="73"/>
      <c r="V160" s="73"/>
      <c r="W160" s="73"/>
      <c r="X160" s="1534"/>
      <c r="Y160" s="960"/>
      <c r="Z160" s="1465"/>
      <c r="AA160" s="960"/>
      <c r="AB160" s="267" t="str">
        <f>D160&amp;".6"</f>
        <v>11.6</v>
      </c>
      <c r="AC160" s="1096" t="s">
        <v>1758</v>
      </c>
      <c r="AD160" s="267" t="s">
        <v>1494</v>
      </c>
      <c r="AE160" s="1268">
        <f>IF(AE154=0,0,AE151/AE154)</f>
        <v>0</v>
      </c>
      <c r="AF160" s="1268">
        <f>IF(AF154=0,0,AF151/AF154)</f>
        <v>0</v>
      </c>
      <c r="AG160" s="1268">
        <f>IF(AG154=0,0,AG151/AG154)</f>
        <v>0</v>
      </c>
      <c r="AH160" s="1099">
        <f>AG160-AF160</f>
        <v>0</v>
      </c>
      <c r="AI160" s="1268">
        <f>IF(AI154=0,0,AI151/AI154)</f>
        <v>0</v>
      </c>
      <c r="AJ160" s="4561">
        <f>IF(AJ154=0,0,AJ151/AJ154)</f>
        <v>0</v>
      </c>
      <c r="AK160" s="1268">
        <f>IF(AK154=0,0,AK151/AK154)</f>
        <v>0</v>
      </c>
      <c r="AL160" s="1268">
        <f>IF(AL154=0,0,AL151/AL154)</f>
        <v>0</v>
      </c>
      <c r="AM160" s="1268">
        <f>IF(AM154=0,0,AM151/AM154)</f>
        <v>0</v>
      </c>
      <c r="AN160" s="1268">
        <f>IF(AN154=0,0,AN151/AN154)</f>
        <v>0</v>
      </c>
      <c r="AO160" s="1268">
        <f>IF(AO154=0,0,AO151/AO154)</f>
        <v>0</v>
      </c>
      <c r="AP160" s="1268">
        <f>IF(AP154=0,0,AP151/AP154)</f>
        <v>0</v>
      </c>
      <c r="AQ160" s="1268">
        <f>IF(AQ154=0,0,AQ151/AQ154)</f>
        <v>0</v>
      </c>
      <c r="AR160" s="1268">
        <f>IF(AR154=0,0,AR151/AR154)</f>
        <v>0</v>
      </c>
      <c r="AS160" s="1268">
        <f>IF(AS154=0,0,AS151/AS154)</f>
        <v>0</v>
      </c>
      <c r="AT160" s="4561">
        <f>IF(AT154=0,0,AT151/AT154)</f>
        <v>0</v>
      </c>
      <c r="AU160" s="1268">
        <f>IF(AU154=0,0,AU151/AU154)</f>
        <v>0</v>
      </c>
      <c r="AV160" s="1268">
        <f>IF(AV154=0,0,AV151/AV154)</f>
        <v>0</v>
      </c>
      <c r="AW160" s="1268">
        <f>IF(AW154=0,0,AW151/AW154)</f>
        <v>0</v>
      </c>
      <c r="AX160" s="1268">
        <f>IF(AX154=0,0,AX151/AX154)</f>
        <v>0</v>
      </c>
      <c r="AY160" s="1268">
        <f>IF(AY154=0,0,AY151/AY154)</f>
        <v>0</v>
      </c>
      <c r="AZ160" s="1268">
        <f>IF(AZ154=0,0,AZ151/AZ154)</f>
        <v>0</v>
      </c>
      <c r="BA160" s="1268">
        <f>IF(BA154=0,0,BA151/BA154)</f>
        <v>0</v>
      </c>
      <c r="BB160" s="1268">
        <f>IF(BB154=0,0,BB151/BB154)</f>
        <v>0</v>
      </c>
      <c r="BC160" s="1268">
        <f>IF(BC154=0,0,BC151/BC154)</f>
        <v>0</v>
      </c>
      <c r="BD160" s="1100"/>
      <c r="BE160" s="1100"/>
      <c r="BF160" s="1100"/>
      <c r="BG160" s="1100"/>
      <c r="BH160" s="1100"/>
      <c r="BI160" s="1100"/>
      <c r="BJ160" s="1100"/>
      <c r="BK160" s="1100"/>
      <c r="BL160" s="1100"/>
      <c r="BM160" s="1100"/>
      <c r="BN160" s="1265"/>
      <c r="BO160" s="1265"/>
      <c r="BP160" s="1265"/>
      <c r="BQ160" s="960"/>
      <c r="BR160" s="960"/>
      <c r="BS160" s="1046" t="s">
        <v>1759</v>
      </c>
      <c r="BT160" s="1048"/>
      <c r="BU160" s="1048"/>
      <c r="BV160" s="962"/>
      <c r="BW160" s="962"/>
    </row>
    <row s="680" customFormat="1" customHeight="1" ht="20.475" hidden="1">
      <c r="A161" s="680"/>
      <c r="B161" s="408"/>
      <c r="C161" s="75"/>
      <c r="D161" s="75">
        <f>D160+1</f>
        <v>12</v>
      </c>
      <c r="E161" s="807">
        <v>21</v>
      </c>
      <c r="F161" s="50" cm="1" t="str">
        <f t="array" ref="F161:F161">OFFSET(E161,-1,1)</f>
        <v>0</v>
      </c>
      <c r="G161" s="75"/>
      <c r="H161" s="73"/>
      <c r="I161" s="73" t="s">
        <v>1764</v>
      </c>
      <c r="J161" s="75"/>
      <c r="K161" s="124" t="s">
        <v>1764</v>
      </c>
      <c r="L161" s="968" t="s">
        <v>1760</v>
      </c>
      <c r="M161" s="75"/>
      <c r="N161" s="75"/>
      <c r="O161" s="75"/>
      <c r="P161" s="75"/>
      <c r="Q161" s="75"/>
      <c r="R161" s="75"/>
      <c r="S161" s="75"/>
      <c r="T161" s="439" cm="1" t="str">
        <f t="array" ref="T161:T161">T160</f>
        <v>false</v>
      </c>
      <c r="U161" s="75"/>
      <c r="V161" s="75"/>
      <c r="W161" s="75"/>
      <c r="X161" s="1534"/>
      <c r="Y161" s="680"/>
      <c r="Z161" s="1465"/>
      <c r="AA161" s="680"/>
      <c r="AB161" s="178" cm="1" t="str">
        <f t="array" ref="AB161:AB161">D161</f>
        <v>12</v>
      </c>
      <c r="AC161" s="179" t="s">
        <v>1762</v>
      </c>
      <c r="AD161" s="178" t="s">
        <v>784</v>
      </c>
      <c r="AE161" s="1277">
        <f>IF(AE154=0,0,AE151/AE154*AE162)</f>
        <v>0</v>
      </c>
      <c r="AF161" s="1277">
        <f>IF(AF154=0,0,AF151/AF154*AF162)</f>
        <v>0</v>
      </c>
      <c r="AG161" s="1277">
        <f>IF(AG154=0,0,AG151/AG154*AG162)</f>
        <v>0</v>
      </c>
      <c r="AH161" s="180">
        <f>AH163*AH164+AH165*AH166</f>
        <v>0</v>
      </c>
      <c r="AI161" s="1277">
        <f>IF(AI154=0,0,AI151/AI154*AI162)</f>
        <v>0</v>
      </c>
      <c r="AJ161" s="4610">
        <f>IF(AJ154=0,0,AJ151/AJ154*AJ162)</f>
        <v>0</v>
      </c>
      <c r="AK161" s="1277">
        <f>IF(AK154=0,0,AK151/AK154*AK162)</f>
        <v>0</v>
      </c>
      <c r="AL161" s="1277">
        <f>IF(AL154=0,0,AL151/AL154*AL162)</f>
        <v>0</v>
      </c>
      <c r="AM161" s="1277">
        <f>IF(AM154=0,0,AM151/AM154*AM162)</f>
        <v>0</v>
      </c>
      <c r="AN161" s="1277">
        <f>IF(AN154=0,0,AN151/AN154*AN162)</f>
        <v>0</v>
      </c>
      <c r="AO161" s="1277">
        <f>IF(AO154=0,0,AO151/AO154*AO162)</f>
        <v>0</v>
      </c>
      <c r="AP161" s="1277">
        <f>IF(AP154=0,0,AP151/AP154*AP162)</f>
        <v>0</v>
      </c>
      <c r="AQ161" s="1277">
        <f>IF(AQ154=0,0,AQ151/AQ154*AQ162)</f>
        <v>0</v>
      </c>
      <c r="AR161" s="1277">
        <f>IF(AR154=0,0,AR151/AR154*AR162)</f>
        <v>0</v>
      </c>
      <c r="AS161" s="1277">
        <f>IF(AS154=0,0,AS151/AS154*AS162)</f>
        <v>0</v>
      </c>
      <c r="AT161" s="4610">
        <f>IF(AT154=0,0,AT151/AT154*AT162)</f>
        <v>0</v>
      </c>
      <c r="AU161" s="1277">
        <f>IF(AU154=0,0,AU151/AU154*AU162)</f>
        <v>0</v>
      </c>
      <c r="AV161" s="1277">
        <f>IF(AV154=0,0,AV151/AV154*AV162)</f>
        <v>0</v>
      </c>
      <c r="AW161" s="1277">
        <f>IF(AW154=0,0,AW151/AW154*AW162)</f>
        <v>0</v>
      </c>
      <c r="AX161" s="1277">
        <f>IF(AX154=0,0,AX151/AX154*AX162)</f>
        <v>0</v>
      </c>
      <c r="AY161" s="1277">
        <f>IF(AY154=0,0,AY151/AY154*AY162)</f>
        <v>0</v>
      </c>
      <c r="AZ161" s="1277">
        <f>IF(AZ154=0,0,AZ151/AZ154*AZ162)</f>
        <v>0</v>
      </c>
      <c r="BA161" s="1277">
        <f>IF(BA154=0,0,BA151/BA154*BA162)</f>
        <v>0</v>
      </c>
      <c r="BB161" s="1277">
        <f>IF(BB154=0,0,BB151/BB154*BB162)</f>
        <v>0</v>
      </c>
      <c r="BC161" s="1277">
        <f>IF(BC154=0,0,BC151/BC154*BC162)</f>
        <v>0</v>
      </c>
      <c r="BD161" s="759">
        <f>IF(AI161=0,0,(AT161-AI161)/AI161*100)</f>
        <v>0</v>
      </c>
      <c r="BE161" s="759">
        <f>IF(AT161=0,0,(AU161-AT161)/AT161*100)</f>
        <v>0</v>
      </c>
      <c r="BF161" s="759">
        <f>IF(AU161=0,0,(AV161-AU161)/AU161*100)</f>
        <v>0</v>
      </c>
      <c r="BG161" s="759">
        <f>IF(AV161=0,0,(AW161-AV161)/AV161*100)</f>
        <v>0</v>
      </c>
      <c r="BH161" s="759">
        <f>IF(AW161=0,0,(AX161-AW161)/AW161*100)</f>
        <v>0</v>
      </c>
      <c r="BI161" s="759">
        <f>IF(AX161=0,0,(AY161-AX161)/AX161*100)</f>
        <v>0</v>
      </c>
      <c r="BJ161" s="759">
        <f>IF(AY161=0,0,(AZ161-AY161)/AY161*100)</f>
        <v>0</v>
      </c>
      <c r="BK161" s="759">
        <f>IF(AZ161=0,0,(BA161-AZ161)/AZ161*100)</f>
        <v>0</v>
      </c>
      <c r="BL161" s="759">
        <f>IF(BA161=0,0,(BB161-BA161)/BA161*100)</f>
        <v>0</v>
      </c>
      <c r="BM161" s="759">
        <f>IF(BB161=0,0,(BC161-BB161)/BB161*100)</f>
        <v>0</v>
      </c>
      <c r="BN161" s="1265"/>
      <c r="BO161" s="1265"/>
      <c r="BP161" s="1265"/>
      <c r="BQ161" s="680"/>
      <c r="BR161" s="680"/>
      <c r="BS161" s="1047" t="s">
        <v>1763</v>
      </c>
      <c r="BT161" s="1054"/>
      <c r="BU161" s="1054"/>
      <c r="BV161" s="687"/>
      <c r="BW161" s="687"/>
    </row>
    <row s="680" customFormat="1" customHeight="1" ht="20.475" hidden="1">
      <c r="A162" s="680"/>
      <c r="B162" s="408"/>
      <c r="C162" s="75"/>
      <c r="D162" s="75">
        <f>D161+1</f>
        <v>13</v>
      </c>
      <c r="E162" s="807">
        <v>21</v>
      </c>
      <c r="F162" s="50" cm="1" t="str">
        <f t="array" ref="F162:F162">OFFSET(E162,-1,1)</f>
        <v>0</v>
      </c>
      <c r="G162" s="73" t="s">
        <v>1516</v>
      </c>
      <c r="H162" s="73"/>
      <c r="I162" s="73" t="s">
        <v>2066</v>
      </c>
      <c r="J162" s="75"/>
      <c r="K162" s="124" t="s">
        <v>2066</v>
      </c>
      <c r="L162" s="968" t="s">
        <v>1764</v>
      </c>
      <c r="M162" s="75"/>
      <c r="N162" s="75"/>
      <c r="O162" s="75"/>
      <c r="P162" s="75"/>
      <c r="Q162" s="75"/>
      <c r="R162" s="75"/>
      <c r="S162" s="75"/>
      <c r="T162" s="439" cm="1" t="str">
        <f t="array" ref="T162:T162">T161</f>
        <v>false</v>
      </c>
      <c r="U162" s="75"/>
      <c r="V162" s="75"/>
      <c r="W162" s="75"/>
      <c r="X162" s="1534"/>
      <c r="Y162" s="680"/>
      <c r="Z162" s="1465"/>
      <c r="AA162" s="680"/>
      <c r="AB162" s="178" cm="1" t="str">
        <f t="array" ref="AB162:AB162">D162</f>
        <v>13</v>
      </c>
      <c r="AC162" s="179" t="s">
        <v>1766</v>
      </c>
      <c r="AD162" s="178" t="s">
        <v>512</v>
      </c>
      <c r="AE162" s="766">
        <f>_xlfn.SUMIFS(Баланс!AE$26:AE$300,Баланс!$F$26:$F$300,$F162,Баланс!$G$26:$G$300,"население")</f>
        <v>0</v>
      </c>
      <c r="AF162" s="766">
        <f>_xlfn.SUMIFS(Баланс!AF$26:AF$300,Баланс!$F$26:$F$300,$F162,Баланс!$G$26:$G$300,"население")</f>
        <v>0</v>
      </c>
      <c r="AG162" s="766">
        <f>_xlfn.SUMIFS(Баланс!AG$26:AG$300,Баланс!$F$26:$F$300,$F162,Баланс!$G$26:$G$300,"население")</f>
        <v>0</v>
      </c>
      <c r="AH162" s="766">
        <f>AG162-AF162</f>
        <v>0</v>
      </c>
      <c r="AI162" s="766">
        <f>_xlfn.SUMIFS(Баланс!AH$26:AH$300,Баланс!$F$26:$F$300,$F162,Баланс!$G$26:$G$300,"население")</f>
        <v>0</v>
      </c>
      <c r="AJ162" s="766">
        <f>_xlfn.SUMIFS(Баланс!AI$26:AI$300,Баланс!$F$26:$F$300,$F162,Баланс!$G$26:$G$300,"население")</f>
        <v>0</v>
      </c>
      <c r="AK162" s="766">
        <f>_xlfn.SUMIFS(Баланс!AJ$26:AJ$300,Баланс!$F$26:$F$300,$F162,Баланс!$G$26:$G$300,"население")</f>
        <v>0</v>
      </c>
      <c r="AL162" s="766">
        <f>_xlfn.SUMIFS(Баланс!AK$26:AK$300,Баланс!$F$26:$F$300,$F162,Баланс!$G$26:$G$300,"население")</f>
        <v>0</v>
      </c>
      <c r="AM162" s="766">
        <f>_xlfn.SUMIFS(Баланс!AL$26:AL$300,Баланс!$F$26:$F$300,$F162,Баланс!$G$26:$G$300,"население")</f>
        <v>0</v>
      </c>
      <c r="AN162" s="766">
        <f>_xlfn.SUMIFS(Баланс!AM$26:AM$300,Баланс!$F$26:$F$300,$F162,Баланс!$G$26:$G$300,"население")</f>
        <v>0</v>
      </c>
      <c r="AO162" s="766">
        <f>_xlfn.SUMIFS(Баланс!AN$26:AN$300,Баланс!$F$26:$F$300,$F162,Баланс!$G$26:$G$300,"население")</f>
        <v>0</v>
      </c>
      <c r="AP162" s="766">
        <f>_xlfn.SUMIFS(Баланс!AO$26:AO$300,Баланс!$F$26:$F$300,$F162,Баланс!$G$26:$G$300,"население")</f>
        <v>0</v>
      </c>
      <c r="AQ162" s="766">
        <f>_xlfn.SUMIFS(Баланс!AP$26:AP$300,Баланс!$F$26:$F$300,$F162,Баланс!$G$26:$G$300,"население")</f>
        <v>0</v>
      </c>
      <c r="AR162" s="766">
        <f>_xlfn.SUMIFS(Баланс!AQ$26:AQ$300,Баланс!$F$26:$F$300,$F162,Баланс!$G$26:$G$300,"население")</f>
        <v>0</v>
      </c>
      <c r="AS162" s="766">
        <f>_xlfn.SUMIFS(Баланс!AR$26:AR$300,Баланс!$F$26:$F$300,$F162,Баланс!$G$26:$G$300,"население")</f>
        <v>0</v>
      </c>
      <c r="AT162" s="766">
        <f>_xlfn.SUMIFS(Баланс!AS$26:AS$300,Баланс!$F$26:$F$300,$F162,Баланс!$G$26:$G$300,"население")</f>
        <v>0</v>
      </c>
      <c r="AU162" s="766">
        <f>_xlfn.SUMIFS(Баланс!AT$26:AT$300,Баланс!$F$26:$F$300,$F162,Баланс!$G$26:$G$300,"население")</f>
        <v>0</v>
      </c>
      <c r="AV162" s="766">
        <f>_xlfn.SUMIFS(Баланс!AU$26:AU$300,Баланс!$F$26:$F$300,$F162,Баланс!$G$26:$G$300,"население")</f>
        <v>0</v>
      </c>
      <c r="AW162" s="766">
        <f>_xlfn.SUMIFS(Баланс!AV$26:AV$300,Баланс!$F$26:$F$300,$F162,Баланс!$G$26:$G$300,"население")</f>
        <v>0</v>
      </c>
      <c r="AX162" s="766">
        <f>_xlfn.SUMIFS(Баланс!AW$26:AW$300,Баланс!$F$26:$F$300,$F162,Баланс!$G$26:$G$300,"население")</f>
        <v>0</v>
      </c>
      <c r="AY162" s="766">
        <f>_xlfn.SUMIFS(Баланс!AX$26:AX$300,Баланс!$F$26:$F$300,$F162,Баланс!$G$26:$G$300,"население")</f>
        <v>0</v>
      </c>
      <c r="AZ162" s="766">
        <f>_xlfn.SUMIFS(Баланс!AY$26:AY$300,Баланс!$F$26:$F$300,$F162,Баланс!$G$26:$G$300,"население")</f>
        <v>0</v>
      </c>
      <c r="BA162" s="766">
        <f>_xlfn.SUMIFS(Баланс!AZ$26:AZ$300,Баланс!$F$26:$F$300,$F162,Баланс!$G$26:$G$300,"население")</f>
        <v>0</v>
      </c>
      <c r="BB162" s="766">
        <f>_xlfn.SUMIFS(Баланс!BA$26:BA$300,Баланс!$F$26:$F$300,$F162,Баланс!$G$26:$G$300,"население")</f>
        <v>0</v>
      </c>
      <c r="BC162" s="766">
        <f>_xlfn.SUMIFS(Баланс!BB$26:BB$300,Баланс!$F$26:$F$300,$F162,Баланс!$G$26:$G$300,"население")</f>
        <v>0</v>
      </c>
      <c r="BD162" s="183"/>
      <c r="BE162" s="183"/>
      <c r="BF162" s="183"/>
      <c r="BG162" s="183"/>
      <c r="BH162" s="183"/>
      <c r="BI162" s="183"/>
      <c r="BJ162" s="183"/>
      <c r="BK162" s="183"/>
      <c r="BL162" s="183"/>
      <c r="BM162" s="183"/>
      <c r="BN162" s="1265"/>
      <c r="BO162" s="1265"/>
      <c r="BP162" s="1265"/>
      <c r="BQ162" s="680"/>
      <c r="BR162" s="680"/>
      <c r="BS162" s="1047" t="s">
        <v>1767</v>
      </c>
      <c r="BT162" s="1054"/>
      <c r="BU162" s="1054"/>
      <c r="BV162" s="687"/>
      <c r="BW162" s="687"/>
    </row>
    <row customHeight="1" ht="14.625" hidden="1">
      <c r="A163" s="960"/>
      <c r="B163" s="961"/>
      <c r="C163" s="73"/>
      <c r="D163" s="73" cm="1" t="str">
        <f t="array" ref="D163:D163">D162</f>
        <v>13</v>
      </c>
      <c r="E163" s="600">
        <v>15</v>
      </c>
      <c r="F163" s="50" cm="1" t="str">
        <f t="array" ref="F163:F163">OFFSET(E163,-1,1)</f>
        <v>0</v>
      </c>
      <c r="G163" s="73" t="s">
        <v>1550</v>
      </c>
      <c r="H163" s="73"/>
      <c r="I163" s="73" t="s">
        <v>2067</v>
      </c>
      <c r="J163" s="73"/>
      <c r="K163" s="124" t="s">
        <v>2067</v>
      </c>
      <c r="L163" s="963" t="s">
        <v>1768</v>
      </c>
      <c r="M163" s="73"/>
      <c r="N163" s="73"/>
      <c r="O163" s="73"/>
      <c r="P163" s="73"/>
      <c r="Q163" s="73"/>
      <c r="R163" s="73"/>
      <c r="S163" s="73"/>
      <c r="T163" s="439" cm="1" t="str">
        <f t="array" ref="T163:T163">T162</f>
        <v>false</v>
      </c>
      <c r="U163" s="73"/>
      <c r="V163" s="73"/>
      <c r="W163" s="73"/>
      <c r="X163" s="1534"/>
      <c r="Y163" s="960"/>
      <c r="Z163" s="1465"/>
      <c r="AA163" s="960"/>
      <c r="AB163" s="267" t="str">
        <f>D163&amp;".1"</f>
        <v>13.1</v>
      </c>
      <c r="AC163" s="1096" t="s">
        <v>1770</v>
      </c>
      <c r="AD163" s="267" t="s">
        <v>512</v>
      </c>
      <c r="AE163" s="1266">
        <f>AE162/2</f>
        <v>0</v>
      </c>
      <c r="AF163" s="1266">
        <f>AF162/2</f>
        <v>0</v>
      </c>
      <c r="AG163" s="1266">
        <f>AG162/2</f>
        <v>0</v>
      </c>
      <c r="AH163" s="1098">
        <f>AG163-AF163</f>
        <v>0</v>
      </c>
      <c r="AI163" s="1266">
        <f>AI162/2</f>
        <v>0</v>
      </c>
      <c r="AJ163" s="4548">
        <f>IF(god=2026,AJ162/12*9,AJ162/2)</f>
        <v>0</v>
      </c>
      <c r="AK163" s="1266">
        <f>IF(god=2025,AK162/12*9,AK162/2)</f>
        <v>0</v>
      </c>
      <c r="AL163" s="1266">
        <f>AL162/2</f>
        <v>0</v>
      </c>
      <c r="AM163" s="1266">
        <f>AM162/2</f>
        <v>0</v>
      </c>
      <c r="AN163" s="1266">
        <f>AN162/2</f>
        <v>0</v>
      </c>
      <c r="AO163" s="1266">
        <f>AO162/2</f>
        <v>0</v>
      </c>
      <c r="AP163" s="1266">
        <f>AP162/2</f>
        <v>0</v>
      </c>
      <c r="AQ163" s="1266">
        <f>AQ162/2</f>
        <v>0</v>
      </c>
      <c r="AR163" s="1266">
        <f>AR162/2</f>
        <v>0</v>
      </c>
      <c r="AS163" s="1266">
        <f>AS162/2</f>
        <v>0</v>
      </c>
      <c r="AT163" s="4611">
        <f>IF(god=2026,AT162/12*9,AT162/2)</f>
        <v>0</v>
      </c>
      <c r="AU163" s="1288">
        <f>IF(god=2025,AU162/12*9,AU162/2)</f>
        <v>0</v>
      </c>
      <c r="AV163" s="1266">
        <f>AV162/2</f>
        <v>0</v>
      </c>
      <c r="AW163" s="1266">
        <f>AW162/2</f>
        <v>0</v>
      </c>
      <c r="AX163" s="1266">
        <f>AX162/2</f>
        <v>0</v>
      </c>
      <c r="AY163" s="1266">
        <f>AY162/2</f>
        <v>0</v>
      </c>
      <c r="AZ163" s="1266">
        <f>AZ162/2</f>
        <v>0</v>
      </c>
      <c r="BA163" s="1266">
        <f>BA162/2</f>
        <v>0</v>
      </c>
      <c r="BB163" s="1266">
        <f>BB162/2</f>
        <v>0</v>
      </c>
      <c r="BC163" s="1266">
        <f>BC162/2</f>
        <v>0</v>
      </c>
      <c r="BD163" s="1100"/>
      <c r="BE163" s="1100"/>
      <c r="BF163" s="1100"/>
      <c r="BG163" s="1100"/>
      <c r="BH163" s="1100"/>
      <c r="BI163" s="1100"/>
      <c r="BJ163" s="1100"/>
      <c r="BK163" s="1100"/>
      <c r="BL163" s="1100"/>
      <c r="BM163" s="1100"/>
      <c r="BN163" s="1265"/>
      <c r="BO163" s="1265"/>
      <c r="BP163" s="1265"/>
      <c r="BQ163" s="960"/>
      <c r="BR163" s="960"/>
      <c r="BS163" s="1046" t="s">
        <v>1771</v>
      </c>
      <c r="BT163" s="1048"/>
      <c r="BU163" s="1048"/>
      <c r="BV163" s="962"/>
      <c r="BW163" s="962"/>
    </row>
    <row customHeight="1" ht="14.625" hidden="1">
      <c r="A164" s="960"/>
      <c r="B164" s="961"/>
      <c r="C164" s="73"/>
      <c r="D164" s="73" cm="1" t="str">
        <f t="array" ref="D164:D164">D163</f>
        <v>13</v>
      </c>
      <c r="E164" s="600">
        <v>15</v>
      </c>
      <c r="F164" s="50" cm="1" t="str">
        <f t="array" ref="F164:F164">OFFSET(E164,-1,1)</f>
        <v>0</v>
      </c>
      <c r="G164" s="73" t="s">
        <v>1506</v>
      </c>
      <c r="H164" s="73"/>
      <c r="I164" s="73" t="s">
        <v>2068</v>
      </c>
      <c r="J164" s="73"/>
      <c r="K164" s="124" t="s">
        <v>2068</v>
      </c>
      <c r="L164" s="963" t="s">
        <v>1772</v>
      </c>
      <c r="M164" s="73"/>
      <c r="N164" s="73"/>
      <c r="O164" s="73"/>
      <c r="P164" s="73"/>
      <c r="Q164" s="73"/>
      <c r="R164" s="73"/>
      <c r="S164" s="73"/>
      <c r="T164" s="439" cm="1" t="str">
        <f t="array" ref="T164:T164">T163</f>
        <v>false</v>
      </c>
      <c r="U164" s="73"/>
      <c r="V164" s="73"/>
      <c r="W164" s="73"/>
      <c r="X164" s="1534"/>
      <c r="Y164" s="960"/>
      <c r="Z164" s="1465"/>
      <c r="AA164" s="960"/>
      <c r="AB164" s="267" t="str">
        <f>D164&amp;".2"</f>
        <v>13.2</v>
      </c>
      <c r="AC164" s="1096" t="s">
        <v>1774</v>
      </c>
      <c r="AD164" s="267" t="s">
        <v>1494</v>
      </c>
      <c r="AE164" s="1268">
        <f>IF(AE162=0,0,AE156*(1+Сценарии!AE$26/100))</f>
        <v>0</v>
      </c>
      <c r="AF164" s="1289">
        <f>IF(AF162=0,0,AF156*(1+Сценарии!AF$26/100))</f>
        <v>0</v>
      </c>
      <c r="AG164" s="1289">
        <f>IF(AG162=0,0,AG156*(1+Сценарии!AG$26/100))</f>
        <v>0</v>
      </c>
      <c r="AH164" s="1099">
        <f>AG164-AF164</f>
        <v>0</v>
      </c>
      <c r="AI164" s="1268">
        <f>IF(AI162=0,0,AI156*(1+Сценарии!AI$26/100))</f>
        <v>0</v>
      </c>
      <c r="AJ164" s="4614">
        <f>IF(AJ162=0,0,AJ156*(1+Сценарии!AJ$26/100))</f>
        <v>0</v>
      </c>
      <c r="AK164" s="1289">
        <f>IF(AK162=0,0,AK156*(1+Сценарии!AO$26/100))</f>
        <v>0</v>
      </c>
      <c r="AL164" s="1289">
        <f>IF(AL162=0,0,AL156*(1+Сценарии!AP$26/100))</f>
        <v>0</v>
      </c>
      <c r="AM164" s="1289">
        <f>IF(AM162=0,0,AM156*(1+Сценарии!AQ$26/100))</f>
        <v>0</v>
      </c>
      <c r="AN164" s="1289">
        <f>IF(AN162=0,0,AN156*(1+Сценарии!AR$26/100))</f>
        <v>0</v>
      </c>
      <c r="AO164" s="1289">
        <f>IF(AO162=0,0,AO156*(1+Сценарии!AS$26/100))</f>
        <v>0</v>
      </c>
      <c r="AP164" s="1289">
        <f>IF(AP162=0,0,AP156*(1+Сценарии!AT$26/100))</f>
        <v>0</v>
      </c>
      <c r="AQ164" s="1289">
        <f>IF(AQ162=0,0,AQ156*(1+Сценарии!AU$26/100))</f>
        <v>0</v>
      </c>
      <c r="AR164" s="1289">
        <f>IF(AR162=0,0,AR156*(1+Сценарии!AV$26/100))</f>
        <v>0</v>
      </c>
      <c r="AS164" s="1289">
        <f>IF(AS162=0,0,AS156*(1+Сценарии!AW$26/100))</f>
        <v>0</v>
      </c>
      <c r="AT164" s="4561">
        <f>IF(AT162=0,0,AT156*(1+Сценарии!AK$26/100))</f>
        <v>0</v>
      </c>
      <c r="AU164" s="1268">
        <f>IF(AU162=0,0,AU156*(1+Сценарии!AX$26/100))</f>
        <v>0</v>
      </c>
      <c r="AV164" s="1289">
        <f>IF(AV162=0,0,AV156*(1+Сценарии!AY$26/100))</f>
        <v>0</v>
      </c>
      <c r="AW164" s="1289">
        <f>IF(AW162=0,0,AW156*(1+Сценарии!AZ$26/100))</f>
        <v>0</v>
      </c>
      <c r="AX164" s="1289">
        <f>IF(AX162=0,0,AX156*(1+Сценарии!BA$26/100))</f>
        <v>0</v>
      </c>
      <c r="AY164" s="1289">
        <f>IF(AY162=0,0,AY156*(1+Сценарии!BB$26/100))</f>
        <v>0</v>
      </c>
      <c r="AZ164" s="1289">
        <f>IF(AZ162=0,0,AZ156*(1+Сценарии!BC$26/100))</f>
        <v>0</v>
      </c>
      <c r="BA164" s="1289">
        <f>IF(BA162=0,0,BA156*(1+Сценарии!BD$26/100))</f>
        <v>0</v>
      </c>
      <c r="BB164" s="1289">
        <f>IF(BB162=0,0,BB156*(1+Сценарии!BE$26/100))</f>
        <v>0</v>
      </c>
      <c r="BC164" s="1289">
        <f>IF(BC162=0,0,BC156*(1+Сценарии!BF$26/100))</f>
        <v>0</v>
      </c>
      <c r="BD164" s="1100"/>
      <c r="BE164" s="1100"/>
      <c r="BF164" s="1100"/>
      <c r="BG164" s="1100"/>
      <c r="BH164" s="1100"/>
      <c r="BI164" s="1100"/>
      <c r="BJ164" s="1100"/>
      <c r="BK164" s="1100"/>
      <c r="BL164" s="1100"/>
      <c r="BM164" s="1100"/>
      <c r="BN164" s="1265"/>
      <c r="BO164" s="1265"/>
      <c r="BP164" s="1265"/>
      <c r="BQ164" s="960"/>
      <c r="BR164" s="960"/>
      <c r="BS164" s="1046" t="s">
        <v>1775</v>
      </c>
      <c r="BT164" s="1048"/>
      <c r="BU164" s="1048"/>
      <c r="BV164" s="962"/>
      <c r="BW164" s="962"/>
    </row>
    <row customHeight="1" ht="14.625" hidden="1">
      <c r="A165" s="960"/>
      <c r="B165" s="961"/>
      <c r="C165" s="73"/>
      <c r="D165" s="73" cm="1" t="str">
        <f t="array" ref="D165:D165">D164</f>
        <v>13</v>
      </c>
      <c r="E165" s="600">
        <v>15</v>
      </c>
      <c r="F165" s="50" cm="1" t="str">
        <f t="array" ref="F165:F165">OFFSET(E165,-1,1)</f>
        <v>0</v>
      </c>
      <c r="G165" s="73" t="s">
        <v>1557</v>
      </c>
      <c r="H165" s="73"/>
      <c r="I165" s="73" t="s">
        <v>2069</v>
      </c>
      <c r="J165" s="73"/>
      <c r="K165" s="73" t="s">
        <v>2069</v>
      </c>
      <c r="L165" s="963" t="s">
        <v>1776</v>
      </c>
      <c r="M165" s="73"/>
      <c r="N165" s="73"/>
      <c r="O165" s="73"/>
      <c r="P165" s="73"/>
      <c r="Q165" s="73"/>
      <c r="R165" s="73"/>
      <c r="S165" s="73"/>
      <c r="T165" s="439" cm="1" t="str">
        <f t="array" ref="T165:T165">T164</f>
        <v>false</v>
      </c>
      <c r="U165" s="73"/>
      <c r="V165" s="73"/>
      <c r="W165" s="73"/>
      <c r="X165" s="1534"/>
      <c r="Y165" s="960"/>
      <c r="Z165" s="1465"/>
      <c r="AA165" s="960"/>
      <c r="AB165" s="267" t="str">
        <f>D165&amp;".3"</f>
        <v>13.3</v>
      </c>
      <c r="AC165" s="1096" t="s">
        <v>1746</v>
      </c>
      <c r="AD165" s="267" t="s">
        <v>512</v>
      </c>
      <c r="AE165" s="1098">
        <f>AE162-AE163</f>
        <v>0</v>
      </c>
      <c r="AF165" s="1098">
        <f>AF162-AF163</f>
        <v>0</v>
      </c>
      <c r="AG165" s="1098">
        <f>AG162-AG163</f>
        <v>0</v>
      </c>
      <c r="AH165" s="1098">
        <f>AG165-AF165</f>
        <v>0</v>
      </c>
      <c r="AI165" s="1098">
        <f>AI162-AI163</f>
        <v>0</v>
      </c>
      <c r="AJ165" s="1098">
        <f>AJ162-AJ163</f>
        <v>0</v>
      </c>
      <c r="AK165" s="1098">
        <f>AK162-AK163</f>
        <v>0</v>
      </c>
      <c r="AL165" s="1098">
        <f>AL162-AL163</f>
        <v>0</v>
      </c>
      <c r="AM165" s="1098">
        <f>AM162-AM163</f>
        <v>0</v>
      </c>
      <c r="AN165" s="1098">
        <f>AN162-AN163</f>
        <v>0</v>
      </c>
      <c r="AO165" s="1098">
        <f>AO162-AO163</f>
        <v>0</v>
      </c>
      <c r="AP165" s="1098">
        <f>AP162-AP163</f>
        <v>0</v>
      </c>
      <c r="AQ165" s="1098">
        <f>AQ162-AQ163</f>
        <v>0</v>
      </c>
      <c r="AR165" s="1098">
        <f>AR162-AR163</f>
        <v>0</v>
      </c>
      <c r="AS165" s="1098">
        <f>AS162-AS163</f>
        <v>0</v>
      </c>
      <c r="AT165" s="1098">
        <f>AT162-AT163</f>
        <v>0</v>
      </c>
      <c r="AU165" s="1098">
        <f>AU162-AU163</f>
        <v>0</v>
      </c>
      <c r="AV165" s="1098">
        <f>AV162-AV163</f>
        <v>0</v>
      </c>
      <c r="AW165" s="1098">
        <f>AW162-AW163</f>
        <v>0</v>
      </c>
      <c r="AX165" s="1098">
        <f>AX162-AX163</f>
        <v>0</v>
      </c>
      <c r="AY165" s="1098">
        <f>AY162-AY163</f>
        <v>0</v>
      </c>
      <c r="AZ165" s="1098">
        <f>AZ162-AZ163</f>
        <v>0</v>
      </c>
      <c r="BA165" s="1098">
        <f>BA162-BA163</f>
        <v>0</v>
      </c>
      <c r="BB165" s="1098">
        <f>BB162-BB163</f>
        <v>0</v>
      </c>
      <c r="BC165" s="1098">
        <f>BC162-BC163</f>
        <v>0</v>
      </c>
      <c r="BD165" s="1100"/>
      <c r="BE165" s="1100"/>
      <c r="BF165" s="1100"/>
      <c r="BG165" s="1100"/>
      <c r="BH165" s="1100"/>
      <c r="BI165" s="1100"/>
      <c r="BJ165" s="1100"/>
      <c r="BK165" s="1100"/>
      <c r="BL165" s="1100"/>
      <c r="BM165" s="1100"/>
      <c r="BN165" s="1265"/>
      <c r="BO165" s="1265"/>
      <c r="BP165" s="1265"/>
      <c r="BQ165" s="960"/>
      <c r="BR165" s="960"/>
      <c r="BS165" s="1046" t="s">
        <v>1778</v>
      </c>
      <c r="BT165" s="1048"/>
      <c r="BU165" s="1048"/>
      <c r="BV165" s="962"/>
      <c r="BW165" s="962"/>
    </row>
    <row customHeight="1" ht="14.625" hidden="1">
      <c r="A166" s="960"/>
      <c r="B166" s="961"/>
      <c r="C166" s="73"/>
      <c r="D166" s="73" cm="1" t="str">
        <f t="array" ref="D166:D166">D165</f>
        <v>13</v>
      </c>
      <c r="E166" s="600">
        <v>15</v>
      </c>
      <c r="F166" s="50" cm="1" t="str">
        <f t="array" ref="F166:F166">OFFSET(E166,-1,1)</f>
        <v>0</v>
      </c>
      <c r="G166" s="73" t="s">
        <v>1510</v>
      </c>
      <c r="H166" s="73"/>
      <c r="I166" s="73" t="s">
        <v>2070</v>
      </c>
      <c r="J166" s="73"/>
      <c r="K166" s="73" t="s">
        <v>2070</v>
      </c>
      <c r="L166" s="963" t="s">
        <v>1779</v>
      </c>
      <c r="M166" s="73"/>
      <c r="N166" s="73"/>
      <c r="O166" s="73"/>
      <c r="P166" s="73"/>
      <c r="Q166" s="73"/>
      <c r="R166" s="73"/>
      <c r="S166" s="73"/>
      <c r="T166" s="439" cm="1" t="str">
        <f t="array" ref="T166:T166">T165</f>
        <v>false</v>
      </c>
      <c r="U166" s="73"/>
      <c r="V166" s="73"/>
      <c r="W166" s="73"/>
      <c r="X166" s="1534"/>
      <c r="Y166" s="960"/>
      <c r="Z166" s="1465"/>
      <c r="AA166" s="960"/>
      <c r="AB166" s="267" t="str">
        <f>D166&amp;".4"</f>
        <v>13.4</v>
      </c>
      <c r="AC166" s="1096" t="s">
        <v>1750</v>
      </c>
      <c r="AD166" s="267" t="s">
        <v>1494</v>
      </c>
      <c r="AE166" s="1268">
        <f>IF(AE162=0,0,AE158*(1+Сценарии!AE$26/100))</f>
        <v>0</v>
      </c>
      <c r="AF166" s="1289">
        <f>IF(AF162=0,0,AF158*(1+Сценарии!AF$26/100))</f>
        <v>0</v>
      </c>
      <c r="AG166" s="1289">
        <f>IF(AG162=0,0,AG158*(1+Сценарии!AG$26/100))</f>
        <v>0</v>
      </c>
      <c r="AH166" s="1099">
        <f>AG166-AF166</f>
        <v>0</v>
      </c>
      <c r="AI166" s="1268">
        <f>IF(AI162=0,0,AI158*(1+Сценарии!AI$26/100))</f>
        <v>0</v>
      </c>
      <c r="AJ166" s="4614">
        <f>IF(AJ162=0,0,AJ158*(1+Сценарии!AJ$26/100))</f>
        <v>0</v>
      </c>
      <c r="AK166" s="1268">
        <f>IF(AK162=0,0,AK158*(1+Сценарии!AO$26/100))</f>
        <v>0</v>
      </c>
      <c r="AL166" s="1289">
        <f>IF(AL162=0,0,AL158*(1+Сценарии!AP$26/100))</f>
        <v>0</v>
      </c>
      <c r="AM166" s="1289">
        <f>IF(AM162=0,0,AM158*(1+Сценарии!AQ$26/100))</f>
        <v>0</v>
      </c>
      <c r="AN166" s="1289">
        <f>IF(AN162=0,0,AN158*(1+Сценарии!AR$26/100))</f>
        <v>0</v>
      </c>
      <c r="AO166" s="1289">
        <f>IF(AO162=0,0,AO158*(1+Сценарии!AS$26/100))</f>
        <v>0</v>
      </c>
      <c r="AP166" s="1289">
        <f>IF(AP162=0,0,AP158*(1+Сценарии!AT$26/100))</f>
        <v>0</v>
      </c>
      <c r="AQ166" s="1289">
        <f>IF(AQ162=0,0,AQ158*(1+Сценарии!AU$26/100))</f>
        <v>0</v>
      </c>
      <c r="AR166" s="1289">
        <f>IF(AR162=0,0,AR158*(1+Сценарии!AV$26/100))</f>
        <v>0</v>
      </c>
      <c r="AS166" s="1289">
        <f>IF(AS162=0,0,AS158*(1+Сценарии!AW$26/100))</f>
        <v>0</v>
      </c>
      <c r="AT166" s="4561">
        <f>IF(AT162=0,0,AT158*(1+Сценарии!AK$26/100))</f>
        <v>0</v>
      </c>
      <c r="AU166" s="1268">
        <f>IF(AU162=0,0,AU158*(1+Сценарии!AX$26/100))</f>
        <v>0</v>
      </c>
      <c r="AV166" s="1289">
        <f>IF(AV162=0,0,AV158*(1+Сценарии!AY$26/100))</f>
        <v>0</v>
      </c>
      <c r="AW166" s="1289">
        <f>IF(AW162=0,0,AW158*(1+Сценарии!AZ$26/100))</f>
        <v>0</v>
      </c>
      <c r="AX166" s="1289">
        <f>IF(AX162=0,0,AX158*(1+Сценарии!BA$26/100))</f>
        <v>0</v>
      </c>
      <c r="AY166" s="1289">
        <f>IF(AY162=0,0,AY158*(1+Сценарии!BB$26/100))</f>
        <v>0</v>
      </c>
      <c r="AZ166" s="1289">
        <f>IF(AZ162=0,0,AZ158*(1+Сценарии!BC$26/100))</f>
        <v>0</v>
      </c>
      <c r="BA166" s="1289">
        <f>IF(BA162=0,0,BA158*(1+Сценарии!BD$26/100))</f>
        <v>0</v>
      </c>
      <c r="BB166" s="1289">
        <f>IF(BB162=0,0,BB158*(1+Сценарии!BE$26/100))</f>
        <v>0</v>
      </c>
      <c r="BC166" s="1289">
        <f>IF(BC162=0,0,BC158*(1+Сценарии!BF$26/100))</f>
        <v>0</v>
      </c>
      <c r="BD166" s="1100"/>
      <c r="BE166" s="1100"/>
      <c r="BF166" s="1100"/>
      <c r="BG166" s="1100"/>
      <c r="BH166" s="1100"/>
      <c r="BI166" s="1100"/>
      <c r="BJ166" s="1100"/>
      <c r="BK166" s="1100"/>
      <c r="BL166" s="1100"/>
      <c r="BM166" s="1100"/>
      <c r="BN166" s="1265"/>
      <c r="BO166" s="1265"/>
      <c r="BP166" s="1265"/>
      <c r="BQ166" s="960"/>
      <c r="BR166" s="960"/>
      <c r="BS166" s="1046" t="s">
        <v>1782</v>
      </c>
      <c r="BT166" s="1048"/>
      <c r="BU166" s="1048"/>
      <c r="BV166" s="962"/>
      <c r="BW166" s="962"/>
    </row>
    <row customHeight="1" ht="14.625" hidden="1">
      <c r="A167" s="960"/>
      <c r="B167" s="961"/>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534"/>
      <c r="Y167" s="960"/>
      <c r="Z167" s="1465"/>
      <c r="AA167" s="960"/>
      <c r="AB167" s="178" cm="1" t="str">
        <f t="array" ref="AB167:AB167">D167</f>
        <v>14</v>
      </c>
      <c r="AC167" s="179" t="s">
        <v>1784</v>
      </c>
      <c r="AD167" s="178" t="s">
        <v>784</v>
      </c>
      <c r="AE167" s="1268"/>
      <c r="AF167" s="1268"/>
      <c r="AG167" s="1268"/>
      <c r="AH167" s="1099">
        <f>AG167-AF167</f>
        <v>0</v>
      </c>
      <c r="AI167" s="1268"/>
      <c r="AJ167" s="4561"/>
      <c r="AK167" s="1268"/>
      <c r="AL167" s="1268"/>
      <c r="AM167" s="1268"/>
      <c r="AN167" s="1268"/>
      <c r="AO167" s="1268"/>
      <c r="AP167" s="1268"/>
      <c r="AQ167" s="1268"/>
      <c r="AR167" s="1268"/>
      <c r="AS167" s="1268"/>
      <c r="AT167" s="4561"/>
      <c r="AU167" s="1268"/>
      <c r="AV167" s="1268"/>
      <c r="AW167" s="1268"/>
      <c r="AX167" s="1268"/>
      <c r="AY167" s="1268"/>
      <c r="AZ167" s="1268"/>
      <c r="BA167" s="1268"/>
      <c r="BB167" s="1268"/>
      <c r="BC167" s="1268"/>
      <c r="BD167" s="1100"/>
      <c r="BE167" s="1100"/>
      <c r="BF167" s="1100"/>
      <c r="BG167" s="1100"/>
      <c r="BH167" s="1100"/>
      <c r="BI167" s="1100"/>
      <c r="BJ167" s="1100"/>
      <c r="BK167" s="1100"/>
      <c r="BL167" s="1100"/>
      <c r="BM167" s="1100"/>
      <c r="BN167" s="1265"/>
      <c r="BO167" s="1265"/>
      <c r="BP167" s="1265"/>
      <c r="BQ167" s="960"/>
      <c r="BR167" s="960"/>
      <c r="BS167" s="1046" t="s">
        <v>1785</v>
      </c>
      <c r="BT167" s="1048"/>
      <c r="BU167" s="1048"/>
      <c r="BV167" s="962"/>
      <c r="BW167" s="962"/>
    </row>
    <row s="1260" customFormat="1" customHeight="1" ht="20.475" hidden="1">
      <c r="A168" s="1260"/>
      <c r="B168" s="734"/>
      <c r="C168" s="73"/>
      <c r="D168" s="73" cm="1" t="str">
        <f t="array" ref="D168:D168">D167</f>
        <v>14</v>
      </c>
      <c r="E168" s="600">
        <v>21</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534"/>
      <c r="Y168" s="1260"/>
      <c r="Z168" s="1465"/>
      <c r="AA168" s="1260"/>
      <c r="AB168" s="267" t="str">
        <f>D168&amp;".1"</f>
        <v>14.1</v>
      </c>
      <c r="AC168" s="743" t="s">
        <v>1787</v>
      </c>
      <c r="AD168" s="267" t="s">
        <v>784</v>
      </c>
      <c r="AE168" s="1268"/>
      <c r="AF168" s="1268"/>
      <c r="AG168" s="1268"/>
      <c r="AH168" s="1099">
        <f>AG168-AF168</f>
        <v>0</v>
      </c>
      <c r="AI168" s="1268"/>
      <c r="AJ168" s="4561"/>
      <c r="AK168" s="1268"/>
      <c r="AL168" s="1268"/>
      <c r="AM168" s="1268"/>
      <c r="AN168" s="1268"/>
      <c r="AO168" s="1268"/>
      <c r="AP168" s="1268"/>
      <c r="AQ168" s="1268"/>
      <c r="AR168" s="1268"/>
      <c r="AS168" s="1268"/>
      <c r="AT168" s="4561"/>
      <c r="AU168" s="1268"/>
      <c r="AV168" s="1268"/>
      <c r="AW168" s="1268"/>
      <c r="AX168" s="1268"/>
      <c r="AY168" s="1268"/>
      <c r="AZ168" s="1268"/>
      <c r="BA168" s="1268"/>
      <c r="BB168" s="1268"/>
      <c r="BC168" s="1268"/>
      <c r="BD168" s="1100"/>
      <c r="BE168" s="1100"/>
      <c r="BF168" s="1100"/>
      <c r="BG168" s="1100"/>
      <c r="BH168" s="1100"/>
      <c r="BI168" s="1100"/>
      <c r="BJ168" s="1100"/>
      <c r="BK168" s="1100"/>
      <c r="BL168" s="1100"/>
      <c r="BM168" s="1100"/>
      <c r="BN168" s="1265"/>
      <c r="BO168" s="1265"/>
      <c r="BP168" s="1265"/>
      <c r="BQ168" s="1260"/>
      <c r="BR168" s="1260"/>
      <c r="BS168" s="1046" t="s">
        <v>1788</v>
      </c>
      <c r="BT168" s="1055"/>
      <c r="BU168" s="1055"/>
      <c r="BV168" s="1056"/>
      <c r="BW168" s="1056"/>
    </row>
    <row s="1260" customFormat="1" customHeight="1" ht="64.935" hidden="1">
      <c r="A169" s="1260"/>
      <c r="B169" s="734"/>
      <c r="C169" s="73"/>
      <c r="D169" s="73" cm="1" t="str">
        <f t="array" ref="D169:D169">D168</f>
        <v>14</v>
      </c>
      <c r="E169" s="600">
        <v>66.6</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534"/>
      <c r="Y169" s="1260"/>
      <c r="Z169" s="1465"/>
      <c r="AA169" s="1260"/>
      <c r="AB169" s="267" t="str">
        <f>D169&amp;".2"</f>
        <v>14.2</v>
      </c>
      <c r="AC169" s="743" t="s">
        <v>1790</v>
      </c>
      <c r="AD169" s="267" t="s">
        <v>784</v>
      </c>
      <c r="AE169" s="1268"/>
      <c r="AF169" s="1268"/>
      <c r="AG169" s="1268"/>
      <c r="AH169" s="1099">
        <f>AG169-AF169</f>
        <v>0</v>
      </c>
      <c r="AI169" s="1268"/>
      <c r="AJ169" s="4561"/>
      <c r="AK169" s="1268"/>
      <c r="AL169" s="1268"/>
      <c r="AM169" s="1268"/>
      <c r="AN169" s="1268"/>
      <c r="AO169" s="1268"/>
      <c r="AP169" s="1268"/>
      <c r="AQ169" s="1268"/>
      <c r="AR169" s="1268"/>
      <c r="AS169" s="1268"/>
      <c r="AT169" s="4561"/>
      <c r="AU169" s="1268"/>
      <c r="AV169" s="1268"/>
      <c r="AW169" s="1268"/>
      <c r="AX169" s="1268"/>
      <c r="AY169" s="1268"/>
      <c r="AZ169" s="1268"/>
      <c r="BA169" s="1268"/>
      <c r="BB169" s="1268"/>
      <c r="BC169" s="1268"/>
      <c r="BD169" s="1100"/>
      <c r="BE169" s="1100"/>
      <c r="BF169" s="1100"/>
      <c r="BG169" s="1100"/>
      <c r="BH169" s="1100"/>
      <c r="BI169" s="1100"/>
      <c r="BJ169" s="1100"/>
      <c r="BK169" s="1100"/>
      <c r="BL169" s="1100"/>
      <c r="BM169" s="1100"/>
      <c r="BN169" s="1265"/>
      <c r="BO169" s="1265"/>
      <c r="BP169" s="1265"/>
      <c r="BQ169" s="1260"/>
      <c r="BR169" s="1260"/>
      <c r="BS169" s="1046" t="s">
        <v>1791</v>
      </c>
      <c r="BT169" s="1055"/>
      <c r="BU169" s="1055"/>
      <c r="BV169" s="1056"/>
      <c r="BW169" s="1056"/>
    </row>
    <row s="1260" customFormat="1" customHeight="1" ht="44.46" hidden="1">
      <c r="A170" s="1260"/>
      <c r="B170" s="734"/>
      <c r="C170" s="73"/>
      <c r="D170" s="73" cm="1" t="str">
        <f t="array" ref="D170:D170">D169</f>
        <v>14</v>
      </c>
      <c r="E170" s="600">
        <v>45.6</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534"/>
      <c r="Y170" s="1260"/>
      <c r="Z170" s="1465"/>
      <c r="AA170" s="1260"/>
      <c r="AB170" s="267" t="str">
        <f>D170&amp;".3"</f>
        <v>14.3</v>
      </c>
      <c r="AC170" s="743" t="s">
        <v>2071</v>
      </c>
      <c r="AD170" s="267" t="s">
        <v>784</v>
      </c>
      <c r="AE170" s="1100"/>
      <c r="AF170" s="1268"/>
      <c r="AG170" s="1268"/>
      <c r="AH170" s="1099">
        <f>AG170-AF170</f>
        <v>0</v>
      </c>
      <c r="AI170" s="1100"/>
      <c r="AJ170" s="1100"/>
      <c r="AK170" s="1100"/>
      <c r="AL170" s="1100"/>
      <c r="AM170" s="1100"/>
      <c r="AN170" s="1100"/>
      <c r="AO170" s="1100"/>
      <c r="AP170" s="1100"/>
      <c r="AQ170" s="1100"/>
      <c r="AR170" s="1100"/>
      <c r="AS170" s="1100"/>
      <c r="AT170" s="1100"/>
      <c r="AU170" s="1100"/>
      <c r="AV170" s="1100"/>
      <c r="AW170" s="1100"/>
      <c r="AX170" s="1100"/>
      <c r="AY170" s="1100"/>
      <c r="AZ170" s="1100"/>
      <c r="BA170" s="1100"/>
      <c r="BB170" s="1100"/>
      <c r="BC170" s="1100"/>
      <c r="BD170" s="1100"/>
      <c r="BE170" s="1100"/>
      <c r="BF170" s="1100"/>
      <c r="BG170" s="1100"/>
      <c r="BH170" s="1100"/>
      <c r="BI170" s="1100"/>
      <c r="BJ170" s="1100"/>
      <c r="BK170" s="1100"/>
      <c r="BL170" s="1100"/>
      <c r="BM170" s="1100"/>
      <c r="BN170" s="1265"/>
      <c r="BO170" s="1265"/>
      <c r="BP170" s="1265"/>
      <c r="BQ170" s="1260"/>
      <c r="BR170" s="1260"/>
      <c r="BS170" s="1055" t="s">
        <v>2072</v>
      </c>
      <c r="BT170" s="1055"/>
      <c r="BU170" s="1055"/>
      <c r="BV170" s="1056"/>
      <c r="BW170" s="1056"/>
    </row>
    <row s="4615" customFormat="1" customHeight="1" ht="14.25">
      <c r="A171" s="1153"/>
      <c r="B171" s="401"/>
      <c r="C171" s="399"/>
      <c r="D171" s="399"/>
      <c r="E171" s="598">
        <v>15</v>
      </c>
      <c r="F171" s="467" cm="1" t="str">
        <f t="array" ref="F171:F171">X171</f>
        <v>1</v>
      </c>
      <c r="G171" s="467" cm="1" t="str">
        <f t="array" ref="G171:G171">INDEX('Общие сведения'!$AK$179:$AK$222,MATCH($X171,'Общие сведения'!$Z$179:$Z$222,0))</f>
        <v>одноставочный</v>
      </c>
      <c r="H171" s="399"/>
      <c r="I171" s="467"/>
      <c r="J171" s="399"/>
      <c r="K171" s="399"/>
      <c r="L171" s="965"/>
      <c r="M171" s="399"/>
      <c r="N171" s="399"/>
      <c r="O171" s="399"/>
      <c r="P171" s="399"/>
      <c r="Q171" s="399"/>
      <c r="R171" s="399"/>
      <c r="S171" s="399" cm="1" t="str">
        <f t="array" ref="S171:S171">INDEX('Общие сведения'!$AE$179:$AE$222,MATCH($X171,'Общие сведения'!$Z$179:$Z$222,0))</f>
        <v>Водоснабжение</v>
      </c>
      <c r="T171" s="439">
        <f>X171&gt;0</f>
        <v>1</v>
      </c>
      <c r="U171" s="399"/>
      <c r="V171" s="399" cm="1" t="str">
        <f t="array" ref="V171:V171">'Калькуляция (МЭОР)'!$AB$112</f>
        <v>Тариф 1 (Водоснабжение) - тариф на техническую воду (Оказание услуг на территории: Прокопьевский муниципальный округ (ОКТМО: 32522000) - п Калачево)</v>
      </c>
      <c r="W171" s="399"/>
      <c r="X171" s="1534" t="s">
        <v>272</v>
      </c>
      <c r="Y171" s="1153"/>
      <c r="Z171" s="1465"/>
      <c r="AA171" s="1153"/>
      <c r="AB171" s="348" cm="1" t="str">
        <f t="array" ref="AB171:AB171">'Калькуляция (МЭОР)'!$AB$112</f>
        <v>Тариф 1 (Водоснабжение) - тариф на техническую воду (Оказание услуг на территории: Прокопьевский муниципальный округ (ОКТМО: 32522000) - п Калачево)</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4616" customFormat="1" customHeight="1" ht="201.75">
      <c r="A172" s="127"/>
      <c r="B172" s="407"/>
      <c r="C172" s="837"/>
      <c r="D172" s="837"/>
      <c r="E172" s="838">
        <v>21</v>
      </c>
      <c r="F172" s="50" cm="1" t="str">
        <f t="array" ref="F172:F172">OFFSET(E172,-1,1)</f>
        <v>1</v>
      </c>
      <c r="G172" s="837"/>
      <c r="H172" s="78"/>
      <c r="I172" s="78" t="s">
        <v>325</v>
      </c>
      <c r="J172" s="837"/>
      <c r="K172" s="344" t="s">
        <v>325</v>
      </c>
      <c r="L172" s="966"/>
      <c r="M172" s="837"/>
      <c r="N172" s="837"/>
      <c r="O172" s="837"/>
      <c r="P172" s="837"/>
      <c r="Q172" s="837"/>
      <c r="R172" s="837"/>
      <c r="S172" s="837"/>
      <c r="T172" s="439" cm="1" t="str">
        <f t="array" ref="T172:T172">T171</f>
        <v>true</v>
      </c>
      <c r="U172" s="837"/>
      <c r="V172" s="837"/>
      <c r="W172" s="837"/>
      <c r="X172" s="1534"/>
      <c r="Y172" s="127"/>
      <c r="Z172" s="1465"/>
      <c r="AA172" s="127"/>
      <c r="AB172" s="201" t="s">
        <v>272</v>
      </c>
      <c r="AC172" s="179" t="s">
        <v>1798</v>
      </c>
      <c r="AD172" s="201" t="s">
        <v>784</v>
      </c>
      <c r="AE172" s="759">
        <f>SUM(AE174,AE191,AE197,AE217,AE218,AE219)</f>
        <v>1675.1088564658</v>
      </c>
      <c r="AF172" s="759">
        <f>SUM(AF174,AF191,AF197,AF217,AF218,AF219)</f>
        <v>5313.7974026977</v>
      </c>
      <c r="AG172" s="759">
        <f>SUM(AG174,AG191,AG197,AG217,AG218,AG219)</f>
        <v>0</v>
      </c>
      <c r="AH172" s="759">
        <f>AG172-AF172</f>
        <v>-5313.7974026977</v>
      </c>
      <c r="AI172" s="759">
        <f>SUM(AI174,AI191,AI197,AI217,AI218,AI219)</f>
        <v>0</v>
      </c>
      <c r="AJ172" s="759">
        <f>SUM(AJ174,AJ191,AJ197,AJ217,AJ218,AJ219)</f>
        <v>0</v>
      </c>
      <c r="AK172" s="1264">
        <f>AJ172*AK173</f>
        <v>0</v>
      </c>
      <c r="AL172" s="1264">
        <f>AK172*AL173</f>
        <v>0</v>
      </c>
      <c r="AM172" s="4606">
        <f>AL172*AM173</f>
        <v>0</v>
      </c>
      <c r="AN172" s="4606">
        <f>AM172*AN173</f>
        <v>0</v>
      </c>
      <c r="AO172" s="4606">
        <f>AN172*AO173</f>
        <v>0</v>
      </c>
      <c r="AP172" s="4606">
        <f>AO172*AP173</f>
        <v>0</v>
      </c>
      <c r="AQ172" s="4606">
        <f>AP172*AQ173</f>
        <v>0</v>
      </c>
      <c r="AR172" s="4606">
        <f>AQ172*AR173</f>
        <v>0</v>
      </c>
      <c r="AS172" s="4606">
        <f>AR172*AS173</f>
        <v>0</v>
      </c>
      <c r="AT172" s="759">
        <f>SUM(AT174,AT191,AT197,AT217,AT218,AT219)</f>
        <v>0</v>
      </c>
      <c r="AU172" s="1264">
        <f>AT172*AU173</f>
        <v>0</v>
      </c>
      <c r="AV172" s="1264">
        <f>AU172*AV173</f>
        <v>0</v>
      </c>
      <c r="AW172" s="4606">
        <f>AV172*AW173</f>
        <v>0</v>
      </c>
      <c r="AX172" s="4606">
        <f>AW172*AX173</f>
        <v>0</v>
      </c>
      <c r="AY172" s="4606">
        <f>AX172*AY173</f>
        <v>0</v>
      </c>
      <c r="AZ172" s="4606">
        <f>AY172*AZ173</f>
        <v>0</v>
      </c>
      <c r="BA172" s="4606">
        <f>AZ172*BA173</f>
        <v>0</v>
      </c>
      <c r="BB172" s="4606">
        <f>BA172*BB173</f>
        <v>0</v>
      </c>
      <c r="BC172" s="4606">
        <f>BB172*BC173</f>
        <v>0</v>
      </c>
      <c r="BD172" s="759">
        <f>IF(AI172=0,0,(AT172-AI172)/AI172*100)</f>
        <v>0</v>
      </c>
      <c r="BE172" s="759">
        <f>IF(AT172=0,0,(AU172-AT172)/AT172*100)</f>
        <v>0</v>
      </c>
      <c r="BF172" s="759">
        <f>IF(AU172=0,0,(AV172-AU172)/AU172*100)</f>
        <v>0</v>
      </c>
      <c r="BG172" s="759">
        <f>IF(AV172=0,0,(AW172-AV172)/AV172*100)</f>
        <v>0</v>
      </c>
      <c r="BH172" s="759">
        <f>IF(AW172=0,0,(AX172-AW172)/AW172*100)</f>
        <v>0</v>
      </c>
      <c r="BI172" s="759">
        <f>IF(AX172=0,0,(AY172-AX172)/AX172*100)</f>
        <v>0</v>
      </c>
      <c r="BJ172" s="759">
        <f>IF(AY172=0,0,(AZ172-AY172)/AY172*100)</f>
        <v>0</v>
      </c>
      <c r="BK172" s="759">
        <f>IF(AZ172=0,0,(BA172-AZ172)/AZ172*100)</f>
        <v>0</v>
      </c>
      <c r="BL172" s="759">
        <f>IF(BA172=0,0,(BB172-BA172)/BA172*100)</f>
        <v>0</v>
      </c>
      <c r="BM172" s="759">
        <f>IF(BB172=0,0,(BC172-BB172)/BB172*100)</f>
        <v>0</v>
      </c>
      <c r="BN172" s="4617" t="s">
        <v>2073</v>
      </c>
      <c r="BO172" s="4617" t="s">
        <v>2074</v>
      </c>
      <c r="BP172" s="4617" t="s">
        <v>2075</v>
      </c>
      <c r="BQ172" s="126"/>
      <c r="BR172" s="127"/>
      <c r="BS172" s="1052" t="s">
        <v>504</v>
      </c>
      <c r="BT172" s="1052"/>
      <c r="BU172" s="1052"/>
      <c r="BV172" s="685"/>
      <c r="BW172" s="685"/>
    </row>
    <row s="1621" customFormat="1" customHeight="1" ht="14.625">
      <c r="A173" s="960"/>
      <c r="B173" s="961"/>
      <c r="C173" s="73"/>
      <c r="D173" s="73"/>
      <c r="E173" s="600">
        <v>15</v>
      </c>
      <c r="F173" s="50" cm="1" t="str">
        <f t="array" ref="F173:F173">OFFSET(E173,-1,1)</f>
        <v>1</v>
      </c>
      <c r="G173" s="73"/>
      <c r="H173" s="839"/>
      <c r="I173" s="839" t="s">
        <v>441</v>
      </c>
      <c r="J173" s="73"/>
      <c r="K173" s="345" t="s">
        <v>441</v>
      </c>
      <c r="L173" s="963"/>
      <c r="M173" s="73"/>
      <c r="N173" s="73"/>
      <c r="O173" s="73"/>
      <c r="P173" s="73"/>
      <c r="Q173" s="73"/>
      <c r="R173" s="73"/>
      <c r="S173" s="73"/>
      <c r="T173" s="439" cm="1" t="str">
        <f t="array" ref="T173:T173">T172</f>
        <v>true</v>
      </c>
      <c r="U173" s="73"/>
      <c r="V173" s="73"/>
      <c r="W173" s="73"/>
      <c r="X173" s="1534"/>
      <c r="Y173" s="960"/>
      <c r="Z173" s="1465"/>
      <c r="AA173" s="960"/>
      <c r="AB173" s="267" t="s">
        <v>845</v>
      </c>
      <c r="AC173" s="743" t="s">
        <v>1799</v>
      </c>
      <c r="AD173" s="267"/>
      <c r="AE173" s="4548"/>
      <c r="AF173" s="4548"/>
      <c r="AG173" s="4548"/>
      <c r="AH173" s="1098">
        <f>AG173-AF173</f>
        <v>0</v>
      </c>
      <c r="AI173" s="4548">
        <v>1.03158</v>
      </c>
      <c r="AJ173" s="4548">
        <v>1.045</v>
      </c>
      <c r="AK173" s="1266">
        <f>_xlfn.SUMIFS(INDEX(Сценарии!$AE$25:$BF$109,,MATCH(AK$8,Сценарии!$AE$8:$BF$8,0)),Сценарии!$F$25:$F$109,$F173,Сценарии!$G$25:$G$109,"ИОР")</f>
        <v>1</v>
      </c>
      <c r="AL173" s="1266">
        <f>_xlfn.SUMIFS(INDEX(Сценарии!$AE$25:$BF$109,,MATCH(AL$8,Сценарии!$AE$8:$BF$8,0)),Сценарии!$F$25:$F$109,$F173,Сценарии!$G$25:$G$109,"ИОР")</f>
        <v>1</v>
      </c>
      <c r="AM173" s="4548">
        <f>_xlfn.SUMIFS(INDEX(Сценарии!$AE$25:$BF$109,,MATCH(AM$8,Сценарии!$AE$8:$BF$8,0)),Сценарии!$F$25:$F$109,$F173,Сценарии!$G$25:$G$109,"ИОР")</f>
        <v>1</v>
      </c>
      <c r="AN173" s="4548">
        <f>_xlfn.SUMIFS(INDEX(Сценарии!$AE$25:$BF$109,,MATCH(AN$8,Сценарии!$AE$8:$BF$8,0)),Сценарии!$F$25:$F$109,$F173,Сценарии!$G$25:$G$109,"ИОР")</f>
        <v>1</v>
      </c>
      <c r="AO173" s="4548">
        <f>_xlfn.SUMIFS(INDEX(Сценарии!$AE$25:$BF$109,,MATCH(AO$8,Сценарии!$AE$8:$BF$8,0)),Сценарии!$F$25:$F$109,$F173,Сценарии!$G$25:$G$109,"ИОР")</f>
        <v>1</v>
      </c>
      <c r="AP173" s="4548">
        <f>_xlfn.SUMIFS(INDEX(Сценарии!$AE$25:$BF$109,,MATCH(AP$8,Сценарии!$AE$8:$BF$8,0)),Сценарии!$F$25:$F$109,$F173,Сценарии!$G$25:$G$109,"ИОР")</f>
        <v>1</v>
      </c>
      <c r="AQ173" s="4548">
        <f>_xlfn.SUMIFS(INDEX(Сценарии!$AE$25:$BF$109,,MATCH(AQ$8,Сценарии!$AE$8:$BF$8,0)),Сценарии!$F$25:$F$109,$F173,Сценарии!$G$25:$G$109,"ИОР")</f>
        <v>1</v>
      </c>
      <c r="AR173" s="4548">
        <f>_xlfn.SUMIFS(INDEX(Сценарии!$AE$25:$BF$109,,MATCH(AR$8,Сценарии!$AE$8:$BF$8,0)),Сценарии!$F$25:$F$109,$F173,Сценарии!$G$25:$G$109,"ИОР")</f>
        <v>1</v>
      </c>
      <c r="AS173" s="4548">
        <f>_xlfn.SUMIFS(INDEX(Сценарии!$AE$25:$BF$109,,MATCH(AS$8,Сценарии!$AE$8:$BF$8,0)),Сценарии!$F$25:$F$109,$F173,Сценарии!$G$25:$G$109,"ИОР")</f>
        <v>1</v>
      </c>
      <c r="AT173" s="4548">
        <v>1.03257</v>
      </c>
      <c r="AU173" s="1266">
        <f>_xlfn.SUMIFS(INDEX(Сценарии!$AE$25:$BF$109,,MATCH(AU$8,Сценарии!$AE$8:$BF$8,0)),Сценарии!$F$25:$F$109,$F173,Сценарии!$G$25:$G$109,"ИОР")</f>
        <v>1</v>
      </c>
      <c r="AV173" s="1266">
        <f>_xlfn.SUMIFS(INDEX(Сценарии!$AE$25:$BF$109,,MATCH(AV$8,Сценарии!$AE$8:$BF$8,0)),Сценарии!$F$25:$F$109,$F173,Сценарии!$G$25:$G$109,"ИОР")</f>
        <v>1</v>
      </c>
      <c r="AW173" s="4548">
        <f>_xlfn.SUMIFS(INDEX(Сценарии!$AE$25:$BF$109,,MATCH(AW$8,Сценарии!$AE$8:$BF$8,0)),Сценарии!$F$25:$F$109,$F173,Сценарии!$G$25:$G$109,"ИОР")</f>
        <v>1</v>
      </c>
      <c r="AX173" s="4548">
        <f>_xlfn.SUMIFS(INDEX(Сценарии!$AE$25:$BF$109,,MATCH(AX$8,Сценарии!$AE$8:$BF$8,0)),Сценарии!$F$25:$F$109,$F173,Сценарии!$G$25:$G$109,"ИОР")</f>
        <v>1</v>
      </c>
      <c r="AY173" s="4548">
        <f>_xlfn.SUMIFS(INDEX(Сценарии!$AE$25:$BF$109,,MATCH(AY$8,Сценарии!$AE$8:$BF$8,0)),Сценарии!$F$25:$F$109,$F173,Сценарии!$G$25:$G$109,"ИОР")</f>
        <v>1</v>
      </c>
      <c r="AZ173" s="4548">
        <f>_xlfn.SUMIFS(INDEX(Сценарии!$AE$25:$BF$109,,MATCH(AZ$8,Сценарии!$AE$8:$BF$8,0)),Сценарии!$F$25:$F$109,$F173,Сценарии!$G$25:$G$109,"ИОР")</f>
        <v>1</v>
      </c>
      <c r="BA173" s="4548">
        <f>_xlfn.SUMIFS(INDEX(Сценарии!$AE$25:$BF$109,,MATCH(BA$8,Сценарии!$AE$8:$BF$8,0)),Сценарии!$F$25:$F$109,$F173,Сценарии!$G$25:$G$109,"ИОР")</f>
        <v>1</v>
      </c>
      <c r="BB173" s="4548">
        <f>_xlfn.SUMIFS(INDEX(Сценарии!$AE$25:$BF$109,,MATCH(BB$8,Сценарии!$AE$8:$BF$8,0)),Сценарии!$F$25:$F$109,$F173,Сценарии!$G$25:$G$109,"ИОР")</f>
        <v>1</v>
      </c>
      <c r="BC173" s="4548">
        <f>_xlfn.SUMIFS(INDEX(Сценарии!$AE$25:$BF$109,,MATCH(BC$8,Сценарии!$AE$8:$BF$8,0)),Сценарии!$F$25:$F$109,$F173,Сценарии!$G$25:$G$109,"ИОР")</f>
        <v>1</v>
      </c>
      <c r="BD173" s="1099">
        <f>IF(AI173=0,0,(AT173-AI173)/AI173*100)</f>
        <v>0.0959692898272598</v>
      </c>
      <c r="BE173" s="1100"/>
      <c r="BF173" s="1100"/>
      <c r="BG173" s="1100"/>
      <c r="BH173" s="1100"/>
      <c r="BI173" s="1100"/>
      <c r="BJ173" s="1100"/>
      <c r="BK173" s="1100"/>
      <c r="BL173" s="1100"/>
      <c r="BM173" s="1100"/>
      <c r="BN173" s="4617"/>
      <c r="BO173" s="4617"/>
      <c r="BP173" s="4617"/>
      <c r="BQ173" s="960"/>
      <c r="BR173" s="960"/>
      <c r="BS173" s="1048" t="s">
        <v>1800</v>
      </c>
      <c r="BT173" s="1048"/>
      <c r="BU173" s="1048"/>
      <c r="BV173" s="962"/>
      <c r="BW173" s="962"/>
    </row>
    <row s="407" customFormat="1" customHeight="1" ht="20.25">
      <c r="A174" s="126"/>
      <c r="B174" s="407"/>
      <c r="C174" s="840"/>
      <c r="D174" s="840"/>
      <c r="E174" s="841">
        <v>21</v>
      </c>
      <c r="F174" s="50" cm="1" t="str">
        <f t="array" ref="F174:F174">OFFSET(E174,-1,1)</f>
        <v>1</v>
      </c>
      <c r="G174" s="840"/>
      <c r="H174" s="78"/>
      <c r="I174" s="78" t="s">
        <v>445</v>
      </c>
      <c r="J174" s="840"/>
      <c r="K174" s="344" t="s">
        <v>445</v>
      </c>
      <c r="L174" s="967" t="s">
        <v>325</v>
      </c>
      <c r="M174" s="840"/>
      <c r="N174" s="840"/>
      <c r="O174" s="840"/>
      <c r="P174" s="840"/>
      <c r="Q174" s="840"/>
      <c r="R174" s="840"/>
      <c r="S174" s="840"/>
      <c r="T174" s="439" cm="1" t="str">
        <f t="array" ref="T174:T174">T173</f>
        <v>true</v>
      </c>
      <c r="U174" s="840"/>
      <c r="V174" s="840"/>
      <c r="W174" s="840"/>
      <c r="X174" s="1534"/>
      <c r="Y174" s="126"/>
      <c r="Z174" s="1465"/>
      <c r="AA174" s="126"/>
      <c r="AB174" s="201" t="s">
        <v>848</v>
      </c>
      <c r="AC174" s="328" t="s">
        <v>1586</v>
      </c>
      <c r="AD174" s="201" t="s">
        <v>784</v>
      </c>
      <c r="AE174" s="759">
        <f>SUM(AE175,AE178,AE179,AE182,AE183)</f>
        <v>1320.3723075579</v>
      </c>
      <c r="AF174" s="759">
        <f>SUM(AF175,AF178,AF179,AF182,AF183)</f>
        <v>3161.8534926977</v>
      </c>
      <c r="AG174" s="759">
        <f>SUM(AG175,AG178,AG179,AG182,AG183)</f>
        <v>0</v>
      </c>
      <c r="AH174" s="759">
        <f>AG174-AF174</f>
        <v>-3161.8534926977</v>
      </c>
      <c r="AI174" s="759">
        <f>SUM(AI175,AI178,AI179,AI182,AI183)</f>
        <v>0</v>
      </c>
      <c r="AJ174" s="759">
        <f>SUM(AJ175,AJ178,AJ179,AJ182,AJ183)</f>
        <v>0</v>
      </c>
      <c r="AK174" s="183"/>
      <c r="AL174" s="183"/>
      <c r="AM174" s="183"/>
      <c r="AN174" s="183"/>
      <c r="AO174" s="183"/>
      <c r="AP174" s="183"/>
      <c r="AQ174" s="183"/>
      <c r="AR174" s="183"/>
      <c r="AS174" s="183"/>
      <c r="AT174" s="759">
        <f>SUM(AT175,AT178,AT179,AT182,AT183)</f>
        <v>0</v>
      </c>
      <c r="AU174" s="183"/>
      <c r="AV174" s="183"/>
      <c r="AW174" s="183"/>
      <c r="AX174" s="183"/>
      <c r="AY174" s="183"/>
      <c r="AZ174" s="183"/>
      <c r="BA174" s="183"/>
      <c r="BB174" s="183"/>
      <c r="BC174" s="183"/>
      <c r="BD174" s="759">
        <f>IF(AI174=0,0,(AT174-AI174)/AI174*100)</f>
        <v>0</v>
      </c>
      <c r="BE174" s="183"/>
      <c r="BF174" s="183"/>
      <c r="BG174" s="183"/>
      <c r="BH174" s="183"/>
      <c r="BI174" s="183"/>
      <c r="BJ174" s="183"/>
      <c r="BK174" s="183"/>
      <c r="BL174" s="183"/>
      <c r="BM174" s="183"/>
      <c r="BN174" s="4618"/>
      <c r="BO174" s="4618"/>
      <c r="BP174" s="4618"/>
      <c r="BQ174" s="126"/>
      <c r="BR174" s="126"/>
      <c r="BS174" s="1046" t="s">
        <v>498</v>
      </c>
      <c r="BT174" s="1053"/>
      <c r="BU174" s="1053"/>
      <c r="BV174" s="686"/>
      <c r="BW174" s="686"/>
    </row>
    <row s="1621" customFormat="1" customHeight="1" ht="14.25">
      <c r="A175" s="960"/>
      <c r="B175" s="961"/>
      <c r="C175" s="73"/>
      <c r="D175" s="73"/>
      <c r="E175" s="600">
        <v>15</v>
      </c>
      <c r="F175" s="50" cm="1" t="str">
        <f t="array" ref="F175:F175">OFFSET(E175,-1,1)</f>
        <v>1</v>
      </c>
      <c r="G175" s="73"/>
      <c r="H175" s="839"/>
      <c r="I175" s="839" t="s">
        <v>1219</v>
      </c>
      <c r="J175" s="73"/>
      <c r="K175" s="345" t="s">
        <v>1219</v>
      </c>
      <c r="L175" s="963" t="s">
        <v>441</v>
      </c>
      <c r="M175" s="73"/>
      <c r="N175" s="73"/>
      <c r="O175" s="73"/>
      <c r="P175" s="73"/>
      <c r="Q175" s="73"/>
      <c r="R175" s="73"/>
      <c r="S175" s="73"/>
      <c r="T175" s="439" cm="1" t="str">
        <f t="array" ref="T175:T175">T174</f>
        <v>true</v>
      </c>
      <c r="U175" s="73"/>
      <c r="V175" s="73"/>
      <c r="W175" s="73"/>
      <c r="X175" s="1534"/>
      <c r="Y175" s="960"/>
      <c r="Z175" s="1465"/>
      <c r="AA175" s="960"/>
      <c r="AB175" s="267" t="s">
        <v>1220</v>
      </c>
      <c r="AC175" s="746" t="s">
        <v>1801</v>
      </c>
      <c r="AD175" s="747" t="s">
        <v>784</v>
      </c>
      <c r="AE175" s="1099">
        <f>SUM(AE176,AE177)</f>
        <v>1.164</v>
      </c>
      <c r="AF175" s="1099">
        <f>SUM(AF176,AF177)</f>
        <v>16.97088</v>
      </c>
      <c r="AG175" s="1099">
        <f>SUM(AG176,AG177)</f>
        <v>0</v>
      </c>
      <c r="AH175" s="1099">
        <f>AG175-AF175</f>
        <v>-16.97088</v>
      </c>
      <c r="AI175" s="1099">
        <f>SUM(AI176,AI177)</f>
        <v>0</v>
      </c>
      <c r="AJ175" s="1099">
        <f>SUM(AJ176,AJ177)</f>
        <v>0</v>
      </c>
      <c r="AK175" s="1100"/>
      <c r="AL175" s="1100"/>
      <c r="AM175" s="1100"/>
      <c r="AN175" s="1100"/>
      <c r="AO175" s="1100"/>
      <c r="AP175" s="1100"/>
      <c r="AQ175" s="1100"/>
      <c r="AR175" s="1100"/>
      <c r="AS175" s="1100"/>
      <c r="AT175" s="1099">
        <f>SUM(AT176,AT177)</f>
        <v>0</v>
      </c>
      <c r="AU175" s="1100"/>
      <c r="AV175" s="1100"/>
      <c r="AW175" s="1100"/>
      <c r="AX175" s="1100"/>
      <c r="AY175" s="1100"/>
      <c r="AZ175" s="1100"/>
      <c r="BA175" s="1100"/>
      <c r="BB175" s="1100"/>
      <c r="BC175" s="1100"/>
      <c r="BD175" s="1099">
        <f>IF(AI175=0,0,(AT175-AI175)/AI175*100)</f>
        <v>0</v>
      </c>
      <c r="BE175" s="1100"/>
      <c r="BF175" s="1100"/>
      <c r="BG175" s="1100"/>
      <c r="BH175" s="1100"/>
      <c r="BI175" s="1100"/>
      <c r="BJ175" s="1100"/>
      <c r="BK175" s="1100"/>
      <c r="BL175" s="1100"/>
      <c r="BM175" s="1100"/>
      <c r="BN175" s="4617"/>
      <c r="BO175" s="4617"/>
      <c r="BP175" s="4617"/>
      <c r="BQ175" s="76"/>
      <c r="BR175" s="960"/>
      <c r="BS175" s="1047" t="s">
        <v>1588</v>
      </c>
      <c r="BT175" s="1048"/>
      <c r="BU175" s="1048"/>
      <c r="BV175" s="962"/>
      <c r="BW175" s="962"/>
    </row>
    <row s="1621" customFormat="1" customHeight="1" ht="14.625">
      <c r="A176" s="960"/>
      <c r="B176" s="961"/>
      <c r="C176" s="73"/>
      <c r="D176" s="73"/>
      <c r="E176" s="600">
        <v>15</v>
      </c>
      <c r="F176" s="50" cm="1" t="str">
        <f t="array" ref="F176:F176">OFFSET(E176,-1,1)</f>
        <v>1</v>
      </c>
      <c r="G176" s="73"/>
      <c r="H176" s="839"/>
      <c r="I176" s="839" t="s">
        <v>1802</v>
      </c>
      <c r="J176" s="73"/>
      <c r="K176" s="345" t="s">
        <v>1802</v>
      </c>
      <c r="L176" s="963" t="s">
        <v>958</v>
      </c>
      <c r="M176" s="73"/>
      <c r="N176" s="73"/>
      <c r="O176" s="73"/>
      <c r="P176" s="73"/>
      <c r="Q176" s="73"/>
      <c r="R176" s="73"/>
      <c r="S176" s="73"/>
      <c r="T176" s="439" cm="1" t="str">
        <f t="array" ref="T176:T176">T175</f>
        <v>true</v>
      </c>
      <c r="U176" s="73"/>
      <c r="V176" s="73"/>
      <c r="W176" s="73"/>
      <c r="X176" s="1534"/>
      <c r="Y176" s="960"/>
      <c r="Z176" s="1465"/>
      <c r="AA176" s="960"/>
      <c r="AB176" s="267" t="s">
        <v>1803</v>
      </c>
      <c r="AC176" s="749" t="s">
        <v>1591</v>
      </c>
      <c r="AD176" s="747" t="s">
        <v>784</v>
      </c>
      <c r="AE176" s="4561">
        <v>1.164</v>
      </c>
      <c r="AF176" s="4561">
        <v>16.97088</v>
      </c>
      <c r="AG176" s="4561"/>
      <c r="AH176" s="1099">
        <f>AG176-AF176</f>
        <v>-16.97088</v>
      </c>
      <c r="AI176" s="4561"/>
      <c r="AJ176" s="4561"/>
      <c r="AK176" s="1100"/>
      <c r="AL176" s="1100"/>
      <c r="AM176" s="1100"/>
      <c r="AN176" s="1100"/>
      <c r="AO176" s="1100"/>
      <c r="AP176" s="1100"/>
      <c r="AQ176" s="1100"/>
      <c r="AR176" s="1100"/>
      <c r="AS176" s="1100"/>
      <c r="AT176" s="4561"/>
      <c r="AU176" s="1100"/>
      <c r="AV176" s="1100"/>
      <c r="AW176" s="1100"/>
      <c r="AX176" s="1100"/>
      <c r="AY176" s="1100"/>
      <c r="AZ176" s="1100"/>
      <c r="BA176" s="1100"/>
      <c r="BB176" s="1100"/>
      <c r="BC176" s="1100"/>
      <c r="BD176" s="1099">
        <f>IF(AI176=0,0,(AT176-AI176)/AI176*100)</f>
        <v>0</v>
      </c>
      <c r="BE176" s="1100"/>
      <c r="BF176" s="1100"/>
      <c r="BG176" s="1100"/>
      <c r="BH176" s="1100"/>
      <c r="BI176" s="1100"/>
      <c r="BJ176" s="1100"/>
      <c r="BK176" s="1100"/>
      <c r="BL176" s="1100"/>
      <c r="BM176" s="1100"/>
      <c r="BN176" s="4617"/>
      <c r="BO176" s="4617"/>
      <c r="BP176" s="4617"/>
      <c r="BQ176" s="960"/>
      <c r="BR176" s="960"/>
      <c r="BS176" s="1046" t="s">
        <v>1592</v>
      </c>
      <c r="BT176" s="1048"/>
      <c r="BU176" s="1048"/>
      <c r="BV176" s="962"/>
      <c r="BW176" s="962"/>
    </row>
    <row s="1621" customFormat="1" customHeight="1" ht="14.25">
      <c r="A177" s="960"/>
      <c r="B177" s="961"/>
      <c r="C177" s="73"/>
      <c r="D177" s="73"/>
      <c r="E177" s="600">
        <v>15</v>
      </c>
      <c r="F177" s="50" cm="1" t="str">
        <f t="array" ref="F177:F177">OFFSET(E177,-1,1)</f>
        <v>1</v>
      </c>
      <c r="G177" s="73"/>
      <c r="H177" s="839"/>
      <c r="I177" s="839" t="s">
        <v>1804</v>
      </c>
      <c r="J177" s="73"/>
      <c r="K177" s="345" t="s">
        <v>1804</v>
      </c>
      <c r="L177" s="963" t="s">
        <v>1194</v>
      </c>
      <c r="M177" s="73"/>
      <c r="N177" s="73"/>
      <c r="O177" s="73"/>
      <c r="P177" s="73"/>
      <c r="Q177" s="73"/>
      <c r="R177" s="73"/>
      <c r="S177" s="73"/>
      <c r="T177" s="439" cm="1" t="str">
        <f t="array" ref="T177:T177">T176</f>
        <v>true</v>
      </c>
      <c r="U177" s="73"/>
      <c r="V177" s="73"/>
      <c r="W177" s="73"/>
      <c r="X177" s="1534"/>
      <c r="Y177" s="960"/>
      <c r="Z177" s="1465"/>
      <c r="AA177" s="960"/>
      <c r="AB177" s="267" t="s">
        <v>1805</v>
      </c>
      <c r="AC177" s="749" t="s">
        <v>1593</v>
      </c>
      <c r="AD177" s="747" t="s">
        <v>784</v>
      </c>
      <c r="AE177" s="4561"/>
      <c r="AF177" s="4561"/>
      <c r="AG177" s="4561"/>
      <c r="AH177" s="1099">
        <f>AG177-AF177</f>
        <v>0</v>
      </c>
      <c r="AI177" s="4561"/>
      <c r="AJ177" s="4561"/>
      <c r="AK177" s="1100"/>
      <c r="AL177" s="1100"/>
      <c r="AM177" s="1100"/>
      <c r="AN177" s="1100"/>
      <c r="AO177" s="1100"/>
      <c r="AP177" s="1100"/>
      <c r="AQ177" s="1100"/>
      <c r="AR177" s="1100"/>
      <c r="AS177" s="1100"/>
      <c r="AT177" s="4561"/>
      <c r="AU177" s="1100"/>
      <c r="AV177" s="1100"/>
      <c r="AW177" s="1100"/>
      <c r="AX177" s="1100"/>
      <c r="AY177" s="1100"/>
      <c r="AZ177" s="1100"/>
      <c r="BA177" s="1100"/>
      <c r="BB177" s="1100"/>
      <c r="BC177" s="1100"/>
      <c r="BD177" s="1099">
        <f>IF(AI177=0,0,(AT177-AI177)/AI177*100)</f>
        <v>0</v>
      </c>
      <c r="BE177" s="1100"/>
      <c r="BF177" s="1100"/>
      <c r="BG177" s="1100"/>
      <c r="BH177" s="1100"/>
      <c r="BI177" s="1100"/>
      <c r="BJ177" s="1100"/>
      <c r="BK177" s="1100"/>
      <c r="BL177" s="1100"/>
      <c r="BM177" s="1100"/>
      <c r="BN177" s="4617"/>
      <c r="BO177" s="4617"/>
      <c r="BP177" s="4617"/>
      <c r="BQ177" s="960"/>
      <c r="BR177" s="960"/>
      <c r="BS177" s="1046" t="s">
        <v>1594</v>
      </c>
      <c r="BT177" s="1048"/>
      <c r="BU177" s="1048"/>
      <c r="BV177" s="962"/>
      <c r="BW177" s="962"/>
    </row>
    <row s="1621" customFormat="1" customHeight="1" ht="21.75">
      <c r="A178" s="960"/>
      <c r="B178" s="961"/>
      <c r="C178" s="73"/>
      <c r="D178" s="73"/>
      <c r="E178" s="600">
        <v>22.5</v>
      </c>
      <c r="F178" s="50" cm="1" t="str">
        <f t="array" ref="F178:F178">OFFSET(E178,-1,1)</f>
        <v>1</v>
      </c>
      <c r="G178" s="73"/>
      <c r="H178" s="839"/>
      <c r="I178" s="839" t="s">
        <v>1222</v>
      </c>
      <c r="J178" s="73"/>
      <c r="K178" s="345" t="s">
        <v>1222</v>
      </c>
      <c r="L178" s="963" t="s">
        <v>448</v>
      </c>
      <c r="M178" s="73"/>
      <c r="N178" s="73"/>
      <c r="O178" s="73"/>
      <c r="P178" s="73"/>
      <c r="Q178" s="73"/>
      <c r="R178" s="73"/>
      <c r="S178" s="73"/>
      <c r="T178" s="439" cm="1" t="str">
        <f t="array" ref="T178:T178">T177</f>
        <v>true</v>
      </c>
      <c r="U178" s="73"/>
      <c r="V178" s="73"/>
      <c r="W178" s="73"/>
      <c r="X178" s="1534"/>
      <c r="Y178" s="960"/>
      <c r="Z178" s="1465"/>
      <c r="AA178" s="960"/>
      <c r="AB178" s="267" t="s">
        <v>1223</v>
      </c>
      <c r="AC178" s="746" t="s">
        <v>1806</v>
      </c>
      <c r="AD178" s="747" t="s">
        <v>784</v>
      </c>
      <c r="AE178" s="4561"/>
      <c r="AF178" s="4561"/>
      <c r="AG178" s="4561"/>
      <c r="AH178" s="1099">
        <f>AG178-AF178</f>
        <v>0</v>
      </c>
      <c r="AI178" s="4561"/>
      <c r="AJ178" s="4561"/>
      <c r="AK178" s="1100"/>
      <c r="AL178" s="1100"/>
      <c r="AM178" s="1100"/>
      <c r="AN178" s="1100"/>
      <c r="AO178" s="1100"/>
      <c r="AP178" s="1100"/>
      <c r="AQ178" s="1100"/>
      <c r="AR178" s="1100"/>
      <c r="AS178" s="1100"/>
      <c r="AT178" s="4561"/>
      <c r="AU178" s="1100"/>
      <c r="AV178" s="1100"/>
      <c r="AW178" s="1100"/>
      <c r="AX178" s="1100"/>
      <c r="AY178" s="1100"/>
      <c r="AZ178" s="1100"/>
      <c r="BA178" s="1100"/>
      <c r="BB178" s="1100"/>
      <c r="BC178" s="1100"/>
      <c r="BD178" s="1099">
        <f>IF(AI178=0,0,(AT178-AI178)/AI178*100)</f>
        <v>0</v>
      </c>
      <c r="BE178" s="1100"/>
      <c r="BF178" s="1100"/>
      <c r="BG178" s="1100"/>
      <c r="BH178" s="1100"/>
      <c r="BI178" s="1100"/>
      <c r="BJ178" s="1100"/>
      <c r="BK178" s="1100"/>
      <c r="BL178" s="1100"/>
      <c r="BM178" s="1100"/>
      <c r="BN178" s="4617"/>
      <c r="BO178" s="4617"/>
      <c r="BP178" s="4617"/>
      <c r="BQ178" s="960"/>
      <c r="BR178" s="960"/>
      <c r="BS178" s="1047" t="s">
        <v>1619</v>
      </c>
      <c r="BT178" s="1048"/>
      <c r="BU178" s="1048"/>
      <c r="BV178" s="962"/>
      <c r="BW178" s="962"/>
    </row>
    <row s="1621" customFormat="1" customHeight="1" ht="21.75">
      <c r="A179" s="960"/>
      <c r="B179" s="961"/>
      <c r="C179" s="73"/>
      <c r="D179" s="73"/>
      <c r="E179" s="600">
        <v>22.5</v>
      </c>
      <c r="F179" s="50" cm="1" t="str">
        <f t="array" ref="F179:F179">OFFSET(E179,-1,1)</f>
        <v>1</v>
      </c>
      <c r="G179" s="73"/>
      <c r="H179" s="839"/>
      <c r="I179" s="839" t="s">
        <v>1226</v>
      </c>
      <c r="J179" s="73"/>
      <c r="K179" s="345" t="s">
        <v>1226</v>
      </c>
      <c r="L179" s="963" t="s">
        <v>452</v>
      </c>
      <c r="M179" s="73"/>
      <c r="N179" s="73"/>
      <c r="O179" s="73"/>
      <c r="P179" s="73"/>
      <c r="Q179" s="73"/>
      <c r="R179" s="73"/>
      <c r="S179" s="73"/>
      <c r="T179" s="439" cm="1" t="str">
        <f t="array" ref="T179:T179">T178</f>
        <v>true</v>
      </c>
      <c r="U179" s="73"/>
      <c r="V179" s="73"/>
      <c r="W179" s="73"/>
      <c r="X179" s="1534"/>
      <c r="Y179" s="960"/>
      <c r="Z179" s="1465"/>
      <c r="AA179" s="960"/>
      <c r="AB179" s="267" t="s">
        <v>1227</v>
      </c>
      <c r="AC179" s="746" t="s">
        <v>1807</v>
      </c>
      <c r="AD179" s="747" t="s">
        <v>784</v>
      </c>
      <c r="AE179" s="1101">
        <f>AE180+AE181</f>
        <v>0</v>
      </c>
      <c r="AF179" s="1101">
        <f>AF180+AF181</f>
        <v>0</v>
      </c>
      <c r="AG179" s="1101">
        <f>AG180+AG181</f>
        <v>0</v>
      </c>
      <c r="AH179" s="1099">
        <f>AG179-AF179</f>
        <v>0</v>
      </c>
      <c r="AI179" s="1101">
        <f>AI180+AI181</f>
        <v>0</v>
      </c>
      <c r="AJ179" s="1101">
        <f>AJ180+AJ181</f>
        <v>0</v>
      </c>
      <c r="AK179" s="1100"/>
      <c r="AL179" s="1100"/>
      <c r="AM179" s="1100"/>
      <c r="AN179" s="1100"/>
      <c r="AO179" s="1100"/>
      <c r="AP179" s="1100"/>
      <c r="AQ179" s="1100"/>
      <c r="AR179" s="1100"/>
      <c r="AS179" s="1100"/>
      <c r="AT179" s="1101">
        <f>AT180+AT181</f>
        <v>0</v>
      </c>
      <c r="AU179" s="1100"/>
      <c r="AV179" s="1100"/>
      <c r="AW179" s="1100"/>
      <c r="AX179" s="1100"/>
      <c r="AY179" s="1100"/>
      <c r="AZ179" s="1100"/>
      <c r="BA179" s="1100"/>
      <c r="BB179" s="1100"/>
      <c r="BC179" s="1100"/>
      <c r="BD179" s="1099">
        <f>IF(AI179=0,0,(AT179-AI179)/AI179*100)</f>
        <v>0</v>
      </c>
      <c r="BE179" s="1100"/>
      <c r="BF179" s="1100"/>
      <c r="BG179" s="1100"/>
      <c r="BH179" s="1100"/>
      <c r="BI179" s="1100"/>
      <c r="BJ179" s="1100"/>
      <c r="BK179" s="1100"/>
      <c r="BL179" s="1100"/>
      <c r="BM179" s="1100"/>
      <c r="BN179" s="4617"/>
      <c r="BO179" s="4617"/>
      <c r="BP179" s="4617"/>
      <c r="BQ179" s="960"/>
      <c r="BR179" s="960"/>
      <c r="BS179" s="1047" t="s">
        <v>1808</v>
      </c>
      <c r="BT179" s="1048"/>
      <c r="BU179" s="1048"/>
      <c r="BV179" s="962"/>
      <c r="BW179" s="962"/>
    </row>
    <row s="1621" customFormat="1" customHeight="1" ht="14.25">
      <c r="A180" s="960"/>
      <c r="B180" s="961"/>
      <c r="C180" s="73"/>
      <c r="D180" s="73"/>
      <c r="E180" s="600">
        <v>15</v>
      </c>
      <c r="F180" s="50" cm="1" t="str">
        <f t="array" ref="F180:F180">OFFSET(E180,-1,1)</f>
        <v>1</v>
      </c>
      <c r="G180" s="341" t="s">
        <v>1038</v>
      </c>
      <c r="H180" s="839"/>
      <c r="I180" s="839" t="s">
        <v>1370</v>
      </c>
      <c r="J180" s="73"/>
      <c r="K180" s="345" t="s">
        <v>1370</v>
      </c>
      <c r="L180" s="963" t="s">
        <v>1246</v>
      </c>
      <c r="M180" s="73"/>
      <c r="N180" s="73"/>
      <c r="O180" s="73"/>
      <c r="P180" s="73"/>
      <c r="Q180" s="73"/>
      <c r="R180" s="73"/>
      <c r="S180" s="73"/>
      <c r="T180" s="439" cm="1" t="str">
        <f t="array" ref="T180:T180">T179</f>
        <v>true</v>
      </c>
      <c r="U180" s="73"/>
      <c r="V180" s="73"/>
      <c r="W180" s="73"/>
      <c r="X180" s="1534"/>
      <c r="Y180" s="960"/>
      <c r="Z180" s="1465"/>
      <c r="AA180" s="960"/>
      <c r="AB180" s="267" t="s">
        <v>1809</v>
      </c>
      <c r="AC180" s="749" t="s">
        <v>1622</v>
      </c>
      <c r="AD180" s="747" t="s">
        <v>784</v>
      </c>
      <c r="AE180" s="1099">
        <f>_xlfn.SUMIFS(ФОТ!AE$25:AE$102,ФОТ!$F$25:$F$102,$F180,ФОТ!$G$25:$G$102,$G180)</f>
        <v>0</v>
      </c>
      <c r="AF180" s="1099">
        <f>_xlfn.SUMIFS(ФОТ!AF$25:AF$102,ФОТ!$F$25:$F$102,$F180,ФОТ!$G$25:$G$102,$G180)</f>
        <v>0</v>
      </c>
      <c r="AG180" s="1099">
        <f>_xlfn.SUMIFS(ФОТ!AG$25:AG$102,ФОТ!$F$25:$F$102,$F180,ФОТ!$G$25:$G$102,$G180)</f>
        <v>0</v>
      </c>
      <c r="AH180" s="1099">
        <f>AG180-AF180</f>
        <v>0</v>
      </c>
      <c r="AI180" s="1099">
        <f>_xlfn.SUMIFS(ФОТ!AH$25:AH$102,ФОТ!$F$25:$F$102,$F180,ФОТ!$G$25:$G$102,$G180)</f>
        <v>0</v>
      </c>
      <c r="AJ180" s="1099">
        <f>_xlfn.SUMIFS(ФОТ!AI$25:AI$102,ФОТ!$F$25:$F$102,$F180,ФОТ!$G$25:$G$102,$G180)</f>
        <v>0</v>
      </c>
      <c r="AK180" s="1100"/>
      <c r="AL180" s="1100"/>
      <c r="AM180" s="1100"/>
      <c r="AN180" s="1100"/>
      <c r="AO180" s="1100"/>
      <c r="AP180" s="1100"/>
      <c r="AQ180" s="1100"/>
      <c r="AR180" s="1100"/>
      <c r="AS180" s="1100"/>
      <c r="AT180" s="1099">
        <f>_xlfn.SUMIFS(ФОТ!AJ$25:AJ$102,ФОТ!$F$25:$F$102,$F180,ФОТ!$G$25:$G$102,$G180)</f>
        <v>0</v>
      </c>
      <c r="AU180" s="1100"/>
      <c r="AV180" s="1100"/>
      <c r="AW180" s="1100"/>
      <c r="AX180" s="1100"/>
      <c r="AY180" s="1100"/>
      <c r="AZ180" s="1100"/>
      <c r="BA180" s="1100"/>
      <c r="BB180" s="1100"/>
      <c r="BC180" s="1100"/>
      <c r="BD180" s="1099">
        <f>IF(AI180=0,0,(AT180-AI180)/AI180*100)</f>
        <v>0</v>
      </c>
      <c r="BE180" s="1100"/>
      <c r="BF180" s="1100"/>
      <c r="BG180" s="1100"/>
      <c r="BH180" s="1100"/>
      <c r="BI180" s="1100"/>
      <c r="BJ180" s="1100"/>
      <c r="BK180" s="1100"/>
      <c r="BL180" s="1100"/>
      <c r="BM180" s="1100"/>
      <c r="BN180" s="4617"/>
      <c r="BO180" s="4619" t="str">
        <f>IF(_xlfn.IFERROR(INDEX(ФОТ!$K$26:$L$102,MATCH($F180&amp;"1komm",ФОТ!$K$26:$K$102,0),2),"")=0,"",_xlfn.IFERROR(INDEX(ФОТ!$K$26:$L$102,MATCH($F180&amp;"1komm",ФОТ!$K$26:$K$102,0),2),""))</f>
        <v/>
      </c>
      <c r="BP180" s="4617"/>
      <c r="BQ180" s="960"/>
      <c r="BR180" s="960"/>
      <c r="BS180" s="1046" t="s">
        <v>1623</v>
      </c>
      <c r="BT180" s="1048"/>
      <c r="BU180" s="1048"/>
      <c r="BV180" s="962"/>
      <c r="BW180" s="962"/>
    </row>
    <row s="1621" customFormat="1" customHeight="1" ht="21.75">
      <c r="A181" s="960"/>
      <c r="B181" s="961"/>
      <c r="C181" s="73"/>
      <c r="D181" s="73"/>
      <c r="E181" s="600">
        <v>22.5</v>
      </c>
      <c r="F181" s="50" cm="1" t="str">
        <f t="array" ref="F181:F181">OFFSET(E181,-1,1)</f>
        <v>1</v>
      </c>
      <c r="G181" s="341" t="s">
        <v>1050</v>
      </c>
      <c r="H181" s="839"/>
      <c r="I181" s="839" t="s">
        <v>1374</v>
      </c>
      <c r="J181" s="73"/>
      <c r="K181" s="345" t="s">
        <v>1374</v>
      </c>
      <c r="L181" s="963" t="s">
        <v>1247</v>
      </c>
      <c r="M181" s="73"/>
      <c r="N181" s="73"/>
      <c r="O181" s="73"/>
      <c r="P181" s="73"/>
      <c r="Q181" s="73"/>
      <c r="R181" s="73"/>
      <c r="S181" s="73"/>
      <c r="T181" s="439" cm="1" t="str">
        <f t="array" ref="T181:T181">T180</f>
        <v>true</v>
      </c>
      <c r="U181" s="73"/>
      <c r="V181" s="73"/>
      <c r="W181" s="73"/>
      <c r="X181" s="1534"/>
      <c r="Y181" s="960"/>
      <c r="Z181" s="1465"/>
      <c r="AA181" s="960"/>
      <c r="AB181" s="267" t="s">
        <v>1810</v>
      </c>
      <c r="AC181" s="749" t="s">
        <v>1811</v>
      </c>
      <c r="AD181" s="747" t="s">
        <v>784</v>
      </c>
      <c r="AE181" s="1099">
        <f>_xlfn.SUMIFS(ФОТ!AE$25:AE$102,ФОТ!$F$25:$F$102,$F181,ФОТ!$G$25:$G$102,$G181)</f>
        <v>0</v>
      </c>
      <c r="AF181" s="1099">
        <f>_xlfn.SUMIFS(ФОТ!AF$25:AF$102,ФОТ!$F$25:$F$102,$F181,ФОТ!$G$25:$G$102,$G181)</f>
        <v>0</v>
      </c>
      <c r="AG181" s="1099">
        <f>_xlfn.SUMIFS(ФОТ!AG$25:AG$102,ФОТ!$F$25:$F$102,$F181,ФОТ!$G$25:$G$102,$G181)</f>
        <v>0</v>
      </c>
      <c r="AH181" s="1099">
        <f>AG181-AF181</f>
        <v>0</v>
      </c>
      <c r="AI181" s="1099">
        <f>_xlfn.SUMIFS(ФОТ!AH$25:AH$102,ФОТ!$F$25:$F$102,$F181,ФОТ!$G$25:$G$102,$G181)</f>
        <v>0</v>
      </c>
      <c r="AJ181" s="1099">
        <f>_xlfn.SUMIFS(ФОТ!AI$25:AI$102,ФОТ!$F$25:$F$102,$F181,ФОТ!$G$25:$G$102,$G181)</f>
        <v>0</v>
      </c>
      <c r="AK181" s="1100"/>
      <c r="AL181" s="1100"/>
      <c r="AM181" s="1100"/>
      <c r="AN181" s="1100"/>
      <c r="AO181" s="1100"/>
      <c r="AP181" s="1100"/>
      <c r="AQ181" s="1100"/>
      <c r="AR181" s="1100"/>
      <c r="AS181" s="1100"/>
      <c r="AT181" s="1099">
        <f>_xlfn.SUMIFS(ФОТ!AJ$25:AJ$102,ФОТ!$F$25:$F$102,$F181,ФОТ!$G$25:$G$102,$G181)</f>
        <v>0</v>
      </c>
      <c r="AU181" s="1100"/>
      <c r="AV181" s="1100"/>
      <c r="AW181" s="1100"/>
      <c r="AX181" s="1100"/>
      <c r="AY181" s="1100"/>
      <c r="AZ181" s="1100"/>
      <c r="BA181" s="1100"/>
      <c r="BB181" s="1100"/>
      <c r="BC181" s="1100"/>
      <c r="BD181" s="1099">
        <f>IF(AI181=0,0,(AT181-AI181)/AI181*100)</f>
        <v>0</v>
      </c>
      <c r="BE181" s="1100"/>
      <c r="BF181" s="1100"/>
      <c r="BG181" s="1100"/>
      <c r="BH181" s="1100"/>
      <c r="BI181" s="1100"/>
      <c r="BJ181" s="1100"/>
      <c r="BK181" s="1100"/>
      <c r="BL181" s="1100"/>
      <c r="BM181" s="1100"/>
      <c r="BN181" s="4617"/>
      <c r="BO181" s="4619" t="str">
        <f>IF(_xlfn.IFERROR(INDEX(ФОТ!$K$26:$L$102,MATCH($F181&amp;"2komm",ФОТ!$K$26:$K$102,0),2),"")=0,"",_xlfn.IFERROR(INDEX(ФОТ!$K$26:$L$102,MATCH($F181&amp;"2komm",ФОТ!$K$26:$K$102,0),2),""))</f>
        <v/>
      </c>
      <c r="BP181" s="4617"/>
      <c r="BQ181" s="960"/>
      <c r="BR181" s="960"/>
      <c r="BS181" s="1046" t="s">
        <v>1625</v>
      </c>
      <c r="BT181" s="1048"/>
      <c r="BU181" s="1048"/>
      <c r="BV181" s="962"/>
      <c r="BW181" s="962"/>
    </row>
    <row s="1621" customFormat="1" customHeight="1" ht="14.625">
      <c r="A182" s="960"/>
      <c r="B182" s="961"/>
      <c r="C182" s="73"/>
      <c r="D182" s="73"/>
      <c r="E182" s="600">
        <v>15</v>
      </c>
      <c r="F182" s="50" cm="1" t="str">
        <f t="array" ref="F182:F182">OFFSET(E182,-1,1)</f>
        <v>1</v>
      </c>
      <c r="G182" s="73"/>
      <c r="H182" s="839"/>
      <c r="I182" s="839" t="s">
        <v>1385</v>
      </c>
      <c r="J182" s="73"/>
      <c r="K182" s="345" t="s">
        <v>1385</v>
      </c>
      <c r="L182" s="963" t="s">
        <v>1627</v>
      </c>
      <c r="M182" s="73"/>
      <c r="N182" s="73"/>
      <c r="O182" s="73"/>
      <c r="P182" s="73"/>
      <c r="Q182" s="73"/>
      <c r="R182" s="73"/>
      <c r="S182" s="73"/>
      <c r="T182" s="439" cm="1" t="str">
        <f t="array" ref="T182:T182">T181</f>
        <v>true</v>
      </c>
      <c r="U182" s="73"/>
      <c r="V182" s="73"/>
      <c r="W182" s="73"/>
      <c r="X182" s="1534"/>
      <c r="Y182" s="960"/>
      <c r="Z182" s="1465"/>
      <c r="AA182" s="960"/>
      <c r="AB182" s="267" t="s">
        <v>1601</v>
      </c>
      <c r="AC182" s="746" t="s">
        <v>1812</v>
      </c>
      <c r="AD182" s="747" t="s">
        <v>784</v>
      </c>
      <c r="AE182" s="4561">
        <v>301.4731471179</v>
      </c>
      <c r="AF182" s="4561">
        <v>426.2055361038</v>
      </c>
      <c r="AG182" s="4561"/>
      <c r="AH182" s="1099">
        <f>AG182-AF182</f>
        <v>-426.2055361038</v>
      </c>
      <c r="AI182" s="4561"/>
      <c r="AJ182" s="4561"/>
      <c r="AK182" s="1100"/>
      <c r="AL182" s="1100"/>
      <c r="AM182" s="1100"/>
      <c r="AN182" s="1100"/>
      <c r="AO182" s="1100"/>
      <c r="AP182" s="1100"/>
      <c r="AQ182" s="1100"/>
      <c r="AR182" s="1100"/>
      <c r="AS182" s="1100"/>
      <c r="AT182" s="4561"/>
      <c r="AU182" s="1100"/>
      <c r="AV182" s="1100"/>
      <c r="AW182" s="1100"/>
      <c r="AX182" s="1100"/>
      <c r="AY182" s="1100"/>
      <c r="AZ182" s="1100"/>
      <c r="BA182" s="1100"/>
      <c r="BB182" s="1100"/>
      <c r="BC182" s="1100"/>
      <c r="BD182" s="1099">
        <f>IF(AI182=0,0,(AT182-AI182)/AI182*100)</f>
        <v>0</v>
      </c>
      <c r="BE182" s="1100"/>
      <c r="BF182" s="1100"/>
      <c r="BG182" s="1100"/>
      <c r="BH182" s="1100"/>
      <c r="BI182" s="1100"/>
      <c r="BJ182" s="1100"/>
      <c r="BK182" s="1100"/>
      <c r="BL182" s="1100"/>
      <c r="BM182" s="1100"/>
      <c r="BN182" s="4617"/>
      <c r="BO182" s="4617"/>
      <c r="BP182" s="4617"/>
      <c r="BQ182" s="960"/>
      <c r="BR182" s="960"/>
      <c r="BS182" s="1047" t="s">
        <v>1630</v>
      </c>
      <c r="BT182" s="1048"/>
      <c r="BU182" s="1048"/>
      <c r="BV182" s="962"/>
      <c r="BW182" s="962"/>
    </row>
    <row s="1621" customFormat="1" customHeight="1" ht="14.25">
      <c r="A183" s="960"/>
      <c r="B183" s="961"/>
      <c r="C183" s="73"/>
      <c r="D183" s="73"/>
      <c r="E183" s="600">
        <v>15</v>
      </c>
      <c r="F183" s="50" cm="1" t="str">
        <f t="array" ref="F183:F183">OFFSET(E183,-1,1)</f>
        <v>1</v>
      </c>
      <c r="G183" s="73"/>
      <c r="H183" s="839"/>
      <c r="I183" s="839" t="s">
        <v>1389</v>
      </c>
      <c r="J183" s="73"/>
      <c r="K183" s="345" t="s">
        <v>1389</v>
      </c>
      <c r="L183" s="963" t="s">
        <v>1631</v>
      </c>
      <c r="M183" s="960"/>
      <c r="N183" s="73"/>
      <c r="O183" s="73"/>
      <c r="P183" s="73"/>
      <c r="Q183" s="73"/>
      <c r="R183" s="73"/>
      <c r="S183" s="73"/>
      <c r="T183" s="439" cm="1" t="str">
        <f t="array" ref="T183:T183">T182</f>
        <v>true</v>
      </c>
      <c r="U183" s="73"/>
      <c r="V183" s="73"/>
      <c r="W183" s="73"/>
      <c r="X183" s="1534"/>
      <c r="Y183" s="960"/>
      <c r="Z183" s="1465"/>
      <c r="AA183" s="960"/>
      <c r="AB183" s="267" t="s">
        <v>1603</v>
      </c>
      <c r="AC183" s="746" t="s">
        <v>1813</v>
      </c>
      <c r="AD183" s="267" t="s">
        <v>784</v>
      </c>
      <c r="AE183" s="1101">
        <f>SUM(AE184:AE190)</f>
        <v>1017.73516044</v>
      </c>
      <c r="AF183" s="1101">
        <f>SUM(AF184:AF190)</f>
        <v>2718.6770765939</v>
      </c>
      <c r="AG183" s="1101">
        <f>SUM(AG184:AG190)</f>
        <v>0</v>
      </c>
      <c r="AH183" s="1099">
        <f>AG183-AF183</f>
        <v>-2718.6770765939</v>
      </c>
      <c r="AI183" s="1101">
        <f>SUM(AI184:AI190)</f>
        <v>0</v>
      </c>
      <c r="AJ183" s="1101">
        <f>SUM(AJ184:AJ190)</f>
        <v>0</v>
      </c>
      <c r="AK183" s="1100"/>
      <c r="AL183" s="1100"/>
      <c r="AM183" s="1100"/>
      <c r="AN183" s="1100"/>
      <c r="AO183" s="1100"/>
      <c r="AP183" s="1100"/>
      <c r="AQ183" s="1100"/>
      <c r="AR183" s="1100"/>
      <c r="AS183" s="1100"/>
      <c r="AT183" s="1101">
        <f>SUM(AT184:AT190)</f>
        <v>0</v>
      </c>
      <c r="AU183" s="1100"/>
      <c r="AV183" s="1100"/>
      <c r="AW183" s="1100"/>
      <c r="AX183" s="1100"/>
      <c r="AY183" s="1100"/>
      <c r="AZ183" s="1100"/>
      <c r="BA183" s="1100"/>
      <c r="BB183" s="1100"/>
      <c r="BC183" s="1100"/>
      <c r="BD183" s="1099">
        <f>IF(AI183=0,0,(AT183-AI183)/AI183*100)</f>
        <v>0</v>
      </c>
      <c r="BE183" s="1100"/>
      <c r="BF183" s="1100"/>
      <c r="BG183" s="1100"/>
      <c r="BH183" s="1100"/>
      <c r="BI183" s="1100"/>
      <c r="BJ183" s="1100"/>
      <c r="BK183" s="1100"/>
      <c r="BL183" s="1100"/>
      <c r="BM183" s="1100"/>
      <c r="BN183" s="4617"/>
      <c r="BO183" s="4617"/>
      <c r="BP183" s="4617"/>
      <c r="BQ183" s="960"/>
      <c r="BR183" s="960"/>
      <c r="BS183" s="1047" t="s">
        <v>1814</v>
      </c>
      <c r="BT183" s="1048"/>
      <c r="BU183" s="1048"/>
      <c r="BV183" s="962"/>
      <c r="BW183" s="962"/>
    </row>
    <row s="1621" customFormat="1" customHeight="1" ht="14.25">
      <c r="A184" s="960"/>
      <c r="B184" s="961"/>
      <c r="C184" s="73"/>
      <c r="D184" s="73"/>
      <c r="E184" s="600">
        <v>15</v>
      </c>
      <c r="F184" s="50" cm="1" t="str">
        <f t="array" ref="F184:F184">OFFSET(E184,-1,1)</f>
        <v>1</v>
      </c>
      <c r="G184" s="73"/>
      <c r="H184" s="839"/>
      <c r="I184" s="839" t="s">
        <v>1815</v>
      </c>
      <c r="J184" s="73"/>
      <c r="K184" s="345" t="s">
        <v>1815</v>
      </c>
      <c r="L184" s="963" t="s">
        <v>1631</v>
      </c>
      <c r="M184" s="73" t="s">
        <v>1639</v>
      </c>
      <c r="N184" s="73"/>
      <c r="O184" s="73"/>
      <c r="P184" s="73"/>
      <c r="Q184" s="73"/>
      <c r="R184" s="73"/>
      <c r="S184" s="73"/>
      <c r="T184" s="439" cm="1" t="str">
        <f t="array" ref="T184:T184">T183</f>
        <v>true</v>
      </c>
      <c r="U184" s="73"/>
      <c r="V184" s="73"/>
      <c r="W184" s="73"/>
      <c r="X184" s="1534"/>
      <c r="Y184" s="960"/>
      <c r="Z184" s="1465"/>
      <c r="AA184" s="960"/>
      <c r="AB184" s="267" t="s">
        <v>1816</v>
      </c>
      <c r="AC184" s="749" t="s">
        <v>1817</v>
      </c>
      <c r="AD184" s="267" t="s">
        <v>784</v>
      </c>
      <c r="AE184" s="4561"/>
      <c r="AF184" s="4561"/>
      <c r="AG184" s="4561"/>
      <c r="AH184" s="1099">
        <f>AG184-AF184</f>
        <v>0</v>
      </c>
      <c r="AI184" s="4561"/>
      <c r="AJ184" s="4561"/>
      <c r="AK184" s="1100"/>
      <c r="AL184" s="1100"/>
      <c r="AM184" s="1100"/>
      <c r="AN184" s="1100"/>
      <c r="AO184" s="1100"/>
      <c r="AP184" s="1100"/>
      <c r="AQ184" s="1100"/>
      <c r="AR184" s="1100"/>
      <c r="AS184" s="1100"/>
      <c r="AT184" s="4561"/>
      <c r="AU184" s="1100"/>
      <c r="AV184" s="1100"/>
      <c r="AW184" s="1100"/>
      <c r="AX184" s="1100"/>
      <c r="AY184" s="1100"/>
      <c r="AZ184" s="1100"/>
      <c r="BA184" s="1100"/>
      <c r="BB184" s="1100"/>
      <c r="BC184" s="1100"/>
      <c r="BD184" s="1099">
        <f>IF(AI184=0,0,(AT184-AI184)/AI184*100)</f>
        <v>0</v>
      </c>
      <c r="BE184" s="1100"/>
      <c r="BF184" s="1100"/>
      <c r="BG184" s="1100"/>
      <c r="BH184" s="1100"/>
      <c r="BI184" s="1100"/>
      <c r="BJ184" s="1100"/>
      <c r="BK184" s="1100"/>
      <c r="BL184" s="1100"/>
      <c r="BM184" s="1100"/>
      <c r="BN184" s="4617"/>
      <c r="BO184" s="4617"/>
      <c r="BP184" s="4617"/>
      <c r="BQ184" s="960"/>
      <c r="BR184" s="960"/>
      <c r="BS184" s="1046" t="s">
        <v>1642</v>
      </c>
      <c r="BT184" s="1048"/>
      <c r="BU184" s="1048"/>
      <c r="BV184" s="962"/>
      <c r="BW184" s="962"/>
    </row>
    <row s="1621" customFormat="1" customHeight="1" ht="21.75">
      <c r="A185" s="960"/>
      <c r="B185" s="961"/>
      <c r="C185" s="73"/>
      <c r="D185" s="73"/>
      <c r="E185" s="600">
        <v>22.5</v>
      </c>
      <c r="F185" s="50" cm="1" t="str">
        <f t="array" ref="F185:F185">OFFSET(E185,-1,1)</f>
        <v>1</v>
      </c>
      <c r="G185" s="73"/>
      <c r="H185" s="839"/>
      <c r="I185" s="839" t="s">
        <v>1818</v>
      </c>
      <c r="J185" s="73"/>
      <c r="K185" s="345" t="s">
        <v>1818</v>
      </c>
      <c r="L185" s="963" t="s">
        <v>1631</v>
      </c>
      <c r="M185" s="73" t="s">
        <v>1635</v>
      </c>
      <c r="N185" s="73"/>
      <c r="O185" s="73"/>
      <c r="P185" s="73"/>
      <c r="Q185" s="73"/>
      <c r="R185" s="73"/>
      <c r="S185" s="73"/>
      <c r="T185" s="439" cm="1" t="str">
        <f t="array" ref="T185:T185">T184</f>
        <v>true</v>
      </c>
      <c r="U185" s="73"/>
      <c r="V185" s="73"/>
      <c r="W185" s="73"/>
      <c r="X185" s="1534"/>
      <c r="Y185" s="960"/>
      <c r="Z185" s="1465"/>
      <c r="AA185" s="960"/>
      <c r="AB185" s="267" t="s">
        <v>1819</v>
      </c>
      <c r="AC185" s="749" t="s">
        <v>1820</v>
      </c>
      <c r="AD185" s="267" t="s">
        <v>784</v>
      </c>
      <c r="AE185" s="4561"/>
      <c r="AF185" s="4561"/>
      <c r="AG185" s="4561"/>
      <c r="AH185" s="1099">
        <f>AG185-AF185</f>
        <v>0</v>
      </c>
      <c r="AI185" s="4561"/>
      <c r="AJ185" s="4561"/>
      <c r="AK185" s="1100"/>
      <c r="AL185" s="1100"/>
      <c r="AM185" s="1100"/>
      <c r="AN185" s="1100"/>
      <c r="AO185" s="1100"/>
      <c r="AP185" s="1100"/>
      <c r="AQ185" s="1100"/>
      <c r="AR185" s="1100"/>
      <c r="AS185" s="1100"/>
      <c r="AT185" s="4561"/>
      <c r="AU185" s="1100"/>
      <c r="AV185" s="1100"/>
      <c r="AW185" s="1100"/>
      <c r="AX185" s="1100"/>
      <c r="AY185" s="1100"/>
      <c r="AZ185" s="1100"/>
      <c r="BA185" s="1100"/>
      <c r="BB185" s="1100"/>
      <c r="BC185" s="1100"/>
      <c r="BD185" s="1099">
        <f>IF(AI185=0,0,(AT185-AI185)/AI185*100)</f>
        <v>0</v>
      </c>
      <c r="BE185" s="1100"/>
      <c r="BF185" s="1100"/>
      <c r="BG185" s="1100"/>
      <c r="BH185" s="1100"/>
      <c r="BI185" s="1100"/>
      <c r="BJ185" s="1100"/>
      <c r="BK185" s="1100"/>
      <c r="BL185" s="1100"/>
      <c r="BM185" s="1100"/>
      <c r="BN185" s="4617"/>
      <c r="BO185" s="4617"/>
      <c r="BP185" s="4617"/>
      <c r="BQ185" s="960"/>
      <c r="BR185" s="960"/>
      <c r="BS185" s="1048" t="s">
        <v>1821</v>
      </c>
      <c r="BT185" s="1048"/>
      <c r="BU185" s="1048"/>
      <c r="BV185" s="962"/>
      <c r="BW185" s="962"/>
    </row>
    <row s="1621" customFormat="1" customHeight="1" ht="21.75">
      <c r="A186" s="960"/>
      <c r="B186" s="961"/>
      <c r="C186" s="73"/>
      <c r="D186" s="73"/>
      <c r="E186" s="600">
        <v>22.5</v>
      </c>
      <c r="F186" s="50" cm="1" t="str">
        <f t="array" ref="F186:F186">OFFSET(E186,-1,1)</f>
        <v>1</v>
      </c>
      <c r="G186" s="73"/>
      <c r="H186" s="839"/>
      <c r="I186" s="839" t="s">
        <v>1822</v>
      </c>
      <c r="J186" s="73"/>
      <c r="K186" s="345" t="s">
        <v>1822</v>
      </c>
      <c r="L186" s="960"/>
      <c r="M186" s="960"/>
      <c r="N186" s="73"/>
      <c r="O186" s="73"/>
      <c r="P186" s="73"/>
      <c r="Q186" s="73"/>
      <c r="R186" s="73"/>
      <c r="S186" s="73"/>
      <c r="T186" s="439" cm="1" t="str">
        <f t="array" ref="T186:T186">T185</f>
        <v>true</v>
      </c>
      <c r="U186" s="73"/>
      <c r="V186" s="73"/>
      <c r="W186" s="73"/>
      <c r="X186" s="1534"/>
      <c r="Y186" s="960"/>
      <c r="Z186" s="1465"/>
      <c r="AA186" s="960"/>
      <c r="AB186" s="267" t="s">
        <v>1823</v>
      </c>
      <c r="AC186" s="750" t="s">
        <v>1824</v>
      </c>
      <c r="AD186" s="267" t="s">
        <v>784</v>
      </c>
      <c r="AE186" s="4561"/>
      <c r="AF186" s="4561"/>
      <c r="AG186" s="4561"/>
      <c r="AH186" s="1099">
        <f>AG186-AF186</f>
        <v>0</v>
      </c>
      <c r="AI186" s="4561"/>
      <c r="AJ186" s="4561"/>
      <c r="AK186" s="1100"/>
      <c r="AL186" s="1100"/>
      <c r="AM186" s="1100"/>
      <c r="AN186" s="1100"/>
      <c r="AO186" s="1100"/>
      <c r="AP186" s="1100"/>
      <c r="AQ186" s="1100"/>
      <c r="AR186" s="1100"/>
      <c r="AS186" s="1100"/>
      <c r="AT186" s="4561"/>
      <c r="AU186" s="1100"/>
      <c r="AV186" s="1100"/>
      <c r="AW186" s="1100"/>
      <c r="AX186" s="1100"/>
      <c r="AY186" s="1100"/>
      <c r="AZ186" s="1100"/>
      <c r="BA186" s="1100"/>
      <c r="BB186" s="1100"/>
      <c r="BC186" s="1100"/>
      <c r="BD186" s="1099">
        <f>IF(AI186=0,0,(AT186-AI186)/AI186*100)</f>
        <v>0</v>
      </c>
      <c r="BE186" s="1100"/>
      <c r="BF186" s="1100"/>
      <c r="BG186" s="1100"/>
      <c r="BH186" s="1100"/>
      <c r="BI186" s="1100"/>
      <c r="BJ186" s="1100"/>
      <c r="BK186" s="1100"/>
      <c r="BL186" s="1100"/>
      <c r="BM186" s="1100"/>
      <c r="BN186" s="4617"/>
      <c r="BO186" s="4617"/>
      <c r="BP186" s="4617"/>
      <c r="BQ186" s="960"/>
      <c r="BR186" s="960"/>
      <c r="BS186" s="1048" t="s">
        <v>1825</v>
      </c>
      <c r="BT186" s="1048"/>
      <c r="BU186" s="1048"/>
      <c r="BV186" s="962"/>
      <c r="BW186" s="962"/>
    </row>
    <row s="1621" customFormat="1" customHeight="1" ht="21.75">
      <c r="A187" s="960"/>
      <c r="B187" s="961"/>
      <c r="C187" s="73"/>
      <c r="D187" s="73"/>
      <c r="E187" s="600">
        <v>22.5</v>
      </c>
      <c r="F187" s="50" cm="1" t="str">
        <f t="array" ref="F187:F187">OFFSET(E187,-1,1)</f>
        <v>1</v>
      </c>
      <c r="G187" s="73"/>
      <c r="H187" s="839"/>
      <c r="I187" s="839" t="s">
        <v>1826</v>
      </c>
      <c r="J187" s="73"/>
      <c r="K187" s="345" t="s">
        <v>1826</v>
      </c>
      <c r="L187" s="963"/>
      <c r="M187" s="960"/>
      <c r="N187" s="73"/>
      <c r="O187" s="73"/>
      <c r="P187" s="73"/>
      <c r="Q187" s="73"/>
      <c r="R187" s="73"/>
      <c r="S187" s="73"/>
      <c r="T187" s="439" cm="1" t="str">
        <f t="array" ref="T187:T187">T186</f>
        <v>true</v>
      </c>
      <c r="U187" s="73"/>
      <c r="V187" s="73"/>
      <c r="W187" s="73"/>
      <c r="X187" s="1534"/>
      <c r="Y187" s="960"/>
      <c r="Z187" s="1465"/>
      <c r="AA187" s="960"/>
      <c r="AB187" s="267" t="s">
        <v>1827</v>
      </c>
      <c r="AC187" s="750" t="s">
        <v>1828</v>
      </c>
      <c r="AD187" s="267" t="s">
        <v>784</v>
      </c>
      <c r="AE187" s="4561"/>
      <c r="AF187" s="4561"/>
      <c r="AG187" s="4561"/>
      <c r="AH187" s="1099">
        <f>AG187-AF187</f>
        <v>0</v>
      </c>
      <c r="AI187" s="4561"/>
      <c r="AJ187" s="4561"/>
      <c r="AK187" s="1100"/>
      <c r="AL187" s="1100"/>
      <c r="AM187" s="1100"/>
      <c r="AN187" s="1100"/>
      <c r="AO187" s="1100"/>
      <c r="AP187" s="1100"/>
      <c r="AQ187" s="1100"/>
      <c r="AR187" s="1100"/>
      <c r="AS187" s="1100"/>
      <c r="AT187" s="4561"/>
      <c r="AU187" s="1100"/>
      <c r="AV187" s="1100"/>
      <c r="AW187" s="1100"/>
      <c r="AX187" s="1100"/>
      <c r="AY187" s="1100"/>
      <c r="AZ187" s="1100"/>
      <c r="BA187" s="1100"/>
      <c r="BB187" s="1100"/>
      <c r="BC187" s="1100"/>
      <c r="BD187" s="1099">
        <f>IF(AI187=0,0,(AT187-AI187)/AI187*100)</f>
        <v>0</v>
      </c>
      <c r="BE187" s="1100"/>
      <c r="BF187" s="1100"/>
      <c r="BG187" s="1100"/>
      <c r="BH187" s="1100"/>
      <c r="BI187" s="1100"/>
      <c r="BJ187" s="1100"/>
      <c r="BK187" s="1100"/>
      <c r="BL187" s="1100"/>
      <c r="BM187" s="1100"/>
      <c r="BN187" s="4617"/>
      <c r="BO187" s="4617"/>
      <c r="BP187" s="4617"/>
      <c r="BQ187" s="960"/>
      <c r="BR187" s="960"/>
      <c r="BS187" s="1048" t="s">
        <v>1829</v>
      </c>
      <c r="BT187" s="1048"/>
      <c r="BU187" s="1048"/>
      <c r="BV187" s="962"/>
      <c r="BW187" s="962"/>
    </row>
    <row s="1621" customFormat="1" customHeight="1" ht="43.5">
      <c r="A188" s="960"/>
      <c r="B188" s="961"/>
      <c r="C188" s="73"/>
      <c r="D188" s="73"/>
      <c r="E188" s="600">
        <v>45</v>
      </c>
      <c r="F188" s="50" cm="1" t="str">
        <f t="array" ref="F188:F188">OFFSET(E188,-1,1)</f>
        <v>1</v>
      </c>
      <c r="G188" s="73"/>
      <c r="H188" s="839"/>
      <c r="I188" s="839" t="s">
        <v>1830</v>
      </c>
      <c r="J188" s="73"/>
      <c r="K188" s="345" t="s">
        <v>1830</v>
      </c>
      <c r="L188" s="963" t="s">
        <v>1631</v>
      </c>
      <c r="M188" s="73" t="s">
        <v>1643</v>
      </c>
      <c r="N188" s="73"/>
      <c r="O188" s="73"/>
      <c r="P188" s="73"/>
      <c r="Q188" s="73"/>
      <c r="R188" s="73"/>
      <c r="S188" s="73"/>
      <c r="T188" s="439" cm="1" t="str">
        <f t="array" ref="T188:T188">T187</f>
        <v>true</v>
      </c>
      <c r="U188" s="73"/>
      <c r="V188" s="73"/>
      <c r="W188" s="73"/>
      <c r="X188" s="1534"/>
      <c r="Y188" s="960"/>
      <c r="Z188" s="1465"/>
      <c r="AA188" s="960"/>
      <c r="AB188" s="267" t="s">
        <v>1831</v>
      </c>
      <c r="AC188" s="749" t="s">
        <v>1832</v>
      </c>
      <c r="AD188" s="267" t="s">
        <v>784</v>
      </c>
      <c r="AE188" s="4561"/>
      <c r="AF188" s="4561"/>
      <c r="AG188" s="4561"/>
      <c r="AH188" s="1099">
        <f>AG188-AF188</f>
        <v>0</v>
      </c>
      <c r="AI188" s="4561"/>
      <c r="AJ188" s="4561"/>
      <c r="AK188" s="1100"/>
      <c r="AL188" s="1100"/>
      <c r="AM188" s="1100"/>
      <c r="AN188" s="1100"/>
      <c r="AO188" s="1100"/>
      <c r="AP188" s="1100"/>
      <c r="AQ188" s="1100"/>
      <c r="AR188" s="1100"/>
      <c r="AS188" s="1100"/>
      <c r="AT188" s="4561"/>
      <c r="AU188" s="1100"/>
      <c r="AV188" s="1100"/>
      <c r="AW188" s="1100"/>
      <c r="AX188" s="1100"/>
      <c r="AY188" s="1100"/>
      <c r="AZ188" s="1100"/>
      <c r="BA188" s="1100"/>
      <c r="BB188" s="1100"/>
      <c r="BC188" s="1100"/>
      <c r="BD188" s="1099">
        <f>IF(AI188=0,0,(AT188-AI188)/AI188*100)</f>
        <v>0</v>
      </c>
      <c r="BE188" s="1100"/>
      <c r="BF188" s="1100"/>
      <c r="BG188" s="1100"/>
      <c r="BH188" s="1100"/>
      <c r="BI188" s="1100"/>
      <c r="BJ188" s="1100"/>
      <c r="BK188" s="1100"/>
      <c r="BL188" s="1100"/>
      <c r="BM188" s="1100"/>
      <c r="BN188" s="4617"/>
      <c r="BO188" s="4617"/>
      <c r="BP188" s="4617"/>
      <c r="BQ188" s="960"/>
      <c r="BR188" s="960"/>
      <c r="BS188" s="1048" t="s">
        <v>1646</v>
      </c>
      <c r="BT188" s="1048"/>
      <c r="BU188" s="1048"/>
      <c r="BV188" s="962"/>
      <c r="BW188" s="962"/>
    </row>
    <row s="1621" customFormat="1" customHeight="1" ht="14.25">
      <c r="A189" s="960"/>
      <c r="B189" s="961"/>
      <c r="C189" s="73"/>
      <c r="D189" s="73"/>
      <c r="E189" s="600">
        <v>15</v>
      </c>
      <c r="F189" s="50" cm="1" t="str">
        <f t="array" ref="F189:F189">OFFSET(E189,-1,1)</f>
        <v>1</v>
      </c>
      <c r="G189" s="73"/>
      <c r="H189" s="839"/>
      <c r="I189" s="839" t="s">
        <v>1833</v>
      </c>
      <c r="J189" s="73"/>
      <c r="K189" s="345" t="s">
        <v>1833</v>
      </c>
      <c r="L189" s="963" t="s">
        <v>1631</v>
      </c>
      <c r="M189" s="73" t="s">
        <v>1647</v>
      </c>
      <c r="N189" s="73"/>
      <c r="O189" s="73"/>
      <c r="P189" s="73"/>
      <c r="Q189" s="73"/>
      <c r="R189" s="73"/>
      <c r="S189" s="73"/>
      <c r="T189" s="439" cm="1" t="str">
        <f t="array" ref="T189:T189">T188</f>
        <v>true</v>
      </c>
      <c r="U189" s="73"/>
      <c r="V189" s="73"/>
      <c r="W189" s="73"/>
      <c r="X189" s="1534"/>
      <c r="Y189" s="960"/>
      <c r="Z189" s="1465"/>
      <c r="AA189" s="960"/>
      <c r="AB189" s="267" t="s">
        <v>1834</v>
      </c>
      <c r="AC189" s="749" t="s">
        <v>1649</v>
      </c>
      <c r="AD189" s="267" t="s">
        <v>784</v>
      </c>
      <c r="AE189" s="4561"/>
      <c r="AF189" s="4561"/>
      <c r="AG189" s="4561"/>
      <c r="AH189" s="1099">
        <f>AG189-AF189</f>
        <v>0</v>
      </c>
      <c r="AI189" s="4561"/>
      <c r="AJ189" s="4561"/>
      <c r="AK189" s="1100"/>
      <c r="AL189" s="1100"/>
      <c r="AM189" s="1100"/>
      <c r="AN189" s="1100"/>
      <c r="AO189" s="1100"/>
      <c r="AP189" s="1100"/>
      <c r="AQ189" s="1100"/>
      <c r="AR189" s="1100"/>
      <c r="AS189" s="1100"/>
      <c r="AT189" s="4561"/>
      <c r="AU189" s="1100"/>
      <c r="AV189" s="1100"/>
      <c r="AW189" s="1100"/>
      <c r="AX189" s="1100"/>
      <c r="AY189" s="1100"/>
      <c r="AZ189" s="1100"/>
      <c r="BA189" s="1100"/>
      <c r="BB189" s="1100"/>
      <c r="BC189" s="1100"/>
      <c r="BD189" s="1099">
        <f>IF(AI189=0,0,(AT189-AI189)/AI189*100)</f>
        <v>0</v>
      </c>
      <c r="BE189" s="1100"/>
      <c r="BF189" s="1100"/>
      <c r="BG189" s="1100"/>
      <c r="BH189" s="1100"/>
      <c r="BI189" s="1100"/>
      <c r="BJ189" s="1100"/>
      <c r="BK189" s="1100"/>
      <c r="BL189" s="1100"/>
      <c r="BM189" s="1100"/>
      <c r="BN189" s="4617"/>
      <c r="BO189" s="4617"/>
      <c r="BP189" s="4617"/>
      <c r="BQ189" s="960"/>
      <c r="BR189" s="960"/>
      <c r="BS189" s="1048" t="s">
        <v>1650</v>
      </c>
      <c r="BT189" s="1048"/>
      <c r="BU189" s="1048"/>
      <c r="BV189" s="962"/>
      <c r="BW189" s="962"/>
    </row>
    <row s="1621" customFormat="1" customHeight="1" ht="14.625">
      <c r="A190" s="960"/>
      <c r="B190" s="961"/>
      <c r="C190" s="73"/>
      <c r="D190" s="73"/>
      <c r="E190" s="600">
        <v>15</v>
      </c>
      <c r="F190" s="50" cm="1" t="str">
        <f t="array" ref="F190:F190">OFFSET(E190,-1,1)</f>
        <v>1</v>
      </c>
      <c r="G190" s="73"/>
      <c r="H190" s="839"/>
      <c r="I190" s="839" t="s">
        <v>1835</v>
      </c>
      <c r="J190" s="73"/>
      <c r="K190" s="345" t="s">
        <v>1835</v>
      </c>
      <c r="L190" s="963"/>
      <c r="M190" s="73"/>
      <c r="N190" s="73"/>
      <c r="O190" s="73"/>
      <c r="P190" s="73"/>
      <c r="Q190" s="73"/>
      <c r="R190" s="73"/>
      <c r="S190" s="73"/>
      <c r="T190" s="439" cm="1" t="str">
        <f t="array" ref="T190:T190">T189</f>
        <v>true</v>
      </c>
      <c r="U190" s="73"/>
      <c r="V190" s="73"/>
      <c r="W190" s="73"/>
      <c r="X190" s="1534"/>
      <c r="Y190" s="960"/>
      <c r="Z190" s="1465"/>
      <c r="AA190" s="960"/>
      <c r="AB190" s="267" t="s">
        <v>1836</v>
      </c>
      <c r="AC190" s="749" t="s">
        <v>1837</v>
      </c>
      <c r="AD190" s="267" t="s">
        <v>784</v>
      </c>
      <c r="AE190" s="4561">
        <v>1017.73516044</v>
      </c>
      <c r="AF190" s="4561">
        <v>2718.6770765939</v>
      </c>
      <c r="AG190" s="4561"/>
      <c r="AH190" s="1099">
        <f>AG190-AF190</f>
        <v>-2718.6770765939</v>
      </c>
      <c r="AI190" s="4561"/>
      <c r="AJ190" s="1391"/>
      <c r="AK190" s="1100"/>
      <c r="AL190" s="1100"/>
      <c r="AM190" s="1100"/>
      <c r="AN190" s="1100"/>
      <c r="AO190" s="1100"/>
      <c r="AP190" s="1100"/>
      <c r="AQ190" s="1100"/>
      <c r="AR190" s="1100"/>
      <c r="AS190" s="1100"/>
      <c r="AT190" s="1100"/>
      <c r="AU190" s="1100"/>
      <c r="AV190" s="1100"/>
      <c r="AW190" s="1100"/>
      <c r="AX190" s="1100"/>
      <c r="AY190" s="1100"/>
      <c r="AZ190" s="1100"/>
      <c r="BA190" s="1100"/>
      <c r="BB190" s="1100"/>
      <c r="BC190" s="1100"/>
      <c r="BD190" s="1099">
        <f>IF(AI190=0,0,(AT190-AI190)/AI190*100)</f>
        <v>0</v>
      </c>
      <c r="BE190" s="1100"/>
      <c r="BF190" s="1100"/>
      <c r="BG190" s="1100"/>
      <c r="BH190" s="1100"/>
      <c r="BI190" s="1100"/>
      <c r="BJ190" s="1100"/>
      <c r="BK190" s="1100"/>
      <c r="BL190" s="1100"/>
      <c r="BM190" s="1100"/>
      <c r="BN190" s="4617"/>
      <c r="BO190" s="4617"/>
      <c r="BP190" s="4617"/>
      <c r="BQ190" s="960"/>
      <c r="BR190" s="960"/>
      <c r="BS190" s="1048" t="s">
        <v>1634</v>
      </c>
      <c r="BT190" s="1048"/>
      <c r="BU190" s="1048"/>
      <c r="BV190" s="962"/>
      <c r="BW190" s="962"/>
    </row>
    <row s="4620" customFormat="1" customHeight="1" ht="20.25">
      <c r="A191" s="680"/>
      <c r="B191" s="408"/>
      <c r="C191" s="75"/>
      <c r="D191" s="75"/>
      <c r="E191" s="807">
        <v>21</v>
      </c>
      <c r="F191" s="50" cm="1" t="str">
        <f t="array" ref="F191:F191">OFFSET(E191,-1,1)</f>
        <v>1</v>
      </c>
      <c r="G191" s="75"/>
      <c r="H191" s="839"/>
      <c r="I191" s="839" t="s">
        <v>448</v>
      </c>
      <c r="J191" s="75"/>
      <c r="K191" s="345" t="s">
        <v>448</v>
      </c>
      <c r="L191" s="968"/>
      <c r="M191" s="75"/>
      <c r="N191" s="75"/>
      <c r="O191" s="75"/>
      <c r="P191" s="75"/>
      <c r="Q191" s="75"/>
      <c r="R191" s="75"/>
      <c r="S191" s="75"/>
      <c r="T191" s="439" cm="1" t="str">
        <f t="array" ref="T191:T191">T190</f>
        <v>true</v>
      </c>
      <c r="U191" s="75"/>
      <c r="V191" s="75"/>
      <c r="W191" s="75"/>
      <c r="X191" s="1534"/>
      <c r="Y191" s="680"/>
      <c r="Z191" s="1465"/>
      <c r="AA191" s="680"/>
      <c r="AB191" s="178" t="s">
        <v>851</v>
      </c>
      <c r="AC191" s="328" t="s">
        <v>1654</v>
      </c>
      <c r="AD191" s="178" t="s">
        <v>784</v>
      </c>
      <c r="AE191" s="180">
        <f>AE192+AE193+AE194</f>
        <v>354.7365489079</v>
      </c>
      <c r="AF191" s="180">
        <f>AF192+AF193+AF194</f>
        <v>2151.94391</v>
      </c>
      <c r="AG191" s="180">
        <f>AG192+AG193+AG194</f>
        <v>0</v>
      </c>
      <c r="AH191" s="759">
        <f>AG191-AF191</f>
        <v>-2151.94391</v>
      </c>
      <c r="AI191" s="180">
        <f>AI192+AI193+AI194</f>
        <v>0</v>
      </c>
      <c r="AJ191" s="180">
        <f>AJ192+AJ193+AJ194</f>
        <v>0</v>
      </c>
      <c r="AK191" s="183"/>
      <c r="AL191" s="183"/>
      <c r="AM191" s="183"/>
      <c r="AN191" s="183"/>
      <c r="AO191" s="183"/>
      <c r="AP191" s="183"/>
      <c r="AQ191" s="183"/>
      <c r="AR191" s="183"/>
      <c r="AS191" s="183"/>
      <c r="AT191" s="180">
        <f>AT192+AT193+AT194</f>
        <v>0</v>
      </c>
      <c r="AU191" s="183"/>
      <c r="AV191" s="183"/>
      <c r="AW191" s="183"/>
      <c r="AX191" s="183"/>
      <c r="AY191" s="183"/>
      <c r="AZ191" s="183"/>
      <c r="BA191" s="183"/>
      <c r="BB191" s="183"/>
      <c r="BC191" s="183"/>
      <c r="BD191" s="759">
        <f>IF(AI191=0,0,(AT191-AI191)/AI191*100)</f>
        <v>0</v>
      </c>
      <c r="BE191" s="183"/>
      <c r="BF191" s="183"/>
      <c r="BG191" s="183"/>
      <c r="BH191" s="183"/>
      <c r="BI191" s="183"/>
      <c r="BJ191" s="183"/>
      <c r="BK191" s="183"/>
      <c r="BL191" s="183"/>
      <c r="BM191" s="183"/>
      <c r="BN191" s="4618"/>
      <c r="BO191" s="4618"/>
      <c r="BP191" s="4618"/>
      <c r="BQ191" s="680"/>
      <c r="BR191" s="680"/>
      <c r="BS191" s="1047" t="s">
        <v>1655</v>
      </c>
      <c r="BT191" s="1054"/>
      <c r="BU191" s="1054"/>
      <c r="BV191" s="687"/>
      <c r="BW191" s="687"/>
    </row>
    <row s="1621" customFormat="1" customHeight="1" ht="23.25">
      <c r="A192" s="960"/>
      <c r="B192" s="961"/>
      <c r="C192" s="73"/>
      <c r="D192" s="73"/>
      <c r="E192" s="600">
        <v>22.5</v>
      </c>
      <c r="F192" s="50" cm="1" t="str">
        <f t="array" ref="F192:F192">OFFSET(E192,-1,1)</f>
        <v>1</v>
      </c>
      <c r="G192" s="73"/>
      <c r="H192" s="839"/>
      <c r="I192" s="839" t="s">
        <v>1232</v>
      </c>
      <c r="J192" s="73"/>
      <c r="K192" s="345" t="s">
        <v>1232</v>
      </c>
      <c r="L192" s="963"/>
      <c r="M192" s="73"/>
      <c r="N192" s="73"/>
      <c r="O192" s="73"/>
      <c r="P192" s="73"/>
      <c r="Q192" s="73"/>
      <c r="R192" s="73"/>
      <c r="S192" s="73"/>
      <c r="T192" s="439" cm="1" t="str">
        <f t="array" ref="T192:T192">T191</f>
        <v>true</v>
      </c>
      <c r="U192" s="73"/>
      <c r="V192" s="73"/>
      <c r="W192" s="73"/>
      <c r="X192" s="1534"/>
      <c r="Y192" s="960"/>
      <c r="Z192" s="1465"/>
      <c r="AA192" s="960"/>
      <c r="AB192" s="267" t="s">
        <v>1233</v>
      </c>
      <c r="AC192" s="746" t="s">
        <v>1838</v>
      </c>
      <c r="AD192" s="267" t="s">
        <v>784</v>
      </c>
      <c r="AE192" s="4561">
        <v>354.7365489079</v>
      </c>
      <c r="AF192" s="4561">
        <v>862.99291</v>
      </c>
      <c r="AG192" s="4561"/>
      <c r="AH192" s="1099">
        <f>AG192-AF192</f>
        <v>-862.99291</v>
      </c>
      <c r="AI192" s="4561"/>
      <c r="AJ192" s="4561"/>
      <c r="AK192" s="1100"/>
      <c r="AL192" s="1100"/>
      <c r="AM192" s="1100"/>
      <c r="AN192" s="1100"/>
      <c r="AO192" s="1100"/>
      <c r="AP192" s="1100"/>
      <c r="AQ192" s="1100"/>
      <c r="AR192" s="1100"/>
      <c r="AS192" s="1100"/>
      <c r="AT192" s="4561"/>
      <c r="AU192" s="1100"/>
      <c r="AV192" s="1100"/>
      <c r="AW192" s="1100"/>
      <c r="AX192" s="1100"/>
      <c r="AY192" s="1100"/>
      <c r="AZ192" s="1100"/>
      <c r="BA192" s="1100"/>
      <c r="BB192" s="1100"/>
      <c r="BC192" s="1100"/>
      <c r="BD192" s="1099">
        <f>IF(AI192=0,0,(AT192-AI192)/AI192*100)</f>
        <v>0</v>
      </c>
      <c r="BE192" s="1100"/>
      <c r="BF192" s="1100"/>
      <c r="BG192" s="1100"/>
      <c r="BH192" s="1100"/>
      <c r="BI192" s="1100"/>
      <c r="BJ192" s="1100"/>
      <c r="BK192" s="1100"/>
      <c r="BL192" s="1100"/>
      <c r="BM192" s="1100"/>
      <c r="BN192" s="4617"/>
      <c r="BO192" s="4617"/>
      <c r="BP192" s="4617"/>
      <c r="BQ192" s="960"/>
      <c r="BR192" s="960"/>
      <c r="BS192" s="1046" t="s">
        <v>1657</v>
      </c>
      <c r="BT192" s="1048"/>
      <c r="BU192" s="1048"/>
      <c r="BV192" s="962"/>
      <c r="BW192" s="962"/>
    </row>
    <row s="1621" customFormat="1" customHeight="1" ht="23.25">
      <c r="A193" s="960"/>
      <c r="B193" s="961"/>
      <c r="C193" s="73"/>
      <c r="D193" s="73"/>
      <c r="E193" s="600">
        <v>22.5</v>
      </c>
      <c r="F193" s="50" cm="1" t="str">
        <f t="array" ref="F193:F193">OFFSET(E193,-1,1)</f>
        <v>1</v>
      </c>
      <c r="G193" s="73"/>
      <c r="H193" s="839"/>
      <c r="I193" s="839" t="s">
        <v>1236</v>
      </c>
      <c r="J193" s="73"/>
      <c r="K193" s="345" t="s">
        <v>1236</v>
      </c>
      <c r="L193" s="963"/>
      <c r="M193" s="73"/>
      <c r="N193" s="73"/>
      <c r="O193" s="73"/>
      <c r="P193" s="73"/>
      <c r="Q193" s="73"/>
      <c r="R193" s="73"/>
      <c r="S193" s="73"/>
      <c r="T193" s="439" cm="1" t="str">
        <f t="array" ref="T193:T193">T192</f>
        <v>true</v>
      </c>
      <c r="U193" s="73"/>
      <c r="V193" s="73"/>
      <c r="W193" s="73"/>
      <c r="X193" s="1534"/>
      <c r="Y193" s="960"/>
      <c r="Z193" s="1465"/>
      <c r="AA193" s="960"/>
      <c r="AB193" s="267" t="s">
        <v>1237</v>
      </c>
      <c r="AC193" s="746" t="s">
        <v>1839</v>
      </c>
      <c r="AD193" s="267" t="s">
        <v>784</v>
      </c>
      <c r="AE193" s="4561">
        <v>0</v>
      </c>
      <c r="AF193" s="4561">
        <v>1288.951</v>
      </c>
      <c r="AG193" s="4561"/>
      <c r="AH193" s="1099">
        <f>AG193-AF193</f>
        <v>-1288.951</v>
      </c>
      <c r="AI193" s="4561"/>
      <c r="AJ193" s="4561"/>
      <c r="AK193" s="1100"/>
      <c r="AL193" s="1100"/>
      <c r="AM193" s="1100"/>
      <c r="AN193" s="1100"/>
      <c r="AO193" s="1100"/>
      <c r="AP193" s="1100"/>
      <c r="AQ193" s="1100"/>
      <c r="AR193" s="1100"/>
      <c r="AS193" s="1100"/>
      <c r="AT193" s="4561"/>
      <c r="AU193" s="1100"/>
      <c r="AV193" s="1100"/>
      <c r="AW193" s="1100"/>
      <c r="AX193" s="1100"/>
      <c r="AY193" s="1100"/>
      <c r="AZ193" s="1100"/>
      <c r="BA193" s="1100"/>
      <c r="BB193" s="1100"/>
      <c r="BC193" s="1100"/>
      <c r="BD193" s="1099">
        <f>IF(AI193=0,0,(AT193-AI193)/AI193*100)</f>
        <v>0</v>
      </c>
      <c r="BE193" s="1100"/>
      <c r="BF193" s="1100"/>
      <c r="BG193" s="1100"/>
      <c r="BH193" s="1100"/>
      <c r="BI193" s="1100"/>
      <c r="BJ193" s="1100"/>
      <c r="BK193" s="1100"/>
      <c r="BL193" s="1100"/>
      <c r="BM193" s="1100"/>
      <c r="BN193" s="4617"/>
      <c r="BO193" s="4617"/>
      <c r="BP193" s="4617"/>
      <c r="BQ193" s="960"/>
      <c r="BR193" s="960"/>
      <c r="BS193" s="1048" t="s">
        <v>1840</v>
      </c>
      <c r="BT193" s="1048"/>
      <c r="BU193" s="1048"/>
      <c r="BV193" s="962"/>
      <c r="BW193" s="962"/>
    </row>
    <row s="1621" customFormat="1" customHeight="1" ht="21.75">
      <c r="A194" s="960"/>
      <c r="B194" s="961"/>
      <c r="C194" s="73"/>
      <c r="D194" s="73"/>
      <c r="E194" s="600">
        <v>22.5</v>
      </c>
      <c r="F194" s="50" cm="1" t="str">
        <f t="array" ref="F194:F194">OFFSET(E194,-1,1)</f>
        <v>1</v>
      </c>
      <c r="G194" s="73"/>
      <c r="H194" s="839"/>
      <c r="I194" s="839" t="s">
        <v>1240</v>
      </c>
      <c r="J194" s="73"/>
      <c r="K194" s="345" t="s">
        <v>1240</v>
      </c>
      <c r="L194" s="963" t="s">
        <v>462</v>
      </c>
      <c r="M194" s="73"/>
      <c r="N194" s="73"/>
      <c r="O194" s="73"/>
      <c r="P194" s="73"/>
      <c r="Q194" s="73"/>
      <c r="R194" s="73"/>
      <c r="S194" s="73"/>
      <c r="T194" s="439" cm="1" t="str">
        <f t="array" ref="T194:T194">T193</f>
        <v>true</v>
      </c>
      <c r="U194" s="73"/>
      <c r="V194" s="73"/>
      <c r="W194" s="73"/>
      <c r="X194" s="1534"/>
      <c r="Y194" s="960"/>
      <c r="Z194" s="1465"/>
      <c r="AA194" s="960"/>
      <c r="AB194" s="267" t="s">
        <v>1241</v>
      </c>
      <c r="AC194" s="746" t="s">
        <v>1841</v>
      </c>
      <c r="AD194" s="267" t="s">
        <v>784</v>
      </c>
      <c r="AE194" s="1101">
        <f>AE195+AE196</f>
        <v>0</v>
      </c>
      <c r="AF194" s="1101">
        <f>AF195+AF196</f>
        <v>0</v>
      </c>
      <c r="AG194" s="1101">
        <f>AG195+AG196</f>
        <v>0</v>
      </c>
      <c r="AH194" s="1099">
        <f>AG194-AF194</f>
        <v>0</v>
      </c>
      <c r="AI194" s="1101">
        <f>AI195+AI196</f>
        <v>0</v>
      </c>
      <c r="AJ194" s="1101">
        <f>AJ195+AJ196</f>
        <v>0</v>
      </c>
      <c r="AK194" s="1100"/>
      <c r="AL194" s="1100"/>
      <c r="AM194" s="1100"/>
      <c r="AN194" s="1100"/>
      <c r="AO194" s="1100"/>
      <c r="AP194" s="1100"/>
      <c r="AQ194" s="1100"/>
      <c r="AR194" s="1100"/>
      <c r="AS194" s="1100"/>
      <c r="AT194" s="1101">
        <f>AT195+AT196</f>
        <v>0</v>
      </c>
      <c r="AU194" s="1100"/>
      <c r="AV194" s="1100"/>
      <c r="AW194" s="1100"/>
      <c r="AX194" s="1100"/>
      <c r="AY194" s="1100"/>
      <c r="AZ194" s="1100"/>
      <c r="BA194" s="1100"/>
      <c r="BB194" s="1100"/>
      <c r="BC194" s="1100"/>
      <c r="BD194" s="1099">
        <f>IF(AI194=0,0,(AT194-AI194)/AI194*100)</f>
        <v>0</v>
      </c>
      <c r="BE194" s="1100"/>
      <c r="BF194" s="1100"/>
      <c r="BG194" s="1100"/>
      <c r="BH194" s="1100"/>
      <c r="BI194" s="1100"/>
      <c r="BJ194" s="1100"/>
      <c r="BK194" s="1100"/>
      <c r="BL194" s="1100"/>
      <c r="BM194" s="1100"/>
      <c r="BN194" s="4617"/>
      <c r="BO194" s="4617"/>
      <c r="BP194" s="4617"/>
      <c r="BQ194" s="960"/>
      <c r="BR194" s="960"/>
      <c r="BS194" s="1046" t="s">
        <v>1659</v>
      </c>
      <c r="BT194" s="1048"/>
      <c r="BU194" s="1048"/>
      <c r="BV194" s="962"/>
      <c r="BW194" s="962"/>
    </row>
    <row s="1621" customFormat="1" customHeight="1" ht="14.25">
      <c r="A195" s="960"/>
      <c r="B195" s="961"/>
      <c r="C195" s="73"/>
      <c r="D195" s="73"/>
      <c r="E195" s="600">
        <v>15</v>
      </c>
      <c r="F195" s="50" cm="1" t="str">
        <f t="array" ref="F195:F195">OFFSET(E195,-1,1)</f>
        <v>1</v>
      </c>
      <c r="G195" s="830" t="s">
        <v>1053</v>
      </c>
      <c r="H195" s="839"/>
      <c r="I195" s="839" t="s">
        <v>1842</v>
      </c>
      <c r="J195" s="73"/>
      <c r="K195" s="345" t="s">
        <v>1842</v>
      </c>
      <c r="L195" s="963" t="s">
        <v>1660</v>
      </c>
      <c r="M195" s="73"/>
      <c r="N195" s="73"/>
      <c r="O195" s="73"/>
      <c r="P195" s="73"/>
      <c r="Q195" s="73"/>
      <c r="R195" s="73"/>
      <c r="S195" s="73"/>
      <c r="T195" s="439" cm="1" t="str">
        <f t="array" ref="T195:T195">T194</f>
        <v>true</v>
      </c>
      <c r="U195" s="73"/>
      <c r="V195" s="73"/>
      <c r="W195" s="73"/>
      <c r="X195" s="1534"/>
      <c r="Y195" s="960"/>
      <c r="Z195" s="1465"/>
      <c r="AA195" s="960"/>
      <c r="AB195" s="267" t="s">
        <v>1843</v>
      </c>
      <c r="AC195" s="749" t="s">
        <v>1661</v>
      </c>
      <c r="AD195" s="267" t="s">
        <v>784</v>
      </c>
      <c r="AE195" s="1099">
        <f>_xlfn.SUMIFS(ФОТ!AE$25:AE$102,ФОТ!$F$25:$F$102,$F195,ФОТ!$G$25:$G$102,$G195)</f>
        <v>0</v>
      </c>
      <c r="AF195" s="1099">
        <f>_xlfn.SUMIFS(ФОТ!AF$25:AF$102,ФОТ!$F$25:$F$102,$F195,ФОТ!$G$25:$G$102,$G195)</f>
        <v>0</v>
      </c>
      <c r="AG195" s="1099">
        <f>_xlfn.SUMIFS(ФОТ!AG$25:AG$102,ФОТ!$F$25:$F$102,$F195,ФОТ!$G$25:$G$102,$G195)</f>
        <v>0</v>
      </c>
      <c r="AH195" s="1099">
        <f>AG195-AF195</f>
        <v>0</v>
      </c>
      <c r="AI195" s="1099">
        <f>_xlfn.SUMIFS(ФОТ!AH$25:AH$102,ФОТ!$F$25:$F$102,$F195,ФОТ!$G$25:$G$102,$G195)</f>
        <v>0</v>
      </c>
      <c r="AJ195" s="1099">
        <f>_xlfn.SUMIFS(ФОТ!AI$25:AI$102,ФОТ!$F$25:$F$102,$F195,ФОТ!$G$25:$G$102,$G195)</f>
        <v>0</v>
      </c>
      <c r="AK195" s="1100"/>
      <c r="AL195" s="1100"/>
      <c r="AM195" s="1100"/>
      <c r="AN195" s="1100"/>
      <c r="AO195" s="1100"/>
      <c r="AP195" s="1100"/>
      <c r="AQ195" s="1100"/>
      <c r="AR195" s="1100"/>
      <c r="AS195" s="1100"/>
      <c r="AT195" s="1099">
        <f>_xlfn.SUMIFS(ФОТ!AJ$25:AJ$102,ФОТ!$F$25:$F$102,$F195,ФОТ!$G$25:$G$102,$G195)</f>
        <v>0</v>
      </c>
      <c r="AU195" s="1100"/>
      <c r="AV195" s="1100"/>
      <c r="AW195" s="1100"/>
      <c r="AX195" s="1100"/>
      <c r="AY195" s="1100"/>
      <c r="AZ195" s="1100"/>
      <c r="BA195" s="1100"/>
      <c r="BB195" s="1100"/>
      <c r="BC195" s="1100"/>
      <c r="BD195" s="1099">
        <f>IF(AI195=0,0,(AT195-AI195)/AI195*100)</f>
        <v>0</v>
      </c>
      <c r="BE195" s="1100"/>
      <c r="BF195" s="1100"/>
      <c r="BG195" s="1100"/>
      <c r="BH195" s="1100"/>
      <c r="BI195" s="1100"/>
      <c r="BJ195" s="1100"/>
      <c r="BK195" s="1100"/>
      <c r="BL195" s="1100"/>
      <c r="BM195" s="1100"/>
      <c r="BN195" s="4617"/>
      <c r="BO195" s="4619" t="str">
        <f>IF(_xlfn.IFERROR(INDEX(ФОТ!$K$26:$L$102,MATCH($F195&amp;"3komm",ФОТ!$K$26:$K$102,0),2),"")=0,"",_xlfn.IFERROR(INDEX(ФОТ!$K$26:$L$102,MATCH($F195&amp;"3komm",ФОТ!$K$26:$K$102,0),2),""))</f>
        <v/>
      </c>
      <c r="BP195" s="4617"/>
      <c r="BQ195" s="960"/>
      <c r="BR195" s="960"/>
      <c r="BS195" s="1046" t="s">
        <v>1662</v>
      </c>
      <c r="BT195" s="1048"/>
      <c r="BU195" s="1048"/>
      <c r="BV195" s="962"/>
      <c r="BW195" s="962"/>
    </row>
    <row s="1621" customFormat="1" customHeight="1" ht="21.75">
      <c r="A196" s="960"/>
      <c r="B196" s="961"/>
      <c r="C196" s="73"/>
      <c r="D196" s="73"/>
      <c r="E196" s="600">
        <v>22.5</v>
      </c>
      <c r="F196" s="50" cm="1" t="str">
        <f t="array" ref="F196:F196">OFFSET(E196,-1,1)</f>
        <v>1</v>
      </c>
      <c r="G196" s="830" t="s">
        <v>1058</v>
      </c>
      <c r="H196" s="839"/>
      <c r="I196" s="839" t="s">
        <v>1844</v>
      </c>
      <c r="J196" s="73"/>
      <c r="K196" s="345" t="s">
        <v>1844</v>
      </c>
      <c r="L196" s="963" t="s">
        <v>1663</v>
      </c>
      <c r="M196" s="73"/>
      <c r="N196" s="73"/>
      <c r="O196" s="73"/>
      <c r="P196" s="73"/>
      <c r="Q196" s="73"/>
      <c r="R196" s="73"/>
      <c r="S196" s="73"/>
      <c r="T196" s="439" cm="1" t="str">
        <f t="array" ref="T196:T196">T195</f>
        <v>true</v>
      </c>
      <c r="U196" s="73"/>
      <c r="V196" s="73"/>
      <c r="W196" s="73"/>
      <c r="X196" s="1534"/>
      <c r="Y196" s="960"/>
      <c r="Z196" s="1465"/>
      <c r="AA196" s="960"/>
      <c r="AB196" s="267" t="s">
        <v>1845</v>
      </c>
      <c r="AC196" s="749" t="s">
        <v>1846</v>
      </c>
      <c r="AD196" s="267" t="s">
        <v>784</v>
      </c>
      <c r="AE196" s="1099">
        <f>_xlfn.SUMIFS(ФОТ!AE$25:AE$102,ФОТ!$F$25:$F$102,$F196,ФОТ!$G$25:$G$102,$G196)</f>
        <v>0</v>
      </c>
      <c r="AF196" s="1099">
        <f>_xlfn.SUMIFS(ФОТ!AF$25:AF$102,ФОТ!$F$25:$F$102,$F196,ФОТ!$G$25:$G$102,$G196)</f>
        <v>0</v>
      </c>
      <c r="AG196" s="1099">
        <f>_xlfn.SUMIFS(ФОТ!AG$25:AG$102,ФОТ!$F$25:$F$102,$F196,ФОТ!$G$25:$G$102,$G196)</f>
        <v>0</v>
      </c>
      <c r="AH196" s="1099">
        <f>AG196-AF196</f>
        <v>0</v>
      </c>
      <c r="AI196" s="1099">
        <f>_xlfn.SUMIFS(ФОТ!AH$25:AH$102,ФОТ!$F$25:$F$102,$F196,ФОТ!$G$25:$G$102,$G196)</f>
        <v>0</v>
      </c>
      <c r="AJ196" s="1099">
        <f>_xlfn.SUMIFS(ФОТ!AI$25:AI$102,ФОТ!$F$25:$F$102,$F196,ФОТ!$G$25:$G$102,$G196)</f>
        <v>0</v>
      </c>
      <c r="AK196" s="1100"/>
      <c r="AL196" s="1100"/>
      <c r="AM196" s="1100"/>
      <c r="AN196" s="1100"/>
      <c r="AO196" s="1100"/>
      <c r="AP196" s="1100"/>
      <c r="AQ196" s="1100"/>
      <c r="AR196" s="1100"/>
      <c r="AS196" s="1100"/>
      <c r="AT196" s="1099">
        <f>_xlfn.SUMIFS(ФОТ!AJ$25:AJ$102,ФОТ!$F$25:$F$102,$F196,ФОТ!$G$25:$G$102,$G196)</f>
        <v>0</v>
      </c>
      <c r="AU196" s="1100"/>
      <c r="AV196" s="1100"/>
      <c r="AW196" s="1100"/>
      <c r="AX196" s="1100"/>
      <c r="AY196" s="1100"/>
      <c r="AZ196" s="1100"/>
      <c r="BA196" s="1100"/>
      <c r="BB196" s="1100"/>
      <c r="BC196" s="1100"/>
      <c r="BD196" s="1099">
        <f>IF(AI196=0,0,(AT196-AI196)/AI196*100)</f>
        <v>0</v>
      </c>
      <c r="BE196" s="1100"/>
      <c r="BF196" s="1100"/>
      <c r="BG196" s="1100"/>
      <c r="BH196" s="1100"/>
      <c r="BI196" s="1100"/>
      <c r="BJ196" s="1100"/>
      <c r="BK196" s="1100"/>
      <c r="BL196" s="1100"/>
      <c r="BM196" s="1100"/>
      <c r="BN196" s="4617"/>
      <c r="BO196" s="4619" t="str">
        <f>IF(_xlfn.IFERROR(INDEX(ФОТ!$K$26:$L$102,MATCH($F196&amp;"4komm",ФОТ!$K$26:$K$102,0),2),"")=0,"",_xlfn.IFERROR(INDEX(ФОТ!$K$26:$L$102,MATCH($F196&amp;"4komm",ФОТ!$K$26:$K$102,0),2),""))</f>
        <v/>
      </c>
      <c r="BP196" s="4617"/>
      <c r="BQ196" s="960"/>
      <c r="BR196" s="960"/>
      <c r="BS196" s="1046" t="s">
        <v>1665</v>
      </c>
      <c r="BT196" s="1048"/>
      <c r="BU196" s="1048"/>
      <c r="BV196" s="962"/>
      <c r="BW196" s="962"/>
    </row>
    <row s="4621" customFormat="1" customHeight="1" ht="20.25">
      <c r="A197" s="680"/>
      <c r="B197" s="408"/>
      <c r="C197" s="75"/>
      <c r="D197" s="75"/>
      <c r="E197" s="807">
        <v>21</v>
      </c>
      <c r="F197" s="50" cm="1" t="str">
        <f t="array" ref="F197:F197">OFFSET(E197,-1,1)</f>
        <v>1</v>
      </c>
      <c r="G197" s="75"/>
      <c r="H197" s="839"/>
      <c r="I197" s="839" t="s">
        <v>452</v>
      </c>
      <c r="J197" s="75"/>
      <c r="K197" s="345" t="s">
        <v>452</v>
      </c>
      <c r="L197" s="968" t="s">
        <v>327</v>
      </c>
      <c r="M197" s="75"/>
      <c r="N197" s="75"/>
      <c r="O197" s="75"/>
      <c r="P197" s="75"/>
      <c r="Q197" s="75"/>
      <c r="R197" s="75"/>
      <c r="S197" s="75"/>
      <c r="T197" s="439" cm="1" t="str">
        <f t="array" ref="T197:T197">T196</f>
        <v>true</v>
      </c>
      <c r="U197" s="75"/>
      <c r="V197" s="75"/>
      <c r="W197" s="75"/>
      <c r="X197" s="1534"/>
      <c r="Y197" s="680"/>
      <c r="Z197" s="1465"/>
      <c r="AA197" s="680"/>
      <c r="AB197" s="178" t="s">
        <v>854</v>
      </c>
      <c r="AC197" s="328" t="s">
        <v>1847</v>
      </c>
      <c r="AD197" s="178" t="s">
        <v>784</v>
      </c>
      <c r="AE197" s="180">
        <f>AE198+AE206+AE209+AE210+AE211+AE212+AE213</f>
        <v>0</v>
      </c>
      <c r="AF197" s="180">
        <f>AF198+AF206+AF209+AF210+AF211+AF212+AF213</f>
        <v>0</v>
      </c>
      <c r="AG197" s="180">
        <f>AG198+AG206+AG209+AG210+AG211+AG212+AG213</f>
        <v>0</v>
      </c>
      <c r="AH197" s="759">
        <f>AG197-AF197</f>
        <v>0</v>
      </c>
      <c r="AI197" s="180">
        <f>AI198+AI206+AI209+AI210+AI211+AI212+AI213</f>
        <v>0</v>
      </c>
      <c r="AJ197" s="180">
        <f>AJ198+AJ206+AJ209+AJ210+AJ211+AJ212+AJ213</f>
        <v>0</v>
      </c>
      <c r="AK197" s="183"/>
      <c r="AL197" s="183"/>
      <c r="AM197" s="183"/>
      <c r="AN197" s="183"/>
      <c r="AO197" s="183"/>
      <c r="AP197" s="183"/>
      <c r="AQ197" s="183"/>
      <c r="AR197" s="183"/>
      <c r="AS197" s="183"/>
      <c r="AT197" s="180">
        <f>AT198+AT206+AT209+AT210+AT211+AT212+AT213</f>
        <v>0</v>
      </c>
      <c r="AU197" s="183"/>
      <c r="AV197" s="183"/>
      <c r="AW197" s="183"/>
      <c r="AX197" s="183"/>
      <c r="AY197" s="183"/>
      <c r="AZ197" s="183"/>
      <c r="BA197" s="183"/>
      <c r="BB197" s="183"/>
      <c r="BC197" s="183"/>
      <c r="BD197" s="759">
        <f>IF(AI197=0,0,(AT197-AI197)/AI197*100)</f>
        <v>0</v>
      </c>
      <c r="BE197" s="183"/>
      <c r="BF197" s="183"/>
      <c r="BG197" s="183"/>
      <c r="BH197" s="183"/>
      <c r="BI197" s="183"/>
      <c r="BJ197" s="183"/>
      <c r="BK197" s="183"/>
      <c r="BL197" s="183"/>
      <c r="BM197" s="183"/>
      <c r="BN197" s="4618"/>
      <c r="BO197" s="4618"/>
      <c r="BP197" s="4618"/>
      <c r="BQ197" s="680"/>
      <c r="BR197" s="680"/>
      <c r="BS197" s="1047" t="s">
        <v>1667</v>
      </c>
      <c r="BT197" s="1054"/>
      <c r="BU197" s="1054"/>
      <c r="BV197" s="687"/>
      <c r="BW197" s="687"/>
    </row>
    <row s="1621" customFormat="1" customHeight="1" ht="21.75">
      <c r="A198" s="960"/>
      <c r="B198" s="961"/>
      <c r="C198" s="73"/>
      <c r="D198" s="73"/>
      <c r="E198" s="600">
        <v>22.5</v>
      </c>
      <c r="F198" s="50" cm="1" t="str">
        <f t="array" ref="F198:F198">OFFSET(E198,-1,1)</f>
        <v>1</v>
      </c>
      <c r="G198" s="73" t="s">
        <v>1079</v>
      </c>
      <c r="H198" s="839"/>
      <c r="I198" s="839" t="s">
        <v>1246</v>
      </c>
      <c r="J198" s="73"/>
      <c r="K198" s="345" t="s">
        <v>1246</v>
      </c>
      <c r="L198" s="963" t="s">
        <v>875</v>
      </c>
      <c r="M198" s="73"/>
      <c r="N198" s="73"/>
      <c r="O198" s="73"/>
      <c r="P198" s="73"/>
      <c r="Q198" s="73"/>
      <c r="R198" s="73"/>
      <c r="S198" s="73"/>
      <c r="T198" s="439" cm="1" t="str">
        <f t="array" ref="T198:T198">T197</f>
        <v>true</v>
      </c>
      <c r="U198" s="73"/>
      <c r="V198" s="73"/>
      <c r="W198" s="73"/>
      <c r="X198" s="1534"/>
      <c r="Y198" s="960"/>
      <c r="Z198" s="1465"/>
      <c r="AA198" s="960"/>
      <c r="AB198" s="267" t="s">
        <v>971</v>
      </c>
      <c r="AC198" s="746" t="s">
        <v>1848</v>
      </c>
      <c r="AD198" s="267" t="s">
        <v>784</v>
      </c>
      <c r="AE198" s="1099">
        <f>_xlfn.SUMIFS(Административные!AE$25:AE$84,Административные!$F$25:$F$84,$F198,Административные!$G$25:$G$84,$G198)</f>
        <v>0</v>
      </c>
      <c r="AF198" s="1099">
        <f>_xlfn.SUMIFS(Административные!AF$25:AF$84,Административные!$F$25:$F$84,$F198,Административные!$G$25:$G$84,$G198)</f>
        <v>0</v>
      </c>
      <c r="AG198" s="1099">
        <f>_xlfn.SUMIFS(Административные!AG$25:AG$84,Административные!$F$25:$F$84,$F198,Административные!$G$25:$G$84,$G198)</f>
        <v>0</v>
      </c>
      <c r="AH198" s="1099">
        <f>AG198-AF198</f>
        <v>0</v>
      </c>
      <c r="AI198" s="1099">
        <f>_xlfn.SUMIFS(Административные!AH$25:AH$84,Административные!$F$25:$F$84,$F198,Административные!$G$25:$G$84,$G198)</f>
        <v>0</v>
      </c>
      <c r="AJ198" s="1099">
        <f>_xlfn.SUMIFS(Административные!AI$25:AI$84,Административные!$F$25:$F$84,$F198,Административные!$G$25:$G$84,$G198)</f>
        <v>0</v>
      </c>
      <c r="AK198" s="1100"/>
      <c r="AL198" s="1100"/>
      <c r="AM198" s="1100"/>
      <c r="AN198" s="1100"/>
      <c r="AO198" s="1100"/>
      <c r="AP198" s="1100"/>
      <c r="AQ198" s="1100"/>
      <c r="AR198" s="1100"/>
      <c r="AS198" s="1100"/>
      <c r="AT198" s="1099">
        <f>_xlfn.SUMIFS(Административные!AJ$25:AJ$84,Административные!$F$25:$F$84,$F198,Административные!$G$25:$G$84,$G198)</f>
        <v>0</v>
      </c>
      <c r="AU198" s="1100"/>
      <c r="AV198" s="1100"/>
      <c r="AW198" s="1100"/>
      <c r="AX198" s="1100"/>
      <c r="AY198" s="1100"/>
      <c r="AZ198" s="1100"/>
      <c r="BA198" s="1100"/>
      <c r="BB198" s="1100"/>
      <c r="BC198" s="1100"/>
      <c r="BD198" s="1099">
        <f>IF(AI198=0,0,(AT198-AI198)/AI198*100)</f>
        <v>0</v>
      </c>
      <c r="BE198" s="1100"/>
      <c r="BF198" s="1100"/>
      <c r="BG198" s="1100"/>
      <c r="BH198" s="1100"/>
      <c r="BI198" s="1100"/>
      <c r="BJ198" s="1100"/>
      <c r="BK198" s="1100"/>
      <c r="BL198" s="1100"/>
      <c r="BM198" s="1100"/>
      <c r="BN198" s="4617"/>
      <c r="BO198" s="4619" t="str">
        <f>IF(_xlfn.IFERROR(INDEX(Административные!$K$26:$L$84,MATCH($F198&amp;"17komm",Административные!$K$26:$K$84,0),2),"")=0,"",_xlfn.IFERROR(INDEX(Административные!$K$26:$L$84,MATCH($F198&amp;"17komm",Административные!$K$26:$K$84,0),2),""))</f>
        <v/>
      </c>
      <c r="BP198" s="4617"/>
      <c r="BQ198" s="960"/>
      <c r="BR198" s="960"/>
      <c r="BS198" s="1046" t="s">
        <v>1081</v>
      </c>
      <c r="BT198" s="1048"/>
      <c r="BU198" s="1048"/>
      <c r="BV198" s="962"/>
      <c r="BW198" s="962"/>
    </row>
    <row s="1621" customFormat="1" customHeight="1" ht="14.25">
      <c r="A199" s="960"/>
      <c r="B199" s="961"/>
      <c r="C199" s="73"/>
      <c r="D199" s="73"/>
      <c r="E199" s="600">
        <v>15</v>
      </c>
      <c r="F199" s="50" cm="1" t="str">
        <f t="array" ref="F199:F199">OFFSET(E199,-1,1)</f>
        <v>1</v>
      </c>
      <c r="G199" s="73" t="s">
        <v>1082</v>
      </c>
      <c r="H199" s="839"/>
      <c r="I199" s="839" t="s">
        <v>1849</v>
      </c>
      <c r="J199" s="73"/>
      <c r="K199" s="345" t="s">
        <v>1849</v>
      </c>
      <c r="L199" s="963"/>
      <c r="M199" s="73"/>
      <c r="N199" s="73"/>
      <c r="O199" s="73"/>
      <c r="P199" s="73"/>
      <c r="Q199" s="73"/>
      <c r="R199" s="73"/>
      <c r="S199" s="73"/>
      <c r="T199" s="439" cm="1" t="str">
        <f t="array" ref="T199:T199">T198</f>
        <v>true</v>
      </c>
      <c r="U199" s="73"/>
      <c r="V199" s="73"/>
      <c r="W199" s="73"/>
      <c r="X199" s="1534"/>
      <c r="Y199" s="960"/>
      <c r="Z199" s="1465"/>
      <c r="AA199" s="960"/>
      <c r="AB199" s="267" t="s">
        <v>1850</v>
      </c>
      <c r="AC199" s="749" t="s">
        <v>1083</v>
      </c>
      <c r="AD199" s="267" t="s">
        <v>784</v>
      </c>
      <c r="AE199" s="1099">
        <f>_xlfn.SUMIFS(Административные!AE$25:AE$84,Административные!$F$25:$F$84,$F199,Административные!$G$25:$G$84,$G199)</f>
        <v>0</v>
      </c>
      <c r="AF199" s="1099">
        <f>_xlfn.SUMIFS(Административные!AF$25:AF$84,Административные!$F$25:$F$84,$F199,Административные!$G$25:$G$84,$G199)</f>
        <v>0</v>
      </c>
      <c r="AG199" s="1099">
        <f>_xlfn.SUMIFS(Административные!AG$25:AG$84,Административные!$F$25:$F$84,$F199,Административные!$G$25:$G$84,$G199)</f>
        <v>0</v>
      </c>
      <c r="AH199" s="1099">
        <f>AG199-AF199</f>
        <v>0</v>
      </c>
      <c r="AI199" s="1099">
        <f>_xlfn.SUMIFS(Административные!AH$25:AH$84,Административные!$F$25:$F$84,$F199,Административные!$G$25:$G$84,$G199)</f>
        <v>0</v>
      </c>
      <c r="AJ199" s="1099">
        <f>_xlfn.SUMIFS(Административные!AI$25:AI$84,Административные!$F$25:$F$84,$F199,Административные!$G$25:$G$84,$G199)</f>
        <v>0</v>
      </c>
      <c r="AK199" s="1100"/>
      <c r="AL199" s="1100"/>
      <c r="AM199" s="1100"/>
      <c r="AN199" s="1100"/>
      <c r="AO199" s="1100"/>
      <c r="AP199" s="1100"/>
      <c r="AQ199" s="1100"/>
      <c r="AR199" s="1100"/>
      <c r="AS199" s="1100"/>
      <c r="AT199" s="1099">
        <f>_xlfn.SUMIFS(Административные!AJ$25:AJ$84,Административные!$F$25:$F$84,$F199,Административные!$G$25:$G$84,$G199)</f>
        <v>0</v>
      </c>
      <c r="AU199" s="1100"/>
      <c r="AV199" s="1100"/>
      <c r="AW199" s="1100"/>
      <c r="AX199" s="1100"/>
      <c r="AY199" s="1100"/>
      <c r="AZ199" s="1100"/>
      <c r="BA199" s="1100"/>
      <c r="BB199" s="1100"/>
      <c r="BC199" s="1100"/>
      <c r="BD199" s="1099">
        <f>IF(AI199=0,0,(AT199-AI199)/AI199*100)</f>
        <v>0</v>
      </c>
      <c r="BE199" s="1100"/>
      <c r="BF199" s="1100"/>
      <c r="BG199" s="1100"/>
      <c r="BH199" s="1100"/>
      <c r="BI199" s="1100"/>
      <c r="BJ199" s="1100"/>
      <c r="BK199" s="1100"/>
      <c r="BL199" s="1100"/>
      <c r="BM199" s="1100"/>
      <c r="BN199" s="4617"/>
      <c r="BO199" s="4619" t="str">
        <f>IF(_xlfn.IFERROR(INDEX(Административные!$K$26:$L$84,MATCH($F199&amp;"18komm",Административные!$K$26:$K$84,0),2),"")=0,"",_xlfn.IFERROR(INDEX(Административные!$K$26:$L$84,MATCH($F199&amp;"18komm",Административные!$K$26:$K$84,0),2),""))</f>
        <v/>
      </c>
      <c r="BP199" s="4617"/>
      <c r="BQ199" s="960"/>
      <c r="BR199" s="960"/>
      <c r="BS199" s="1048" t="s">
        <v>1084</v>
      </c>
      <c r="BT199" s="1048"/>
      <c r="BU199" s="1048"/>
      <c r="BV199" s="962"/>
      <c r="BW199" s="962"/>
    </row>
    <row s="1621" customFormat="1" customHeight="1" ht="14.25">
      <c r="A200" s="960"/>
      <c r="B200" s="961"/>
      <c r="C200" s="73"/>
      <c r="D200" s="73"/>
      <c r="E200" s="600">
        <v>15</v>
      </c>
      <c r="F200" s="50" cm="1" t="str">
        <f t="array" ref="F200:F200">OFFSET(E200,-1,1)</f>
        <v>1</v>
      </c>
      <c r="G200" s="73" t="s">
        <v>1085</v>
      </c>
      <c r="H200" s="839"/>
      <c r="I200" s="839" t="s">
        <v>1851</v>
      </c>
      <c r="J200" s="73"/>
      <c r="K200" s="345" t="s">
        <v>1851</v>
      </c>
      <c r="L200" s="963"/>
      <c r="M200" s="73"/>
      <c r="N200" s="73"/>
      <c r="O200" s="73"/>
      <c r="P200" s="73"/>
      <c r="Q200" s="73"/>
      <c r="R200" s="73"/>
      <c r="S200" s="73"/>
      <c r="T200" s="439" cm="1" t="str">
        <f t="array" ref="T200:T200">T199</f>
        <v>true</v>
      </c>
      <c r="U200" s="73"/>
      <c r="V200" s="73"/>
      <c r="W200" s="73"/>
      <c r="X200" s="1534"/>
      <c r="Y200" s="960"/>
      <c r="Z200" s="1465"/>
      <c r="AA200" s="960"/>
      <c r="AB200" s="267" t="s">
        <v>1852</v>
      </c>
      <c r="AC200" s="749" t="s">
        <v>1086</v>
      </c>
      <c r="AD200" s="267" t="s">
        <v>784</v>
      </c>
      <c r="AE200" s="1099">
        <f>_xlfn.SUMIFS(Административные!AE$25:AE$84,Административные!$F$25:$F$84,$F200,Административные!$G$25:$G$84,$G200)</f>
        <v>0</v>
      </c>
      <c r="AF200" s="1099">
        <f>_xlfn.SUMIFS(Административные!AF$25:AF$84,Административные!$F$25:$F$84,$F200,Административные!$G$25:$G$84,$G200)</f>
        <v>0</v>
      </c>
      <c r="AG200" s="1099">
        <f>_xlfn.SUMIFS(Административные!AG$25:AG$84,Административные!$F$25:$F$84,$F200,Административные!$G$25:$G$84,$G200)</f>
        <v>0</v>
      </c>
      <c r="AH200" s="1099">
        <f>AG200-AF200</f>
        <v>0</v>
      </c>
      <c r="AI200" s="1099">
        <f>_xlfn.SUMIFS(Административные!AH$25:AH$84,Административные!$F$25:$F$84,$F200,Административные!$G$25:$G$84,$G200)</f>
        <v>0</v>
      </c>
      <c r="AJ200" s="1099">
        <f>_xlfn.SUMIFS(Административные!AI$25:AI$84,Административные!$F$25:$F$84,$F200,Административные!$G$25:$G$84,$G200)</f>
        <v>0</v>
      </c>
      <c r="AK200" s="1100"/>
      <c r="AL200" s="1100"/>
      <c r="AM200" s="1100"/>
      <c r="AN200" s="1100"/>
      <c r="AO200" s="1100"/>
      <c r="AP200" s="1100"/>
      <c r="AQ200" s="1100"/>
      <c r="AR200" s="1100"/>
      <c r="AS200" s="1100"/>
      <c r="AT200" s="1099">
        <f>_xlfn.SUMIFS(Административные!AJ$25:AJ$84,Административные!$F$25:$F$84,$F200,Административные!$G$25:$G$84,$G200)</f>
        <v>0</v>
      </c>
      <c r="AU200" s="1100"/>
      <c r="AV200" s="1100"/>
      <c r="AW200" s="1100"/>
      <c r="AX200" s="1100"/>
      <c r="AY200" s="1100"/>
      <c r="AZ200" s="1100"/>
      <c r="BA200" s="1100"/>
      <c r="BB200" s="1100"/>
      <c r="BC200" s="1100"/>
      <c r="BD200" s="1099">
        <f>IF(AI200=0,0,(AT200-AI200)/AI200*100)</f>
        <v>0</v>
      </c>
      <c r="BE200" s="1100"/>
      <c r="BF200" s="1100"/>
      <c r="BG200" s="1100"/>
      <c r="BH200" s="1100"/>
      <c r="BI200" s="1100"/>
      <c r="BJ200" s="1100"/>
      <c r="BK200" s="1100"/>
      <c r="BL200" s="1100"/>
      <c r="BM200" s="1100"/>
      <c r="BN200" s="4617"/>
      <c r="BO200" s="4619" t="str">
        <f>IF(_xlfn.IFERROR(INDEX(Административные!$K$26:$L$84,MATCH($F200&amp;"11komm",Административные!$K$26:$K$84,0),2),"")=0,"",_xlfn.IFERROR(INDEX(Административные!$K$26:$L$84,MATCH($F200&amp;"11komm",Административные!$K$26:$K$84,0),2),""))</f>
        <v/>
      </c>
      <c r="BP200" s="4617"/>
      <c r="BQ200" s="960"/>
      <c r="BR200" s="960"/>
      <c r="BS200" s="1048" t="s">
        <v>1087</v>
      </c>
      <c r="BT200" s="1048"/>
      <c r="BU200" s="1048"/>
      <c r="BV200" s="962"/>
      <c r="BW200" s="962"/>
    </row>
    <row s="1621" customFormat="1" customHeight="1" ht="14.25">
      <c r="A201" s="960"/>
      <c r="B201" s="961"/>
      <c r="C201" s="73"/>
      <c r="D201" s="73"/>
      <c r="E201" s="600">
        <v>15</v>
      </c>
      <c r="F201" s="50" cm="1" t="str">
        <f t="array" ref="F201:F201">OFFSET(E201,-1,1)</f>
        <v>1</v>
      </c>
      <c r="G201" s="73" t="s">
        <v>1088</v>
      </c>
      <c r="H201" s="839"/>
      <c r="I201" s="839" t="s">
        <v>1853</v>
      </c>
      <c r="J201" s="73"/>
      <c r="K201" s="345" t="s">
        <v>1853</v>
      </c>
      <c r="L201" s="963"/>
      <c r="M201" s="73"/>
      <c r="N201" s="73"/>
      <c r="O201" s="73"/>
      <c r="P201" s="73"/>
      <c r="Q201" s="73"/>
      <c r="R201" s="73"/>
      <c r="S201" s="73"/>
      <c r="T201" s="439" cm="1" t="str">
        <f t="array" ref="T201:T201">T200</f>
        <v>true</v>
      </c>
      <c r="U201" s="73"/>
      <c r="V201" s="73"/>
      <c r="W201" s="73"/>
      <c r="X201" s="1534"/>
      <c r="Y201" s="960"/>
      <c r="Z201" s="1465"/>
      <c r="AA201" s="960"/>
      <c r="AB201" s="267" t="s">
        <v>1854</v>
      </c>
      <c r="AC201" s="749" t="s">
        <v>1089</v>
      </c>
      <c r="AD201" s="267" t="s">
        <v>784</v>
      </c>
      <c r="AE201" s="1099">
        <f>_xlfn.SUMIFS(Административные!AE$25:AE$84,Административные!$F$25:$F$84,$F201,Административные!$G$25:$G$84,$G201)</f>
        <v>0</v>
      </c>
      <c r="AF201" s="1099">
        <f>_xlfn.SUMIFS(Административные!AF$25:AF$84,Административные!$F$25:$F$84,$F201,Административные!$G$25:$G$84,$G201)</f>
        <v>0</v>
      </c>
      <c r="AG201" s="1099">
        <f>_xlfn.SUMIFS(Административные!AG$25:AG$84,Административные!$F$25:$F$84,$F201,Административные!$G$25:$G$84,$G201)</f>
        <v>0</v>
      </c>
      <c r="AH201" s="1099">
        <f>AG201-AF201</f>
        <v>0</v>
      </c>
      <c r="AI201" s="1099">
        <f>_xlfn.SUMIFS(Административные!AH$25:AH$84,Административные!$F$25:$F$84,$F201,Административные!$G$25:$G$84,$G201)</f>
        <v>0</v>
      </c>
      <c r="AJ201" s="1099">
        <f>_xlfn.SUMIFS(Административные!AI$25:AI$84,Административные!$F$25:$F$84,$F201,Административные!$G$25:$G$84,$G201)</f>
        <v>0</v>
      </c>
      <c r="AK201" s="1100"/>
      <c r="AL201" s="1100"/>
      <c r="AM201" s="1100"/>
      <c r="AN201" s="1100"/>
      <c r="AO201" s="1100"/>
      <c r="AP201" s="1100"/>
      <c r="AQ201" s="1100"/>
      <c r="AR201" s="1100"/>
      <c r="AS201" s="1100"/>
      <c r="AT201" s="1099">
        <f>_xlfn.SUMIFS(Административные!AJ$25:AJ$84,Административные!$F$25:$F$84,$F201,Административные!$G$25:$G$84,$G201)</f>
        <v>0</v>
      </c>
      <c r="AU201" s="1100"/>
      <c r="AV201" s="1100"/>
      <c r="AW201" s="1100"/>
      <c r="AX201" s="1100"/>
      <c r="AY201" s="1100"/>
      <c r="AZ201" s="1100"/>
      <c r="BA201" s="1100"/>
      <c r="BB201" s="1100"/>
      <c r="BC201" s="1100"/>
      <c r="BD201" s="1099">
        <f>IF(AI201=0,0,(AT201-AI201)/AI201*100)</f>
        <v>0</v>
      </c>
      <c r="BE201" s="1100"/>
      <c r="BF201" s="1100"/>
      <c r="BG201" s="1100"/>
      <c r="BH201" s="1100"/>
      <c r="BI201" s="1100"/>
      <c r="BJ201" s="1100"/>
      <c r="BK201" s="1100"/>
      <c r="BL201" s="1100"/>
      <c r="BM201" s="1100"/>
      <c r="BN201" s="4617"/>
      <c r="BO201" s="4619" t="str">
        <f>IF(_xlfn.IFERROR(INDEX(Административные!$K$26:$L$84,MATCH($F201&amp;"12komm",Административные!$K$26:$K$84,0),2),"")=0,"",_xlfn.IFERROR(INDEX(Административные!$K$26:$L$84,MATCH($F201&amp;"12komm",Административные!$K$26:$K$84,0),2),""))</f>
        <v/>
      </c>
      <c r="BP201" s="4617"/>
      <c r="BQ201" s="960"/>
      <c r="BR201" s="960"/>
      <c r="BS201" s="1048" t="s">
        <v>1090</v>
      </c>
      <c r="BT201" s="1048"/>
      <c r="BU201" s="1048"/>
      <c r="BV201" s="962"/>
      <c r="BW201" s="962"/>
    </row>
    <row s="1621" customFormat="1" customHeight="1" ht="14.25">
      <c r="A202" s="960"/>
      <c r="B202" s="961"/>
      <c r="C202" s="73"/>
      <c r="D202" s="73"/>
      <c r="E202" s="600">
        <v>15</v>
      </c>
      <c r="F202" s="50" cm="1" t="str">
        <f t="array" ref="F202:F202">OFFSET(E202,-1,1)</f>
        <v>1</v>
      </c>
      <c r="G202" s="73" t="s">
        <v>1091</v>
      </c>
      <c r="H202" s="839"/>
      <c r="I202" s="839" t="s">
        <v>1855</v>
      </c>
      <c r="J202" s="73"/>
      <c r="K202" s="345" t="s">
        <v>1855</v>
      </c>
      <c r="L202" s="963"/>
      <c r="M202" s="73"/>
      <c r="N202" s="73"/>
      <c r="O202" s="73"/>
      <c r="P202" s="73"/>
      <c r="Q202" s="73"/>
      <c r="R202" s="73"/>
      <c r="S202" s="73"/>
      <c r="T202" s="439" cm="1" t="str">
        <f t="array" ref="T202:T202">T201</f>
        <v>true</v>
      </c>
      <c r="U202" s="73"/>
      <c r="V202" s="73"/>
      <c r="W202" s="73"/>
      <c r="X202" s="1534"/>
      <c r="Y202" s="960"/>
      <c r="Z202" s="1465"/>
      <c r="AA202" s="960"/>
      <c r="AB202" s="267" t="s">
        <v>1856</v>
      </c>
      <c r="AC202" s="749" t="s">
        <v>1092</v>
      </c>
      <c r="AD202" s="267" t="s">
        <v>784</v>
      </c>
      <c r="AE202" s="1099">
        <f>_xlfn.SUMIFS(Административные!AE$25:AE$84,Административные!$F$25:$F$84,$F202,Административные!$G$25:$G$84,$G202)</f>
        <v>0</v>
      </c>
      <c r="AF202" s="1099">
        <f>_xlfn.SUMIFS(Административные!AF$25:AF$84,Административные!$F$25:$F$84,$F202,Административные!$G$25:$G$84,$G202)</f>
        <v>0</v>
      </c>
      <c r="AG202" s="1099">
        <f>_xlfn.SUMIFS(Административные!AG$25:AG$84,Административные!$F$25:$F$84,$F202,Административные!$G$25:$G$84,$G202)</f>
        <v>0</v>
      </c>
      <c r="AH202" s="1099">
        <f>AG202-AF202</f>
        <v>0</v>
      </c>
      <c r="AI202" s="1099">
        <f>_xlfn.SUMIFS(Административные!AH$25:AH$84,Административные!$F$25:$F$84,$F202,Административные!$G$25:$G$84,$G202)</f>
        <v>0</v>
      </c>
      <c r="AJ202" s="1099">
        <f>_xlfn.SUMIFS(Административные!AI$25:AI$84,Административные!$F$25:$F$84,$F202,Административные!$G$25:$G$84,$G202)</f>
        <v>0</v>
      </c>
      <c r="AK202" s="1100"/>
      <c r="AL202" s="1100"/>
      <c r="AM202" s="1100"/>
      <c r="AN202" s="1100"/>
      <c r="AO202" s="1100"/>
      <c r="AP202" s="1100"/>
      <c r="AQ202" s="1100"/>
      <c r="AR202" s="1100"/>
      <c r="AS202" s="1100"/>
      <c r="AT202" s="1099">
        <f>_xlfn.SUMIFS(Административные!AJ$25:AJ$84,Административные!$F$25:$F$84,$F202,Административные!$G$25:$G$84,$G202)</f>
        <v>0</v>
      </c>
      <c r="AU202" s="1100"/>
      <c r="AV202" s="1100"/>
      <c r="AW202" s="1100"/>
      <c r="AX202" s="1100"/>
      <c r="AY202" s="1100"/>
      <c r="AZ202" s="1100"/>
      <c r="BA202" s="1100"/>
      <c r="BB202" s="1100"/>
      <c r="BC202" s="1100"/>
      <c r="BD202" s="1099">
        <f>IF(AI202=0,0,(AT202-AI202)/AI202*100)</f>
        <v>0</v>
      </c>
      <c r="BE202" s="1100"/>
      <c r="BF202" s="1100"/>
      <c r="BG202" s="1100"/>
      <c r="BH202" s="1100"/>
      <c r="BI202" s="1100"/>
      <c r="BJ202" s="1100"/>
      <c r="BK202" s="1100"/>
      <c r="BL202" s="1100"/>
      <c r="BM202" s="1100"/>
      <c r="BN202" s="4617"/>
      <c r="BO202" s="4619" t="str">
        <f>IF(_xlfn.IFERROR(INDEX(Административные!$K$26:$L$84,MATCH($F202&amp;"13komm",Административные!$K$26:$K$84,0),2),"")=0,"",_xlfn.IFERROR(INDEX(Административные!$K$26:$L$84,MATCH($F202&amp;"13komm",Административные!$K$26:$K$84,0),2),""))</f>
        <v/>
      </c>
      <c r="BP202" s="4617"/>
      <c r="BQ202" s="960"/>
      <c r="BR202" s="960"/>
      <c r="BS202" s="1048" t="s">
        <v>1093</v>
      </c>
      <c r="BT202" s="1048"/>
      <c r="BU202" s="1048"/>
      <c r="BV202" s="962"/>
      <c r="BW202" s="962"/>
    </row>
    <row s="1621" customFormat="1" customHeight="1" ht="14.25">
      <c r="A203" s="960"/>
      <c r="B203" s="961"/>
      <c r="C203" s="73"/>
      <c r="D203" s="73"/>
      <c r="E203" s="600">
        <v>15</v>
      </c>
      <c r="F203" s="50" cm="1" t="str">
        <f t="array" ref="F203:F203">OFFSET(E203,-1,1)</f>
        <v>1</v>
      </c>
      <c r="G203" s="73" t="s">
        <v>1094</v>
      </c>
      <c r="H203" s="839"/>
      <c r="I203" s="839" t="s">
        <v>1857</v>
      </c>
      <c r="J203" s="73"/>
      <c r="K203" s="345" t="s">
        <v>1857</v>
      </c>
      <c r="L203" s="963"/>
      <c r="M203" s="73"/>
      <c r="N203" s="73"/>
      <c r="O203" s="73"/>
      <c r="P203" s="73"/>
      <c r="Q203" s="73"/>
      <c r="R203" s="73"/>
      <c r="S203" s="73"/>
      <c r="T203" s="439" cm="1" t="str">
        <f t="array" ref="T203:T203">T202</f>
        <v>true</v>
      </c>
      <c r="U203" s="73"/>
      <c r="V203" s="73"/>
      <c r="W203" s="73"/>
      <c r="X203" s="1534"/>
      <c r="Y203" s="960"/>
      <c r="Z203" s="1465"/>
      <c r="AA203" s="960"/>
      <c r="AB203" s="267" t="s">
        <v>1858</v>
      </c>
      <c r="AC203" s="749" t="s">
        <v>1095</v>
      </c>
      <c r="AD203" s="267" t="s">
        <v>784</v>
      </c>
      <c r="AE203" s="768">
        <f>_xlfn.SUMIFS(Административные!AE$25:AE$84,Административные!$F$25:$F$84,$F203,Административные!$G$25:$G$84,$G203)</f>
        <v>0</v>
      </c>
      <c r="AF203" s="768">
        <f>_xlfn.SUMIFS(Административные!AF$25:AF$84,Административные!$F$25:$F$84,$F203,Административные!$G$25:$G$84,$G203)</f>
        <v>0</v>
      </c>
      <c r="AG203" s="768">
        <f>_xlfn.SUMIFS(Административные!AG$25:AG$84,Административные!$F$25:$F$84,$F203,Административные!$G$25:$G$84,$G203)</f>
        <v>0</v>
      </c>
      <c r="AH203" s="748">
        <f>AG203-AF203</f>
        <v>0</v>
      </c>
      <c r="AI203" s="768">
        <f>_xlfn.SUMIFS(Административные!AH$25:AH$84,Административные!$F$25:$F$84,$F203,Административные!$G$25:$G$84,$G203)</f>
        <v>0</v>
      </c>
      <c r="AJ203" s="768">
        <f>_xlfn.SUMIFS(Административные!AI$25:AI$84,Административные!$F$25:$F$84,$F203,Административные!$G$25:$G$84,$G203)</f>
        <v>0</v>
      </c>
      <c r="AK203" s="744"/>
      <c r="AL203" s="744"/>
      <c r="AM203" s="744"/>
      <c r="AN203" s="744"/>
      <c r="AO203" s="744"/>
      <c r="AP203" s="744"/>
      <c r="AQ203" s="744"/>
      <c r="AR203" s="744"/>
      <c r="AS203" s="744"/>
      <c r="AT203" s="768">
        <f>_xlfn.SUMIFS(Административные!AJ$25:AJ$84,Административные!$F$25:$F$84,$F203,Административные!$G$25:$G$84,$G203)</f>
        <v>0</v>
      </c>
      <c r="AU203" s="1100"/>
      <c r="AV203" s="1100"/>
      <c r="AW203" s="1100"/>
      <c r="AX203" s="1100"/>
      <c r="AY203" s="1100"/>
      <c r="AZ203" s="1100"/>
      <c r="BA203" s="1100"/>
      <c r="BB203" s="1100"/>
      <c r="BC203" s="1100"/>
      <c r="BD203" s="1099">
        <f>IF(AI203=0,0,(AT203-AI203)/AI203*100)</f>
        <v>0</v>
      </c>
      <c r="BE203" s="1100"/>
      <c r="BF203" s="1100"/>
      <c r="BG203" s="1100"/>
      <c r="BH203" s="1100"/>
      <c r="BI203" s="1100"/>
      <c r="BJ203" s="1100"/>
      <c r="BK203" s="1100"/>
      <c r="BL203" s="1100"/>
      <c r="BM203" s="1100"/>
      <c r="BN203" s="4617"/>
      <c r="BO203" s="4619" t="str">
        <f>IF(_xlfn.IFERROR(INDEX(Административные!$K$26:$L$84,MATCH($F203&amp;"14komm",Административные!$K$26:$K$84,0),2),"")=0,"",_xlfn.IFERROR(INDEX(Административные!$K$26:$L$84,MATCH($F203&amp;"14komm",Административные!$K$26:$K$84,0),2),""))</f>
        <v/>
      </c>
      <c r="BP203" s="4617"/>
      <c r="BQ203" s="960"/>
      <c r="BR203" s="960"/>
      <c r="BS203" s="1048" t="s">
        <v>1859</v>
      </c>
      <c r="BT203" s="1048"/>
      <c r="BU203" s="1048"/>
      <c r="BV203" s="962"/>
      <c r="BW203" s="962"/>
    </row>
    <row s="1621" customFormat="1" customHeight="1" ht="14.25">
      <c r="A204" s="960"/>
      <c r="B204" s="961"/>
      <c r="C204" s="73"/>
      <c r="D204" s="73"/>
      <c r="E204" s="600">
        <v>15</v>
      </c>
      <c r="F204" s="50" cm="1" t="str">
        <f t="array" ref="F204:F204">OFFSET(E204,-1,1)</f>
        <v>1</v>
      </c>
      <c r="G204" s="73" t="s">
        <v>1097</v>
      </c>
      <c r="H204" s="839"/>
      <c r="I204" s="839" t="s">
        <v>1860</v>
      </c>
      <c r="J204" s="73"/>
      <c r="K204" s="345" t="s">
        <v>1860</v>
      </c>
      <c r="L204" s="963"/>
      <c r="M204" s="73"/>
      <c r="N204" s="73"/>
      <c r="O204" s="73"/>
      <c r="P204" s="73"/>
      <c r="Q204" s="73"/>
      <c r="R204" s="73"/>
      <c r="S204" s="73"/>
      <c r="T204" s="439" cm="1" t="str">
        <f t="array" ref="T204:T204">T203</f>
        <v>true</v>
      </c>
      <c r="U204" s="73"/>
      <c r="V204" s="73"/>
      <c r="W204" s="73"/>
      <c r="X204" s="1534"/>
      <c r="Y204" s="960"/>
      <c r="Z204" s="1465"/>
      <c r="AA204" s="960"/>
      <c r="AB204" s="267" t="s">
        <v>1861</v>
      </c>
      <c r="AC204" s="749" t="s">
        <v>1100</v>
      </c>
      <c r="AD204" s="267" t="s">
        <v>784</v>
      </c>
      <c r="AE204" s="1099">
        <f>_xlfn.SUMIFS(Административные!AE$25:AE$84,Административные!$F$25:$F$84,$F204,Административные!$G$25:$G$84,$G204)</f>
        <v>0</v>
      </c>
      <c r="AF204" s="1099">
        <f>_xlfn.SUMIFS(Административные!AF$25:AF$84,Административные!$F$25:$F$84,$F204,Административные!$G$25:$G$84,$G204)</f>
        <v>0</v>
      </c>
      <c r="AG204" s="1099">
        <f>_xlfn.SUMIFS(Административные!AG$25:AG$84,Административные!$F$25:$F$84,$F204,Административные!$G$25:$G$84,$G204)</f>
        <v>0</v>
      </c>
      <c r="AH204" s="1099">
        <f>AG204-AF204</f>
        <v>0</v>
      </c>
      <c r="AI204" s="1099">
        <f>_xlfn.SUMIFS(Административные!AH$25:AH$84,Административные!$F$25:$F$84,$F204,Административные!$G$25:$G$84,$G204)</f>
        <v>0</v>
      </c>
      <c r="AJ204" s="1099">
        <f>_xlfn.SUMIFS(Административные!AI$25:AI$84,Административные!$F$25:$F$84,$F204,Административные!$G$25:$G$84,$G204)</f>
        <v>0</v>
      </c>
      <c r="AK204" s="1100"/>
      <c r="AL204" s="1100"/>
      <c r="AM204" s="1100"/>
      <c r="AN204" s="1100"/>
      <c r="AO204" s="1100"/>
      <c r="AP204" s="1100"/>
      <c r="AQ204" s="1100"/>
      <c r="AR204" s="1100"/>
      <c r="AS204" s="1100"/>
      <c r="AT204" s="1099">
        <f>_xlfn.SUMIFS(Административные!AJ$25:AJ$84,Административные!$F$25:$F$84,$F204,Административные!$G$25:$G$84,$G204)</f>
        <v>0</v>
      </c>
      <c r="AU204" s="1100"/>
      <c r="AV204" s="1100"/>
      <c r="AW204" s="1100"/>
      <c r="AX204" s="1100"/>
      <c r="AY204" s="1100"/>
      <c r="AZ204" s="1100"/>
      <c r="BA204" s="1100"/>
      <c r="BB204" s="1100"/>
      <c r="BC204" s="1100"/>
      <c r="BD204" s="1099">
        <f>IF(AI204=0,0,(AT204-AI204)/AI204*100)</f>
        <v>0</v>
      </c>
      <c r="BE204" s="1100"/>
      <c r="BF204" s="1100"/>
      <c r="BG204" s="1100"/>
      <c r="BH204" s="1100"/>
      <c r="BI204" s="1100"/>
      <c r="BJ204" s="1100"/>
      <c r="BK204" s="1100"/>
      <c r="BL204" s="1100"/>
      <c r="BM204" s="1100"/>
      <c r="BN204" s="4617"/>
      <c r="BO204" s="4619" t="str">
        <f>IF(_xlfn.IFERROR(INDEX(Административные!$K$26:$L$84,MATCH($F204&amp;"15komm",Административные!$K$26:$K$84,0),2),"")=0,"",_xlfn.IFERROR(INDEX(Административные!$K$26:$L$84,MATCH($F204&amp;"15komm",Административные!$K$26:$K$84,0),2),""))</f>
        <v/>
      </c>
      <c r="BP204" s="4617"/>
      <c r="BQ204" s="960"/>
      <c r="BR204" s="960"/>
      <c r="BS204" s="1048" t="s">
        <v>1101</v>
      </c>
      <c r="BT204" s="1048"/>
      <c r="BU204" s="1048"/>
      <c r="BV204" s="962"/>
      <c r="BW204" s="962"/>
    </row>
    <row s="1621" customFormat="1" customHeight="1" ht="14.25">
      <c r="A205" s="960"/>
      <c r="B205" s="961"/>
      <c r="C205" s="73"/>
      <c r="D205" s="73"/>
      <c r="E205" s="600">
        <v>15</v>
      </c>
      <c r="F205" s="50" cm="1" t="str">
        <f t="array" ref="F205:F205">OFFSET(E205,-1,1)</f>
        <v>1</v>
      </c>
      <c r="G205" s="73" t="s">
        <v>1102</v>
      </c>
      <c r="H205" s="839"/>
      <c r="I205" s="839" t="s">
        <v>1862</v>
      </c>
      <c r="J205" s="73"/>
      <c r="K205" s="345" t="s">
        <v>1862</v>
      </c>
      <c r="L205" s="963"/>
      <c r="M205" s="73"/>
      <c r="N205" s="73"/>
      <c r="O205" s="73"/>
      <c r="P205" s="73"/>
      <c r="Q205" s="73"/>
      <c r="R205" s="73"/>
      <c r="S205" s="73"/>
      <c r="T205" s="439" cm="1" t="str">
        <f t="array" ref="T205:T205">T204</f>
        <v>true</v>
      </c>
      <c r="U205" s="73"/>
      <c r="V205" s="73"/>
      <c r="W205" s="73"/>
      <c r="X205" s="1534"/>
      <c r="Y205" s="960"/>
      <c r="Z205" s="1465"/>
      <c r="AA205" s="960"/>
      <c r="AB205" s="267" t="s">
        <v>1863</v>
      </c>
      <c r="AC205" s="749" t="s">
        <v>1105</v>
      </c>
      <c r="AD205" s="267" t="s">
        <v>784</v>
      </c>
      <c r="AE205" s="1099">
        <f>_xlfn.SUMIFS(Административные!AE$25:AE$84,Административные!$F$25:$F$84,$F205,Административные!$G$25:$G$84,$G205)</f>
        <v>0</v>
      </c>
      <c r="AF205" s="1099">
        <f>_xlfn.SUMIFS(Административные!AF$25:AF$84,Административные!$F$25:$F$84,$F205,Административные!$G$25:$G$84,$G205)</f>
        <v>0</v>
      </c>
      <c r="AG205" s="1099">
        <f>_xlfn.SUMIFS(Административные!AG$25:AG$84,Административные!$F$25:$F$84,$F205,Административные!$G$25:$G$84,$G205)</f>
        <v>0</v>
      </c>
      <c r="AH205" s="1099">
        <f>AG205-AF205</f>
        <v>0</v>
      </c>
      <c r="AI205" s="1099">
        <f>_xlfn.SUMIFS(Административные!AH$25:AH$84,Административные!$F$25:$F$84,$F205,Административные!$G$25:$G$84,$G205)</f>
        <v>0</v>
      </c>
      <c r="AJ205" s="1099">
        <f>_xlfn.SUMIFS(Административные!AI$25:AI$84,Административные!$F$25:$F$84,$F205,Административные!$G$25:$G$84,$G205)</f>
        <v>0</v>
      </c>
      <c r="AK205" s="1100"/>
      <c r="AL205" s="1100"/>
      <c r="AM205" s="1100"/>
      <c r="AN205" s="1100"/>
      <c r="AO205" s="1100"/>
      <c r="AP205" s="1100"/>
      <c r="AQ205" s="1100"/>
      <c r="AR205" s="1100"/>
      <c r="AS205" s="1100"/>
      <c r="AT205" s="1099">
        <f>_xlfn.SUMIFS(Административные!AJ$25:AJ$84,Административные!$F$25:$F$84,$F205,Административные!$G$25:$G$84,$G205)</f>
        <v>0</v>
      </c>
      <c r="AU205" s="1100"/>
      <c r="AV205" s="1100"/>
      <c r="AW205" s="1100"/>
      <c r="AX205" s="1100"/>
      <c r="AY205" s="1100"/>
      <c r="AZ205" s="1100"/>
      <c r="BA205" s="1100"/>
      <c r="BB205" s="1100"/>
      <c r="BC205" s="1100"/>
      <c r="BD205" s="1099">
        <f>IF(AI205=0,0,(AT205-AI205)/AI205*100)</f>
        <v>0</v>
      </c>
      <c r="BE205" s="1100"/>
      <c r="BF205" s="1100"/>
      <c r="BG205" s="1100"/>
      <c r="BH205" s="1100"/>
      <c r="BI205" s="1100"/>
      <c r="BJ205" s="1100"/>
      <c r="BK205" s="1100"/>
      <c r="BL205" s="1100"/>
      <c r="BM205" s="1100"/>
      <c r="BN205" s="4617"/>
      <c r="BO205" s="4619" t="str">
        <f>IF(_xlfn.IFERROR(INDEX(Административные!$K$26:$L$84,MATCH($F205&amp;"16komm",Административные!$K$26:$K$84,0),2),"")=0,"",_xlfn.IFERROR(INDEX(Административные!$K$26:$L$84,MATCH($F205&amp;"16komm",Административные!$K$26:$K$84,0),2),""))</f>
        <v/>
      </c>
      <c r="BP205" s="4617"/>
      <c r="BQ205" s="960"/>
      <c r="BR205" s="960"/>
      <c r="BS205" s="1048" t="s">
        <v>1864</v>
      </c>
      <c r="BT205" s="1048"/>
      <c r="BU205" s="1048"/>
      <c r="BV205" s="962"/>
      <c r="BW205" s="962"/>
    </row>
    <row s="1621" customFormat="1" customHeight="1" ht="21.75">
      <c r="A206" s="960"/>
      <c r="B206" s="961"/>
      <c r="C206" s="73"/>
      <c r="D206" s="73"/>
      <c r="E206" s="600">
        <v>22.5</v>
      </c>
      <c r="F206" s="50" cm="1" t="str">
        <f t="array" ref="F206:F206">OFFSET(E206,-1,1)</f>
        <v>1</v>
      </c>
      <c r="G206" s="73"/>
      <c r="H206" s="839"/>
      <c r="I206" s="839" t="s">
        <v>1247</v>
      </c>
      <c r="J206" s="73"/>
      <c r="K206" s="345" t="s">
        <v>1247</v>
      </c>
      <c r="L206" s="963" t="s">
        <v>877</v>
      </c>
      <c r="M206" s="73"/>
      <c r="N206" s="73"/>
      <c r="O206" s="73"/>
      <c r="P206" s="73"/>
      <c r="Q206" s="73"/>
      <c r="R206" s="73"/>
      <c r="S206" s="73"/>
      <c r="T206" s="439" cm="1" t="str">
        <f t="array" ref="T206:T206">T205</f>
        <v>true</v>
      </c>
      <c r="U206" s="73"/>
      <c r="V206" s="73"/>
      <c r="W206" s="73"/>
      <c r="X206" s="1534"/>
      <c r="Y206" s="960"/>
      <c r="Z206" s="1465"/>
      <c r="AA206" s="960"/>
      <c r="AB206" s="267" t="s">
        <v>974</v>
      </c>
      <c r="AC206" s="746" t="s">
        <v>1865</v>
      </c>
      <c r="AD206" s="267" t="s">
        <v>784</v>
      </c>
      <c r="AE206" s="1101">
        <f>AE207+AE208</f>
        <v>0</v>
      </c>
      <c r="AF206" s="1101">
        <f>AF207+AF208</f>
        <v>0</v>
      </c>
      <c r="AG206" s="1101">
        <f>AG207+AG208</f>
        <v>0</v>
      </c>
      <c r="AH206" s="1099">
        <f>AG206-AF206</f>
        <v>0</v>
      </c>
      <c r="AI206" s="1101">
        <f>AI207+AI208</f>
        <v>0</v>
      </c>
      <c r="AJ206" s="1101">
        <f>AJ207+AJ208</f>
        <v>0</v>
      </c>
      <c r="AK206" s="1100"/>
      <c r="AL206" s="1100"/>
      <c r="AM206" s="1100"/>
      <c r="AN206" s="1100"/>
      <c r="AO206" s="1100"/>
      <c r="AP206" s="1100"/>
      <c r="AQ206" s="1100"/>
      <c r="AR206" s="1100"/>
      <c r="AS206" s="1100"/>
      <c r="AT206" s="1101">
        <f>AT207+AT208</f>
        <v>0</v>
      </c>
      <c r="AU206" s="1100"/>
      <c r="AV206" s="1100"/>
      <c r="AW206" s="1100"/>
      <c r="AX206" s="1100"/>
      <c r="AY206" s="1100"/>
      <c r="AZ206" s="1100"/>
      <c r="BA206" s="1100"/>
      <c r="BB206" s="1100"/>
      <c r="BC206" s="1100"/>
      <c r="BD206" s="1099">
        <f>IF(AI206=0,0,(AT206-AI206)/AI206*100)</f>
        <v>0</v>
      </c>
      <c r="BE206" s="1100"/>
      <c r="BF206" s="1100"/>
      <c r="BG206" s="1100"/>
      <c r="BH206" s="1100"/>
      <c r="BI206" s="1100"/>
      <c r="BJ206" s="1100"/>
      <c r="BK206" s="1100"/>
      <c r="BL206" s="1100"/>
      <c r="BM206" s="1100"/>
      <c r="BN206" s="4617"/>
      <c r="BO206" s="4617"/>
      <c r="BP206" s="4617"/>
      <c r="BQ206" s="960"/>
      <c r="BR206" s="960"/>
      <c r="BS206" s="1046" t="s">
        <v>1670</v>
      </c>
      <c r="BT206" s="1048"/>
      <c r="BU206" s="1048"/>
      <c r="BV206" s="962"/>
      <c r="BW206" s="962"/>
    </row>
    <row s="1621" customFormat="1" customHeight="1" ht="14.25">
      <c r="A207" s="960"/>
      <c r="B207" s="961"/>
      <c r="C207" s="73"/>
      <c r="D207" s="73"/>
      <c r="E207" s="600">
        <v>15</v>
      </c>
      <c r="F207" s="50" cm="1" t="str">
        <f t="array" ref="F207:F207">OFFSET(E207,-1,1)</f>
        <v>1</v>
      </c>
      <c r="G207" s="73" t="s">
        <v>1061</v>
      </c>
      <c r="H207" s="839"/>
      <c r="I207" s="839" t="s">
        <v>1866</v>
      </c>
      <c r="J207" s="73"/>
      <c r="K207" s="345" t="s">
        <v>1866</v>
      </c>
      <c r="L207" s="963" t="s">
        <v>477</v>
      </c>
      <c r="M207" s="73"/>
      <c r="N207" s="73"/>
      <c r="O207" s="73"/>
      <c r="P207" s="73"/>
      <c r="Q207" s="73"/>
      <c r="R207" s="73"/>
      <c r="S207" s="73"/>
      <c r="T207" s="439" cm="1" t="str">
        <f t="array" ref="T207:T207">T206</f>
        <v>true</v>
      </c>
      <c r="U207" s="73"/>
      <c r="V207" s="73"/>
      <c r="W207" s="73"/>
      <c r="X207" s="1534"/>
      <c r="Y207" s="960"/>
      <c r="Z207" s="1465"/>
      <c r="AA207" s="960"/>
      <c r="AB207" s="267" t="s">
        <v>1867</v>
      </c>
      <c r="AC207" s="749" t="s">
        <v>1671</v>
      </c>
      <c r="AD207" s="752" t="s">
        <v>784</v>
      </c>
      <c r="AE207" s="1099">
        <f>_xlfn.SUMIFS(ФОТ!AE$25:AE$102,ФОТ!$F$25:$F$102,$F207,ФОТ!$G$25:$G$102,$G207)</f>
        <v>0</v>
      </c>
      <c r="AF207" s="1099">
        <f>_xlfn.SUMIFS(ФОТ!AF$25:AF$102,ФОТ!$F$25:$F$102,$F207,ФОТ!$G$25:$G$102,$G207)</f>
        <v>0</v>
      </c>
      <c r="AG207" s="1099">
        <f>_xlfn.SUMIFS(ФОТ!AG$25:AG$102,ФОТ!$F$25:$F$102,$F207,ФОТ!$G$25:$G$102,$G207)</f>
        <v>0</v>
      </c>
      <c r="AH207" s="1099">
        <f>AG207-AF207</f>
        <v>0</v>
      </c>
      <c r="AI207" s="1099">
        <f>_xlfn.SUMIFS(ФОТ!AH$25:AH$102,ФОТ!$F$25:$F$102,$F207,ФОТ!$G$25:$G$102,$G207)</f>
        <v>0</v>
      </c>
      <c r="AJ207" s="1099">
        <f>_xlfn.SUMIFS(ФОТ!AI$25:AI$102,ФОТ!$F$25:$F$102,$F207,ФОТ!$G$25:$G$102,$G207)</f>
        <v>0</v>
      </c>
      <c r="AK207" s="1100"/>
      <c r="AL207" s="1100"/>
      <c r="AM207" s="1100"/>
      <c r="AN207" s="1100"/>
      <c r="AO207" s="1100"/>
      <c r="AP207" s="1100"/>
      <c r="AQ207" s="1100"/>
      <c r="AR207" s="1100"/>
      <c r="AS207" s="1100"/>
      <c r="AT207" s="1099">
        <f>_xlfn.SUMIFS(ФОТ!AJ$25:AJ$102,ФОТ!$F$25:$F$102,$F207,ФОТ!$G$25:$G$102,$G207)</f>
        <v>0</v>
      </c>
      <c r="AU207" s="1100"/>
      <c r="AV207" s="1100"/>
      <c r="AW207" s="1100"/>
      <c r="AX207" s="1100"/>
      <c r="AY207" s="1100"/>
      <c r="AZ207" s="1100"/>
      <c r="BA207" s="1100"/>
      <c r="BB207" s="1100"/>
      <c r="BC207" s="1100"/>
      <c r="BD207" s="1099">
        <f>IF(AI207=0,0,(AT207-AI207)/AI207*100)</f>
        <v>0</v>
      </c>
      <c r="BE207" s="1100"/>
      <c r="BF207" s="1100"/>
      <c r="BG207" s="1100"/>
      <c r="BH207" s="1100"/>
      <c r="BI207" s="1100"/>
      <c r="BJ207" s="1100"/>
      <c r="BK207" s="1100"/>
      <c r="BL207" s="1100"/>
      <c r="BM207" s="1100"/>
      <c r="BN207" s="4617"/>
      <c r="BO207" s="4619" t="str">
        <f>IF(_xlfn.IFERROR(INDEX(ФОТ!$K$26:$L$102,MATCH($F207&amp;"5komm",ФОТ!$K$26:$K$102,0),2),"")=0,"",_xlfn.IFERROR(INDEX(ФОТ!$K$26:$L$102,MATCH($F207&amp;"5komm",ФОТ!$K$26:$K$102,0),2),""))</f>
        <v/>
      </c>
      <c r="BP207" s="4617"/>
      <c r="BQ207" s="960"/>
      <c r="BR207" s="960"/>
      <c r="BS207" s="1046" t="s">
        <v>1078</v>
      </c>
      <c r="BT207" s="1048"/>
      <c r="BU207" s="1048"/>
      <c r="BV207" s="962"/>
      <c r="BW207" s="962"/>
    </row>
    <row s="1621" customFormat="1" customHeight="1" ht="21.75">
      <c r="A208" s="960"/>
      <c r="B208" s="961"/>
      <c r="C208" s="73"/>
      <c r="D208" s="73"/>
      <c r="E208" s="600">
        <v>22.5</v>
      </c>
      <c r="F208" s="50" cm="1" t="str">
        <f t="array" ref="F208:F208">OFFSET(E208,-1,1)</f>
        <v>1</v>
      </c>
      <c r="G208" s="73" t="s">
        <v>1066</v>
      </c>
      <c r="H208" s="839"/>
      <c r="I208" s="839" t="s">
        <v>1868</v>
      </c>
      <c r="J208" s="73"/>
      <c r="K208" s="345" t="s">
        <v>1868</v>
      </c>
      <c r="L208" s="963" t="s">
        <v>482</v>
      </c>
      <c r="M208" s="73"/>
      <c r="N208" s="73"/>
      <c r="O208" s="73"/>
      <c r="P208" s="73"/>
      <c r="Q208" s="73"/>
      <c r="R208" s="73"/>
      <c r="S208" s="73"/>
      <c r="T208" s="439" cm="1" t="str">
        <f t="array" ref="T208:T208">T207</f>
        <v>true</v>
      </c>
      <c r="U208" s="73"/>
      <c r="V208" s="73"/>
      <c r="W208" s="73"/>
      <c r="X208" s="1534"/>
      <c r="Y208" s="960"/>
      <c r="Z208" s="1465"/>
      <c r="AA208" s="960"/>
      <c r="AB208" s="267" t="s">
        <v>1869</v>
      </c>
      <c r="AC208" s="749" t="s">
        <v>1870</v>
      </c>
      <c r="AD208" s="267" t="s">
        <v>784</v>
      </c>
      <c r="AE208" s="1099">
        <f>_xlfn.SUMIFS(ФОТ!AE$25:AE$102,ФОТ!$F$25:$F$102,$F208,ФОТ!$G$25:$G$102,$G208)</f>
        <v>0</v>
      </c>
      <c r="AF208" s="1099">
        <f>_xlfn.SUMIFS(ФОТ!AF$25:AF$102,ФОТ!$F$25:$F$102,$F208,ФОТ!$G$25:$G$102,$G208)</f>
        <v>0</v>
      </c>
      <c r="AG208" s="1099">
        <f>_xlfn.SUMIFS(ФОТ!AG$25:AG$102,ФОТ!$F$25:$F$102,$F208,ФОТ!$G$25:$G$102,$G208)</f>
        <v>0</v>
      </c>
      <c r="AH208" s="1099">
        <f>AG208-AF208</f>
        <v>0</v>
      </c>
      <c r="AI208" s="1099">
        <f>_xlfn.SUMIFS(ФОТ!AH$25:AH$102,ФОТ!$F$25:$F$102,$F208,ФОТ!$G$25:$G$102,$G208)</f>
        <v>0</v>
      </c>
      <c r="AJ208" s="1099">
        <f>_xlfn.SUMIFS(ФОТ!AI$25:AI$102,ФОТ!$F$25:$F$102,$F208,ФОТ!$G$25:$G$102,$G208)</f>
        <v>0</v>
      </c>
      <c r="AK208" s="1100"/>
      <c r="AL208" s="1100"/>
      <c r="AM208" s="1100"/>
      <c r="AN208" s="1100"/>
      <c r="AO208" s="1100"/>
      <c r="AP208" s="1100"/>
      <c r="AQ208" s="1100"/>
      <c r="AR208" s="1100"/>
      <c r="AS208" s="1100"/>
      <c r="AT208" s="1099">
        <f>_xlfn.SUMIFS(ФОТ!AJ$25:AJ$102,ФОТ!$F$25:$F$102,$F208,ФОТ!$G$25:$G$102,$G208)</f>
        <v>0</v>
      </c>
      <c r="AU208" s="1100"/>
      <c r="AV208" s="1100"/>
      <c r="AW208" s="1100"/>
      <c r="AX208" s="1100"/>
      <c r="AY208" s="1100"/>
      <c r="AZ208" s="1100"/>
      <c r="BA208" s="1100"/>
      <c r="BB208" s="1100"/>
      <c r="BC208" s="1100"/>
      <c r="BD208" s="1099">
        <f>IF(AI208=0,0,(AT208-AI208)/AI208*100)</f>
        <v>0</v>
      </c>
      <c r="BE208" s="1100"/>
      <c r="BF208" s="1100"/>
      <c r="BG208" s="1100"/>
      <c r="BH208" s="1100"/>
      <c r="BI208" s="1100"/>
      <c r="BJ208" s="1100"/>
      <c r="BK208" s="1100"/>
      <c r="BL208" s="1100"/>
      <c r="BM208" s="1100"/>
      <c r="BN208" s="4617"/>
      <c r="BO208" s="4619" t="str">
        <f>IF(_xlfn.IFERROR(INDEX(ФОТ!$K$26:$L$102,MATCH($F208&amp;"6komm",ФОТ!$K$26:$K$102,0),2),"")=0,"",_xlfn.IFERROR(INDEX(ФОТ!$K$26:$L$102,MATCH($F208&amp;"6komm",ФОТ!$K$26:$K$102,0),2),""))</f>
        <v/>
      </c>
      <c r="BP208" s="4617"/>
      <c r="BQ208" s="960"/>
      <c r="BR208" s="960"/>
      <c r="BS208" s="1046" t="s">
        <v>1673</v>
      </c>
      <c r="BT208" s="1048"/>
      <c r="BU208" s="1048"/>
      <c r="BV208" s="962"/>
      <c r="BW208" s="962"/>
    </row>
    <row s="1621" customFormat="1" customHeight="1" ht="32.25">
      <c r="A209" s="960"/>
      <c r="B209" s="961"/>
      <c r="C209" s="73"/>
      <c r="D209" s="73"/>
      <c r="E209" s="600">
        <v>33.75</v>
      </c>
      <c r="F209" s="50" cm="1" t="str">
        <f t="array" ref="F209:F209">OFFSET(E209,-1,1)</f>
        <v>1</v>
      </c>
      <c r="G209" s="830" t="s">
        <v>1107</v>
      </c>
      <c r="H209" s="839"/>
      <c r="I209" s="839" t="s">
        <v>1250</v>
      </c>
      <c r="J209" s="73"/>
      <c r="K209" s="345" t="s">
        <v>1250</v>
      </c>
      <c r="L209" s="963" t="s">
        <v>879</v>
      </c>
      <c r="M209" s="73"/>
      <c r="N209" s="73"/>
      <c r="O209" s="73"/>
      <c r="P209" s="73"/>
      <c r="Q209" s="73"/>
      <c r="R209" s="73"/>
      <c r="S209" s="73"/>
      <c r="T209" s="439" cm="1" t="str">
        <f t="array" ref="T209:T209">T208</f>
        <v>true</v>
      </c>
      <c r="U209" s="73"/>
      <c r="V209" s="73"/>
      <c r="W209" s="73"/>
      <c r="X209" s="1534"/>
      <c r="Y209" s="960"/>
      <c r="Z209" s="1465"/>
      <c r="AA209" s="960"/>
      <c r="AB209" s="267" t="s">
        <v>1251</v>
      </c>
      <c r="AC209" s="746" t="s">
        <v>1871</v>
      </c>
      <c r="AD209" s="267" t="s">
        <v>784</v>
      </c>
      <c r="AE209" s="1099">
        <f>_xlfn.SUMIFS(Административные!AE$25:AE$84,Административные!$F$25:$F$84,$F209,Административные!$G$25:$G$84,$G209)</f>
        <v>0</v>
      </c>
      <c r="AF209" s="1099">
        <f>_xlfn.SUMIFS(Административные!AF$25:AF$84,Административные!$F$25:$F$84,$F209,Административные!$G$25:$G$84,$G209)</f>
        <v>0</v>
      </c>
      <c r="AG209" s="1099">
        <f>_xlfn.SUMIFS(Административные!AG$25:AG$84,Административные!$F$25:$F$84,$F209,Административные!$G$25:$G$84,$G209)</f>
        <v>0</v>
      </c>
      <c r="AH209" s="1099">
        <f>AG209-AF209</f>
        <v>0</v>
      </c>
      <c r="AI209" s="1099">
        <f>_xlfn.SUMIFS(Административные!AH$25:AH$84,Административные!$F$25:$F$84,$F209,Административные!$G$25:$G$84,$G209)</f>
        <v>0</v>
      </c>
      <c r="AJ209" s="1099">
        <f>_xlfn.SUMIFS(Административные!AI$25:AI$84,Административные!$F$25:$F$84,$F209,Административные!$G$25:$G$84,$G209)</f>
        <v>0</v>
      </c>
      <c r="AK209" s="1100"/>
      <c r="AL209" s="1100"/>
      <c r="AM209" s="1100"/>
      <c r="AN209" s="1100"/>
      <c r="AO209" s="1100"/>
      <c r="AP209" s="1100"/>
      <c r="AQ209" s="1100"/>
      <c r="AR209" s="1100"/>
      <c r="AS209" s="1100"/>
      <c r="AT209" s="1099">
        <f>_xlfn.SUMIFS(Административные!AJ$25:AJ$84,Административные!$F$25:$F$84,$F209,Административные!$G$25:$G$84,$G209)</f>
        <v>0</v>
      </c>
      <c r="AU209" s="1100"/>
      <c r="AV209" s="1100"/>
      <c r="AW209" s="1100"/>
      <c r="AX209" s="1100"/>
      <c r="AY209" s="1100"/>
      <c r="AZ209" s="1100"/>
      <c r="BA209" s="1100"/>
      <c r="BB209" s="1100"/>
      <c r="BC209" s="1100"/>
      <c r="BD209" s="1099">
        <f>IF(AI209=0,0,(AT209-AI209)/AI209*100)</f>
        <v>0</v>
      </c>
      <c r="BE209" s="1100"/>
      <c r="BF209" s="1100"/>
      <c r="BG209" s="1100"/>
      <c r="BH209" s="1100"/>
      <c r="BI209" s="1100"/>
      <c r="BJ209" s="1100"/>
      <c r="BK209" s="1100"/>
      <c r="BL209" s="1100"/>
      <c r="BM209" s="1100"/>
      <c r="BN209" s="4617"/>
      <c r="BO209" s="4619" t="str">
        <f>IF(_xlfn.IFERROR(INDEX(Административные!$K$26:$L$84,MATCH($F209&amp;"2komm",Административные!$K$26:$K$84,0),2),"")=0,"",_xlfn.IFERROR(INDEX(Административные!$K$26:$L$84,MATCH($F209&amp;"2komm",Административные!$K$26:$K$84,0),2),""))</f>
        <v/>
      </c>
      <c r="BP209" s="4617"/>
      <c r="BQ209" s="960"/>
      <c r="BR209" s="960"/>
      <c r="BS209" s="1046" t="s">
        <v>1109</v>
      </c>
      <c r="BT209" s="1048"/>
      <c r="BU209" s="1048"/>
      <c r="BV209" s="962"/>
      <c r="BW209" s="962"/>
    </row>
    <row s="1621" customFormat="1" customHeight="1" ht="14.25">
      <c r="A210" s="960"/>
      <c r="B210" s="961"/>
      <c r="C210" s="73"/>
      <c r="D210" s="73"/>
      <c r="E210" s="600">
        <v>15</v>
      </c>
      <c r="F210" s="50" cm="1" t="str">
        <f t="array" ref="F210:F210">OFFSET(E210,-1,1)</f>
        <v>1</v>
      </c>
      <c r="G210" s="830" t="s">
        <v>1110</v>
      </c>
      <c r="H210" s="839"/>
      <c r="I210" s="839" t="s">
        <v>1254</v>
      </c>
      <c r="J210" s="73"/>
      <c r="K210" s="345" t="s">
        <v>1254</v>
      </c>
      <c r="L210" s="963" t="s">
        <v>881</v>
      </c>
      <c r="M210" s="73"/>
      <c r="N210" s="73"/>
      <c r="O210" s="73"/>
      <c r="P210" s="73"/>
      <c r="Q210" s="73"/>
      <c r="R210" s="73"/>
      <c r="S210" s="73"/>
      <c r="T210" s="439" cm="1" t="str">
        <f t="array" ref="T210:T210">T209</f>
        <v>true</v>
      </c>
      <c r="U210" s="73"/>
      <c r="V210" s="73"/>
      <c r="W210" s="73"/>
      <c r="X210" s="1534"/>
      <c r="Y210" s="960"/>
      <c r="Z210" s="1465"/>
      <c r="AA210" s="960"/>
      <c r="AB210" s="267" t="s">
        <v>1255</v>
      </c>
      <c r="AC210" s="746" t="s">
        <v>1872</v>
      </c>
      <c r="AD210" s="267" t="s">
        <v>784</v>
      </c>
      <c r="AE210" s="1099">
        <f>_xlfn.SUMIFS(Административные!AE$25:AE$84,Административные!$F$25:$F$84,$F210,Административные!$G$25:$G$84,$G210)</f>
        <v>0</v>
      </c>
      <c r="AF210" s="1099">
        <f>_xlfn.SUMIFS(Административные!AF$25:AF$84,Административные!$F$25:$F$84,$F210,Административные!$G$25:$G$84,$G210)</f>
        <v>0</v>
      </c>
      <c r="AG210" s="1099">
        <f>_xlfn.SUMIFS(Административные!AG$25:AG$84,Административные!$F$25:$F$84,$F210,Административные!$G$25:$G$84,$G210)</f>
        <v>0</v>
      </c>
      <c r="AH210" s="1099">
        <f>AG210-AF210</f>
        <v>0</v>
      </c>
      <c r="AI210" s="1099">
        <f>_xlfn.SUMIFS(Административные!AH$25:AH$84,Административные!$F$25:$F$84,$F210,Административные!$G$25:$G$84,$G210)</f>
        <v>0</v>
      </c>
      <c r="AJ210" s="1099">
        <f>_xlfn.SUMIFS(Административные!AI$25:AI$84,Административные!$F$25:$F$84,$F210,Административные!$G$25:$G$84,$G210)</f>
        <v>0</v>
      </c>
      <c r="AK210" s="1100"/>
      <c r="AL210" s="1100"/>
      <c r="AM210" s="1100"/>
      <c r="AN210" s="1100"/>
      <c r="AO210" s="1100"/>
      <c r="AP210" s="1100"/>
      <c r="AQ210" s="1100"/>
      <c r="AR210" s="1100"/>
      <c r="AS210" s="1100"/>
      <c r="AT210" s="1099">
        <f>_xlfn.SUMIFS(Административные!AJ$25:AJ$84,Административные!$F$25:$F$84,$F210,Административные!$G$25:$G$84,$G210)</f>
        <v>0</v>
      </c>
      <c r="AU210" s="1100"/>
      <c r="AV210" s="1100"/>
      <c r="AW210" s="1100"/>
      <c r="AX210" s="1100"/>
      <c r="AY210" s="1100"/>
      <c r="AZ210" s="1100"/>
      <c r="BA210" s="1100"/>
      <c r="BB210" s="1100"/>
      <c r="BC210" s="1100"/>
      <c r="BD210" s="1099">
        <f>IF(AI210=0,0,(AT210-AI210)/AI210*100)</f>
        <v>0</v>
      </c>
      <c r="BE210" s="1100"/>
      <c r="BF210" s="1100"/>
      <c r="BG210" s="1100"/>
      <c r="BH210" s="1100"/>
      <c r="BI210" s="1100"/>
      <c r="BJ210" s="1100"/>
      <c r="BK210" s="1100"/>
      <c r="BL210" s="1100"/>
      <c r="BM210" s="1100"/>
      <c r="BN210" s="4617"/>
      <c r="BO210" s="4619" t="str">
        <f>IF(_xlfn.IFERROR(INDEX(Административные!$K$26:$L$84,MATCH($F210&amp;"3komm",Административные!$K$26:$K$84,0),2),"")=0,"",_xlfn.IFERROR(INDEX(Административные!$K$26:$L$84,MATCH($F210&amp;"3komm",Административные!$K$26:$K$84,0),2),""))</f>
        <v/>
      </c>
      <c r="BP210" s="4617"/>
      <c r="BQ210" s="960"/>
      <c r="BR210" s="960"/>
      <c r="BS210" s="1046" t="s">
        <v>1112</v>
      </c>
      <c r="BT210" s="1048"/>
      <c r="BU210" s="1048"/>
      <c r="BV210" s="962"/>
      <c r="BW210" s="962"/>
    </row>
    <row s="1621" customFormat="1" customHeight="1" ht="14.25">
      <c r="A211" s="960"/>
      <c r="B211" s="961"/>
      <c r="C211" s="73"/>
      <c r="D211" s="73"/>
      <c r="E211" s="600">
        <v>15</v>
      </c>
      <c r="F211" s="50" cm="1" t="str">
        <f t="array" ref="F211:F211">OFFSET(E211,-1,1)</f>
        <v>1</v>
      </c>
      <c r="G211" s="830" t="s">
        <v>1113</v>
      </c>
      <c r="H211" s="839"/>
      <c r="I211" s="839" t="s">
        <v>1873</v>
      </c>
      <c r="J211" s="73"/>
      <c r="K211" s="345" t="s">
        <v>1873</v>
      </c>
      <c r="L211" s="963" t="s">
        <v>884</v>
      </c>
      <c r="M211" s="73"/>
      <c r="N211" s="73"/>
      <c r="O211" s="73"/>
      <c r="P211" s="73"/>
      <c r="Q211" s="73"/>
      <c r="R211" s="73"/>
      <c r="S211" s="73"/>
      <c r="T211" s="439" cm="1" t="str">
        <f t="array" ref="T211:T211">T210</f>
        <v>true</v>
      </c>
      <c r="U211" s="73"/>
      <c r="V211" s="73"/>
      <c r="W211" s="73"/>
      <c r="X211" s="1534"/>
      <c r="Y211" s="960"/>
      <c r="Z211" s="1465"/>
      <c r="AA211" s="960"/>
      <c r="AB211" s="267" t="s">
        <v>1874</v>
      </c>
      <c r="AC211" s="746" t="s">
        <v>1875</v>
      </c>
      <c r="AD211" s="267" t="s">
        <v>784</v>
      </c>
      <c r="AE211" s="1099">
        <f>_xlfn.SUMIFS(Административные!AE$25:AE$84,Административные!$F$25:$F$84,$F211,Административные!$G$25:$G$84,$G211)</f>
        <v>0</v>
      </c>
      <c r="AF211" s="1099">
        <f>_xlfn.SUMIFS(Административные!AF$25:AF$84,Административные!$F$25:$F$84,$F211,Административные!$G$25:$G$84,$G211)</f>
        <v>0</v>
      </c>
      <c r="AG211" s="1099">
        <f>_xlfn.SUMIFS(Административные!AG$25:AG$84,Административные!$F$25:$F$84,$F211,Административные!$G$25:$G$84,$G211)</f>
        <v>0</v>
      </c>
      <c r="AH211" s="1099">
        <f>AG211-AF211</f>
        <v>0</v>
      </c>
      <c r="AI211" s="1099">
        <f>_xlfn.SUMIFS(Административные!AH$25:AH$84,Административные!$F$25:$F$84,$F211,Административные!$G$25:$G$84,$G211)</f>
        <v>0</v>
      </c>
      <c r="AJ211" s="1099">
        <f>_xlfn.SUMIFS(Административные!AI$25:AI$84,Административные!$F$25:$F$84,$F211,Административные!$G$25:$G$84,$G211)</f>
        <v>0</v>
      </c>
      <c r="AK211" s="1100"/>
      <c r="AL211" s="1100"/>
      <c r="AM211" s="1100"/>
      <c r="AN211" s="1100"/>
      <c r="AO211" s="1100"/>
      <c r="AP211" s="1100"/>
      <c r="AQ211" s="1100"/>
      <c r="AR211" s="1100"/>
      <c r="AS211" s="1100"/>
      <c r="AT211" s="1099">
        <f>_xlfn.SUMIFS(Административные!AJ$25:AJ$84,Административные!$F$25:$F$84,$F211,Административные!$G$25:$G$84,$G211)</f>
        <v>0</v>
      </c>
      <c r="AU211" s="1100"/>
      <c r="AV211" s="1100"/>
      <c r="AW211" s="1100"/>
      <c r="AX211" s="1100"/>
      <c r="AY211" s="1100"/>
      <c r="AZ211" s="1100"/>
      <c r="BA211" s="1100"/>
      <c r="BB211" s="1100"/>
      <c r="BC211" s="1100"/>
      <c r="BD211" s="1099">
        <f>IF(AI211=0,0,(AT211-AI211)/AI211*100)</f>
        <v>0</v>
      </c>
      <c r="BE211" s="1100"/>
      <c r="BF211" s="1100"/>
      <c r="BG211" s="1100"/>
      <c r="BH211" s="1100"/>
      <c r="BI211" s="1100"/>
      <c r="BJ211" s="1100"/>
      <c r="BK211" s="1100"/>
      <c r="BL211" s="1100"/>
      <c r="BM211" s="1100"/>
      <c r="BN211" s="4617"/>
      <c r="BO211" s="4619" t="str">
        <f>IF(_xlfn.IFERROR(INDEX(Административные!$K$26:$L$84,MATCH($F211&amp;"4komm",Административные!$K$26:$K$84,0),2),"")=0,"",_xlfn.IFERROR(INDEX(Административные!$K$26:$L$84,MATCH($F211&amp;"4komm",Административные!$K$26:$K$84,0),2),""))</f>
        <v/>
      </c>
      <c r="BP211" s="4617"/>
      <c r="BQ211" s="960"/>
      <c r="BR211" s="960"/>
      <c r="BS211" s="1046" t="s">
        <v>1115</v>
      </c>
      <c r="BT211" s="1048"/>
      <c r="BU211" s="1048"/>
      <c r="BV211" s="962"/>
      <c r="BW211" s="962"/>
    </row>
    <row s="1621" customFormat="1" customHeight="1" ht="14.25">
      <c r="A212" s="960"/>
      <c r="B212" s="961"/>
      <c r="C212" s="73"/>
      <c r="D212" s="73"/>
      <c r="E212" s="600">
        <v>15</v>
      </c>
      <c r="F212" s="50" cm="1" t="str">
        <f t="array" ref="F212:F212">OFFSET(E212,-1,1)</f>
        <v>1</v>
      </c>
      <c r="G212" s="830" t="s">
        <v>1116</v>
      </c>
      <c r="H212" s="839"/>
      <c r="I212" s="839" t="s">
        <v>1876</v>
      </c>
      <c r="J212" s="73"/>
      <c r="K212" s="345" t="s">
        <v>1876</v>
      </c>
      <c r="L212" s="963" t="s">
        <v>1098</v>
      </c>
      <c r="M212" s="73"/>
      <c r="N212" s="73"/>
      <c r="O212" s="73"/>
      <c r="P212" s="73"/>
      <c r="Q212" s="73"/>
      <c r="R212" s="73"/>
      <c r="S212" s="73"/>
      <c r="T212" s="439" cm="1" t="str">
        <f t="array" ref="T212:T212">T211</f>
        <v>true</v>
      </c>
      <c r="U212" s="73"/>
      <c r="V212" s="73"/>
      <c r="W212" s="73"/>
      <c r="X212" s="1534"/>
      <c r="Y212" s="960"/>
      <c r="Z212" s="1465"/>
      <c r="AA212" s="960"/>
      <c r="AB212" s="267" t="s">
        <v>1877</v>
      </c>
      <c r="AC212" s="746" t="s">
        <v>1878</v>
      </c>
      <c r="AD212" s="267" t="s">
        <v>784</v>
      </c>
      <c r="AE212" s="1099">
        <f>_xlfn.SUMIFS(Административные!AE$25:AE$84,Административные!$F$25:$F$84,$F212,Административные!$G$25:$G$84,$G212)</f>
        <v>0</v>
      </c>
      <c r="AF212" s="1099">
        <f>_xlfn.SUMIFS(Административные!AF$25:AF$84,Административные!$F$25:$F$84,$F212,Административные!$G$25:$G$84,$G212)</f>
        <v>0</v>
      </c>
      <c r="AG212" s="1099">
        <f>_xlfn.SUMIFS(Административные!AG$25:AG$84,Административные!$F$25:$F$84,$F212,Административные!$G$25:$G$84,$G212)</f>
        <v>0</v>
      </c>
      <c r="AH212" s="1099">
        <f>AG212-AF212</f>
        <v>0</v>
      </c>
      <c r="AI212" s="1099">
        <f>_xlfn.SUMIFS(Административные!AH$25:AH$84,Административные!$F$25:$F$84,$F212,Административные!$G$25:$G$84,$G212)</f>
        <v>0</v>
      </c>
      <c r="AJ212" s="1099">
        <f>_xlfn.SUMIFS(Административные!AI$25:AI$84,Административные!$F$25:$F$84,$F212,Административные!$G$25:$G$84,$G212)</f>
        <v>0</v>
      </c>
      <c r="AK212" s="1100"/>
      <c r="AL212" s="1100"/>
      <c r="AM212" s="1100"/>
      <c r="AN212" s="1100"/>
      <c r="AO212" s="1100"/>
      <c r="AP212" s="1100"/>
      <c r="AQ212" s="1100"/>
      <c r="AR212" s="1100"/>
      <c r="AS212" s="1100"/>
      <c r="AT212" s="1099">
        <f>_xlfn.SUMIFS(Административные!AJ$25:AJ$84,Административные!$F$25:$F$84,$F212,Административные!$G$25:$G$84,$G212)</f>
        <v>0</v>
      </c>
      <c r="AU212" s="1100"/>
      <c r="AV212" s="1100"/>
      <c r="AW212" s="1100"/>
      <c r="AX212" s="1100"/>
      <c r="AY212" s="1100"/>
      <c r="AZ212" s="1100"/>
      <c r="BA212" s="1100"/>
      <c r="BB212" s="1100"/>
      <c r="BC212" s="1100"/>
      <c r="BD212" s="1099">
        <f>IF(AI212=0,0,(AT212-AI212)/AI212*100)</f>
        <v>0</v>
      </c>
      <c r="BE212" s="1100"/>
      <c r="BF212" s="1100"/>
      <c r="BG212" s="1100"/>
      <c r="BH212" s="1100"/>
      <c r="BI212" s="1100"/>
      <c r="BJ212" s="1100"/>
      <c r="BK212" s="1100"/>
      <c r="BL212" s="1100"/>
      <c r="BM212" s="1100"/>
      <c r="BN212" s="4617"/>
      <c r="BO212" s="4619" t="str">
        <f>IF(_xlfn.IFERROR(INDEX(Административные!$K$26:$L$84,MATCH($F212&amp;"5komm",Административные!$K$26:$K$84,0),2),"")=0,"",_xlfn.IFERROR(INDEX(Административные!$K$26:$L$84,MATCH($F212&amp;"5komm",Административные!$K$26:$K$84,0),2),""))</f>
        <v/>
      </c>
      <c r="BP212" s="4617"/>
      <c r="BQ212" s="960"/>
      <c r="BR212" s="960"/>
      <c r="BS212" s="1046" t="s">
        <v>1675</v>
      </c>
      <c r="BT212" s="1048"/>
      <c r="BU212" s="1048"/>
      <c r="BV212" s="962"/>
      <c r="BW212" s="962"/>
    </row>
    <row s="1621" customFormat="1" customHeight="1" ht="14.25">
      <c r="A213" s="960"/>
      <c r="B213" s="961"/>
      <c r="C213" s="73"/>
      <c r="D213" s="73"/>
      <c r="E213" s="600">
        <v>15</v>
      </c>
      <c r="F213" s="50" cm="1" t="str">
        <f t="array" ref="F213:F213">OFFSET(E213,-1,1)</f>
        <v>1</v>
      </c>
      <c r="G213" s="830" t="s">
        <v>1119</v>
      </c>
      <c r="H213" s="839"/>
      <c r="I213" s="839" t="s">
        <v>1879</v>
      </c>
      <c r="J213" s="73"/>
      <c r="K213" s="345" t="s">
        <v>1879</v>
      </c>
      <c r="L213" s="963" t="s">
        <v>1103</v>
      </c>
      <c r="M213" s="73"/>
      <c r="N213" s="73"/>
      <c r="O213" s="73"/>
      <c r="P213" s="73"/>
      <c r="Q213" s="73"/>
      <c r="R213" s="73"/>
      <c r="S213" s="73"/>
      <c r="T213" s="439" cm="1" t="str">
        <f t="array" ref="T213:T213">T212</f>
        <v>true</v>
      </c>
      <c r="U213" s="73"/>
      <c r="V213" s="73"/>
      <c r="W213" s="73"/>
      <c r="X213" s="1534"/>
      <c r="Y213" s="960"/>
      <c r="Z213" s="1465"/>
      <c r="AA213" s="960"/>
      <c r="AB213" s="267" t="s">
        <v>1880</v>
      </c>
      <c r="AC213" s="746" t="s">
        <v>1881</v>
      </c>
      <c r="AD213" s="267" t="s">
        <v>784</v>
      </c>
      <c r="AE213" s="1099">
        <f>_xlfn.SUMIFS(Административные!AE$25:AE$84,Административные!$F$25:$F$84,$F213,Административные!$G$25:$G$84,$G213)</f>
        <v>0</v>
      </c>
      <c r="AF213" s="1099">
        <f>_xlfn.SUMIFS(Административные!AF$25:AF$84,Административные!$F$25:$F$84,$F213,Административные!$G$25:$G$84,$G213)</f>
        <v>0</v>
      </c>
      <c r="AG213" s="1099">
        <f>_xlfn.SUMIFS(Административные!AG$25:AG$84,Административные!$F$25:$F$84,$F213,Административные!$G$25:$G$84,$G213)</f>
        <v>0</v>
      </c>
      <c r="AH213" s="1099">
        <f>AG213-AF213</f>
        <v>0</v>
      </c>
      <c r="AI213" s="1099">
        <f>_xlfn.SUMIFS(Административные!AH$25:AH$84,Административные!$F$25:$F$84,$F213,Административные!$G$25:$G$84,$G213)</f>
        <v>0</v>
      </c>
      <c r="AJ213" s="1099">
        <f>_xlfn.SUMIFS(Административные!AI$25:AI$84,Административные!$F$25:$F$84,$F213,Административные!$G$25:$G$84,$G213)</f>
        <v>0</v>
      </c>
      <c r="AK213" s="1100"/>
      <c r="AL213" s="1100"/>
      <c r="AM213" s="1100"/>
      <c r="AN213" s="1100"/>
      <c r="AO213" s="1100"/>
      <c r="AP213" s="1100"/>
      <c r="AQ213" s="1100"/>
      <c r="AR213" s="1100"/>
      <c r="AS213" s="1100"/>
      <c r="AT213" s="1099">
        <f>_xlfn.SUMIFS(Административные!AJ$25:AJ$84,Административные!$F$25:$F$84,$F213,Административные!$G$25:$G$84,$G213)</f>
        <v>0</v>
      </c>
      <c r="AU213" s="1100"/>
      <c r="AV213" s="1100"/>
      <c r="AW213" s="1100"/>
      <c r="AX213" s="1100"/>
      <c r="AY213" s="1100"/>
      <c r="AZ213" s="1100"/>
      <c r="BA213" s="1100"/>
      <c r="BB213" s="1100"/>
      <c r="BC213" s="1100"/>
      <c r="BD213" s="1099">
        <f>IF(AI213=0,0,(AT213-AI213)/AI213*100)</f>
        <v>0</v>
      </c>
      <c r="BE213" s="1100"/>
      <c r="BF213" s="1100"/>
      <c r="BG213" s="1100"/>
      <c r="BH213" s="1100"/>
      <c r="BI213" s="1100"/>
      <c r="BJ213" s="1100"/>
      <c r="BK213" s="1100"/>
      <c r="BL213" s="1100"/>
      <c r="BM213" s="1100"/>
      <c r="BN213" s="4617"/>
      <c r="BO213" s="4619" t="str">
        <f>IF(_xlfn.IFERROR(INDEX(Административные!$K$26:$L$84,MATCH($F213&amp;"6komm",Административные!$K$26:$K$84,0),2),"")=0,"",_xlfn.IFERROR(INDEX(Административные!$K$26:$L$84,MATCH($F213&amp;"6komm",Административные!$K$26:$K$84,0),2),""))</f>
        <v/>
      </c>
      <c r="BP213" s="4617"/>
      <c r="BQ213" s="960"/>
      <c r="BR213" s="960"/>
      <c r="BS213" s="1046" t="s">
        <v>1677</v>
      </c>
      <c r="BT213" s="1048"/>
      <c r="BU213" s="1048"/>
      <c r="BV213" s="962"/>
      <c r="BW213" s="962"/>
    </row>
    <row s="1621" customFormat="1" customHeight="1" ht="14.25">
      <c r="A214" s="960"/>
      <c r="B214" s="961"/>
      <c r="C214" s="73"/>
      <c r="D214" s="73"/>
      <c r="E214" s="600">
        <v>15</v>
      </c>
      <c r="F214" s="50" cm="1" t="str">
        <f t="array" ref="F214:F214">OFFSET(E214,-1,1)</f>
        <v>1</v>
      </c>
      <c r="G214" s="830" t="s">
        <v>1121</v>
      </c>
      <c r="H214" s="839"/>
      <c r="I214" s="839" t="s">
        <v>1882</v>
      </c>
      <c r="J214" s="73"/>
      <c r="K214" s="345" t="s">
        <v>1882</v>
      </c>
      <c r="L214" s="963" t="s">
        <v>1678</v>
      </c>
      <c r="M214" s="73"/>
      <c r="N214" s="73"/>
      <c r="O214" s="73"/>
      <c r="P214" s="73"/>
      <c r="Q214" s="73"/>
      <c r="R214" s="73"/>
      <c r="S214" s="73"/>
      <c r="T214" s="439" cm="1" t="str">
        <f t="array" ref="T214:T214">T213</f>
        <v>true</v>
      </c>
      <c r="U214" s="73"/>
      <c r="V214" s="73"/>
      <c r="W214" s="73"/>
      <c r="X214" s="1534"/>
      <c r="Y214" s="960"/>
      <c r="Z214" s="1465"/>
      <c r="AA214" s="960"/>
      <c r="AB214" s="267" t="s">
        <v>1883</v>
      </c>
      <c r="AC214" s="749" t="s">
        <v>1680</v>
      </c>
      <c r="AD214" s="267" t="s">
        <v>784</v>
      </c>
      <c r="AE214" s="1099">
        <f>_xlfn.SUMIFS(Административные!AE$25:AE$84,Административные!$F$25:$F$84,$F214,Административные!$G$25:$G$84,$G214)</f>
        <v>0</v>
      </c>
      <c r="AF214" s="1099">
        <f>_xlfn.SUMIFS(Административные!AF$25:AF$84,Административные!$F$25:$F$84,$F214,Административные!$G$25:$G$84,$G214)</f>
        <v>0</v>
      </c>
      <c r="AG214" s="1099">
        <f>_xlfn.SUMIFS(Административные!AG$25:AG$84,Административные!$F$25:$F$84,$F214,Административные!$G$25:$G$84,$G214)</f>
        <v>0</v>
      </c>
      <c r="AH214" s="1099">
        <f>AG214-AF214</f>
        <v>0</v>
      </c>
      <c r="AI214" s="1099">
        <f>_xlfn.SUMIFS(Административные!AH$25:AH$84,Административные!$F$25:$F$84,$F214,Административные!$G$25:$G$84,$G214)</f>
        <v>0</v>
      </c>
      <c r="AJ214" s="1099">
        <f>_xlfn.SUMIFS(Административные!AI$25:AI$84,Административные!$F$25:$F$84,$F214,Административные!$G$25:$G$84,$G214)</f>
        <v>0</v>
      </c>
      <c r="AK214" s="1100"/>
      <c r="AL214" s="1100"/>
      <c r="AM214" s="1100"/>
      <c r="AN214" s="1100"/>
      <c r="AO214" s="1100"/>
      <c r="AP214" s="1100"/>
      <c r="AQ214" s="1100"/>
      <c r="AR214" s="1100"/>
      <c r="AS214" s="1100"/>
      <c r="AT214" s="1099">
        <f>_xlfn.SUMIFS(Административные!AJ$25:AJ$84,Административные!$F$25:$F$84,$F214,Административные!$G$25:$G$84,$G214)</f>
        <v>0</v>
      </c>
      <c r="AU214" s="1100"/>
      <c r="AV214" s="1100"/>
      <c r="AW214" s="1100"/>
      <c r="AX214" s="1100"/>
      <c r="AY214" s="1100"/>
      <c r="AZ214" s="1100"/>
      <c r="BA214" s="1100"/>
      <c r="BB214" s="1100"/>
      <c r="BC214" s="1100"/>
      <c r="BD214" s="1099">
        <f>IF(AI214=0,0,(AT214-AI214)/AI214*100)</f>
        <v>0</v>
      </c>
      <c r="BE214" s="1100"/>
      <c r="BF214" s="1100"/>
      <c r="BG214" s="1100"/>
      <c r="BH214" s="1100"/>
      <c r="BI214" s="1100"/>
      <c r="BJ214" s="1100"/>
      <c r="BK214" s="1100"/>
      <c r="BL214" s="1100"/>
      <c r="BM214" s="1100"/>
      <c r="BN214" s="4617"/>
      <c r="BO214" s="4619" t="str">
        <f>IF(_xlfn.IFERROR(INDEX(Административные!$K$26:$L$84,MATCH($F214&amp;"7komm",Административные!$K$26:$K$84,0),2),"")=0,"",_xlfn.IFERROR(INDEX(Административные!$K$26:$L$84,MATCH($F214&amp;"7komm",Административные!$K$26:$K$84,0),2),""))</f>
        <v/>
      </c>
      <c r="BP214" s="4617"/>
      <c r="BQ214" s="960"/>
      <c r="BR214" s="960"/>
      <c r="BS214" s="1046" t="s">
        <v>1681</v>
      </c>
      <c r="BT214" s="1048"/>
      <c r="BU214" s="1048"/>
      <c r="BV214" s="962"/>
      <c r="BW214" s="962"/>
    </row>
    <row s="1621" customFormat="1" customHeight="1" ht="14.25">
      <c r="A215" s="960"/>
      <c r="B215" s="961"/>
      <c r="C215" s="73"/>
      <c r="D215" s="73"/>
      <c r="E215" s="600">
        <v>15</v>
      </c>
      <c r="F215" s="50" cm="1" t="str">
        <f t="array" ref="F215:F215">OFFSET(E215,-1,1)</f>
        <v>1</v>
      </c>
      <c r="G215" s="830" t="s">
        <v>1124</v>
      </c>
      <c r="H215" s="839"/>
      <c r="I215" s="839" t="s">
        <v>1884</v>
      </c>
      <c r="J215" s="73"/>
      <c r="K215" s="345" t="s">
        <v>1884</v>
      </c>
      <c r="L215" s="963" t="s">
        <v>1682</v>
      </c>
      <c r="M215" s="73"/>
      <c r="N215" s="73"/>
      <c r="O215" s="73"/>
      <c r="P215" s="73"/>
      <c r="Q215" s="73"/>
      <c r="R215" s="73"/>
      <c r="S215" s="73"/>
      <c r="T215" s="439" cm="1" t="str">
        <f t="array" ref="T215:T215">T214</f>
        <v>true</v>
      </c>
      <c r="U215" s="73"/>
      <c r="V215" s="73"/>
      <c r="W215" s="73"/>
      <c r="X215" s="1534"/>
      <c r="Y215" s="960"/>
      <c r="Z215" s="1465"/>
      <c r="AA215" s="960"/>
      <c r="AB215" s="267" t="s">
        <v>1885</v>
      </c>
      <c r="AC215" s="749" t="s">
        <v>1125</v>
      </c>
      <c r="AD215" s="267" t="s">
        <v>784</v>
      </c>
      <c r="AE215" s="1099">
        <f>_xlfn.SUMIFS(Административные!AE$25:AE$84,Административные!$F$25:$F$84,$F215,Административные!$G$25:$G$84,$G215)</f>
        <v>0</v>
      </c>
      <c r="AF215" s="1099">
        <f>_xlfn.SUMIFS(Административные!AF$25:AF$84,Административные!$F$25:$F$84,$F215,Административные!$G$25:$G$84,$G215)</f>
        <v>0</v>
      </c>
      <c r="AG215" s="1099">
        <f>_xlfn.SUMIFS(Административные!AG$25:AG$84,Административные!$F$25:$F$84,$F215,Административные!$G$25:$G$84,$G215)</f>
        <v>0</v>
      </c>
      <c r="AH215" s="1099">
        <f>AG215-AF215</f>
        <v>0</v>
      </c>
      <c r="AI215" s="1099">
        <f>_xlfn.SUMIFS(Административные!AH$25:AH$84,Административные!$F$25:$F$84,$F215,Административные!$G$25:$G$84,$G215)</f>
        <v>0</v>
      </c>
      <c r="AJ215" s="1099">
        <f>_xlfn.SUMIFS(Административные!AI$25:AI$84,Административные!$F$25:$F$84,$F215,Административные!$G$25:$G$84,$G215)</f>
        <v>0</v>
      </c>
      <c r="AK215" s="1100"/>
      <c r="AL215" s="1100"/>
      <c r="AM215" s="1100"/>
      <c r="AN215" s="1100"/>
      <c r="AO215" s="1100"/>
      <c r="AP215" s="1100"/>
      <c r="AQ215" s="1100"/>
      <c r="AR215" s="1100"/>
      <c r="AS215" s="1100"/>
      <c r="AT215" s="1099">
        <f>_xlfn.SUMIFS(Административные!AJ$25:AJ$84,Административные!$F$25:$F$84,$F215,Административные!$G$25:$G$84,$G215)</f>
        <v>0</v>
      </c>
      <c r="AU215" s="1100"/>
      <c r="AV215" s="1100"/>
      <c r="AW215" s="1100"/>
      <c r="AX215" s="1100"/>
      <c r="AY215" s="1100"/>
      <c r="AZ215" s="1100"/>
      <c r="BA215" s="1100"/>
      <c r="BB215" s="1100"/>
      <c r="BC215" s="1100"/>
      <c r="BD215" s="1099">
        <f>IF(AI215=0,0,(AT215-AI215)/AI215*100)</f>
        <v>0</v>
      </c>
      <c r="BE215" s="1100"/>
      <c r="BF215" s="1100"/>
      <c r="BG215" s="1100"/>
      <c r="BH215" s="1100"/>
      <c r="BI215" s="1100"/>
      <c r="BJ215" s="1100"/>
      <c r="BK215" s="1100"/>
      <c r="BL215" s="1100"/>
      <c r="BM215" s="1100"/>
      <c r="BN215" s="4617"/>
      <c r="BO215" s="4619" t="str">
        <f>IF(_xlfn.IFERROR(INDEX(Административные!$K$26:$L$84,MATCH($F215&amp;"8komm",Административные!$K$26:$K$84,0),2),"")=0,"",_xlfn.IFERROR(INDEX(Административные!$K$26:$L$84,MATCH($F215&amp;"8komm",Административные!$K$26:$K$84,0),2),""))</f>
        <v/>
      </c>
      <c r="BP215" s="4617"/>
      <c r="BQ215" s="960"/>
      <c r="BR215" s="960"/>
      <c r="BS215" s="1046" t="s">
        <v>1684</v>
      </c>
      <c r="BT215" s="1048"/>
      <c r="BU215" s="1048"/>
      <c r="BV215" s="962"/>
      <c r="BW215" s="962"/>
    </row>
    <row s="1621" customFormat="1" customHeight="1" ht="14.25">
      <c r="A216" s="960"/>
      <c r="B216" s="961"/>
      <c r="C216" s="73"/>
      <c r="D216" s="73"/>
      <c r="E216" s="600">
        <v>15</v>
      </c>
      <c r="F216" s="50" cm="1" t="str">
        <f t="array" ref="F216:F216">OFFSET(E216,-1,1)</f>
        <v>1</v>
      </c>
      <c r="G216" s="73" t="s">
        <v>1127</v>
      </c>
      <c r="H216" s="839"/>
      <c r="I216" s="839" t="s">
        <v>1886</v>
      </c>
      <c r="J216" s="73"/>
      <c r="K216" s="345" t="s">
        <v>1886</v>
      </c>
      <c r="L216" s="963" t="s">
        <v>1685</v>
      </c>
      <c r="M216" s="73"/>
      <c r="N216" s="73"/>
      <c r="O216" s="73"/>
      <c r="P216" s="73"/>
      <c r="Q216" s="73"/>
      <c r="R216" s="73"/>
      <c r="S216" s="73"/>
      <c r="T216" s="439" cm="1" t="str">
        <f t="array" ref="T216:T216">T215</f>
        <v>true</v>
      </c>
      <c r="U216" s="73"/>
      <c r="V216" s="73"/>
      <c r="W216" s="73"/>
      <c r="X216" s="1534"/>
      <c r="Y216" s="960"/>
      <c r="Z216" s="1465"/>
      <c r="AA216" s="960"/>
      <c r="AB216" s="267" t="s">
        <v>1887</v>
      </c>
      <c r="AC216" s="749" t="s">
        <v>1128</v>
      </c>
      <c r="AD216" s="267" t="s">
        <v>784</v>
      </c>
      <c r="AE216" s="1099">
        <f>_xlfn.SUMIFS(Административные!AE$25:AE$84,Административные!$F$25:$F$84,$F216,Административные!$G$25:$G$84,$G216)</f>
        <v>0</v>
      </c>
      <c r="AF216" s="1099">
        <f>_xlfn.SUMIFS(Административные!AF$25:AF$84,Административные!$F$25:$F$84,$F216,Административные!$G$25:$G$84,$G216)</f>
        <v>0</v>
      </c>
      <c r="AG216" s="1099">
        <f>_xlfn.SUMIFS(Административные!AG$25:AG$84,Административные!$F$25:$F$84,$F216,Административные!$G$25:$G$84,$G216)</f>
        <v>0</v>
      </c>
      <c r="AH216" s="1099">
        <f>AG216-AF216</f>
        <v>0</v>
      </c>
      <c r="AI216" s="1099">
        <f>_xlfn.SUMIFS(Административные!AH$25:AH$84,Административные!$F$25:$F$84,$F216,Административные!$G$25:$G$84,$G216)</f>
        <v>0</v>
      </c>
      <c r="AJ216" s="1101">
        <f>_xlfn.SUMIFS(Административные!AI$25:AI$84,Административные!$F$25:$F$84,$F216,Административные!$G$25:$G$84,$G216)</f>
        <v>0</v>
      </c>
      <c r="AK216" s="1100"/>
      <c r="AL216" s="1100"/>
      <c r="AM216" s="1100"/>
      <c r="AN216" s="1100"/>
      <c r="AO216" s="1100"/>
      <c r="AP216" s="1100"/>
      <c r="AQ216" s="1100"/>
      <c r="AR216" s="1100"/>
      <c r="AS216" s="1100"/>
      <c r="AT216" s="1100"/>
      <c r="AU216" s="1100"/>
      <c r="AV216" s="1100"/>
      <c r="AW216" s="1100"/>
      <c r="AX216" s="1100"/>
      <c r="AY216" s="1100"/>
      <c r="AZ216" s="1100"/>
      <c r="BA216" s="1100"/>
      <c r="BB216" s="1100"/>
      <c r="BC216" s="1100"/>
      <c r="BD216" s="1099">
        <f>IF(AI216=0,0,(AT216-AI216)/AI216*100)</f>
        <v>0</v>
      </c>
      <c r="BE216" s="1100"/>
      <c r="BF216" s="1100"/>
      <c r="BG216" s="1100"/>
      <c r="BH216" s="1100"/>
      <c r="BI216" s="1100"/>
      <c r="BJ216" s="1100"/>
      <c r="BK216" s="1100"/>
      <c r="BL216" s="1100"/>
      <c r="BM216" s="1100"/>
      <c r="BN216" s="4617"/>
      <c r="BO216" s="4619" t="str">
        <f>IF(_xlfn.IFERROR(INDEX(Административные!$K$26:$L$84,MATCH($F216&amp;"9komm",Административные!$K$26:$K$84,0),2),"")=0,"",_xlfn.IFERROR(INDEX(Административные!$K$26:$L$84,MATCH($F216&amp;"9komm",Административные!$K$26:$K$84,0),2),""))</f>
        <v/>
      </c>
      <c r="BP216" s="4617"/>
      <c r="BQ216" s="960"/>
      <c r="BR216" s="960"/>
      <c r="BS216" s="1046" t="s">
        <v>1687</v>
      </c>
      <c r="BT216" s="1048"/>
      <c r="BU216" s="1048"/>
      <c r="BV216" s="962"/>
      <c r="BW216" s="962"/>
    </row>
    <row s="1621" customFormat="1" customHeight="1" ht="21.75" hidden="1">
      <c r="A217" s="960"/>
      <c r="B217" s="405">
        <f>STATUS_GO="да"</f>
        <v>0</v>
      </c>
      <c r="C217" s="73"/>
      <c r="D217" s="73"/>
      <c r="E217" s="600">
        <v>22.5</v>
      </c>
      <c r="F217" s="50" cm="1" t="str">
        <f t="array" ref="F217:F217">OFFSET(E217,-1,1)</f>
        <v>1</v>
      </c>
      <c r="G217" s="73"/>
      <c r="H217" s="839"/>
      <c r="I217" s="839" t="s">
        <v>857</v>
      </c>
      <c r="J217" s="73"/>
      <c r="K217" s="345" t="s">
        <v>857</v>
      </c>
      <c r="L217" s="963" t="s">
        <v>329</v>
      </c>
      <c r="M217" s="73"/>
      <c r="N217" s="73"/>
      <c r="O217" s="73"/>
      <c r="P217" s="73"/>
      <c r="Q217" s="73"/>
      <c r="R217" s="73"/>
      <c r="S217" s="73"/>
      <c r="T217" s="439" cm="1" t="str">
        <f t="array" ref="T217:T217">T216</f>
        <v>true</v>
      </c>
      <c r="U217" s="73"/>
      <c r="V217" s="73"/>
      <c r="W217" s="73"/>
      <c r="X217" s="1534"/>
      <c r="Y217" s="960"/>
      <c r="Z217" s="1465"/>
      <c r="AA217" s="960"/>
      <c r="AB217" s="267" t="s">
        <v>858</v>
      </c>
      <c r="AC217" s="743" t="s">
        <v>1888</v>
      </c>
      <c r="AD217" s="267" t="s">
        <v>784</v>
      </c>
      <c r="AE217" s="1099">
        <f>_xlfn.SUMIFS('Сбытовые расходы ГО'!AE$25:AE$63,'Сбытовые расходы ГО'!$F$25:$F$63,$F217,'Сбытовые расходы ГО'!$G$25:$G$63,"L0")-_xlfn.SUMIFS('Сбытовые расходы ГО'!AE$25:AE$63,'Сбытовые расходы ГО'!$F$25:$F$63,$F217,'Сбытовые расходы ГО'!$G$25:$G$63,"L1")</f>
        <v>0</v>
      </c>
      <c r="AF217" s="1099">
        <f>_xlfn.SUMIFS('Сбытовые расходы ГО'!AF$25:AF$63,'Сбытовые расходы ГО'!$F$25:$F$63,$F217,'Сбытовые расходы ГО'!$G$25:$G$63,"L0")-_xlfn.SUMIFS('Сбытовые расходы ГО'!AF$25:AF$63,'Сбытовые расходы ГО'!$F$25:$F$63,$F217,'Сбытовые расходы ГО'!$G$25:$G$63,"L1")</f>
        <v>0</v>
      </c>
      <c r="AG217" s="1099">
        <f>_xlfn.SUMIFS('Сбытовые расходы ГО'!AG$25:AG$63,'Сбытовые расходы ГО'!$F$25:$F$63,$F217,'Сбытовые расходы ГО'!$G$25:$G$63,"L0")-_xlfn.SUMIFS('Сбытовые расходы ГО'!AG$25:AG$63,'Сбытовые расходы ГО'!$F$25:$F$63,$F217,'Сбытовые расходы ГО'!$G$25:$G$63,"L1")</f>
        <v>0</v>
      </c>
      <c r="AH217" s="1099">
        <f>AG217-AF217</f>
        <v>0</v>
      </c>
      <c r="AI217" s="1099">
        <f>_xlfn.SUMIFS('Сбытовые расходы ГО'!AH$25:AH$63,'Сбытовые расходы ГО'!$F$25:$F$63,$F217,'Сбытовые расходы ГО'!$G$25:$G$63,"L0")-_xlfn.SUMIFS('Сбытовые расходы ГО'!AH$25:AH$63,'Сбытовые расходы ГО'!$F$25:$F$63,$F217,'Сбытовые расходы ГО'!$G$25:$G$63,"L1")</f>
        <v>0</v>
      </c>
      <c r="AJ217" s="1099">
        <f>_xlfn.SUMIFS('Сбытовые расходы ГО'!AI$25:AI$63,'Сбытовые расходы ГО'!$F$25:$F$63,$F217,'Сбытовые расходы ГО'!$G$25:$G$63,"L0")-_xlfn.SUMIFS('Сбытовые расходы ГО'!AI$25:AI$63,'Сбытовые расходы ГО'!$F$25:$F$63,$F217,'Сбытовые расходы ГО'!$G$25:$G$63,"L1")</f>
        <v>0</v>
      </c>
      <c r="AK217" s="1100"/>
      <c r="AL217" s="1100"/>
      <c r="AM217" s="1100"/>
      <c r="AN217" s="1100"/>
      <c r="AO217" s="1100"/>
      <c r="AP217" s="1100"/>
      <c r="AQ217" s="1100"/>
      <c r="AR217" s="1100"/>
      <c r="AS217" s="1100"/>
      <c r="AT217" s="1099">
        <f>_xlfn.SUMIFS('Сбытовые расходы ГО'!AJ$25:AJ$63,'Сбытовые расходы ГО'!$F$25:$F$63,$F217,'Сбытовые расходы ГО'!$G$25:$G$63,"L0")-_xlfn.SUMIFS('Сбытовые расходы ГО'!AJ$25:AJ$63,'Сбытовые расходы ГО'!$F$25:$F$63,$F217,'Сбытовые расходы ГО'!$G$25:$G$63,"L1")</f>
        <v>0</v>
      </c>
      <c r="AU217" s="1100"/>
      <c r="AV217" s="1100"/>
      <c r="AW217" s="1100"/>
      <c r="AX217" s="1100"/>
      <c r="AY217" s="1100"/>
      <c r="AZ217" s="1100"/>
      <c r="BA217" s="1100"/>
      <c r="BB217" s="1100"/>
      <c r="BC217" s="1100"/>
      <c r="BD217" s="1099">
        <f>IF(AI217=0,0,(AT217-AI217)/AI217*100)</f>
        <v>0</v>
      </c>
      <c r="BE217" s="1100"/>
      <c r="BF217" s="1100"/>
      <c r="BG217" s="1100"/>
      <c r="BH217" s="1100"/>
      <c r="BI217" s="1100"/>
      <c r="BJ217" s="1100"/>
      <c r="BK217" s="1100"/>
      <c r="BL217" s="1100"/>
      <c r="BM217" s="1100"/>
      <c r="BN217" s="1265"/>
      <c r="BO217" s="1265"/>
      <c r="BP217" s="1265"/>
      <c r="BQ217" s="960"/>
      <c r="BR217" s="960"/>
      <c r="BS217" s="1047" t="s">
        <v>1689</v>
      </c>
      <c r="BT217" s="1048"/>
      <c r="BU217" s="1048"/>
      <c r="BV217" s="962"/>
      <c r="BW217" s="962"/>
    </row>
    <row s="1621" customFormat="1" customHeight="1" ht="14.25">
      <c r="A218" s="960"/>
      <c r="B218" s="961"/>
      <c r="C218" s="73"/>
      <c r="D218" s="73"/>
      <c r="E218" s="600">
        <v>15</v>
      </c>
      <c r="F218" s="50" cm="1" t="str">
        <f t="array" ref="F218:F218">OFFSET(E218,-1,1)</f>
        <v>1</v>
      </c>
      <c r="G218" s="73"/>
      <c r="H218" s="839"/>
      <c r="I218" s="839" t="s">
        <v>1627</v>
      </c>
      <c r="J218" s="73"/>
      <c r="K218" s="345" t="s">
        <v>1627</v>
      </c>
      <c r="L218" s="963"/>
      <c r="M218" s="73"/>
      <c r="N218" s="73"/>
      <c r="O218" s="73"/>
      <c r="P218" s="73"/>
      <c r="Q218" s="73"/>
      <c r="R218" s="73"/>
      <c r="S218" s="73"/>
      <c r="T218" s="439" cm="1" t="str">
        <f t="array" ref="T218:T218">T217</f>
        <v>true</v>
      </c>
      <c r="U218" s="73"/>
      <c r="V218" s="73"/>
      <c r="W218" s="73"/>
      <c r="X218" s="1534"/>
      <c r="Y218" s="960"/>
      <c r="Z218" s="1465"/>
      <c r="AA218" s="960"/>
      <c r="AB218" s="267" t="s">
        <v>1628</v>
      </c>
      <c r="AC218" s="743" t="s">
        <v>1889</v>
      </c>
      <c r="AD218" s="267" t="s">
        <v>784</v>
      </c>
      <c r="AE218" s="4561"/>
      <c r="AF218" s="4561"/>
      <c r="AG218" s="4561"/>
      <c r="AH218" s="1099">
        <f>AG218-AF218</f>
        <v>0</v>
      </c>
      <c r="AI218" s="4561"/>
      <c r="AJ218" s="4561"/>
      <c r="AK218" s="1100"/>
      <c r="AL218" s="1100"/>
      <c r="AM218" s="1100"/>
      <c r="AN218" s="1100"/>
      <c r="AO218" s="1100"/>
      <c r="AP218" s="1100"/>
      <c r="AQ218" s="1100"/>
      <c r="AR218" s="1100"/>
      <c r="AS218" s="1100"/>
      <c r="AT218" s="4561"/>
      <c r="AU218" s="1100"/>
      <c r="AV218" s="1100"/>
      <c r="AW218" s="1100"/>
      <c r="AX218" s="1100"/>
      <c r="AY218" s="1100"/>
      <c r="AZ218" s="1100"/>
      <c r="BA218" s="1100"/>
      <c r="BB218" s="1100"/>
      <c r="BC218" s="1100"/>
      <c r="BD218" s="1099">
        <f>IF(AI218=0,0,(AT218-AI218)/AI218*100)</f>
        <v>0</v>
      </c>
      <c r="BE218" s="1100"/>
      <c r="BF218" s="1100"/>
      <c r="BG218" s="1100"/>
      <c r="BH218" s="1100"/>
      <c r="BI218" s="1100"/>
      <c r="BJ218" s="1100"/>
      <c r="BK218" s="1100"/>
      <c r="BL218" s="1100"/>
      <c r="BM218" s="1100"/>
      <c r="BN218" s="4617"/>
      <c r="BO218" s="4617"/>
      <c r="BP218" s="4617"/>
      <c r="BQ218" s="960"/>
      <c r="BR218" s="960"/>
      <c r="BS218" s="1048" t="s">
        <v>1890</v>
      </c>
      <c r="BT218" s="1048"/>
      <c r="BU218" s="1048"/>
      <c r="BV218" s="962"/>
      <c r="BW218" s="962"/>
    </row>
    <row s="4622" customFormat="1" customHeight="1" ht="20.25">
      <c r="A219" s="680"/>
      <c r="B219" s="408"/>
      <c r="C219" s="75"/>
      <c r="D219" s="75"/>
      <c r="E219" s="807">
        <v>21</v>
      </c>
      <c r="F219" s="50" cm="1" t="str">
        <f t="array" ref="F219:F219">OFFSET(E219,-1,1)</f>
        <v>1</v>
      </c>
      <c r="G219" s="75"/>
      <c r="H219" s="839"/>
      <c r="I219" s="839" t="s">
        <v>1631</v>
      </c>
      <c r="J219" s="75"/>
      <c r="K219" s="345" t="s">
        <v>1631</v>
      </c>
      <c r="L219" s="968"/>
      <c r="M219" s="75"/>
      <c r="N219" s="75"/>
      <c r="O219" s="75"/>
      <c r="P219" s="75"/>
      <c r="Q219" s="75"/>
      <c r="R219" s="75"/>
      <c r="S219" s="75"/>
      <c r="T219" s="439">
        <f>AND(F219&gt;0,method_reg="Метод индексации")</f>
        <v>1</v>
      </c>
      <c r="U219" s="75"/>
      <c r="V219" s="75"/>
      <c r="W219" s="75"/>
      <c r="X219" s="1534"/>
      <c r="Y219" s="680"/>
      <c r="Z219" s="1465"/>
      <c r="AA219" s="680"/>
      <c r="AB219" s="178" t="s">
        <v>1632</v>
      </c>
      <c r="AC219" s="328" t="s">
        <v>1891</v>
      </c>
      <c r="AD219" s="178" t="s">
        <v>784</v>
      </c>
      <c r="AE219" s="180">
        <f>SUM(AE220:AE221)</f>
        <v>0</v>
      </c>
      <c r="AF219" s="180">
        <f>SUM(AF220:AF221)</f>
        <v>0</v>
      </c>
      <c r="AG219" s="180">
        <f>SUM(AG220:AG221)</f>
        <v>0</v>
      </c>
      <c r="AH219" s="759">
        <f>AG219-AF219</f>
        <v>0</v>
      </c>
      <c r="AI219" s="180">
        <f>SUM(AI220:AI221)</f>
        <v>0</v>
      </c>
      <c r="AJ219" s="180">
        <f>SUM(AJ220:AJ221)</f>
        <v>0</v>
      </c>
      <c r="AK219" s="183"/>
      <c r="AL219" s="183"/>
      <c r="AM219" s="183"/>
      <c r="AN219" s="183"/>
      <c r="AO219" s="183"/>
      <c r="AP219" s="183"/>
      <c r="AQ219" s="183"/>
      <c r="AR219" s="183"/>
      <c r="AS219" s="183"/>
      <c r="AT219" s="180">
        <f>SUM(AT220:AT221)</f>
        <v>0</v>
      </c>
      <c r="AU219" s="183"/>
      <c r="AV219" s="183"/>
      <c r="AW219" s="183"/>
      <c r="AX219" s="183"/>
      <c r="AY219" s="183"/>
      <c r="AZ219" s="183"/>
      <c r="BA219" s="183"/>
      <c r="BB219" s="183"/>
      <c r="BC219" s="183"/>
      <c r="BD219" s="759">
        <f>IF(AI219=0,0,(AT219-AI219)/AI219*100)</f>
        <v>0</v>
      </c>
      <c r="BE219" s="183"/>
      <c r="BF219" s="183"/>
      <c r="BG219" s="183"/>
      <c r="BH219" s="183"/>
      <c r="BI219" s="183"/>
      <c r="BJ219" s="183"/>
      <c r="BK219" s="183"/>
      <c r="BL219" s="183"/>
      <c r="BM219" s="183"/>
      <c r="BN219" s="4618"/>
      <c r="BO219" s="4618"/>
      <c r="BP219" s="4618"/>
      <c r="BQ219" s="680"/>
      <c r="BR219" s="680"/>
      <c r="BS219" s="1054" t="s">
        <v>1892</v>
      </c>
      <c r="BT219" s="1054"/>
      <c r="BU219" s="1054"/>
      <c r="BV219" s="687"/>
      <c r="BW219" s="687"/>
    </row>
    <row s="1621" customFormat="1" customHeight="1" ht="14.25" hidden="1">
      <c r="A220" s="960"/>
      <c r="B220" s="405">
        <f>method_reg="Метод индексации"</f>
        <v>1</v>
      </c>
      <c r="C220" s="73"/>
      <c r="D220" s="73"/>
      <c r="E220" s="600">
        <v>15</v>
      </c>
      <c r="F220" s="50" cm="1" t="str">
        <f t="array" ref="F220:F220">OFFSET(E220,-1,1)</f>
        <v>1</v>
      </c>
      <c r="G220" s="73"/>
      <c r="H220" s="73"/>
      <c r="I220" s="839" t="s">
        <v>1631</v>
      </c>
      <c r="J220" s="73" cm="1" t="str">
        <f t="array" ref="J220:J220">AC220</f>
        <v>0</v>
      </c>
      <c r="K220" s="345" t="s">
        <v>1631</v>
      </c>
      <c r="L220" s="963"/>
      <c r="M220" s="73"/>
      <c r="N220" s="73"/>
      <c r="O220" s="73"/>
      <c r="P220" s="73"/>
      <c r="Q220" s="73"/>
      <c r="R220" s="73"/>
      <c r="S220" s="73"/>
      <c r="T220" s="439">
        <f>AND(F220&gt;0,Y220&gt;0)</f>
        <v>0</v>
      </c>
      <c r="U220" s="73"/>
      <c r="V220" s="73"/>
      <c r="W220" s="73" t="s">
        <v>173</v>
      </c>
      <c r="X220" s="1534"/>
      <c r="Y220" s="124">
        <v>0</v>
      </c>
      <c r="Z220" s="1465"/>
      <c r="AA220" s="393" t="s">
        <v>174</v>
      </c>
      <c r="AB220" s="267" t="str">
        <f>"1.7."&amp;Y220</f>
        <v>1.7.0</v>
      </c>
      <c r="AC220" s="1270"/>
      <c r="AD220" s="267" t="s">
        <v>784</v>
      </c>
      <c r="AE220" s="1268"/>
      <c r="AF220" s="1268"/>
      <c r="AG220" s="1268"/>
      <c r="AH220" s="1099">
        <f>AG220-AF220</f>
        <v>0</v>
      </c>
      <c r="AI220" s="1268"/>
      <c r="AJ220" s="4561"/>
      <c r="AK220" s="1100"/>
      <c r="AL220" s="1100"/>
      <c r="AM220" s="1100"/>
      <c r="AN220" s="1100"/>
      <c r="AO220" s="1100"/>
      <c r="AP220" s="1100"/>
      <c r="AQ220" s="1100"/>
      <c r="AR220" s="1100"/>
      <c r="AS220" s="1100"/>
      <c r="AT220" s="4561"/>
      <c r="AU220" s="1100"/>
      <c r="AV220" s="1100"/>
      <c r="AW220" s="1100"/>
      <c r="AX220" s="1100"/>
      <c r="AY220" s="1100"/>
      <c r="AZ220" s="1100"/>
      <c r="BA220" s="1100"/>
      <c r="BB220" s="1100"/>
      <c r="BC220" s="1100"/>
      <c r="BD220" s="1099">
        <f>IF(AI220=0,0,(AT220-AI220)/AI220*100)</f>
        <v>0</v>
      </c>
      <c r="BE220" s="1100"/>
      <c r="BF220" s="1100"/>
      <c r="BG220" s="1100"/>
      <c r="BH220" s="1100"/>
      <c r="BI220" s="1100"/>
      <c r="BJ220" s="1100"/>
      <c r="BK220" s="1100"/>
      <c r="BL220" s="1100"/>
      <c r="BM220" s="1100"/>
      <c r="BN220" s="1265"/>
      <c r="BO220" s="1265"/>
      <c r="BP220" s="1265"/>
      <c r="BQ220" s="960"/>
      <c r="BR220" s="960"/>
      <c r="BS220" s="1048" t="s">
        <v>1892</v>
      </c>
      <c r="BT220" s="1048" t="s">
        <v>1893</v>
      </c>
      <c r="BU220" s="1048" cm="1" t="str">
        <f t="array" ref="BU220:BU220">AC220</f>
        <v>0</v>
      </c>
      <c r="BV220" s="962"/>
      <c r="BW220" s="683" t="b">
        <v>1</v>
      </c>
    </row>
    <row s="1621" customFormat="1" customHeight="1" ht="14.25">
      <c r="A221" s="960"/>
      <c r="B221" s="405" cm="1" t="str">
        <f t="array" ref="B221:B221">B220</f>
        <v>true</v>
      </c>
      <c r="C221" s="73"/>
      <c r="D221" s="73"/>
      <c r="E221" s="600">
        <v>15</v>
      </c>
      <c r="F221" s="50" cm="1" t="str">
        <f t="array" ref="F221:F221">OFFSET(E221,-1,1)</f>
        <v>1</v>
      </c>
      <c r="G221" s="454"/>
      <c r="H221" s="73"/>
      <c r="I221" s="73"/>
      <c r="J221" s="73" t="s">
        <v>1894</v>
      </c>
      <c r="K221" s="960"/>
      <c r="L221" s="963"/>
      <c r="M221" s="73"/>
      <c r="N221" s="73"/>
      <c r="O221" s="73"/>
      <c r="P221" s="73"/>
      <c r="Q221" s="73"/>
      <c r="R221" s="73"/>
      <c r="S221" s="73"/>
      <c r="T221" s="439">
        <f>F221&gt;0</f>
        <v>1</v>
      </c>
      <c r="U221" s="73"/>
      <c r="V221" s="73"/>
      <c r="W221" s="810" t="s">
        <v>392</v>
      </c>
      <c r="X221" s="1534"/>
      <c r="Y221" s="960"/>
      <c r="Z221" s="1465"/>
      <c r="AA221" s="960"/>
      <c r="AB221" s="856"/>
      <c r="AC221" s="227" t="s">
        <v>177</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1893</v>
      </c>
      <c r="BW221" s="962"/>
    </row>
    <row s="4664" customFormat="1" customHeight="1" ht="107.25">
      <c r="A222" s="680"/>
      <c r="B222" s="408"/>
      <c r="C222" s="75"/>
      <c r="D222" s="75"/>
      <c r="E222" s="807">
        <v>21</v>
      </c>
      <c r="F222" s="50" cm="1" t="str">
        <f t="array" ref="F222:F222">OFFSET(E222,-1,1)</f>
        <v>1</v>
      </c>
      <c r="G222" s="75"/>
      <c r="H222" s="73"/>
      <c r="I222" s="73" t="s">
        <v>326</v>
      </c>
      <c r="J222" s="75"/>
      <c r="K222" s="124" t="s">
        <v>326</v>
      </c>
      <c r="L222" s="968"/>
      <c r="M222" s="75"/>
      <c r="N222" s="75"/>
      <c r="O222" s="75"/>
      <c r="P222" s="75"/>
      <c r="Q222" s="75"/>
      <c r="R222" s="75"/>
      <c r="S222" s="75"/>
      <c r="T222" s="439">
        <f>F222&gt;0</f>
        <v>1</v>
      </c>
      <c r="U222" s="75"/>
      <c r="V222" s="75"/>
      <c r="W222" s="75"/>
      <c r="X222" s="1534"/>
      <c r="Y222" s="680"/>
      <c r="Z222" s="1465"/>
      <c r="AA222" s="680"/>
      <c r="AB222" s="201" t="s">
        <v>283</v>
      </c>
      <c r="AC222" s="179" t="s">
        <v>1895</v>
      </c>
      <c r="AD222" s="201" t="s">
        <v>784</v>
      </c>
      <c r="AE222" s="180">
        <f>AE223+AE235+AE236++AE247+AE248+AE249+AE251+AE252+AE253+AE254+AE257</f>
        <v>365.9347407579</v>
      </c>
      <c r="AF222" s="180">
        <f>AF223+AF235+AF236++AF247+AF248+AF249+AF251+AF252+AF253+AF254+AF257</f>
        <v>487.1680486313</v>
      </c>
      <c r="AG222" s="180">
        <f>AG223+AG235+AG236++AG247+AG248+AG249+AG251+AG252+AG253+AG254+AG257</f>
        <v>487.17</v>
      </c>
      <c r="AH222" s="759">
        <f>AG222-AF222</f>
        <v>0.00195136870001988</v>
      </c>
      <c r="AI222" s="180">
        <f>AI223+AI235+AI236++AI247+AI248+AI249+AI251+AI252+AI253+AI254+AI257</f>
        <v>-10.6552666268</v>
      </c>
      <c r="AJ222" s="180">
        <f>AJ223+AJ235+AJ236++AJ247+AJ248+AJ249+AJ251+AJ252+AJ253+AJ254+AJ257</f>
        <v>488.8704665498</v>
      </c>
      <c r="AK222" s="180">
        <f>AK223+AK235+AK236++AK247+AK248+AK249+AK251+AK252+AK253+AK254+AK257</f>
        <v>0</v>
      </c>
      <c r="AL222" s="180">
        <f>AL223+AL235+AL236++AL247+AL248+AL249+AL251+AL252+AL253+AL254+AL257</f>
        <v>0</v>
      </c>
      <c r="AM222" s="180">
        <f>AM223+AM235+AM236++AM247+AM248+AM249+AM251+AM252+AM253+AM254+AM257</f>
        <v>0</v>
      </c>
      <c r="AN222" s="180">
        <f>AN223+AN235+AN236++AN247+AN248+AN249+AN251+AN252+AN253+AN254+AN257</f>
        <v>0</v>
      </c>
      <c r="AO222" s="180">
        <f>AO223+AO235+AO236++AO247+AO248+AO249+AO251+AO252+AO253+AO254+AO257</f>
        <v>0</v>
      </c>
      <c r="AP222" s="180">
        <f>AP223+AP235+AP236++AP247+AP248+AP249+AP251+AP252+AP253+AP254+AP257</f>
        <v>0</v>
      </c>
      <c r="AQ222" s="180">
        <f>AQ223+AQ235+AQ236++AQ247+AQ248+AQ249+AQ251+AQ252+AQ253+AQ254+AQ257</f>
        <v>0</v>
      </c>
      <c r="AR222" s="180">
        <f>AR223+AR235+AR236++AR247+AR248+AR249+AR251+AR252+AR253+AR254+AR257</f>
        <v>0</v>
      </c>
      <c r="AS222" s="180">
        <f>AS223+AS235+AS236++AS247+AS248+AS249+AS251+AS252+AS253+AS254+AS257</f>
        <v>0</v>
      </c>
      <c r="AT222" s="180">
        <f>AT223+AT235+AT236++AT247+AT248+AT249+AT251+AT252+AT253+AT254+AT257</f>
        <v>488.8709465498</v>
      </c>
      <c r="AU222" s="180">
        <f>AU223+AU235+AU236++AU247+AU248+AU249+AU251+AU252+AU253+AU254+AU257</f>
        <v>0</v>
      </c>
      <c r="AV222" s="180">
        <f>AV223+AV235+AV236++AV247+AV248+AV249+AV251+AV252+AV253+AV254+AV257</f>
        <v>0</v>
      </c>
      <c r="AW222" s="180">
        <f>AW223+AW235+AW236++AW247+AW248+AW249+AW251+AW252+AW253+AW254+AW257</f>
        <v>0</v>
      </c>
      <c r="AX222" s="180">
        <f>AX223+AX235+AX236++AX247+AX248+AX249+AX251+AX252+AX253+AX254+AX257</f>
        <v>0</v>
      </c>
      <c r="AY222" s="180">
        <f>AY223+AY235+AY236++AY247+AY248+AY249+AY251+AY252+AY253+AY254+AY257</f>
        <v>0</v>
      </c>
      <c r="AZ222" s="180">
        <f>AZ223+AZ235+AZ236++AZ247+AZ248+AZ249+AZ251+AZ252+AZ253+AZ254+AZ257</f>
        <v>0</v>
      </c>
      <c r="BA222" s="180">
        <f>BA223+BA235+BA236++BA247+BA248+BA249+BA251+BA252+BA253+BA254+BA257</f>
        <v>0</v>
      </c>
      <c r="BB222" s="180">
        <f>BB223+BB235+BB236++BB247+BB248+BB249+BB251+BB252+BB253+BB254+BB257</f>
        <v>0</v>
      </c>
      <c r="BC222" s="180">
        <f>BC223+BC235+BC236++BC247+BC248+BC249+BC251+BC252+BC253+BC254+BC257</f>
        <v>0</v>
      </c>
      <c r="BD222" s="759">
        <f>IF(AI222=0,0,(AT222-AI222)/AI222*100)</f>
        <v>-4688.06863941065</v>
      </c>
      <c r="BE222" s="759">
        <f>IF(AT222=0,0,(AU222-AT222)/AT222*100)</f>
        <v>-100</v>
      </c>
      <c r="BF222" s="759">
        <f>IF(AU222=0,0,(AV222-AU222)/AU222*100)</f>
        <v>0</v>
      </c>
      <c r="BG222" s="759">
        <f>IF(AV222=0,0,(AW222-AV222)/AV222*100)</f>
        <v>0</v>
      </c>
      <c r="BH222" s="759">
        <f>IF(AW222=0,0,(AX222-AW222)/AW222*100)</f>
        <v>0</v>
      </c>
      <c r="BI222" s="759">
        <f>IF(AX222=0,0,(AY222-AX222)/AX222*100)</f>
        <v>0</v>
      </c>
      <c r="BJ222" s="759">
        <f>IF(AY222=0,0,(AZ222-AY222)/AY222*100)</f>
        <v>0</v>
      </c>
      <c r="BK222" s="759">
        <f>IF(AZ222=0,0,(BA222-AZ222)/AZ222*100)</f>
        <v>0</v>
      </c>
      <c r="BL222" s="759">
        <f>IF(BA222=0,0,(BB222-BA222)/BA222*100)</f>
        <v>0</v>
      </c>
      <c r="BM222" s="759">
        <f>IF(BB222=0,0,(BC222-BB222)/BB222*100)</f>
        <v>0</v>
      </c>
      <c r="BN222" s="4617"/>
      <c r="BO222" s="4617" t="s">
        <v>2076</v>
      </c>
      <c r="BP222" s="4617"/>
      <c r="BQ222" s="126"/>
      <c r="BR222" s="680"/>
      <c r="BS222" s="1054" t="s">
        <v>1896</v>
      </c>
      <c r="BT222" s="1054"/>
      <c r="BU222" s="1054"/>
      <c r="BV222" s="687"/>
      <c r="BW222" s="687"/>
    </row>
    <row s="4665" customFormat="1" customHeight="1" ht="21.75">
      <c r="A223" s="680"/>
      <c r="B223" s="408"/>
      <c r="C223" s="75"/>
      <c r="D223" s="75"/>
      <c r="E223" s="807">
        <v>22.5</v>
      </c>
      <c r="F223" s="50" cm="1" t="str">
        <f t="array" ref="F223:F223">OFFSET(E223,-1,1)</f>
        <v>1</v>
      </c>
      <c r="G223" s="341" cm="1" t="str">
        <f t="array" ref="G223:G223">F222</f>
        <v>1</v>
      </c>
      <c r="H223" s="73"/>
      <c r="I223" s="73" t="s">
        <v>459</v>
      </c>
      <c r="J223" s="75"/>
      <c r="K223" s="124" t="s">
        <v>459</v>
      </c>
      <c r="L223" s="968" t="s">
        <v>445</v>
      </c>
      <c r="M223" s="75"/>
      <c r="N223" s="75"/>
      <c r="O223" s="75"/>
      <c r="P223" s="75"/>
      <c r="Q223" s="75"/>
      <c r="R223" s="75"/>
      <c r="S223" s="75"/>
      <c r="T223" s="439" cm="1" t="str">
        <f t="array" ref="T223:T223">T222</f>
        <v>true</v>
      </c>
      <c r="U223" s="75"/>
      <c r="V223" s="75"/>
      <c r="W223" s="75"/>
      <c r="X223" s="1534"/>
      <c r="Y223" s="680"/>
      <c r="Z223" s="1465"/>
      <c r="AA223" s="680"/>
      <c r="AB223" s="178" t="s">
        <v>515</v>
      </c>
      <c r="AC223" s="328" t="s">
        <v>1897</v>
      </c>
      <c r="AD223" s="178" t="s">
        <v>784</v>
      </c>
      <c r="AE223" s="180">
        <f>SUM(AE224:AE234)</f>
        <v>0</v>
      </c>
      <c r="AF223" s="180">
        <f>SUM(AF224:AF234)</f>
        <v>0</v>
      </c>
      <c r="AG223" s="180">
        <f>SUM(AG224:AG234)</f>
        <v>0</v>
      </c>
      <c r="AH223" s="759">
        <f>AG223-AF223</f>
        <v>0</v>
      </c>
      <c r="AI223" s="180">
        <f>SUM(AI224:AI234)</f>
        <v>0</v>
      </c>
      <c r="AJ223" s="180">
        <f>SUM(AJ224:AJ234)</f>
        <v>0</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0</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59">
        <f>IF(AI223=0,0,(AT223-AI223)/AI223*100)</f>
        <v>0</v>
      </c>
      <c r="BE223" s="759">
        <f>IF(AT223=0,0,(AU223-AT223)/AT223*100)</f>
        <v>0</v>
      </c>
      <c r="BF223" s="759">
        <f>IF(AU223=0,0,(AV223-AU223)/AU223*100)</f>
        <v>0</v>
      </c>
      <c r="BG223" s="759">
        <f>IF(AV223=0,0,(AW223-AV223)/AV223*100)</f>
        <v>0</v>
      </c>
      <c r="BH223" s="759">
        <f>IF(AW223=0,0,(AX223-AW223)/AW223*100)</f>
        <v>0</v>
      </c>
      <c r="BI223" s="759">
        <f>IF(AX223=0,0,(AY223-AX223)/AX223*100)</f>
        <v>0</v>
      </c>
      <c r="BJ223" s="759">
        <f>IF(AY223=0,0,(AZ223-AY223)/AY223*100)</f>
        <v>0</v>
      </c>
      <c r="BK223" s="759">
        <f>IF(AZ223=0,0,(BA223-AZ223)/AZ223*100)</f>
        <v>0</v>
      </c>
      <c r="BL223" s="759">
        <f>IF(BA223=0,0,(BB223-BA223)/BA223*100)</f>
        <v>0</v>
      </c>
      <c r="BM223" s="759">
        <f>IF(BB223=0,0,(BC223-BB223)/BB223*100)</f>
        <v>0</v>
      </c>
      <c r="BN223" s="4618"/>
      <c r="BO223" s="4618"/>
      <c r="BP223" s="4618"/>
      <c r="BQ223" s="680"/>
      <c r="BR223" s="680"/>
      <c r="BS223" s="1054" t="s">
        <v>1619</v>
      </c>
      <c r="BT223" s="1054"/>
      <c r="BU223" s="1054"/>
      <c r="BV223" s="687"/>
      <c r="BW223" s="687"/>
    </row>
    <row s="1621" customFormat="1" customHeight="1" ht="14.25">
      <c r="A224" s="960"/>
      <c r="B224" s="961"/>
      <c r="C224" s="73"/>
      <c r="D224" s="73"/>
      <c r="E224" s="600">
        <v>15</v>
      </c>
      <c r="F224" s="50" cm="1" t="str">
        <f t="array" ref="F224:F224">OFFSET(E224,-1,1)</f>
        <v>1</v>
      </c>
      <c r="G224" s="73" t="s">
        <v>1028</v>
      </c>
      <c r="H224" s="73"/>
      <c r="I224" s="73" t="s">
        <v>1445</v>
      </c>
      <c r="J224" s="73"/>
      <c r="K224" s="124" t="s">
        <v>1445</v>
      </c>
      <c r="L224" s="963" t="s">
        <v>1222</v>
      </c>
      <c r="M224" s="73"/>
      <c r="N224" s="73"/>
      <c r="O224" s="73"/>
      <c r="P224" s="73"/>
      <c r="Q224" s="73"/>
      <c r="R224" s="73"/>
      <c r="S224" s="73"/>
      <c r="T224" s="439" cm="1" t="str">
        <f t="array" ref="T224:T224">T223</f>
        <v>true</v>
      </c>
      <c r="U224" s="73"/>
      <c r="V224" s="73"/>
      <c r="W224" s="73"/>
      <c r="X224" s="1534"/>
      <c r="Y224" s="960"/>
      <c r="Z224" s="1465"/>
      <c r="AA224" s="960"/>
      <c r="AB224" s="267" t="s">
        <v>467</v>
      </c>
      <c r="AC224" s="746" t="s">
        <v>1898</v>
      </c>
      <c r="AD224" s="267" t="s">
        <v>784</v>
      </c>
      <c r="AE224" s="1099">
        <f>_xlfn.SUMIFS(Покупка!AE$25:AE$117,Покупка!$F$25:$F$117,$F224,Покупка!$AC$25:$AC$117,$G224)</f>
        <v>0</v>
      </c>
      <c r="AF224" s="1099">
        <f>_xlfn.SUMIFS(Покупка!AF$25:AF$117,Покупка!$F$25:$F$117,$F224,Покупка!$AC$25:$AC$117,$G224)</f>
        <v>0</v>
      </c>
      <c r="AG224" s="1099">
        <f>_xlfn.SUMIFS(Покупка!AG$25:AG$117,Покупка!$F$25:$F$117,$F224,Покупка!$AC$25:$AC$117,$G224)</f>
        <v>0</v>
      </c>
      <c r="AH224" s="1099">
        <f>AG224-AF224</f>
        <v>0</v>
      </c>
      <c r="AI224" s="1099">
        <f>_xlfn.SUMIFS(Покупка!AH$25:AH$117,Покупка!$F$25:$F$117,$F224,Покупка!$AC$25:$AC$117,$G224)</f>
        <v>0</v>
      </c>
      <c r="AJ224" s="1099">
        <f>_xlfn.SUMIFS(Покупка!AI$25:AI$117,Покупка!$F$25:$F$117,$F224,Покупка!$AC$25:$AC$117,$G224)</f>
        <v>0</v>
      </c>
      <c r="AK224" s="1099">
        <f>_xlfn.SUMIFS(Покупка!AJ$25:AJ$117,Покупка!$F$25:$F$117,$F224,Покупка!$AC$25:$AC$117,$G224)</f>
        <v>0</v>
      </c>
      <c r="AL224" s="1099">
        <f>_xlfn.SUMIFS(Покупка!AK$25:AK$117,Покупка!$F$25:$F$117,$F224,Покупка!$AC$25:$AC$117,$G224)</f>
        <v>0</v>
      </c>
      <c r="AM224" s="1099">
        <f>_xlfn.SUMIFS(Покупка!AL$25:AL$117,Покупка!$F$25:$F$117,$F224,Покупка!$AC$25:$AC$117,$G224)</f>
        <v>0</v>
      </c>
      <c r="AN224" s="1099">
        <f>_xlfn.SUMIFS(Покупка!AM$25:AM$117,Покупка!$F$25:$F$117,$F224,Покупка!$AC$25:$AC$117,$G224)</f>
        <v>0</v>
      </c>
      <c r="AO224" s="1099">
        <f>_xlfn.SUMIFS(Покупка!AN$25:AN$117,Покупка!$F$25:$F$117,$F224,Покупка!$AC$25:$AC$117,$G224)</f>
        <v>0</v>
      </c>
      <c r="AP224" s="1099">
        <f>_xlfn.SUMIFS(Покупка!AO$25:AO$117,Покупка!$F$25:$F$117,$F224,Покупка!$AC$25:$AC$117,$G224)</f>
        <v>0</v>
      </c>
      <c r="AQ224" s="1099">
        <f>_xlfn.SUMIFS(Покупка!AP$25:AP$117,Покупка!$F$25:$F$117,$F224,Покупка!$AC$25:$AC$117,$G224)</f>
        <v>0</v>
      </c>
      <c r="AR224" s="1099">
        <f>_xlfn.SUMIFS(Покупка!AQ$25:AQ$117,Покупка!$F$25:$F$117,$F224,Покупка!$AC$25:$AC$117,$G224)</f>
        <v>0</v>
      </c>
      <c r="AS224" s="1099">
        <f>_xlfn.SUMIFS(Покупка!AR$25:AR$117,Покупка!$F$25:$F$117,$F224,Покупка!$AC$25:$AC$117,$G224)</f>
        <v>0</v>
      </c>
      <c r="AT224" s="1099">
        <f>_xlfn.SUMIFS(Покупка!AS$25:AS$117,Покупка!$F$25:$F$117,$F224,Покупка!$AC$25:$AC$117,$G224)</f>
        <v>0</v>
      </c>
      <c r="AU224" s="1099">
        <f>_xlfn.SUMIFS(Покупка!AT$25:AT$117,Покупка!$F$25:$F$117,$F224,Покупка!$AC$25:$AC$117,$G224)</f>
        <v>0</v>
      </c>
      <c r="AV224" s="1099">
        <f>_xlfn.SUMIFS(Покупка!AU$25:AU$117,Покупка!$F$25:$F$117,$F224,Покупка!$AC$25:$AC$117,$G224)</f>
        <v>0</v>
      </c>
      <c r="AW224" s="1099">
        <f>_xlfn.SUMIFS(Покупка!AV$25:AV$117,Покупка!$F$25:$F$117,$F224,Покупка!$AC$25:$AC$117,$G224)</f>
        <v>0</v>
      </c>
      <c r="AX224" s="1099">
        <f>_xlfn.SUMIFS(Покупка!AW$25:AW$117,Покупка!$F$25:$F$117,$F224,Покупка!$AC$25:$AC$117,$G224)</f>
        <v>0</v>
      </c>
      <c r="AY224" s="1099">
        <f>_xlfn.SUMIFS(Покупка!AX$25:AX$117,Покупка!$F$25:$F$117,$F224,Покупка!$AC$25:$AC$117,$G224)</f>
        <v>0</v>
      </c>
      <c r="AZ224" s="1099">
        <f>_xlfn.SUMIFS(Покупка!AY$25:AY$117,Покупка!$F$25:$F$117,$F224,Покупка!$AC$25:$AC$117,$G224)</f>
        <v>0</v>
      </c>
      <c r="BA224" s="1099">
        <f>_xlfn.SUMIFS(Покупка!AZ$25:AZ$117,Покупка!$F$25:$F$117,$F224,Покупка!$AC$25:$AC$117,$G224)</f>
        <v>0</v>
      </c>
      <c r="BB224" s="1099">
        <f>_xlfn.SUMIFS(Покупка!BA$25:BA$117,Покупка!$F$25:$F$117,$F224,Покупка!$AC$25:$AC$117,$G224)</f>
        <v>0</v>
      </c>
      <c r="BC224" s="1099">
        <f>_xlfn.SUMIFS(Покупка!BB$25:BB$117,Покупка!$F$25:$F$117,$F224,Покупка!$AC$25:$AC$117,$G224)</f>
        <v>0</v>
      </c>
      <c r="BD224" s="1099">
        <f>IF(AI224=0,0,(AT224-AI224)/AI224*100)</f>
        <v>0</v>
      </c>
      <c r="BE224" s="1099">
        <f>IF(AT224=0,0,(AU224-AT224)/AT224*100)</f>
        <v>0</v>
      </c>
      <c r="BF224" s="1099">
        <f>IF(AU224=0,0,(AV224-AU224)/AU224*100)</f>
        <v>0</v>
      </c>
      <c r="BG224" s="1099">
        <f>IF(AV224=0,0,(AW224-AV224)/AV224*100)</f>
        <v>0</v>
      </c>
      <c r="BH224" s="1099">
        <f>IF(AW224=0,0,(AX224-AW224)/AW224*100)</f>
        <v>0</v>
      </c>
      <c r="BI224" s="1099">
        <f>IF(AX224=0,0,(AY224-AX224)/AX224*100)</f>
        <v>0</v>
      </c>
      <c r="BJ224" s="1099">
        <f>IF(AY224=0,0,(AZ224-AY224)/AY224*100)</f>
        <v>0</v>
      </c>
      <c r="BK224" s="1099">
        <f>IF(AZ224=0,0,(BA224-AZ224)/AZ224*100)</f>
        <v>0</v>
      </c>
      <c r="BL224" s="1099">
        <f>IF(BA224=0,0,(BB224-BA224)/BA224*100)</f>
        <v>0</v>
      </c>
      <c r="BM224" s="1099">
        <f>IF(BB224=0,0,(BC224-BB224)/BB224*100)</f>
        <v>0</v>
      </c>
      <c r="BN224" s="4617"/>
      <c r="BO224" s="4619" t="str">
        <f>IF(_xlfn.IFERROR(INDEX(Покупка!$K$26:$L$117,MATCH($F224&amp;"6komm",Покупка!$K$26:$K$117,0),2),"")=0,"",_xlfn.IFERROR(INDEX(Покупка!$K$26:$L$117,MATCH($F224&amp;"6komm",Покупка!$K$26:$K$117,0),2),""))</f>
        <v/>
      </c>
      <c r="BP224" s="4617"/>
      <c r="BQ224" s="960"/>
      <c r="BR224" s="960"/>
      <c r="BS224" s="1048" t="s">
        <v>1029</v>
      </c>
      <c r="BT224" s="1048"/>
      <c r="BU224" s="1048"/>
      <c r="BV224" s="962"/>
      <c r="BW224" s="962"/>
    </row>
    <row s="1621" customFormat="1" customHeight="1" ht="14.25">
      <c r="A225" s="960"/>
      <c r="B225" s="961"/>
      <c r="C225" s="73"/>
      <c r="D225" s="73"/>
      <c r="E225" s="600">
        <v>15</v>
      </c>
      <c r="F225" s="50" cm="1" t="str">
        <f t="array" ref="F225:F225">OFFSET(E225,-1,1)</f>
        <v>1</v>
      </c>
      <c r="G225" s="73" t="s">
        <v>1030</v>
      </c>
      <c r="H225" s="73"/>
      <c r="I225" s="73" t="s">
        <v>1449</v>
      </c>
      <c r="J225" s="73"/>
      <c r="K225" s="73" t="s">
        <v>1449</v>
      </c>
      <c r="L225" s="963" t="s">
        <v>1226</v>
      </c>
      <c r="M225" s="73"/>
      <c r="N225" s="73"/>
      <c r="O225" s="73"/>
      <c r="P225" s="73"/>
      <c r="Q225" s="73"/>
      <c r="R225" s="73"/>
      <c r="S225" s="73"/>
      <c r="T225" s="439" cm="1" t="str">
        <f t="array" ref="T225:T225">T224</f>
        <v>true</v>
      </c>
      <c r="U225" s="73"/>
      <c r="V225" s="73"/>
      <c r="W225" s="73"/>
      <c r="X225" s="1534"/>
      <c r="Y225" s="960"/>
      <c r="Z225" s="1465"/>
      <c r="AA225" s="960"/>
      <c r="AB225" s="267" t="s">
        <v>1899</v>
      </c>
      <c r="AC225" s="746" t="s">
        <v>1900</v>
      </c>
      <c r="AD225" s="267" t="s">
        <v>784</v>
      </c>
      <c r="AE225" s="1099">
        <f>_xlfn.SUMIFS(Покупка!AE$25:AE$117,Покупка!$F$25:$F$117,$F225,Покупка!$AC$25:$AC$117,$G225)</f>
        <v>0</v>
      </c>
      <c r="AF225" s="1099">
        <f>_xlfn.SUMIFS(Покупка!AF$25:AF$117,Покупка!$F$25:$F$117,$F225,Покупка!$AC$25:$AC$117,$G225)</f>
        <v>0</v>
      </c>
      <c r="AG225" s="1099">
        <f>_xlfn.SUMIFS(Покупка!AG$25:AG$117,Покупка!$F$25:$F$117,$F225,Покупка!$AC$25:$AC$117,$G225)</f>
        <v>0</v>
      </c>
      <c r="AH225" s="1099">
        <f>AG225-AF225</f>
        <v>0</v>
      </c>
      <c r="AI225" s="1099">
        <f>_xlfn.SUMIFS(Покупка!AH$25:AH$117,Покупка!$F$25:$F$117,$F225,Покупка!$AC$25:$AC$117,$G225)</f>
        <v>0</v>
      </c>
      <c r="AJ225" s="1099">
        <f>_xlfn.SUMIFS(Покупка!AI$25:AI$117,Покупка!$F$25:$F$117,$F225,Покупка!$AC$25:$AC$117,$G225)</f>
        <v>0</v>
      </c>
      <c r="AK225" s="1099">
        <f>_xlfn.SUMIFS(Покупка!AJ$25:AJ$117,Покупка!$F$25:$F$117,$F225,Покупка!$AC$25:$AC$117,$G225)</f>
        <v>0</v>
      </c>
      <c r="AL225" s="1099">
        <f>_xlfn.SUMIFS(Покупка!AK$25:AK$117,Покупка!$F$25:$F$117,$F225,Покупка!$AC$25:$AC$117,$G225)</f>
        <v>0</v>
      </c>
      <c r="AM225" s="1099">
        <f>_xlfn.SUMIFS(Покупка!AL$25:AL$117,Покупка!$F$25:$F$117,$F225,Покупка!$AC$25:$AC$117,$G225)</f>
        <v>0</v>
      </c>
      <c r="AN225" s="1099">
        <f>_xlfn.SUMIFS(Покупка!AM$25:AM$117,Покупка!$F$25:$F$117,$F225,Покупка!$AC$25:$AC$117,$G225)</f>
        <v>0</v>
      </c>
      <c r="AO225" s="1099">
        <f>_xlfn.SUMIFS(Покупка!AN$25:AN$117,Покупка!$F$25:$F$117,$F225,Покупка!$AC$25:$AC$117,$G225)</f>
        <v>0</v>
      </c>
      <c r="AP225" s="1099">
        <f>_xlfn.SUMIFS(Покупка!AO$25:AO$117,Покупка!$F$25:$F$117,$F225,Покупка!$AC$25:$AC$117,$G225)</f>
        <v>0</v>
      </c>
      <c r="AQ225" s="1099">
        <f>_xlfn.SUMIFS(Покупка!AP$25:AP$117,Покупка!$F$25:$F$117,$F225,Покупка!$AC$25:$AC$117,$G225)</f>
        <v>0</v>
      </c>
      <c r="AR225" s="1099">
        <f>_xlfn.SUMIFS(Покупка!AQ$25:AQ$117,Покупка!$F$25:$F$117,$F225,Покупка!$AC$25:$AC$117,$G225)</f>
        <v>0</v>
      </c>
      <c r="AS225" s="1099">
        <f>_xlfn.SUMIFS(Покупка!AR$25:AR$117,Покупка!$F$25:$F$117,$F225,Покупка!$AC$25:$AC$117,$G225)</f>
        <v>0</v>
      </c>
      <c r="AT225" s="1099">
        <f>_xlfn.SUMIFS(Покупка!AS$25:AS$117,Покупка!$F$25:$F$117,$F225,Покупка!$AC$25:$AC$117,$G225)</f>
        <v>0</v>
      </c>
      <c r="AU225" s="1099">
        <f>_xlfn.SUMIFS(Покупка!AT$25:AT$117,Покупка!$F$25:$F$117,$F225,Покупка!$AC$25:$AC$117,$G225)</f>
        <v>0</v>
      </c>
      <c r="AV225" s="1099">
        <f>_xlfn.SUMIFS(Покупка!AU$25:AU$117,Покупка!$F$25:$F$117,$F225,Покупка!$AC$25:$AC$117,$G225)</f>
        <v>0</v>
      </c>
      <c r="AW225" s="1099">
        <f>_xlfn.SUMIFS(Покупка!AV$25:AV$117,Покупка!$F$25:$F$117,$F225,Покупка!$AC$25:$AC$117,$G225)</f>
        <v>0</v>
      </c>
      <c r="AX225" s="1099">
        <f>_xlfn.SUMIFS(Покупка!AW$25:AW$117,Покупка!$F$25:$F$117,$F225,Покупка!$AC$25:$AC$117,$G225)</f>
        <v>0</v>
      </c>
      <c r="AY225" s="1099">
        <f>_xlfn.SUMIFS(Покупка!AX$25:AX$117,Покупка!$F$25:$F$117,$F225,Покупка!$AC$25:$AC$117,$G225)</f>
        <v>0</v>
      </c>
      <c r="AZ225" s="1099">
        <f>_xlfn.SUMIFS(Покупка!AY$25:AY$117,Покупка!$F$25:$F$117,$F225,Покупка!$AC$25:$AC$117,$G225)</f>
        <v>0</v>
      </c>
      <c r="BA225" s="1099">
        <f>_xlfn.SUMIFS(Покупка!AZ$25:AZ$117,Покупка!$F$25:$F$117,$F225,Покупка!$AC$25:$AC$117,$G225)</f>
        <v>0</v>
      </c>
      <c r="BB225" s="1099">
        <f>_xlfn.SUMIFS(Покупка!BA$25:BA$117,Покупка!$F$25:$F$117,$F225,Покупка!$AC$25:$AC$117,$G225)</f>
        <v>0</v>
      </c>
      <c r="BC225" s="1099">
        <f>_xlfn.SUMIFS(Покупка!BB$25:BB$117,Покупка!$F$25:$F$117,$F225,Покупка!$AC$25:$AC$117,$G225)</f>
        <v>0</v>
      </c>
      <c r="BD225" s="1099">
        <f>IF(AI225=0,0,(AT225-AI225)/AI225*100)</f>
        <v>0</v>
      </c>
      <c r="BE225" s="1099">
        <f>IF(AT225=0,0,(AU225-AT225)/AT225*100)</f>
        <v>0</v>
      </c>
      <c r="BF225" s="1099">
        <f>IF(AU225=0,0,(AV225-AU225)/AU225*100)</f>
        <v>0</v>
      </c>
      <c r="BG225" s="1099">
        <f>IF(AV225=0,0,(AW225-AV225)/AV225*100)</f>
        <v>0</v>
      </c>
      <c r="BH225" s="1099">
        <f>IF(AW225=0,0,(AX225-AW225)/AW225*100)</f>
        <v>0</v>
      </c>
      <c r="BI225" s="1099">
        <f>IF(AX225=0,0,(AY225-AX225)/AX225*100)</f>
        <v>0</v>
      </c>
      <c r="BJ225" s="1099">
        <f>IF(AY225=0,0,(AZ225-AY225)/AY225*100)</f>
        <v>0</v>
      </c>
      <c r="BK225" s="1099">
        <f>IF(AZ225=0,0,(BA225-AZ225)/AZ225*100)</f>
        <v>0</v>
      </c>
      <c r="BL225" s="1099">
        <f>IF(BA225=0,0,(BB225-BA225)/BA225*100)</f>
        <v>0</v>
      </c>
      <c r="BM225" s="1099">
        <f>IF(BB225=0,0,(BC225-BB225)/BB225*100)</f>
        <v>0</v>
      </c>
      <c r="BN225" s="4617"/>
      <c r="BO225" s="4619" t="str">
        <f>IF(_xlfn.IFERROR(INDEX(Покупка!$K$26:$L$117,MATCH($F225&amp;"7komm",Покупка!$K$26:$K$117,0),2),"")=0,"",_xlfn.IFERROR(INDEX(Покупка!$K$26:$L$117,MATCH($F225&amp;"7komm",Покупка!$K$26:$K$117,0),2),""))</f>
        <v/>
      </c>
      <c r="BP225" s="4617"/>
      <c r="BQ225" s="960"/>
      <c r="BR225" s="960"/>
      <c r="BS225" s="1048" t="s">
        <v>1031</v>
      </c>
      <c r="BT225" s="1048"/>
      <c r="BU225" s="1048"/>
      <c r="BV225" s="962"/>
      <c r="BW225" s="962"/>
    </row>
    <row s="1621" customFormat="1" customHeight="1" ht="14.25">
      <c r="A226" s="960"/>
      <c r="B226" s="961"/>
      <c r="C226" s="73"/>
      <c r="D226" s="73"/>
      <c r="E226" s="600">
        <v>15</v>
      </c>
      <c r="F226" s="50" cm="1" t="str">
        <f t="array" ref="F226:F226">OFFSET(E226,-1,1)</f>
        <v>1</v>
      </c>
      <c r="G226" s="73" t="s">
        <v>1005</v>
      </c>
      <c r="H226" s="73"/>
      <c r="I226" s="73" t="s">
        <v>1531</v>
      </c>
      <c r="J226" s="73"/>
      <c r="K226" s="73" t="s">
        <v>1531</v>
      </c>
      <c r="L226" s="963" t="s">
        <v>1394</v>
      </c>
      <c r="M226" s="73"/>
      <c r="N226" s="73"/>
      <c r="O226" s="73"/>
      <c r="P226" s="73"/>
      <c r="Q226" s="73"/>
      <c r="R226" s="73"/>
      <c r="S226" s="73"/>
      <c r="T226" s="439" cm="1" t="str">
        <f t="array" ref="T226:T226">T225</f>
        <v>true</v>
      </c>
      <c r="U226" s="73"/>
      <c r="V226" s="73"/>
      <c r="W226" s="73"/>
      <c r="X226" s="1534"/>
      <c r="Y226" s="960"/>
      <c r="Z226" s="1465"/>
      <c r="AA226" s="960"/>
      <c r="AB226" s="267" t="s">
        <v>1901</v>
      </c>
      <c r="AC226" s="746" t="s">
        <v>1902</v>
      </c>
      <c r="AD226" s="267" t="s">
        <v>784</v>
      </c>
      <c r="AE226" s="1099">
        <f>_xlfn.SUMIFS(Покупка!AE$25:AE$117,Покупка!$F$25:$F$117,$F226,Покупка!$AC$25:$AC$117,$G226)</f>
        <v>0</v>
      </c>
      <c r="AF226" s="1099">
        <f>_xlfn.SUMIFS(Покупка!AF$25:AF$117,Покупка!$F$25:$F$117,$F226,Покупка!$AC$25:$AC$117,$G226)</f>
        <v>0</v>
      </c>
      <c r="AG226" s="1099">
        <f>_xlfn.SUMIFS(Покупка!AG$25:AG$117,Покупка!$F$25:$F$117,$F226,Покупка!$AC$25:$AC$117,$G226)</f>
        <v>0</v>
      </c>
      <c r="AH226" s="1099">
        <f>AG226-AF226</f>
        <v>0</v>
      </c>
      <c r="AI226" s="1099">
        <f>_xlfn.SUMIFS(Покупка!AH$25:AH$117,Покупка!$F$25:$F$117,$F226,Покупка!$AC$25:$AC$117,$G226)</f>
        <v>0</v>
      </c>
      <c r="AJ226" s="1099">
        <f>_xlfn.SUMIFS(Покупка!AI$25:AI$117,Покупка!$F$25:$F$117,$F226,Покупка!$AC$25:$AC$117,$G226)</f>
        <v>0</v>
      </c>
      <c r="AK226" s="1099">
        <f>_xlfn.SUMIFS(Покупка!AJ$25:AJ$117,Покупка!$F$25:$F$117,$F226,Покупка!$AC$25:$AC$117,$G226)</f>
        <v>0</v>
      </c>
      <c r="AL226" s="1099">
        <f>_xlfn.SUMIFS(Покупка!AK$25:AK$117,Покупка!$F$25:$F$117,$F226,Покупка!$AC$25:$AC$117,$G226)</f>
        <v>0</v>
      </c>
      <c r="AM226" s="1099">
        <f>_xlfn.SUMIFS(Покупка!AL$25:AL$117,Покупка!$F$25:$F$117,$F226,Покупка!$AC$25:$AC$117,$G226)</f>
        <v>0</v>
      </c>
      <c r="AN226" s="1099">
        <f>_xlfn.SUMIFS(Покупка!AM$25:AM$117,Покупка!$F$25:$F$117,$F226,Покупка!$AC$25:$AC$117,$G226)</f>
        <v>0</v>
      </c>
      <c r="AO226" s="1099">
        <f>_xlfn.SUMIFS(Покупка!AN$25:AN$117,Покупка!$F$25:$F$117,$F226,Покупка!$AC$25:$AC$117,$G226)</f>
        <v>0</v>
      </c>
      <c r="AP226" s="1099">
        <f>_xlfn.SUMIFS(Покупка!AO$25:AO$117,Покупка!$F$25:$F$117,$F226,Покупка!$AC$25:$AC$117,$G226)</f>
        <v>0</v>
      </c>
      <c r="AQ226" s="1099">
        <f>_xlfn.SUMIFS(Покупка!AP$25:AP$117,Покупка!$F$25:$F$117,$F226,Покупка!$AC$25:$AC$117,$G226)</f>
        <v>0</v>
      </c>
      <c r="AR226" s="1099">
        <f>_xlfn.SUMIFS(Покупка!AQ$25:AQ$117,Покупка!$F$25:$F$117,$F226,Покупка!$AC$25:$AC$117,$G226)</f>
        <v>0</v>
      </c>
      <c r="AS226" s="1099">
        <f>_xlfn.SUMIFS(Покупка!AR$25:AR$117,Покупка!$F$25:$F$117,$F226,Покупка!$AC$25:$AC$117,$G226)</f>
        <v>0</v>
      </c>
      <c r="AT226" s="1099">
        <f>_xlfn.SUMIFS(Покупка!AS$25:AS$117,Покупка!$F$25:$F$117,$F226,Покупка!$AC$25:$AC$117,$G226)</f>
        <v>0</v>
      </c>
      <c r="AU226" s="1099">
        <f>_xlfn.SUMIFS(Покупка!AT$25:AT$117,Покупка!$F$25:$F$117,$F226,Покупка!$AC$25:$AC$117,$G226)</f>
        <v>0</v>
      </c>
      <c r="AV226" s="1099">
        <f>_xlfn.SUMIFS(Покупка!AU$25:AU$117,Покупка!$F$25:$F$117,$F226,Покупка!$AC$25:$AC$117,$G226)</f>
        <v>0</v>
      </c>
      <c r="AW226" s="1099">
        <f>_xlfn.SUMIFS(Покупка!AV$25:AV$117,Покупка!$F$25:$F$117,$F226,Покупка!$AC$25:$AC$117,$G226)</f>
        <v>0</v>
      </c>
      <c r="AX226" s="1099">
        <f>_xlfn.SUMIFS(Покупка!AW$25:AW$117,Покупка!$F$25:$F$117,$F226,Покупка!$AC$25:$AC$117,$G226)</f>
        <v>0</v>
      </c>
      <c r="AY226" s="1099">
        <f>_xlfn.SUMIFS(Покупка!AX$25:AX$117,Покупка!$F$25:$F$117,$F226,Покупка!$AC$25:$AC$117,$G226)</f>
        <v>0</v>
      </c>
      <c r="AZ226" s="1099">
        <f>_xlfn.SUMIFS(Покупка!AY$25:AY$117,Покупка!$F$25:$F$117,$F226,Покупка!$AC$25:$AC$117,$G226)</f>
        <v>0</v>
      </c>
      <c r="BA226" s="1099">
        <f>_xlfn.SUMIFS(Покупка!AZ$25:AZ$117,Покупка!$F$25:$F$117,$F226,Покупка!$AC$25:$AC$117,$G226)</f>
        <v>0</v>
      </c>
      <c r="BB226" s="1099">
        <f>_xlfn.SUMIFS(Покупка!BA$25:BA$117,Покупка!$F$25:$F$117,$F226,Покупка!$AC$25:$AC$117,$G226)</f>
        <v>0</v>
      </c>
      <c r="BC226" s="1099">
        <f>_xlfn.SUMIFS(Покупка!BB$25:BB$117,Покупка!$F$25:$F$117,$F226,Покупка!$AC$25:$AC$117,$G226)</f>
        <v>0</v>
      </c>
      <c r="BD226" s="1099">
        <f>IF(AI226=0,0,(AT226-AI226)/AI226*100)</f>
        <v>0</v>
      </c>
      <c r="BE226" s="1099">
        <f>IF(AT226=0,0,(AU226-AT226)/AT226*100)</f>
        <v>0</v>
      </c>
      <c r="BF226" s="1099">
        <f>IF(AU226=0,0,(AV226-AU226)/AU226*100)</f>
        <v>0</v>
      </c>
      <c r="BG226" s="1099">
        <f>IF(AV226=0,0,(AW226-AV226)/AV226*100)</f>
        <v>0</v>
      </c>
      <c r="BH226" s="1099">
        <f>IF(AW226=0,0,(AX226-AW226)/AW226*100)</f>
        <v>0</v>
      </c>
      <c r="BI226" s="1099">
        <f>IF(AX226=0,0,(AY226-AX226)/AX226*100)</f>
        <v>0</v>
      </c>
      <c r="BJ226" s="1099">
        <f>IF(AY226=0,0,(AZ226-AY226)/AY226*100)</f>
        <v>0</v>
      </c>
      <c r="BK226" s="1099">
        <f>IF(AZ226=0,0,(BA226-AZ226)/AZ226*100)</f>
        <v>0</v>
      </c>
      <c r="BL226" s="1099">
        <f>IF(BA226=0,0,(BB226-BA226)/BA226*100)</f>
        <v>0</v>
      </c>
      <c r="BM226" s="1099">
        <f>IF(BB226=0,0,(BC226-BB226)/BB226*100)</f>
        <v>0</v>
      </c>
      <c r="BN226" s="4617"/>
      <c r="BO226" s="4619" t="str">
        <f>IF(_xlfn.IFERROR(INDEX(Покупка!$K$26:$L$117,MATCH($F226&amp;"2komm",Покупка!$K$26:$K$117,0),2),"")=0,"",_xlfn.IFERROR(INDEX(Покупка!$K$26:$L$117,MATCH($F226&amp;"2komm",Покупка!$K$26:$K$117,0),2),""))</f>
        <v/>
      </c>
      <c r="BP226" s="4617"/>
      <c r="BQ226" s="960"/>
      <c r="BR226" s="960"/>
      <c r="BS226" s="1048" t="s">
        <v>1903</v>
      </c>
      <c r="BT226" s="1048"/>
      <c r="BU226" s="1048"/>
      <c r="BV226" s="962"/>
      <c r="BW226" s="962"/>
    </row>
    <row s="1621" customFormat="1" customHeight="1" ht="14.25">
      <c r="A227" s="960"/>
      <c r="B227" s="961"/>
      <c r="C227" s="73"/>
      <c r="D227" s="73"/>
      <c r="E227" s="600">
        <v>15</v>
      </c>
      <c r="F227" s="50" cm="1" t="str">
        <f t="array" ref="F227:F227">OFFSET(E227,-1,1)</f>
        <v>1</v>
      </c>
      <c r="G227" s="73" t="s">
        <v>996</v>
      </c>
      <c r="H227" s="73"/>
      <c r="I227" s="73" t="s">
        <v>1533</v>
      </c>
      <c r="J227" s="73"/>
      <c r="K227" s="73" t="s">
        <v>1533</v>
      </c>
      <c r="L227" s="963" t="s">
        <v>1389</v>
      </c>
      <c r="M227" s="73"/>
      <c r="N227" s="73"/>
      <c r="O227" s="73"/>
      <c r="P227" s="73"/>
      <c r="Q227" s="73"/>
      <c r="R227" s="73"/>
      <c r="S227" s="73"/>
      <c r="T227" s="439" cm="1" t="str">
        <f t="array" ref="T227:T227">T226</f>
        <v>true</v>
      </c>
      <c r="U227" s="73"/>
      <c r="V227" s="73"/>
      <c r="W227" s="73"/>
      <c r="X227" s="1534"/>
      <c r="Y227" s="960"/>
      <c r="Z227" s="1465"/>
      <c r="AA227" s="960"/>
      <c r="AB227" s="267" t="s">
        <v>1904</v>
      </c>
      <c r="AC227" s="746" t="s">
        <v>1905</v>
      </c>
      <c r="AD227" s="267" t="s">
        <v>784</v>
      </c>
      <c r="AE227" s="1099">
        <f>_xlfn.SUMIFS(Покупка!AE$25:AE$117,Покупка!$F$25:$F$117,$F227,Покупка!$AC$25:$AC$117,$G227)</f>
        <v>0</v>
      </c>
      <c r="AF227" s="1099">
        <f>_xlfn.SUMIFS(Покупка!AF$25:AF$117,Покупка!$F$25:$F$117,$F227,Покупка!$AC$25:$AC$117,$G227)</f>
        <v>0</v>
      </c>
      <c r="AG227" s="1099">
        <f>_xlfn.SUMIFS(Покупка!AG$25:AG$117,Покупка!$F$25:$F$117,$F227,Покупка!$AC$25:$AC$117,$G227)</f>
        <v>0</v>
      </c>
      <c r="AH227" s="1099">
        <f>AG227-AF227</f>
        <v>0</v>
      </c>
      <c r="AI227" s="1099">
        <f>_xlfn.SUMIFS(Покупка!AH$25:AH$117,Покупка!$F$25:$F$117,$F227,Покупка!$AC$25:$AC$117,$G227)</f>
        <v>0</v>
      </c>
      <c r="AJ227" s="1099">
        <f>_xlfn.SUMIFS(Покупка!AI$25:AI$117,Покупка!$F$25:$F$117,$F227,Покупка!$AC$25:$AC$117,$G227)</f>
        <v>0</v>
      </c>
      <c r="AK227" s="1099">
        <f>_xlfn.SUMIFS(Покупка!AJ$25:AJ$117,Покупка!$F$25:$F$117,$F227,Покупка!$AC$25:$AC$117,$G227)</f>
        <v>0</v>
      </c>
      <c r="AL227" s="1099">
        <f>_xlfn.SUMIFS(Покупка!AK$25:AK$117,Покупка!$F$25:$F$117,$F227,Покупка!$AC$25:$AC$117,$G227)</f>
        <v>0</v>
      </c>
      <c r="AM227" s="1099">
        <f>_xlfn.SUMIFS(Покупка!AL$25:AL$117,Покупка!$F$25:$F$117,$F227,Покупка!$AC$25:$AC$117,$G227)</f>
        <v>0</v>
      </c>
      <c r="AN227" s="1099">
        <f>_xlfn.SUMIFS(Покупка!AM$25:AM$117,Покупка!$F$25:$F$117,$F227,Покупка!$AC$25:$AC$117,$G227)</f>
        <v>0</v>
      </c>
      <c r="AO227" s="1099">
        <f>_xlfn.SUMIFS(Покупка!AN$25:AN$117,Покупка!$F$25:$F$117,$F227,Покупка!$AC$25:$AC$117,$G227)</f>
        <v>0</v>
      </c>
      <c r="AP227" s="1099">
        <f>_xlfn.SUMIFS(Покупка!AO$25:AO$117,Покупка!$F$25:$F$117,$F227,Покупка!$AC$25:$AC$117,$G227)</f>
        <v>0</v>
      </c>
      <c r="AQ227" s="1099">
        <f>_xlfn.SUMIFS(Покупка!AP$25:AP$117,Покупка!$F$25:$F$117,$F227,Покупка!$AC$25:$AC$117,$G227)</f>
        <v>0</v>
      </c>
      <c r="AR227" s="1099">
        <f>_xlfn.SUMIFS(Покупка!AQ$25:AQ$117,Покупка!$F$25:$F$117,$F227,Покупка!$AC$25:$AC$117,$G227)</f>
        <v>0</v>
      </c>
      <c r="AS227" s="1099">
        <f>_xlfn.SUMIFS(Покупка!AR$25:AR$117,Покупка!$F$25:$F$117,$F227,Покупка!$AC$25:$AC$117,$G227)</f>
        <v>0</v>
      </c>
      <c r="AT227" s="1099">
        <f>_xlfn.SUMIFS(Покупка!AS$25:AS$117,Покупка!$F$25:$F$117,$F227,Покупка!$AC$25:$AC$117,$G227)</f>
        <v>0</v>
      </c>
      <c r="AU227" s="1099">
        <f>_xlfn.SUMIFS(Покупка!AT$25:AT$117,Покупка!$F$25:$F$117,$F227,Покупка!$AC$25:$AC$117,$G227)</f>
        <v>0</v>
      </c>
      <c r="AV227" s="1099">
        <f>_xlfn.SUMIFS(Покупка!AU$25:AU$117,Покупка!$F$25:$F$117,$F227,Покупка!$AC$25:$AC$117,$G227)</f>
        <v>0</v>
      </c>
      <c r="AW227" s="1099">
        <f>_xlfn.SUMIFS(Покупка!AV$25:AV$117,Покупка!$F$25:$F$117,$F227,Покупка!$AC$25:$AC$117,$G227)</f>
        <v>0</v>
      </c>
      <c r="AX227" s="1099">
        <f>_xlfn.SUMIFS(Покупка!AW$25:AW$117,Покупка!$F$25:$F$117,$F227,Покупка!$AC$25:$AC$117,$G227)</f>
        <v>0</v>
      </c>
      <c r="AY227" s="1099">
        <f>_xlfn.SUMIFS(Покупка!AX$25:AX$117,Покупка!$F$25:$F$117,$F227,Покупка!$AC$25:$AC$117,$G227)</f>
        <v>0</v>
      </c>
      <c r="AZ227" s="1099">
        <f>_xlfn.SUMIFS(Покупка!AY$25:AY$117,Покупка!$F$25:$F$117,$F227,Покупка!$AC$25:$AC$117,$G227)</f>
        <v>0</v>
      </c>
      <c r="BA227" s="1099">
        <f>_xlfn.SUMIFS(Покупка!AZ$25:AZ$117,Покупка!$F$25:$F$117,$F227,Покупка!$AC$25:$AC$117,$G227)</f>
        <v>0</v>
      </c>
      <c r="BB227" s="1099">
        <f>_xlfn.SUMIFS(Покупка!BA$25:BA$117,Покупка!$F$25:$F$117,$F227,Покупка!$AC$25:$AC$117,$G227)</f>
        <v>0</v>
      </c>
      <c r="BC227" s="1099">
        <f>_xlfn.SUMIFS(Покупка!BB$25:BB$117,Покупка!$F$25:$F$117,$F227,Покупка!$AC$25:$AC$117,$G227)</f>
        <v>0</v>
      </c>
      <c r="BD227" s="1099">
        <f>IF(AI227=0,0,(AT227-AI227)/AI227*100)</f>
        <v>0</v>
      </c>
      <c r="BE227" s="1099">
        <f>IF(AT227=0,0,(AU227-AT227)/AT227*100)</f>
        <v>0</v>
      </c>
      <c r="BF227" s="1099">
        <f>IF(AU227=0,0,(AV227-AU227)/AU227*100)</f>
        <v>0</v>
      </c>
      <c r="BG227" s="1099">
        <f>IF(AV227=0,0,(AW227-AV227)/AV227*100)</f>
        <v>0</v>
      </c>
      <c r="BH227" s="1099">
        <f>IF(AW227=0,0,(AX227-AW227)/AW227*100)</f>
        <v>0</v>
      </c>
      <c r="BI227" s="1099">
        <f>IF(AX227=0,0,(AY227-AX227)/AX227*100)</f>
        <v>0</v>
      </c>
      <c r="BJ227" s="1099">
        <f>IF(AY227=0,0,(AZ227-AY227)/AY227*100)</f>
        <v>0</v>
      </c>
      <c r="BK227" s="1099">
        <f>IF(AZ227=0,0,(BA227-AZ227)/AZ227*100)</f>
        <v>0</v>
      </c>
      <c r="BL227" s="1099">
        <f>IF(BA227=0,0,(BB227-BA227)/BA227*100)</f>
        <v>0</v>
      </c>
      <c r="BM227" s="1099">
        <f>IF(BB227=0,0,(BC227-BB227)/BB227*100)</f>
        <v>0</v>
      </c>
      <c r="BN227" s="4617"/>
      <c r="BO227" s="4619" t="str">
        <f>IF(_xlfn.IFERROR(INDEX(Покупка!$K$26:$L$117,MATCH($F227&amp;"1komm",Покупка!$K$26:$K$117,0),2),"")=0,"",_xlfn.IFERROR(INDEX(Покупка!$K$26:$L$117,MATCH($F227&amp;"1komm",Покупка!$K$26:$K$117,0),2),""))</f>
        <v/>
      </c>
      <c r="BP227" s="4617"/>
      <c r="BQ227" s="960"/>
      <c r="BR227" s="960"/>
      <c r="BS227" s="1048" t="s">
        <v>1906</v>
      </c>
      <c r="BT227" s="1048"/>
      <c r="BU227" s="1048"/>
      <c r="BV227" s="962"/>
      <c r="BW227" s="962"/>
    </row>
    <row s="1621" customFormat="1" customHeight="1" ht="14.25">
      <c r="A228" s="960"/>
      <c r="B228" s="961"/>
      <c r="C228" s="73"/>
      <c r="D228" s="73"/>
      <c r="E228" s="600">
        <v>15</v>
      </c>
      <c r="F228" s="50" cm="1" t="str">
        <f t="array" ref="F228:F228">OFFSET(E228,-1,1)</f>
        <v>1</v>
      </c>
      <c r="G228" s="73" t="s">
        <v>1032</v>
      </c>
      <c r="H228" s="73"/>
      <c r="I228" s="73" t="s">
        <v>1536</v>
      </c>
      <c r="J228" s="73"/>
      <c r="K228" s="73" t="s">
        <v>1536</v>
      </c>
      <c r="L228" s="963"/>
      <c r="M228" s="73"/>
      <c r="N228" s="73"/>
      <c r="O228" s="73"/>
      <c r="P228" s="73"/>
      <c r="Q228" s="73"/>
      <c r="R228" s="73"/>
      <c r="S228" s="73"/>
      <c r="T228" s="439" cm="1" t="str">
        <f t="array" ref="T228:T228">T227</f>
        <v>true</v>
      </c>
      <c r="U228" s="73"/>
      <c r="V228" s="73"/>
      <c r="W228" s="73"/>
      <c r="X228" s="1534"/>
      <c r="Y228" s="960"/>
      <c r="Z228" s="1465"/>
      <c r="AA228" s="960"/>
      <c r="AB228" s="267" t="s">
        <v>1907</v>
      </c>
      <c r="AC228" s="746" t="s">
        <v>1908</v>
      </c>
      <c r="AD228" s="267" t="s">
        <v>784</v>
      </c>
      <c r="AE228" s="1099">
        <f>_xlfn.SUMIFS(Покупка!AE$25:AE$117,Покупка!$F$25:$F$117,$F228,Покупка!$AC$25:$AC$117,$G228)</f>
        <v>0</v>
      </c>
      <c r="AF228" s="1099">
        <f>_xlfn.SUMIFS(Покупка!AF$25:AF$117,Покупка!$F$25:$F$117,$F228,Покупка!$AC$25:$AC$117,$G228)</f>
        <v>0</v>
      </c>
      <c r="AG228" s="1099">
        <f>_xlfn.SUMIFS(Покупка!AG$25:AG$117,Покупка!$F$25:$F$117,$F228,Покупка!$AC$25:$AC$117,$G228)</f>
        <v>0</v>
      </c>
      <c r="AH228" s="1099">
        <f>AG228-AF228</f>
        <v>0</v>
      </c>
      <c r="AI228" s="1099">
        <f>_xlfn.SUMIFS(Покупка!AH$25:AH$117,Покупка!$F$25:$F$117,$F228,Покупка!$AC$25:$AC$117,$G228)</f>
        <v>0</v>
      </c>
      <c r="AJ228" s="1099">
        <f>_xlfn.SUMIFS(Покупка!AI$25:AI$117,Покупка!$F$25:$F$117,$F228,Покупка!$AC$25:$AC$117,$G228)</f>
        <v>0</v>
      </c>
      <c r="AK228" s="1099">
        <f>_xlfn.SUMIFS(Покупка!AJ$25:AJ$117,Покупка!$F$25:$F$117,$F228,Покупка!$AC$25:$AC$117,$G228)</f>
        <v>0</v>
      </c>
      <c r="AL228" s="1099">
        <f>_xlfn.SUMIFS(Покупка!AK$25:AK$117,Покупка!$F$25:$F$117,$F228,Покупка!$AC$25:$AC$117,$G228)</f>
        <v>0</v>
      </c>
      <c r="AM228" s="1099">
        <f>_xlfn.SUMIFS(Покупка!AL$25:AL$117,Покупка!$F$25:$F$117,$F228,Покупка!$AC$25:$AC$117,$G228)</f>
        <v>0</v>
      </c>
      <c r="AN228" s="1099">
        <f>_xlfn.SUMIFS(Покупка!AM$25:AM$117,Покупка!$F$25:$F$117,$F228,Покупка!$AC$25:$AC$117,$G228)</f>
        <v>0</v>
      </c>
      <c r="AO228" s="1099">
        <f>_xlfn.SUMIFS(Покупка!AN$25:AN$117,Покупка!$F$25:$F$117,$F228,Покупка!$AC$25:$AC$117,$G228)</f>
        <v>0</v>
      </c>
      <c r="AP228" s="1099">
        <f>_xlfn.SUMIFS(Покупка!AO$25:AO$117,Покупка!$F$25:$F$117,$F228,Покупка!$AC$25:$AC$117,$G228)</f>
        <v>0</v>
      </c>
      <c r="AQ228" s="1099">
        <f>_xlfn.SUMIFS(Покупка!AP$25:AP$117,Покупка!$F$25:$F$117,$F228,Покупка!$AC$25:$AC$117,$G228)</f>
        <v>0</v>
      </c>
      <c r="AR228" s="1099">
        <f>_xlfn.SUMIFS(Покупка!AQ$25:AQ$117,Покупка!$F$25:$F$117,$F228,Покупка!$AC$25:$AC$117,$G228)</f>
        <v>0</v>
      </c>
      <c r="AS228" s="1099">
        <f>_xlfn.SUMIFS(Покупка!AR$25:AR$117,Покупка!$F$25:$F$117,$F228,Покупка!$AC$25:$AC$117,$G228)</f>
        <v>0</v>
      </c>
      <c r="AT228" s="1099">
        <f>_xlfn.SUMIFS(Покупка!AS$25:AS$117,Покупка!$F$25:$F$117,$F228,Покупка!$AC$25:$AC$117,$G228)</f>
        <v>0</v>
      </c>
      <c r="AU228" s="1099">
        <f>_xlfn.SUMIFS(Покупка!AT$25:AT$117,Покупка!$F$25:$F$117,$F228,Покупка!$AC$25:$AC$117,$G228)</f>
        <v>0</v>
      </c>
      <c r="AV228" s="1099">
        <f>_xlfn.SUMIFS(Покупка!AU$25:AU$117,Покупка!$F$25:$F$117,$F228,Покупка!$AC$25:$AC$117,$G228)</f>
        <v>0</v>
      </c>
      <c r="AW228" s="1099">
        <f>_xlfn.SUMIFS(Покупка!AV$25:AV$117,Покупка!$F$25:$F$117,$F228,Покупка!$AC$25:$AC$117,$G228)</f>
        <v>0</v>
      </c>
      <c r="AX228" s="1099">
        <f>_xlfn.SUMIFS(Покупка!AW$25:AW$117,Покупка!$F$25:$F$117,$F228,Покупка!$AC$25:$AC$117,$G228)</f>
        <v>0</v>
      </c>
      <c r="AY228" s="1099">
        <f>_xlfn.SUMIFS(Покупка!AX$25:AX$117,Покупка!$F$25:$F$117,$F228,Покупка!$AC$25:$AC$117,$G228)</f>
        <v>0</v>
      </c>
      <c r="AZ228" s="1099">
        <f>_xlfn.SUMIFS(Покупка!AY$25:AY$117,Покупка!$F$25:$F$117,$F228,Покупка!$AC$25:$AC$117,$G228)</f>
        <v>0</v>
      </c>
      <c r="BA228" s="1099">
        <f>_xlfn.SUMIFS(Покупка!AZ$25:AZ$117,Покупка!$F$25:$F$117,$F228,Покупка!$AC$25:$AC$117,$G228)</f>
        <v>0</v>
      </c>
      <c r="BB228" s="1099">
        <f>_xlfn.SUMIFS(Покупка!BA$25:BA$117,Покупка!$F$25:$F$117,$F228,Покупка!$AC$25:$AC$117,$G228)</f>
        <v>0</v>
      </c>
      <c r="BC228" s="1099">
        <f>_xlfn.SUMIFS(Покупка!BB$25:BB$117,Покупка!$F$25:$F$117,$F228,Покупка!$AC$25:$AC$117,$G228)</f>
        <v>0</v>
      </c>
      <c r="BD228" s="1099">
        <f>IF(AI228=0,0,(AT228-AI228)/AI228*100)</f>
        <v>0</v>
      </c>
      <c r="BE228" s="1099">
        <f>IF(AT228=0,0,(AU228-AT228)/AT228*100)</f>
        <v>0</v>
      </c>
      <c r="BF228" s="1099">
        <f>IF(AU228=0,0,(AV228-AU228)/AU228*100)</f>
        <v>0</v>
      </c>
      <c r="BG228" s="1099">
        <f>IF(AV228=0,0,(AW228-AV228)/AV228*100)</f>
        <v>0</v>
      </c>
      <c r="BH228" s="1099">
        <f>IF(AW228=0,0,(AX228-AW228)/AW228*100)</f>
        <v>0</v>
      </c>
      <c r="BI228" s="1099">
        <f>IF(AX228=0,0,(AY228-AX228)/AX228*100)</f>
        <v>0</v>
      </c>
      <c r="BJ228" s="1099">
        <f>IF(AY228=0,0,(AZ228-AY228)/AY228*100)</f>
        <v>0</v>
      </c>
      <c r="BK228" s="1099">
        <f>IF(AZ228=0,0,(BA228-AZ228)/AZ228*100)</f>
        <v>0</v>
      </c>
      <c r="BL228" s="1099">
        <f>IF(BA228=0,0,(BB228-BA228)/BA228*100)</f>
        <v>0</v>
      </c>
      <c r="BM228" s="1099">
        <f>IF(BB228=0,0,(BC228-BB228)/BB228*100)</f>
        <v>0</v>
      </c>
      <c r="BN228" s="4617"/>
      <c r="BO228" s="4619" t="str">
        <f>IF(_xlfn.IFERROR(INDEX(Покупка!$K$26:$L$117,MATCH($F228&amp;"8komm",Покупка!$K$26:$K$117,0),2),"")=0,"",_xlfn.IFERROR(INDEX(Покупка!$K$26:$L$117,MATCH($F228&amp;"8komm",Покупка!$K$26:$K$117,0),2),""))</f>
        <v/>
      </c>
      <c r="BP228" s="4617"/>
      <c r="BQ228" s="960"/>
      <c r="BR228" s="960"/>
      <c r="BS228" s="1048" t="s">
        <v>1033</v>
      </c>
      <c r="BT228" s="1048"/>
      <c r="BU228" s="1048"/>
      <c r="BV228" s="962"/>
      <c r="BW228" s="962"/>
    </row>
    <row s="1621" customFormat="1" customHeight="1" ht="14.25">
      <c r="A229" s="960"/>
      <c r="B229" s="961"/>
      <c r="C229" s="73"/>
      <c r="D229" s="73"/>
      <c r="E229" s="600">
        <v>15</v>
      </c>
      <c r="F229" s="50" cm="1" t="str">
        <f t="array" ref="F229:F229">OFFSET(E229,-1,1)</f>
        <v>1</v>
      </c>
      <c r="G229" s="73"/>
      <c r="H229" s="73"/>
      <c r="I229" s="73" t="s">
        <v>1909</v>
      </c>
      <c r="J229" s="73"/>
      <c r="K229" s="73" t="s">
        <v>1909</v>
      </c>
      <c r="L229" s="963"/>
      <c r="M229" s="73"/>
      <c r="N229" s="73"/>
      <c r="O229" s="73"/>
      <c r="P229" s="73"/>
      <c r="Q229" s="73"/>
      <c r="R229" s="73"/>
      <c r="S229" s="73"/>
      <c r="T229" s="439" cm="1" t="str">
        <f t="array" ref="T229:T229">T228</f>
        <v>true</v>
      </c>
      <c r="U229" s="73"/>
      <c r="V229" s="73"/>
      <c r="W229" s="73"/>
      <c r="X229" s="1534"/>
      <c r="Y229" s="960"/>
      <c r="Z229" s="1465"/>
      <c r="AA229" s="960"/>
      <c r="AB229" s="267" t="s">
        <v>1910</v>
      </c>
      <c r="AC229" s="746" t="s">
        <v>1911</v>
      </c>
      <c r="AD229" s="267" t="s">
        <v>784</v>
      </c>
      <c r="AE229" s="4561"/>
      <c r="AF229" s="4561"/>
      <c r="AG229" s="4561"/>
      <c r="AH229" s="1099">
        <f>AG229-AF229</f>
        <v>0</v>
      </c>
      <c r="AI229" s="4561"/>
      <c r="AJ229" s="4561"/>
      <c r="AK229" s="1268"/>
      <c r="AL229" s="1268"/>
      <c r="AM229" s="4561"/>
      <c r="AN229" s="4561"/>
      <c r="AO229" s="4561"/>
      <c r="AP229" s="4561"/>
      <c r="AQ229" s="4561"/>
      <c r="AR229" s="4561"/>
      <c r="AS229" s="4561"/>
      <c r="AT229" s="4561"/>
      <c r="AU229" s="1268"/>
      <c r="AV229" s="1268"/>
      <c r="AW229" s="4561"/>
      <c r="AX229" s="4561"/>
      <c r="AY229" s="4561"/>
      <c r="AZ229" s="4561"/>
      <c r="BA229" s="4561"/>
      <c r="BB229" s="4561"/>
      <c r="BC229" s="4561"/>
      <c r="BD229" s="1099">
        <f>IF(AI229=0,0,(AT229-AI229)/AI229*100)</f>
        <v>0</v>
      </c>
      <c r="BE229" s="1099">
        <f>IF(AT229=0,0,(AU229-AT229)/AT229*100)</f>
        <v>0</v>
      </c>
      <c r="BF229" s="1099">
        <f>IF(AU229=0,0,(AV229-AU229)/AU229*100)</f>
        <v>0</v>
      </c>
      <c r="BG229" s="1099">
        <f>IF(AV229=0,0,(AW229-AV229)/AV229*100)</f>
        <v>0</v>
      </c>
      <c r="BH229" s="1099">
        <f>IF(AW229=0,0,(AX229-AW229)/AW229*100)</f>
        <v>0</v>
      </c>
      <c r="BI229" s="1099">
        <f>IF(AX229=0,0,(AY229-AX229)/AX229*100)</f>
        <v>0</v>
      </c>
      <c r="BJ229" s="1099">
        <f>IF(AY229=0,0,(AZ229-AY229)/AY229*100)</f>
        <v>0</v>
      </c>
      <c r="BK229" s="1099">
        <f>IF(AZ229=0,0,(BA229-AZ229)/AZ229*100)</f>
        <v>0</v>
      </c>
      <c r="BL229" s="1099">
        <f>IF(BA229=0,0,(BB229-BA229)/BA229*100)</f>
        <v>0</v>
      </c>
      <c r="BM229" s="1099">
        <f>IF(BB229=0,0,(BC229-BB229)/BB229*100)</f>
        <v>0</v>
      </c>
      <c r="BN229" s="4617"/>
      <c r="BO229" s="4617"/>
      <c r="BP229" s="4617"/>
      <c r="BQ229" s="960"/>
      <c r="BR229" s="960"/>
      <c r="BS229" s="1048" t="s">
        <v>1912</v>
      </c>
      <c r="BT229" s="1048"/>
      <c r="BU229" s="1048"/>
      <c r="BV229" s="962"/>
      <c r="BW229" s="962"/>
    </row>
    <row s="1621" customFormat="1" customHeight="1" ht="14.25">
      <c r="A230" s="960"/>
      <c r="B230" s="961"/>
      <c r="C230" s="73"/>
      <c r="D230" s="73"/>
      <c r="E230" s="600">
        <v>15</v>
      </c>
      <c r="F230" s="50" cm="1" t="str">
        <f t="array" ref="F230:F230">OFFSET(E230,-1,1)</f>
        <v>1</v>
      </c>
      <c r="G230" s="73"/>
      <c r="H230" s="73"/>
      <c r="I230" s="73" t="s">
        <v>1913</v>
      </c>
      <c r="J230" s="73"/>
      <c r="K230" s="73" t="s">
        <v>1913</v>
      </c>
      <c r="L230" s="963"/>
      <c r="M230" s="73"/>
      <c r="N230" s="73"/>
      <c r="O230" s="73"/>
      <c r="P230" s="73"/>
      <c r="Q230" s="73"/>
      <c r="R230" s="73"/>
      <c r="S230" s="73"/>
      <c r="T230" s="439" cm="1" t="str">
        <f t="array" ref="T230:T230">T229</f>
        <v>true</v>
      </c>
      <c r="U230" s="73"/>
      <c r="V230" s="73"/>
      <c r="W230" s="73"/>
      <c r="X230" s="1534"/>
      <c r="Y230" s="960"/>
      <c r="Z230" s="1465"/>
      <c r="AA230" s="960"/>
      <c r="AB230" s="267" t="s">
        <v>1914</v>
      </c>
      <c r="AC230" s="746" t="s">
        <v>1915</v>
      </c>
      <c r="AD230" s="267" t="s">
        <v>784</v>
      </c>
      <c r="AE230" s="4561"/>
      <c r="AF230" s="4561"/>
      <c r="AG230" s="4561"/>
      <c r="AH230" s="1099">
        <f>AG230-AF230</f>
        <v>0</v>
      </c>
      <c r="AI230" s="4561"/>
      <c r="AJ230" s="4561"/>
      <c r="AK230" s="1268"/>
      <c r="AL230" s="1268"/>
      <c r="AM230" s="4561"/>
      <c r="AN230" s="4561"/>
      <c r="AO230" s="4561"/>
      <c r="AP230" s="4561"/>
      <c r="AQ230" s="4561"/>
      <c r="AR230" s="4561"/>
      <c r="AS230" s="4561"/>
      <c r="AT230" s="4561"/>
      <c r="AU230" s="1268"/>
      <c r="AV230" s="1268"/>
      <c r="AW230" s="4561"/>
      <c r="AX230" s="4561"/>
      <c r="AY230" s="4561"/>
      <c r="AZ230" s="4561"/>
      <c r="BA230" s="4561"/>
      <c r="BB230" s="4561"/>
      <c r="BC230" s="4561"/>
      <c r="BD230" s="1099">
        <f>IF(AI230=0,0,(AT230-AI230)/AI230*100)</f>
        <v>0</v>
      </c>
      <c r="BE230" s="1099">
        <f>IF(AT230=0,0,(AU230-AT230)/AT230*100)</f>
        <v>0</v>
      </c>
      <c r="BF230" s="1099">
        <f>IF(AU230=0,0,(AV230-AU230)/AU230*100)</f>
        <v>0</v>
      </c>
      <c r="BG230" s="1099">
        <f>IF(AV230=0,0,(AW230-AV230)/AV230*100)</f>
        <v>0</v>
      </c>
      <c r="BH230" s="1099">
        <f>IF(AW230=0,0,(AX230-AW230)/AW230*100)</f>
        <v>0</v>
      </c>
      <c r="BI230" s="1099">
        <f>IF(AX230=0,0,(AY230-AX230)/AX230*100)</f>
        <v>0</v>
      </c>
      <c r="BJ230" s="1099">
        <f>IF(AY230=0,0,(AZ230-AY230)/AY230*100)</f>
        <v>0</v>
      </c>
      <c r="BK230" s="1099">
        <f>IF(AZ230=0,0,(BA230-AZ230)/AZ230*100)</f>
        <v>0</v>
      </c>
      <c r="BL230" s="1099">
        <f>IF(BA230=0,0,(BB230-BA230)/BA230*100)</f>
        <v>0</v>
      </c>
      <c r="BM230" s="1099">
        <f>IF(BB230=0,0,(BC230-BB230)/BB230*100)</f>
        <v>0</v>
      </c>
      <c r="BN230" s="4617"/>
      <c r="BO230" s="4617"/>
      <c r="BP230" s="4617"/>
      <c r="BQ230" s="960"/>
      <c r="BR230" s="960"/>
      <c r="BS230" s="1048" t="s">
        <v>1916</v>
      </c>
      <c r="BT230" s="1048"/>
      <c r="BU230" s="1048"/>
      <c r="BV230" s="962"/>
      <c r="BW230" s="962"/>
    </row>
    <row s="1621" customFormat="1" customHeight="1" ht="14.25">
      <c r="A231" s="960"/>
      <c r="B231" s="961"/>
      <c r="C231" s="73"/>
      <c r="D231" s="73"/>
      <c r="E231" s="600">
        <v>15</v>
      </c>
      <c r="F231" s="50" cm="1" t="str">
        <f t="array" ref="F231:F231">OFFSET(E231,-1,1)</f>
        <v>1</v>
      </c>
      <c r="G231" s="73" t="s">
        <v>1010</v>
      </c>
      <c r="H231" s="73"/>
      <c r="I231" s="73" t="s">
        <v>1917</v>
      </c>
      <c r="J231" s="73"/>
      <c r="K231" s="73" t="s">
        <v>1917</v>
      </c>
      <c r="L231" s="963" t="s">
        <v>1403</v>
      </c>
      <c r="M231" s="73"/>
      <c r="N231" s="73"/>
      <c r="O231" s="73"/>
      <c r="P231" s="73"/>
      <c r="Q231" s="73"/>
      <c r="R231" s="73"/>
      <c r="S231" s="73"/>
      <c r="T231" s="439" cm="1" t="str">
        <f t="array" ref="T231:T231">T230</f>
        <v>true</v>
      </c>
      <c r="U231" s="73"/>
      <c r="V231" s="73"/>
      <c r="W231" s="73"/>
      <c r="X231" s="1534"/>
      <c r="Y231" s="960"/>
      <c r="Z231" s="1465"/>
      <c r="AA231" s="960"/>
      <c r="AB231" s="267" t="s">
        <v>1918</v>
      </c>
      <c r="AC231" s="746" t="s">
        <v>1919</v>
      </c>
      <c r="AD231" s="267" t="s">
        <v>784</v>
      </c>
      <c r="AE231" s="1099">
        <f>_xlfn.SUMIFS(Покупка!AE$25:AE$117,Покупка!$F$25:$F$117,$F231,Покупка!$AC$25:$AC$117,$G231)</f>
        <v>0</v>
      </c>
      <c r="AF231" s="1099">
        <f>_xlfn.SUMIFS(Покупка!AF$25:AF$117,Покупка!$F$25:$F$117,$F231,Покупка!$AC$25:$AC$117,$G231)</f>
        <v>0</v>
      </c>
      <c r="AG231" s="1099">
        <f>_xlfn.SUMIFS(Покупка!AG$25:AG$117,Покупка!$F$25:$F$117,$F231,Покупка!$AC$25:$AC$117,$G231)</f>
        <v>0</v>
      </c>
      <c r="AH231" s="1099">
        <f>AG231-AF231</f>
        <v>0</v>
      </c>
      <c r="AI231" s="1099">
        <f>_xlfn.SUMIFS(Покупка!AH$25:AH$117,Покупка!$F$25:$F$117,$F231,Покупка!$AC$25:$AC$117,$G231)</f>
        <v>0</v>
      </c>
      <c r="AJ231" s="1099">
        <f>_xlfn.SUMIFS(Покупка!AI$25:AI$117,Покупка!$F$25:$F$117,$F231,Покупка!$AC$25:$AC$117,$G231)</f>
        <v>0</v>
      </c>
      <c r="AK231" s="1099">
        <f>_xlfn.SUMIFS(Покупка!AJ$25:AJ$117,Покупка!$F$25:$F$117,$F231,Покупка!$AC$25:$AC$117,$G231)</f>
        <v>0</v>
      </c>
      <c r="AL231" s="1099">
        <f>_xlfn.SUMIFS(Покупка!AK$25:AK$117,Покупка!$F$25:$F$117,$F231,Покупка!$AC$25:$AC$117,$G231)</f>
        <v>0</v>
      </c>
      <c r="AM231" s="1099">
        <f>_xlfn.SUMIFS(Покупка!AL$25:AL$117,Покупка!$F$25:$F$117,$F231,Покупка!$AC$25:$AC$117,$G231)</f>
        <v>0</v>
      </c>
      <c r="AN231" s="1099">
        <f>_xlfn.SUMIFS(Покупка!AM$25:AM$117,Покупка!$F$25:$F$117,$F231,Покупка!$AC$25:$AC$117,$G231)</f>
        <v>0</v>
      </c>
      <c r="AO231" s="1099">
        <f>_xlfn.SUMIFS(Покупка!AN$25:AN$117,Покупка!$F$25:$F$117,$F231,Покупка!$AC$25:$AC$117,$G231)</f>
        <v>0</v>
      </c>
      <c r="AP231" s="1099">
        <f>_xlfn.SUMIFS(Покупка!AO$25:AO$117,Покупка!$F$25:$F$117,$F231,Покупка!$AC$25:$AC$117,$G231)</f>
        <v>0</v>
      </c>
      <c r="AQ231" s="1099">
        <f>_xlfn.SUMIFS(Покупка!AP$25:AP$117,Покупка!$F$25:$F$117,$F231,Покупка!$AC$25:$AC$117,$G231)</f>
        <v>0</v>
      </c>
      <c r="AR231" s="1099">
        <f>_xlfn.SUMIFS(Покупка!AQ$25:AQ$117,Покупка!$F$25:$F$117,$F231,Покупка!$AC$25:$AC$117,$G231)</f>
        <v>0</v>
      </c>
      <c r="AS231" s="1099">
        <f>_xlfn.SUMIFS(Покупка!AR$25:AR$117,Покупка!$F$25:$F$117,$F231,Покупка!$AC$25:$AC$117,$G231)</f>
        <v>0</v>
      </c>
      <c r="AT231" s="1099">
        <f>_xlfn.SUMIFS(Покупка!AS$25:AS$117,Покупка!$F$25:$F$117,$F231,Покупка!$AC$25:$AC$117,$G231)</f>
        <v>0</v>
      </c>
      <c r="AU231" s="1099">
        <f>_xlfn.SUMIFS(Покупка!AT$25:AT$117,Покупка!$F$25:$F$117,$F231,Покупка!$AC$25:$AC$117,$G231)</f>
        <v>0</v>
      </c>
      <c r="AV231" s="1099">
        <f>_xlfn.SUMIFS(Покупка!AU$25:AU$117,Покупка!$F$25:$F$117,$F231,Покупка!$AC$25:$AC$117,$G231)</f>
        <v>0</v>
      </c>
      <c r="AW231" s="1099">
        <f>_xlfn.SUMIFS(Покупка!AV$25:AV$117,Покупка!$F$25:$F$117,$F231,Покупка!$AC$25:$AC$117,$G231)</f>
        <v>0</v>
      </c>
      <c r="AX231" s="1099">
        <f>_xlfn.SUMIFS(Покупка!AW$25:AW$117,Покупка!$F$25:$F$117,$F231,Покупка!$AC$25:$AC$117,$G231)</f>
        <v>0</v>
      </c>
      <c r="AY231" s="1099">
        <f>_xlfn.SUMIFS(Покупка!AX$25:AX$117,Покупка!$F$25:$F$117,$F231,Покупка!$AC$25:$AC$117,$G231)</f>
        <v>0</v>
      </c>
      <c r="AZ231" s="1099">
        <f>_xlfn.SUMIFS(Покупка!AY$25:AY$117,Покупка!$F$25:$F$117,$F231,Покупка!$AC$25:$AC$117,$G231)</f>
        <v>0</v>
      </c>
      <c r="BA231" s="1099">
        <f>_xlfn.SUMIFS(Покупка!AZ$25:AZ$117,Покупка!$F$25:$F$117,$F231,Покупка!$AC$25:$AC$117,$G231)</f>
        <v>0</v>
      </c>
      <c r="BB231" s="1099">
        <f>_xlfn.SUMIFS(Покупка!BA$25:BA$117,Покупка!$F$25:$F$117,$F231,Покупка!$AC$25:$AC$117,$G231)</f>
        <v>0</v>
      </c>
      <c r="BC231" s="1099">
        <f>_xlfn.SUMIFS(Покупка!BB$25:BB$117,Покупка!$F$25:$F$117,$F231,Покупка!$AC$25:$AC$117,$G231)</f>
        <v>0</v>
      </c>
      <c r="BD231" s="1099">
        <f>IF(AI231=0,0,(AT231-AI231)/AI231*100)</f>
        <v>0</v>
      </c>
      <c r="BE231" s="1099">
        <f>IF(AT231=0,0,(AU231-AT231)/AT231*100)</f>
        <v>0</v>
      </c>
      <c r="BF231" s="1099">
        <f>IF(AU231=0,0,(AV231-AU231)/AU231*100)</f>
        <v>0</v>
      </c>
      <c r="BG231" s="1099">
        <f>IF(AV231=0,0,(AW231-AV231)/AV231*100)</f>
        <v>0</v>
      </c>
      <c r="BH231" s="1099">
        <f>IF(AW231=0,0,(AX231-AW231)/AW231*100)</f>
        <v>0</v>
      </c>
      <c r="BI231" s="1099">
        <f>IF(AX231=0,0,(AY231-AX231)/AX231*100)</f>
        <v>0</v>
      </c>
      <c r="BJ231" s="1099">
        <f>IF(AY231=0,0,(AZ231-AY231)/AY231*100)</f>
        <v>0</v>
      </c>
      <c r="BK231" s="1099">
        <f>IF(AZ231=0,0,(BA231-AZ231)/AZ231*100)</f>
        <v>0</v>
      </c>
      <c r="BL231" s="1099">
        <f>IF(BA231=0,0,(BB231-BA231)/BA231*100)</f>
        <v>0</v>
      </c>
      <c r="BM231" s="1099">
        <f>IF(BB231=0,0,(BC231-BB231)/BB231*100)</f>
        <v>0</v>
      </c>
      <c r="BN231" s="4617"/>
      <c r="BO231" s="4619" t="str">
        <f>IF(_xlfn.IFERROR(INDEX(Покупка!$K$26:$L$117,MATCH($F231&amp;"3komm",Покупка!$K$26:$K$117,0),2),"")=0,"",_xlfn.IFERROR(INDEX(Покупка!$K$26:$L$117,MATCH($F231&amp;"3komm",Покупка!$K$26:$K$117,0),2),""))</f>
        <v/>
      </c>
      <c r="BP231" s="4617"/>
      <c r="BQ231" s="960"/>
      <c r="BR231" s="960"/>
      <c r="BS231" s="1048" t="s">
        <v>1611</v>
      </c>
      <c r="BT231" s="1048"/>
      <c r="BU231" s="1048"/>
      <c r="BV231" s="962"/>
      <c r="BW231" s="962"/>
    </row>
    <row s="1621" customFormat="1" customHeight="1" ht="14.25">
      <c r="A232" s="960"/>
      <c r="B232" s="961"/>
      <c r="C232" s="73"/>
      <c r="D232" s="73"/>
      <c r="E232" s="600">
        <v>15</v>
      </c>
      <c r="F232" s="50" cm="1" t="str">
        <f t="array" ref="F232:F232">OFFSET(E232,-1,1)</f>
        <v>1</v>
      </c>
      <c r="G232" s="73" t="s">
        <v>1016</v>
      </c>
      <c r="H232" s="73"/>
      <c r="I232" s="73" t="s">
        <v>1920</v>
      </c>
      <c r="J232" s="73"/>
      <c r="K232" s="73" t="s">
        <v>1920</v>
      </c>
      <c r="L232" s="963" t="s">
        <v>1408</v>
      </c>
      <c r="M232" s="73"/>
      <c r="N232" s="73"/>
      <c r="O232" s="73"/>
      <c r="P232" s="73"/>
      <c r="Q232" s="73"/>
      <c r="R232" s="73"/>
      <c r="S232" s="73"/>
      <c r="T232" s="439" cm="1" t="str">
        <f t="array" ref="T232:T232">T231</f>
        <v>true</v>
      </c>
      <c r="U232" s="73"/>
      <c r="V232" s="73"/>
      <c r="W232" s="73"/>
      <c r="X232" s="1534"/>
      <c r="Y232" s="960"/>
      <c r="Z232" s="1465"/>
      <c r="AA232" s="960"/>
      <c r="AB232" s="267" t="s">
        <v>1921</v>
      </c>
      <c r="AC232" s="746" t="s">
        <v>1922</v>
      </c>
      <c r="AD232" s="267" t="s">
        <v>784</v>
      </c>
      <c r="AE232" s="1099">
        <f>_xlfn.SUMIFS(Покупка!AE$25:AE$117,Покупка!$F$25:$F$117,$F232,Покупка!$AC$25:$AC$117,$G232)</f>
        <v>0</v>
      </c>
      <c r="AF232" s="1099">
        <f>_xlfn.SUMIFS(Покупка!AF$25:AF$117,Покупка!$F$25:$F$117,$F232,Покупка!$AC$25:$AC$117,$G232)</f>
        <v>0</v>
      </c>
      <c r="AG232" s="1099">
        <f>_xlfn.SUMIFS(Покупка!AG$25:AG$117,Покупка!$F$25:$F$117,$F232,Покупка!$AC$25:$AC$117,$G232)</f>
        <v>0</v>
      </c>
      <c r="AH232" s="1099">
        <f>AG232-AF232</f>
        <v>0</v>
      </c>
      <c r="AI232" s="1099">
        <f>_xlfn.SUMIFS(Покупка!AH$25:AH$117,Покупка!$F$25:$F$117,$F232,Покупка!$AC$25:$AC$117,$G232)</f>
        <v>0</v>
      </c>
      <c r="AJ232" s="1099">
        <f>_xlfn.SUMIFS(Покупка!AI$25:AI$117,Покупка!$F$25:$F$117,$F232,Покупка!$AC$25:$AC$117,$G232)</f>
        <v>0</v>
      </c>
      <c r="AK232" s="1099">
        <f>_xlfn.SUMIFS(Покупка!AJ$25:AJ$117,Покупка!$F$25:$F$117,$F232,Покупка!$AC$25:$AC$117,$G232)</f>
        <v>0</v>
      </c>
      <c r="AL232" s="1099">
        <f>_xlfn.SUMIFS(Покупка!AK$25:AK$117,Покупка!$F$25:$F$117,$F232,Покупка!$AC$25:$AC$117,$G232)</f>
        <v>0</v>
      </c>
      <c r="AM232" s="1099">
        <f>_xlfn.SUMIFS(Покупка!AL$25:AL$117,Покупка!$F$25:$F$117,$F232,Покупка!$AC$25:$AC$117,$G232)</f>
        <v>0</v>
      </c>
      <c r="AN232" s="1099">
        <f>_xlfn.SUMIFS(Покупка!AM$25:AM$117,Покупка!$F$25:$F$117,$F232,Покупка!$AC$25:$AC$117,$G232)</f>
        <v>0</v>
      </c>
      <c r="AO232" s="1099">
        <f>_xlfn.SUMIFS(Покупка!AN$25:AN$117,Покупка!$F$25:$F$117,$F232,Покупка!$AC$25:$AC$117,$G232)</f>
        <v>0</v>
      </c>
      <c r="AP232" s="1099">
        <f>_xlfn.SUMIFS(Покупка!AO$25:AO$117,Покупка!$F$25:$F$117,$F232,Покупка!$AC$25:$AC$117,$G232)</f>
        <v>0</v>
      </c>
      <c r="AQ232" s="1099">
        <f>_xlfn.SUMIFS(Покупка!AP$25:AP$117,Покупка!$F$25:$F$117,$F232,Покупка!$AC$25:$AC$117,$G232)</f>
        <v>0</v>
      </c>
      <c r="AR232" s="1099">
        <f>_xlfn.SUMIFS(Покупка!AQ$25:AQ$117,Покупка!$F$25:$F$117,$F232,Покупка!$AC$25:$AC$117,$G232)</f>
        <v>0</v>
      </c>
      <c r="AS232" s="1099">
        <f>_xlfn.SUMIFS(Покупка!AR$25:AR$117,Покупка!$F$25:$F$117,$F232,Покупка!$AC$25:$AC$117,$G232)</f>
        <v>0</v>
      </c>
      <c r="AT232" s="1099">
        <f>_xlfn.SUMIFS(Покупка!AS$25:AS$117,Покупка!$F$25:$F$117,$F232,Покупка!$AC$25:$AC$117,$G232)</f>
        <v>0</v>
      </c>
      <c r="AU232" s="1099">
        <f>_xlfn.SUMIFS(Покупка!AT$25:AT$117,Покупка!$F$25:$F$117,$F232,Покупка!$AC$25:$AC$117,$G232)</f>
        <v>0</v>
      </c>
      <c r="AV232" s="1099">
        <f>_xlfn.SUMIFS(Покупка!AU$25:AU$117,Покупка!$F$25:$F$117,$F232,Покупка!$AC$25:$AC$117,$G232)</f>
        <v>0</v>
      </c>
      <c r="AW232" s="1099">
        <f>_xlfn.SUMIFS(Покупка!AV$25:AV$117,Покупка!$F$25:$F$117,$F232,Покупка!$AC$25:$AC$117,$G232)</f>
        <v>0</v>
      </c>
      <c r="AX232" s="1099">
        <f>_xlfn.SUMIFS(Покупка!AW$25:AW$117,Покупка!$F$25:$F$117,$F232,Покупка!$AC$25:$AC$117,$G232)</f>
        <v>0</v>
      </c>
      <c r="AY232" s="1099">
        <f>_xlfn.SUMIFS(Покупка!AX$25:AX$117,Покупка!$F$25:$F$117,$F232,Покупка!$AC$25:$AC$117,$G232)</f>
        <v>0</v>
      </c>
      <c r="AZ232" s="1099">
        <f>_xlfn.SUMIFS(Покупка!AY$25:AY$117,Покупка!$F$25:$F$117,$F232,Покупка!$AC$25:$AC$117,$G232)</f>
        <v>0</v>
      </c>
      <c r="BA232" s="1099">
        <f>_xlfn.SUMIFS(Покупка!AZ$25:AZ$117,Покупка!$F$25:$F$117,$F232,Покупка!$AC$25:$AC$117,$G232)</f>
        <v>0</v>
      </c>
      <c r="BB232" s="1099">
        <f>_xlfn.SUMIFS(Покупка!BA$25:BA$117,Покупка!$F$25:$F$117,$F232,Покупка!$AC$25:$AC$117,$G232)</f>
        <v>0</v>
      </c>
      <c r="BC232" s="1099">
        <f>_xlfn.SUMIFS(Покупка!BB$25:BB$117,Покупка!$F$25:$F$117,$F232,Покупка!$AC$25:$AC$117,$G232)</f>
        <v>0</v>
      </c>
      <c r="BD232" s="1099">
        <f>IF(AI232=0,0,(AT232-AI232)/AI232*100)</f>
        <v>0</v>
      </c>
      <c r="BE232" s="1099">
        <f>IF(AT232=0,0,(AU232-AT232)/AT232*100)</f>
        <v>0</v>
      </c>
      <c r="BF232" s="1099">
        <f>IF(AU232=0,0,(AV232-AU232)/AU232*100)</f>
        <v>0</v>
      </c>
      <c r="BG232" s="1099">
        <f>IF(AV232=0,0,(AW232-AV232)/AV232*100)</f>
        <v>0</v>
      </c>
      <c r="BH232" s="1099">
        <f>IF(AW232=0,0,(AX232-AW232)/AW232*100)</f>
        <v>0</v>
      </c>
      <c r="BI232" s="1099">
        <f>IF(AX232=0,0,(AY232-AX232)/AX232*100)</f>
        <v>0</v>
      </c>
      <c r="BJ232" s="1099">
        <f>IF(AY232=0,0,(AZ232-AY232)/AY232*100)</f>
        <v>0</v>
      </c>
      <c r="BK232" s="1099">
        <f>IF(AZ232=0,0,(BA232-AZ232)/AZ232*100)</f>
        <v>0</v>
      </c>
      <c r="BL232" s="1099">
        <f>IF(BA232=0,0,(BB232-BA232)/BA232*100)</f>
        <v>0</v>
      </c>
      <c r="BM232" s="1099">
        <f>IF(BB232=0,0,(BC232-BB232)/BB232*100)</f>
        <v>0</v>
      </c>
      <c r="BN232" s="4617"/>
      <c r="BO232" s="4619" t="str">
        <f>IF(_xlfn.IFERROR(INDEX(Покупка!$K$26:$L$117,MATCH($F232&amp;"4komm",Покупка!$K$26:$K$117,0),2),"")=0,"",_xlfn.IFERROR(INDEX(Покупка!$K$26:$L$117,MATCH($F231&amp;"3komm",Покупка!$K$26:$K$117,0),2),""))</f>
        <v/>
      </c>
      <c r="BP232" s="4617"/>
      <c r="BQ232" s="960"/>
      <c r="BR232" s="960"/>
      <c r="BS232" s="1048" t="s">
        <v>1614</v>
      </c>
      <c r="BT232" s="1048"/>
      <c r="BU232" s="1048"/>
      <c r="BV232" s="962"/>
      <c r="BW232" s="962"/>
    </row>
    <row s="1621" customFormat="1" customHeight="1" ht="14.25">
      <c r="A233" s="960"/>
      <c r="B233" s="961"/>
      <c r="C233" s="73"/>
      <c r="D233" s="73"/>
      <c r="E233" s="600">
        <v>15</v>
      </c>
      <c r="F233" s="50" cm="1" t="str">
        <f t="array" ref="F233:F233">OFFSET(E233,-1,1)</f>
        <v>1</v>
      </c>
      <c r="G233" s="73" t="s">
        <v>1022</v>
      </c>
      <c r="H233" s="73"/>
      <c r="I233" s="73" t="s">
        <v>1923</v>
      </c>
      <c r="J233" s="73"/>
      <c r="K233" s="73" t="s">
        <v>1923</v>
      </c>
      <c r="L233" s="963" t="s">
        <v>1418</v>
      </c>
      <c r="M233" s="73"/>
      <c r="N233" s="73"/>
      <c r="O233" s="73"/>
      <c r="P233" s="73"/>
      <c r="Q233" s="73"/>
      <c r="R233" s="73"/>
      <c r="S233" s="73"/>
      <c r="T233" s="439" cm="1" t="str">
        <f t="array" ref="T233:T233">T232</f>
        <v>true</v>
      </c>
      <c r="U233" s="73"/>
      <c r="V233" s="73"/>
      <c r="W233" s="73"/>
      <c r="X233" s="1534"/>
      <c r="Y233" s="960"/>
      <c r="Z233" s="1465"/>
      <c r="AA233" s="960"/>
      <c r="AB233" s="267" t="s">
        <v>1924</v>
      </c>
      <c r="AC233" s="746" t="s">
        <v>1925</v>
      </c>
      <c r="AD233" s="267" t="s">
        <v>784</v>
      </c>
      <c r="AE233" s="1099">
        <f>_xlfn.SUMIFS(Покупка!AE$25:AE$117,Покупка!$F$25:$F$117,$F233,Покупка!$AC$25:$AC$117,$G233)</f>
        <v>0</v>
      </c>
      <c r="AF233" s="1099">
        <f>_xlfn.SUMIFS(Покупка!AF$25:AF$117,Покупка!$F$25:$F$117,$F233,Покупка!$AC$25:$AC$117,$G233)</f>
        <v>0</v>
      </c>
      <c r="AG233" s="1099">
        <f>_xlfn.SUMIFS(Покупка!AG$25:AG$117,Покупка!$F$25:$F$117,$F233,Покупка!$AC$25:$AC$117,$G233)</f>
        <v>0</v>
      </c>
      <c r="AH233" s="1099">
        <f>AG233-AF233</f>
        <v>0</v>
      </c>
      <c r="AI233" s="1099">
        <f>_xlfn.SUMIFS(Покупка!AH$25:AH$117,Покупка!$F$25:$F$117,$F233,Покупка!$AC$25:$AC$117,$G233)</f>
        <v>0</v>
      </c>
      <c r="AJ233" s="1099">
        <f>_xlfn.SUMIFS(Покупка!AI$25:AI$117,Покупка!$F$25:$F$117,$F233,Покупка!$AC$25:$AC$117,$G233)</f>
        <v>0</v>
      </c>
      <c r="AK233" s="1099">
        <f>_xlfn.SUMIFS(Покупка!AJ$25:AJ$117,Покупка!$F$25:$F$117,$F233,Покупка!$AC$25:$AC$117,$G233)</f>
        <v>0</v>
      </c>
      <c r="AL233" s="1099">
        <f>_xlfn.SUMIFS(Покупка!AK$25:AK$117,Покупка!$F$25:$F$117,$F233,Покупка!$AC$25:$AC$117,$G233)</f>
        <v>0</v>
      </c>
      <c r="AM233" s="1099">
        <f>_xlfn.SUMIFS(Покупка!AL$25:AL$117,Покупка!$F$25:$F$117,$F233,Покупка!$AC$25:$AC$117,$G233)</f>
        <v>0</v>
      </c>
      <c r="AN233" s="1099">
        <f>_xlfn.SUMIFS(Покупка!AM$25:AM$117,Покупка!$F$25:$F$117,$F233,Покупка!$AC$25:$AC$117,$G233)</f>
        <v>0</v>
      </c>
      <c r="AO233" s="1099">
        <f>_xlfn.SUMIFS(Покупка!AN$25:AN$117,Покупка!$F$25:$F$117,$F233,Покупка!$AC$25:$AC$117,$G233)</f>
        <v>0</v>
      </c>
      <c r="AP233" s="1099">
        <f>_xlfn.SUMIFS(Покупка!AO$25:AO$117,Покупка!$F$25:$F$117,$F233,Покупка!$AC$25:$AC$117,$G233)</f>
        <v>0</v>
      </c>
      <c r="AQ233" s="1099">
        <f>_xlfn.SUMIFS(Покупка!AP$25:AP$117,Покупка!$F$25:$F$117,$F233,Покупка!$AC$25:$AC$117,$G233)</f>
        <v>0</v>
      </c>
      <c r="AR233" s="1099">
        <f>_xlfn.SUMIFS(Покупка!AQ$25:AQ$117,Покупка!$F$25:$F$117,$F233,Покупка!$AC$25:$AC$117,$G233)</f>
        <v>0</v>
      </c>
      <c r="AS233" s="1099">
        <f>_xlfn.SUMIFS(Покупка!AR$25:AR$117,Покупка!$F$25:$F$117,$F233,Покупка!$AC$25:$AC$117,$G233)</f>
        <v>0</v>
      </c>
      <c r="AT233" s="1099">
        <f>_xlfn.SUMIFS(Покупка!AS$25:AS$117,Покупка!$F$25:$F$117,$F233,Покупка!$AC$25:$AC$117,$G233)</f>
        <v>0</v>
      </c>
      <c r="AU233" s="1099">
        <f>_xlfn.SUMIFS(Покупка!AT$25:AT$117,Покупка!$F$25:$F$117,$F233,Покупка!$AC$25:$AC$117,$G233)</f>
        <v>0</v>
      </c>
      <c r="AV233" s="1099">
        <f>_xlfn.SUMIFS(Покупка!AU$25:AU$117,Покупка!$F$25:$F$117,$F233,Покупка!$AC$25:$AC$117,$G233)</f>
        <v>0</v>
      </c>
      <c r="AW233" s="1099">
        <f>_xlfn.SUMIFS(Покупка!AV$25:AV$117,Покупка!$F$25:$F$117,$F233,Покупка!$AC$25:$AC$117,$G233)</f>
        <v>0</v>
      </c>
      <c r="AX233" s="1099">
        <f>_xlfn.SUMIFS(Покупка!AW$25:AW$117,Покупка!$F$25:$F$117,$F233,Покупка!$AC$25:$AC$117,$G233)</f>
        <v>0</v>
      </c>
      <c r="AY233" s="1099">
        <f>_xlfn.SUMIFS(Покупка!AX$25:AX$117,Покупка!$F$25:$F$117,$F233,Покупка!$AC$25:$AC$117,$G233)</f>
        <v>0</v>
      </c>
      <c r="AZ233" s="1099">
        <f>_xlfn.SUMIFS(Покупка!AY$25:AY$117,Покупка!$F$25:$F$117,$F233,Покупка!$AC$25:$AC$117,$G233)</f>
        <v>0</v>
      </c>
      <c r="BA233" s="1099">
        <f>_xlfn.SUMIFS(Покупка!AZ$25:AZ$117,Покупка!$F$25:$F$117,$F233,Покупка!$AC$25:$AC$117,$G233)</f>
        <v>0</v>
      </c>
      <c r="BB233" s="1099">
        <f>_xlfn.SUMIFS(Покупка!BA$25:BA$117,Покупка!$F$25:$F$117,$F233,Покупка!$AC$25:$AC$117,$G233)</f>
        <v>0</v>
      </c>
      <c r="BC233" s="1099">
        <f>_xlfn.SUMIFS(Покупка!BB$25:BB$117,Покупка!$F$25:$F$117,$F233,Покупка!$AC$25:$AC$117,$G233)</f>
        <v>0</v>
      </c>
      <c r="BD233" s="1099">
        <f>IF(AI233=0,0,(AT233-AI233)/AI233*100)</f>
        <v>0</v>
      </c>
      <c r="BE233" s="1099">
        <f>IF(AT233=0,0,(AU233-AT233)/AT233*100)</f>
        <v>0</v>
      </c>
      <c r="BF233" s="1099">
        <f>IF(AU233=0,0,(AV233-AU233)/AU233*100)</f>
        <v>0</v>
      </c>
      <c r="BG233" s="1099">
        <f>IF(AV233=0,0,(AW233-AV233)/AV233*100)</f>
        <v>0</v>
      </c>
      <c r="BH233" s="1099">
        <f>IF(AW233=0,0,(AX233-AW233)/AW233*100)</f>
        <v>0</v>
      </c>
      <c r="BI233" s="1099">
        <f>IF(AX233=0,0,(AY233-AX233)/AX233*100)</f>
        <v>0</v>
      </c>
      <c r="BJ233" s="1099">
        <f>IF(AY233=0,0,(AZ233-AY233)/AY233*100)</f>
        <v>0</v>
      </c>
      <c r="BK233" s="1099">
        <f>IF(AZ233=0,0,(BA233-AZ233)/AZ233*100)</f>
        <v>0</v>
      </c>
      <c r="BL233" s="1099">
        <f>IF(BA233=0,0,(BB233-BA233)/BA233*100)</f>
        <v>0</v>
      </c>
      <c r="BM233" s="1099">
        <f>IF(BB233=0,0,(BC233-BB233)/BB233*100)</f>
        <v>0</v>
      </c>
      <c r="BN233" s="4617"/>
      <c r="BO233" s="4619" t="str">
        <f>IF(_xlfn.IFERROR(INDEX(Покупка!$K$26:$L$117,MATCH($F233&amp;"5komm",Покупка!$K$26:$K$117,0),2),"")=0,"",_xlfn.IFERROR(INDEX(Покупка!$K$26:$L$117,MATCH($F233&amp;"5komm",Покупка!$K$26:$K$117,0),2),""))</f>
        <v/>
      </c>
      <c r="BP233" s="4617"/>
      <c r="BQ233" s="960"/>
      <c r="BR233" s="960"/>
      <c r="BS233" s="1048" t="s">
        <v>1617</v>
      </c>
      <c r="BT233" s="1048"/>
      <c r="BU233" s="1048"/>
      <c r="BV233" s="962"/>
      <c r="BW233" s="962"/>
    </row>
    <row s="1621" customFormat="1" customHeight="1" ht="14.25">
      <c r="A234" s="960"/>
      <c r="B234" s="961"/>
      <c r="C234" s="73"/>
      <c r="D234" s="73"/>
      <c r="E234" s="600">
        <v>15</v>
      </c>
      <c r="F234" s="50" cm="1" t="str">
        <f t="array" ref="F234:F234">OFFSET(E234,-1,1)</f>
        <v>1</v>
      </c>
      <c r="G234" s="73" t="s">
        <v>1034</v>
      </c>
      <c r="H234" s="73"/>
      <c r="I234" s="73"/>
      <c r="J234" s="73"/>
      <c r="K234" s="73"/>
      <c r="L234" s="963" t="s">
        <v>1385</v>
      </c>
      <c r="M234" s="73"/>
      <c r="N234" s="73"/>
      <c r="O234" s="73"/>
      <c r="P234" s="73"/>
      <c r="Q234" s="73"/>
      <c r="R234" s="73"/>
      <c r="S234" s="73"/>
      <c r="T234" s="439" cm="1" t="str">
        <f t="array" ref="T234:T234">T233</f>
        <v>true</v>
      </c>
      <c r="U234" s="73"/>
      <c r="V234" s="73"/>
      <c r="W234" s="73"/>
      <c r="X234" s="1534"/>
      <c r="Y234" s="960"/>
      <c r="Z234" s="1465"/>
      <c r="AA234" s="960"/>
      <c r="AB234" s="267" t="s">
        <v>1926</v>
      </c>
      <c r="AC234" s="746" t="s">
        <v>1927</v>
      </c>
      <c r="AD234" s="267" t="s">
        <v>784</v>
      </c>
      <c r="AE234" s="1099">
        <f>_xlfn.SUMIFS(Покупка!AE$25:AE$117,Покупка!$F$25:$F$117,$F234,Покупка!$AC$25:$AC$117,$G234)</f>
        <v>0</v>
      </c>
      <c r="AF234" s="1099">
        <f>_xlfn.SUMIFS(Покупка!AF$25:AF$117,Покупка!$F$25:$F$117,$F234,Покупка!$AC$25:$AC$117,$G234)</f>
        <v>0</v>
      </c>
      <c r="AG234" s="1099">
        <f>_xlfn.SUMIFS(Покупка!AG$25:AG$117,Покупка!$F$25:$F$117,$F234,Покупка!$AC$25:$AC$117,$G234)</f>
        <v>0</v>
      </c>
      <c r="AH234" s="1099">
        <f>AG234-AF234</f>
        <v>0</v>
      </c>
      <c r="AI234" s="1099">
        <f>_xlfn.SUMIFS(Покупка!AH$25:AH$117,Покупка!$F$25:$F$117,$F234,Покупка!$AC$25:$AC$117,$G234)</f>
        <v>0</v>
      </c>
      <c r="AJ234" s="1099">
        <f>_xlfn.SUMIFS(Покупка!AI$25:AI$117,Покупка!$F$25:$F$117,$F234,Покупка!$AC$25:$AC$117,$G234)</f>
        <v>0</v>
      </c>
      <c r="AK234" s="1099">
        <f>_xlfn.SUMIFS(Покупка!AJ$25:AJ$117,Покупка!$F$25:$F$117,$F234,Покупка!$AC$25:$AC$117,$G234)</f>
        <v>0</v>
      </c>
      <c r="AL234" s="1099">
        <f>_xlfn.SUMIFS(Покупка!AK$25:AK$117,Покупка!$F$25:$F$117,$F234,Покупка!$AC$25:$AC$117,$G234)</f>
        <v>0</v>
      </c>
      <c r="AM234" s="1099">
        <f>_xlfn.SUMIFS(Покупка!AL$25:AL$117,Покупка!$F$25:$F$117,$F234,Покупка!$AC$25:$AC$117,$G234)</f>
        <v>0</v>
      </c>
      <c r="AN234" s="1099">
        <f>_xlfn.SUMIFS(Покупка!AM$25:AM$117,Покупка!$F$25:$F$117,$F234,Покупка!$AC$25:$AC$117,$G234)</f>
        <v>0</v>
      </c>
      <c r="AO234" s="1099">
        <f>_xlfn.SUMIFS(Покупка!AN$25:AN$117,Покупка!$F$25:$F$117,$F234,Покупка!$AC$25:$AC$117,$G234)</f>
        <v>0</v>
      </c>
      <c r="AP234" s="1099">
        <f>_xlfn.SUMIFS(Покупка!AO$25:AO$117,Покупка!$F$25:$F$117,$F234,Покупка!$AC$25:$AC$117,$G234)</f>
        <v>0</v>
      </c>
      <c r="AQ234" s="1099">
        <f>_xlfn.SUMIFS(Покупка!AP$25:AP$117,Покупка!$F$25:$F$117,$F234,Покупка!$AC$25:$AC$117,$G234)</f>
        <v>0</v>
      </c>
      <c r="AR234" s="1099">
        <f>_xlfn.SUMIFS(Покупка!AQ$25:AQ$117,Покупка!$F$25:$F$117,$F234,Покупка!$AC$25:$AC$117,$G234)</f>
        <v>0</v>
      </c>
      <c r="AS234" s="1099">
        <f>_xlfn.SUMIFS(Покупка!AR$25:AR$117,Покупка!$F$25:$F$117,$F234,Покупка!$AC$25:$AC$117,$G234)</f>
        <v>0</v>
      </c>
      <c r="AT234" s="1099">
        <f>_xlfn.SUMIFS(Покупка!AS$25:AS$117,Покупка!$F$25:$F$117,$F234,Покупка!$AC$25:$AC$117,$G234)</f>
        <v>0</v>
      </c>
      <c r="AU234" s="1099">
        <f>_xlfn.SUMIFS(Покупка!AT$25:AT$117,Покупка!$F$25:$F$117,$F234,Покупка!$AC$25:$AC$117,$G234)</f>
        <v>0</v>
      </c>
      <c r="AV234" s="1099">
        <f>_xlfn.SUMIFS(Покупка!AU$25:AU$117,Покупка!$F$25:$F$117,$F234,Покупка!$AC$25:$AC$117,$G234)</f>
        <v>0</v>
      </c>
      <c r="AW234" s="1099">
        <f>_xlfn.SUMIFS(Покупка!AV$25:AV$117,Покупка!$F$25:$F$117,$F234,Покупка!$AC$25:$AC$117,$G234)</f>
        <v>0</v>
      </c>
      <c r="AX234" s="1099">
        <f>_xlfn.SUMIFS(Покупка!AW$25:AW$117,Покупка!$F$25:$F$117,$F234,Покупка!$AC$25:$AC$117,$G234)</f>
        <v>0</v>
      </c>
      <c r="AY234" s="1099">
        <f>_xlfn.SUMIFS(Покупка!AX$25:AX$117,Покупка!$F$25:$F$117,$F234,Покупка!$AC$25:$AC$117,$G234)</f>
        <v>0</v>
      </c>
      <c r="AZ234" s="1099">
        <f>_xlfn.SUMIFS(Покупка!AY$25:AY$117,Покупка!$F$25:$F$117,$F234,Покупка!$AC$25:$AC$117,$G234)</f>
        <v>0</v>
      </c>
      <c r="BA234" s="1099">
        <f>_xlfn.SUMIFS(Покупка!AZ$25:AZ$117,Покупка!$F$25:$F$117,$F234,Покупка!$AC$25:$AC$117,$G234)</f>
        <v>0</v>
      </c>
      <c r="BB234" s="1099">
        <f>_xlfn.SUMIFS(Покупка!BA$25:BA$117,Покупка!$F$25:$F$117,$F234,Покупка!$AC$25:$AC$117,$G234)</f>
        <v>0</v>
      </c>
      <c r="BC234" s="1099">
        <f>_xlfn.SUMIFS(Покупка!BB$25:BB$117,Покупка!$F$25:$F$117,$F234,Покупка!$AC$25:$AC$117,$G234)</f>
        <v>0</v>
      </c>
      <c r="BD234" s="1099">
        <f>IF(AI234=0,0,(AT234-AI234)/AI234*100)</f>
        <v>0</v>
      </c>
      <c r="BE234" s="1099">
        <f>IF(AT234=0,0,(AU234-AT234)/AT234*100)</f>
        <v>0</v>
      </c>
      <c r="BF234" s="1099">
        <f>IF(AU234=0,0,(AV234-AU234)/AU234*100)</f>
        <v>0</v>
      </c>
      <c r="BG234" s="1099">
        <f>IF(AV234=0,0,(AW234-AV234)/AV234*100)</f>
        <v>0</v>
      </c>
      <c r="BH234" s="1099">
        <f>IF(AW234=0,0,(AX234-AW234)/AW234*100)</f>
        <v>0</v>
      </c>
      <c r="BI234" s="1099">
        <f>IF(AX234=0,0,(AY234-AX234)/AX234*100)</f>
        <v>0</v>
      </c>
      <c r="BJ234" s="1099">
        <f>IF(AY234=0,0,(AZ234-AY234)/AY234*100)</f>
        <v>0</v>
      </c>
      <c r="BK234" s="1099">
        <f>IF(AZ234=0,0,(BA234-AZ234)/AZ234*100)</f>
        <v>0</v>
      </c>
      <c r="BL234" s="1099">
        <f>IF(BA234=0,0,(BB234-BA234)/BA234*100)</f>
        <v>0</v>
      </c>
      <c r="BM234" s="1099">
        <f>IF(BB234=0,0,(BC234-BB234)/BB234*100)</f>
        <v>0</v>
      </c>
      <c r="BN234" s="4617"/>
      <c r="BO234" s="4619" t="str">
        <f>IF(_xlfn.IFERROR(INDEX(Покупка!$K$26:$L$117,MATCH($F234&amp;"9komm",Покупка!$K$26:$K$117,0),2),"")=0,"",_xlfn.IFERROR(INDEX(Покупка!$K$26:$L$117,MATCH($F234&amp;"9komm",Покупка!$K$26:$K$117,0),2),""))</f>
        <v/>
      </c>
      <c r="BP234" s="4617"/>
      <c r="BQ234" s="960"/>
      <c r="BR234" s="960"/>
      <c r="BS234" s="1048" t="s">
        <v>1035</v>
      </c>
      <c r="BT234" s="1048"/>
      <c r="BU234" s="1048"/>
      <c r="BV234" s="962"/>
      <c r="BW234" s="962"/>
    </row>
    <row s="1621" customFormat="1" customHeight="1" ht="14.25">
      <c r="A235" s="960"/>
      <c r="B235" s="961"/>
      <c r="C235" s="73"/>
      <c r="D235" s="73"/>
      <c r="E235" s="600">
        <v>15</v>
      </c>
      <c r="F235" s="50" cm="1" t="str">
        <f t="array" ref="F235:F235">OFFSET(E235,-1,1)</f>
        <v>1</v>
      </c>
      <c r="G235" s="73"/>
      <c r="H235" s="73"/>
      <c r="I235" s="73" t="s">
        <v>462</v>
      </c>
      <c r="J235" s="73"/>
      <c r="K235" s="73" t="s">
        <v>462</v>
      </c>
      <c r="L235" s="963"/>
      <c r="M235" s="73"/>
      <c r="N235" s="73"/>
      <c r="O235" s="73"/>
      <c r="P235" s="73"/>
      <c r="Q235" s="73"/>
      <c r="R235" s="73"/>
      <c r="S235" s="73"/>
      <c r="T235" s="439" cm="1" t="str">
        <f t="array" ref="T235:T235">T234</f>
        <v>true</v>
      </c>
      <c r="U235" s="73"/>
      <c r="V235" s="73"/>
      <c r="W235" s="73"/>
      <c r="X235" s="1534"/>
      <c r="Y235" s="960"/>
      <c r="Z235" s="1465"/>
      <c r="AA235" s="960"/>
      <c r="AB235" s="267" t="s">
        <v>519</v>
      </c>
      <c r="AC235" s="743" t="s">
        <v>1928</v>
      </c>
      <c r="AD235" s="760" t="s">
        <v>784</v>
      </c>
      <c r="AE235" s="1099">
        <f>_xlfn.SUMIFS('Сырье и материалы'!AE$25:AE$39,'Сырье и материалы'!$F$25:$F$39,$F235,'Сырье и материалы'!$AC$25:$AC$39,"Всего по тарифу")</f>
        <v>0</v>
      </c>
      <c r="AF235" s="1099">
        <f>_xlfn.SUMIFS('Сырье и материалы'!AF$25:AF$39,'Сырье и материалы'!$F$25:$F$39,$F235,'Сырье и материалы'!$AC$25:$AC$39,"Всего по тарифу")</f>
        <v>0</v>
      </c>
      <c r="AG235" s="1099">
        <f>_xlfn.SUMIFS('Сырье и материалы'!AG$25:AG$39,'Сырье и материалы'!$F$25:$F$39,$F235,'Сырье и материалы'!$AC$25:$AC$39,"Всего по тарифу")</f>
        <v>0</v>
      </c>
      <c r="AH235" s="1099">
        <f>AG235-AF235</f>
        <v>0</v>
      </c>
      <c r="AI235" s="1099">
        <f>_xlfn.SUMIFS('Сырье и материалы'!AH$25:AH$39,'Сырье и материалы'!$F$25:$F$39,$F235,'Сырье и материалы'!$AC$25:$AC$39,"Всего по тарифу")</f>
        <v>0</v>
      </c>
      <c r="AJ235" s="1099">
        <f>_xlfn.SUMIFS('Сырье и материалы'!AI$25:AI$39,'Сырье и материалы'!$F$25:$F$39,$F235,'Сырье и материалы'!$AC$25:$AC$39,"Всего по тарифу")</f>
        <v>0</v>
      </c>
      <c r="AK235" s="1099">
        <f>_xlfn.SUMIFS('Сырье и материалы'!AJ$25:AJ$39,'Сырье и материалы'!$F$25:$F$39,$F235,'Сырье и материалы'!$AC$25:$AC$39,"Всего по тарифу")</f>
        <v>0</v>
      </c>
      <c r="AL235" s="1099">
        <f>_xlfn.SUMIFS('Сырье и материалы'!AK$25:AK$39,'Сырье и материалы'!$F$25:$F$39,$F235,'Сырье и материалы'!$AC$25:$AC$39,"Всего по тарифу")</f>
        <v>0</v>
      </c>
      <c r="AM235" s="1099">
        <f>_xlfn.SUMIFS('Сырье и материалы'!AL$25:AL$39,'Сырье и материалы'!$F$25:$F$39,$F235,'Сырье и материалы'!$AC$25:$AC$39,"Всего по тарифу")</f>
        <v>0</v>
      </c>
      <c r="AN235" s="1099">
        <f>_xlfn.SUMIFS('Сырье и материалы'!AM$25:AM$39,'Сырье и материалы'!$F$25:$F$39,$F235,'Сырье и материалы'!$AC$25:$AC$39,"Всего по тарифу")</f>
        <v>0</v>
      </c>
      <c r="AO235" s="1099">
        <f>_xlfn.SUMIFS('Сырье и материалы'!AN$25:AN$39,'Сырье и материалы'!$F$25:$F$39,$F235,'Сырье и материалы'!$AC$25:$AC$39,"Всего по тарифу")</f>
        <v>0</v>
      </c>
      <c r="AP235" s="1099">
        <f>_xlfn.SUMIFS('Сырье и материалы'!AO$25:AO$39,'Сырье и материалы'!$F$25:$F$39,$F235,'Сырье и материалы'!$AC$25:$AC$39,"Всего по тарифу")</f>
        <v>0</v>
      </c>
      <c r="AQ235" s="1099">
        <f>_xlfn.SUMIFS('Сырье и материалы'!AP$25:AP$39,'Сырье и материалы'!$F$25:$F$39,$F235,'Сырье и материалы'!$AC$25:$AC$39,"Всего по тарифу")</f>
        <v>0</v>
      </c>
      <c r="AR235" s="1099">
        <f>_xlfn.SUMIFS('Сырье и материалы'!AQ$25:AQ$39,'Сырье и материалы'!$F$25:$F$39,$F235,'Сырье и материалы'!$AC$25:$AC$39,"Всего по тарифу")</f>
        <v>0</v>
      </c>
      <c r="AS235" s="1099">
        <f>_xlfn.SUMIFS('Сырье и материалы'!AR$25:AR$39,'Сырье и материалы'!$F$25:$F$39,$F235,'Сырье и материалы'!$AC$25:$AC$39,"Всего по тарифу")</f>
        <v>0</v>
      </c>
      <c r="AT235" s="1099">
        <f>_xlfn.SUMIFS('Сырье и материалы'!AS$25:AS$39,'Сырье и материалы'!$F$25:$F$39,$F235,'Сырье и материалы'!$AC$25:$AC$39,"Всего по тарифу")</f>
        <v>0</v>
      </c>
      <c r="AU235" s="1099">
        <f>_xlfn.SUMIFS('Сырье и материалы'!AT$25:AT$39,'Сырье и материалы'!$F$25:$F$39,$F235,'Сырье и материалы'!$AC$25:$AC$39,"Всего по тарифу")</f>
        <v>0</v>
      </c>
      <c r="AV235" s="1099">
        <f>_xlfn.SUMIFS('Сырье и материалы'!AU$25:AU$39,'Сырье и материалы'!$F$25:$F$39,$F235,'Сырье и материалы'!$AC$25:$AC$39,"Всего по тарифу")</f>
        <v>0</v>
      </c>
      <c r="AW235" s="1099">
        <f>_xlfn.SUMIFS('Сырье и материалы'!AV$25:AV$39,'Сырье и материалы'!$F$25:$F$39,$F235,'Сырье и материалы'!$AC$25:$AC$39,"Всего по тарифу")</f>
        <v>0</v>
      </c>
      <c r="AX235" s="1099">
        <f>_xlfn.SUMIFS('Сырье и материалы'!AW$25:AW$39,'Сырье и материалы'!$F$25:$F$39,$F235,'Сырье и материалы'!$AC$25:$AC$39,"Всего по тарифу")</f>
        <v>0</v>
      </c>
      <c r="AY235" s="1099">
        <f>_xlfn.SUMIFS('Сырье и материалы'!AX$25:AX$39,'Сырье и материалы'!$F$25:$F$39,$F235,'Сырье и материалы'!$AC$25:$AC$39,"Всего по тарифу")</f>
        <v>0</v>
      </c>
      <c r="AZ235" s="1099">
        <f>_xlfn.SUMIFS('Сырье и материалы'!AY$25:AY$39,'Сырье и материалы'!$F$25:$F$39,$F235,'Сырье и материалы'!$AC$25:$AC$39,"Всего по тарифу")</f>
        <v>0</v>
      </c>
      <c r="BA235" s="1099">
        <f>_xlfn.SUMIFS('Сырье и материалы'!AZ$25:AZ$39,'Сырье и материалы'!$F$25:$F$39,$F235,'Сырье и материалы'!$AC$25:$AC$39,"Всего по тарифу")</f>
        <v>0</v>
      </c>
      <c r="BB235" s="1099">
        <f>_xlfn.SUMIFS('Сырье и материалы'!BA$25:BA$39,'Сырье и материалы'!$F$25:$F$39,$F235,'Сырье и материалы'!$AC$25:$AC$39,"Всего по тарифу")</f>
        <v>0</v>
      </c>
      <c r="BC235" s="1099">
        <f>_xlfn.SUMIFS('Сырье и материалы'!BB$25:BB$39,'Сырье и материалы'!$F$25:$F$39,$F235,'Сырье и материалы'!$AC$25:$AC$39,"Всего по тарифу")</f>
        <v>0</v>
      </c>
      <c r="BD235" s="1099">
        <f>IF(AI235=0,0,(AT235-AI235)/AI235*100)</f>
        <v>0</v>
      </c>
      <c r="BE235" s="1099">
        <f>IF(AT235=0,0,(AU235-AT235)/AT235*100)</f>
        <v>0</v>
      </c>
      <c r="BF235" s="1099">
        <f>IF(AU235=0,0,(AV235-AU235)/AU235*100)</f>
        <v>0</v>
      </c>
      <c r="BG235" s="1099">
        <f>IF(AV235=0,0,(AW235-AV235)/AV235*100)</f>
        <v>0</v>
      </c>
      <c r="BH235" s="1099">
        <f>IF(AW235=0,0,(AX235-AW235)/AW235*100)</f>
        <v>0</v>
      </c>
      <c r="BI235" s="1099">
        <f>IF(AX235=0,0,(AY235-AX235)/AX235*100)</f>
        <v>0</v>
      </c>
      <c r="BJ235" s="1099">
        <f>IF(AY235=0,0,(AZ235-AY235)/AY235*100)</f>
        <v>0</v>
      </c>
      <c r="BK235" s="1099">
        <f>IF(AZ235=0,0,(BA235-AZ235)/AZ235*100)</f>
        <v>0</v>
      </c>
      <c r="BL235" s="1099">
        <f>IF(BA235=0,0,(BB235-BA235)/BA235*100)</f>
        <v>0</v>
      </c>
      <c r="BM235" s="1099">
        <f>IF(BB235=0,0,(BC235-BB235)/BB235*100)</f>
        <v>0</v>
      </c>
      <c r="BN235" s="4617"/>
      <c r="BO235" s="4619" t="str">
        <f>IF(_xlfn.IFERROR(INDEX('Сырье и материалы'!$K$26:$L$39,MATCH($F235&amp;"komm",'Сырье и материалы'!$K$26:$K$39,0),2),"")=0,"",_xlfn.IFERROR(INDEX('Сырье и материалы'!$K$26:$L$39,MATCH($F235&amp;"komm",'Сырье и материалы'!$K$26:$K$39,0),2),""))</f>
        <v/>
      </c>
      <c r="BP235" s="4617"/>
      <c r="BQ235" s="960"/>
      <c r="BR235" s="960"/>
      <c r="BS235" s="1048" t="s">
        <v>1590</v>
      </c>
      <c r="BT235" s="1048"/>
      <c r="BU235" s="1048"/>
      <c r="BV235" s="962"/>
      <c r="BW235" s="962"/>
    </row>
    <row s="4666" customFormat="1" customHeight="1" ht="107.25">
      <c r="A236" s="680"/>
      <c r="B236" s="408"/>
      <c r="C236" s="75"/>
      <c r="D236" s="75"/>
      <c r="E236" s="807">
        <v>21</v>
      </c>
      <c r="F236" s="50" cm="1" t="str">
        <f t="array" ref="F236:F236">OFFSET(E236,-1,1)</f>
        <v>1</v>
      </c>
      <c r="G236" s="75"/>
      <c r="H236" s="73"/>
      <c r="I236" s="73" t="s">
        <v>865</v>
      </c>
      <c r="J236" s="75"/>
      <c r="K236" s="73" t="s">
        <v>865</v>
      </c>
      <c r="L236" s="968" t="s">
        <v>495</v>
      </c>
      <c r="M236" s="75"/>
      <c r="N236" s="75"/>
      <c r="O236" s="75"/>
      <c r="P236" s="75"/>
      <c r="Q236" s="75"/>
      <c r="R236" s="75"/>
      <c r="S236" s="75"/>
      <c r="T236" s="439" cm="1" t="str">
        <f t="array" ref="T236:T236">T235</f>
        <v>true</v>
      </c>
      <c r="U236" s="75"/>
      <c r="V236" s="75"/>
      <c r="W236" s="75"/>
      <c r="X236" s="1534"/>
      <c r="Y236" s="680"/>
      <c r="Z236" s="1465"/>
      <c r="AA236" s="680"/>
      <c r="AB236" s="178" t="s">
        <v>523</v>
      </c>
      <c r="AC236" s="328" t="s">
        <v>1929</v>
      </c>
      <c r="AD236" s="178" t="s">
        <v>784</v>
      </c>
      <c r="AE236" s="759">
        <f>SUM(AE237:AE246)</f>
        <v>365.9347407579</v>
      </c>
      <c r="AF236" s="759">
        <f>SUM(AF237:AF246)</f>
        <v>487.1680486313</v>
      </c>
      <c r="AG236" s="759">
        <f>SUM(AG237:AG246)</f>
        <v>487.17</v>
      </c>
      <c r="AH236" s="759">
        <f>AG236-AF236</f>
        <v>0.00195136870001988</v>
      </c>
      <c r="AI236" s="759">
        <f>SUM(AI237:AI246)</f>
        <v>313.7872186209</v>
      </c>
      <c r="AJ236" s="180">
        <f>SUM(AJ237:AJ246)</f>
        <v>488.8704665498</v>
      </c>
      <c r="AK236" s="759">
        <f>SUM(AK237:AK246)</f>
        <v>0</v>
      </c>
      <c r="AL236" s="759">
        <f>SUM(AL237:AL246)</f>
        <v>0</v>
      </c>
      <c r="AM236" s="759">
        <f>SUM(AM237:AM246)</f>
        <v>0</v>
      </c>
      <c r="AN236" s="759">
        <f>SUM(AN237:AN246)</f>
        <v>0</v>
      </c>
      <c r="AO236" s="759">
        <f>SUM(AO237:AO246)</f>
        <v>0</v>
      </c>
      <c r="AP236" s="759">
        <f>SUM(AP237:AP246)</f>
        <v>0</v>
      </c>
      <c r="AQ236" s="759">
        <f>SUM(AQ237:AQ246)</f>
        <v>0</v>
      </c>
      <c r="AR236" s="759">
        <f>SUM(AR237:AR246)</f>
        <v>0</v>
      </c>
      <c r="AS236" s="759">
        <f>SUM(AS237:AS246)</f>
        <v>0</v>
      </c>
      <c r="AT236" s="180">
        <f>SUM(AT237:AT246)</f>
        <v>488.8709465498</v>
      </c>
      <c r="AU236" s="759">
        <f>SUM(AU237:AU246)</f>
        <v>0</v>
      </c>
      <c r="AV236" s="759">
        <f>SUM(AV237:AV246)</f>
        <v>0</v>
      </c>
      <c r="AW236" s="759">
        <f>SUM(AW237:AW246)</f>
        <v>0</v>
      </c>
      <c r="AX236" s="759">
        <f>SUM(AX237:AX246)</f>
        <v>0</v>
      </c>
      <c r="AY236" s="759">
        <f>SUM(AY237:AY246)</f>
        <v>0</v>
      </c>
      <c r="AZ236" s="759">
        <f>SUM(AZ237:AZ246)</f>
        <v>0</v>
      </c>
      <c r="BA236" s="759">
        <f>SUM(BA237:BA246)</f>
        <v>0</v>
      </c>
      <c r="BB236" s="759">
        <f>SUM(BB237:BB246)</f>
        <v>0</v>
      </c>
      <c r="BC236" s="759">
        <f>SUM(BC237:BC246)</f>
        <v>0</v>
      </c>
      <c r="BD236" s="759">
        <f>IF(AI236=0,0,(AT236-AI236)/AI236*100)</f>
        <v>55.7969597035838</v>
      </c>
      <c r="BE236" s="759">
        <f>IF(AT236=0,0,(AU236-AT236)/AT236*100)</f>
        <v>-100</v>
      </c>
      <c r="BF236" s="759">
        <f>IF(AU236=0,0,(AV236-AU236)/AU236*100)</f>
        <v>0</v>
      </c>
      <c r="BG236" s="759">
        <f>IF(AV236=0,0,(AW236-AV236)/AV236*100)</f>
        <v>0</v>
      </c>
      <c r="BH236" s="759">
        <f>IF(AW236=0,0,(AX236-AW236)/AW236*100)</f>
        <v>0</v>
      </c>
      <c r="BI236" s="759">
        <f>IF(AX236=0,0,(AY236-AX236)/AX236*100)</f>
        <v>0</v>
      </c>
      <c r="BJ236" s="759">
        <f>IF(AY236=0,0,(AZ236-AY236)/AY236*100)</f>
        <v>0</v>
      </c>
      <c r="BK236" s="759">
        <f>IF(AZ236=0,0,(BA236-AZ236)/AZ236*100)</f>
        <v>0</v>
      </c>
      <c r="BL236" s="759">
        <f>IF(BA236=0,0,(BB236-BA236)/BA236*100)</f>
        <v>0</v>
      </c>
      <c r="BM236" s="759">
        <f>IF(BB236=0,0,(BC236-BB236)/BB236*100)</f>
        <v>0</v>
      </c>
      <c r="BN236" s="4618"/>
      <c r="BO236" s="4619" t="s">
        <v>2077</v>
      </c>
      <c r="BP236" s="4618" t="s">
        <v>2078</v>
      </c>
      <c r="BQ236" s="680"/>
      <c r="BR236" s="680"/>
      <c r="BS236" s="1054" t="s">
        <v>1151</v>
      </c>
      <c r="BT236" s="1054"/>
      <c r="BU236" s="1054"/>
      <c r="BV236" s="687"/>
      <c r="BW236" s="687"/>
    </row>
    <row s="1621" customFormat="1" customHeight="1" ht="14.25">
      <c r="A237" s="960"/>
      <c r="B237" s="961"/>
      <c r="C237" s="73"/>
      <c r="D237" s="73"/>
      <c r="E237" s="600">
        <v>15</v>
      </c>
      <c r="F237" s="50" cm="1" t="str">
        <f t="array" ref="F237:F237">OFFSET(E237,-1,1)</f>
        <v>1</v>
      </c>
      <c r="G237" s="904">
        <v>7</v>
      </c>
      <c r="H237" s="73"/>
      <c r="I237" s="73" t="s">
        <v>1930</v>
      </c>
      <c r="J237" s="73"/>
      <c r="K237" s="73" t="s">
        <v>1930</v>
      </c>
      <c r="L237" s="963"/>
      <c r="M237" s="73"/>
      <c r="N237" s="73"/>
      <c r="O237" s="73"/>
      <c r="P237" s="73"/>
      <c r="Q237" s="73"/>
      <c r="R237" s="73"/>
      <c r="S237" s="73"/>
      <c r="T237" s="439" cm="1" t="str">
        <f t="array" ref="T237:T237">T236</f>
        <v>true</v>
      </c>
      <c r="U237" s="73"/>
      <c r="V237" s="73"/>
      <c r="W237" s="73"/>
      <c r="X237" s="1534"/>
      <c r="Y237" s="960"/>
      <c r="Z237" s="1465"/>
      <c r="AA237" s="960"/>
      <c r="AB237" s="267" t="s">
        <v>478</v>
      </c>
      <c r="AC237" s="746" t="s">
        <v>1165</v>
      </c>
      <c r="AD237" s="267" t="s">
        <v>784</v>
      </c>
      <c r="AE237" s="1099">
        <f>_xlfn.SUMIFS(Налоги!AE$25:AE$69,Налоги!$F$25:$F$69,$F237,Налоги!$AB$25:$AB$69,$G237)</f>
        <v>0</v>
      </c>
      <c r="AF237" s="1099">
        <f>_xlfn.SUMIFS(Налоги!AF$25:AF$69,Налоги!$F$25:$F$69,$F237,Налоги!$AB$25:$AB$69,$G237)</f>
        <v>0</v>
      </c>
      <c r="AG237" s="1099">
        <f>_xlfn.SUMIFS(Налоги!AG$25:AG$69,Налоги!$F$25:$F$69,$F237,Налоги!$AB$25:$AB$69,$G237)</f>
        <v>0</v>
      </c>
      <c r="AH237" s="1099">
        <f>AG237-AF237</f>
        <v>0</v>
      </c>
      <c r="AI237" s="1099">
        <f>_xlfn.SUMIFS(Налоги!AH$25:AH$69,Налоги!$F$25:$F$69,$F237,Налоги!$AB$25:$AB$69,$G237)</f>
        <v>0</v>
      </c>
      <c r="AJ237" s="1099">
        <f>_xlfn.SUMIFS(Налоги!AI$25:AI$69,Налоги!$F$25:$F$69,$F237,Налоги!$AB$25:$AB$69,$G237)</f>
        <v>0</v>
      </c>
      <c r="AK237" s="1099">
        <f>_xlfn.SUMIFS(Налоги!AJ$25:AJ$69,Налоги!$F$25:$F$69,$F237,Налоги!$AB$25:$AB$69,$G237)</f>
        <v>0</v>
      </c>
      <c r="AL237" s="1099">
        <f>_xlfn.SUMIFS(Налоги!AK$25:AK$69,Налоги!$F$25:$F$69,$F237,Налоги!$AB$25:$AB$69,$G237)</f>
        <v>0</v>
      </c>
      <c r="AM237" s="1099">
        <f>_xlfn.SUMIFS(Налоги!AL$25:AL$69,Налоги!$F$25:$F$69,$F237,Налоги!$AB$25:$AB$69,$G237)</f>
        <v>0</v>
      </c>
      <c r="AN237" s="1099">
        <f>_xlfn.SUMIFS(Налоги!AM$25:AM$69,Налоги!$F$25:$F$69,$F237,Налоги!$AB$25:$AB$69,$G237)</f>
        <v>0</v>
      </c>
      <c r="AO237" s="1099">
        <f>_xlfn.SUMIFS(Налоги!AN$25:AN$69,Налоги!$F$25:$F$69,$F237,Налоги!$AB$25:$AB$69,$G237)</f>
        <v>0</v>
      </c>
      <c r="AP237" s="1099">
        <f>_xlfn.SUMIFS(Налоги!AO$25:AO$69,Налоги!$F$25:$F$69,$F237,Налоги!$AB$25:$AB$69,$G237)</f>
        <v>0</v>
      </c>
      <c r="AQ237" s="1099">
        <f>_xlfn.SUMIFS(Налоги!AP$25:AP$69,Налоги!$F$25:$F$69,$F237,Налоги!$AB$25:$AB$69,$G237)</f>
        <v>0</v>
      </c>
      <c r="AR237" s="1099">
        <f>_xlfn.SUMIFS(Налоги!AQ$25:AQ$69,Налоги!$F$25:$F$69,$F237,Налоги!$AB$25:$AB$69,$G237)</f>
        <v>0</v>
      </c>
      <c r="AS237" s="1099">
        <f>_xlfn.SUMIFS(Налоги!AR$25:AR$69,Налоги!$F$25:$F$69,$F237,Налоги!$AB$25:$AB$69,$G237)</f>
        <v>0</v>
      </c>
      <c r="AT237" s="1099">
        <f>_xlfn.SUMIFS(Налоги!AS$25:AS$69,Налоги!$F$25:$F$69,$F237,Налоги!$AB$25:$AB$69,$G237)</f>
        <v>0</v>
      </c>
      <c r="AU237" s="1099">
        <f>_xlfn.SUMIFS(Налоги!AT$25:AT$69,Налоги!$F$25:$F$69,$F237,Налоги!$AB$25:$AB$69,$G237)</f>
        <v>0</v>
      </c>
      <c r="AV237" s="1099">
        <f>_xlfn.SUMIFS(Налоги!AU$25:AU$69,Налоги!$F$25:$F$69,$F237,Налоги!$AB$25:$AB$69,$G237)</f>
        <v>0</v>
      </c>
      <c r="AW237" s="1099">
        <f>_xlfn.SUMIFS(Налоги!AV$25:AV$69,Налоги!$F$25:$F$69,$F237,Налоги!$AB$25:$AB$69,$G237)</f>
        <v>0</v>
      </c>
      <c r="AX237" s="1099">
        <f>_xlfn.SUMIFS(Налоги!AW$25:AW$69,Налоги!$F$25:$F$69,$F237,Налоги!$AB$25:$AB$69,$G237)</f>
        <v>0</v>
      </c>
      <c r="AY237" s="1099">
        <f>_xlfn.SUMIFS(Налоги!AX$25:AX$69,Налоги!$F$25:$F$69,$F237,Налоги!$AB$25:$AB$69,$G237)</f>
        <v>0</v>
      </c>
      <c r="AZ237" s="1099">
        <f>_xlfn.SUMIFS(Налоги!AY$25:AY$69,Налоги!$F$25:$F$69,$F237,Налоги!$AB$25:$AB$69,$G237)</f>
        <v>0</v>
      </c>
      <c r="BA237" s="1099">
        <f>_xlfn.SUMIFS(Налоги!AZ$25:AZ$69,Налоги!$F$25:$F$69,$F237,Налоги!$AB$25:$AB$69,$G237)</f>
        <v>0</v>
      </c>
      <c r="BB237" s="1099">
        <f>_xlfn.SUMIFS(Налоги!BA$25:BA$69,Налоги!$F$25:$F$69,$F237,Налоги!$AB$25:$AB$69,$G237)</f>
        <v>0</v>
      </c>
      <c r="BC237" s="1099">
        <f>_xlfn.SUMIFS(Налоги!BB$25:BB$69,Налоги!$F$25:$F$69,$F237,Налоги!$AB$25:$AB$69,$G237)</f>
        <v>0</v>
      </c>
      <c r="BD237" s="1099">
        <f>IF(AI237=0,0,(AT237-AI237)/AI237*100)</f>
        <v>0</v>
      </c>
      <c r="BE237" s="1099">
        <f>IF(AT237=0,0,(AU237-AT237)/AT237*100)</f>
        <v>0</v>
      </c>
      <c r="BF237" s="1099">
        <f>IF(AU237=0,0,(AV237-AU237)/AU237*100)</f>
        <v>0</v>
      </c>
      <c r="BG237" s="1099">
        <f>IF(AV237=0,0,(AW237-AV237)/AV237*100)</f>
        <v>0</v>
      </c>
      <c r="BH237" s="1099">
        <f>IF(AW237=0,0,(AX237-AW237)/AW237*100)</f>
        <v>0</v>
      </c>
      <c r="BI237" s="1099">
        <f>IF(AX237=0,0,(AY237-AX237)/AX237*100)</f>
        <v>0</v>
      </c>
      <c r="BJ237" s="1099">
        <f>IF(AY237=0,0,(AZ237-AY237)/AY237*100)</f>
        <v>0</v>
      </c>
      <c r="BK237" s="1099">
        <f>IF(AZ237=0,0,(BA237-AZ237)/AZ237*100)</f>
        <v>0</v>
      </c>
      <c r="BL237" s="1099">
        <f>IF(BA237=0,0,(BB237-BA237)/BA237*100)</f>
        <v>0</v>
      </c>
      <c r="BM237" s="1099">
        <f>IF(BB237=0,0,(BC237-BB237)/BB237*100)</f>
        <v>0</v>
      </c>
      <c r="BN237" s="4617"/>
      <c r="BO237" s="4619" t="str">
        <f>IF(_xlfn.IFERROR(INDEX(Налоги!$K$26:$L$69,MATCH($F237&amp;"7komm",Налоги!$K$26:$K$69,0),2),"")=0,"",_xlfn.IFERROR(INDEX(Налоги!$K$26:$L$69,MATCH($F237&amp;"7komm",Налоги!$K$26:$K$69,0),2),""))</f>
        <v/>
      </c>
      <c r="BP237" s="4617"/>
      <c r="BQ237" s="960"/>
      <c r="BR237" s="960"/>
      <c r="BS237" s="1048" t="s">
        <v>1931</v>
      </c>
      <c r="BT237" s="1048"/>
      <c r="BU237" s="1048"/>
      <c r="BV237" s="962"/>
      <c r="BW237" s="962"/>
    </row>
    <row s="1621" customFormat="1" customHeight="1" ht="14.25">
      <c r="A238" s="960"/>
      <c r="B238" s="961"/>
      <c r="C238" s="73"/>
      <c r="D238" s="73"/>
      <c r="E238" s="600">
        <v>15</v>
      </c>
      <c r="F238" s="50" cm="1" t="str">
        <f t="array" ref="F238:F238">OFFSET(E238,-1,1)</f>
        <v>1</v>
      </c>
      <c r="G238" s="904">
        <v>6</v>
      </c>
      <c r="H238" s="73"/>
      <c r="I238" s="73" t="s">
        <v>1932</v>
      </c>
      <c r="J238" s="73"/>
      <c r="K238" s="73" t="s">
        <v>1932</v>
      </c>
      <c r="L238" s="963"/>
      <c r="M238" s="73"/>
      <c r="N238" s="73"/>
      <c r="O238" s="73"/>
      <c r="P238" s="73"/>
      <c r="Q238" s="73"/>
      <c r="R238" s="73"/>
      <c r="S238" s="73"/>
      <c r="T238" s="439" cm="1" t="str">
        <f t="array" ref="T238:T238">T237</f>
        <v>true</v>
      </c>
      <c r="U238" s="73"/>
      <c r="V238" s="73"/>
      <c r="W238" s="73"/>
      <c r="X238" s="1534"/>
      <c r="Y238" s="960"/>
      <c r="Z238" s="1465"/>
      <c r="AA238" s="960"/>
      <c r="AB238" s="267" t="s">
        <v>1375</v>
      </c>
      <c r="AC238" s="746" t="s">
        <v>1933</v>
      </c>
      <c r="AD238" s="267" t="s">
        <v>784</v>
      </c>
      <c r="AE238" s="1099">
        <f>_xlfn.SUMIFS(Налоги!AE$25:AE$69,Налоги!$F$25:$F$69,$F238,Налоги!$AB$25:$AB$69,$G238)</f>
        <v>44.2852905333</v>
      </c>
      <c r="AF238" s="1099">
        <f>_xlfn.SUMIFS(Налоги!AF$25:AF$69,Налоги!$F$25:$F$69,$F238,Налоги!$AB$25:$AB$69,$G238)</f>
        <v>44.28528434</v>
      </c>
      <c r="AG238" s="1099">
        <f>_xlfn.SUMIFS(Налоги!AG$25:AG$69,Налоги!$F$25:$F$69,$F238,Налоги!$AB$25:$AB$69,$G238)</f>
        <v>44.29</v>
      </c>
      <c r="AH238" s="1099">
        <f>AG238-AF238</f>
        <v>0.00471566000000223</v>
      </c>
      <c r="AI238" s="1099">
        <f>_xlfn.SUMIFS(Налоги!AH$25:AH$69,Налоги!$F$25:$F$69,$F238,Налоги!$AB$25:$AB$69,$G238)</f>
        <v>34.6040973261</v>
      </c>
      <c r="AJ238" s="1099">
        <f>_xlfn.SUMIFS(Налоги!AI$25:AI$69,Налоги!$F$25:$F$69,$F238,Налоги!$AB$25:$AB$69,$G238)</f>
        <v>24.8471822585</v>
      </c>
      <c r="AK238" s="1099">
        <f>_xlfn.SUMIFS(Налоги!AJ$25:AJ$69,Налоги!$F$25:$F$69,$F238,Налоги!$AB$25:$AB$69,$G238)</f>
        <v>0</v>
      </c>
      <c r="AL238" s="1099">
        <f>_xlfn.SUMIFS(Налоги!AK$25:AK$69,Налоги!$F$25:$F$69,$F238,Налоги!$AB$25:$AB$69,$G238)</f>
        <v>0</v>
      </c>
      <c r="AM238" s="1099">
        <f>_xlfn.SUMIFS(Налоги!AL$25:AL$69,Налоги!$F$25:$F$69,$F238,Налоги!$AB$25:$AB$69,$G238)</f>
        <v>0</v>
      </c>
      <c r="AN238" s="1099">
        <f>_xlfn.SUMIFS(Налоги!AM$25:AM$69,Налоги!$F$25:$F$69,$F238,Налоги!$AB$25:$AB$69,$G238)</f>
        <v>0</v>
      </c>
      <c r="AO238" s="1099">
        <f>_xlfn.SUMIFS(Налоги!AN$25:AN$69,Налоги!$F$25:$F$69,$F238,Налоги!$AB$25:$AB$69,$G238)</f>
        <v>0</v>
      </c>
      <c r="AP238" s="1099">
        <f>_xlfn.SUMIFS(Налоги!AO$25:AO$69,Налоги!$F$25:$F$69,$F238,Налоги!$AB$25:$AB$69,$G238)</f>
        <v>0</v>
      </c>
      <c r="AQ238" s="1099">
        <f>_xlfn.SUMIFS(Налоги!AP$25:AP$69,Налоги!$F$25:$F$69,$F238,Налоги!$AB$25:$AB$69,$G238)</f>
        <v>0</v>
      </c>
      <c r="AR238" s="1099">
        <f>_xlfn.SUMIFS(Налоги!AQ$25:AQ$69,Налоги!$F$25:$F$69,$F238,Налоги!$AB$25:$AB$69,$G238)</f>
        <v>0</v>
      </c>
      <c r="AS238" s="1099">
        <f>_xlfn.SUMIFS(Налоги!AR$25:AR$69,Налоги!$F$25:$F$69,$F238,Налоги!$AB$25:$AB$69,$G238)</f>
        <v>0</v>
      </c>
      <c r="AT238" s="1099">
        <f>_xlfn.SUMIFS(Налоги!AS$25:AS$69,Налоги!$F$25:$F$69,$F238,Налоги!$AB$25:$AB$69,$G238)</f>
        <v>24.8471822585</v>
      </c>
      <c r="AU238" s="1099">
        <f>_xlfn.SUMIFS(Налоги!AT$25:AT$69,Налоги!$F$25:$F$69,$F238,Налоги!$AB$25:$AB$69,$G238)</f>
        <v>0</v>
      </c>
      <c r="AV238" s="1099">
        <f>_xlfn.SUMIFS(Налоги!AU$25:AU$69,Налоги!$F$25:$F$69,$F238,Налоги!$AB$25:$AB$69,$G238)</f>
        <v>0</v>
      </c>
      <c r="AW238" s="1099">
        <f>_xlfn.SUMIFS(Налоги!AV$25:AV$69,Налоги!$F$25:$F$69,$F238,Налоги!$AB$25:$AB$69,$G238)</f>
        <v>0</v>
      </c>
      <c r="AX238" s="1099">
        <f>_xlfn.SUMIFS(Налоги!AW$25:AW$69,Налоги!$F$25:$F$69,$F238,Налоги!$AB$25:$AB$69,$G238)</f>
        <v>0</v>
      </c>
      <c r="AY238" s="1099">
        <f>_xlfn.SUMIFS(Налоги!AX$25:AX$69,Налоги!$F$25:$F$69,$F238,Налоги!$AB$25:$AB$69,$G238)</f>
        <v>0</v>
      </c>
      <c r="AZ238" s="1099">
        <f>_xlfn.SUMIFS(Налоги!AY$25:AY$69,Налоги!$F$25:$F$69,$F238,Налоги!$AB$25:$AB$69,$G238)</f>
        <v>0</v>
      </c>
      <c r="BA238" s="1099">
        <f>_xlfn.SUMIFS(Налоги!AZ$25:AZ$69,Налоги!$F$25:$F$69,$F238,Налоги!$AB$25:$AB$69,$G238)</f>
        <v>0</v>
      </c>
      <c r="BB238" s="1099">
        <f>_xlfn.SUMIFS(Налоги!BA$25:BA$69,Налоги!$F$25:$F$69,$F238,Налоги!$AB$25:$AB$69,$G238)</f>
        <v>0</v>
      </c>
      <c r="BC238" s="1099">
        <f>_xlfn.SUMIFS(Налоги!BB$25:BB$69,Налоги!$F$25:$F$69,$F238,Налоги!$AB$25:$AB$69,$G238)</f>
        <v>0</v>
      </c>
      <c r="BD238" s="1099">
        <f>IF(AI238=0,0,(AT238-AI238)/AI238*100)</f>
        <v>-28.1958375496791</v>
      </c>
      <c r="BE238" s="1099">
        <f>IF(AT238=0,0,(AU238-AT238)/AT238*100)</f>
        <v>-100</v>
      </c>
      <c r="BF238" s="1099">
        <f>IF(AU238=0,0,(AV238-AU238)/AU238*100)</f>
        <v>0</v>
      </c>
      <c r="BG238" s="1099">
        <f>IF(AV238=0,0,(AW238-AV238)/AV238*100)</f>
        <v>0</v>
      </c>
      <c r="BH238" s="1099">
        <f>IF(AW238=0,0,(AX238-AW238)/AW238*100)</f>
        <v>0</v>
      </c>
      <c r="BI238" s="1099">
        <f>IF(AX238=0,0,(AY238-AX238)/AX238*100)</f>
        <v>0</v>
      </c>
      <c r="BJ238" s="1099">
        <f>IF(AY238=0,0,(AZ238-AY238)/AY238*100)</f>
        <v>0</v>
      </c>
      <c r="BK238" s="1099">
        <f>IF(AZ238=0,0,(BA238-AZ238)/AZ238*100)</f>
        <v>0</v>
      </c>
      <c r="BL238" s="1099">
        <f>IF(BA238=0,0,(BB238-BA238)/BA238*100)</f>
        <v>0</v>
      </c>
      <c r="BM238" s="1099">
        <f>IF(BB238=0,0,(BC238-BB238)/BB238*100)</f>
        <v>0</v>
      </c>
      <c r="BN238" s="4617"/>
      <c r="BO238" s="4619" t="str">
        <f>IF(_xlfn.IFERROR(INDEX(Налоги!$K$26:$L$69,MATCH($F238&amp;"6komm",Налоги!$K$26:$K$69,0),2),"")=0,"",_xlfn.IFERROR(INDEX(Налоги!$K$26:$L$69,MATCH($F238&amp;"6komm",Налоги!$K$26:$K$69,0),2),""))</f>
        <v>По предложению организации, так как не превышает расчет регулятор в соответствии с НК РФ (исходя из остаточной стоимости объектов) 34,6 тыс. руб.</v>
      </c>
      <c r="BP238" s="4617"/>
      <c r="BQ238" s="960"/>
      <c r="BR238" s="960"/>
      <c r="BS238" s="1048" t="s">
        <v>1934</v>
      </c>
      <c r="BT238" s="1048"/>
      <c r="BU238" s="1048"/>
      <c r="BV238" s="962"/>
      <c r="BW238" s="962"/>
    </row>
    <row s="1621" customFormat="1" customHeight="1" ht="54.75">
      <c r="A239" s="960"/>
      <c r="B239" s="961"/>
      <c r="C239" s="73"/>
      <c r="D239" s="73"/>
      <c r="E239" s="600">
        <v>15</v>
      </c>
      <c r="F239" s="50" cm="1" t="str">
        <f t="array" ref="F239:F239">OFFSET(E239,-1,1)</f>
        <v>1</v>
      </c>
      <c r="G239" s="904">
        <v>2</v>
      </c>
      <c r="H239" s="73"/>
      <c r="I239" s="73" t="s">
        <v>1935</v>
      </c>
      <c r="J239" s="73"/>
      <c r="K239" s="73" t="s">
        <v>1935</v>
      </c>
      <c r="L239" s="963"/>
      <c r="M239" s="73"/>
      <c r="N239" s="73"/>
      <c r="O239" s="73"/>
      <c r="P239" s="73"/>
      <c r="Q239" s="73"/>
      <c r="R239" s="73"/>
      <c r="S239" s="73"/>
      <c r="T239" s="439" cm="1" t="str">
        <f t="array" ref="T239:T239">T238</f>
        <v>true</v>
      </c>
      <c r="U239" s="73"/>
      <c r="V239" s="73"/>
      <c r="W239" s="73"/>
      <c r="X239" s="1534"/>
      <c r="Y239" s="960"/>
      <c r="Z239" s="1465"/>
      <c r="AA239" s="960"/>
      <c r="AB239" s="267" t="s">
        <v>1380</v>
      </c>
      <c r="AC239" s="746" t="s">
        <v>1936</v>
      </c>
      <c r="AD239" s="267" t="s">
        <v>784</v>
      </c>
      <c r="AE239" s="1099">
        <f>_xlfn.SUMIFS(Налоги!AE$25:AE$69,Налоги!$F$25:$F$69,$F239,Налоги!$AB$25:$AB$69,$G239)</f>
        <v>76.3655694246</v>
      </c>
      <c r="AF239" s="1099">
        <f>_xlfn.SUMIFS(Налоги!AF$25:AF$69,Налоги!$F$25:$F$69,$F239,Налоги!$AB$25:$AB$69,$G239)</f>
        <v>223.7037642913</v>
      </c>
      <c r="AG239" s="1099">
        <f>_xlfn.SUMIFS(Налоги!AG$25:AG$69,Налоги!$F$25:$F$69,$F239,Налоги!$AB$25:$AB$69,$G239)</f>
        <v>223.7</v>
      </c>
      <c r="AH239" s="1099">
        <f>AG239-AF239</f>
        <v>-0.00376429130000133</v>
      </c>
      <c r="AI239" s="1099">
        <f>_xlfn.SUMIFS(Налоги!AH$25:AH$69,Налоги!$F$25:$F$69,$F239,Налоги!$AB$25:$AB$69,$G239)</f>
        <v>103.4538612948</v>
      </c>
      <c r="AJ239" s="1099">
        <f>_xlfn.SUMIFS(Налоги!AI$25:AI$69,Налоги!$F$25:$F$69,$F239,Налоги!$AB$25:$AB$69,$G239)</f>
        <v>223.7037642913</v>
      </c>
      <c r="AK239" s="1099">
        <f>_xlfn.SUMIFS(Налоги!AJ$25:AJ$69,Налоги!$F$25:$F$69,$F239,Налоги!$AB$25:$AB$69,$G239)</f>
        <v>0</v>
      </c>
      <c r="AL239" s="1099">
        <f>_xlfn.SUMIFS(Налоги!AK$25:AK$69,Налоги!$F$25:$F$69,$F239,Налоги!$AB$25:$AB$69,$G239)</f>
        <v>0</v>
      </c>
      <c r="AM239" s="1099">
        <f>_xlfn.SUMIFS(Налоги!AL$25:AL$69,Налоги!$F$25:$F$69,$F239,Налоги!$AB$25:$AB$69,$G239)</f>
        <v>0</v>
      </c>
      <c r="AN239" s="1099">
        <f>_xlfn.SUMIFS(Налоги!AM$25:AM$69,Налоги!$F$25:$F$69,$F239,Налоги!$AB$25:$AB$69,$G239)</f>
        <v>0</v>
      </c>
      <c r="AO239" s="1099">
        <f>_xlfn.SUMIFS(Налоги!AN$25:AN$69,Налоги!$F$25:$F$69,$F239,Налоги!$AB$25:$AB$69,$G239)</f>
        <v>0</v>
      </c>
      <c r="AP239" s="1099">
        <f>_xlfn.SUMIFS(Налоги!AO$25:AO$69,Налоги!$F$25:$F$69,$F239,Налоги!$AB$25:$AB$69,$G239)</f>
        <v>0</v>
      </c>
      <c r="AQ239" s="1099">
        <f>_xlfn.SUMIFS(Налоги!AP$25:AP$69,Налоги!$F$25:$F$69,$F239,Налоги!$AB$25:$AB$69,$G239)</f>
        <v>0</v>
      </c>
      <c r="AR239" s="1099">
        <f>_xlfn.SUMIFS(Налоги!AQ$25:AQ$69,Налоги!$F$25:$F$69,$F239,Налоги!$AB$25:$AB$69,$G239)</f>
        <v>0</v>
      </c>
      <c r="AS239" s="1099">
        <f>_xlfn.SUMIFS(Налоги!AR$25:AR$69,Налоги!$F$25:$F$69,$F239,Налоги!$AB$25:$AB$69,$G239)</f>
        <v>0</v>
      </c>
      <c r="AT239" s="1099">
        <f>_xlfn.SUMIFS(Налоги!AS$25:AS$69,Налоги!$F$25:$F$69,$F239,Налоги!$AB$25:$AB$69,$G239)</f>
        <v>223.7037642913</v>
      </c>
      <c r="AU239" s="1099">
        <f>_xlfn.SUMIFS(Налоги!AT$25:AT$69,Налоги!$F$25:$F$69,$F239,Налоги!$AB$25:$AB$69,$G239)</f>
        <v>0</v>
      </c>
      <c r="AV239" s="1099">
        <f>_xlfn.SUMIFS(Налоги!AU$25:AU$69,Налоги!$F$25:$F$69,$F239,Налоги!$AB$25:$AB$69,$G239)</f>
        <v>0</v>
      </c>
      <c r="AW239" s="1099">
        <f>_xlfn.SUMIFS(Налоги!AV$25:AV$69,Налоги!$F$25:$F$69,$F239,Налоги!$AB$25:$AB$69,$G239)</f>
        <v>0</v>
      </c>
      <c r="AX239" s="1099">
        <f>_xlfn.SUMIFS(Налоги!AW$25:AW$69,Налоги!$F$25:$F$69,$F239,Налоги!$AB$25:$AB$69,$G239)</f>
        <v>0</v>
      </c>
      <c r="AY239" s="1099">
        <f>_xlfn.SUMIFS(Налоги!AX$25:AX$69,Налоги!$F$25:$F$69,$F239,Налоги!$AB$25:$AB$69,$G239)</f>
        <v>0</v>
      </c>
      <c r="AZ239" s="1099">
        <f>_xlfn.SUMIFS(Налоги!AY$25:AY$69,Налоги!$F$25:$F$69,$F239,Налоги!$AB$25:$AB$69,$G239)</f>
        <v>0</v>
      </c>
      <c r="BA239" s="1099">
        <f>_xlfn.SUMIFS(Налоги!AZ$25:AZ$69,Налоги!$F$25:$F$69,$F239,Налоги!$AB$25:$AB$69,$G239)</f>
        <v>0</v>
      </c>
      <c r="BB239" s="1099">
        <f>_xlfn.SUMIFS(Налоги!BA$25:BA$69,Налоги!$F$25:$F$69,$F239,Налоги!$AB$25:$AB$69,$G239)</f>
        <v>0</v>
      </c>
      <c r="BC239" s="1099">
        <f>_xlfn.SUMIFS(Налоги!BB$25:BB$69,Налоги!$F$25:$F$69,$F239,Налоги!$AB$25:$AB$69,$G239)</f>
        <v>0</v>
      </c>
      <c r="BD239" s="1099">
        <f>IF(AI239=0,0,(AT239-AI239)/AI239*100)</f>
        <v>116.235297060434</v>
      </c>
      <c r="BE239" s="1099">
        <f>IF(AT239=0,0,(AU239-AT239)/AT239*100)</f>
        <v>-100</v>
      </c>
      <c r="BF239" s="1099">
        <f>IF(AU239=0,0,(AV239-AU239)/AU239*100)</f>
        <v>0</v>
      </c>
      <c r="BG239" s="1099">
        <f>IF(AV239=0,0,(AW239-AV239)/AV239*100)</f>
        <v>0</v>
      </c>
      <c r="BH239" s="1099">
        <f>IF(AW239=0,0,(AX239-AW239)/AW239*100)</f>
        <v>0</v>
      </c>
      <c r="BI239" s="1099">
        <f>IF(AX239=0,0,(AY239-AX239)/AX239*100)</f>
        <v>0</v>
      </c>
      <c r="BJ239" s="1099">
        <f>IF(AY239=0,0,(AZ239-AY239)/AY239*100)</f>
        <v>0</v>
      </c>
      <c r="BK239" s="1099">
        <f>IF(AZ239=0,0,(BA239-AZ239)/AZ239*100)</f>
        <v>0</v>
      </c>
      <c r="BL239" s="1099">
        <f>IF(BA239=0,0,(BB239-BA239)/BA239*100)</f>
        <v>0</v>
      </c>
      <c r="BM239" s="1099">
        <f>IF(BB239=0,0,(BC239-BB239)/BB239*100)</f>
        <v>0</v>
      </c>
      <c r="BN239" s="4617" t="s">
        <v>2079</v>
      </c>
      <c r="BO239" s="4619" t="str">
        <f>IF(_xlfn.IFERROR(INDEX(Налоги!$K$26:$L$69,MATCH($F239&amp;"2komm",Налоги!$K$26:$K$69,0),2),"")=0,"",_xlfn.IFERROR(INDEX(Налоги!$K$26:$L$69,MATCH($F239&amp;"2komm",Налоги!$K$26:$K$69,0),2),""))</f>
        <v>По предложению организации, так как не превышает расчет регулятора (участок 42:10:01 07 003:25 по факту 2024 года в доле площади, относимой к тарифу (224,9 тыс. руб.))</v>
      </c>
      <c r="BP239" s="4617"/>
      <c r="BQ239" s="960"/>
      <c r="BR239" s="960"/>
      <c r="BS239" s="1048" t="s">
        <v>1937</v>
      </c>
      <c r="BT239" s="1048"/>
      <c r="BU239" s="1048"/>
      <c r="BV239" s="962"/>
      <c r="BW239" s="962"/>
    </row>
    <row s="1621" customFormat="1" customHeight="1" ht="14.25">
      <c r="A240" s="960"/>
      <c r="B240" s="961"/>
      <c r="C240" s="73"/>
      <c r="D240" s="73"/>
      <c r="E240" s="600">
        <v>15</v>
      </c>
      <c r="F240" s="50" cm="1" t="str">
        <f t="array" ref="F240:F240">OFFSET(E240,-1,1)</f>
        <v>1</v>
      </c>
      <c r="G240" s="904">
        <v>4</v>
      </c>
      <c r="H240" s="73"/>
      <c r="I240" s="73" t="s">
        <v>1938</v>
      </c>
      <c r="J240" s="73"/>
      <c r="K240" s="73" t="s">
        <v>1938</v>
      </c>
      <c r="L240" s="963"/>
      <c r="M240" s="73"/>
      <c r="N240" s="73"/>
      <c r="O240" s="73"/>
      <c r="P240" s="73"/>
      <c r="Q240" s="73"/>
      <c r="R240" s="73"/>
      <c r="S240" s="73"/>
      <c r="T240" s="439" cm="1" t="str">
        <f t="array" ref="T240:T240">T239</f>
        <v>true</v>
      </c>
      <c r="U240" s="73"/>
      <c r="V240" s="73"/>
      <c r="W240" s="73"/>
      <c r="X240" s="1534"/>
      <c r="Y240" s="960"/>
      <c r="Z240" s="1465"/>
      <c r="AA240" s="960"/>
      <c r="AB240" s="267" t="s">
        <v>1939</v>
      </c>
      <c r="AC240" s="746" t="s">
        <v>1940</v>
      </c>
      <c r="AD240" s="267" t="s">
        <v>784</v>
      </c>
      <c r="AE240" s="1099">
        <f>_xlfn.SUMIFS(Налоги!AE$25:AE$69,Налоги!$F$25:$F$69,$F240,Налоги!$AB$25:$AB$69,$G240)</f>
        <v>245.2838808</v>
      </c>
      <c r="AF240" s="1099">
        <f>_xlfn.SUMIFS(Налоги!AF$25:AF$69,Налоги!$F$25:$F$69,$F240,Налоги!$AB$25:$AB$69,$G240)</f>
        <v>219.179</v>
      </c>
      <c r="AG240" s="1099">
        <f>_xlfn.SUMIFS(Налоги!AG$25:AG$69,Налоги!$F$25:$F$69,$F240,Налоги!$AB$25:$AB$69,$G240)</f>
        <v>219.18</v>
      </c>
      <c r="AH240" s="1099">
        <f>AG240-AF240</f>
        <v>0.00100000000000477</v>
      </c>
      <c r="AI240" s="1099">
        <f>_xlfn.SUMIFS(Налоги!AH$25:AH$69,Налоги!$F$25:$F$69,$F240,Налоги!$AB$25:$AB$69,$G240)</f>
        <v>175.72926</v>
      </c>
      <c r="AJ240" s="1099">
        <f>_xlfn.SUMIFS(Налоги!AI$25:AI$69,Налоги!$F$25:$F$69,$F240,Налоги!$AB$25:$AB$69,$G240)</f>
        <v>240.31952</v>
      </c>
      <c r="AK240" s="1099">
        <f>_xlfn.SUMIFS(Налоги!AJ$25:AJ$69,Налоги!$F$25:$F$69,$F240,Налоги!$AB$25:$AB$69,$G240)</f>
        <v>0</v>
      </c>
      <c r="AL240" s="1099">
        <f>_xlfn.SUMIFS(Налоги!AK$25:AK$69,Налоги!$F$25:$F$69,$F240,Налоги!$AB$25:$AB$69,$G240)</f>
        <v>0</v>
      </c>
      <c r="AM240" s="1099">
        <f>_xlfn.SUMIFS(Налоги!AL$25:AL$69,Налоги!$F$25:$F$69,$F240,Налоги!$AB$25:$AB$69,$G240)</f>
        <v>0</v>
      </c>
      <c r="AN240" s="1099">
        <f>_xlfn.SUMIFS(Налоги!AM$25:AM$69,Налоги!$F$25:$F$69,$F240,Налоги!$AB$25:$AB$69,$G240)</f>
        <v>0</v>
      </c>
      <c r="AO240" s="1099">
        <f>_xlfn.SUMIFS(Налоги!AN$25:AN$69,Налоги!$F$25:$F$69,$F240,Налоги!$AB$25:$AB$69,$G240)</f>
        <v>0</v>
      </c>
      <c r="AP240" s="1099">
        <f>_xlfn.SUMIFS(Налоги!AO$25:AO$69,Налоги!$F$25:$F$69,$F240,Налоги!$AB$25:$AB$69,$G240)</f>
        <v>0</v>
      </c>
      <c r="AQ240" s="1099">
        <f>_xlfn.SUMIFS(Налоги!AP$25:AP$69,Налоги!$F$25:$F$69,$F240,Налоги!$AB$25:$AB$69,$G240)</f>
        <v>0</v>
      </c>
      <c r="AR240" s="1099">
        <f>_xlfn.SUMIFS(Налоги!AQ$25:AQ$69,Налоги!$F$25:$F$69,$F240,Налоги!$AB$25:$AB$69,$G240)</f>
        <v>0</v>
      </c>
      <c r="AS240" s="1099">
        <f>_xlfn.SUMIFS(Налоги!AR$25:AR$69,Налоги!$F$25:$F$69,$F240,Налоги!$AB$25:$AB$69,$G240)</f>
        <v>0</v>
      </c>
      <c r="AT240" s="1099">
        <f>_xlfn.SUMIFS(Налоги!AS$25:AS$69,Налоги!$F$25:$F$69,$F240,Налоги!$AB$25:$AB$69,$G240)</f>
        <v>240.32</v>
      </c>
      <c r="AU240" s="1099">
        <f>_xlfn.SUMIFS(Налоги!AT$25:AT$69,Налоги!$F$25:$F$69,$F240,Налоги!$AB$25:$AB$69,$G240)</f>
        <v>0</v>
      </c>
      <c r="AV240" s="1099">
        <f>_xlfn.SUMIFS(Налоги!AU$25:AU$69,Налоги!$F$25:$F$69,$F240,Налоги!$AB$25:$AB$69,$G240)</f>
        <v>0</v>
      </c>
      <c r="AW240" s="1099">
        <f>_xlfn.SUMIFS(Налоги!AV$25:AV$69,Налоги!$F$25:$F$69,$F240,Налоги!$AB$25:$AB$69,$G240)</f>
        <v>0</v>
      </c>
      <c r="AX240" s="1099">
        <f>_xlfn.SUMIFS(Налоги!AW$25:AW$69,Налоги!$F$25:$F$69,$F240,Налоги!$AB$25:$AB$69,$G240)</f>
        <v>0</v>
      </c>
      <c r="AY240" s="1099">
        <f>_xlfn.SUMIFS(Налоги!AX$25:AX$69,Налоги!$F$25:$F$69,$F240,Налоги!$AB$25:$AB$69,$G240)</f>
        <v>0</v>
      </c>
      <c r="AZ240" s="1099">
        <f>_xlfn.SUMIFS(Налоги!AY$25:AY$69,Налоги!$F$25:$F$69,$F240,Налоги!$AB$25:$AB$69,$G240)</f>
        <v>0</v>
      </c>
      <c r="BA240" s="1099">
        <f>_xlfn.SUMIFS(Налоги!AZ$25:AZ$69,Налоги!$F$25:$F$69,$F240,Налоги!$AB$25:$AB$69,$G240)</f>
        <v>0</v>
      </c>
      <c r="BB240" s="1099">
        <f>_xlfn.SUMIFS(Налоги!BA$25:BA$69,Налоги!$F$25:$F$69,$F240,Налоги!$AB$25:$AB$69,$G240)</f>
        <v>0</v>
      </c>
      <c r="BC240" s="1099">
        <f>_xlfn.SUMIFS(Налоги!BB$25:BB$69,Налоги!$F$25:$F$69,$F240,Налоги!$AB$25:$AB$69,$G240)</f>
        <v>0</v>
      </c>
      <c r="BD240" s="1099">
        <f>IF(AI240=0,0,(AT240-AI240)/AI240*100)</f>
        <v>36.7558254100654</v>
      </c>
      <c r="BE240" s="1099">
        <f>IF(AT240=0,0,(AU240-AT240)/AT240*100)</f>
        <v>-100</v>
      </c>
      <c r="BF240" s="1099">
        <f>IF(AU240=0,0,(AV240-AU240)/AU240*100)</f>
        <v>0</v>
      </c>
      <c r="BG240" s="1099">
        <f>IF(AV240=0,0,(AW240-AV240)/AV240*100)</f>
        <v>0</v>
      </c>
      <c r="BH240" s="1099">
        <f>IF(AW240=0,0,(AX240-AW240)/AW240*100)</f>
        <v>0</v>
      </c>
      <c r="BI240" s="1099">
        <f>IF(AX240=0,0,(AY240-AX240)/AX240*100)</f>
        <v>0</v>
      </c>
      <c r="BJ240" s="1099">
        <f>IF(AY240=0,0,(AZ240-AY240)/AY240*100)</f>
        <v>0</v>
      </c>
      <c r="BK240" s="1099">
        <f>IF(AZ240=0,0,(BA240-AZ240)/AZ240*100)</f>
        <v>0</v>
      </c>
      <c r="BL240" s="1099">
        <f>IF(BA240=0,0,(BB240-BA240)/BA240*100)</f>
        <v>0</v>
      </c>
      <c r="BM240" s="1099">
        <f>IF(BB240=0,0,(BC240-BB240)/BB240*100)</f>
        <v>0</v>
      </c>
      <c r="BN240" s="4617"/>
      <c r="BO240" s="4619" t="str">
        <f>IF(_xlfn.IFERROR(INDEX(Налоги!$K$26:$L$69,MATCH($F240&amp;"4komm",Налоги!$K$26:$K$69,0),2),"")=0,"",_xlfn.IFERROR(INDEX(Налоги!$K$26:$L$69,MATCH($F240&amp;"4komm",Налоги!$K$26:$K$69,0),2),""))</f>
        <v>По предложению организации, так как не превышает расчет регулятора (271,8 тыс. руб.) исходя из объема поднятой воды и ставок водного налога в соответствии с Налоговым кодексом  РФ</v>
      </c>
      <c r="BP240" s="4617"/>
      <c r="BQ240" s="960"/>
      <c r="BR240" s="960"/>
      <c r="BS240" s="1048" t="s">
        <v>1941</v>
      </c>
      <c r="BT240" s="1048"/>
      <c r="BU240" s="1048"/>
      <c r="BV240" s="962"/>
      <c r="BW240" s="962"/>
    </row>
    <row s="1621" customFormat="1" customHeight="1" ht="14.25">
      <c r="A241" s="960"/>
      <c r="B241" s="961"/>
      <c r="C241" s="73"/>
      <c r="D241" s="73"/>
      <c r="E241" s="600">
        <v>15</v>
      </c>
      <c r="F241" s="50" cm="1" t="str">
        <f t="array" ref="F241:F241">OFFSET(E241,-1,1)</f>
        <v>1</v>
      </c>
      <c r="G241" s="904">
        <v>5</v>
      </c>
      <c r="H241" s="73"/>
      <c r="I241" s="73" t="s">
        <v>1942</v>
      </c>
      <c r="J241" s="73"/>
      <c r="K241" s="73" t="s">
        <v>1942</v>
      </c>
      <c r="L241" s="963"/>
      <c r="M241" s="73"/>
      <c r="N241" s="73"/>
      <c r="O241" s="73"/>
      <c r="P241" s="73"/>
      <c r="Q241" s="73"/>
      <c r="R241" s="73"/>
      <c r="S241" s="73"/>
      <c r="T241" s="439" cm="1" t="str">
        <f t="array" ref="T241:T241">T240</f>
        <v>true</v>
      </c>
      <c r="U241" s="73"/>
      <c r="V241" s="73"/>
      <c r="W241" s="73"/>
      <c r="X241" s="1534"/>
      <c r="Y241" s="960"/>
      <c r="Z241" s="1465"/>
      <c r="AA241" s="960"/>
      <c r="AB241" s="267" t="s">
        <v>1943</v>
      </c>
      <c r="AC241" s="746" t="s">
        <v>1944</v>
      </c>
      <c r="AD241" s="267" t="s">
        <v>784</v>
      </c>
      <c r="AE241" s="1099">
        <f>_xlfn.SUMIFS(Налоги!AE$25:AE$69,Налоги!$F$25:$F$69,$F241,Налоги!$AB$25:$AB$69,$G241)</f>
        <v>0</v>
      </c>
      <c r="AF241" s="1099">
        <f>_xlfn.SUMIFS(Налоги!AF$25:AF$69,Налоги!$F$25:$F$69,$F241,Налоги!$AB$25:$AB$69,$G241)</f>
        <v>0</v>
      </c>
      <c r="AG241" s="1099">
        <f>_xlfn.SUMIFS(Налоги!AG$25:AG$69,Налоги!$F$25:$F$69,$F241,Налоги!$AB$25:$AB$69,$G241)</f>
        <v>0</v>
      </c>
      <c r="AH241" s="1099">
        <f>AG241-AF241</f>
        <v>0</v>
      </c>
      <c r="AI241" s="1099">
        <f>_xlfn.SUMIFS(Налоги!AH$25:AH$69,Налоги!$F$25:$F$69,$F241,Налоги!$AB$25:$AB$69,$G241)</f>
        <v>0</v>
      </c>
      <c r="AJ241" s="1099">
        <f>_xlfn.SUMIFS(Налоги!AI$25:AI$69,Налоги!$F$25:$F$69,$F241,Налоги!$AB$25:$AB$69,$G241)</f>
        <v>0</v>
      </c>
      <c r="AK241" s="1099">
        <f>_xlfn.SUMIFS(Налоги!AJ$25:AJ$69,Налоги!$F$25:$F$69,$F241,Налоги!$AB$25:$AB$69,$G241)</f>
        <v>0</v>
      </c>
      <c r="AL241" s="1099">
        <f>_xlfn.SUMIFS(Налоги!AK$25:AK$69,Налоги!$F$25:$F$69,$F241,Налоги!$AB$25:$AB$69,$G241)</f>
        <v>0</v>
      </c>
      <c r="AM241" s="1099">
        <f>_xlfn.SUMIFS(Налоги!AL$25:AL$69,Налоги!$F$25:$F$69,$F241,Налоги!$AB$25:$AB$69,$G241)</f>
        <v>0</v>
      </c>
      <c r="AN241" s="1099">
        <f>_xlfn.SUMIFS(Налоги!AM$25:AM$69,Налоги!$F$25:$F$69,$F241,Налоги!$AB$25:$AB$69,$G241)</f>
        <v>0</v>
      </c>
      <c r="AO241" s="1099">
        <f>_xlfn.SUMIFS(Налоги!AN$25:AN$69,Налоги!$F$25:$F$69,$F241,Налоги!$AB$25:$AB$69,$G241)</f>
        <v>0</v>
      </c>
      <c r="AP241" s="1099">
        <f>_xlfn.SUMIFS(Налоги!AO$25:AO$69,Налоги!$F$25:$F$69,$F241,Налоги!$AB$25:$AB$69,$G241)</f>
        <v>0</v>
      </c>
      <c r="AQ241" s="1099">
        <f>_xlfn.SUMIFS(Налоги!AP$25:AP$69,Налоги!$F$25:$F$69,$F241,Налоги!$AB$25:$AB$69,$G241)</f>
        <v>0</v>
      </c>
      <c r="AR241" s="1099">
        <f>_xlfn.SUMIFS(Налоги!AQ$25:AQ$69,Налоги!$F$25:$F$69,$F241,Налоги!$AB$25:$AB$69,$G241)</f>
        <v>0</v>
      </c>
      <c r="AS241" s="1099">
        <f>_xlfn.SUMIFS(Налоги!AR$25:AR$69,Налоги!$F$25:$F$69,$F241,Налоги!$AB$25:$AB$69,$G241)</f>
        <v>0</v>
      </c>
      <c r="AT241" s="1099">
        <f>_xlfn.SUMIFS(Налоги!AS$25:AS$69,Налоги!$F$25:$F$69,$F241,Налоги!$AB$25:$AB$69,$G241)</f>
        <v>0</v>
      </c>
      <c r="AU241" s="1099">
        <f>_xlfn.SUMIFS(Налоги!AT$25:AT$69,Налоги!$F$25:$F$69,$F241,Налоги!$AB$25:$AB$69,$G241)</f>
        <v>0</v>
      </c>
      <c r="AV241" s="1099">
        <f>_xlfn.SUMIFS(Налоги!AU$25:AU$69,Налоги!$F$25:$F$69,$F241,Налоги!$AB$25:$AB$69,$G241)</f>
        <v>0</v>
      </c>
      <c r="AW241" s="1099">
        <f>_xlfn.SUMIFS(Налоги!AV$25:AV$69,Налоги!$F$25:$F$69,$F241,Налоги!$AB$25:$AB$69,$G241)</f>
        <v>0</v>
      </c>
      <c r="AX241" s="1099">
        <f>_xlfn.SUMIFS(Налоги!AW$25:AW$69,Налоги!$F$25:$F$69,$F241,Налоги!$AB$25:$AB$69,$G241)</f>
        <v>0</v>
      </c>
      <c r="AY241" s="1099">
        <f>_xlfn.SUMIFS(Налоги!AX$25:AX$69,Налоги!$F$25:$F$69,$F241,Налоги!$AB$25:$AB$69,$G241)</f>
        <v>0</v>
      </c>
      <c r="AZ241" s="1099">
        <f>_xlfn.SUMIFS(Налоги!AY$25:AY$69,Налоги!$F$25:$F$69,$F241,Налоги!$AB$25:$AB$69,$G241)</f>
        <v>0</v>
      </c>
      <c r="BA241" s="1099">
        <f>_xlfn.SUMIFS(Налоги!AZ$25:AZ$69,Налоги!$F$25:$F$69,$F241,Налоги!$AB$25:$AB$69,$G241)</f>
        <v>0</v>
      </c>
      <c r="BB241" s="1099">
        <f>_xlfn.SUMIFS(Налоги!BA$25:BA$69,Налоги!$F$25:$F$69,$F241,Налоги!$AB$25:$AB$69,$G241)</f>
        <v>0</v>
      </c>
      <c r="BC241" s="1099">
        <f>_xlfn.SUMIFS(Налоги!BB$25:BB$69,Налоги!$F$25:$F$69,$F241,Налоги!$AB$25:$AB$69,$G241)</f>
        <v>0</v>
      </c>
      <c r="BD241" s="1099">
        <f>IF(AI241=0,0,(AT241-AI241)/AI241*100)</f>
        <v>0</v>
      </c>
      <c r="BE241" s="1099">
        <f>IF(AT241=0,0,(AU241-AT241)/AT241*100)</f>
        <v>0</v>
      </c>
      <c r="BF241" s="1099">
        <f>IF(AU241=0,0,(AV241-AU241)/AU241*100)</f>
        <v>0</v>
      </c>
      <c r="BG241" s="1099">
        <f>IF(AV241=0,0,(AW241-AV241)/AV241*100)</f>
        <v>0</v>
      </c>
      <c r="BH241" s="1099">
        <f>IF(AW241=0,0,(AX241-AW241)/AW241*100)</f>
        <v>0</v>
      </c>
      <c r="BI241" s="1099">
        <f>IF(AX241=0,0,(AY241-AX241)/AX241*100)</f>
        <v>0</v>
      </c>
      <c r="BJ241" s="1099">
        <f>IF(AY241=0,0,(AZ241-AY241)/AY241*100)</f>
        <v>0</v>
      </c>
      <c r="BK241" s="1099">
        <f>IF(AZ241=0,0,(BA241-AZ241)/AZ241*100)</f>
        <v>0</v>
      </c>
      <c r="BL241" s="1099">
        <f>IF(BA241=0,0,(BB241-BA241)/BA241*100)</f>
        <v>0</v>
      </c>
      <c r="BM241" s="1099">
        <f>IF(BB241=0,0,(BC241-BB241)/BB241*100)</f>
        <v>0</v>
      </c>
      <c r="BN241" s="4617"/>
      <c r="BO241" s="4619" t="str">
        <f>IF(_xlfn.IFERROR(INDEX(Налоги!$K$26:$L$69,MATCH($F241&amp;"5komm",Налоги!$K$26:$K$69,0),2),"")=0,"",_xlfn.IFERROR(INDEX(Налоги!$K$26:$L$69,MATCH($F241&amp;"5komm",Налоги!$K$26:$K$69,0),2),""))</f>
        <v/>
      </c>
      <c r="BP241" s="4617"/>
      <c r="BQ241" s="960"/>
      <c r="BR241" s="960"/>
      <c r="BS241" s="1048" t="s">
        <v>1945</v>
      </c>
      <c r="BT241" s="1048"/>
      <c r="BU241" s="1048"/>
      <c r="BV241" s="962"/>
      <c r="BW241" s="962"/>
    </row>
    <row s="1621" customFormat="1" customHeight="1" ht="14.25">
      <c r="A242" s="960"/>
      <c r="B242" s="961"/>
      <c r="C242" s="73"/>
      <c r="D242" s="73"/>
      <c r="E242" s="600">
        <v>15</v>
      </c>
      <c r="F242" s="50" cm="1" t="str">
        <f t="array" ref="F242:F242">OFFSET(E242,-1,1)</f>
        <v>1</v>
      </c>
      <c r="G242" s="904">
        <v>1</v>
      </c>
      <c r="H242" s="73"/>
      <c r="I242" s="73" t="s">
        <v>1946</v>
      </c>
      <c r="J242" s="73"/>
      <c r="K242" s="73" t="s">
        <v>1946</v>
      </c>
      <c r="L242" s="963"/>
      <c r="M242" s="73"/>
      <c r="N242" s="73"/>
      <c r="O242" s="73"/>
      <c r="P242" s="73"/>
      <c r="Q242" s="73"/>
      <c r="R242" s="73"/>
      <c r="S242" s="73"/>
      <c r="T242" s="439" cm="1" t="str">
        <f t="array" ref="T242:T242">T241</f>
        <v>true</v>
      </c>
      <c r="U242" s="73"/>
      <c r="V242" s="73"/>
      <c r="W242" s="73"/>
      <c r="X242" s="1534"/>
      <c r="Y242" s="960"/>
      <c r="Z242" s="1465"/>
      <c r="AA242" s="960"/>
      <c r="AB242" s="267" t="s">
        <v>1947</v>
      </c>
      <c r="AC242" s="746" t="s">
        <v>1948</v>
      </c>
      <c r="AD242" s="267" t="s">
        <v>784</v>
      </c>
      <c r="AE242" s="1099">
        <f>_xlfn.SUMIFS(Налоги!AE$25:AE$69,Налоги!$F$25:$F$69,$F242,Налоги!$AB$25:$AB$69,$G242)</f>
        <v>0</v>
      </c>
      <c r="AF242" s="1099">
        <f>_xlfn.SUMIFS(Налоги!AF$25:AF$69,Налоги!$F$25:$F$69,$F242,Налоги!$AB$25:$AB$69,$G242)</f>
        <v>0</v>
      </c>
      <c r="AG242" s="1099">
        <f>_xlfn.SUMIFS(Налоги!AG$25:AG$69,Налоги!$F$25:$F$69,$F242,Налоги!$AB$25:$AB$69,$G242)</f>
        <v>0</v>
      </c>
      <c r="AH242" s="1099">
        <f>AG242-AF242</f>
        <v>0</v>
      </c>
      <c r="AI242" s="1099">
        <f>_xlfn.SUMIFS(Налоги!AH$25:AH$69,Налоги!$F$25:$F$69,$F242,Налоги!$AB$25:$AB$69,$G242)</f>
        <v>0</v>
      </c>
      <c r="AJ242" s="1099">
        <f>_xlfn.SUMIFS(Налоги!AI$25:AI$69,Налоги!$F$25:$F$69,$F242,Налоги!$AB$25:$AB$69,$G242)</f>
        <v>0</v>
      </c>
      <c r="AK242" s="1099">
        <f>_xlfn.SUMIFS(Налоги!AJ$25:AJ$69,Налоги!$F$25:$F$69,$F242,Налоги!$AB$25:$AB$69,$G242)</f>
        <v>0</v>
      </c>
      <c r="AL242" s="1099">
        <f>_xlfn.SUMIFS(Налоги!AK$25:AK$69,Налоги!$F$25:$F$69,$F242,Налоги!$AB$25:$AB$69,$G242)</f>
        <v>0</v>
      </c>
      <c r="AM242" s="1099">
        <f>_xlfn.SUMIFS(Налоги!AL$25:AL$69,Налоги!$F$25:$F$69,$F242,Налоги!$AB$25:$AB$69,$G242)</f>
        <v>0</v>
      </c>
      <c r="AN242" s="1099">
        <f>_xlfn.SUMIFS(Налоги!AM$25:AM$69,Налоги!$F$25:$F$69,$F242,Налоги!$AB$25:$AB$69,$G242)</f>
        <v>0</v>
      </c>
      <c r="AO242" s="1099">
        <f>_xlfn.SUMIFS(Налоги!AN$25:AN$69,Налоги!$F$25:$F$69,$F242,Налоги!$AB$25:$AB$69,$G242)</f>
        <v>0</v>
      </c>
      <c r="AP242" s="1099">
        <f>_xlfn.SUMIFS(Налоги!AO$25:AO$69,Налоги!$F$25:$F$69,$F242,Налоги!$AB$25:$AB$69,$G242)</f>
        <v>0</v>
      </c>
      <c r="AQ242" s="1099">
        <f>_xlfn.SUMIFS(Налоги!AP$25:AP$69,Налоги!$F$25:$F$69,$F242,Налоги!$AB$25:$AB$69,$G242)</f>
        <v>0</v>
      </c>
      <c r="AR242" s="1099">
        <f>_xlfn.SUMIFS(Налоги!AQ$25:AQ$69,Налоги!$F$25:$F$69,$F242,Налоги!$AB$25:$AB$69,$G242)</f>
        <v>0</v>
      </c>
      <c r="AS242" s="1099">
        <f>_xlfn.SUMIFS(Налоги!AR$25:AR$69,Налоги!$F$25:$F$69,$F242,Налоги!$AB$25:$AB$69,$G242)</f>
        <v>0</v>
      </c>
      <c r="AT242" s="1099">
        <f>_xlfn.SUMIFS(Налоги!AS$25:AS$69,Налоги!$F$25:$F$69,$F242,Налоги!$AB$25:$AB$69,$G242)</f>
        <v>0</v>
      </c>
      <c r="AU242" s="1099">
        <f>_xlfn.SUMIFS(Налоги!AT$25:AT$69,Налоги!$F$25:$F$69,$F242,Налоги!$AB$25:$AB$69,$G242)</f>
        <v>0</v>
      </c>
      <c r="AV242" s="1099">
        <f>_xlfn.SUMIFS(Налоги!AU$25:AU$69,Налоги!$F$25:$F$69,$F242,Налоги!$AB$25:$AB$69,$G242)</f>
        <v>0</v>
      </c>
      <c r="AW242" s="1099">
        <f>_xlfn.SUMIFS(Налоги!AV$25:AV$69,Налоги!$F$25:$F$69,$F242,Налоги!$AB$25:$AB$69,$G242)</f>
        <v>0</v>
      </c>
      <c r="AX242" s="1099">
        <f>_xlfn.SUMIFS(Налоги!AW$25:AW$69,Налоги!$F$25:$F$69,$F242,Налоги!$AB$25:$AB$69,$G242)</f>
        <v>0</v>
      </c>
      <c r="AY242" s="1099">
        <f>_xlfn.SUMIFS(Налоги!AX$25:AX$69,Налоги!$F$25:$F$69,$F242,Налоги!$AB$25:$AB$69,$G242)</f>
        <v>0</v>
      </c>
      <c r="AZ242" s="1099">
        <f>_xlfn.SUMIFS(Налоги!AY$25:AY$69,Налоги!$F$25:$F$69,$F242,Налоги!$AB$25:$AB$69,$G242)</f>
        <v>0</v>
      </c>
      <c r="BA242" s="1099">
        <f>_xlfn.SUMIFS(Налоги!AZ$25:AZ$69,Налоги!$F$25:$F$69,$F242,Налоги!$AB$25:$AB$69,$G242)</f>
        <v>0</v>
      </c>
      <c r="BB242" s="1099">
        <f>_xlfn.SUMIFS(Налоги!BA$25:BA$69,Налоги!$F$25:$F$69,$F242,Налоги!$AB$25:$AB$69,$G242)</f>
        <v>0</v>
      </c>
      <c r="BC242" s="1099">
        <f>_xlfn.SUMIFS(Налоги!BB$25:BB$69,Налоги!$F$25:$F$69,$F242,Налоги!$AB$25:$AB$69,$G242)</f>
        <v>0</v>
      </c>
      <c r="BD242" s="1099">
        <f>IF(AI242=0,0,(AT242-AI242)/AI242*100)</f>
        <v>0</v>
      </c>
      <c r="BE242" s="1099">
        <f>IF(AT242=0,0,(AU242-AT242)/AT242*100)</f>
        <v>0</v>
      </c>
      <c r="BF242" s="1099">
        <f>IF(AU242=0,0,(AV242-AU242)/AU242*100)</f>
        <v>0</v>
      </c>
      <c r="BG242" s="1099">
        <f>IF(AV242=0,0,(AW242-AV242)/AV242*100)</f>
        <v>0</v>
      </c>
      <c r="BH242" s="1099">
        <f>IF(AW242=0,0,(AX242-AW242)/AW242*100)</f>
        <v>0</v>
      </c>
      <c r="BI242" s="1099">
        <f>IF(AX242=0,0,(AY242-AX242)/AX242*100)</f>
        <v>0</v>
      </c>
      <c r="BJ242" s="1099">
        <f>IF(AY242=0,0,(AZ242-AY242)/AY242*100)</f>
        <v>0</v>
      </c>
      <c r="BK242" s="1099">
        <f>IF(AZ242=0,0,(BA242-AZ242)/AZ242*100)</f>
        <v>0</v>
      </c>
      <c r="BL242" s="1099">
        <f>IF(BA242=0,0,(BB242-BA242)/BA242*100)</f>
        <v>0</v>
      </c>
      <c r="BM242" s="1099">
        <f>IF(BB242=0,0,(BC242-BB242)/BB242*100)</f>
        <v>0</v>
      </c>
      <c r="BN242" s="4617"/>
      <c r="BO242" s="4619" t="str">
        <f>IF(_xlfn.IFERROR(INDEX(Налоги!$K$26:$L$69,MATCH($F242&amp;"1komm",Налоги!$K$26:$K$69,0),2),"")=0,"",_xlfn.IFERROR(INDEX(Налоги!$K$26:$L$69,MATCH($F242&amp;"1komm",Налоги!$K$26:$K$69,0),2),""))</f>
        <v/>
      </c>
      <c r="BP242" s="4617"/>
      <c r="BQ242" s="960"/>
      <c r="BR242" s="960"/>
      <c r="BS242" s="1048" t="s">
        <v>1949</v>
      </c>
      <c r="BT242" s="1048"/>
      <c r="BU242" s="1048"/>
      <c r="BV242" s="962"/>
      <c r="BW242" s="962"/>
    </row>
    <row s="1621" customFormat="1" customHeight="1" ht="14.25">
      <c r="A243" s="960"/>
      <c r="B243" s="961"/>
      <c r="C243" s="73"/>
      <c r="D243" s="73"/>
      <c r="E243" s="600">
        <v>15</v>
      </c>
      <c r="F243" s="50" cm="1" t="str">
        <f t="array" ref="F243:F243">OFFSET(E243,-1,1)</f>
        <v>1</v>
      </c>
      <c r="G243" s="904">
        <v>3</v>
      </c>
      <c r="H243" s="73"/>
      <c r="I243" s="73" t="s">
        <v>1950</v>
      </c>
      <c r="J243" s="73"/>
      <c r="K243" s="73" t="s">
        <v>1950</v>
      </c>
      <c r="L243" s="963"/>
      <c r="M243" s="73"/>
      <c r="N243" s="73"/>
      <c r="O243" s="73"/>
      <c r="P243" s="73"/>
      <c r="Q243" s="73"/>
      <c r="R243" s="73"/>
      <c r="S243" s="73"/>
      <c r="T243" s="439" cm="1" t="str">
        <f t="array" ref="T243:T243">T242</f>
        <v>true</v>
      </c>
      <c r="U243" s="73"/>
      <c r="V243" s="73"/>
      <c r="W243" s="73"/>
      <c r="X243" s="1534"/>
      <c r="Y243" s="960"/>
      <c r="Z243" s="1465"/>
      <c r="AA243" s="960"/>
      <c r="AB243" s="267" t="s">
        <v>1951</v>
      </c>
      <c r="AC243" s="746" t="s">
        <v>1952</v>
      </c>
      <c r="AD243" s="267" t="s">
        <v>784</v>
      </c>
      <c r="AE243" s="1099">
        <f>_xlfn.SUMIFS(Налоги!AE$25:AE$69,Налоги!$F$25:$F$69,$F243,Налоги!$AB$25:$AB$69,$G243)</f>
        <v>0</v>
      </c>
      <c r="AF243" s="1099">
        <f>_xlfn.SUMIFS(Налоги!AF$25:AF$69,Налоги!$F$25:$F$69,$F243,Налоги!$AB$25:$AB$69,$G243)</f>
        <v>0</v>
      </c>
      <c r="AG243" s="1099">
        <f>_xlfn.SUMIFS(Налоги!AG$25:AG$69,Налоги!$F$25:$F$69,$F243,Налоги!$AB$25:$AB$69,$G243)</f>
        <v>0</v>
      </c>
      <c r="AH243" s="1099">
        <f>AG243-AF243</f>
        <v>0</v>
      </c>
      <c r="AI243" s="1099">
        <f>_xlfn.SUMIFS(Налоги!AH$25:AH$69,Налоги!$F$25:$F$69,$F243,Налоги!$AB$25:$AB$69,$G243)</f>
        <v>0</v>
      </c>
      <c r="AJ243" s="1099">
        <f>_xlfn.SUMIFS(Налоги!AI$25:AI$69,Налоги!$F$25:$F$69,$F243,Налоги!$AB$25:$AB$69,$G243)</f>
        <v>0</v>
      </c>
      <c r="AK243" s="1099">
        <f>_xlfn.SUMIFS(Налоги!AJ$25:AJ$69,Налоги!$F$25:$F$69,$F243,Налоги!$AB$25:$AB$69,$G243)</f>
        <v>0</v>
      </c>
      <c r="AL243" s="1099">
        <f>_xlfn.SUMIFS(Налоги!AK$25:AK$69,Налоги!$F$25:$F$69,$F243,Налоги!$AB$25:$AB$69,$G243)</f>
        <v>0</v>
      </c>
      <c r="AM243" s="1099">
        <f>_xlfn.SUMIFS(Налоги!AL$25:AL$69,Налоги!$F$25:$F$69,$F243,Налоги!$AB$25:$AB$69,$G243)</f>
        <v>0</v>
      </c>
      <c r="AN243" s="1099">
        <f>_xlfn.SUMIFS(Налоги!AM$25:AM$69,Налоги!$F$25:$F$69,$F243,Налоги!$AB$25:$AB$69,$G243)</f>
        <v>0</v>
      </c>
      <c r="AO243" s="1099">
        <f>_xlfn.SUMIFS(Налоги!AN$25:AN$69,Налоги!$F$25:$F$69,$F243,Налоги!$AB$25:$AB$69,$G243)</f>
        <v>0</v>
      </c>
      <c r="AP243" s="1099">
        <f>_xlfn.SUMIFS(Налоги!AO$25:AO$69,Налоги!$F$25:$F$69,$F243,Налоги!$AB$25:$AB$69,$G243)</f>
        <v>0</v>
      </c>
      <c r="AQ243" s="1099">
        <f>_xlfn.SUMIFS(Налоги!AP$25:AP$69,Налоги!$F$25:$F$69,$F243,Налоги!$AB$25:$AB$69,$G243)</f>
        <v>0</v>
      </c>
      <c r="AR243" s="1099">
        <f>_xlfn.SUMIFS(Налоги!AQ$25:AQ$69,Налоги!$F$25:$F$69,$F243,Налоги!$AB$25:$AB$69,$G243)</f>
        <v>0</v>
      </c>
      <c r="AS243" s="1099">
        <f>_xlfn.SUMIFS(Налоги!AR$25:AR$69,Налоги!$F$25:$F$69,$F243,Налоги!$AB$25:$AB$69,$G243)</f>
        <v>0</v>
      </c>
      <c r="AT243" s="1099">
        <f>_xlfn.SUMIFS(Налоги!AS$25:AS$69,Налоги!$F$25:$F$69,$F243,Налоги!$AB$25:$AB$69,$G243)</f>
        <v>0</v>
      </c>
      <c r="AU243" s="1099">
        <f>_xlfn.SUMIFS(Налоги!AT$25:AT$69,Налоги!$F$25:$F$69,$F243,Налоги!$AB$25:$AB$69,$G243)</f>
        <v>0</v>
      </c>
      <c r="AV243" s="1099">
        <f>_xlfn.SUMIFS(Налоги!AU$25:AU$69,Налоги!$F$25:$F$69,$F243,Налоги!$AB$25:$AB$69,$G243)</f>
        <v>0</v>
      </c>
      <c r="AW243" s="1099">
        <f>_xlfn.SUMIFS(Налоги!AV$25:AV$69,Налоги!$F$25:$F$69,$F243,Налоги!$AB$25:$AB$69,$G243)</f>
        <v>0</v>
      </c>
      <c r="AX243" s="1099">
        <f>_xlfn.SUMIFS(Налоги!AW$25:AW$69,Налоги!$F$25:$F$69,$F243,Налоги!$AB$25:$AB$69,$G243)</f>
        <v>0</v>
      </c>
      <c r="AY243" s="1099">
        <f>_xlfn.SUMIFS(Налоги!AX$25:AX$69,Налоги!$F$25:$F$69,$F243,Налоги!$AB$25:$AB$69,$G243)</f>
        <v>0</v>
      </c>
      <c r="AZ243" s="1099">
        <f>_xlfn.SUMIFS(Налоги!AY$25:AY$69,Налоги!$F$25:$F$69,$F243,Налоги!$AB$25:$AB$69,$G243)</f>
        <v>0</v>
      </c>
      <c r="BA243" s="1099">
        <f>_xlfn.SUMIFS(Налоги!AZ$25:AZ$69,Налоги!$F$25:$F$69,$F243,Налоги!$AB$25:$AB$69,$G243)</f>
        <v>0</v>
      </c>
      <c r="BB243" s="1099">
        <f>_xlfn.SUMIFS(Налоги!BA$25:BA$69,Налоги!$F$25:$F$69,$F243,Налоги!$AB$25:$AB$69,$G243)</f>
        <v>0</v>
      </c>
      <c r="BC243" s="1099">
        <f>_xlfn.SUMIFS(Налоги!BB$25:BB$69,Налоги!$F$25:$F$69,$F243,Налоги!$AB$25:$AB$69,$G243)</f>
        <v>0</v>
      </c>
      <c r="BD243" s="1099">
        <f>IF(AI243=0,0,(AT243-AI243)/AI243*100)</f>
        <v>0</v>
      </c>
      <c r="BE243" s="1099">
        <f>IF(AT243=0,0,(AU243-AT243)/AT243*100)</f>
        <v>0</v>
      </c>
      <c r="BF243" s="1099">
        <f>IF(AU243=0,0,(AV243-AU243)/AU243*100)</f>
        <v>0</v>
      </c>
      <c r="BG243" s="1099">
        <f>IF(AV243=0,0,(AW243-AV243)/AV243*100)</f>
        <v>0</v>
      </c>
      <c r="BH243" s="1099">
        <f>IF(AW243=0,0,(AX243-AW243)/AW243*100)</f>
        <v>0</v>
      </c>
      <c r="BI243" s="1099">
        <f>IF(AX243=0,0,(AY243-AX243)/AX243*100)</f>
        <v>0</v>
      </c>
      <c r="BJ243" s="1099">
        <f>IF(AY243=0,0,(AZ243-AY243)/AY243*100)</f>
        <v>0</v>
      </c>
      <c r="BK243" s="1099">
        <f>IF(AZ243=0,0,(BA243-AZ243)/AZ243*100)</f>
        <v>0</v>
      </c>
      <c r="BL243" s="1099">
        <f>IF(BA243=0,0,(BB243-BA243)/BA243*100)</f>
        <v>0</v>
      </c>
      <c r="BM243" s="1099">
        <f>IF(BB243=0,0,(BC243-BB243)/BB243*100)</f>
        <v>0</v>
      </c>
      <c r="BN243" s="4617"/>
      <c r="BO243" s="4619" t="str">
        <f>IF(_xlfn.IFERROR(INDEX(Налоги!$K$26:$L$69,MATCH($F243&amp;"5komm",Налоги!$K$26:$K$69,0),2),"")=0,"",_xlfn.IFERROR(INDEX(Налоги!$K$26:$L$69,MATCH($F243&amp;"5komm",Налоги!$K$26:$K$69,0),2),""))</f>
        <v/>
      </c>
      <c r="BP243" s="4617"/>
      <c r="BQ243" s="960"/>
      <c r="BR243" s="960"/>
      <c r="BS243" s="1048" t="s">
        <v>1953</v>
      </c>
      <c r="BT243" s="1048"/>
      <c r="BU243" s="1048"/>
      <c r="BV243" s="962"/>
      <c r="BW243" s="962"/>
    </row>
    <row s="1621" customFormat="1" customHeight="1" ht="14.25">
      <c r="A244" s="960"/>
      <c r="B244" s="961"/>
      <c r="C244" s="73"/>
      <c r="D244" s="73"/>
      <c r="E244" s="600">
        <v>15</v>
      </c>
      <c r="F244" s="50" cm="1" t="str">
        <f t="array" ref="F244:F244">OFFSET(E244,-1,1)</f>
        <v>1</v>
      </c>
      <c r="G244" s="904">
        <v>8</v>
      </c>
      <c r="H244" s="73"/>
      <c r="I244" s="73" t="s">
        <v>1954</v>
      </c>
      <c r="J244" s="73"/>
      <c r="K244" s="73" t="s">
        <v>1954</v>
      </c>
      <c r="L244" s="963"/>
      <c r="M244" s="73"/>
      <c r="N244" s="73"/>
      <c r="O244" s="73"/>
      <c r="P244" s="73"/>
      <c r="Q244" s="73"/>
      <c r="R244" s="73"/>
      <c r="S244" s="73"/>
      <c r="T244" s="439" cm="1" t="str">
        <f t="array" ref="T244:T244">T243</f>
        <v>true</v>
      </c>
      <c r="U244" s="73"/>
      <c r="V244" s="73"/>
      <c r="W244" s="73"/>
      <c r="X244" s="1534"/>
      <c r="Y244" s="960"/>
      <c r="Z244" s="1465"/>
      <c r="AA244" s="960"/>
      <c r="AB244" s="267" t="s">
        <v>1955</v>
      </c>
      <c r="AC244" s="746" t="s">
        <v>1956</v>
      </c>
      <c r="AD244" s="267" t="s">
        <v>784</v>
      </c>
      <c r="AE244" s="1099">
        <f>_xlfn.SUMIFS(Налоги!AE$25:AE$69,Налоги!$F$25:$F$69,$F244,Налоги!$AB$25:$AB$69,$G244)</f>
        <v>0</v>
      </c>
      <c r="AF244" s="1099">
        <f>_xlfn.SUMIFS(Налоги!AF$25:AF$69,Налоги!$F$25:$F$69,$F244,Налоги!$AB$25:$AB$69,$G244)</f>
        <v>0</v>
      </c>
      <c r="AG244" s="1099">
        <f>_xlfn.SUMIFS(Налоги!AG$25:AG$69,Налоги!$F$25:$F$69,$F244,Налоги!$AB$25:$AB$69,$G244)</f>
        <v>0</v>
      </c>
      <c r="AH244" s="1099">
        <f>AG244-AF244</f>
        <v>0</v>
      </c>
      <c r="AI244" s="1099">
        <f>_xlfn.SUMIFS(Налоги!AH$25:AH$69,Налоги!$F$25:$F$69,$F244,Налоги!$AB$25:$AB$69,$G244)</f>
        <v>0</v>
      </c>
      <c r="AJ244" s="1099">
        <f>_xlfn.SUMIFS(Налоги!AI$25:AI$69,Налоги!$F$25:$F$69,$F244,Налоги!$AB$25:$AB$69,$G244)</f>
        <v>0</v>
      </c>
      <c r="AK244" s="1099">
        <f>_xlfn.SUMIFS(Налоги!AJ$25:AJ$69,Налоги!$F$25:$F$69,$F244,Налоги!$AB$25:$AB$69,$G244)</f>
        <v>0</v>
      </c>
      <c r="AL244" s="1099">
        <f>_xlfn.SUMIFS(Налоги!AK$25:AK$69,Налоги!$F$25:$F$69,$F244,Налоги!$AB$25:$AB$69,$G244)</f>
        <v>0</v>
      </c>
      <c r="AM244" s="1099">
        <f>_xlfn.SUMIFS(Налоги!AL$25:AL$69,Налоги!$F$25:$F$69,$F244,Налоги!$AB$25:$AB$69,$G244)</f>
        <v>0</v>
      </c>
      <c r="AN244" s="1099">
        <f>_xlfn.SUMIFS(Налоги!AM$25:AM$69,Налоги!$F$25:$F$69,$F244,Налоги!$AB$25:$AB$69,$G244)</f>
        <v>0</v>
      </c>
      <c r="AO244" s="1099">
        <f>_xlfn.SUMIFS(Налоги!AN$25:AN$69,Налоги!$F$25:$F$69,$F244,Налоги!$AB$25:$AB$69,$G244)</f>
        <v>0</v>
      </c>
      <c r="AP244" s="1099">
        <f>_xlfn.SUMIFS(Налоги!AO$25:AO$69,Налоги!$F$25:$F$69,$F244,Налоги!$AB$25:$AB$69,$G244)</f>
        <v>0</v>
      </c>
      <c r="AQ244" s="1099">
        <f>_xlfn.SUMIFS(Налоги!AP$25:AP$69,Налоги!$F$25:$F$69,$F244,Налоги!$AB$25:$AB$69,$G244)</f>
        <v>0</v>
      </c>
      <c r="AR244" s="1099">
        <f>_xlfn.SUMIFS(Налоги!AQ$25:AQ$69,Налоги!$F$25:$F$69,$F244,Налоги!$AB$25:$AB$69,$G244)</f>
        <v>0</v>
      </c>
      <c r="AS244" s="1099">
        <f>_xlfn.SUMIFS(Налоги!AR$25:AR$69,Налоги!$F$25:$F$69,$F244,Налоги!$AB$25:$AB$69,$G244)</f>
        <v>0</v>
      </c>
      <c r="AT244" s="1099">
        <f>_xlfn.SUMIFS(Налоги!AS$25:AS$69,Налоги!$F$25:$F$69,$F244,Налоги!$AB$25:$AB$69,$G244)</f>
        <v>0</v>
      </c>
      <c r="AU244" s="1099">
        <f>_xlfn.SUMIFS(Налоги!AT$25:AT$69,Налоги!$F$25:$F$69,$F244,Налоги!$AB$25:$AB$69,$G244)</f>
        <v>0</v>
      </c>
      <c r="AV244" s="1099">
        <f>_xlfn.SUMIFS(Налоги!AU$25:AU$69,Налоги!$F$25:$F$69,$F244,Налоги!$AB$25:$AB$69,$G244)</f>
        <v>0</v>
      </c>
      <c r="AW244" s="1099">
        <f>_xlfn.SUMIFS(Налоги!AV$25:AV$69,Налоги!$F$25:$F$69,$F244,Налоги!$AB$25:$AB$69,$G244)</f>
        <v>0</v>
      </c>
      <c r="AX244" s="1099">
        <f>_xlfn.SUMIFS(Налоги!AW$25:AW$69,Налоги!$F$25:$F$69,$F244,Налоги!$AB$25:$AB$69,$G244)</f>
        <v>0</v>
      </c>
      <c r="AY244" s="1099">
        <f>_xlfn.SUMIFS(Налоги!AX$25:AX$69,Налоги!$F$25:$F$69,$F244,Налоги!$AB$25:$AB$69,$G244)</f>
        <v>0</v>
      </c>
      <c r="AZ244" s="1099">
        <f>_xlfn.SUMIFS(Налоги!AY$25:AY$69,Налоги!$F$25:$F$69,$F244,Налоги!$AB$25:$AB$69,$G244)</f>
        <v>0</v>
      </c>
      <c r="BA244" s="1099">
        <f>_xlfn.SUMIFS(Налоги!AZ$25:AZ$69,Налоги!$F$25:$F$69,$F244,Налоги!$AB$25:$AB$69,$G244)</f>
        <v>0</v>
      </c>
      <c r="BB244" s="1099">
        <f>_xlfn.SUMIFS(Налоги!BA$25:BA$69,Налоги!$F$25:$F$69,$F244,Налоги!$AB$25:$AB$69,$G244)</f>
        <v>0</v>
      </c>
      <c r="BC244" s="1099">
        <f>_xlfn.SUMIFS(Налоги!BB$25:BB$69,Налоги!$F$25:$F$69,$F244,Налоги!$AB$25:$AB$69,$G244)</f>
        <v>0</v>
      </c>
      <c r="BD244" s="1099">
        <f>IF(AI244=0,0,(AT244-AI244)/AI244*100)</f>
        <v>0</v>
      </c>
      <c r="BE244" s="1099">
        <f>IF(AT244=0,0,(AU244-AT244)/AT244*100)</f>
        <v>0</v>
      </c>
      <c r="BF244" s="1099">
        <f>IF(AU244=0,0,(AV244-AU244)/AU244*100)</f>
        <v>0</v>
      </c>
      <c r="BG244" s="1099">
        <f>IF(AV244=0,0,(AW244-AV244)/AV244*100)</f>
        <v>0</v>
      </c>
      <c r="BH244" s="1099">
        <f>IF(AW244=0,0,(AX244-AW244)/AW244*100)</f>
        <v>0</v>
      </c>
      <c r="BI244" s="1099">
        <f>IF(AX244=0,0,(AY244-AX244)/AX244*100)</f>
        <v>0</v>
      </c>
      <c r="BJ244" s="1099">
        <f>IF(AY244=0,0,(AZ244-AY244)/AY244*100)</f>
        <v>0</v>
      </c>
      <c r="BK244" s="1099">
        <f>IF(AZ244=0,0,(BA244-AZ244)/AZ244*100)</f>
        <v>0</v>
      </c>
      <c r="BL244" s="1099">
        <f>IF(BA244=0,0,(BB244-BA244)/BA244*100)</f>
        <v>0</v>
      </c>
      <c r="BM244" s="1099">
        <f>IF(BB244=0,0,(BC244-BB244)/BB244*100)</f>
        <v>0</v>
      </c>
      <c r="BN244" s="4617"/>
      <c r="BO244" s="4619" t="str">
        <f>IF(_xlfn.IFERROR(INDEX(Налоги!$K$26:$L$69,MATCH($F244&amp;"8komm",Налоги!$K$26:$K$69,0),2),"")=0,"",_xlfn.IFERROR(INDEX(Налоги!$K$26:$L$69,MATCH($F244&amp;"8komm",Налоги!$K$26:$K$69,0),2),""))</f>
        <v/>
      </c>
      <c r="BP244" s="4617"/>
      <c r="BQ244" s="960"/>
      <c r="BR244" s="960"/>
      <c r="BS244" s="1048" t="s">
        <v>1169</v>
      </c>
      <c r="BT244" s="1048"/>
      <c r="BU244" s="1048"/>
      <c r="BV244" s="962"/>
      <c r="BW244" s="962"/>
    </row>
    <row s="1260" customFormat="1" customHeight="1" ht="14.25">
      <c r="A245" s="1260"/>
      <c r="B245" s="734"/>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73"/>
      <c r="X245" s="1534"/>
      <c r="Y245" s="1260"/>
      <c r="Z245" s="1465"/>
      <c r="AA245" s="1260"/>
      <c r="AB245" s="267" t="s">
        <v>1957</v>
      </c>
      <c r="AC245" s="761" t="s">
        <v>1958</v>
      </c>
      <c r="AD245" s="267" t="s">
        <v>784</v>
      </c>
      <c r="AE245" s="1099">
        <f>_xlfn.SUMIFS(Налоги!AE$25:AE$69,Налоги!$F$25:$F$69,$F245,Налоги!$AB$25:$AB$69,$G245)</f>
        <v>0</v>
      </c>
      <c r="AF245" s="1099">
        <f>_xlfn.SUMIFS(Налоги!AF$25:AF$69,Налоги!$F$25:$F$69,$F245,Налоги!$AB$25:$AB$69,$G245)</f>
        <v>0</v>
      </c>
      <c r="AG245" s="1099">
        <f>_xlfn.SUMIFS(Налоги!AG$25:AG$69,Налоги!$F$25:$F$69,$F245,Налоги!$AB$25:$AB$69,$G245)</f>
        <v>0</v>
      </c>
      <c r="AH245" s="1099">
        <f>AG245-AF245</f>
        <v>0</v>
      </c>
      <c r="AI245" s="1099">
        <f>_xlfn.SUMIFS(Налоги!AH$25:AH$69,Налоги!$F$25:$F$69,$F245,Налоги!$AB$25:$AB$69,$G245)</f>
        <v>0</v>
      </c>
      <c r="AJ245" s="1099">
        <f>_xlfn.SUMIFS(Налоги!AI$25:AI$69,Налоги!$F$25:$F$69,$F245,Налоги!$AB$25:$AB$69,$G245)</f>
        <v>0</v>
      </c>
      <c r="AK245" s="1099">
        <f>_xlfn.SUMIFS(Налоги!AJ$25:AJ$69,Налоги!$F$25:$F$69,$F245,Налоги!$AB$25:$AB$69,$G245)</f>
        <v>0</v>
      </c>
      <c r="AL245" s="1099">
        <f>_xlfn.SUMIFS(Налоги!AK$25:AK$69,Налоги!$F$25:$F$69,$F245,Налоги!$AB$25:$AB$69,$G245)</f>
        <v>0</v>
      </c>
      <c r="AM245" s="1099">
        <f>_xlfn.SUMIFS(Налоги!AL$25:AL$69,Налоги!$F$25:$F$69,$F245,Налоги!$AB$25:$AB$69,$G245)</f>
        <v>0</v>
      </c>
      <c r="AN245" s="1099">
        <f>_xlfn.SUMIFS(Налоги!AM$25:AM$69,Налоги!$F$25:$F$69,$F245,Налоги!$AB$25:$AB$69,$G245)</f>
        <v>0</v>
      </c>
      <c r="AO245" s="1099">
        <f>_xlfn.SUMIFS(Налоги!AN$25:AN$69,Налоги!$F$25:$F$69,$F245,Налоги!$AB$25:$AB$69,$G245)</f>
        <v>0</v>
      </c>
      <c r="AP245" s="1099">
        <f>_xlfn.SUMIFS(Налоги!AO$25:AO$69,Налоги!$F$25:$F$69,$F245,Налоги!$AB$25:$AB$69,$G245)</f>
        <v>0</v>
      </c>
      <c r="AQ245" s="1099">
        <f>_xlfn.SUMIFS(Налоги!AP$25:AP$69,Налоги!$F$25:$F$69,$F245,Налоги!$AB$25:$AB$69,$G245)</f>
        <v>0</v>
      </c>
      <c r="AR245" s="1099">
        <f>_xlfn.SUMIFS(Налоги!AQ$25:AQ$69,Налоги!$F$25:$F$69,$F245,Налоги!$AB$25:$AB$69,$G245)</f>
        <v>0</v>
      </c>
      <c r="AS245" s="1099">
        <f>_xlfn.SUMIFS(Налоги!AR$25:AR$69,Налоги!$F$25:$F$69,$F245,Налоги!$AB$25:$AB$69,$G245)</f>
        <v>0</v>
      </c>
      <c r="AT245" s="1099">
        <f>_xlfn.SUMIFS(Налоги!AS$25:AS$69,Налоги!$F$25:$F$69,$F245,Налоги!$AB$25:$AB$69,$G245)</f>
        <v>0</v>
      </c>
      <c r="AU245" s="1099">
        <f>_xlfn.SUMIFS(Налоги!AT$25:AT$69,Налоги!$F$25:$F$69,$F245,Налоги!$AB$25:$AB$69,$G245)</f>
        <v>0</v>
      </c>
      <c r="AV245" s="1099">
        <f>_xlfn.SUMIFS(Налоги!AU$25:AU$69,Налоги!$F$25:$F$69,$F245,Налоги!$AB$25:$AB$69,$G245)</f>
        <v>0</v>
      </c>
      <c r="AW245" s="1099">
        <f>_xlfn.SUMIFS(Налоги!AV$25:AV$69,Налоги!$F$25:$F$69,$F245,Налоги!$AB$25:$AB$69,$G245)</f>
        <v>0</v>
      </c>
      <c r="AX245" s="1099">
        <f>_xlfn.SUMIFS(Налоги!AW$25:AW$69,Налоги!$F$25:$F$69,$F245,Налоги!$AB$25:$AB$69,$G245)</f>
        <v>0</v>
      </c>
      <c r="AY245" s="1099">
        <f>_xlfn.SUMIFS(Налоги!AX$25:AX$69,Налоги!$F$25:$F$69,$F245,Налоги!$AB$25:$AB$69,$G245)</f>
        <v>0</v>
      </c>
      <c r="AZ245" s="1099">
        <f>_xlfn.SUMIFS(Налоги!AY$25:AY$69,Налоги!$F$25:$F$69,$F245,Налоги!$AB$25:$AB$69,$G245)</f>
        <v>0</v>
      </c>
      <c r="BA245" s="1099">
        <f>_xlfn.SUMIFS(Налоги!AZ$25:AZ$69,Налоги!$F$25:$F$69,$F245,Налоги!$AB$25:$AB$69,$G245)</f>
        <v>0</v>
      </c>
      <c r="BB245" s="1099">
        <f>_xlfn.SUMIFS(Налоги!BA$25:BA$69,Налоги!$F$25:$F$69,$F245,Налоги!$AB$25:$AB$69,$G245)</f>
        <v>0</v>
      </c>
      <c r="BC245" s="1099">
        <f>_xlfn.SUMIFS(Налоги!BB$25:BB$69,Налоги!$F$25:$F$69,$F245,Налоги!$AB$25:$AB$69,$G245)</f>
        <v>0</v>
      </c>
      <c r="BD245" s="1099">
        <f>IF(AI245=0,0,(AT245-AI245)/AI245*100)</f>
        <v>0</v>
      </c>
      <c r="BE245" s="1099">
        <f>IF(AT245=0,0,(AU245-AT245)/AT245*100)</f>
        <v>0</v>
      </c>
      <c r="BF245" s="1099">
        <f>IF(AU245=0,0,(AV245-AU245)/AU245*100)</f>
        <v>0</v>
      </c>
      <c r="BG245" s="1099">
        <f>IF(AV245=0,0,(AW245-AV245)/AV245*100)</f>
        <v>0</v>
      </c>
      <c r="BH245" s="1099">
        <f>IF(AW245=0,0,(AX245-AW245)/AW245*100)</f>
        <v>0</v>
      </c>
      <c r="BI245" s="1099">
        <f>IF(AX245=0,0,(AY245-AX245)/AX245*100)</f>
        <v>0</v>
      </c>
      <c r="BJ245" s="1099">
        <f>IF(AY245=0,0,(AZ245-AY245)/AY245*100)</f>
        <v>0</v>
      </c>
      <c r="BK245" s="1099">
        <f>IF(AZ245=0,0,(BA245-AZ245)/AZ245*100)</f>
        <v>0</v>
      </c>
      <c r="BL245" s="1099">
        <f>IF(BA245=0,0,(BB245-BA245)/BA245*100)</f>
        <v>0</v>
      </c>
      <c r="BM245" s="1099">
        <f>IF(BB245=0,0,(BC245-BB245)/BB245*100)</f>
        <v>0</v>
      </c>
      <c r="BN245" s="4617"/>
      <c r="BO245" s="4619" t="str">
        <f>IF(_xlfn.IFERROR(INDEX(Налоги!$K$26:$L$69,MATCH($F245&amp;"9komm",Налоги!$K$26:$K$69,0),2),"")=0,"",_xlfn.IFERROR(INDEX(Налоги!$K$26:$L$69,MATCH($F245&amp;"9komm",Налоги!$K$26:$K$69,0),2),""))</f>
        <v/>
      </c>
      <c r="BP245" s="4617"/>
      <c r="BQ245" s="1260"/>
      <c r="BR245" s="1260"/>
      <c r="BS245" s="1055" t="s">
        <v>1959</v>
      </c>
      <c r="BT245" s="1055"/>
      <c r="BU245" s="1055"/>
      <c r="BV245" s="1056"/>
      <c r="BW245" s="1056"/>
    </row>
    <row s="1621" customFormat="1" customHeight="1" ht="14.25">
      <c r="A246" s="960"/>
      <c r="B246" s="961"/>
      <c r="C246" s="73"/>
      <c r="D246" s="73"/>
      <c r="E246" s="600">
        <v>15</v>
      </c>
      <c r="F246" s="50" cm="1" t="str">
        <f t="array" ref="F246:F246">OFFSET(E246,-1,1)</f>
        <v>1</v>
      </c>
      <c r="G246" s="904">
        <v>10</v>
      </c>
      <c r="H246" s="73"/>
      <c r="I246" s="73" t="s">
        <v>1960</v>
      </c>
      <c r="J246" s="73"/>
      <c r="K246" s="73" t="s">
        <v>1960</v>
      </c>
      <c r="L246" s="963"/>
      <c r="M246" s="73"/>
      <c r="N246" s="73"/>
      <c r="O246" s="73"/>
      <c r="P246" s="73"/>
      <c r="Q246" s="73"/>
      <c r="R246" s="73"/>
      <c r="S246" s="73"/>
      <c r="T246" s="439" cm="1" t="str">
        <f t="array" ref="T246:T246">T245</f>
        <v>true</v>
      </c>
      <c r="U246" s="73"/>
      <c r="V246" s="73"/>
      <c r="W246" s="73"/>
      <c r="X246" s="1534"/>
      <c r="Y246" s="960"/>
      <c r="Z246" s="1465"/>
      <c r="AA246" s="960"/>
      <c r="AB246" s="267" t="s">
        <v>1961</v>
      </c>
      <c r="AC246" s="762" t="s">
        <v>1962</v>
      </c>
      <c r="AD246" s="267" t="s">
        <v>784</v>
      </c>
      <c r="AE246" s="1099">
        <f>_xlfn.SUMIFS(Налоги!AE$25:AE$69,Налоги!$F$25:$F$69,$F246,Налоги!$AB$25:$AB$69,$G246)</f>
        <v>0</v>
      </c>
      <c r="AF246" s="1099">
        <f>_xlfn.SUMIFS(Налоги!AF$25:AF$69,Налоги!$F$25:$F$69,$F246,Налоги!$AB$25:$AB$69,$G246)</f>
        <v>0</v>
      </c>
      <c r="AG246" s="1099">
        <f>_xlfn.SUMIFS(Налоги!AG$25:AG$69,Налоги!$F$25:$F$69,$F246,Налоги!$AB$25:$AB$69,$G246)</f>
        <v>0</v>
      </c>
      <c r="AH246" s="1099">
        <f>AG246-AF246</f>
        <v>0</v>
      </c>
      <c r="AI246" s="1099">
        <f>_xlfn.SUMIFS(Налоги!AH$25:AH$69,Налоги!$F$25:$F$69,$F246,Налоги!$AB$25:$AB$69,$G246)</f>
        <v>0</v>
      </c>
      <c r="AJ246" s="1099">
        <f>_xlfn.SUMIFS(Налоги!AI$25:AI$69,Налоги!$F$25:$F$69,$F246,Налоги!$AB$25:$AB$69,$G246)</f>
        <v>0</v>
      </c>
      <c r="AK246" s="1099">
        <f>_xlfn.SUMIFS(Налоги!AJ$25:AJ$69,Налоги!$F$25:$F$69,$F246,Налоги!$AB$25:$AB$69,$G246)</f>
        <v>0</v>
      </c>
      <c r="AL246" s="1099">
        <f>_xlfn.SUMIFS(Налоги!AK$25:AK$69,Налоги!$F$25:$F$69,$F246,Налоги!$AB$25:$AB$69,$G246)</f>
        <v>0</v>
      </c>
      <c r="AM246" s="1099">
        <f>_xlfn.SUMIFS(Налоги!AL$25:AL$69,Налоги!$F$25:$F$69,$F246,Налоги!$AB$25:$AB$69,$G246)</f>
        <v>0</v>
      </c>
      <c r="AN246" s="1099">
        <f>_xlfn.SUMIFS(Налоги!AM$25:AM$69,Налоги!$F$25:$F$69,$F246,Налоги!$AB$25:$AB$69,$G246)</f>
        <v>0</v>
      </c>
      <c r="AO246" s="1099">
        <f>_xlfn.SUMIFS(Налоги!AN$25:AN$69,Налоги!$F$25:$F$69,$F246,Налоги!$AB$25:$AB$69,$G246)</f>
        <v>0</v>
      </c>
      <c r="AP246" s="1099">
        <f>_xlfn.SUMIFS(Налоги!AO$25:AO$69,Налоги!$F$25:$F$69,$F246,Налоги!$AB$25:$AB$69,$G246)</f>
        <v>0</v>
      </c>
      <c r="AQ246" s="1099">
        <f>_xlfn.SUMIFS(Налоги!AP$25:AP$69,Налоги!$F$25:$F$69,$F246,Налоги!$AB$25:$AB$69,$G246)</f>
        <v>0</v>
      </c>
      <c r="AR246" s="1099">
        <f>_xlfn.SUMIFS(Налоги!AQ$25:AQ$69,Налоги!$F$25:$F$69,$F246,Налоги!$AB$25:$AB$69,$G246)</f>
        <v>0</v>
      </c>
      <c r="AS246" s="1099">
        <f>_xlfn.SUMIFS(Налоги!AR$25:AR$69,Налоги!$F$25:$F$69,$F246,Налоги!$AB$25:$AB$69,$G246)</f>
        <v>0</v>
      </c>
      <c r="AT246" s="1099">
        <f>_xlfn.SUMIFS(Налоги!AS$25:AS$69,Налоги!$F$25:$F$69,$F246,Налоги!$AB$25:$AB$69,$G246)</f>
        <v>0</v>
      </c>
      <c r="AU246" s="1099">
        <f>_xlfn.SUMIFS(Налоги!AT$25:AT$69,Налоги!$F$25:$F$69,$F246,Налоги!$AB$25:$AB$69,$G246)</f>
        <v>0</v>
      </c>
      <c r="AV246" s="1099">
        <f>_xlfn.SUMIFS(Налоги!AU$25:AU$69,Налоги!$F$25:$F$69,$F246,Налоги!$AB$25:$AB$69,$G246)</f>
        <v>0</v>
      </c>
      <c r="AW246" s="1099">
        <f>_xlfn.SUMIFS(Налоги!AV$25:AV$69,Налоги!$F$25:$F$69,$F246,Налоги!$AB$25:$AB$69,$G246)</f>
        <v>0</v>
      </c>
      <c r="AX246" s="1099">
        <f>_xlfn.SUMIFS(Налоги!AW$25:AW$69,Налоги!$F$25:$F$69,$F246,Налоги!$AB$25:$AB$69,$G246)</f>
        <v>0</v>
      </c>
      <c r="AY246" s="1099">
        <f>_xlfn.SUMIFS(Налоги!AX$25:AX$69,Налоги!$F$25:$F$69,$F246,Налоги!$AB$25:$AB$69,$G246)</f>
        <v>0</v>
      </c>
      <c r="AZ246" s="1099">
        <f>_xlfn.SUMIFS(Налоги!AY$25:AY$69,Налоги!$F$25:$F$69,$F246,Налоги!$AB$25:$AB$69,$G246)</f>
        <v>0</v>
      </c>
      <c r="BA246" s="1099">
        <f>_xlfn.SUMIFS(Налоги!AZ$25:AZ$69,Налоги!$F$25:$F$69,$F246,Налоги!$AB$25:$AB$69,$G246)</f>
        <v>0</v>
      </c>
      <c r="BB246" s="1099">
        <f>_xlfn.SUMIFS(Налоги!BA$25:BA$69,Налоги!$F$25:$F$69,$F246,Налоги!$AB$25:$AB$69,$G246)</f>
        <v>0</v>
      </c>
      <c r="BC246" s="1099">
        <f>_xlfn.SUMIFS(Налоги!BB$25:BB$69,Налоги!$F$25:$F$69,$F246,Налоги!$AB$25:$AB$69,$G246)</f>
        <v>0</v>
      </c>
      <c r="BD246" s="1099">
        <f>IF(AI246=0,0,(AT246-AI246)/AI246*100)</f>
        <v>0</v>
      </c>
      <c r="BE246" s="1099">
        <f>IF(AT246=0,0,(AU246-AT246)/AT246*100)</f>
        <v>0</v>
      </c>
      <c r="BF246" s="1099">
        <f>IF(AU246=0,0,(AV246-AU246)/AU246*100)</f>
        <v>0</v>
      </c>
      <c r="BG246" s="1099">
        <f>IF(AV246=0,0,(AW246-AV246)/AV246*100)</f>
        <v>0</v>
      </c>
      <c r="BH246" s="1099">
        <f>IF(AW246=0,0,(AX246-AW246)/AW246*100)</f>
        <v>0</v>
      </c>
      <c r="BI246" s="1099">
        <f>IF(AX246=0,0,(AY246-AX246)/AX246*100)</f>
        <v>0</v>
      </c>
      <c r="BJ246" s="1099">
        <f>IF(AY246=0,0,(AZ246-AY246)/AY246*100)</f>
        <v>0</v>
      </c>
      <c r="BK246" s="1099">
        <f>IF(AZ246=0,0,(BA246-AZ246)/AZ246*100)</f>
        <v>0</v>
      </c>
      <c r="BL246" s="1099">
        <f>IF(BA246=0,0,(BB246-BA246)/BA246*100)</f>
        <v>0</v>
      </c>
      <c r="BM246" s="1099">
        <f>IF(BB246=0,0,(BC246-BB246)/BB246*100)</f>
        <v>0</v>
      </c>
      <c r="BN246" s="4617"/>
      <c r="BO246" s="4619" t="str">
        <f>IF(_xlfn.IFERROR(INDEX(Налоги!$K$26:$L$69,MATCH($F246&amp;"10komm",Налоги!$K$26:$K$69,0),2),"")=0,"",_xlfn.IFERROR(INDEX(Налоги!$K$26:$L$69,MATCH($F246&amp;"10komm",Налоги!$K$26:$K$69,0),2),""))</f>
        <v/>
      </c>
      <c r="BP246" s="4617"/>
      <c r="BQ246" s="960"/>
      <c r="BR246" s="960"/>
      <c r="BS246" s="1048" t="s">
        <v>1963</v>
      </c>
      <c r="BT246" s="1048"/>
      <c r="BU246" s="1048"/>
      <c r="BV246" s="962"/>
      <c r="BW246" s="962"/>
    </row>
    <row s="1621" customFormat="1" customHeight="1" ht="65.25">
      <c r="A247" s="960"/>
      <c r="B247" s="961"/>
      <c r="C247" s="73"/>
      <c r="D247" s="73"/>
      <c r="E247" s="600">
        <v>67.5</v>
      </c>
      <c r="F247" s="50" cm="1" t="str">
        <f t="array" ref="F247:F247">OFFSET(E247,-1,1)</f>
        <v>1</v>
      </c>
      <c r="G247" s="73" t="s">
        <v>1328</v>
      </c>
      <c r="H247" s="73"/>
      <c r="I247" s="73" t="s">
        <v>867</v>
      </c>
      <c r="J247" s="73"/>
      <c r="K247" s="124" t="s">
        <v>867</v>
      </c>
      <c r="L247" s="963"/>
      <c r="M247" s="73"/>
      <c r="N247" s="73"/>
      <c r="O247" s="73"/>
      <c r="P247" s="73"/>
      <c r="Q247" s="73"/>
      <c r="R247" s="73"/>
      <c r="S247" s="73"/>
      <c r="T247" s="439" cm="1" t="str">
        <f t="array" ref="T247:T247">T246</f>
        <v>true</v>
      </c>
      <c r="U247" s="73"/>
      <c r="V247" s="73"/>
      <c r="W247" s="73"/>
      <c r="X247" s="1534"/>
      <c r="Y247" s="960"/>
      <c r="Z247" s="1465"/>
      <c r="AA247" s="960"/>
      <c r="AB247" s="267" t="s">
        <v>868</v>
      </c>
      <c r="AC247" s="763" t="s">
        <v>1331</v>
      </c>
      <c r="AD247" s="267" t="s">
        <v>784</v>
      </c>
      <c r="AE247" s="4587"/>
      <c r="AF247" s="4587"/>
      <c r="AG247" s="4587"/>
      <c r="AH247" s="1099">
        <f>AG247-AF247</f>
        <v>0</v>
      </c>
      <c r="AI247" s="4587"/>
      <c r="AJ247" s="4587"/>
      <c r="AK247" s="1271"/>
      <c r="AL247" s="1271"/>
      <c r="AM247" s="4587"/>
      <c r="AN247" s="4587"/>
      <c r="AO247" s="4587"/>
      <c r="AP247" s="4587"/>
      <c r="AQ247" s="4587"/>
      <c r="AR247" s="4587"/>
      <c r="AS247" s="4587"/>
      <c r="AT247" s="4587"/>
      <c r="AU247" s="1271"/>
      <c r="AV247" s="1271"/>
      <c r="AW247" s="4587"/>
      <c r="AX247" s="4587"/>
      <c r="AY247" s="4587"/>
      <c r="AZ247" s="4587"/>
      <c r="BA247" s="4587"/>
      <c r="BB247" s="4587"/>
      <c r="BC247" s="4587"/>
      <c r="BD247" s="1099">
        <f>IF(AI247=0,0,(AT247-AI247)/AI247*100)</f>
        <v>0</v>
      </c>
      <c r="BE247" s="1099">
        <f>IF(AT247=0,0,(AU247-AT247)/AT247*100)</f>
        <v>0</v>
      </c>
      <c r="BF247" s="1099">
        <f>IF(AU247=0,0,(AV247-AU247)/AU247*100)</f>
        <v>0</v>
      </c>
      <c r="BG247" s="1099">
        <f>IF(AV247=0,0,(AW247-AV247)/AV247*100)</f>
        <v>0</v>
      </c>
      <c r="BH247" s="1099">
        <f>IF(AW247=0,0,(AX247-AW247)/AW247*100)</f>
        <v>0</v>
      </c>
      <c r="BI247" s="1099">
        <f>IF(AX247=0,0,(AY247-AX247)/AX247*100)</f>
        <v>0</v>
      </c>
      <c r="BJ247" s="1099">
        <f>IF(AY247=0,0,(AZ247-AY247)/AY247*100)</f>
        <v>0</v>
      </c>
      <c r="BK247" s="1099">
        <f>IF(AZ247=0,0,(BA247-AZ247)/AZ247*100)</f>
        <v>0</v>
      </c>
      <c r="BL247" s="1099">
        <f>IF(BA247=0,0,(BB247-BA247)/BA247*100)</f>
        <v>0</v>
      </c>
      <c r="BM247" s="1099">
        <f>IF(BB247=0,0,(BC247-BB247)/BB247*100)</f>
        <v>0</v>
      </c>
      <c r="BN247" s="4617"/>
      <c r="BO247" s="4617"/>
      <c r="BP247" s="4617"/>
      <c r="BQ247" s="960"/>
      <c r="BR247" s="960"/>
      <c r="BS247" s="1048" t="s">
        <v>1964</v>
      </c>
      <c r="BT247" s="1048"/>
      <c r="BU247" s="1048"/>
      <c r="BV247" s="962"/>
      <c r="BW247" s="962"/>
    </row>
    <row s="1621" customFormat="1" customHeight="1" ht="14.25">
      <c r="A248" s="960"/>
      <c r="B248" s="961"/>
      <c r="C248" s="73"/>
      <c r="D248" s="73"/>
      <c r="E248" s="600">
        <v>15</v>
      </c>
      <c r="F248" s="50" cm="1" t="str">
        <f t="array" ref="F248:F248">OFFSET(E248,-1,1)</f>
        <v>1</v>
      </c>
      <c r="G248" s="73" t="s">
        <v>949</v>
      </c>
      <c r="H248" s="73"/>
      <c r="I248" s="73" t="s">
        <v>870</v>
      </c>
      <c r="J248" s="73"/>
      <c r="K248" s="124" t="s">
        <v>870</v>
      </c>
      <c r="L248" s="963" t="s">
        <v>491</v>
      </c>
      <c r="M248" s="73"/>
      <c r="N248" s="73"/>
      <c r="O248" s="73"/>
      <c r="P248" s="73"/>
      <c r="Q248" s="73"/>
      <c r="R248" s="73"/>
      <c r="S248" s="73"/>
      <c r="T248" s="439" cm="1" t="str">
        <f t="array" ref="T248:T248">T247</f>
        <v>true</v>
      </c>
      <c r="U248" s="73"/>
      <c r="V248" s="73"/>
      <c r="W248" s="73"/>
      <c r="X248" s="1534"/>
      <c r="Y248" s="960"/>
      <c r="Z248" s="1465"/>
      <c r="AA248" s="960"/>
      <c r="AB248" s="267" t="s">
        <v>871</v>
      </c>
      <c r="AC248" s="743" t="s">
        <v>949</v>
      </c>
      <c r="AD248" s="267" t="s">
        <v>784</v>
      </c>
      <c r="AE248" s="1099">
        <f>_xlfn.SUMIFS(Аренда!AE$25:AE$57,Аренда!$F$25:$F$57,$F248,Аренда!$G$25:$G$57,"Арендная и концессионная плата, лизинговые платежи")</f>
        <v>0</v>
      </c>
      <c r="AF248" s="1099">
        <f>_xlfn.SUMIFS(Аренда!AF$25:AF$57,Аренда!$F$25:$F$57,$F248,Аренда!$G$25:$G$57,"Арендная и концессионная плата, лизинговые платежи")</f>
        <v>0</v>
      </c>
      <c r="AG248" s="1099">
        <f>_xlfn.SUMIFS(Аренда!AG$25:AG$57,Аренда!$F$25:$F$57,$F248,Аренда!$G$25:$G$57,"Арендная и концессионная плата, лизинговые платежи")</f>
        <v>0</v>
      </c>
      <c r="AH248" s="1099">
        <f>AG248-AF248</f>
        <v>0</v>
      </c>
      <c r="AI248" s="1099">
        <f>_xlfn.SUMIFS(Аренда!AH$25:AH$57,Аренда!$F$25:$F$57,$F248,Аренда!$G$25:$G$57,"Арендная и концессионная плата, лизинговые платежи")</f>
        <v>0</v>
      </c>
      <c r="AJ248" s="1099">
        <f>_xlfn.SUMIFS(Аренда!AI$25:AI$57,Аренда!$F$25:$F$57,$F248,Аренда!$G$25:$G$57,"Арендная и концессионная плата, лизинговые платежи")</f>
        <v>0</v>
      </c>
      <c r="AK248" s="1099">
        <f>_xlfn.SUMIFS(Аренда!AJ$25:AJ$57,Аренда!$F$25:$F$57,$F248,Аренда!$G$25:$G$57,"Арендная и концессионная плата, лизинговые платежи")</f>
        <v>0</v>
      </c>
      <c r="AL248" s="1099">
        <f>_xlfn.SUMIFS(Аренда!AK$25:AK$57,Аренда!$F$25:$F$57,$F248,Аренда!$G$25:$G$57,"Арендная и концессионная плата, лизинговые платежи")</f>
        <v>0</v>
      </c>
      <c r="AM248" s="1099">
        <f>_xlfn.SUMIFS(Аренда!AL$25:AL$57,Аренда!$F$25:$F$57,$F248,Аренда!$G$25:$G$57,"Арендная и концессионная плата, лизинговые платежи")</f>
        <v>0</v>
      </c>
      <c r="AN248" s="1099">
        <f>_xlfn.SUMIFS(Аренда!AM$25:AM$57,Аренда!$F$25:$F$57,$F248,Аренда!$G$25:$G$57,"Арендная и концессионная плата, лизинговые платежи")</f>
        <v>0</v>
      </c>
      <c r="AO248" s="1099">
        <f>_xlfn.SUMIFS(Аренда!AN$25:AN$57,Аренда!$F$25:$F$57,$F248,Аренда!$G$25:$G$57,"Арендная и концессионная плата, лизинговые платежи")</f>
        <v>0</v>
      </c>
      <c r="AP248" s="1099">
        <f>_xlfn.SUMIFS(Аренда!AO$25:AO$57,Аренда!$F$25:$F$57,$F248,Аренда!$G$25:$G$57,"Арендная и концессионная плата, лизинговые платежи")</f>
        <v>0</v>
      </c>
      <c r="AQ248" s="1099">
        <f>_xlfn.SUMIFS(Аренда!AP$25:AP$57,Аренда!$F$25:$F$57,$F248,Аренда!$G$25:$G$57,"Арендная и концессионная плата, лизинговые платежи")</f>
        <v>0</v>
      </c>
      <c r="AR248" s="1099">
        <f>_xlfn.SUMIFS(Аренда!AQ$25:AQ$57,Аренда!$F$25:$F$57,$F248,Аренда!$G$25:$G$57,"Арендная и концессионная плата, лизинговые платежи")</f>
        <v>0</v>
      </c>
      <c r="AS248" s="1099">
        <f>_xlfn.SUMIFS(Аренда!AR$25:AR$57,Аренда!$F$25:$F$57,$F248,Аренда!$G$25:$G$57,"Арендная и концессионная плата, лизинговые платежи")</f>
        <v>0</v>
      </c>
      <c r="AT248" s="1099">
        <f>_xlfn.SUMIFS(Аренда!AS$25:AS$57,Аренда!$F$25:$F$57,$F248,Аренда!$G$25:$G$57,"Арендная и концессионная плата, лизинговые платежи")</f>
        <v>0</v>
      </c>
      <c r="AU248" s="1099">
        <f>_xlfn.SUMIFS(Аренда!AT$25:AT$57,Аренда!$F$25:$F$57,$F248,Аренда!$G$25:$G$57,"Арендная и концессионная плата, лизинговые платежи")</f>
        <v>0</v>
      </c>
      <c r="AV248" s="1099">
        <f>_xlfn.SUMIFS(Аренда!AU$25:AU$57,Аренда!$F$25:$F$57,$F248,Аренда!$G$25:$G$57,"Арендная и концессионная плата, лизинговые платежи")</f>
        <v>0</v>
      </c>
      <c r="AW248" s="1099">
        <f>_xlfn.SUMIFS(Аренда!AV$25:AV$57,Аренда!$F$25:$F$57,$F248,Аренда!$G$25:$G$57,"Арендная и концессионная плата, лизинговые платежи")</f>
        <v>0</v>
      </c>
      <c r="AX248" s="1099">
        <f>_xlfn.SUMIFS(Аренда!AW$25:AW$57,Аренда!$F$25:$F$57,$F248,Аренда!$G$25:$G$57,"Арендная и концессионная плата, лизинговые платежи")</f>
        <v>0</v>
      </c>
      <c r="AY248" s="1099">
        <f>_xlfn.SUMIFS(Аренда!AX$25:AX$57,Аренда!$F$25:$F$57,$F248,Аренда!$G$25:$G$57,"Арендная и концессионная плата, лизинговые платежи")</f>
        <v>0</v>
      </c>
      <c r="AZ248" s="1099">
        <f>_xlfn.SUMIFS(Аренда!AY$25:AY$57,Аренда!$F$25:$F$57,$F248,Аренда!$G$25:$G$57,"Арендная и концессионная плата, лизинговые платежи")</f>
        <v>0</v>
      </c>
      <c r="BA248" s="1099">
        <f>_xlfn.SUMIFS(Аренда!AZ$25:AZ$57,Аренда!$F$25:$F$57,$F248,Аренда!$G$25:$G$57,"Арендная и концессионная плата, лизинговые платежи")</f>
        <v>0</v>
      </c>
      <c r="BB248" s="1099">
        <f>_xlfn.SUMIFS(Аренда!BA$25:BA$57,Аренда!$F$25:$F$57,$F248,Аренда!$G$25:$G$57,"Арендная и концессионная плата, лизинговые платежи")</f>
        <v>0</v>
      </c>
      <c r="BC248" s="1099">
        <f>_xlfn.SUMIFS(Аренда!BB$25:BB$57,Аренда!$F$25:$F$57,$F248,Аренда!$G$25:$G$57,"Арендная и концессионная плата, лизинговые платежи")</f>
        <v>0</v>
      </c>
      <c r="BD248" s="1099">
        <f>IF(AI248=0,0,(AT248-AI248)/AI248*100)</f>
        <v>0</v>
      </c>
      <c r="BE248" s="1099">
        <f>IF(AT248=0,0,(AU248-AT248)/AT248*100)</f>
        <v>0</v>
      </c>
      <c r="BF248" s="1099">
        <f>IF(AU248=0,0,(AV248-AU248)/AU248*100)</f>
        <v>0</v>
      </c>
      <c r="BG248" s="1099">
        <f>IF(AV248=0,0,(AW248-AV248)/AV248*100)</f>
        <v>0</v>
      </c>
      <c r="BH248" s="1099">
        <f>IF(AW248=0,0,(AX248-AW248)/AW248*100)</f>
        <v>0</v>
      </c>
      <c r="BI248" s="1099">
        <f>IF(AX248=0,0,(AY248-AX248)/AX248*100)</f>
        <v>0</v>
      </c>
      <c r="BJ248" s="1099">
        <f>IF(AY248=0,0,(AZ248-AY248)/AY248*100)</f>
        <v>0</v>
      </c>
      <c r="BK248" s="1099">
        <f>IF(AZ248=0,0,(BA248-AZ248)/AZ248*100)</f>
        <v>0</v>
      </c>
      <c r="BL248" s="1099">
        <f>IF(BA248=0,0,(BB248-BA248)/BA248*100)</f>
        <v>0</v>
      </c>
      <c r="BM248" s="1099">
        <f>IF(BB248=0,0,(BC248-BB248)/BB248*100)</f>
        <v>0</v>
      </c>
      <c r="BN248" s="4617"/>
      <c r="BO248" s="4667" t="str">
        <f>IF(_xlfn.IFERROR(INDEX(Аренда!$K$26:$L$57,MATCH($F248&amp;"komm",Аренда!$K$26:$K$57,0),2),"")=0,"",_xlfn.IFERROR(INDEX(Аренда!$K$26:$L$57,MATCH($F248&amp;"komm",Аренда!$K$26:$K$57,0),2),""))</f>
        <v/>
      </c>
      <c r="BP248" s="4617"/>
      <c r="BQ248" s="960"/>
      <c r="BR248" s="960"/>
      <c r="BS248" s="1048" t="s">
        <v>1965</v>
      </c>
      <c r="BT248" s="1048"/>
      <c r="BU248" s="1048"/>
      <c r="BV248" s="962"/>
      <c r="BW248" s="962"/>
    </row>
    <row s="1621" customFormat="1" customHeight="1" ht="14.25" hidden="1">
      <c r="A249" s="960"/>
      <c r="B249" s="405">
        <f>STATUS_GO="да"</f>
        <v>0</v>
      </c>
      <c r="C249" s="73"/>
      <c r="D249" s="73"/>
      <c r="E249" s="600">
        <v>15</v>
      </c>
      <c r="F249" s="50" cm="1" t="str">
        <f t="array" ref="F249:F249">OFFSET(E249,-1,1)</f>
        <v>1</v>
      </c>
      <c r="G249" s="73"/>
      <c r="H249" s="73"/>
      <c r="I249" s="73" t="s">
        <v>1966</v>
      </c>
      <c r="J249" s="73"/>
      <c r="K249" s="124" t="s">
        <v>1966</v>
      </c>
      <c r="L249" s="963"/>
      <c r="M249" s="73"/>
      <c r="N249" s="73"/>
      <c r="O249" s="73"/>
      <c r="P249" s="73"/>
      <c r="Q249" s="73"/>
      <c r="R249" s="73"/>
      <c r="S249" s="73"/>
      <c r="T249" s="439" cm="1" t="str">
        <f t="array" ref="T249:T249">T248</f>
        <v>true</v>
      </c>
      <c r="U249" s="73"/>
      <c r="V249" s="73"/>
      <c r="W249" s="73"/>
      <c r="X249" s="1534"/>
      <c r="Y249" s="960"/>
      <c r="Z249" s="1465"/>
      <c r="AA249" s="960"/>
      <c r="AB249" s="267" t="s">
        <v>1395</v>
      </c>
      <c r="AC249" s="743" t="s">
        <v>1967</v>
      </c>
      <c r="AD249" s="267" t="s">
        <v>784</v>
      </c>
      <c r="AE249" s="1268" cm="1" t="str">
        <f t="array" ref="AE249:AE249">AE250</f>
        <v>0</v>
      </c>
      <c r="AF249" s="1268" cm="1" t="str">
        <f t="array" ref="AF249:AF249">AF250</f>
        <v>0</v>
      </c>
      <c r="AG249" s="1268" cm="1" t="str">
        <f t="array" ref="AG249:AG249">AG250</f>
        <v>0</v>
      </c>
      <c r="AH249" s="1099">
        <f>AG249-AF249</f>
        <v>0</v>
      </c>
      <c r="AI249" s="1268" cm="1" t="str">
        <f t="array" ref="AI249:AI249">AI250</f>
        <v>0</v>
      </c>
      <c r="AJ249" s="4561" cm="1" t="str">
        <f t="array" ref="AJ249:AJ249">AJ250</f>
        <v>0</v>
      </c>
      <c r="AK249" s="1268" cm="1" t="str">
        <f t="array" ref="AK249:AK249">AK250</f>
        <v>0</v>
      </c>
      <c r="AL249" s="1268" cm="1" t="str">
        <f t="array" ref="AL249:AL249">AL250</f>
        <v>0</v>
      </c>
      <c r="AM249" s="1268" cm="1" t="str">
        <f t="array" ref="AM249:AM249">AM250</f>
        <v>0</v>
      </c>
      <c r="AN249" s="1268" cm="1" t="str">
        <f t="array" ref="AN249:AN249">AN250</f>
        <v>0</v>
      </c>
      <c r="AO249" s="1268" cm="1" t="str">
        <f t="array" ref="AO249:AO249">AO250</f>
        <v>0</v>
      </c>
      <c r="AP249" s="1268" cm="1" t="str">
        <f t="array" ref="AP249:AP249">AP250</f>
        <v>0</v>
      </c>
      <c r="AQ249" s="1268" cm="1" t="str">
        <f t="array" ref="AQ249:AQ249">AQ250</f>
        <v>0</v>
      </c>
      <c r="AR249" s="1268" cm="1" t="str">
        <f t="array" ref="AR249:AR249">AR250</f>
        <v>0</v>
      </c>
      <c r="AS249" s="1268" cm="1" t="str">
        <f t="array" ref="AS249:AS249">AS250</f>
        <v>0</v>
      </c>
      <c r="AT249" s="4561" cm="1" t="str">
        <f t="array" ref="AT249:AT249">AT250</f>
        <v>0</v>
      </c>
      <c r="AU249" s="1268" cm="1" t="str">
        <f t="array" ref="AU249:AU249">AU250</f>
        <v>0</v>
      </c>
      <c r="AV249" s="1268" cm="1" t="str">
        <f t="array" ref="AV249:AV249">AV250</f>
        <v>0</v>
      </c>
      <c r="AW249" s="1268" cm="1" t="str">
        <f t="array" ref="AW249:AW249">AW250</f>
        <v>0</v>
      </c>
      <c r="AX249" s="1268" cm="1" t="str">
        <f t="array" ref="AX249:AX249">AX250</f>
        <v>0</v>
      </c>
      <c r="AY249" s="1268" cm="1" t="str">
        <f t="array" ref="AY249:AY249">AY250</f>
        <v>0</v>
      </c>
      <c r="AZ249" s="1268" cm="1" t="str">
        <f t="array" ref="AZ249:AZ249">AZ250</f>
        <v>0</v>
      </c>
      <c r="BA249" s="1268" cm="1" t="str">
        <f t="array" ref="BA249:BA249">BA250</f>
        <v>0</v>
      </c>
      <c r="BB249" s="1268" cm="1" t="str">
        <f t="array" ref="BB249:BB249">BB250</f>
        <v>0</v>
      </c>
      <c r="BC249" s="1268" cm="1" t="str">
        <f t="array" ref="BC249:BC249">BC250</f>
        <v>0</v>
      </c>
      <c r="BD249" s="1099">
        <f>IF(AI249=0,0,(AT249-AI249)/AI249*100)</f>
        <v>0</v>
      </c>
      <c r="BE249" s="1099">
        <f>IF(AT249=0,0,(AU249-AT249)/AT249*100)</f>
        <v>0</v>
      </c>
      <c r="BF249" s="1099">
        <f>IF(AU249=0,0,(AV249-AU249)/AU249*100)</f>
        <v>0</v>
      </c>
      <c r="BG249" s="1099">
        <f>IF(AV249=0,0,(AW249-AV249)/AV249*100)</f>
        <v>0</v>
      </c>
      <c r="BH249" s="1099">
        <f>IF(AW249=0,0,(AX249-AW249)/AW249*100)</f>
        <v>0</v>
      </c>
      <c r="BI249" s="1099">
        <f>IF(AX249=0,0,(AY249-AX249)/AX249*100)</f>
        <v>0</v>
      </c>
      <c r="BJ249" s="1099">
        <f>IF(AY249=0,0,(AZ249-AY249)/AY249*100)</f>
        <v>0</v>
      </c>
      <c r="BK249" s="1099">
        <f>IF(AZ249=0,0,(BA249-AZ249)/AZ249*100)</f>
        <v>0</v>
      </c>
      <c r="BL249" s="1099">
        <f>IF(BA249=0,0,(BB249-BA249)/BA249*100)</f>
        <v>0</v>
      </c>
      <c r="BM249" s="1099">
        <f>IF(BB249=0,0,(BC249-BB249)/BB249*100)</f>
        <v>0</v>
      </c>
      <c r="BN249" s="1265"/>
      <c r="BO249" s="1265"/>
      <c r="BP249" s="1265"/>
      <c r="BQ249" s="960"/>
      <c r="BR249" s="960"/>
      <c r="BS249" s="1048" t="s">
        <v>1689</v>
      </c>
      <c r="BT249" s="1048"/>
      <c r="BU249" s="1048"/>
      <c r="BV249" s="962"/>
      <c r="BW249" s="962"/>
    </row>
    <row s="1621" customFormat="1" customHeight="1" ht="14.25" hidden="1">
      <c r="A250" s="960"/>
      <c r="B250" s="405">
        <f>STATUS_GO="да"</f>
        <v>0</v>
      </c>
      <c r="C250" s="73"/>
      <c r="D250" s="73"/>
      <c r="E250" s="600">
        <v>15</v>
      </c>
      <c r="F250" s="50" cm="1" t="str">
        <f t="array" ref="F250:F250">OFFSET(E250,-1,1)</f>
        <v>1</v>
      </c>
      <c r="G250" s="73" t="s">
        <v>1337</v>
      </c>
      <c r="H250" s="73"/>
      <c r="I250" s="73" t="s">
        <v>1968</v>
      </c>
      <c r="J250" s="73"/>
      <c r="K250" s="124" t="s">
        <v>1968</v>
      </c>
      <c r="L250" s="963"/>
      <c r="M250" s="73"/>
      <c r="N250" s="73"/>
      <c r="O250" s="73"/>
      <c r="P250" s="73"/>
      <c r="Q250" s="73"/>
      <c r="R250" s="73"/>
      <c r="S250" s="73"/>
      <c r="T250" s="439" cm="1" t="str">
        <f t="array" ref="T250:T250">T249</f>
        <v>true</v>
      </c>
      <c r="U250" s="73"/>
      <c r="V250" s="73"/>
      <c r="W250" s="73"/>
      <c r="X250" s="1534"/>
      <c r="Y250" s="960"/>
      <c r="Z250" s="1465"/>
      <c r="AA250" s="960"/>
      <c r="AB250" s="267" t="s">
        <v>1969</v>
      </c>
      <c r="AC250" s="746" t="s">
        <v>1337</v>
      </c>
      <c r="AD250" s="267" t="s">
        <v>784</v>
      </c>
      <c r="AE250" s="1099">
        <f>_xlfn.SUMIFS('Сбытовые расходы ГО'!AE$25:AE$63,'Сбытовые расходы ГО'!$F$25:$F$63,$F250,'Сбытовые расходы ГО'!$G$25:$G$63,"l1")</f>
        <v>0</v>
      </c>
      <c r="AF250" s="1099">
        <f>_xlfn.SUMIFS('Сбытовые расходы ГО'!AF$25:AF$63,'Сбытовые расходы ГО'!$F$25:$F$63,$F250,'Сбытовые расходы ГО'!$G$25:$G$63,"l1")</f>
        <v>0</v>
      </c>
      <c r="AG250" s="1099">
        <f>_xlfn.SUMIFS('Сбытовые расходы ГО'!AG$25:AG$63,'Сбытовые расходы ГО'!$F$25:$F$63,$F250,'Сбытовые расходы ГО'!$G$25:$G$63,"l1")</f>
        <v>0</v>
      </c>
      <c r="AH250" s="1099">
        <f>AG250-AF250</f>
        <v>0</v>
      </c>
      <c r="AI250" s="1099">
        <f>_xlfn.SUMIFS('Сбытовые расходы ГО'!AH$25:AH$63,'Сбытовые расходы ГО'!$F$25:$F$63,$F250,'Сбытовые расходы ГО'!$G$25:$G$63,"l1")</f>
        <v>0</v>
      </c>
      <c r="AJ250" s="1099">
        <f>_xlfn.SUMIFS('Сбытовые расходы ГО'!AI$25:AI$63,'Сбытовые расходы ГО'!$F$25:$F$63,$F250,'Сбытовые расходы ГО'!$G$25:$G$63,"l1")</f>
        <v>0</v>
      </c>
      <c r="AK250" s="1268"/>
      <c r="AL250" s="1268"/>
      <c r="AM250" s="1268"/>
      <c r="AN250" s="1268"/>
      <c r="AO250" s="1268"/>
      <c r="AP250" s="1268"/>
      <c r="AQ250" s="1268"/>
      <c r="AR250" s="1268"/>
      <c r="AS250" s="1268"/>
      <c r="AT250" s="1099">
        <f>_xlfn.SUMIFS('Сбытовые расходы ГО'!AJ$25:AJ$63,'Сбытовые расходы ГО'!$F$25:$F$63,$F250,'Сбытовые расходы ГО'!$G$25:$G$63,"l1")</f>
        <v>0</v>
      </c>
      <c r="AU250" s="1268"/>
      <c r="AV250" s="1268"/>
      <c r="AW250" s="1268"/>
      <c r="AX250" s="1268"/>
      <c r="AY250" s="1268"/>
      <c r="AZ250" s="1268"/>
      <c r="BA250" s="1268"/>
      <c r="BB250" s="1268"/>
      <c r="BC250" s="1268"/>
      <c r="BD250" s="1099">
        <f>IF(AI250=0,0,(AT250-AI250)/AI250*100)</f>
        <v>0</v>
      </c>
      <c r="BE250" s="1099">
        <f>IF(AT250=0,0,(AU250-AT250)/AT250*100)</f>
        <v>0</v>
      </c>
      <c r="BF250" s="1099">
        <f>IF(AU250=0,0,(AV250-AU250)/AU250*100)</f>
        <v>0</v>
      </c>
      <c r="BG250" s="1099">
        <f>IF(AV250=0,0,(AW250-AV250)/AV250*100)</f>
        <v>0</v>
      </c>
      <c r="BH250" s="1099">
        <f>IF(AW250=0,0,(AX250-AW250)/AW250*100)</f>
        <v>0</v>
      </c>
      <c r="BI250" s="1099">
        <f>IF(AX250=0,0,(AY250-AX250)/AX250*100)</f>
        <v>0</v>
      </c>
      <c r="BJ250" s="1099">
        <f>IF(AY250=0,0,(AZ250-AY250)/AY250*100)</f>
        <v>0</v>
      </c>
      <c r="BK250" s="1099">
        <f>IF(AZ250=0,0,(BA250-AZ250)/AZ250*100)</f>
        <v>0</v>
      </c>
      <c r="BL250" s="1099">
        <f>IF(BA250=0,0,(BB250-BA250)/BA250*100)</f>
        <v>0</v>
      </c>
      <c r="BM250" s="1099">
        <f>IF(BB250=0,0,(BC250-BB250)/BB250*100)</f>
        <v>0</v>
      </c>
      <c r="BN250" s="1265"/>
      <c r="BO250" s="1272" t="str">
        <f>IF(_xlfn.IFERROR(INDEX('Сбытовые расходы ГО'!$K$26:$M$63,MATCH($F250&amp;"komm",'Сбытовые расходы ГО'!$K$26:$K$63,0),2),"")=0,"",_xlfn.IFERROR(INDEX('Сбытовые расходы ГО'!$K$26:$M$63,MATCH($F250&amp;"komm",'Сбытовые расходы ГО'!$K$26:$K$63,0),2),""))</f>
        <v/>
      </c>
      <c r="BP250" s="1265"/>
      <c r="BQ250" s="960"/>
      <c r="BR250" s="960"/>
      <c r="BS250" s="1048" t="s">
        <v>1970</v>
      </c>
      <c r="BT250" s="1048"/>
      <c r="BU250" s="1048"/>
      <c r="BV250" s="962"/>
      <c r="BW250" s="962"/>
    </row>
    <row s="1621" customFormat="1" customHeight="1" ht="14.625">
      <c r="A251" s="960"/>
      <c r="B251" s="961"/>
      <c r="C251" s="73"/>
      <c r="D251" s="73"/>
      <c r="E251" s="600">
        <v>15</v>
      </c>
      <c r="F251" s="50" cm="1" t="str">
        <f t="array" ref="F251:F251">OFFSET(E251,-1,1)</f>
        <v>1</v>
      </c>
      <c r="G251" s="73" t="s">
        <v>1342</v>
      </c>
      <c r="H251" s="73"/>
      <c r="I251" s="73" t="s">
        <v>1971</v>
      </c>
      <c r="J251" s="73"/>
      <c r="K251" s="124" t="s">
        <v>1971</v>
      </c>
      <c r="L251" s="963"/>
      <c r="M251" s="73"/>
      <c r="N251" s="73"/>
      <c r="O251" s="73"/>
      <c r="P251" s="73"/>
      <c r="Q251" s="73"/>
      <c r="R251" s="73"/>
      <c r="S251" s="73"/>
      <c r="T251" s="439" cm="1" t="str">
        <f t="array" ref="T251:T251">T250</f>
        <v>true</v>
      </c>
      <c r="U251" s="73"/>
      <c r="V251" s="73"/>
      <c r="W251" s="73"/>
      <c r="X251" s="1534"/>
      <c r="Y251" s="960"/>
      <c r="Z251" s="1465"/>
      <c r="AA251" s="960"/>
      <c r="AB251" s="267" t="s">
        <v>1400</v>
      </c>
      <c r="AC251" s="743" t="s">
        <v>1342</v>
      </c>
      <c r="AD251" s="267" t="s">
        <v>784</v>
      </c>
      <c r="AE251" s="4561">
        <v>0</v>
      </c>
      <c r="AF251" s="4561"/>
      <c r="AG251" s="4561"/>
      <c r="AH251" s="1099">
        <f>AG251-AF251</f>
        <v>0</v>
      </c>
      <c r="AI251" s="4561">
        <v>-324.4424852477</v>
      </c>
      <c r="AJ251" s="4561">
        <f>_xlfn.SUMIFS(Экономия_корр!AE$25:AE$51,Экономия_корр!$F$25:$F$51,$F251,Экономия_корр!$AC$25:$AC$51,"Экономия расходов с учетом ИПЦ")</f>
        <v>0</v>
      </c>
      <c r="AK251" s="1268">
        <f>_xlfn.SUMIFS(Экономия_корр!AF$25:AF$51,Экономия_корр!$F$25:$F$51,$F251,Экономия_корр!$AC$25:$AC$51,"Экономия расходов с учетом ИПЦ")</f>
        <v>0</v>
      </c>
      <c r="AL251" s="1268">
        <f>_xlfn.SUMIFS(Экономия_корр!AG$25:AG$51,Экономия_корр!$F$25:$F$51,$F251,Экономия_корр!$AC$25:$AC$51,"Экономия расходов с учетом ИПЦ")</f>
        <v>0</v>
      </c>
      <c r="AM251" s="4561">
        <f>_xlfn.SUMIFS(Экономия_корр!AH$25:AH$51,Экономия_корр!$F$25:$F$51,$F251,Экономия_корр!$AC$25:$AC$51,"Экономия расходов с учетом ИПЦ")</f>
        <v>0</v>
      </c>
      <c r="AN251" s="4561">
        <f>_xlfn.SUMIFS(Экономия_корр!AI$25:AI$51,Экономия_корр!$F$25:$F$51,$F251,Экономия_корр!$AC$25:$AC$51,"Экономия расходов с учетом ИПЦ")</f>
        <v>0</v>
      </c>
      <c r="AO251" s="4561">
        <f>_xlfn.SUMIFS(Экономия_корр!AJ$25:AJ$51,Экономия_корр!$F$25:$F$51,$F251,Экономия_корр!$AC$25:$AC$51,"Экономия расходов с учетом ИПЦ")</f>
        <v>0</v>
      </c>
      <c r="AP251" s="4561">
        <f>_xlfn.SUMIFS(Экономия_корр!AK$25:AK$51,Экономия_корр!$F$25:$F$51,$F251,Экономия_корр!$AC$25:$AC$51,"Экономия расходов с учетом ИПЦ")</f>
        <v>0</v>
      </c>
      <c r="AQ251" s="4561">
        <f>_xlfn.SUMIFS(Экономия_корр!AL$25:AL$51,Экономия_корр!$F$25:$F$51,$F251,Экономия_корр!$AC$25:$AC$51,"Экономия расходов с учетом ИПЦ")</f>
        <v>0</v>
      </c>
      <c r="AR251" s="4561">
        <f>_xlfn.SUMIFS(Экономия_корр!AM$25:AM$51,Экономия_корр!$F$25:$F$51,$F251,Экономия_корр!$AC$25:$AC$51,"Экономия расходов с учетом ИПЦ")</f>
        <v>0</v>
      </c>
      <c r="AS251" s="4561">
        <f>_xlfn.SUMIFS(Экономия_корр!AN$25:AN$51,Экономия_корр!$F$25:$F$51,$F251,Экономия_корр!$AC$25:$AC$51,"Экономия расходов с учетом ИПЦ")</f>
        <v>0</v>
      </c>
      <c r="AT251" s="4561">
        <f>_xlfn.SUMIFS(Экономия_корр!AO$25:AO$51,Экономия_корр!$F$25:$F$51,$F251,Экономия_корр!$AC$25:$AC$51,"Экономия расходов с учетом ИПЦ")</f>
        <v>0</v>
      </c>
      <c r="AU251" s="1268">
        <f>_xlfn.SUMIFS(Экономия_корр!AP$25:AP$51,Экономия_корр!$F$25:$F$51,$F251,Экономия_корр!$AC$25:$AC$51,"Экономия расходов с учетом ИПЦ")</f>
        <v>0</v>
      </c>
      <c r="AV251" s="1268">
        <f>_xlfn.SUMIFS(Экономия_корр!AQ$25:AQ$51,Экономия_корр!$F$25:$F$51,$F251,Экономия_корр!$AC$25:$AC$51,"Экономия расходов с учетом ИПЦ")</f>
        <v>0</v>
      </c>
      <c r="AW251" s="4561">
        <f>_xlfn.SUMIFS(Экономия_корр!AR$25:AR$51,Экономия_корр!$F$25:$F$51,$F251,Экономия_корр!$AC$25:$AC$51,"Экономия расходов с учетом ИПЦ")</f>
        <v>0</v>
      </c>
      <c r="AX251" s="4561">
        <f>_xlfn.SUMIFS(Экономия_корр!AS$25:AS$51,Экономия_корр!$F$25:$F$51,$F251,Экономия_корр!$AC$25:$AC$51,"Экономия расходов с учетом ИПЦ")</f>
        <v>0</v>
      </c>
      <c r="AY251" s="4561">
        <f>_xlfn.SUMIFS(Экономия_корр!AT$25:AT$51,Экономия_корр!$F$25:$F$51,$F251,Экономия_корр!$AC$25:$AC$51,"Экономия расходов с учетом ИПЦ")</f>
        <v>0</v>
      </c>
      <c r="AZ251" s="4561">
        <f>_xlfn.SUMIFS(Экономия_корр!AU$25:AU$51,Экономия_корр!$F$25:$F$51,$F251,Экономия_корр!$AC$25:$AC$51,"Экономия расходов с учетом ИПЦ")</f>
        <v>0</v>
      </c>
      <c r="BA251" s="4561">
        <f>_xlfn.SUMIFS(Экономия_корр!AV$25:AV$51,Экономия_корр!$F$25:$F$51,$F251,Экономия_корр!$AC$25:$AC$51,"Экономия расходов с учетом ИПЦ")</f>
        <v>0</v>
      </c>
      <c r="BB251" s="4561">
        <f>_xlfn.SUMIFS(Экономия_корр!AW$25:AW$51,Экономия_корр!$F$25:$F$51,$F251,Экономия_корр!$AC$25:$AC$51,"Экономия расходов с учетом ИПЦ")</f>
        <v>0</v>
      </c>
      <c r="BC251" s="4561">
        <f>_xlfn.SUMIFS(Экономия_корр!AX$25:AX$51,Экономия_корр!$F$25:$F$51,$F251,Экономия_корр!$AC$25:$AC$51,"Экономия расходов с учетом ИПЦ")</f>
        <v>0</v>
      </c>
      <c r="BD251" s="1099">
        <f>IF(AI251=0,0,(AT251-AI251)/AI251*100)</f>
        <v>-100</v>
      </c>
      <c r="BE251" s="1099">
        <f>IF(AT251=0,0,(AU251-AT251)/AT251*100)</f>
        <v>0</v>
      </c>
      <c r="BF251" s="1099">
        <f>IF(AU251=0,0,(AV251-AU251)/AU251*100)</f>
        <v>0</v>
      </c>
      <c r="BG251" s="1099">
        <f>IF(AV251=0,0,(AW251-AV251)/AV251*100)</f>
        <v>0</v>
      </c>
      <c r="BH251" s="1099">
        <f>IF(AW251=0,0,(AX251-AW251)/AW251*100)</f>
        <v>0</v>
      </c>
      <c r="BI251" s="1099">
        <f>IF(AX251=0,0,(AY251-AX251)/AX251*100)</f>
        <v>0</v>
      </c>
      <c r="BJ251" s="1099">
        <f>IF(AY251=0,0,(AZ251-AY251)/AY251*100)</f>
        <v>0</v>
      </c>
      <c r="BK251" s="1099">
        <f>IF(AZ251=0,0,(BA251-AZ251)/AZ251*100)</f>
        <v>0</v>
      </c>
      <c r="BL251" s="1099">
        <f>IF(BA251=0,0,(BB251-BA251)/BA251*100)</f>
        <v>0</v>
      </c>
      <c r="BM251" s="1099">
        <f>IF(BB251=0,0,(BC251-BB251)/BB251*100)</f>
        <v>0</v>
      </c>
      <c r="BN251" s="4617"/>
      <c r="BO251" s="4617"/>
      <c r="BP251" s="4617"/>
      <c r="BQ251" s="960"/>
      <c r="BR251" s="960"/>
      <c r="BS251" s="1048" t="s">
        <v>1972</v>
      </c>
      <c r="BT251" s="1048"/>
      <c r="BU251" s="1048"/>
      <c r="BV251" s="962"/>
      <c r="BW251" s="962"/>
    </row>
    <row s="1621" customFormat="1" customHeight="1" ht="14.25">
      <c r="A252" s="960"/>
      <c r="B252" s="961"/>
      <c r="C252" s="73"/>
      <c r="D252" s="73"/>
      <c r="E252" s="600">
        <v>15</v>
      </c>
      <c r="F252" s="50" cm="1" t="str">
        <f t="array" ref="F252:F252">OFFSET(E252,-1,1)</f>
        <v>1</v>
      </c>
      <c r="G252" s="73" t="s">
        <v>1347</v>
      </c>
      <c r="H252" s="73"/>
      <c r="I252" s="73" t="s">
        <v>1973</v>
      </c>
      <c r="J252" s="73"/>
      <c r="K252" s="124" t="s">
        <v>1973</v>
      </c>
      <c r="L252" s="963"/>
      <c r="M252" s="73"/>
      <c r="N252" s="73"/>
      <c r="O252" s="73"/>
      <c r="P252" s="73"/>
      <c r="Q252" s="73"/>
      <c r="R252" s="73"/>
      <c r="S252" s="73"/>
      <c r="T252" s="439" cm="1" t="str">
        <f t="array" ref="T252:T252">T251</f>
        <v>true</v>
      </c>
      <c r="U252" s="73"/>
      <c r="V252" s="73"/>
      <c r="W252" s="73"/>
      <c r="X252" s="1534"/>
      <c r="Y252" s="960"/>
      <c r="Z252" s="1465"/>
      <c r="AA252" s="960"/>
      <c r="AB252" s="267" t="s">
        <v>1974</v>
      </c>
      <c r="AC252" s="743" t="s">
        <v>1347</v>
      </c>
      <c r="AD252" s="267" t="s">
        <v>784</v>
      </c>
      <c r="AE252" s="4561"/>
      <c r="AF252" s="4561"/>
      <c r="AG252" s="4561"/>
      <c r="AH252" s="1099">
        <f>AG252-AF252</f>
        <v>0</v>
      </c>
      <c r="AI252" s="4561"/>
      <c r="AJ252" s="4561"/>
      <c r="AK252" s="1268"/>
      <c r="AL252" s="1268"/>
      <c r="AM252" s="4561"/>
      <c r="AN252" s="4561"/>
      <c r="AO252" s="4561"/>
      <c r="AP252" s="4561"/>
      <c r="AQ252" s="4561"/>
      <c r="AR252" s="4561"/>
      <c r="AS252" s="4561"/>
      <c r="AT252" s="4561"/>
      <c r="AU252" s="1268"/>
      <c r="AV252" s="1268"/>
      <c r="AW252" s="4561"/>
      <c r="AX252" s="4561"/>
      <c r="AY252" s="4561"/>
      <c r="AZ252" s="4561"/>
      <c r="BA252" s="4561"/>
      <c r="BB252" s="4561"/>
      <c r="BC252" s="4561"/>
      <c r="BD252" s="1099">
        <f>IF(AI252=0,0,(AT252-AI252)/AI252*100)</f>
        <v>0</v>
      </c>
      <c r="BE252" s="1099">
        <f>IF(AT252=0,0,(AU252-AT252)/AT252*100)</f>
        <v>0</v>
      </c>
      <c r="BF252" s="1099">
        <f>IF(AU252=0,0,(AV252-AU252)/AU252*100)</f>
        <v>0</v>
      </c>
      <c r="BG252" s="1099">
        <f>IF(AV252=0,0,(AW252-AV252)/AV252*100)</f>
        <v>0</v>
      </c>
      <c r="BH252" s="1099">
        <f>IF(AW252=0,0,(AX252-AW252)/AW252*100)</f>
        <v>0</v>
      </c>
      <c r="BI252" s="1099">
        <f>IF(AX252=0,0,(AY252-AX252)/AX252*100)</f>
        <v>0</v>
      </c>
      <c r="BJ252" s="1099">
        <f>IF(AY252=0,0,(AZ252-AY252)/AY252*100)</f>
        <v>0</v>
      </c>
      <c r="BK252" s="1099">
        <f>IF(AZ252=0,0,(BA252-AZ252)/AZ252*100)</f>
        <v>0</v>
      </c>
      <c r="BL252" s="1099">
        <f>IF(BA252=0,0,(BB252-BA252)/BA252*100)</f>
        <v>0</v>
      </c>
      <c r="BM252" s="1099">
        <f>IF(BB252=0,0,(BC252-BB252)/BB252*100)</f>
        <v>0</v>
      </c>
      <c r="BN252" s="4617"/>
      <c r="BO252" s="4617"/>
      <c r="BP252" s="4617"/>
      <c r="BQ252" s="960"/>
      <c r="BR252" s="960"/>
      <c r="BS252" s="1048" t="s">
        <v>1704</v>
      </c>
      <c r="BT252" s="1048"/>
      <c r="BU252" s="1048"/>
      <c r="BV252" s="962"/>
      <c r="BW252" s="962"/>
    </row>
    <row s="1621" customFormat="1" customHeight="1" ht="14.25">
      <c r="A253" s="960"/>
      <c r="B253" s="961"/>
      <c r="C253" s="73"/>
      <c r="D253" s="73"/>
      <c r="E253" s="600">
        <v>15</v>
      </c>
      <c r="F253" s="50" cm="1" t="str">
        <f t="array" ref="F253:F253">OFFSET(E253,-1,1)</f>
        <v>1</v>
      </c>
      <c r="G253" s="73" t="s">
        <v>1352</v>
      </c>
      <c r="H253" s="73"/>
      <c r="I253" s="73" t="s">
        <v>1975</v>
      </c>
      <c r="J253" s="73"/>
      <c r="K253" s="124" t="s">
        <v>1975</v>
      </c>
      <c r="L253" s="963"/>
      <c r="M253" s="73"/>
      <c r="N253" s="73"/>
      <c r="O253" s="73"/>
      <c r="P253" s="73"/>
      <c r="Q253" s="73"/>
      <c r="R253" s="73"/>
      <c r="S253" s="73"/>
      <c r="T253" s="439" cm="1" t="str">
        <f t="array" ref="T253:T253">T252</f>
        <v>true</v>
      </c>
      <c r="U253" s="73"/>
      <c r="V253" s="73"/>
      <c r="W253" s="73"/>
      <c r="X253" s="1534"/>
      <c r="Y253" s="960"/>
      <c r="Z253" s="1465"/>
      <c r="AA253" s="960"/>
      <c r="AB253" s="267" t="s">
        <v>1419</v>
      </c>
      <c r="AC253" s="743" t="s">
        <v>1352</v>
      </c>
      <c r="AD253" s="267" t="s">
        <v>784</v>
      </c>
      <c r="AE253" s="4561"/>
      <c r="AF253" s="4561"/>
      <c r="AG253" s="4561"/>
      <c r="AH253" s="1099">
        <f>AG253-AF253</f>
        <v>0</v>
      </c>
      <c r="AI253" s="4561"/>
      <c r="AJ253" s="4561"/>
      <c r="AK253" s="1268"/>
      <c r="AL253" s="1268"/>
      <c r="AM253" s="4561"/>
      <c r="AN253" s="4561"/>
      <c r="AO253" s="4561"/>
      <c r="AP253" s="4561"/>
      <c r="AQ253" s="4561"/>
      <c r="AR253" s="4561"/>
      <c r="AS253" s="4561"/>
      <c r="AT253" s="4561"/>
      <c r="AU253" s="1268"/>
      <c r="AV253" s="1268"/>
      <c r="AW253" s="4561"/>
      <c r="AX253" s="4561"/>
      <c r="AY253" s="4561"/>
      <c r="AZ253" s="4561"/>
      <c r="BA253" s="4561"/>
      <c r="BB253" s="4561"/>
      <c r="BC253" s="4561"/>
      <c r="BD253" s="1099">
        <f>IF(AI253=0,0,(AT253-AI253)/AI253*100)</f>
        <v>0</v>
      </c>
      <c r="BE253" s="1099">
        <f>IF(AT253=0,0,(AU253-AT253)/AT253*100)</f>
        <v>0</v>
      </c>
      <c r="BF253" s="1099">
        <f>IF(AU253=0,0,(AV253-AU253)/AU253*100)</f>
        <v>0</v>
      </c>
      <c r="BG253" s="1099">
        <f>IF(AV253=0,0,(AW253-AV253)/AV253*100)</f>
        <v>0</v>
      </c>
      <c r="BH253" s="1099">
        <f>IF(AW253=0,0,(AX253-AW253)/AW253*100)</f>
        <v>0</v>
      </c>
      <c r="BI253" s="1099">
        <f>IF(AX253=0,0,(AY253-AX253)/AX253*100)</f>
        <v>0</v>
      </c>
      <c r="BJ253" s="1099">
        <f>IF(AY253=0,0,(AZ253-AY253)/AY253*100)</f>
        <v>0</v>
      </c>
      <c r="BK253" s="1099">
        <f>IF(AZ253=0,0,(BA253-AZ253)/AZ253*100)</f>
        <v>0</v>
      </c>
      <c r="BL253" s="1099">
        <f>IF(BA253=0,0,(BB253-BA253)/BA253*100)</f>
        <v>0</v>
      </c>
      <c r="BM253" s="1099">
        <f>IF(BB253=0,0,(BC253-BB253)/BB253*100)</f>
        <v>0</v>
      </c>
      <c r="BN253" s="4617"/>
      <c r="BO253" s="4617"/>
      <c r="BP253" s="4617"/>
      <c r="BQ253" s="960"/>
      <c r="BR253" s="960"/>
      <c r="BS253" s="1048" t="s">
        <v>1976</v>
      </c>
      <c r="BT253" s="1048"/>
      <c r="BU253" s="1048"/>
      <c r="BV253" s="962"/>
      <c r="BW253" s="962"/>
    </row>
    <row s="1621" customFormat="1" customHeight="1" ht="14.25">
      <c r="A254" s="960"/>
      <c r="B254" s="961"/>
      <c r="C254" s="73"/>
      <c r="D254" s="73"/>
      <c r="E254" s="600">
        <v>15</v>
      </c>
      <c r="F254" s="50" cm="1" t="str">
        <f t="array" ref="F254:F254">OFFSET(E254,-1,1)</f>
        <v>1</v>
      </c>
      <c r="G254" s="73" t="s">
        <v>1357</v>
      </c>
      <c r="H254" s="73"/>
      <c r="I254" s="73" t="s">
        <v>1977</v>
      </c>
      <c r="J254" s="73"/>
      <c r="K254" s="124" t="s">
        <v>1977</v>
      </c>
      <c r="L254" s="963"/>
      <c r="M254" s="73"/>
      <c r="N254" s="73"/>
      <c r="O254" s="73"/>
      <c r="P254" s="73"/>
      <c r="Q254" s="73"/>
      <c r="R254" s="73"/>
      <c r="S254" s="73"/>
      <c r="T254" s="439" cm="1" t="str">
        <f t="array" ref="T254:T254">T253</f>
        <v>true</v>
      </c>
      <c r="U254" s="73"/>
      <c r="V254" s="73"/>
      <c r="W254" s="73"/>
      <c r="X254" s="1534"/>
      <c r="Y254" s="960"/>
      <c r="Z254" s="1465"/>
      <c r="AA254" s="960"/>
      <c r="AB254" s="267" t="s">
        <v>1423</v>
      </c>
      <c r="AC254" s="743" t="s">
        <v>1357</v>
      </c>
      <c r="AD254" s="267" t="s">
        <v>784</v>
      </c>
      <c r="AE254" s="1101">
        <f>SUM(AE255,AE256)</f>
        <v>0</v>
      </c>
      <c r="AF254" s="1099">
        <f>SUM(AF255,AF256)</f>
        <v>0</v>
      </c>
      <c r="AG254" s="1099">
        <f>SUM(AG255,AG256)</f>
        <v>0</v>
      </c>
      <c r="AH254" s="1099">
        <f>AG254-AF254</f>
        <v>0</v>
      </c>
      <c r="AI254" s="1099">
        <f>SUM(AI255,AI256)</f>
        <v>0</v>
      </c>
      <c r="AJ254" s="1101">
        <f>SUM(AJ255,AJ256)</f>
        <v>0</v>
      </c>
      <c r="AK254" s="1099">
        <f>SUM(AK255,AK256)</f>
        <v>0</v>
      </c>
      <c r="AL254" s="1099">
        <f>SUM(AL255,AL256)</f>
        <v>0</v>
      </c>
      <c r="AM254" s="1099">
        <f>SUM(AM255,AM256)</f>
        <v>0</v>
      </c>
      <c r="AN254" s="1099">
        <f>SUM(AN255,AN256)</f>
        <v>0</v>
      </c>
      <c r="AO254" s="1099">
        <f>SUM(AO255,AO256)</f>
        <v>0</v>
      </c>
      <c r="AP254" s="1099">
        <f>SUM(AP255,AP256)</f>
        <v>0</v>
      </c>
      <c r="AQ254" s="1099">
        <f>SUM(AQ255,AQ256)</f>
        <v>0</v>
      </c>
      <c r="AR254" s="1099">
        <f>SUM(AR255,AR256)</f>
        <v>0</v>
      </c>
      <c r="AS254" s="1099">
        <f>SUM(AS255,AS256)</f>
        <v>0</v>
      </c>
      <c r="AT254" s="1101">
        <f>SUM(AT255,AT256)</f>
        <v>0</v>
      </c>
      <c r="AU254" s="1099">
        <f>SUM(AU255,AU256)</f>
        <v>0</v>
      </c>
      <c r="AV254" s="1099">
        <f>SUM(AV255,AV256)</f>
        <v>0</v>
      </c>
      <c r="AW254" s="1099">
        <f>SUM(AW255,AW256)</f>
        <v>0</v>
      </c>
      <c r="AX254" s="1099">
        <f>SUM(AX255,AX256)</f>
        <v>0</v>
      </c>
      <c r="AY254" s="1099">
        <f>SUM(AY255,AY256)</f>
        <v>0</v>
      </c>
      <c r="AZ254" s="1099">
        <f>SUM(AZ255,AZ256)</f>
        <v>0</v>
      </c>
      <c r="BA254" s="1099">
        <f>SUM(BA255,BA256)</f>
        <v>0</v>
      </c>
      <c r="BB254" s="1099">
        <f>SUM(BB255,BB256)</f>
        <v>0</v>
      </c>
      <c r="BC254" s="1099">
        <f>SUM(BC255,BC256)</f>
        <v>0</v>
      </c>
      <c r="BD254" s="1099">
        <f>IF(AI254=0,0,(AT254-AI254)/AI254*100)</f>
        <v>0</v>
      </c>
      <c r="BE254" s="1099">
        <f>IF(AT254=0,0,(AU254-AT254)/AT254*100)</f>
        <v>0</v>
      </c>
      <c r="BF254" s="1099">
        <f>IF(AU254=0,0,(AV254-AU254)/AU254*100)</f>
        <v>0</v>
      </c>
      <c r="BG254" s="1099">
        <f>IF(AV254=0,0,(AW254-AV254)/AV254*100)</f>
        <v>0</v>
      </c>
      <c r="BH254" s="1099">
        <f>IF(AW254=0,0,(AX254-AW254)/AW254*100)</f>
        <v>0</v>
      </c>
      <c r="BI254" s="1099">
        <f>IF(AX254=0,0,(AY254-AX254)/AX254*100)</f>
        <v>0</v>
      </c>
      <c r="BJ254" s="1099">
        <f>IF(AY254=0,0,(AZ254-AY254)/AY254*100)</f>
        <v>0</v>
      </c>
      <c r="BK254" s="1099">
        <f>IF(AZ254=0,0,(BA254-AZ254)/AZ254*100)</f>
        <v>0</v>
      </c>
      <c r="BL254" s="1099">
        <f>IF(BA254=0,0,(BB254-BA254)/BA254*100)</f>
        <v>0</v>
      </c>
      <c r="BM254" s="1099">
        <f>IF(BB254=0,0,(BC254-BB254)/BB254*100)</f>
        <v>0</v>
      </c>
      <c r="BN254" s="4617"/>
      <c r="BO254" s="4617"/>
      <c r="BP254" s="4617"/>
      <c r="BQ254" s="960"/>
      <c r="BR254" s="960"/>
      <c r="BS254" s="1048" t="s">
        <v>1978</v>
      </c>
      <c r="BT254" s="1048"/>
      <c r="BU254" s="1048"/>
      <c r="BV254" s="962"/>
      <c r="BW254" s="962"/>
    </row>
    <row s="1621" customFormat="1" customHeight="1" ht="14.25">
      <c r="A255" s="960"/>
      <c r="B255" s="961"/>
      <c r="C255" s="73"/>
      <c r="D255" s="73"/>
      <c r="E255" s="600">
        <v>15</v>
      </c>
      <c r="F255" s="50" cm="1" t="str">
        <f t="array" ref="F255:F255">OFFSET(E255,-1,1)</f>
        <v>1</v>
      </c>
      <c r="G255" s="73"/>
      <c r="H255" s="73"/>
      <c r="I255" s="73" t="s">
        <v>1979</v>
      </c>
      <c r="J255" s="73"/>
      <c r="K255" s="124" t="s">
        <v>1979</v>
      </c>
      <c r="L255" s="963"/>
      <c r="M255" s="73"/>
      <c r="N255" s="73"/>
      <c r="O255" s="73"/>
      <c r="P255" s="73"/>
      <c r="Q255" s="73"/>
      <c r="R255" s="73"/>
      <c r="S255" s="73"/>
      <c r="T255" s="439" cm="1" t="str">
        <f t="array" ref="T255:T255">T254</f>
        <v>true</v>
      </c>
      <c r="U255" s="73"/>
      <c r="V255" s="73"/>
      <c r="W255" s="73"/>
      <c r="X255" s="1534"/>
      <c r="Y255" s="960"/>
      <c r="Z255" s="1465"/>
      <c r="AA255" s="960"/>
      <c r="AB255" s="267" t="s">
        <v>1980</v>
      </c>
      <c r="AC255" s="746" t="s">
        <v>1981</v>
      </c>
      <c r="AD255" s="267" t="s">
        <v>784</v>
      </c>
      <c r="AE255" s="4561"/>
      <c r="AF255" s="4561"/>
      <c r="AG255" s="4561"/>
      <c r="AH255" s="1099">
        <f>AG255-AF255</f>
        <v>0</v>
      </c>
      <c r="AI255" s="4561"/>
      <c r="AJ255" s="4561"/>
      <c r="AK255" s="1268"/>
      <c r="AL255" s="1268"/>
      <c r="AM255" s="4561"/>
      <c r="AN255" s="4561"/>
      <c r="AO255" s="4561"/>
      <c r="AP255" s="4561"/>
      <c r="AQ255" s="4561"/>
      <c r="AR255" s="4561"/>
      <c r="AS255" s="4561"/>
      <c r="AT255" s="4561"/>
      <c r="AU255" s="1268"/>
      <c r="AV255" s="1268"/>
      <c r="AW255" s="4561"/>
      <c r="AX255" s="4561"/>
      <c r="AY255" s="4561"/>
      <c r="AZ255" s="4561"/>
      <c r="BA255" s="4561"/>
      <c r="BB255" s="4561"/>
      <c r="BC255" s="4561"/>
      <c r="BD255" s="1099">
        <f>IF(AI255=0,0,(AT255-AI255)/AI255*100)</f>
        <v>0</v>
      </c>
      <c r="BE255" s="1099">
        <f>IF(AT255=0,0,(AU255-AT255)/AT255*100)</f>
        <v>0</v>
      </c>
      <c r="BF255" s="1099">
        <f>IF(AU255=0,0,(AV255-AU255)/AU255*100)</f>
        <v>0</v>
      </c>
      <c r="BG255" s="1099">
        <f>IF(AV255=0,0,(AW255-AV255)/AV255*100)</f>
        <v>0</v>
      </c>
      <c r="BH255" s="1099">
        <f>IF(AW255=0,0,(AX255-AW255)/AW255*100)</f>
        <v>0</v>
      </c>
      <c r="BI255" s="1099">
        <f>IF(AX255=0,0,(AY255-AX255)/AX255*100)</f>
        <v>0</v>
      </c>
      <c r="BJ255" s="1099">
        <f>IF(AY255=0,0,(AZ255-AY255)/AY255*100)</f>
        <v>0</v>
      </c>
      <c r="BK255" s="1099">
        <f>IF(AZ255=0,0,(BA255-AZ255)/AZ255*100)</f>
        <v>0</v>
      </c>
      <c r="BL255" s="1099">
        <f>IF(BA255=0,0,(BB255-BA255)/BA255*100)</f>
        <v>0</v>
      </c>
      <c r="BM255" s="1099">
        <f>IF(BB255=0,0,(BC255-BB255)/BB255*100)</f>
        <v>0</v>
      </c>
      <c r="BN255" s="4617"/>
      <c r="BO255" s="4617"/>
      <c r="BP255" s="4617"/>
      <c r="BQ255" s="960"/>
      <c r="BR255" s="960"/>
      <c r="BS255" s="1048" t="s">
        <v>1144</v>
      </c>
      <c r="BT255" s="1048"/>
      <c r="BU255" s="1048"/>
      <c r="BV255" s="962"/>
      <c r="BW255" s="962"/>
    </row>
    <row s="1621" customFormat="1" customHeight="1" ht="14.25">
      <c r="A256" s="960"/>
      <c r="B256" s="961"/>
      <c r="C256" s="73"/>
      <c r="D256" s="73"/>
      <c r="E256" s="600">
        <v>15</v>
      </c>
      <c r="F256" s="50" cm="1" t="str">
        <f t="array" ref="F256:F256">OFFSET(E256,-1,1)</f>
        <v>1</v>
      </c>
      <c r="G256" s="73"/>
      <c r="H256" s="73"/>
      <c r="I256" s="73" t="s">
        <v>1982</v>
      </c>
      <c r="J256" s="73"/>
      <c r="K256" s="124" t="s">
        <v>1982</v>
      </c>
      <c r="L256" s="963" t="s">
        <v>857</v>
      </c>
      <c r="M256" s="73"/>
      <c r="N256" s="73"/>
      <c r="O256" s="73"/>
      <c r="P256" s="73"/>
      <c r="Q256" s="73"/>
      <c r="R256" s="73"/>
      <c r="S256" s="73"/>
      <c r="T256" s="439" cm="1" t="str">
        <f t="array" ref="T256:T256">T255</f>
        <v>true</v>
      </c>
      <c r="U256" s="73"/>
      <c r="V256" s="73"/>
      <c r="W256" s="73"/>
      <c r="X256" s="1534"/>
      <c r="Y256" s="960"/>
      <c r="Z256" s="1465"/>
      <c r="AA256" s="960"/>
      <c r="AB256" s="267" t="s">
        <v>1983</v>
      </c>
      <c r="AC256" s="746" t="s">
        <v>1984</v>
      </c>
      <c r="AD256" s="267" t="s">
        <v>784</v>
      </c>
      <c r="AE256" s="4561"/>
      <c r="AF256" s="4561"/>
      <c r="AG256" s="4561"/>
      <c r="AH256" s="1099">
        <f>AG256-AF256</f>
        <v>0</v>
      </c>
      <c r="AI256" s="4561"/>
      <c r="AJ256" s="4561"/>
      <c r="AK256" s="1268"/>
      <c r="AL256" s="1268"/>
      <c r="AM256" s="4561"/>
      <c r="AN256" s="4561"/>
      <c r="AO256" s="4561"/>
      <c r="AP256" s="4561"/>
      <c r="AQ256" s="4561"/>
      <c r="AR256" s="4561"/>
      <c r="AS256" s="4561"/>
      <c r="AT256" s="4561"/>
      <c r="AU256" s="1268"/>
      <c r="AV256" s="1268"/>
      <c r="AW256" s="4561"/>
      <c r="AX256" s="4561"/>
      <c r="AY256" s="4561"/>
      <c r="AZ256" s="4561"/>
      <c r="BA256" s="4561"/>
      <c r="BB256" s="4561"/>
      <c r="BC256" s="4561"/>
      <c r="BD256" s="1099">
        <f>IF(AI256=0,0,(AT256-AI256)/AI256*100)</f>
        <v>0</v>
      </c>
      <c r="BE256" s="1099">
        <f>IF(AT256=0,0,(AU256-AT256)/AT256*100)</f>
        <v>0</v>
      </c>
      <c r="BF256" s="1099">
        <f>IF(AU256=0,0,(AV256-AU256)/AU256*100)</f>
        <v>0</v>
      </c>
      <c r="BG256" s="1099">
        <f>IF(AV256=0,0,(AW256-AV256)/AV256*100)</f>
        <v>0</v>
      </c>
      <c r="BH256" s="1099">
        <f>IF(AW256=0,0,(AX256-AW256)/AW256*100)</f>
        <v>0</v>
      </c>
      <c r="BI256" s="1099">
        <f>IF(AX256=0,0,(AY256-AX256)/AX256*100)</f>
        <v>0</v>
      </c>
      <c r="BJ256" s="1099">
        <f>IF(AY256=0,0,(AZ256-AY256)/AY256*100)</f>
        <v>0</v>
      </c>
      <c r="BK256" s="1099">
        <f>IF(AZ256=0,0,(BA256-AZ256)/AZ256*100)</f>
        <v>0</v>
      </c>
      <c r="BL256" s="1099">
        <f>IF(BA256=0,0,(BB256-BA256)/BA256*100)</f>
        <v>0</v>
      </c>
      <c r="BM256" s="1099">
        <f>IF(BB256=0,0,(BC256-BB256)/BB256*100)</f>
        <v>0</v>
      </c>
      <c r="BN256" s="4617"/>
      <c r="BO256" s="4617"/>
      <c r="BP256" s="4617"/>
      <c r="BQ256" s="960"/>
      <c r="BR256" s="960"/>
      <c r="BS256" s="1048" t="s">
        <v>1985</v>
      </c>
      <c r="BT256" s="1048"/>
      <c r="BU256" s="1048"/>
      <c r="BV256" s="962"/>
      <c r="BW256" s="962"/>
    </row>
    <row s="1621" customFormat="1" customHeight="1" ht="21.75">
      <c r="A257" s="960"/>
      <c r="B257" s="961"/>
      <c r="C257" s="73"/>
      <c r="D257" s="73"/>
      <c r="E257" s="600">
        <v>22.5</v>
      </c>
      <c r="F257" s="50" cm="1" t="str">
        <f t="array" ref="F257:F257">OFFSET(E257,-1,1)</f>
        <v>1</v>
      </c>
      <c r="G257" s="73" t="s">
        <v>1362</v>
      </c>
      <c r="H257" s="73"/>
      <c r="I257" s="73" t="s">
        <v>1986</v>
      </c>
      <c r="J257" s="73"/>
      <c r="K257" s="124" t="s">
        <v>1986</v>
      </c>
      <c r="L257" s="963"/>
      <c r="M257" s="73"/>
      <c r="N257" s="73"/>
      <c r="O257" s="73"/>
      <c r="P257" s="73"/>
      <c r="Q257" s="73"/>
      <c r="R257" s="73"/>
      <c r="S257" s="73"/>
      <c r="T257" s="439" cm="1" t="str">
        <f t="array" ref="T257:T257">T256</f>
        <v>true</v>
      </c>
      <c r="U257" s="73"/>
      <c r="V257" s="73"/>
      <c r="W257" s="73"/>
      <c r="X257" s="1534"/>
      <c r="Y257" s="960"/>
      <c r="Z257" s="1465"/>
      <c r="AA257" s="960"/>
      <c r="AB257" s="267" t="s">
        <v>1426</v>
      </c>
      <c r="AC257" s="743" t="s">
        <v>1987</v>
      </c>
      <c r="AD257" s="267" t="s">
        <v>784</v>
      </c>
      <c r="AE257" s="4561"/>
      <c r="AF257" s="4561"/>
      <c r="AG257" s="4561"/>
      <c r="AH257" s="1099">
        <f>AG257-AF257</f>
        <v>0</v>
      </c>
      <c r="AI257" s="4561"/>
      <c r="AJ257" s="4561"/>
      <c r="AK257" s="1268"/>
      <c r="AL257" s="1268"/>
      <c r="AM257" s="4561"/>
      <c r="AN257" s="4561"/>
      <c r="AO257" s="4561"/>
      <c r="AP257" s="4561"/>
      <c r="AQ257" s="4561"/>
      <c r="AR257" s="4561"/>
      <c r="AS257" s="4561"/>
      <c r="AT257" s="4561"/>
      <c r="AU257" s="1268"/>
      <c r="AV257" s="1268"/>
      <c r="AW257" s="4561"/>
      <c r="AX257" s="4561"/>
      <c r="AY257" s="4561"/>
      <c r="AZ257" s="4561"/>
      <c r="BA257" s="4561"/>
      <c r="BB257" s="4561"/>
      <c r="BC257" s="4561"/>
      <c r="BD257" s="1099">
        <f>IF(AI257=0,0,(AT257-AI257)/AI257*100)</f>
        <v>0</v>
      </c>
      <c r="BE257" s="1099">
        <f>IF(AT257=0,0,(AU257-AT257)/AT257*100)</f>
        <v>0</v>
      </c>
      <c r="BF257" s="1099">
        <f>IF(AU257=0,0,(AV257-AU257)/AU257*100)</f>
        <v>0</v>
      </c>
      <c r="BG257" s="1099">
        <f>IF(AV257=0,0,(AW257-AV257)/AV257*100)</f>
        <v>0</v>
      </c>
      <c r="BH257" s="1099">
        <f>IF(AW257=0,0,(AX257-AW257)/AW257*100)</f>
        <v>0</v>
      </c>
      <c r="BI257" s="1099">
        <f>IF(AX257=0,0,(AY257-AX257)/AX257*100)</f>
        <v>0</v>
      </c>
      <c r="BJ257" s="1099">
        <f>IF(AY257=0,0,(AZ257-AY257)/AY257*100)</f>
        <v>0</v>
      </c>
      <c r="BK257" s="1099">
        <f>IF(AZ257=0,0,(BA257-AZ257)/AZ257*100)</f>
        <v>0</v>
      </c>
      <c r="BL257" s="1099">
        <f>IF(BA257=0,0,(BB257-BA257)/BA257*100)</f>
        <v>0</v>
      </c>
      <c r="BM257" s="1099">
        <f>IF(BB257=0,0,(BC257-BB257)/BB257*100)</f>
        <v>0</v>
      </c>
      <c r="BN257" s="4617"/>
      <c r="BO257" s="4617"/>
      <c r="BP257" s="4617"/>
      <c r="BQ257" s="960"/>
      <c r="BR257" s="960"/>
      <c r="BS257" s="1048" t="s">
        <v>1988</v>
      </c>
      <c r="BT257" s="1048"/>
      <c r="BU257" s="1048"/>
      <c r="BV257" s="962"/>
      <c r="BW257" s="962"/>
    </row>
    <row s="4668" customFormat="1" customHeight="1" ht="138.75">
      <c r="A258" s="680"/>
      <c r="B258" s="408"/>
      <c r="C258" s="75"/>
      <c r="D258" s="75"/>
      <c r="E258" s="807">
        <v>21</v>
      </c>
      <c r="F258" s="50" cm="1" t="str">
        <f t="array" ref="F258:F258">OFFSET(E258,-1,1)</f>
        <v>1</v>
      </c>
      <c r="G258" s="73" t="s">
        <v>1989</v>
      </c>
      <c r="H258" s="73"/>
      <c r="I258" s="73" t="s">
        <v>327</v>
      </c>
      <c r="J258" s="75"/>
      <c r="K258" s="124" t="s">
        <v>327</v>
      </c>
      <c r="L258" s="968" t="s">
        <v>1219</v>
      </c>
      <c r="M258" s="75"/>
      <c r="N258" s="75"/>
      <c r="O258" s="75"/>
      <c r="P258" s="75"/>
      <c r="Q258" s="75"/>
      <c r="R258" s="75"/>
      <c r="S258" s="75"/>
      <c r="T258" s="439" cm="1" t="str">
        <f t="array" ref="T258:T258">T257</f>
        <v>true</v>
      </c>
      <c r="U258" s="75"/>
      <c r="V258" s="75"/>
      <c r="W258" s="75"/>
      <c r="X258" s="1534"/>
      <c r="Y258" s="680"/>
      <c r="Z258" s="1465"/>
      <c r="AA258" s="680"/>
      <c r="AB258" s="178" t="s">
        <v>323</v>
      </c>
      <c r="AC258" s="179" t="s">
        <v>1990</v>
      </c>
      <c r="AD258" s="178" t="s">
        <v>784</v>
      </c>
      <c r="AE258" s="759">
        <f>_xlfn.SUMIFS(ЭЭ!AE$25:AE$93,ЭЭ!$F$25:$F$93,$F258,ЭЭ!$AC$25:$AC$93,"Всего по тарифу")</f>
        <v>609.8370458186</v>
      </c>
      <c r="AF258" s="759">
        <f>_xlfn.SUMIFS(ЭЭ!AF$25:AF$93,ЭЭ!$F$25:$F$93,$F258,ЭЭ!$AC$25:$AC$93,"Всего по тарифу")</f>
        <v>589.5074299695</v>
      </c>
      <c r="AG258" s="759">
        <f>_xlfn.SUMIFS(ЭЭ!AG$25:AG$93,ЭЭ!$F$25:$F$93,$F258,ЭЭ!$AC$25:$AC$93,"Всего по тарифу")</f>
        <v>589.5074299695</v>
      </c>
      <c r="AH258" s="759">
        <f>AG258-AF258</f>
        <v>0</v>
      </c>
      <c r="AI258" s="759">
        <f>_xlfn.SUMIFS(ЭЭ!AH$25:AH$93,ЭЭ!$F$25:$F$93,$F258,ЭЭ!$AC$25:$AC$93,"Всего по тарифу")</f>
        <v>601.3424488914</v>
      </c>
      <c r="AJ258" s="759">
        <f>_xlfn.SUMIFS(ЭЭ!AI$25:AI$93,ЭЭ!$F$25:$F$93,$F258,ЭЭ!$AC$25:$AC$93,"Всего по тарифу")</f>
        <v>612.4689</v>
      </c>
      <c r="AK258" s="759">
        <f>_xlfn.SUMIFS(ЭЭ!AJ$25:AJ$93,ЭЭ!$F$25:$F$93,$F258,ЭЭ!$AC$25:$AC$93,"Всего по тарифу")</f>
        <v>0</v>
      </c>
      <c r="AL258" s="759">
        <f>_xlfn.SUMIFS(ЭЭ!AK$25:AK$93,ЭЭ!$F$25:$F$93,$F258,ЭЭ!$AC$25:$AC$93,"Всего по тарифу")</f>
        <v>0</v>
      </c>
      <c r="AM258" s="759">
        <f>_xlfn.SUMIFS(ЭЭ!AL$25:AL$93,ЭЭ!$F$25:$F$93,$F258,ЭЭ!$AC$25:$AC$93,"Всего по тарифу")</f>
        <v>0</v>
      </c>
      <c r="AN258" s="759">
        <f>_xlfn.SUMIFS(ЭЭ!AM$25:AM$93,ЭЭ!$F$25:$F$93,$F258,ЭЭ!$AC$25:$AC$93,"Всего по тарифу")</f>
        <v>0</v>
      </c>
      <c r="AO258" s="759">
        <f>_xlfn.SUMIFS(ЭЭ!AN$25:AN$93,ЭЭ!$F$25:$F$93,$F258,ЭЭ!$AC$25:$AC$93,"Всего по тарифу")</f>
        <v>0</v>
      </c>
      <c r="AP258" s="759">
        <f>_xlfn.SUMIFS(ЭЭ!AO$25:AO$93,ЭЭ!$F$25:$F$93,$F258,ЭЭ!$AC$25:$AC$93,"Всего по тарифу")</f>
        <v>0</v>
      </c>
      <c r="AQ258" s="759">
        <f>_xlfn.SUMIFS(ЭЭ!AP$25:AP$93,ЭЭ!$F$25:$F$93,$F258,ЭЭ!$AC$25:$AC$93,"Всего по тарифу")</f>
        <v>0</v>
      </c>
      <c r="AR258" s="759">
        <f>_xlfn.SUMIFS(ЭЭ!AQ$25:AQ$93,ЭЭ!$F$25:$F$93,$F258,ЭЭ!$AC$25:$AC$93,"Всего по тарифу")</f>
        <v>0</v>
      </c>
      <c r="AS258" s="759">
        <f>_xlfn.SUMIFS(ЭЭ!AR$25:AR$93,ЭЭ!$F$25:$F$93,$F258,ЭЭ!$AC$25:$AC$93,"Всего по тарифу")</f>
        <v>0</v>
      </c>
      <c r="AT258" s="759">
        <f>_xlfn.SUMIFS(ЭЭ!AS$25:AS$93,ЭЭ!$F$25:$F$93,$F258,ЭЭ!$AC$25:$AC$93,"Всего по тарифу")</f>
        <v>678.5030226358</v>
      </c>
      <c r="AU258" s="759">
        <f>_xlfn.SUMIFS(ЭЭ!AT$25:AT$93,ЭЭ!$F$25:$F$93,$F258,ЭЭ!$AC$25:$AC$93,"Всего по тарифу")</f>
        <v>0</v>
      </c>
      <c r="AV258" s="759">
        <f>_xlfn.SUMIFS(ЭЭ!AU$25:AU$93,ЭЭ!$F$25:$F$93,$F258,ЭЭ!$AC$25:$AC$93,"Всего по тарифу")</f>
        <v>0</v>
      </c>
      <c r="AW258" s="759">
        <f>_xlfn.SUMIFS(ЭЭ!AV$25:AV$93,ЭЭ!$F$25:$F$93,$F258,ЭЭ!$AC$25:$AC$93,"Всего по тарифу")</f>
        <v>0</v>
      </c>
      <c r="AX258" s="759">
        <f>_xlfn.SUMIFS(ЭЭ!AW$25:AW$93,ЭЭ!$F$25:$F$93,$F258,ЭЭ!$AC$25:$AC$93,"Всего по тарифу")</f>
        <v>0</v>
      </c>
      <c r="AY258" s="759">
        <f>_xlfn.SUMIFS(ЭЭ!AX$25:AX$93,ЭЭ!$F$25:$F$93,$F258,ЭЭ!$AC$25:$AC$93,"Всего по тарифу")</f>
        <v>0</v>
      </c>
      <c r="AZ258" s="759">
        <f>_xlfn.SUMIFS(ЭЭ!AY$25:AY$93,ЭЭ!$F$25:$F$93,$F258,ЭЭ!$AC$25:$AC$93,"Всего по тарифу")</f>
        <v>0</v>
      </c>
      <c r="BA258" s="759">
        <f>_xlfn.SUMIFS(ЭЭ!AZ$25:AZ$93,ЭЭ!$F$25:$F$93,$F258,ЭЭ!$AC$25:$AC$93,"Всего по тарифу")</f>
        <v>0</v>
      </c>
      <c r="BB258" s="759">
        <f>_xlfn.SUMIFS(ЭЭ!BA$25:BA$93,ЭЭ!$F$25:$F$93,$F258,ЭЭ!$AC$25:$AC$93,"Всего по тарифу")</f>
        <v>0</v>
      </c>
      <c r="BC258" s="759">
        <f>_xlfn.SUMIFS(ЭЭ!BB$25:BB$93,ЭЭ!$F$25:$F$93,$F258,ЭЭ!$AC$25:$AC$93,"Всего по тарифу")</f>
        <v>0</v>
      </c>
      <c r="BD258" s="759">
        <f>IF(AI258=0,0,(AT258-AI258)/AI258*100)</f>
        <v>12.8313864897861</v>
      </c>
      <c r="BE258" s="759">
        <f>IF(AT258=0,0,(AU258-AT258)/AT258*100)</f>
        <v>-100</v>
      </c>
      <c r="BF258" s="759">
        <f>IF(AU258=0,0,(AV258-AU258)/AU258*100)</f>
        <v>0</v>
      </c>
      <c r="BG258" s="759">
        <f>IF(AV258=0,0,(AW258-AV258)/AV258*100)</f>
        <v>0</v>
      </c>
      <c r="BH258" s="759">
        <f>IF(AW258=0,0,(AX258-AW258)/AW258*100)</f>
        <v>0</v>
      </c>
      <c r="BI258" s="759">
        <f>IF(AX258=0,0,(AY258-AX258)/AX258*100)</f>
        <v>0</v>
      </c>
      <c r="BJ258" s="759">
        <f>IF(AY258=0,0,(AZ258-AY258)/AY258*100)</f>
        <v>0</v>
      </c>
      <c r="BK258" s="759">
        <f>IF(AZ258=0,0,(BA258-AZ258)/AZ258*100)</f>
        <v>0</v>
      </c>
      <c r="BL258" s="759">
        <f>IF(BA258=0,0,(BB258-BA258)/BA258*100)</f>
        <v>0</v>
      </c>
      <c r="BM258" s="759">
        <f>IF(BB258=0,0,(BC258-BB258)/BB258*100)</f>
        <v>0</v>
      </c>
      <c r="BN258" s="4617"/>
      <c r="BO258" s="4667" t="s">
        <v>840</v>
      </c>
      <c r="BP258" s="4617" t="s">
        <v>2080</v>
      </c>
      <c r="BQ258" s="680"/>
      <c r="BR258" s="680"/>
      <c r="BS258" s="1054" t="s">
        <v>1598</v>
      </c>
      <c r="BT258" s="1054"/>
      <c r="BU258" s="1054"/>
      <c r="BV258" s="687"/>
      <c r="BW258" s="687"/>
    </row>
    <row s="4669" customFormat="1" customHeight="1" ht="243.75">
      <c r="A259" s="680"/>
      <c r="B259" s="128">
        <f>method_reg="Метод индексации"</f>
        <v>1</v>
      </c>
      <c r="C259" s="75"/>
      <c r="D259" s="75"/>
      <c r="E259" s="807">
        <v>22.5</v>
      </c>
      <c r="F259" s="50" cm="1" t="str">
        <f t="array" ref="F259:F259">OFFSET(E259,-1,1)</f>
        <v>1</v>
      </c>
      <c r="G259" s="73" t="s">
        <v>1384</v>
      </c>
      <c r="H259" s="73"/>
      <c r="I259" s="73" t="s">
        <v>329</v>
      </c>
      <c r="J259" s="75"/>
      <c r="K259" s="124"/>
      <c r="L259" s="968" t="s">
        <v>328</v>
      </c>
      <c r="M259" s="75"/>
      <c r="N259" s="75"/>
      <c r="O259" s="75"/>
      <c r="P259" s="75"/>
      <c r="Q259" s="75"/>
      <c r="R259" s="75"/>
      <c r="S259" s="75"/>
      <c r="T259" s="439" cm="1" t="str">
        <f t="array" ref="T259:T259">T258</f>
        <v>true</v>
      </c>
      <c r="U259" s="75"/>
      <c r="V259" s="75"/>
      <c r="W259" s="75"/>
      <c r="X259" s="1534"/>
      <c r="Y259" s="680"/>
      <c r="Z259" s="1465"/>
      <c r="AA259" s="680"/>
      <c r="AB259" s="178" t="s">
        <v>536</v>
      </c>
      <c r="AC259" s="179" t="s">
        <v>1991</v>
      </c>
      <c r="AD259" s="178" t="s">
        <v>784</v>
      </c>
      <c r="AE259" s="759">
        <f>_xlfn.SUMIFS(Амортизация!AE$25:AE$174,Амортизация!$F$25:$F$174,$F259,Амортизация!$AC$25:$AC$174,"Сумма амортизационных отчислений")</f>
        <v>440.0542366942</v>
      </c>
      <c r="AF259" s="759">
        <f>_xlfn.SUMIFS(Амортизация!AF$25:AF$174,Амортизация!$F$25:$F$174,$F259,Амортизация!$AC$25:$AC$174,"Сумма амортизационных отчислений")</f>
        <v>761.71191</v>
      </c>
      <c r="AG259" s="759">
        <f>_xlfn.SUMIFS(Амортизация!AG$25:AG$174,Амортизация!$F$25:$F$174,$F259,Амортизация!$AC$25:$AC$174,"Сумма амортизационных отчислений")</f>
        <v>0</v>
      </c>
      <c r="AH259" s="759">
        <f>AG259-AF259</f>
        <v>-761.71191</v>
      </c>
      <c r="AI259" s="759">
        <f>_xlfn.SUMIFS(Амортизация!AH$25:AH$174,Амортизация!$F$25:$F$174,$F259,Амортизация!$AC$25:$AC$174,"Сумма амортизационных отчислений")</f>
        <v>440.0542366942</v>
      </c>
      <c r="AJ259" s="759">
        <f>_xlfn.SUMIFS(Амортизация!AI$25:AI$174,Амортизация!$F$25:$F$174,$F259,Амортизация!$AC$25:$AC$174,"Сумма амортизационных отчислений")</f>
        <v>604.42902</v>
      </c>
      <c r="AK259" s="759">
        <f>_xlfn.SUMIFS(Амортизация!AJ$25:AJ$174,Амортизация!$F$25:$F$174,$F259,Амортизация!$AC$25:$AC$174,"Сумма амортизационных отчислений")</f>
        <v>0</v>
      </c>
      <c r="AL259" s="759">
        <f>_xlfn.SUMIFS(Амортизация!AK$25:AK$174,Амортизация!$F$25:$F$174,$F259,Амортизация!$AC$25:$AC$174,"Сумма амортизационных отчислений")</f>
        <v>0</v>
      </c>
      <c r="AM259" s="759">
        <f>_xlfn.SUMIFS(Амортизация!AL$25:AL$174,Амортизация!$F$25:$F$174,$F259,Амортизация!$AC$25:$AC$174,"Сумма амортизационных отчислений")</f>
        <v>0</v>
      </c>
      <c r="AN259" s="759">
        <f>_xlfn.SUMIFS(Амортизация!AM$25:AM$174,Амортизация!$F$25:$F$174,$F259,Амортизация!$AC$25:$AC$174,"Сумма амортизационных отчислений")</f>
        <v>0</v>
      </c>
      <c r="AO259" s="759">
        <f>_xlfn.SUMIFS(Амортизация!AN$25:AN$174,Амортизация!$F$25:$F$174,$F259,Амортизация!$AC$25:$AC$174,"Сумма амортизационных отчислений")</f>
        <v>0</v>
      </c>
      <c r="AP259" s="759">
        <f>_xlfn.SUMIFS(Амортизация!AO$25:AO$174,Амортизация!$F$25:$F$174,$F259,Амортизация!$AC$25:$AC$174,"Сумма амортизационных отчислений")</f>
        <v>0</v>
      </c>
      <c r="AQ259" s="759">
        <f>_xlfn.SUMIFS(Амортизация!AP$25:AP$174,Амортизация!$F$25:$F$174,$F259,Амортизация!$AC$25:$AC$174,"Сумма амортизационных отчислений")</f>
        <v>0</v>
      </c>
      <c r="AR259" s="759">
        <f>_xlfn.SUMIFS(Амортизация!AQ$25:AQ$174,Амортизация!$F$25:$F$174,$F259,Амортизация!$AC$25:$AC$174,"Сумма амортизационных отчислений")</f>
        <v>0</v>
      </c>
      <c r="AS259" s="759">
        <f>_xlfn.SUMIFS(Амортизация!AR$25:AR$174,Амортизация!$F$25:$F$174,$F259,Амортизация!$AC$25:$AC$174,"Сумма амортизационных отчислений")</f>
        <v>0</v>
      </c>
      <c r="AT259" s="759">
        <f>_xlfn.SUMIFS(Амортизация!AS$25:AS$174,Амортизация!$F$25:$F$174,$F259,Амортизация!$AC$25:$AC$174,"Сумма амортизационных отчислений")</f>
        <v>440.0542366942</v>
      </c>
      <c r="AU259" s="759">
        <f>_xlfn.SUMIFS(Амортизация!AT$25:AT$174,Амортизация!$F$25:$F$174,$F259,Амортизация!$AC$25:$AC$174,"Сумма амортизационных отчислений")</f>
        <v>0</v>
      </c>
      <c r="AV259" s="759">
        <f>_xlfn.SUMIFS(Амортизация!AU$25:AU$174,Амортизация!$F$25:$F$174,$F259,Амортизация!$AC$25:$AC$174,"Сумма амортизационных отчислений")</f>
        <v>0</v>
      </c>
      <c r="AW259" s="759">
        <f>_xlfn.SUMIFS(Амортизация!AV$25:AV$174,Амортизация!$F$25:$F$174,$F259,Амортизация!$AC$25:$AC$174,"Сумма амортизационных отчислений")</f>
        <v>0</v>
      </c>
      <c r="AX259" s="759">
        <f>_xlfn.SUMIFS(Амортизация!AW$25:AW$174,Амортизация!$F$25:$F$174,$F259,Амортизация!$AC$25:$AC$174,"Сумма амортизационных отчислений")</f>
        <v>0</v>
      </c>
      <c r="AY259" s="759">
        <f>_xlfn.SUMIFS(Амортизация!AX$25:AX$174,Амортизация!$F$25:$F$174,$F259,Амортизация!$AC$25:$AC$174,"Сумма амортизационных отчислений")</f>
        <v>0</v>
      </c>
      <c r="AZ259" s="759">
        <f>_xlfn.SUMIFS(Амортизация!AY$25:AY$174,Амортизация!$F$25:$F$174,$F259,Амортизация!$AC$25:$AC$174,"Сумма амортизационных отчислений")</f>
        <v>0</v>
      </c>
      <c r="BA259" s="759">
        <f>_xlfn.SUMIFS(Амортизация!AZ$25:AZ$174,Амортизация!$F$25:$F$174,$F259,Амортизация!$AC$25:$AC$174,"Сумма амортизационных отчислений")</f>
        <v>0</v>
      </c>
      <c r="BB259" s="759">
        <f>_xlfn.SUMIFS(Амортизация!BA$25:BA$174,Амортизация!$F$25:$F$174,$F259,Амортизация!$AC$25:$AC$174,"Сумма амортизационных отчислений")</f>
        <v>0</v>
      </c>
      <c r="BC259" s="759">
        <f>_xlfn.SUMIFS(Амортизация!BB$25:BB$174,Амортизация!$F$25:$F$174,$F259,Амортизация!$AC$25:$AC$174,"Сумма амортизационных отчислений")</f>
        <v>0</v>
      </c>
      <c r="BD259" s="759">
        <f>IF(AI259=0,0,(AT259-AI259)/AI259*100)</f>
        <v>0</v>
      </c>
      <c r="BE259" s="759">
        <f>IF(AT259=0,0,(AU259-AT259)/AT259*100)</f>
        <v>-100</v>
      </c>
      <c r="BF259" s="759">
        <f>IF(AU259=0,0,(AV259-AU259)/AU259*100)</f>
        <v>0</v>
      </c>
      <c r="BG259" s="759">
        <f>IF(AV259=0,0,(AW259-AV259)/AV259*100)</f>
        <v>0</v>
      </c>
      <c r="BH259" s="759">
        <f>IF(AW259=0,0,(AX259-AW259)/AW259*100)</f>
        <v>0</v>
      </c>
      <c r="BI259" s="759">
        <f>IF(AX259=0,0,(AY259-AX259)/AX259*100)</f>
        <v>0</v>
      </c>
      <c r="BJ259" s="759">
        <f>IF(AY259=0,0,(AZ259-AY259)/AY259*100)</f>
        <v>0</v>
      </c>
      <c r="BK259" s="759">
        <f>IF(AZ259=0,0,(BA259-AZ259)/AZ259*100)</f>
        <v>0</v>
      </c>
      <c r="BL259" s="759">
        <f>IF(BA259=0,0,(BB259-BA259)/BA259*100)</f>
        <v>0</v>
      </c>
      <c r="BM259" s="759">
        <f>IF(BB259=0,0,(BC259-BB259)/BB259*100)</f>
        <v>0</v>
      </c>
      <c r="BN259" s="4617"/>
      <c r="BO259" s="4619" t="s">
        <v>2081</v>
      </c>
      <c r="BP259" s="4617" t="s">
        <v>2082</v>
      </c>
      <c r="BQ259" s="680"/>
      <c r="BR259" s="680"/>
      <c r="BS259" s="1054" t="s">
        <v>1123</v>
      </c>
      <c r="BT259" s="1054"/>
      <c r="BU259" s="1054"/>
      <c r="BV259" s="687"/>
      <c r="BW259" s="687"/>
    </row>
    <row s="1621" customFormat="1" customHeight="1" ht="14.25">
      <c r="A260" s="960"/>
      <c r="B260" s="405" cm="1" t="str">
        <f t="array" ref="B260:B260">B259</f>
        <v>true</v>
      </c>
      <c r="C260" s="73"/>
      <c r="D260" s="73"/>
      <c r="E260" s="600">
        <v>15</v>
      </c>
      <c r="F260" s="50" cm="1" t="str">
        <f t="array" ref="F260:F260">OFFSET(E260,-1,1)</f>
        <v>1</v>
      </c>
      <c r="G260" s="73"/>
      <c r="H260" s="73"/>
      <c r="I260" s="73" t="s">
        <v>514</v>
      </c>
      <c r="J260" s="73"/>
      <c r="K260" s="960"/>
      <c r="L260" s="963" t="s">
        <v>528</v>
      </c>
      <c r="M260" s="73"/>
      <c r="N260" s="73"/>
      <c r="O260" s="73"/>
      <c r="P260" s="73"/>
      <c r="Q260" s="73"/>
      <c r="R260" s="73"/>
      <c r="S260" s="73"/>
      <c r="T260" s="439" cm="1" t="str">
        <f t="array" ref="T260:T260">T259</f>
        <v>true</v>
      </c>
      <c r="U260" s="73"/>
      <c r="V260" s="73"/>
      <c r="W260" s="73"/>
      <c r="X260" s="1534"/>
      <c r="Y260" s="960"/>
      <c r="Z260" s="1465"/>
      <c r="AA260" s="960"/>
      <c r="AB260" s="267" t="s">
        <v>652</v>
      </c>
      <c r="AC260" s="743" t="s">
        <v>1691</v>
      </c>
      <c r="AD260" s="267" t="s">
        <v>784</v>
      </c>
      <c r="AE260" s="4561">
        <f>_xlfn.SUMIFS('ИП + источники'!AF$27:AF$116,'ИП + источники'!$F$27:$F$116,$F260,'ИП + источники'!$AC$27:$AC$116,"Амортизационные отчисления")+_xlfn.SUMIFS('ИП + источники'!AF$27:AF$116,'ИП + источники'!$F$27:$F$116,$F260,'ИП + источники'!$AC$27:$AC$116,"погашение займов и кредитов из амортизации")</f>
        <v>0</v>
      </c>
      <c r="AF260" s="4561">
        <f>_xlfn.SUMIFS('ИП + источники'!AG$27:AG$116,'ИП + источники'!$F$27:$F$116,$F260,'ИП + источники'!$AC$27:$AC$116,"Амортизационные отчисления")+_xlfn.SUMIFS('ИП + источники'!AG$27:AG$116,'ИП + источники'!$F$27:$F$116,$F260,'ИП + источники'!$AC$27:$AC$116,"погашение займов и кредитов из амортизации")</f>
        <v>0</v>
      </c>
      <c r="AG260" s="4561">
        <f>_xlfn.SUMIFS('ИП + источники'!AH$27:AH$116,'ИП + источники'!$F$27:$F$116,$F260,'ИП + источники'!$AC$27:$AC$116,"Амортизационные отчисления")+_xlfn.SUMIFS('ИП + источники'!AH$27:AH$116,'ИП + источники'!$F$27:$F$116,$F260,'ИП + источники'!$AC$27:$AC$116,"погашение займов и кредитов из амортизации")</f>
        <v>0</v>
      </c>
      <c r="AH260" s="1099">
        <f>AG260-AF260</f>
        <v>0</v>
      </c>
      <c r="AI260" s="4561">
        <f>_xlfn.SUMIFS('ИП + источники'!AJ$27:AJ$116,'ИП + источники'!$F$27:$F$116,$F260,'ИП + источники'!$AC$27:$AC$116,"Амортизационные отчисления")+_xlfn.SUMIFS('ИП + источники'!AJ$27:AJ$116,'ИП + источники'!$F$27:$F$116,$F260,'ИП + источники'!$AC$27:$AC$116,"погашение займов и кредитов из амортизации")</f>
        <v>0</v>
      </c>
      <c r="AJ260" s="4561">
        <f>_xlfn.SUMIFS('ИП + источники'!AK$27:AK$116,'ИП + источники'!$F$27:$F$116,$F260,'ИП + источники'!$AC$27:$AC$116,"Амортизационные отчисления")+_xlfn.SUMIFS('ИП + источники'!AK$27:AK$116,'ИП + источники'!$F$27:$F$116,$F260,'ИП + источники'!$AC$27:$AC$116,"погашение займов и кредитов из амортизации")</f>
        <v>0</v>
      </c>
      <c r="AK260" s="1268">
        <f>_xlfn.SUMIFS('ИП + источники'!AL$27:AL$116,'ИП + источники'!$F$27:$F$116,$F260,'ИП + источники'!$AC$27:$AC$116,"Амортизационные отчисления")+_xlfn.SUMIFS('ИП + источники'!AL$27:AL$116,'ИП + источники'!$F$27:$F$116,$F260,'ИП + источники'!$AC$27:$AC$116,"погашение займов и кредитов из амортизации")</f>
        <v>0</v>
      </c>
      <c r="AL260" s="1268">
        <f>_xlfn.SUMIFS('ИП + источники'!AM$27:AM$116,'ИП + источники'!$F$27:$F$116,$F260,'ИП + источники'!$AC$27:$AC$116,"Амортизационные отчисления")+_xlfn.SUMIFS('ИП + источники'!AM$27:AM$116,'ИП + источники'!$F$27:$F$116,$F260,'ИП + источники'!$AC$27:$AC$116,"погашение займов и кредитов из амортизации")</f>
        <v>0</v>
      </c>
      <c r="AM260" s="4561">
        <f>_xlfn.SUMIFS('ИП + источники'!AN$27:AN$116,'ИП + источники'!$F$27:$F$116,$F260,'ИП + источники'!$AC$27:$AC$116,"Амортизационные отчисления")+_xlfn.SUMIFS('ИП + источники'!AN$27:AN$116,'ИП + источники'!$F$27:$F$116,$F260,'ИП + источники'!$AC$27:$AC$116,"погашение займов и кредитов из амортизации")</f>
        <v>0</v>
      </c>
      <c r="AN260" s="4561">
        <f>_xlfn.SUMIFS('ИП + источники'!AO$27:AO$116,'ИП + источники'!$F$27:$F$116,$F260,'ИП + источники'!$AC$27:$AC$116,"Амортизационные отчисления")+_xlfn.SUMIFS('ИП + источники'!AO$27:AO$116,'ИП + источники'!$F$27:$F$116,$F260,'ИП + источники'!$AC$27:$AC$116,"погашение займов и кредитов из амортизации")</f>
        <v>0</v>
      </c>
      <c r="AO260" s="4561">
        <f>_xlfn.SUMIFS('ИП + источники'!AP$27:AP$116,'ИП + источники'!$F$27:$F$116,$F260,'ИП + источники'!$AC$27:$AC$116,"Амортизационные отчисления")+_xlfn.SUMIFS('ИП + источники'!AP$27:AP$116,'ИП + источники'!$F$27:$F$116,$F260,'ИП + источники'!$AC$27:$AC$116,"погашение займов и кредитов из амортизации")</f>
        <v>0</v>
      </c>
      <c r="AP260" s="4561">
        <f>_xlfn.SUMIFS('ИП + источники'!AQ$27:AQ$116,'ИП + источники'!$F$27:$F$116,$F260,'ИП + источники'!$AC$27:$AC$116,"Амортизационные отчисления")+_xlfn.SUMIFS('ИП + источники'!AQ$27:AQ$116,'ИП + источники'!$F$27:$F$116,$F260,'ИП + источники'!$AC$27:$AC$116,"погашение займов и кредитов из амортизации")</f>
        <v>0</v>
      </c>
      <c r="AQ260" s="4561">
        <f>_xlfn.SUMIFS('ИП + источники'!AR$27:AR$116,'ИП + источники'!$F$27:$F$116,$F260,'ИП + источники'!$AC$27:$AC$116,"Амортизационные отчисления")+_xlfn.SUMIFS('ИП + источники'!AR$27:AR$116,'ИП + источники'!$F$27:$F$116,$F260,'ИП + источники'!$AC$27:$AC$116,"погашение займов и кредитов из амортизации")</f>
        <v>0</v>
      </c>
      <c r="AR260" s="4561">
        <f>_xlfn.SUMIFS('ИП + источники'!AS$27:AS$116,'ИП + источники'!$F$27:$F$116,$F260,'ИП + источники'!$AC$27:$AC$116,"Амортизационные отчисления")+_xlfn.SUMIFS('ИП + источники'!AS$27:AS$116,'ИП + источники'!$F$27:$F$116,$F260,'ИП + источники'!$AC$27:$AC$116,"погашение займов и кредитов из амортизации")</f>
        <v>0</v>
      </c>
      <c r="AS260" s="4561">
        <f>_xlfn.SUMIFS('ИП + источники'!AT$27:AT$116,'ИП + источники'!$F$27:$F$116,$F260,'ИП + источники'!$AC$27:$AC$116,"Амортизационные отчисления")+_xlfn.SUMIFS('ИП + источники'!AT$27:AT$116,'ИП + источники'!$F$27:$F$116,$F260,'ИП + источники'!$AC$27:$AC$116,"погашение займов и кредитов из амортизации")</f>
        <v>0</v>
      </c>
      <c r="AT260" s="4561">
        <f>_xlfn.SUMIFS('ИП + источники'!AU$27:AU$116,'ИП + источники'!$F$27:$F$116,$F260,'ИП + источники'!$AC$27:$AC$116,"Амортизационные отчисления")+_xlfn.SUMIFS('ИП + источники'!AU$27:AU$116,'ИП + источники'!$F$27:$F$116,$F260,'ИП + источники'!$AC$27:$AC$116,"погашение займов и кредитов из амортизации")</f>
        <v>0</v>
      </c>
      <c r="AU260" s="1268">
        <f>_xlfn.SUMIFS('ИП + источники'!AV$27:AV$116,'ИП + источники'!$F$27:$F$116,$F260,'ИП + источники'!$AC$27:$AC$116,"Амортизационные отчисления")+_xlfn.SUMIFS('ИП + источники'!AV$27:AV$116,'ИП + источники'!$F$27:$F$116,$F260,'ИП + источники'!$AC$27:$AC$116,"погашение займов и кредитов из амортизации")</f>
        <v>0</v>
      </c>
      <c r="AV260" s="1268">
        <f>_xlfn.SUMIFS('ИП + источники'!AW$27:AW$116,'ИП + источники'!$F$27:$F$116,$F260,'ИП + источники'!$AC$27:$AC$116,"Амортизационные отчисления")+_xlfn.SUMIFS('ИП + источники'!AW$27:AW$116,'ИП + источники'!$F$27:$F$116,$F260,'ИП + источники'!$AC$27:$AC$116,"погашение займов и кредитов из амортизации")</f>
        <v>0</v>
      </c>
      <c r="AW260" s="4561">
        <f>_xlfn.SUMIFS('ИП + источники'!AX$27:AX$116,'ИП + источники'!$F$27:$F$116,$F260,'ИП + источники'!$AC$27:$AC$116,"Амортизационные отчисления")+_xlfn.SUMIFS('ИП + источники'!AX$27:AX$116,'ИП + источники'!$F$27:$F$116,$F260,'ИП + источники'!$AC$27:$AC$116,"погашение займов и кредитов из амортизации")</f>
        <v>0</v>
      </c>
      <c r="AX260" s="4561">
        <f>_xlfn.SUMIFS('ИП + источники'!AY$27:AY$116,'ИП + источники'!$F$27:$F$116,$F260,'ИП + источники'!$AC$27:$AC$116,"Амортизационные отчисления")+_xlfn.SUMIFS('ИП + источники'!AY$27:AY$116,'ИП + источники'!$F$27:$F$116,$F260,'ИП + источники'!$AC$27:$AC$116,"погашение займов и кредитов из амортизации")</f>
        <v>0</v>
      </c>
      <c r="AY260" s="4561">
        <f>_xlfn.SUMIFS('ИП + источники'!AZ$27:AZ$116,'ИП + источники'!$F$27:$F$116,$F260,'ИП + источники'!$AC$27:$AC$116,"Амортизационные отчисления")+_xlfn.SUMIFS('ИП + источники'!AZ$27:AZ$116,'ИП + источники'!$F$27:$F$116,$F260,'ИП + источники'!$AC$27:$AC$116,"погашение займов и кредитов из амортизации")</f>
        <v>0</v>
      </c>
      <c r="AZ260" s="4561">
        <f>_xlfn.SUMIFS('ИП + источники'!BA$27:BA$116,'ИП + источники'!$F$27:$F$116,$F260,'ИП + источники'!$AC$27:$AC$116,"Амортизационные отчисления")+_xlfn.SUMIFS('ИП + источники'!BA$27:BA$116,'ИП + источники'!$F$27:$F$116,$F260,'ИП + источники'!$AC$27:$AC$116,"погашение займов и кредитов из амортизации")</f>
        <v>0</v>
      </c>
      <c r="BA260" s="4561">
        <f>_xlfn.SUMIFS('ИП + источники'!BB$27:BB$116,'ИП + источники'!$F$27:$F$116,$F260,'ИП + источники'!$AC$27:$AC$116,"Амортизационные отчисления")+_xlfn.SUMIFS('ИП + источники'!BB$27:BB$116,'ИП + источники'!$F$27:$F$116,$F260,'ИП + источники'!$AC$27:$AC$116,"погашение займов и кредитов из амортизации")</f>
        <v>0</v>
      </c>
      <c r="BB260" s="4561">
        <f>_xlfn.SUMIFS('ИП + источники'!BC$27:BC$116,'ИП + источники'!$F$27:$F$116,$F260,'ИП + источники'!$AC$27:$AC$116,"Амортизационные отчисления")+_xlfn.SUMIFS('ИП + источники'!BC$27:BC$116,'ИП + источники'!$F$27:$F$116,$F260,'ИП + источники'!$AC$27:$AC$116,"погашение займов и кредитов из амортизации")</f>
        <v>0</v>
      </c>
      <c r="BC260" s="4561">
        <f>_xlfn.SUMIFS('ИП + источники'!BD$27:BD$116,'ИП + источники'!$F$27:$F$116,$F260,'ИП + источники'!$AC$27:$AC$116,"Амортизационные отчисления")+_xlfn.SUMIFS('ИП + источники'!BD$27:BD$116,'ИП + источники'!$F$27:$F$116,$F260,'ИП + источники'!$AC$27:$AC$116,"погашение займов и кредитов из амортизации")</f>
        <v>0</v>
      </c>
      <c r="BD260" s="1099">
        <f>IF(AI260=0,0,(AT260-AI260)/AI260*100)</f>
        <v>0</v>
      </c>
      <c r="BE260" s="1099">
        <f>IF(AT260=0,0,(AU260-AT260)/AT260*100)</f>
        <v>0</v>
      </c>
      <c r="BF260" s="1099">
        <f>IF(AU260=0,0,(AV260-AU260)/AU260*100)</f>
        <v>0</v>
      </c>
      <c r="BG260" s="1099">
        <f>IF(AV260=0,0,(AW260-AV260)/AV260*100)</f>
        <v>0</v>
      </c>
      <c r="BH260" s="1099">
        <f>IF(AW260=0,0,(AX260-AW260)/AW260*100)</f>
        <v>0</v>
      </c>
      <c r="BI260" s="1099">
        <f>IF(AX260=0,0,(AY260-AX260)/AX260*100)</f>
        <v>0</v>
      </c>
      <c r="BJ260" s="1099">
        <f>IF(AY260=0,0,(AZ260-AY260)/AY260*100)</f>
        <v>0</v>
      </c>
      <c r="BK260" s="1099">
        <f>IF(AZ260=0,0,(BA260-AZ260)/AZ260*100)</f>
        <v>0</v>
      </c>
      <c r="BL260" s="1099">
        <f>IF(BA260=0,0,(BB260-BA260)/BA260*100)</f>
        <v>0</v>
      </c>
      <c r="BM260" s="1099">
        <f>IF(BB260=0,0,(BC260-BB260)/BB260*100)</f>
        <v>0</v>
      </c>
      <c r="BN260" s="4617"/>
      <c r="BO260" s="4617"/>
      <c r="BP260" s="4617"/>
      <c r="BQ260" s="960"/>
      <c r="BR260" s="960"/>
      <c r="BS260" s="1048" t="s">
        <v>1692</v>
      </c>
      <c r="BT260" s="1048"/>
      <c r="BU260" s="1048"/>
      <c r="BV260" s="962"/>
      <c r="BW260" s="962"/>
    </row>
    <row s="4670" customFormat="1" customHeight="1" ht="20.25">
      <c r="A261" s="680"/>
      <c r="B261" s="405" cm="1" t="str">
        <f t="array" ref="B261:B261">B260</f>
        <v>true</v>
      </c>
      <c r="C261" s="75"/>
      <c r="D261" s="75"/>
      <c r="E261" s="807">
        <v>21</v>
      </c>
      <c r="F261" s="50" cm="1" t="str">
        <f t="array" ref="F261:F261">OFFSET(E261,-1,1)</f>
        <v>1</v>
      </c>
      <c r="G261" s="73" t="s">
        <v>1388</v>
      </c>
      <c r="H261" s="73"/>
      <c r="I261" s="73" t="s">
        <v>328</v>
      </c>
      <c r="J261" s="75"/>
      <c r="K261" s="124"/>
      <c r="L261" s="968" t="s">
        <v>541</v>
      </c>
      <c r="M261" s="75"/>
      <c r="N261" s="75"/>
      <c r="O261" s="75"/>
      <c r="P261" s="75"/>
      <c r="Q261" s="75"/>
      <c r="R261" s="75"/>
      <c r="S261" s="75"/>
      <c r="T261" s="439" cm="1" t="str">
        <f t="array" ref="T261:T261">T260</f>
        <v>true</v>
      </c>
      <c r="U261" s="75"/>
      <c r="V261" s="75"/>
      <c r="W261" s="75"/>
      <c r="X261" s="1534"/>
      <c r="Y261" s="680"/>
      <c r="Z261" s="1465"/>
      <c r="AA261" s="680"/>
      <c r="AB261" s="178" t="s">
        <v>492</v>
      </c>
      <c r="AC261" s="179" t="s">
        <v>1388</v>
      </c>
      <c r="AD261" s="201" t="s">
        <v>784</v>
      </c>
      <c r="AE261" s="180">
        <f>AE262+AE263+AE264+AE265</f>
        <v>0</v>
      </c>
      <c r="AF261" s="180">
        <f>AF262+AF263+AF264+AF265</f>
        <v>0</v>
      </c>
      <c r="AG261" s="180">
        <f>AG262+AG263+AG264+AG265</f>
        <v>0</v>
      </c>
      <c r="AH261" s="180">
        <f>AG261-AF261</f>
        <v>0</v>
      </c>
      <c r="AI261" s="180">
        <f>AI262+AI263+AI264+AI265</f>
        <v>0</v>
      </c>
      <c r="AJ261" s="180">
        <f>AJ262+AJ263+AJ264+AJ265</f>
        <v>0</v>
      </c>
      <c r="AK261" s="180">
        <f>AK262+AK263+AK264+AK265</f>
        <v>0</v>
      </c>
      <c r="AL261" s="180">
        <f>AL262+AL263+AL264+AL265</f>
        <v>0</v>
      </c>
      <c r="AM261" s="180">
        <f>AM262+AM263+AM264+AM265</f>
        <v>0</v>
      </c>
      <c r="AN261" s="180">
        <f>AN262+AN263+AN264+AN265</f>
        <v>0</v>
      </c>
      <c r="AO261" s="180">
        <f>AO262+AO263+AO264+AO265</f>
        <v>0</v>
      </c>
      <c r="AP261" s="180">
        <f>AP262+AP263+AP264+AP265</f>
        <v>0</v>
      </c>
      <c r="AQ261" s="180">
        <f>AQ262+AQ263+AQ264+AQ265</f>
        <v>0</v>
      </c>
      <c r="AR261" s="180">
        <f>AR262+AR263+AR264+AR265</f>
        <v>0</v>
      </c>
      <c r="AS261" s="180">
        <f>AS262+AS263+AS264+AS265</f>
        <v>0</v>
      </c>
      <c r="AT261" s="180">
        <f>AT262+AT263+AT264+AT265</f>
        <v>0</v>
      </c>
      <c r="AU261" s="180">
        <f>AU262+AU263+AU264+AU265</f>
        <v>0</v>
      </c>
      <c r="AV261" s="180">
        <f>AV262+AV263+AV264+AV265</f>
        <v>0</v>
      </c>
      <c r="AW261" s="180">
        <f>AW262+AW263+AW264+AW265</f>
        <v>0</v>
      </c>
      <c r="AX261" s="180">
        <f>AX262+AX263+AX264+AX265</f>
        <v>0</v>
      </c>
      <c r="AY261" s="180">
        <f>AY262+AY263+AY264+AY265</f>
        <v>0</v>
      </c>
      <c r="AZ261" s="180">
        <f>AZ262+AZ263+AZ264+AZ265</f>
        <v>0</v>
      </c>
      <c r="BA261" s="180">
        <f>BA262+BA263+BA264+BA265</f>
        <v>0</v>
      </c>
      <c r="BB261" s="180">
        <f>BB262+BB263+BB264+BB265</f>
        <v>0</v>
      </c>
      <c r="BC261" s="180">
        <f>BC262+BC263+BC264+BC265</f>
        <v>0</v>
      </c>
      <c r="BD261" s="759">
        <f>IF(AI261=0,0,(AT261-AI261)/AI261*100)</f>
        <v>0</v>
      </c>
      <c r="BE261" s="759">
        <f>IF(AT261=0,0,(AU261-AT261)/AT261*100)</f>
        <v>0</v>
      </c>
      <c r="BF261" s="759">
        <f>IF(AU261=0,0,(AV261-AU261)/AU261*100)</f>
        <v>0</v>
      </c>
      <c r="BG261" s="759">
        <f>IF(AV261=0,0,(AW261-AV261)/AV261*100)</f>
        <v>0</v>
      </c>
      <c r="BH261" s="759">
        <f>IF(AW261=0,0,(AX261-AW261)/AW261*100)</f>
        <v>0</v>
      </c>
      <c r="BI261" s="759">
        <f>IF(AX261=0,0,(AY261-AX261)/AX261*100)</f>
        <v>0</v>
      </c>
      <c r="BJ261" s="759">
        <f>IF(AY261=0,0,(AZ261-AY261)/AY261*100)</f>
        <v>0</v>
      </c>
      <c r="BK261" s="759">
        <f>IF(AZ261=0,0,(BA261-AZ261)/AZ261*100)</f>
        <v>0</v>
      </c>
      <c r="BL261" s="759">
        <f>IF(BA261=0,0,(BB261-BA261)/BA261*100)</f>
        <v>0</v>
      </c>
      <c r="BM261" s="759">
        <f>IF(BB261=0,0,(BC261-BB261)/BB261*100)</f>
        <v>0</v>
      </c>
      <c r="BN261" s="4617"/>
      <c r="BO261" s="4617"/>
      <c r="BP261" s="4617"/>
      <c r="BQ261" s="680"/>
      <c r="BR261" s="680"/>
      <c r="BS261" s="1047" t="s">
        <v>1392</v>
      </c>
      <c r="BT261" s="1054"/>
      <c r="BU261" s="1054"/>
      <c r="BV261" s="687"/>
      <c r="BW261" s="687"/>
    </row>
    <row s="1621" customFormat="1" customHeight="1" ht="14.25">
      <c r="A262" s="960"/>
      <c r="B262" s="405" cm="1" t="str">
        <f t="array" ref="B262:B262">B261</f>
        <v>true</v>
      </c>
      <c r="C262" s="73"/>
      <c r="D262" s="73"/>
      <c r="E262" s="600">
        <v>15</v>
      </c>
      <c r="F262" s="50" cm="1" t="str">
        <f t="array" ref="F262:F262">OFFSET(E262,-1,1)</f>
        <v>1</v>
      </c>
      <c r="G262" s="73"/>
      <c r="H262" s="73"/>
      <c r="I262" s="73" t="s">
        <v>528</v>
      </c>
      <c r="J262" s="73"/>
      <c r="K262" s="960"/>
      <c r="L262" s="963"/>
      <c r="M262" s="73"/>
      <c r="N262" s="73"/>
      <c r="O262" s="73"/>
      <c r="P262" s="73"/>
      <c r="Q262" s="73"/>
      <c r="R262" s="73"/>
      <c r="S262" s="73"/>
      <c r="T262" s="439" cm="1" t="str">
        <f t="array" ref="T262:T262">T261</f>
        <v>true</v>
      </c>
      <c r="U262" s="73"/>
      <c r="V262" s="73"/>
      <c r="W262" s="73"/>
      <c r="X262" s="1534"/>
      <c r="Y262" s="960"/>
      <c r="Z262" s="1465"/>
      <c r="AA262" s="960"/>
      <c r="AB262" s="267" t="s">
        <v>659</v>
      </c>
      <c r="AC262" s="743" t="s">
        <v>1992</v>
      </c>
      <c r="AD262" s="267" t="s">
        <v>784</v>
      </c>
      <c r="AE262" s="4561">
        <f>_xlfn.SUMIFS('ИП + источники'!AF$27:AF$116,'ИП + источники'!$F$27:$F$116,$F262,'ИП + источники'!$AC$27:$AC$116,"погашение займов и кредитов из нормативной прибыли")</f>
        <v>0</v>
      </c>
      <c r="AF262" s="4561">
        <f>_xlfn.SUMIFS('ИП + источники'!AG$27:AG$116,'ИП + источники'!$F$27:$F$116,$F262,'ИП + источники'!$AC$27:$AC$116,"погашение займов и кредитов из нормативной прибыли")</f>
        <v>0</v>
      </c>
      <c r="AG262" s="4561">
        <f>_xlfn.SUMIFS('ИП + источники'!AH$27:AH$116,'ИП + источники'!$F$27:$F$116,$F262,'ИП + источники'!$AC$27:$AC$116,"погашение займов и кредитов из нормативной прибыли")</f>
        <v>0</v>
      </c>
      <c r="AH262" s="1099">
        <f>AG262-AF262</f>
        <v>0</v>
      </c>
      <c r="AI262" s="4561">
        <f>_xlfn.SUMIFS('ИП + источники'!AJ$27:AJ$116,'ИП + источники'!$F$27:$F$116,$F262,'ИП + источники'!$AC$27:$AC$116,"погашение займов и кредитов из нормативной прибыли")</f>
        <v>0</v>
      </c>
      <c r="AJ262" s="4561">
        <f>_xlfn.SUMIFS('ИП + источники'!AK$27:AK$116,'ИП + источники'!$F$27:$F$116,$F262,'ИП + источники'!$AC$27:$AC$116,"погашение займов и кредитов из нормативной прибыли")</f>
        <v>0</v>
      </c>
      <c r="AK262" s="1268">
        <f>_xlfn.SUMIFS('ИП + источники'!AL$27:AL$116,'ИП + источники'!$F$27:$F$116,$F262,'ИП + источники'!$AC$27:$AC$116,"погашение займов и кредитов из нормативной прибыли")</f>
        <v>0</v>
      </c>
      <c r="AL262" s="1268">
        <f>_xlfn.SUMIFS('ИП + источники'!AM$27:AM$116,'ИП + источники'!$F$27:$F$116,$F262,'ИП + источники'!$AC$27:$AC$116,"погашение займов и кредитов из нормативной прибыли")</f>
        <v>0</v>
      </c>
      <c r="AM262" s="4561">
        <f>_xlfn.SUMIFS('ИП + источники'!AN$27:AN$116,'ИП + источники'!$F$27:$F$116,$F262,'ИП + источники'!$AC$27:$AC$116,"погашение займов и кредитов из нормативной прибыли")</f>
        <v>0</v>
      </c>
      <c r="AN262" s="4561">
        <f>_xlfn.SUMIFS('ИП + источники'!AO$27:AO$116,'ИП + источники'!$F$27:$F$116,$F262,'ИП + источники'!$AC$27:$AC$116,"погашение займов и кредитов из нормативной прибыли")</f>
        <v>0</v>
      </c>
      <c r="AO262" s="4561">
        <f>_xlfn.SUMIFS('ИП + источники'!AP$27:AP$116,'ИП + источники'!$F$27:$F$116,$F262,'ИП + источники'!$AC$27:$AC$116,"погашение займов и кредитов из нормативной прибыли")</f>
        <v>0</v>
      </c>
      <c r="AP262" s="4561">
        <f>_xlfn.SUMIFS('ИП + источники'!AQ$27:AQ$116,'ИП + источники'!$F$27:$F$116,$F262,'ИП + источники'!$AC$27:$AC$116,"погашение займов и кредитов из нормативной прибыли")</f>
        <v>0</v>
      </c>
      <c r="AQ262" s="4561">
        <f>_xlfn.SUMIFS('ИП + источники'!AR$27:AR$116,'ИП + источники'!$F$27:$F$116,$F262,'ИП + источники'!$AC$27:$AC$116,"погашение займов и кредитов из нормативной прибыли")</f>
        <v>0</v>
      </c>
      <c r="AR262" s="4561">
        <f>_xlfn.SUMIFS('ИП + источники'!AS$27:AS$116,'ИП + источники'!$F$27:$F$116,$F262,'ИП + источники'!$AC$27:$AC$116,"погашение займов и кредитов из нормативной прибыли")</f>
        <v>0</v>
      </c>
      <c r="AS262" s="4561">
        <f>_xlfn.SUMIFS('ИП + источники'!AT$27:AT$116,'ИП + источники'!$F$27:$F$116,$F262,'ИП + источники'!$AC$27:$AC$116,"погашение займов и кредитов из нормативной прибыли")</f>
        <v>0</v>
      </c>
      <c r="AT262" s="4561">
        <f>_xlfn.SUMIFS('ИП + источники'!AU$27:AU$116,'ИП + источники'!$F$27:$F$116,$F262,'ИП + источники'!$AC$27:$AC$116,"погашение займов и кредитов из нормативной прибыли")</f>
        <v>0</v>
      </c>
      <c r="AU262" s="1268">
        <f>_xlfn.SUMIFS('ИП + источники'!AV$27:AV$116,'ИП + источники'!$F$27:$F$116,$F262,'ИП + источники'!$AC$27:$AC$116,"погашение займов и кредитов из нормативной прибыли")</f>
        <v>0</v>
      </c>
      <c r="AV262" s="1268">
        <f>_xlfn.SUMIFS('ИП + источники'!AW$27:AW$116,'ИП + источники'!$F$27:$F$116,$F262,'ИП + источники'!$AC$27:$AC$116,"погашение займов и кредитов из нормативной прибыли")</f>
        <v>0</v>
      </c>
      <c r="AW262" s="4561">
        <f>_xlfn.SUMIFS('ИП + источники'!AX$27:AX$116,'ИП + источники'!$F$27:$F$116,$F262,'ИП + источники'!$AC$27:$AC$116,"погашение займов и кредитов из нормативной прибыли")</f>
        <v>0</v>
      </c>
      <c r="AX262" s="4561">
        <f>_xlfn.SUMIFS('ИП + источники'!AY$27:AY$116,'ИП + источники'!$F$27:$F$116,$F262,'ИП + источники'!$AC$27:$AC$116,"погашение займов и кредитов из нормативной прибыли")</f>
        <v>0</v>
      </c>
      <c r="AY262" s="4561">
        <f>_xlfn.SUMIFS('ИП + источники'!AZ$27:AZ$116,'ИП + источники'!$F$27:$F$116,$F262,'ИП + источники'!$AC$27:$AC$116,"погашение займов и кредитов из нормативной прибыли")</f>
        <v>0</v>
      </c>
      <c r="AZ262" s="4561">
        <f>_xlfn.SUMIFS('ИП + источники'!BA$27:BA$116,'ИП + источники'!$F$27:$F$116,$F262,'ИП + источники'!$AC$27:$AC$116,"погашение займов и кредитов из нормативной прибыли")</f>
        <v>0</v>
      </c>
      <c r="BA262" s="4561">
        <f>_xlfn.SUMIFS('ИП + источники'!BB$27:BB$116,'ИП + источники'!$F$27:$F$116,$F262,'ИП + источники'!$AC$27:$AC$116,"погашение займов и кредитов из нормативной прибыли")</f>
        <v>0</v>
      </c>
      <c r="BB262" s="4561">
        <f>_xlfn.SUMIFS('ИП + источники'!BC$27:BC$116,'ИП + источники'!$F$27:$F$116,$F262,'ИП + источники'!$AC$27:$AC$116,"погашение займов и кредитов из нормативной прибыли")</f>
        <v>0</v>
      </c>
      <c r="BC262" s="4561">
        <f>_xlfn.SUMIFS('ИП + источники'!BD$27:BD$116,'ИП + источники'!$F$27:$F$116,$F262,'ИП + источники'!$AC$27:$AC$116,"погашение займов и кредитов из нормативной прибыли")</f>
        <v>0</v>
      </c>
      <c r="BD262" s="1099">
        <f>IF(AI262=0,0,(AT262-AI262)/AI262*100)</f>
        <v>0</v>
      </c>
      <c r="BE262" s="1099">
        <f>IF(AT262=0,0,(AU262-AT262)/AT262*100)</f>
        <v>0</v>
      </c>
      <c r="BF262" s="1099">
        <f>IF(AU262=0,0,(AV262-AU262)/AU262*100)</f>
        <v>0</v>
      </c>
      <c r="BG262" s="1099">
        <f>IF(AV262=0,0,(AW262-AV262)/AV262*100)</f>
        <v>0</v>
      </c>
      <c r="BH262" s="1099">
        <f>IF(AW262=0,0,(AX262-AW262)/AW262*100)</f>
        <v>0</v>
      </c>
      <c r="BI262" s="1099">
        <f>IF(AX262=0,0,(AY262-AX262)/AX262*100)</f>
        <v>0</v>
      </c>
      <c r="BJ262" s="1099">
        <f>IF(AY262=0,0,(AZ262-AY262)/AY262*100)</f>
        <v>0</v>
      </c>
      <c r="BK262" s="1099">
        <f>IF(AZ262=0,0,(BA262-AZ262)/AZ262*100)</f>
        <v>0</v>
      </c>
      <c r="BL262" s="1099">
        <f>IF(BA262=0,0,(BB262-BA262)/BA262*100)</f>
        <v>0</v>
      </c>
      <c r="BM262" s="1099">
        <f>IF(BB262=0,0,(BC262-BB262)/BB262*100)</f>
        <v>0</v>
      </c>
      <c r="BN262" s="4617"/>
      <c r="BO262" s="4619" t="str">
        <f>IF(_xlfn.IFERROR(INDEX('ИП + источники'!$K$28:$L$116,MATCH($F262&amp;"2komm",'ИП + источники'!$K$28:$K$116,0),2),"")=0,"",_xlfn.IFERROR(INDEX('ИП + источники'!$K$28:$L$116,MATCH($F262&amp;"2komm",'ИП + источники'!$K$28:$K$116,0),2),""))</f>
        <v/>
      </c>
      <c r="BP262" s="4617"/>
      <c r="BQ262" s="960"/>
      <c r="BR262" s="960"/>
      <c r="BS262" s="1048" t="s">
        <v>1993</v>
      </c>
      <c r="BT262" s="1048"/>
      <c r="BU262" s="1048"/>
      <c r="BV262" s="962"/>
      <c r="BW262" s="962"/>
    </row>
    <row s="1621" customFormat="1" customHeight="1" ht="14.25">
      <c r="A263" s="960"/>
      <c r="B263" s="405" cm="1" t="str">
        <f t="array" ref="B263:B263">B262</f>
        <v>true</v>
      </c>
      <c r="C263" s="73"/>
      <c r="D263" s="73"/>
      <c r="E263" s="600">
        <v>15</v>
      </c>
      <c r="F263" s="50" cm="1" t="str">
        <f t="array" ref="F263:F263">OFFSET(E263,-1,1)</f>
        <v>1</v>
      </c>
      <c r="G263" s="73"/>
      <c r="H263" s="73"/>
      <c r="I263" s="73" t="s">
        <v>532</v>
      </c>
      <c r="J263" s="73"/>
      <c r="K263" s="960"/>
      <c r="L263" s="963"/>
      <c r="M263" s="73"/>
      <c r="N263" s="73"/>
      <c r="O263" s="73"/>
      <c r="P263" s="73"/>
      <c r="Q263" s="73"/>
      <c r="R263" s="73"/>
      <c r="S263" s="73"/>
      <c r="T263" s="439" cm="1" t="str">
        <f t="array" ref="T263:T263">T262</f>
        <v>true</v>
      </c>
      <c r="U263" s="73"/>
      <c r="V263" s="73"/>
      <c r="W263" s="73"/>
      <c r="X263" s="1534"/>
      <c r="Y263" s="960"/>
      <c r="Z263" s="1465"/>
      <c r="AA263" s="960"/>
      <c r="AB263" s="267" t="s">
        <v>662</v>
      </c>
      <c r="AC263" s="743" t="s">
        <v>1994</v>
      </c>
      <c r="AD263" s="267" t="s">
        <v>784</v>
      </c>
      <c r="AE263" s="4561">
        <f>_xlfn.SUMIFS('ИП + источники'!AF$27:AF$116,'ИП + источники'!$F$27:$F$116,$F263,'ИП + источники'!$AC$27:$AC$116,"уплата процентов по кредитам из нормативной прибыли")</f>
        <v>0</v>
      </c>
      <c r="AF263" s="4561">
        <f>_xlfn.SUMIFS('ИП + источники'!AG$27:AG$116,'ИП + источники'!$F$27:$F$116,$F263,'ИП + источники'!$AC$27:$AC$116,"уплата процентов по кредитам из нормативной прибыли")</f>
        <v>0</v>
      </c>
      <c r="AG263" s="4561">
        <f>_xlfn.SUMIFS('ИП + источники'!AH$27:AH$116,'ИП + источники'!$F$27:$F$116,$F263,'ИП + источники'!$AC$27:$AC$116,"уплата процентов по кредитам из нормативной прибыли")</f>
        <v>0</v>
      </c>
      <c r="AH263" s="1099">
        <f>AG263-AF263</f>
        <v>0</v>
      </c>
      <c r="AI263" s="4561">
        <f>_xlfn.SUMIFS('ИП + источники'!AJ$27:AJ$116,'ИП + источники'!$F$27:$F$116,$F263,'ИП + источники'!$AC$27:$AC$116,"уплата процентов по кредитам из нормативной прибыли")</f>
        <v>0</v>
      </c>
      <c r="AJ263" s="4561">
        <f>_xlfn.SUMIFS('ИП + источники'!AK$27:AK$116,'ИП + источники'!$F$27:$F$116,$F263,'ИП + источники'!$AC$27:$AC$116,"уплата процентов по кредитам из нормативной прибыли")</f>
        <v>0</v>
      </c>
      <c r="AK263" s="1268">
        <f>_xlfn.SUMIFS('ИП + источники'!AL$27:AL$116,'ИП + источники'!$F$27:$F$116,$F263,'ИП + источники'!$AC$27:$AC$116,"уплата процентов по кредитам из нормативной прибыли")</f>
        <v>0</v>
      </c>
      <c r="AL263" s="1268">
        <f>_xlfn.SUMIFS('ИП + источники'!AM$27:AM$116,'ИП + источники'!$F$27:$F$116,$F263,'ИП + источники'!$AC$27:$AC$116,"уплата процентов по кредитам из нормативной прибыли")</f>
        <v>0</v>
      </c>
      <c r="AM263" s="4561">
        <f>_xlfn.SUMIFS('ИП + источники'!AN$27:AN$116,'ИП + источники'!$F$27:$F$116,$F263,'ИП + источники'!$AC$27:$AC$116,"уплата процентов по кредитам из нормативной прибыли")</f>
        <v>0</v>
      </c>
      <c r="AN263" s="4561">
        <f>_xlfn.SUMIFS('ИП + источники'!AO$27:AO$116,'ИП + источники'!$F$27:$F$116,$F263,'ИП + источники'!$AC$27:$AC$116,"уплата процентов по кредитам из нормативной прибыли")</f>
        <v>0</v>
      </c>
      <c r="AO263" s="4561">
        <f>_xlfn.SUMIFS('ИП + источники'!AP$27:AP$116,'ИП + источники'!$F$27:$F$116,$F263,'ИП + источники'!$AC$27:$AC$116,"уплата процентов по кредитам из нормативной прибыли")</f>
        <v>0</v>
      </c>
      <c r="AP263" s="4561">
        <f>_xlfn.SUMIFS('ИП + источники'!AQ$27:AQ$116,'ИП + источники'!$F$27:$F$116,$F263,'ИП + источники'!$AC$27:$AC$116,"уплата процентов по кредитам из нормативной прибыли")</f>
        <v>0</v>
      </c>
      <c r="AQ263" s="4561">
        <f>_xlfn.SUMIFS('ИП + источники'!AR$27:AR$116,'ИП + источники'!$F$27:$F$116,$F263,'ИП + источники'!$AC$27:$AC$116,"уплата процентов по кредитам из нормативной прибыли")</f>
        <v>0</v>
      </c>
      <c r="AR263" s="4561">
        <f>_xlfn.SUMIFS('ИП + источники'!AS$27:AS$116,'ИП + источники'!$F$27:$F$116,$F263,'ИП + источники'!$AC$27:$AC$116,"уплата процентов по кредитам из нормативной прибыли")</f>
        <v>0</v>
      </c>
      <c r="AS263" s="4561">
        <f>_xlfn.SUMIFS('ИП + источники'!AT$27:AT$116,'ИП + источники'!$F$27:$F$116,$F263,'ИП + источники'!$AC$27:$AC$116,"уплата процентов по кредитам из нормативной прибыли")</f>
        <v>0</v>
      </c>
      <c r="AT263" s="4561">
        <f>_xlfn.SUMIFS('ИП + источники'!AU$27:AU$116,'ИП + источники'!$F$27:$F$116,$F263,'ИП + источники'!$AC$27:$AC$116,"уплата процентов по кредитам из нормативной прибыли")</f>
        <v>0</v>
      </c>
      <c r="AU263" s="1268">
        <f>_xlfn.SUMIFS('ИП + источники'!AV$27:AV$116,'ИП + источники'!$F$27:$F$116,$F263,'ИП + источники'!$AC$27:$AC$116,"уплата процентов по кредитам из нормативной прибыли")</f>
        <v>0</v>
      </c>
      <c r="AV263" s="1268">
        <f>_xlfn.SUMIFS('ИП + источники'!AW$27:AW$116,'ИП + источники'!$F$27:$F$116,$F263,'ИП + источники'!$AC$27:$AC$116,"уплата процентов по кредитам из нормативной прибыли")</f>
        <v>0</v>
      </c>
      <c r="AW263" s="4561">
        <f>_xlfn.SUMIFS('ИП + источники'!AX$27:AX$116,'ИП + источники'!$F$27:$F$116,$F263,'ИП + источники'!$AC$27:$AC$116,"уплата процентов по кредитам из нормативной прибыли")</f>
        <v>0</v>
      </c>
      <c r="AX263" s="4561">
        <f>_xlfn.SUMIFS('ИП + источники'!AY$27:AY$116,'ИП + источники'!$F$27:$F$116,$F263,'ИП + источники'!$AC$27:$AC$116,"уплата процентов по кредитам из нормативной прибыли")</f>
        <v>0</v>
      </c>
      <c r="AY263" s="4561">
        <f>_xlfn.SUMIFS('ИП + источники'!AZ$27:AZ$116,'ИП + источники'!$F$27:$F$116,$F263,'ИП + источники'!$AC$27:$AC$116,"уплата процентов по кредитам из нормативной прибыли")</f>
        <v>0</v>
      </c>
      <c r="AZ263" s="4561">
        <f>_xlfn.SUMIFS('ИП + источники'!BA$27:BA$116,'ИП + источники'!$F$27:$F$116,$F263,'ИП + источники'!$AC$27:$AC$116,"уплата процентов по кредитам из нормативной прибыли")</f>
        <v>0</v>
      </c>
      <c r="BA263" s="4561">
        <f>_xlfn.SUMIFS('ИП + источники'!BB$27:BB$116,'ИП + источники'!$F$27:$F$116,$F263,'ИП + источники'!$AC$27:$AC$116,"уплата процентов по кредитам из нормативной прибыли")</f>
        <v>0</v>
      </c>
      <c r="BB263" s="4561">
        <f>_xlfn.SUMIFS('ИП + источники'!BC$27:BC$116,'ИП + источники'!$F$27:$F$116,$F263,'ИП + источники'!$AC$27:$AC$116,"уплата процентов по кредитам из нормативной прибыли")</f>
        <v>0</v>
      </c>
      <c r="BC263" s="4561">
        <f>_xlfn.SUMIFS('ИП + источники'!BD$27:BD$116,'ИП + источники'!$F$27:$F$116,$F263,'ИП + источники'!$AC$27:$AC$116,"уплата процентов по кредитам из нормативной прибыли")</f>
        <v>0</v>
      </c>
      <c r="BD263" s="1099">
        <f>IF(AI263=0,0,(AT263-AI263)/AI263*100)</f>
        <v>0</v>
      </c>
      <c r="BE263" s="1099">
        <f>IF(AT263=0,0,(AU263-AT263)/AT263*100)</f>
        <v>0</v>
      </c>
      <c r="BF263" s="1099">
        <f>IF(AU263=0,0,(AV263-AU263)/AU263*100)</f>
        <v>0</v>
      </c>
      <c r="BG263" s="1099">
        <f>IF(AV263=0,0,(AW263-AV263)/AV263*100)</f>
        <v>0</v>
      </c>
      <c r="BH263" s="1099">
        <f>IF(AW263=0,0,(AX263-AW263)/AW263*100)</f>
        <v>0</v>
      </c>
      <c r="BI263" s="1099">
        <f>IF(AX263=0,0,(AY263-AX263)/AX263*100)</f>
        <v>0</v>
      </c>
      <c r="BJ263" s="1099">
        <f>IF(AY263=0,0,(AZ263-AY263)/AY263*100)</f>
        <v>0</v>
      </c>
      <c r="BK263" s="1099">
        <f>IF(AZ263=0,0,(BA263-AZ263)/AZ263*100)</f>
        <v>0</v>
      </c>
      <c r="BL263" s="1099">
        <f>IF(BA263=0,0,(BB263-BA263)/BA263*100)</f>
        <v>0</v>
      </c>
      <c r="BM263" s="1099">
        <f>IF(BB263=0,0,(BC263-BB263)/BB263*100)</f>
        <v>0</v>
      </c>
      <c r="BN263" s="4617"/>
      <c r="BO263" s="4619" t="str">
        <f>IF(_xlfn.IFERROR(INDEX('ИП + источники'!$K$28:$L$116,MATCH($F263&amp;"3komm",'ИП + источники'!$K$28:$K$116,0),2),"")=0,"",_xlfn.IFERROR(INDEX('ИП + источники'!$K$28:$L$116,MATCH($F263&amp;"3komm",'ИП + источники'!$K$28:$K$116,0),2),""))</f>
        <v/>
      </c>
      <c r="BP263" s="4617"/>
      <c r="BQ263" s="960"/>
      <c r="BR263" s="960"/>
      <c r="BS263" s="1048" t="s">
        <v>1995</v>
      </c>
      <c r="BT263" s="1048"/>
      <c r="BU263" s="1048"/>
      <c r="BV263" s="962"/>
      <c r="BW263" s="962"/>
    </row>
    <row s="1621" customFormat="1" customHeight="1" ht="14.25">
      <c r="A264" s="960"/>
      <c r="B264" s="405" cm="1" t="str">
        <f t="array" ref="B264:B264">B263</f>
        <v>true</v>
      </c>
      <c r="C264" s="73"/>
      <c r="D264" s="73"/>
      <c r="E264" s="600">
        <v>15</v>
      </c>
      <c r="F264" s="50" cm="1" t="str">
        <f t="array" ref="F264:F264">OFFSET(E264,-1,1)</f>
        <v>1</v>
      </c>
      <c r="G264" s="73"/>
      <c r="H264" s="73"/>
      <c r="I264" s="73" t="s">
        <v>749</v>
      </c>
      <c r="J264" s="73"/>
      <c r="K264" s="960"/>
      <c r="L264" s="963" t="s">
        <v>548</v>
      </c>
      <c r="M264" s="73"/>
      <c r="N264" s="73"/>
      <c r="O264" s="73"/>
      <c r="P264" s="73"/>
      <c r="Q264" s="73"/>
      <c r="R264" s="73"/>
      <c r="S264" s="73"/>
      <c r="T264" s="439" cm="1" t="str">
        <f t="array" ref="T264:T264">T263</f>
        <v>true</v>
      </c>
      <c r="U264" s="73"/>
      <c r="V264" s="73"/>
      <c r="W264" s="73"/>
      <c r="X264" s="1534"/>
      <c r="Y264" s="960"/>
      <c r="Z264" s="1465"/>
      <c r="AA264" s="960"/>
      <c r="AB264" s="267" t="s">
        <v>900</v>
      </c>
      <c r="AC264" s="743" t="s">
        <v>1996</v>
      </c>
      <c r="AD264" s="267" t="s">
        <v>784</v>
      </c>
      <c r="AE264" s="4561">
        <f>_xlfn.SUMIFS('ИП + источники'!AF$27:AF$116,'ИП + источники'!$F$27:$F$116,$F264,'ИП + источники'!$AC$27:$AC$116,"Прибыль на капвложения")</f>
        <v>0</v>
      </c>
      <c r="AF264" s="4561">
        <f>_xlfn.SUMIFS('ИП + источники'!AG$27:AG$116,'ИП + источники'!$F$27:$F$116,$F264,'ИП + источники'!$AC$27:$AC$116,"Прибыль на капвложения")</f>
        <v>0</v>
      </c>
      <c r="AG264" s="4561">
        <f>_xlfn.SUMIFS('ИП + источники'!AH$27:AH$116,'ИП + источники'!$F$27:$F$116,$F264,'ИП + источники'!$AC$27:$AC$116,"Прибыль на капвложения")</f>
        <v>0</v>
      </c>
      <c r="AH264" s="1099">
        <f>AG264-AF264</f>
        <v>0</v>
      </c>
      <c r="AI264" s="4561">
        <f>_xlfn.SUMIFS('ИП + источники'!AJ$27:AJ$116,'ИП + источники'!$F$27:$F$116,$F264,'ИП + источники'!$AC$27:$AC$116,"Прибыль на капвложения")</f>
        <v>0</v>
      </c>
      <c r="AJ264" s="4561">
        <f>_xlfn.SUMIFS('ИП + источники'!AK$27:AK$116,'ИП + источники'!$F$27:$F$116,$F264,'ИП + источники'!$AC$27:$AC$116,"Прибыль на капвложения")</f>
        <v>0</v>
      </c>
      <c r="AK264" s="1268">
        <f>_xlfn.SUMIFS('ИП + источники'!AL$27:AL$116,'ИП + источники'!$F$27:$F$116,$F264,'ИП + источники'!$AC$27:$AC$116,"Прибыль на капвложения")</f>
        <v>0</v>
      </c>
      <c r="AL264" s="1268">
        <f>_xlfn.SUMIFS('ИП + источники'!AM$27:AM$116,'ИП + источники'!$F$27:$F$116,$F264,'ИП + источники'!$AC$27:$AC$116,"Прибыль на капвложения")</f>
        <v>0</v>
      </c>
      <c r="AM264" s="4561">
        <f>_xlfn.SUMIFS('ИП + источники'!AN$27:AN$116,'ИП + источники'!$F$27:$F$116,$F264,'ИП + источники'!$AC$27:$AC$116,"Прибыль на капвложения")</f>
        <v>0</v>
      </c>
      <c r="AN264" s="4561">
        <f>_xlfn.SUMIFS('ИП + источники'!AO$27:AO$116,'ИП + источники'!$F$27:$F$116,$F264,'ИП + источники'!$AC$27:$AC$116,"Прибыль на капвложения")</f>
        <v>0</v>
      </c>
      <c r="AO264" s="4561">
        <f>_xlfn.SUMIFS('ИП + источники'!AP$27:AP$116,'ИП + источники'!$F$27:$F$116,$F264,'ИП + источники'!$AC$27:$AC$116,"Прибыль на капвложения")</f>
        <v>0</v>
      </c>
      <c r="AP264" s="4561">
        <f>_xlfn.SUMIFS('ИП + источники'!AQ$27:AQ$116,'ИП + источники'!$F$27:$F$116,$F264,'ИП + источники'!$AC$27:$AC$116,"Прибыль на капвложения")</f>
        <v>0</v>
      </c>
      <c r="AQ264" s="4561">
        <f>_xlfn.SUMIFS('ИП + источники'!AR$27:AR$116,'ИП + источники'!$F$27:$F$116,$F264,'ИП + источники'!$AC$27:$AC$116,"Прибыль на капвложения")</f>
        <v>0</v>
      </c>
      <c r="AR264" s="4561">
        <f>_xlfn.SUMIFS('ИП + источники'!AS$27:AS$116,'ИП + источники'!$F$27:$F$116,$F264,'ИП + источники'!$AC$27:$AC$116,"Прибыль на капвложения")</f>
        <v>0</v>
      </c>
      <c r="AS264" s="4561">
        <f>_xlfn.SUMIFS('ИП + источники'!AT$27:AT$116,'ИП + источники'!$F$27:$F$116,$F264,'ИП + источники'!$AC$27:$AC$116,"Прибыль на капвложения")</f>
        <v>0</v>
      </c>
      <c r="AT264" s="4561">
        <f>_xlfn.SUMIFS('ИП + источники'!AU$27:AU$116,'ИП + источники'!$F$27:$F$116,$F264,'ИП + источники'!$AC$27:$AC$116,"Прибыль на капвложения")</f>
        <v>0</v>
      </c>
      <c r="AU264" s="1268">
        <f>_xlfn.SUMIFS('ИП + источники'!AV$27:AV$116,'ИП + источники'!$F$27:$F$116,$F264,'ИП + источники'!$AC$27:$AC$116,"Прибыль на капвложения")</f>
        <v>0</v>
      </c>
      <c r="AV264" s="1268">
        <f>_xlfn.SUMIFS('ИП + источники'!AW$27:AW$116,'ИП + источники'!$F$27:$F$116,$F264,'ИП + источники'!$AC$27:$AC$116,"Прибыль на капвложения")</f>
        <v>0</v>
      </c>
      <c r="AW264" s="4561">
        <f>_xlfn.SUMIFS('ИП + источники'!AX$27:AX$116,'ИП + источники'!$F$27:$F$116,$F264,'ИП + источники'!$AC$27:$AC$116,"Прибыль на капвложения")</f>
        <v>0</v>
      </c>
      <c r="AX264" s="4561">
        <f>_xlfn.SUMIFS('ИП + источники'!AY$27:AY$116,'ИП + источники'!$F$27:$F$116,$F264,'ИП + источники'!$AC$27:$AC$116,"Прибыль на капвложения")</f>
        <v>0</v>
      </c>
      <c r="AY264" s="4561">
        <f>_xlfn.SUMIFS('ИП + источники'!AZ$27:AZ$116,'ИП + источники'!$F$27:$F$116,$F264,'ИП + источники'!$AC$27:$AC$116,"Прибыль на капвложения")</f>
        <v>0</v>
      </c>
      <c r="AZ264" s="4561">
        <f>_xlfn.SUMIFS('ИП + источники'!BA$27:BA$116,'ИП + источники'!$F$27:$F$116,$F264,'ИП + источники'!$AC$27:$AC$116,"Прибыль на капвложения")</f>
        <v>0</v>
      </c>
      <c r="BA264" s="4561">
        <f>_xlfn.SUMIFS('ИП + источники'!BB$27:BB$116,'ИП + источники'!$F$27:$F$116,$F264,'ИП + источники'!$AC$27:$AC$116,"Прибыль на капвложения")</f>
        <v>0</v>
      </c>
      <c r="BB264" s="4561">
        <f>_xlfn.SUMIFS('ИП + источники'!BC$27:BC$116,'ИП + источники'!$F$27:$F$116,$F264,'ИП + источники'!$AC$27:$AC$116,"Прибыль на капвложения")</f>
        <v>0</v>
      </c>
      <c r="BC264" s="4561">
        <f>_xlfn.SUMIFS('ИП + источники'!BD$27:BD$116,'ИП + источники'!$F$27:$F$116,$F264,'ИП + источники'!$AC$27:$AC$116,"Прибыль на капвложения")</f>
        <v>0</v>
      </c>
      <c r="BD264" s="1099">
        <f>IF(AI264=0,0,(AT264-AI264)/AI264*100)</f>
        <v>0</v>
      </c>
      <c r="BE264" s="1099">
        <f>IF(AT264=0,0,(AU264-AT264)/AT264*100)</f>
        <v>0</v>
      </c>
      <c r="BF264" s="1099">
        <f>IF(AU264=0,0,(AV264-AU264)/AU264*100)</f>
        <v>0</v>
      </c>
      <c r="BG264" s="1099">
        <f>IF(AV264=0,0,(AW264-AV264)/AV264*100)</f>
        <v>0</v>
      </c>
      <c r="BH264" s="1099">
        <f>IF(AW264=0,0,(AX264-AW264)/AW264*100)</f>
        <v>0</v>
      </c>
      <c r="BI264" s="1099">
        <f>IF(AX264=0,0,(AY264-AX264)/AX264*100)</f>
        <v>0</v>
      </c>
      <c r="BJ264" s="1099">
        <f>IF(AY264=0,0,(AZ264-AY264)/AY264*100)</f>
        <v>0</v>
      </c>
      <c r="BK264" s="1099">
        <f>IF(AZ264=0,0,(BA264-AZ264)/AZ264*100)</f>
        <v>0</v>
      </c>
      <c r="BL264" s="1099">
        <f>IF(BA264=0,0,(BB264-BA264)/BA264*100)</f>
        <v>0</v>
      </c>
      <c r="BM264" s="1099">
        <f>IF(BB264=0,0,(BC264-BB264)/BB264*100)</f>
        <v>0</v>
      </c>
      <c r="BN264" s="4617"/>
      <c r="BO264" s="4619" t="str">
        <f>IF(_xlfn.IFERROR(INDEX('ИП + источники'!$K$28:$L$116,MATCH($F264&amp;"1komm",'ИП + источники'!$K$28:$K$116,0),2),"")=0,"",_xlfn.IFERROR(INDEX('ИП + источники'!$K$28:$L$116,MATCH($F264&amp;"1komm",'ИП + источники'!$K$28:$K$116,0),2),""))</f>
        <v/>
      </c>
      <c r="BP264" s="4617"/>
      <c r="BQ264" s="960"/>
      <c r="BR264" s="960"/>
      <c r="BS264" s="1048" t="s">
        <v>1699</v>
      </c>
      <c r="BT264" s="1048"/>
      <c r="BU264" s="1048"/>
      <c r="BV264" s="962"/>
      <c r="BW264" s="962"/>
    </row>
    <row s="1621" customFormat="1" customHeight="1" ht="21.75">
      <c r="A265" s="960"/>
      <c r="B265" s="405" cm="1" t="str">
        <f t="array" ref="B265:B265">B264</f>
        <v>true</v>
      </c>
      <c r="C265" s="73"/>
      <c r="D265" s="73"/>
      <c r="E265" s="600">
        <v>22.5</v>
      </c>
      <c r="F265" s="50" cm="1" t="str">
        <f t="array" ref="F265:F265">OFFSET(E265,-1,1)</f>
        <v>1</v>
      </c>
      <c r="G265" s="73" t="s">
        <v>1997</v>
      </c>
      <c r="H265" s="73"/>
      <c r="I265" s="73" t="s">
        <v>902</v>
      </c>
      <c r="J265" s="73"/>
      <c r="K265" s="960"/>
      <c r="L265" s="963" t="s">
        <v>552</v>
      </c>
      <c r="M265" s="73"/>
      <c r="N265" s="73"/>
      <c r="O265" s="73"/>
      <c r="P265" s="73"/>
      <c r="Q265" s="73"/>
      <c r="R265" s="73"/>
      <c r="S265" s="73"/>
      <c r="T265" s="439" cm="1" t="str">
        <f t="array" ref="T265:T265">T264</f>
        <v>true</v>
      </c>
      <c r="U265" s="73"/>
      <c r="V265" s="73"/>
      <c r="W265" s="73"/>
      <c r="X265" s="1534"/>
      <c r="Y265" s="960"/>
      <c r="Z265" s="1465"/>
      <c r="AA265" s="960"/>
      <c r="AB265" s="267" t="s">
        <v>903</v>
      </c>
      <c r="AC265" s="743" t="s">
        <v>1998</v>
      </c>
      <c r="AD265" s="267" t="s">
        <v>784</v>
      </c>
      <c r="AE265" s="4561"/>
      <c r="AF265" s="4561"/>
      <c r="AG265" s="4561"/>
      <c r="AH265" s="1099">
        <f>AG265-AF265</f>
        <v>0</v>
      </c>
      <c r="AI265" s="4561"/>
      <c r="AJ265" s="4561"/>
      <c r="AK265" s="1268"/>
      <c r="AL265" s="1268"/>
      <c r="AM265" s="4561"/>
      <c r="AN265" s="4561"/>
      <c r="AO265" s="4561"/>
      <c r="AP265" s="4561"/>
      <c r="AQ265" s="4561"/>
      <c r="AR265" s="4561"/>
      <c r="AS265" s="4561"/>
      <c r="AT265" s="4561"/>
      <c r="AU265" s="1268"/>
      <c r="AV265" s="1268"/>
      <c r="AW265" s="4561"/>
      <c r="AX265" s="4561"/>
      <c r="AY265" s="4561"/>
      <c r="AZ265" s="4561"/>
      <c r="BA265" s="4561"/>
      <c r="BB265" s="4561"/>
      <c r="BC265" s="4561"/>
      <c r="BD265" s="1099">
        <f>IF(AI265=0,0,(AT265-AI265)/AI265*100)</f>
        <v>0</v>
      </c>
      <c r="BE265" s="1099">
        <f>IF(AT265=0,0,(AU265-AT265)/AT265*100)</f>
        <v>0</v>
      </c>
      <c r="BF265" s="1099">
        <f>IF(AU265=0,0,(AV265-AU265)/AU265*100)</f>
        <v>0</v>
      </c>
      <c r="BG265" s="1099">
        <f>IF(AV265=0,0,(AW265-AV265)/AV265*100)</f>
        <v>0</v>
      </c>
      <c r="BH265" s="1099">
        <f>IF(AW265=0,0,(AX265-AW265)/AW265*100)</f>
        <v>0</v>
      </c>
      <c r="BI265" s="1099">
        <f>IF(AX265=0,0,(AY265-AX265)/AX265*100)</f>
        <v>0</v>
      </c>
      <c r="BJ265" s="1099">
        <f>IF(AY265=0,0,(AZ265-AY265)/AY265*100)</f>
        <v>0</v>
      </c>
      <c r="BK265" s="1099">
        <f>IF(AZ265=0,0,(BA265-AZ265)/AZ265*100)</f>
        <v>0</v>
      </c>
      <c r="BL265" s="1099">
        <f>IF(BA265=0,0,(BB265-BA265)/BA265*100)</f>
        <v>0</v>
      </c>
      <c r="BM265" s="1099">
        <f>IF(BB265=0,0,(BC265-BB265)/BB265*100)</f>
        <v>0</v>
      </c>
      <c r="BN265" s="4617"/>
      <c r="BO265" s="4617"/>
      <c r="BP265" s="4617"/>
      <c r="BQ265" s="960"/>
      <c r="BR265" s="960"/>
      <c r="BS265" s="1048" t="s">
        <v>1999</v>
      </c>
      <c r="BT265" s="1048"/>
      <c r="BU265" s="1048"/>
      <c r="BV265" s="962"/>
      <c r="BW265" s="962"/>
    </row>
    <row s="1621" customFormat="1" customHeight="1" ht="14.25" hidden="1">
      <c r="A266" s="960"/>
      <c r="B266" s="405">
        <f>AND(method_reg="Метод индексации",STATUS_GO="да")</f>
        <v>0</v>
      </c>
      <c r="C266" s="73"/>
      <c r="D266" s="73"/>
      <c r="E266" s="600">
        <v>15</v>
      </c>
      <c r="F266" s="50" cm="1" t="str">
        <f t="array" ref="F266:F266">OFFSET(E266,-1,1)</f>
        <v>1</v>
      </c>
      <c r="G266" s="73" t="s">
        <v>1702</v>
      </c>
      <c r="H266" s="73"/>
      <c r="I266" s="73" t="s">
        <v>491</v>
      </c>
      <c r="J266" s="73"/>
      <c r="K266" s="960"/>
      <c r="L266" s="963" t="s">
        <v>556</v>
      </c>
      <c r="M266" s="73"/>
      <c r="N266" s="73"/>
      <c r="O266" s="73"/>
      <c r="P266" s="73"/>
      <c r="Q266" s="73"/>
      <c r="R266" s="73"/>
      <c r="S266" s="73"/>
      <c r="T266" s="439" cm="1" t="str">
        <f t="array" ref="T266:T266">T265</f>
        <v>true</v>
      </c>
      <c r="U266" s="73"/>
      <c r="V266" s="73"/>
      <c r="W266" s="73"/>
      <c r="X266" s="1534"/>
      <c r="Y266" s="960"/>
      <c r="Z266" s="1465"/>
      <c r="AA266" s="960"/>
      <c r="AB266" s="267" t="s">
        <v>496</v>
      </c>
      <c r="AC266" s="425" t="s">
        <v>1702</v>
      </c>
      <c r="AD266" s="267" t="s">
        <v>784</v>
      </c>
      <c r="AE266" s="1268"/>
      <c r="AF266" s="1268"/>
      <c r="AG266" s="1268"/>
      <c r="AH266" s="1099">
        <f>AG266-AF266</f>
        <v>0</v>
      </c>
      <c r="AI266" s="1268"/>
      <c r="AJ266" s="4561"/>
      <c r="AK266" s="1268"/>
      <c r="AL266" s="1268"/>
      <c r="AM266" s="1268"/>
      <c r="AN266" s="1268"/>
      <c r="AO266" s="1268"/>
      <c r="AP266" s="1268"/>
      <c r="AQ266" s="1268"/>
      <c r="AR266" s="1268"/>
      <c r="AS266" s="1268"/>
      <c r="AT266" s="4561"/>
      <c r="AU266" s="1268"/>
      <c r="AV266" s="1268"/>
      <c r="AW266" s="1268"/>
      <c r="AX266" s="1268"/>
      <c r="AY266" s="1268"/>
      <c r="AZ266" s="1268"/>
      <c r="BA266" s="1268"/>
      <c r="BB266" s="1268"/>
      <c r="BC266" s="1268"/>
      <c r="BD266" s="1099">
        <f>IF(AI266=0,0,(AT266-AI266)/AI266*100)</f>
        <v>0</v>
      </c>
      <c r="BE266" s="1099">
        <f>IF(AT266=0,0,(AU266-AT266)/AT266*100)</f>
        <v>0</v>
      </c>
      <c r="BF266" s="1099">
        <f>IF(AU266=0,0,(AV266-AU266)/AU266*100)</f>
        <v>0</v>
      </c>
      <c r="BG266" s="1099">
        <f>IF(AV266=0,0,(AW266-AV266)/AV266*100)</f>
        <v>0</v>
      </c>
      <c r="BH266" s="1099">
        <f>IF(AW266=0,0,(AX266-AW266)/AW266*100)</f>
        <v>0</v>
      </c>
      <c r="BI266" s="1099">
        <f>IF(AX266=0,0,(AY266-AX266)/AX266*100)</f>
        <v>0</v>
      </c>
      <c r="BJ266" s="1099">
        <f>IF(AY266=0,0,(AZ266-AY266)/AY266*100)</f>
        <v>0</v>
      </c>
      <c r="BK266" s="1099">
        <f>IF(AZ266=0,0,(BA266-AZ266)/AZ266*100)</f>
        <v>0</v>
      </c>
      <c r="BL266" s="1099">
        <f>IF(BA266=0,0,(BB266-BA266)/BA266*100)</f>
        <v>0</v>
      </c>
      <c r="BM266" s="1099">
        <f>IF(BB266=0,0,(BC266-BB266)/BB266*100)</f>
        <v>0</v>
      </c>
      <c r="BN266" s="1265"/>
      <c r="BO266" s="1265"/>
      <c r="BP266" s="1265"/>
      <c r="BQ266" s="960"/>
      <c r="BR266" s="960"/>
      <c r="BS266" s="1048" t="s">
        <v>1703</v>
      </c>
      <c r="BT266" s="1048"/>
      <c r="BU266" s="1048"/>
      <c r="BV266" s="962"/>
      <c r="BW266" s="962"/>
    </row>
    <row s="1621" customFormat="1" customHeight="1" ht="14.25" hidden="1">
      <c r="A267" s="960"/>
      <c r="B267" s="842">
        <f>method_reg="Метод обеспечения доходности инвестированного капитала"</f>
        <v>0</v>
      </c>
      <c r="C267" s="73"/>
      <c r="D267" s="73"/>
      <c r="E267" s="600">
        <v>15</v>
      </c>
      <c r="F267" s="50" cm="1" t="str">
        <f t="array" ref="F267:F267">OFFSET(E267,-1,1)</f>
        <v>1</v>
      </c>
      <c r="G267" s="73"/>
      <c r="H267" s="73"/>
      <c r="I267" s="73"/>
      <c r="J267" s="73"/>
      <c r="K267" s="73" t="s">
        <v>329</v>
      </c>
      <c r="L267" s="963"/>
      <c r="M267" s="73"/>
      <c r="N267" s="73"/>
      <c r="O267" s="73"/>
      <c r="P267" s="73"/>
      <c r="Q267" s="73"/>
      <c r="R267" s="73"/>
      <c r="S267" s="73"/>
      <c r="T267" s="842" cm="1" t="str">
        <f t="array" ref="T267:T267">T266</f>
        <v>true</v>
      </c>
      <c r="U267" s="73"/>
      <c r="V267" s="73"/>
      <c r="W267" s="73"/>
      <c r="X267" s="1534"/>
      <c r="Y267" s="960"/>
      <c r="Z267" s="1465"/>
      <c r="AA267" s="960"/>
      <c r="AB267" s="775" t="s">
        <v>536</v>
      </c>
      <c r="AC267" s="774" t="s">
        <v>2000</v>
      </c>
      <c r="AD267" s="775" t="s">
        <v>784</v>
      </c>
      <c r="AE267" s="1273"/>
      <c r="AF267" s="1273"/>
      <c r="AG267" s="1273"/>
      <c r="AH267" s="742">
        <f>AG267-AF267</f>
        <v>0</v>
      </c>
      <c r="AI267" s="1273"/>
      <c r="AJ267" s="4595"/>
      <c r="AK267" s="1273"/>
      <c r="AL267" s="1273"/>
      <c r="AM267" s="1273"/>
      <c r="AN267" s="1273"/>
      <c r="AO267" s="1273"/>
      <c r="AP267" s="1273"/>
      <c r="AQ267" s="1273"/>
      <c r="AR267" s="1273"/>
      <c r="AS267" s="1273"/>
      <c r="AT267" s="4595"/>
      <c r="AU267" s="1273"/>
      <c r="AV267" s="1273"/>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2001</v>
      </c>
      <c r="BT267" s="1048"/>
      <c r="BU267" s="1048"/>
      <c r="BV267" s="962"/>
      <c r="BW267" s="962"/>
    </row>
    <row s="1621" customFormat="1" customHeight="1" ht="14.25" hidden="1">
      <c r="A268" s="960"/>
      <c r="B268" s="842" cm="1" t="str">
        <f t="array" ref="B268:B268">B267</f>
        <v>false</v>
      </c>
      <c r="C268" s="73"/>
      <c r="D268" s="73"/>
      <c r="E268" s="600">
        <v>15</v>
      </c>
      <c r="F268" s="50" cm="1" t="str">
        <f t="array" ref="F268:F268">OFFSET(E268,-1,1)</f>
        <v>1</v>
      </c>
      <c r="G268" s="73"/>
      <c r="H268" s="73"/>
      <c r="I268" s="73"/>
      <c r="J268" s="73"/>
      <c r="K268" s="73" t="s">
        <v>514</v>
      </c>
      <c r="L268" s="963"/>
      <c r="M268" s="73"/>
      <c r="N268" s="73"/>
      <c r="O268" s="73"/>
      <c r="P268" s="73"/>
      <c r="Q268" s="73"/>
      <c r="R268" s="73"/>
      <c r="S268" s="73"/>
      <c r="T268" s="842" cm="1" t="str">
        <f t="array" ref="T268:T268">T267</f>
        <v>true</v>
      </c>
      <c r="U268" s="73"/>
      <c r="V268" s="73"/>
      <c r="W268" s="73"/>
      <c r="X268" s="1534"/>
      <c r="Y268" s="960"/>
      <c r="Z268" s="1465"/>
      <c r="AA268" s="960"/>
      <c r="AB268" s="778" t="s">
        <v>652</v>
      </c>
      <c r="AC268" s="777" t="s">
        <v>2002</v>
      </c>
      <c r="AD268" s="778" t="s">
        <v>784</v>
      </c>
      <c r="AE268" s="1275"/>
      <c r="AF268" s="1275"/>
      <c r="AG268" s="1275"/>
      <c r="AH268" s="744"/>
      <c r="AI268" s="1275"/>
      <c r="AJ268" s="4600"/>
      <c r="AK268" s="1275"/>
      <c r="AL268" s="1275"/>
      <c r="AM268" s="1275"/>
      <c r="AN268" s="1275"/>
      <c r="AO268" s="1275"/>
      <c r="AP268" s="1275"/>
      <c r="AQ268" s="1275"/>
      <c r="AR268" s="1275"/>
      <c r="AS268" s="1275"/>
      <c r="AT268" s="4600"/>
      <c r="AU268" s="1275"/>
      <c r="AV268" s="1275"/>
      <c r="AW268" s="1275"/>
      <c r="AX268" s="1275"/>
      <c r="AY268" s="1275"/>
      <c r="AZ268" s="1275"/>
      <c r="BA268" s="1275"/>
      <c r="BB268" s="1275"/>
      <c r="BC268" s="1275"/>
      <c r="BD268" s="744"/>
      <c r="BE268" s="744"/>
      <c r="BF268" s="744"/>
      <c r="BG268" s="744"/>
      <c r="BH268" s="744"/>
      <c r="BI268" s="744"/>
      <c r="BJ268" s="744"/>
      <c r="BK268" s="744"/>
      <c r="BL268" s="744"/>
      <c r="BM268" s="744"/>
      <c r="BN268" s="1276"/>
      <c r="BO268" s="1276"/>
      <c r="BP268" s="1276"/>
      <c r="BQ268" s="960"/>
      <c r="BR268" s="960"/>
      <c r="BS268" s="1048" t="s">
        <v>2003</v>
      </c>
      <c r="BT268" s="1048"/>
      <c r="BU268" s="1048"/>
      <c r="BV268" s="962"/>
      <c r="BW268" s="962"/>
    </row>
    <row s="1621" customFormat="1" customHeight="1" ht="14.25" hidden="1">
      <c r="A269" s="960"/>
      <c r="B269" s="842" cm="1" t="str">
        <f t="array" ref="B269:B269">B268</f>
        <v>false</v>
      </c>
      <c r="C269" s="73"/>
      <c r="D269" s="73"/>
      <c r="E269" s="600">
        <v>15</v>
      </c>
      <c r="F269" s="50" cm="1" t="str">
        <f t="array" ref="F269:F269">OFFSET(E269,-1,1)</f>
        <v>1</v>
      </c>
      <c r="G269" s="73"/>
      <c r="H269" s="73"/>
      <c r="I269" s="73"/>
      <c r="J269" s="73"/>
      <c r="K269" s="73" t="s">
        <v>518</v>
      </c>
      <c r="L269" s="963"/>
      <c r="M269" s="73"/>
      <c r="N269" s="73"/>
      <c r="O269" s="73"/>
      <c r="P269" s="73"/>
      <c r="Q269" s="73"/>
      <c r="R269" s="73"/>
      <c r="S269" s="73"/>
      <c r="T269" s="842" cm="1" t="str">
        <f t="array" ref="T269:T269">T268</f>
        <v>true</v>
      </c>
      <c r="U269" s="73"/>
      <c r="V269" s="73"/>
      <c r="W269" s="73"/>
      <c r="X269" s="1534"/>
      <c r="Y269" s="960"/>
      <c r="Z269" s="1465"/>
      <c r="AA269" s="960"/>
      <c r="AB269" s="778" t="s">
        <v>655</v>
      </c>
      <c r="AC269" s="777" t="s">
        <v>2004</v>
      </c>
      <c r="AD269" s="778" t="s">
        <v>2005</v>
      </c>
      <c r="AE269" s="1275"/>
      <c r="AF269" s="1275"/>
      <c r="AG269" s="1275"/>
      <c r="AH269" s="744"/>
      <c r="AI269" s="1275"/>
      <c r="AJ269" s="4600"/>
      <c r="AK269" s="1275"/>
      <c r="AL269" s="1275"/>
      <c r="AM269" s="1275"/>
      <c r="AN269" s="1275"/>
      <c r="AO269" s="1275"/>
      <c r="AP269" s="1275"/>
      <c r="AQ269" s="1275"/>
      <c r="AR269" s="1275"/>
      <c r="AS269" s="1275"/>
      <c r="AT269" s="4600"/>
      <c r="AU269" s="1275"/>
      <c r="AV269" s="1275"/>
      <c r="AW269" s="1275"/>
      <c r="AX269" s="1275"/>
      <c r="AY269" s="1275"/>
      <c r="AZ269" s="1275"/>
      <c r="BA269" s="1275"/>
      <c r="BB269" s="1275"/>
      <c r="BC269" s="1275"/>
      <c r="BD269" s="744"/>
      <c r="BE269" s="744"/>
      <c r="BF269" s="744"/>
      <c r="BG269" s="744"/>
      <c r="BH269" s="744"/>
      <c r="BI269" s="744"/>
      <c r="BJ269" s="744"/>
      <c r="BK269" s="744"/>
      <c r="BL269" s="744"/>
      <c r="BM269" s="744"/>
      <c r="BN269" s="1276"/>
      <c r="BO269" s="1276"/>
      <c r="BP269" s="1276"/>
      <c r="BQ269" s="960"/>
      <c r="BR269" s="960"/>
      <c r="BS269" s="1048" t="s">
        <v>2006</v>
      </c>
      <c r="BT269" s="1048"/>
      <c r="BU269" s="1048"/>
      <c r="BV269" s="962"/>
      <c r="BW269" s="962"/>
    </row>
    <row s="1621" customFormat="1" customHeight="1" ht="14.25" hidden="1">
      <c r="A270" s="960"/>
      <c r="B270" s="842" cm="1" t="str">
        <f t="array" ref="B270:B270">B269</f>
        <v>false</v>
      </c>
      <c r="C270" s="73"/>
      <c r="D270" s="73"/>
      <c r="E270" s="600">
        <v>15</v>
      </c>
      <c r="F270" s="50" cm="1" t="str">
        <f t="array" ref="F270:F270">OFFSET(E270,-1,1)</f>
        <v>1</v>
      </c>
      <c r="G270" s="73"/>
      <c r="H270" s="73"/>
      <c r="I270" s="73"/>
      <c r="J270" s="73"/>
      <c r="K270" s="73" t="s">
        <v>328</v>
      </c>
      <c r="L270" s="963"/>
      <c r="M270" s="73"/>
      <c r="N270" s="73"/>
      <c r="O270" s="73"/>
      <c r="P270" s="73"/>
      <c r="Q270" s="73"/>
      <c r="R270" s="73"/>
      <c r="S270" s="73"/>
      <c r="T270" s="842" cm="1" t="str">
        <f t="array" ref="T270:T270">T269</f>
        <v>true</v>
      </c>
      <c r="U270" s="73"/>
      <c r="V270" s="73"/>
      <c r="W270" s="73"/>
      <c r="X270" s="1534"/>
      <c r="Y270" s="960"/>
      <c r="Z270" s="1465"/>
      <c r="AA270" s="960"/>
      <c r="AB270" s="775" t="s">
        <v>492</v>
      </c>
      <c r="AC270" s="774" t="s">
        <v>2007</v>
      </c>
      <c r="AD270" s="775" t="s">
        <v>784</v>
      </c>
      <c r="AE270" s="1273"/>
      <c r="AF270" s="1273"/>
      <c r="AG270" s="1273"/>
      <c r="AH270" s="742">
        <f>AG270-AF270</f>
        <v>0</v>
      </c>
      <c r="AI270" s="1273"/>
      <c r="AJ270" s="4595"/>
      <c r="AK270" s="1273"/>
      <c r="AL270" s="1273"/>
      <c r="AM270" s="1273"/>
      <c r="AN270" s="1273"/>
      <c r="AO270" s="1273"/>
      <c r="AP270" s="1273"/>
      <c r="AQ270" s="1273"/>
      <c r="AR270" s="1273"/>
      <c r="AS270" s="1273"/>
      <c r="AT270" s="4595"/>
      <c r="AU270" s="1273"/>
      <c r="AV270" s="1273"/>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2008</v>
      </c>
      <c r="BT270" s="1048"/>
      <c r="BU270" s="1048"/>
      <c r="BV270" s="962"/>
      <c r="BW270" s="962"/>
    </row>
    <row s="1621" customFormat="1" customHeight="1" ht="14.25" hidden="1">
      <c r="A271" s="960"/>
      <c r="B271" s="842" cm="1" t="str">
        <f t="array" ref="B271:B271">B270</f>
        <v>false</v>
      </c>
      <c r="C271" s="73"/>
      <c r="D271" s="73"/>
      <c r="E271" s="600">
        <v>15</v>
      </c>
      <c r="F271" s="50" cm="1" t="str">
        <f t="array" ref="F271:F271">OFFSET(E271,-1,1)</f>
        <v>1</v>
      </c>
      <c r="G271" s="73"/>
      <c r="H271" s="73"/>
      <c r="I271" s="73"/>
      <c r="J271" s="73"/>
      <c r="K271" s="73" t="s">
        <v>528</v>
      </c>
      <c r="L271" s="963"/>
      <c r="M271" s="73"/>
      <c r="N271" s="73"/>
      <c r="O271" s="73"/>
      <c r="P271" s="73"/>
      <c r="Q271" s="73"/>
      <c r="R271" s="73"/>
      <c r="S271" s="73"/>
      <c r="T271" s="842" cm="1" t="str">
        <f t="array" ref="T271:T271">T270</f>
        <v>true</v>
      </c>
      <c r="U271" s="73"/>
      <c r="V271" s="73"/>
      <c r="W271" s="73"/>
      <c r="X271" s="1534"/>
      <c r="Y271" s="960"/>
      <c r="Z271" s="1465"/>
      <c r="AA271" s="960"/>
      <c r="AB271" s="778" t="s">
        <v>659</v>
      </c>
      <c r="AC271" s="777" t="s">
        <v>2009</v>
      </c>
      <c r="AD271" s="778" t="s">
        <v>784</v>
      </c>
      <c r="AE271" s="1275"/>
      <c r="AF271" s="1275"/>
      <c r="AG271" s="1275"/>
      <c r="AH271" s="744"/>
      <c r="AI271" s="1275"/>
      <c r="AJ271" s="4600"/>
      <c r="AK271" s="1275"/>
      <c r="AL271" s="1275"/>
      <c r="AM271" s="1275"/>
      <c r="AN271" s="1275"/>
      <c r="AO271" s="1275"/>
      <c r="AP271" s="1275"/>
      <c r="AQ271" s="1275"/>
      <c r="AR271" s="1275"/>
      <c r="AS271" s="1275"/>
      <c r="AT271" s="4600"/>
      <c r="AU271" s="1275"/>
      <c r="AV271" s="1275"/>
      <c r="AW271" s="1275"/>
      <c r="AX271" s="1275"/>
      <c r="AY271" s="1275"/>
      <c r="AZ271" s="1275"/>
      <c r="BA271" s="1275"/>
      <c r="BB271" s="1275"/>
      <c r="BC271" s="1275"/>
      <c r="BD271" s="744"/>
      <c r="BE271" s="744"/>
      <c r="BF271" s="744"/>
      <c r="BG271" s="744"/>
      <c r="BH271" s="744"/>
      <c r="BI271" s="744"/>
      <c r="BJ271" s="744"/>
      <c r="BK271" s="744"/>
      <c r="BL271" s="744"/>
      <c r="BM271" s="744"/>
      <c r="BN271" s="1276"/>
      <c r="BO271" s="1276"/>
      <c r="BP271" s="1276"/>
      <c r="BQ271" s="960"/>
      <c r="BR271" s="960"/>
      <c r="BS271" s="1048" t="s">
        <v>2010</v>
      </c>
      <c r="BT271" s="1048"/>
      <c r="BU271" s="1048"/>
      <c r="BV271" s="962"/>
      <c r="BW271" s="962"/>
    </row>
    <row s="1621" customFormat="1" customHeight="1" ht="14.25" hidden="1">
      <c r="A272" s="960"/>
      <c r="B272" s="842" cm="1" t="str">
        <f t="array" ref="B272:B272">B271</f>
        <v>false</v>
      </c>
      <c r="C272" s="73"/>
      <c r="D272" s="73"/>
      <c r="E272" s="600">
        <v>15</v>
      </c>
      <c r="F272" s="50" cm="1" t="str">
        <f t="array" ref="F272:F272">OFFSET(E272,-1,1)</f>
        <v>1</v>
      </c>
      <c r="G272" s="73"/>
      <c r="H272" s="73"/>
      <c r="I272" s="73"/>
      <c r="J272" s="73"/>
      <c r="K272" s="73" t="s">
        <v>532</v>
      </c>
      <c r="L272" s="963"/>
      <c r="M272" s="73"/>
      <c r="N272" s="73"/>
      <c r="O272" s="73"/>
      <c r="P272" s="73"/>
      <c r="Q272" s="73"/>
      <c r="R272" s="73"/>
      <c r="S272" s="73"/>
      <c r="T272" s="842" cm="1" t="str">
        <f t="array" ref="T272:T272">T271</f>
        <v>true</v>
      </c>
      <c r="U272" s="73"/>
      <c r="V272" s="73"/>
      <c r="W272" s="73"/>
      <c r="X272" s="1534"/>
      <c r="Y272" s="960"/>
      <c r="Z272" s="1465"/>
      <c r="AA272" s="960"/>
      <c r="AB272" s="778" t="s">
        <v>662</v>
      </c>
      <c r="AC272" s="777" t="s">
        <v>2011</v>
      </c>
      <c r="AD272" s="778" t="s">
        <v>437</v>
      </c>
      <c r="AE272" s="1275"/>
      <c r="AF272" s="1275"/>
      <c r="AG272" s="1275"/>
      <c r="AH272" s="744"/>
      <c r="AI272" s="1275"/>
      <c r="AJ272" s="4600"/>
      <c r="AK272" s="1275"/>
      <c r="AL272" s="1275"/>
      <c r="AM272" s="1275"/>
      <c r="AN272" s="1275"/>
      <c r="AO272" s="1275"/>
      <c r="AP272" s="1275"/>
      <c r="AQ272" s="1275"/>
      <c r="AR272" s="1275"/>
      <c r="AS272" s="1275"/>
      <c r="AT272" s="4600"/>
      <c r="AU272" s="1275"/>
      <c r="AV272" s="1275"/>
      <c r="AW272" s="1275"/>
      <c r="AX272" s="1275"/>
      <c r="AY272" s="1275"/>
      <c r="AZ272" s="1275"/>
      <c r="BA272" s="1275"/>
      <c r="BB272" s="1275"/>
      <c r="BC272" s="1275"/>
      <c r="BD272" s="744"/>
      <c r="BE272" s="744"/>
      <c r="BF272" s="744"/>
      <c r="BG272" s="744"/>
      <c r="BH272" s="744"/>
      <c r="BI272" s="744"/>
      <c r="BJ272" s="744"/>
      <c r="BK272" s="744"/>
      <c r="BL272" s="744"/>
      <c r="BM272" s="744"/>
      <c r="BN272" s="1276"/>
      <c r="BO272" s="1276"/>
      <c r="BP272" s="1276"/>
      <c r="BQ272" s="960"/>
      <c r="BR272" s="960"/>
      <c r="BS272" s="1048" t="s">
        <v>2012</v>
      </c>
      <c r="BT272" s="1048"/>
      <c r="BU272" s="1048"/>
      <c r="BV272" s="962"/>
      <c r="BW272" s="962"/>
    </row>
    <row s="1621" customFormat="1" customHeight="1" ht="14.25" hidden="1">
      <c r="A273" s="960"/>
      <c r="B273" s="842" cm="1" t="str">
        <f t="array" ref="B273:B273">B272</f>
        <v>false</v>
      </c>
      <c r="C273" s="73"/>
      <c r="D273" s="73"/>
      <c r="E273" s="600">
        <v>15</v>
      </c>
      <c r="F273" s="50" cm="1" t="str">
        <f t="array" ref="F273:F273">OFFSET(E273,-1,1)</f>
        <v>1</v>
      </c>
      <c r="G273" s="73"/>
      <c r="H273" s="73"/>
      <c r="I273" s="73"/>
      <c r="J273" s="73"/>
      <c r="K273" s="73" t="s">
        <v>749</v>
      </c>
      <c r="L273" s="963"/>
      <c r="M273" s="73"/>
      <c r="N273" s="73"/>
      <c r="O273" s="73"/>
      <c r="P273" s="73"/>
      <c r="Q273" s="73"/>
      <c r="R273" s="73"/>
      <c r="S273" s="73"/>
      <c r="T273" s="842" cm="1" t="str">
        <f t="array" ref="T273:T273">T272</f>
        <v>true</v>
      </c>
      <c r="U273" s="73"/>
      <c r="V273" s="73"/>
      <c r="W273" s="73"/>
      <c r="X273" s="1534"/>
      <c r="Y273" s="960"/>
      <c r="Z273" s="1465"/>
      <c r="AA273" s="960"/>
      <c r="AB273" s="778" t="s">
        <v>900</v>
      </c>
      <c r="AC273" s="777" t="s">
        <v>2013</v>
      </c>
      <c r="AD273" s="778" t="s">
        <v>784</v>
      </c>
      <c r="AE273" s="1275"/>
      <c r="AF273" s="1275"/>
      <c r="AG273" s="1275"/>
      <c r="AH273" s="744"/>
      <c r="AI273" s="1275"/>
      <c r="AJ273" s="4600"/>
      <c r="AK273" s="1275"/>
      <c r="AL273" s="1275"/>
      <c r="AM273" s="1275"/>
      <c r="AN273" s="1275"/>
      <c r="AO273" s="1275"/>
      <c r="AP273" s="1275"/>
      <c r="AQ273" s="1275"/>
      <c r="AR273" s="1275"/>
      <c r="AS273" s="1275"/>
      <c r="AT273" s="4600"/>
      <c r="AU273" s="1275"/>
      <c r="AV273" s="1275"/>
      <c r="AW273" s="1275"/>
      <c r="AX273" s="1275"/>
      <c r="AY273" s="1275"/>
      <c r="AZ273" s="1275"/>
      <c r="BA273" s="1275"/>
      <c r="BB273" s="1275"/>
      <c r="BC273" s="1275"/>
      <c r="BD273" s="744"/>
      <c r="BE273" s="744"/>
      <c r="BF273" s="744"/>
      <c r="BG273" s="744"/>
      <c r="BH273" s="744"/>
      <c r="BI273" s="744"/>
      <c r="BJ273" s="744"/>
      <c r="BK273" s="744"/>
      <c r="BL273" s="744"/>
      <c r="BM273" s="744"/>
      <c r="BN273" s="1276"/>
      <c r="BO273" s="1276"/>
      <c r="BP273" s="1276"/>
      <c r="BQ273" s="960"/>
      <c r="BR273" s="960"/>
      <c r="BS273" s="1048" t="s">
        <v>2014</v>
      </c>
      <c r="BT273" s="1048"/>
      <c r="BU273" s="1048"/>
      <c r="BV273" s="962"/>
      <c r="BW273" s="962"/>
    </row>
    <row s="1621" customFormat="1" customHeight="1" ht="14.25" hidden="1">
      <c r="A274" s="960"/>
      <c r="B274" s="842" cm="1" t="str">
        <f t="array" ref="B274:B274">B273</f>
        <v>false</v>
      </c>
      <c r="C274" s="73"/>
      <c r="D274" s="73"/>
      <c r="E274" s="600">
        <v>15</v>
      </c>
      <c r="F274" s="50" cm="1" t="str">
        <f t="array" ref="F274:F274">OFFSET(E274,-1,1)</f>
        <v>1</v>
      </c>
      <c r="G274" s="73"/>
      <c r="H274" s="73"/>
      <c r="I274" s="73"/>
      <c r="J274" s="73"/>
      <c r="K274" s="73" t="s">
        <v>902</v>
      </c>
      <c r="L274" s="963"/>
      <c r="M274" s="73"/>
      <c r="N274" s="73"/>
      <c r="O274" s="73"/>
      <c r="P274" s="73"/>
      <c r="Q274" s="73"/>
      <c r="R274" s="73"/>
      <c r="S274" s="73"/>
      <c r="T274" s="842" cm="1" t="str">
        <f t="array" ref="T274:T274">T273</f>
        <v>true</v>
      </c>
      <c r="U274" s="73"/>
      <c r="V274" s="73"/>
      <c r="W274" s="73"/>
      <c r="X274" s="1534"/>
      <c r="Y274" s="960"/>
      <c r="Z274" s="1465"/>
      <c r="AA274" s="960"/>
      <c r="AB274" s="778" t="s">
        <v>903</v>
      </c>
      <c r="AC274" s="777" t="s">
        <v>2015</v>
      </c>
      <c r="AD274" s="778" t="s">
        <v>784</v>
      </c>
      <c r="AE274" s="1275"/>
      <c r="AF274" s="1275"/>
      <c r="AG274" s="1275"/>
      <c r="AH274" s="744"/>
      <c r="AI274" s="1275"/>
      <c r="AJ274" s="4600"/>
      <c r="AK274" s="1275"/>
      <c r="AL274" s="1275"/>
      <c r="AM274" s="1275"/>
      <c r="AN274" s="1275"/>
      <c r="AO274" s="1275"/>
      <c r="AP274" s="1275"/>
      <c r="AQ274" s="1275"/>
      <c r="AR274" s="1275"/>
      <c r="AS274" s="1275"/>
      <c r="AT274" s="4600"/>
      <c r="AU274" s="1275"/>
      <c r="AV274" s="1275"/>
      <c r="AW274" s="1275"/>
      <c r="AX274" s="1275"/>
      <c r="AY274" s="1275"/>
      <c r="AZ274" s="1275"/>
      <c r="BA274" s="1275"/>
      <c r="BB274" s="1275"/>
      <c r="BC274" s="1275"/>
      <c r="BD274" s="744"/>
      <c r="BE274" s="744"/>
      <c r="BF274" s="744"/>
      <c r="BG274" s="744"/>
      <c r="BH274" s="744"/>
      <c r="BI274" s="744"/>
      <c r="BJ274" s="744"/>
      <c r="BK274" s="744"/>
      <c r="BL274" s="744"/>
      <c r="BM274" s="744"/>
      <c r="BN274" s="1276"/>
      <c r="BO274" s="1276"/>
      <c r="BP274" s="1276"/>
      <c r="BQ274" s="960"/>
      <c r="BR274" s="960"/>
      <c r="BS274" s="1048" t="s">
        <v>2016</v>
      </c>
      <c r="BT274" s="1048"/>
      <c r="BU274" s="1048"/>
      <c r="BV274" s="962"/>
      <c r="BW274" s="962"/>
    </row>
    <row s="1621" customFormat="1" customHeight="1" ht="14.25" hidden="1">
      <c r="A275" s="960"/>
      <c r="B275" s="842" cm="1" t="str">
        <f t="array" ref="B275:B275">B274</f>
        <v>false</v>
      </c>
      <c r="C275" s="73"/>
      <c r="D275" s="73"/>
      <c r="E275" s="600">
        <v>15</v>
      </c>
      <c r="F275" s="50" cm="1" t="str">
        <f t="array" ref="F275:F275">OFFSET(E275,-1,1)</f>
        <v>1</v>
      </c>
      <c r="G275" s="73"/>
      <c r="H275" s="73"/>
      <c r="I275" s="73"/>
      <c r="J275" s="73"/>
      <c r="K275" s="73" t="s">
        <v>2017</v>
      </c>
      <c r="L275" s="963"/>
      <c r="M275" s="73"/>
      <c r="N275" s="73"/>
      <c r="O275" s="73"/>
      <c r="P275" s="73"/>
      <c r="Q275" s="73"/>
      <c r="R275" s="73"/>
      <c r="S275" s="73"/>
      <c r="T275" s="842" cm="1" t="str">
        <f t="array" ref="T275:T275">T274</f>
        <v>true</v>
      </c>
      <c r="U275" s="73"/>
      <c r="V275" s="73"/>
      <c r="W275" s="73"/>
      <c r="X275" s="1534"/>
      <c r="Y275" s="960"/>
      <c r="Z275" s="1465"/>
      <c r="AA275" s="960"/>
      <c r="AB275" s="778" t="s">
        <v>2018</v>
      </c>
      <c r="AC275" s="779" t="s">
        <v>2019</v>
      </c>
      <c r="AD275" s="778" t="s">
        <v>437</v>
      </c>
      <c r="AE275" s="1275"/>
      <c r="AF275" s="1275"/>
      <c r="AG275" s="1275"/>
      <c r="AH275" s="744"/>
      <c r="AI275" s="1275"/>
      <c r="AJ275" s="4600"/>
      <c r="AK275" s="1275"/>
      <c r="AL275" s="1275"/>
      <c r="AM275" s="1275"/>
      <c r="AN275" s="1275"/>
      <c r="AO275" s="1275"/>
      <c r="AP275" s="1275"/>
      <c r="AQ275" s="1275"/>
      <c r="AR275" s="1275"/>
      <c r="AS275" s="1275"/>
      <c r="AT275" s="4600"/>
      <c r="AU275" s="1275"/>
      <c r="AV275" s="1275"/>
      <c r="AW275" s="1275"/>
      <c r="AX275" s="1275"/>
      <c r="AY275" s="1275"/>
      <c r="AZ275" s="1275"/>
      <c r="BA275" s="1275"/>
      <c r="BB275" s="1275"/>
      <c r="BC275" s="1275"/>
      <c r="BD275" s="744"/>
      <c r="BE275" s="744"/>
      <c r="BF275" s="744"/>
      <c r="BG275" s="744"/>
      <c r="BH275" s="744"/>
      <c r="BI275" s="744"/>
      <c r="BJ275" s="744"/>
      <c r="BK275" s="744"/>
      <c r="BL275" s="744"/>
      <c r="BM275" s="744"/>
      <c r="BN275" s="1276"/>
      <c r="BO275" s="1276"/>
      <c r="BP275" s="1276"/>
      <c r="BQ275" s="960"/>
      <c r="BR275" s="960"/>
      <c r="BS275" s="1048" t="s">
        <v>2020</v>
      </c>
      <c r="BT275" s="1048"/>
      <c r="BU275" s="1048"/>
      <c r="BV275" s="962"/>
      <c r="BW275" s="962"/>
    </row>
    <row s="1621" customFormat="1" customHeight="1" ht="14.25" hidden="1">
      <c r="A276" s="960"/>
      <c r="B276" s="842" cm="1" t="str">
        <f t="array" ref="B276:B276">B275</f>
        <v>false</v>
      </c>
      <c r="C276" s="73"/>
      <c r="D276" s="73"/>
      <c r="E276" s="600">
        <v>15</v>
      </c>
      <c r="F276" s="50" cm="1" t="str">
        <f t="array" ref="F276:F276">OFFSET(E276,-1,1)</f>
        <v>1</v>
      </c>
      <c r="G276" s="73"/>
      <c r="H276" s="73"/>
      <c r="I276" s="73"/>
      <c r="J276" s="73"/>
      <c r="K276" s="73" t="s">
        <v>905</v>
      </c>
      <c r="L276" s="963"/>
      <c r="M276" s="73"/>
      <c r="N276" s="73"/>
      <c r="O276" s="73"/>
      <c r="P276" s="73"/>
      <c r="Q276" s="73"/>
      <c r="R276" s="73"/>
      <c r="S276" s="73"/>
      <c r="T276" s="842" cm="1" t="str">
        <f t="array" ref="T276:T276">T275</f>
        <v>true</v>
      </c>
      <c r="U276" s="73"/>
      <c r="V276" s="73"/>
      <c r="W276" s="73"/>
      <c r="X276" s="1534"/>
      <c r="Y276" s="960"/>
      <c r="Z276" s="1465"/>
      <c r="AA276" s="960"/>
      <c r="AB276" s="778" t="s">
        <v>906</v>
      </c>
      <c r="AC276" s="777" t="s">
        <v>2021</v>
      </c>
      <c r="AD276" s="778" t="s">
        <v>437</v>
      </c>
      <c r="AE276" s="1275"/>
      <c r="AF276" s="1275"/>
      <c r="AG276" s="1275"/>
      <c r="AH276" s="744"/>
      <c r="AI276" s="1275"/>
      <c r="AJ276" s="4600"/>
      <c r="AK276" s="1275"/>
      <c r="AL276" s="1275"/>
      <c r="AM276" s="1275"/>
      <c r="AN276" s="1275"/>
      <c r="AO276" s="1275"/>
      <c r="AP276" s="1275"/>
      <c r="AQ276" s="1275"/>
      <c r="AR276" s="1275"/>
      <c r="AS276" s="1275"/>
      <c r="AT276" s="4600"/>
      <c r="AU276" s="1275"/>
      <c r="AV276" s="1275"/>
      <c r="AW276" s="1275"/>
      <c r="AX276" s="1275"/>
      <c r="AY276" s="1275"/>
      <c r="AZ276" s="1275"/>
      <c r="BA276" s="1275"/>
      <c r="BB276" s="1275"/>
      <c r="BC276" s="1275"/>
      <c r="BD276" s="744"/>
      <c r="BE276" s="744"/>
      <c r="BF276" s="744"/>
      <c r="BG276" s="744"/>
      <c r="BH276" s="744"/>
      <c r="BI276" s="744"/>
      <c r="BJ276" s="744"/>
      <c r="BK276" s="744"/>
      <c r="BL276" s="744"/>
      <c r="BM276" s="744"/>
      <c r="BN276" s="1276"/>
      <c r="BO276" s="1276"/>
      <c r="BP276" s="1276"/>
      <c r="BQ276" s="960"/>
      <c r="BR276" s="960"/>
      <c r="BS276" s="1048" t="s">
        <v>2022</v>
      </c>
      <c r="BT276" s="1048"/>
      <c r="BU276" s="1048"/>
      <c r="BV276" s="962"/>
      <c r="BW276" s="962"/>
    </row>
    <row s="1621" customFormat="1" customHeight="1" ht="14.25" hidden="1">
      <c r="A277" s="960"/>
      <c r="B277" s="842" cm="1" t="str">
        <f t="array" ref="B277:B277">B276</f>
        <v>false</v>
      </c>
      <c r="C277" s="73"/>
      <c r="D277" s="73"/>
      <c r="E277" s="600">
        <v>15</v>
      </c>
      <c r="F277" s="50" cm="1" t="str">
        <f t="array" ref="F277:F277">OFFSET(E277,-1,1)</f>
        <v>1</v>
      </c>
      <c r="G277" s="73"/>
      <c r="H277" s="73"/>
      <c r="I277" s="73"/>
      <c r="J277" s="73"/>
      <c r="K277" s="73" t="s">
        <v>2023</v>
      </c>
      <c r="L277" s="963"/>
      <c r="M277" s="73"/>
      <c r="N277" s="73"/>
      <c r="O277" s="73"/>
      <c r="P277" s="73"/>
      <c r="Q277" s="73"/>
      <c r="R277" s="73"/>
      <c r="S277" s="73"/>
      <c r="T277" s="842" cm="1" t="str">
        <f t="array" ref="T277:T277">T276</f>
        <v>true</v>
      </c>
      <c r="U277" s="73"/>
      <c r="V277" s="73"/>
      <c r="W277" s="73"/>
      <c r="X277" s="1534"/>
      <c r="Y277" s="960"/>
      <c r="Z277" s="1465"/>
      <c r="AA277" s="960"/>
      <c r="AB277" s="778" t="s">
        <v>2024</v>
      </c>
      <c r="AC277" s="779" t="s">
        <v>2025</v>
      </c>
      <c r="AD277" s="778" t="s">
        <v>437</v>
      </c>
      <c r="AE277" s="1275"/>
      <c r="AF277" s="1275"/>
      <c r="AG277" s="1275"/>
      <c r="AH277" s="744"/>
      <c r="AI277" s="1275"/>
      <c r="AJ277" s="4600"/>
      <c r="AK277" s="1275"/>
      <c r="AL277" s="1275"/>
      <c r="AM277" s="1275"/>
      <c r="AN277" s="1275"/>
      <c r="AO277" s="1275"/>
      <c r="AP277" s="1275"/>
      <c r="AQ277" s="1275"/>
      <c r="AR277" s="1275"/>
      <c r="AS277" s="1275"/>
      <c r="AT277" s="4600"/>
      <c r="AU277" s="1275"/>
      <c r="AV277" s="1275"/>
      <c r="AW277" s="1275"/>
      <c r="AX277" s="1275"/>
      <c r="AY277" s="1275"/>
      <c r="AZ277" s="1275"/>
      <c r="BA277" s="1275"/>
      <c r="BB277" s="1275"/>
      <c r="BC277" s="1275"/>
      <c r="BD277" s="744"/>
      <c r="BE277" s="744"/>
      <c r="BF277" s="744"/>
      <c r="BG277" s="744"/>
      <c r="BH277" s="744"/>
      <c r="BI277" s="744"/>
      <c r="BJ277" s="744"/>
      <c r="BK277" s="744"/>
      <c r="BL277" s="744"/>
      <c r="BM277" s="744"/>
      <c r="BN277" s="1276"/>
      <c r="BO277" s="1276"/>
      <c r="BP277" s="1276"/>
      <c r="BQ277" s="960"/>
      <c r="BR277" s="960"/>
      <c r="BS277" s="1048" t="s">
        <v>2026</v>
      </c>
      <c r="BT277" s="1048"/>
      <c r="BU277" s="1048"/>
      <c r="BV277" s="962"/>
      <c r="BW277" s="962"/>
    </row>
    <row s="1621" customFormat="1" customHeight="1" ht="14.25" hidden="1">
      <c r="A278" s="960"/>
      <c r="B278" s="842" cm="1" t="str">
        <f t="array" ref="B278:B278">B277</f>
        <v>false</v>
      </c>
      <c r="C278" s="73"/>
      <c r="D278" s="73"/>
      <c r="E278" s="600">
        <v>15</v>
      </c>
      <c r="F278" s="50" cm="1" t="str">
        <f t="array" ref="F278:F278">OFFSET(E278,-1,1)</f>
        <v>1</v>
      </c>
      <c r="G278" s="73"/>
      <c r="H278" s="73"/>
      <c r="I278" s="73"/>
      <c r="J278" s="73"/>
      <c r="K278" s="73" t="s">
        <v>2027</v>
      </c>
      <c r="L278" s="963"/>
      <c r="M278" s="73"/>
      <c r="N278" s="73"/>
      <c r="O278" s="73"/>
      <c r="P278" s="73"/>
      <c r="Q278" s="73"/>
      <c r="R278" s="73"/>
      <c r="S278" s="73"/>
      <c r="T278" s="842" cm="1" t="str">
        <f t="array" ref="T278:T278">T277</f>
        <v>true</v>
      </c>
      <c r="U278" s="73"/>
      <c r="V278" s="73"/>
      <c r="W278" s="73"/>
      <c r="X278" s="1534"/>
      <c r="Y278" s="960"/>
      <c r="Z278" s="1465"/>
      <c r="AA278" s="960"/>
      <c r="AB278" s="778" t="s">
        <v>2028</v>
      </c>
      <c r="AC278" s="779" t="s">
        <v>2029</v>
      </c>
      <c r="AD278" s="778" t="s">
        <v>437</v>
      </c>
      <c r="AE278" s="1275"/>
      <c r="AF278" s="1275"/>
      <c r="AG278" s="1275"/>
      <c r="AH278" s="744"/>
      <c r="AI278" s="1275"/>
      <c r="AJ278" s="4600"/>
      <c r="AK278" s="1275"/>
      <c r="AL278" s="1275"/>
      <c r="AM278" s="1275"/>
      <c r="AN278" s="1275"/>
      <c r="AO278" s="1275"/>
      <c r="AP278" s="1275"/>
      <c r="AQ278" s="1275"/>
      <c r="AR278" s="1275"/>
      <c r="AS278" s="1275"/>
      <c r="AT278" s="4600"/>
      <c r="AU278" s="1275"/>
      <c r="AV278" s="1275"/>
      <c r="AW278" s="1275"/>
      <c r="AX278" s="1275"/>
      <c r="AY278" s="1275"/>
      <c r="AZ278" s="1275"/>
      <c r="BA278" s="1275"/>
      <c r="BB278" s="1275"/>
      <c r="BC278" s="1275"/>
      <c r="BD278" s="744"/>
      <c r="BE278" s="744"/>
      <c r="BF278" s="744"/>
      <c r="BG278" s="744"/>
      <c r="BH278" s="744"/>
      <c r="BI278" s="744"/>
      <c r="BJ278" s="744"/>
      <c r="BK278" s="744"/>
      <c r="BL278" s="744"/>
      <c r="BM278" s="744"/>
      <c r="BN278" s="1276"/>
      <c r="BO278" s="1276"/>
      <c r="BP278" s="1276"/>
      <c r="BQ278" s="960"/>
      <c r="BR278" s="960"/>
      <c r="BS278" s="1048" t="s">
        <v>2030</v>
      </c>
      <c r="BT278" s="1048"/>
      <c r="BU278" s="1048"/>
      <c r="BV278" s="962"/>
      <c r="BW278" s="962"/>
    </row>
    <row s="4671" customFormat="1" customHeight="1" ht="20.475">
      <c r="A279" s="680"/>
      <c r="B279" s="408"/>
      <c r="C279" s="75"/>
      <c r="D279" s="75" t="str">
        <f>IF(B278,"6","7")</f>
        <v>7</v>
      </c>
      <c r="E279" s="807">
        <v>21</v>
      </c>
      <c r="F279" s="50" cm="1" t="str">
        <f t="array" ref="F279:F279">OFFSET(E279,-1,1)</f>
        <v>1</v>
      </c>
      <c r="G279" s="73" t="s">
        <v>2031</v>
      </c>
      <c r="H279" s="73"/>
      <c r="I279" s="351" t="s">
        <v>2032</v>
      </c>
      <c r="J279" s="75"/>
      <c r="K279" s="347" t="s">
        <v>2032</v>
      </c>
      <c r="L279" s="968"/>
      <c r="M279" s="75"/>
      <c r="N279" s="75"/>
      <c r="O279" s="75"/>
      <c r="P279" s="75"/>
      <c r="Q279" s="75"/>
      <c r="R279" s="75"/>
      <c r="S279" s="75"/>
      <c r="T279" s="439" cm="1" t="str">
        <f t="array" ref="T279:T279">T278</f>
        <v>true</v>
      </c>
      <c r="U279" s="75"/>
      <c r="V279" s="75"/>
      <c r="W279" s="75"/>
      <c r="X279" s="1534"/>
      <c r="Y279" s="680"/>
      <c r="Z279" s="1465"/>
      <c r="AA279" s="680"/>
      <c r="AB279" s="178" cm="1" t="str">
        <f t="array" ref="AB279:AB279">D279</f>
        <v>7</v>
      </c>
      <c r="AC279" s="186" t="s">
        <v>1473</v>
      </c>
      <c r="AD279" s="178" t="s">
        <v>784</v>
      </c>
      <c r="AE279" s="4606">
        <v>-306.2058428262</v>
      </c>
      <c r="AF279" s="4606"/>
      <c r="AG279" s="4606"/>
      <c r="AH279" s="759">
        <f>AG279-AF279</f>
        <v>0</v>
      </c>
      <c r="AI279" s="4606"/>
      <c r="AJ279" s="4561">
        <v>487.1680486313</v>
      </c>
      <c r="AK279" s="1264"/>
      <c r="AL279" s="1264"/>
      <c r="AM279" s="4606"/>
      <c r="AN279" s="4606"/>
      <c r="AO279" s="4606"/>
      <c r="AP279" s="4606"/>
      <c r="AQ279" s="4606"/>
      <c r="AR279" s="4606"/>
      <c r="AS279" s="4606"/>
      <c r="AT279" s="4561">
        <v>25.112302652</v>
      </c>
      <c r="AU279" s="1264"/>
      <c r="AV279" s="1264"/>
      <c r="AW279" s="4606"/>
      <c r="AX279" s="4606"/>
      <c r="AY279" s="4606"/>
      <c r="AZ279" s="4606"/>
      <c r="BA279" s="4606"/>
      <c r="BB279" s="4606"/>
      <c r="BC279" s="4606"/>
      <c r="BD279" s="759">
        <f>IF(AI279=0,0,(AT279-AI279)/AI279*100)</f>
        <v>0</v>
      </c>
      <c r="BE279" s="759">
        <f>IF(AT279=0,0,(AU279-AT279)/AT279*100)</f>
        <v>-100</v>
      </c>
      <c r="BF279" s="759">
        <f>IF(AU279=0,0,(AV279-AU279)/AU279*100)</f>
        <v>0</v>
      </c>
      <c r="BG279" s="759">
        <f>IF(AV279=0,0,(AW279-AV279)/AV279*100)</f>
        <v>0</v>
      </c>
      <c r="BH279" s="759">
        <f>IF(AW279=0,0,(AX279-AW279)/AW279*100)</f>
        <v>0</v>
      </c>
      <c r="BI279" s="759">
        <f>IF(AX279=0,0,(AY279-AX279)/AX279*100)</f>
        <v>0</v>
      </c>
      <c r="BJ279" s="759">
        <f>IF(AY279=0,0,(AZ279-AY279)/AY279*100)</f>
        <v>0</v>
      </c>
      <c r="BK279" s="759">
        <f>IF(AZ279=0,0,(BA279-AZ279)/AZ279*100)</f>
        <v>0</v>
      </c>
      <c r="BL279" s="759">
        <f>IF(BA279=0,0,(BB279-BA279)/BA279*100)</f>
        <v>0</v>
      </c>
      <c r="BM279" s="759">
        <f>IF(BB279=0,0,(BC279-BB279)/BB279*100)</f>
        <v>0</v>
      </c>
      <c r="BN279" s="4618"/>
      <c r="BO279" s="4619" t="str">
        <f>IF(_xlfn.IFERROR(INDEX('Корректировка НВВ'!$K$26:$L$180,MATCH($F279&amp;"11komm",'Корректировка НВВ'!$K$26:$K$180,0),2),"")=0,"",_xlfn.IFERROR(INDEX('Корректировка НВВ'!$K$26:$L$180,MATCH($F279&amp;"11komm",'Корректировка НВВ'!$K$26:$K$180,0),2),""))</f>
        <v/>
      </c>
      <c r="BP279" s="4618"/>
      <c r="BQ279" s="680"/>
      <c r="BR279" s="680"/>
      <c r="BS279" s="1054" t="s">
        <v>2033</v>
      </c>
      <c r="BT279" s="1054"/>
      <c r="BU279" s="1054"/>
      <c r="BV279" s="687"/>
      <c r="BW279" s="687"/>
    </row>
    <row s="1621" customFormat="1" customHeight="1" ht="14.25">
      <c r="A280" s="960"/>
      <c r="B280" s="961"/>
      <c r="C280" s="73"/>
      <c r="D280" s="73" cm="1" t="str">
        <f t="array" ref="D280:D280">D279</f>
        <v>7</v>
      </c>
      <c r="E280" s="600">
        <v>15</v>
      </c>
      <c r="F280" s="50" cm="1" t="str">
        <f t="array" ref="F280:F280">OFFSET(E280,-1,1)</f>
        <v>1</v>
      </c>
      <c r="G280" s="73"/>
      <c r="H280" s="73"/>
      <c r="I280" s="73"/>
      <c r="J280" s="73"/>
      <c r="K280" s="960"/>
      <c r="L280" s="963"/>
      <c r="M280" s="73"/>
      <c r="N280" s="73"/>
      <c r="O280" s="73"/>
      <c r="P280" s="73"/>
      <c r="Q280" s="73"/>
      <c r="R280" s="73"/>
      <c r="S280" s="73"/>
      <c r="T280" s="439" cm="1" t="str">
        <f t="array" ref="T280:T280">T279</f>
        <v>true</v>
      </c>
      <c r="U280" s="73"/>
      <c r="V280" s="73"/>
      <c r="W280" s="73"/>
      <c r="X280" s="1534"/>
      <c r="Y280" s="960"/>
      <c r="Z280" s="1465"/>
      <c r="AA280" s="960"/>
      <c r="AB280" s="267"/>
      <c r="AC280" s="425" t="s">
        <v>2034</v>
      </c>
      <c r="AD280" s="267"/>
      <c r="AE280" s="1100"/>
      <c r="AF280" s="1100"/>
      <c r="AG280" s="1100"/>
      <c r="AH280" s="1100"/>
      <c r="AI280" s="1100"/>
      <c r="AJ280" s="1100"/>
      <c r="AK280" s="1100"/>
      <c r="AL280" s="1100"/>
      <c r="AM280" s="1100"/>
      <c r="AN280" s="1100"/>
      <c r="AO280" s="1100"/>
      <c r="AP280" s="1100"/>
      <c r="AQ280" s="1100"/>
      <c r="AR280" s="1100"/>
      <c r="AS280" s="1100"/>
      <c r="AT280" s="1100"/>
      <c r="AU280" s="1100"/>
      <c r="AV280" s="1100"/>
      <c r="AW280" s="1100"/>
      <c r="AX280" s="1100"/>
      <c r="AY280" s="1100"/>
      <c r="AZ280" s="1100"/>
      <c r="BA280" s="1100"/>
      <c r="BB280" s="1100"/>
      <c r="BC280" s="1100"/>
      <c r="BD280" s="1100"/>
      <c r="BE280" s="1100"/>
      <c r="BF280" s="1100"/>
      <c r="BG280" s="1100"/>
      <c r="BH280" s="1100"/>
      <c r="BI280" s="1100"/>
      <c r="BJ280" s="1100"/>
      <c r="BK280" s="1100"/>
      <c r="BL280" s="1100"/>
      <c r="BM280" s="1100"/>
      <c r="BN280" s="1102"/>
      <c r="BO280" s="1102"/>
      <c r="BP280" s="1102"/>
      <c r="BQ280" s="960"/>
      <c r="BR280" s="960"/>
      <c r="BS280" s="1048"/>
      <c r="BT280" s="1048"/>
      <c r="BU280" s="1048"/>
      <c r="BV280" s="962"/>
      <c r="BW280" s="962"/>
    </row>
    <row s="1621" customFormat="1" customHeight="1" ht="23.25">
      <c r="A281" s="960"/>
      <c r="B281" s="961"/>
      <c r="C281" s="73"/>
      <c r="D281" s="73" cm="1" t="str">
        <f t="array" ref="D281:D281">D280</f>
        <v>7</v>
      </c>
      <c r="E281" s="600">
        <v>22.5</v>
      </c>
      <c r="F281" s="50" cm="1" t="str">
        <f t="array" ref="F281:F281">OFFSET(E281,-1,1)</f>
        <v>1</v>
      </c>
      <c r="G281" s="73" t="s">
        <v>368</v>
      </c>
      <c r="H281" s="73"/>
      <c r="I281" s="73" t="s">
        <v>495</v>
      </c>
      <c r="J281" s="73"/>
      <c r="K281" s="124" t="s">
        <v>495</v>
      </c>
      <c r="L281" s="963"/>
      <c r="M281" s="73"/>
      <c r="N281" s="73"/>
      <c r="O281" s="73"/>
      <c r="P281" s="73"/>
      <c r="Q281" s="73"/>
      <c r="R281" s="73"/>
      <c r="S281" s="73"/>
      <c r="T281" s="439" cm="1" t="str">
        <f t="array" ref="T281:T281">T280</f>
        <v>true</v>
      </c>
      <c r="U281" s="73"/>
      <c r="V281" s="73"/>
      <c r="W281" s="73"/>
      <c r="X281" s="1534"/>
      <c r="Y281" s="960"/>
      <c r="Z281" s="1465"/>
      <c r="AA281" s="960"/>
      <c r="AB281" s="267" t="str">
        <f>D281&amp;".1"</f>
        <v>7.1</v>
      </c>
      <c r="AC281" s="743" t="s">
        <v>2035</v>
      </c>
      <c r="AD281" s="267" t="s">
        <v>784</v>
      </c>
      <c r="AE281" s="4561">
        <v>0</v>
      </c>
      <c r="AF281" s="4561"/>
      <c r="AG281" s="4561"/>
      <c r="AH281" s="1099">
        <f>AG281-AF281</f>
        <v>0</v>
      </c>
      <c r="AI281" s="4561">
        <v>0</v>
      </c>
      <c r="AJ281" s="4561">
        <f>_xlfn.SUMIFS('Корректировка НВВ'!$AF$25:$AF$180,'Корректировка НВВ'!$F$25:$F$180,$F281,'Корректировка НВВ'!$I$25:$I$180,$G281)</f>
        <v>0</v>
      </c>
      <c r="AK281" s="1268"/>
      <c r="AL281" s="1268"/>
      <c r="AM281" s="4561"/>
      <c r="AN281" s="4561"/>
      <c r="AO281" s="4561"/>
      <c r="AP281" s="4561"/>
      <c r="AQ281" s="4561"/>
      <c r="AR281" s="4561"/>
      <c r="AS281" s="4561"/>
      <c r="AT281" s="4561">
        <f>_xlfn.SUMIFS('Корректировка НВВ'!$AG$25:$AG$180,'Корректировка НВВ'!$F$25:$F$180,$F281,'Корректировка НВВ'!$I$25:$I$180,$G281)</f>
        <v>0</v>
      </c>
      <c r="AU281" s="1268"/>
      <c r="AV281" s="1268"/>
      <c r="AW281" s="4561"/>
      <c r="AX281" s="4561"/>
      <c r="AY281" s="4561"/>
      <c r="AZ281" s="4561"/>
      <c r="BA281" s="4561"/>
      <c r="BB281" s="4561"/>
      <c r="BC281" s="4561"/>
      <c r="BD281" s="1100"/>
      <c r="BE281" s="1100"/>
      <c r="BF281" s="1100"/>
      <c r="BG281" s="1100"/>
      <c r="BH281" s="1100"/>
      <c r="BI281" s="1100"/>
      <c r="BJ281" s="1100"/>
      <c r="BK281" s="1100"/>
      <c r="BL281" s="1100"/>
      <c r="BM281" s="1100"/>
      <c r="BN281" s="4617"/>
      <c r="BO281" s="4619" t="str">
        <f>IF(_xlfn.IFERROR(INDEX('Корректировка НВВ'!$K$26:$L$180,MATCH($F281&amp;"1komm",'Корректировка НВВ'!$K$26:$K$180,0),2),"")=0,"",_xlfn.IFERROR(INDEX('Корректировка НВВ'!$K$26:$L$180,MATCH($F281&amp;"1komm",'Корректировка НВВ'!$K$26:$K$180,0),2),""))</f>
        <v/>
      </c>
      <c r="BP281" s="4617"/>
      <c r="BQ281" s="960"/>
      <c r="BR281" s="960"/>
      <c r="BS281" s="1048" t="s">
        <v>2036</v>
      </c>
      <c r="BT281" s="1048"/>
      <c r="BU281" s="1048"/>
      <c r="BV281" s="962"/>
      <c r="BW281" s="962"/>
    </row>
    <row s="1621" customFormat="1" customHeight="1" ht="98.71875">
      <c r="A282" s="960"/>
      <c r="B282" s="961"/>
      <c r="C282" s="73"/>
      <c r="D282" s="73" cm="1" t="str">
        <f t="array" ref="D282:D282">D281</f>
        <v>7</v>
      </c>
      <c r="E282" s="600">
        <v>101.25</v>
      </c>
      <c r="F282" s="50" cm="1" t="str">
        <f t="array" ref="F282:F282">OFFSET(E282,-1,1)</f>
        <v>1</v>
      </c>
      <c r="G282" s="73" t="s">
        <v>2037</v>
      </c>
      <c r="H282" s="73"/>
      <c r="I282" s="73" t="s">
        <v>541</v>
      </c>
      <c r="J282" s="73"/>
      <c r="K282" s="124" t="s">
        <v>541</v>
      </c>
      <c r="L282" s="963"/>
      <c r="M282" s="73"/>
      <c r="N282" s="73"/>
      <c r="O282" s="73"/>
      <c r="P282" s="73"/>
      <c r="Q282" s="73"/>
      <c r="R282" s="73"/>
      <c r="S282" s="73"/>
      <c r="T282" s="439" cm="1" t="str">
        <f t="array" ref="T282:T282">T281</f>
        <v>true</v>
      </c>
      <c r="U282" s="73"/>
      <c r="V282" s="73"/>
      <c r="W282" s="73"/>
      <c r="X282" s="1534"/>
      <c r="Y282" s="960"/>
      <c r="Z282" s="1465"/>
      <c r="AA282" s="960"/>
      <c r="AB282" s="267" t="str">
        <f>D282&amp;".2"</f>
        <v>7.2</v>
      </c>
      <c r="AC282" s="743" t="s">
        <v>2038</v>
      </c>
      <c r="AD282" s="267" t="s">
        <v>784</v>
      </c>
      <c r="AE282" s="4561">
        <v>0</v>
      </c>
      <c r="AF282" s="4561"/>
      <c r="AG282" s="4561"/>
      <c r="AH282" s="1099">
        <f>AG282-AF282</f>
        <v>0</v>
      </c>
      <c r="AI282" s="4561">
        <v>0</v>
      </c>
      <c r="AJ282" s="4561">
        <f>_xlfn.SUMIFS('Корректировка НВВ'!$AF$25:$AF$180,'Корректировка НВВ'!$F$25:$F$180,$F282,'Корректировка НВВ'!$I$25:$I$180,$G282)</f>
        <v>0</v>
      </c>
      <c r="AK282" s="1268"/>
      <c r="AL282" s="1268"/>
      <c r="AM282" s="4561"/>
      <c r="AN282" s="4561"/>
      <c r="AO282" s="4561"/>
      <c r="AP282" s="4561"/>
      <c r="AQ282" s="4561"/>
      <c r="AR282" s="4561"/>
      <c r="AS282" s="4561"/>
      <c r="AT282" s="4561">
        <f>_xlfn.SUMIFS('Корректировка НВВ'!$AG$25:$AG$180,'Корректировка НВВ'!$F$25:$F$180,$F282,'Корректировка НВВ'!$I$25:$I$180,$G282)</f>
        <v>0</v>
      </c>
      <c r="AU282" s="1268"/>
      <c r="AV282" s="1268"/>
      <c r="AW282" s="4561"/>
      <c r="AX282" s="4561"/>
      <c r="AY282" s="4561"/>
      <c r="AZ282" s="4561"/>
      <c r="BA282" s="4561"/>
      <c r="BB282" s="4561"/>
      <c r="BC282" s="4561"/>
      <c r="BD282" s="1100"/>
      <c r="BE282" s="1100"/>
      <c r="BF282" s="1100"/>
      <c r="BG282" s="1100"/>
      <c r="BH282" s="1100"/>
      <c r="BI282" s="1100"/>
      <c r="BJ282" s="1100"/>
      <c r="BK282" s="1100"/>
      <c r="BL282" s="1100"/>
      <c r="BM282" s="1100"/>
      <c r="BN282" s="4617"/>
      <c r="BO282" s="4619" t="str">
        <f>IF(_xlfn.IFERROR(INDEX('Корректировка НВВ'!$K$26:$L$180,MATCH($F282&amp;"2komm",'Корректировка НВВ'!$K$26:$K$180,0),2),"")=0,"",_xlfn.IFERROR(INDEX('Корректировка НВВ'!$K$26:$L$180,MATCH($F282&amp;"2komm",'Корректировка НВВ'!$K$26:$K$180,0),2),""))</f>
        <v/>
      </c>
      <c r="BP282" s="4617"/>
      <c r="BQ282" s="960"/>
      <c r="BR282" s="960"/>
      <c r="BS282" s="1048" t="s">
        <v>2039</v>
      </c>
      <c r="BT282" s="1048"/>
      <c r="BU282" s="1048"/>
      <c r="BV282" s="962"/>
      <c r="BW282" s="962"/>
    </row>
    <row s="1621" customFormat="1" customHeight="1" ht="54.75">
      <c r="A283" s="960"/>
      <c r="B283" s="961"/>
      <c r="C283" s="73"/>
      <c r="D283" s="73" cm="1" t="str">
        <f t="array" ref="D283:D283">D282</f>
        <v>7</v>
      </c>
      <c r="E283" s="600">
        <v>45</v>
      </c>
      <c r="F283" s="50" cm="1" t="str">
        <f t="array" ref="F283:F283">OFFSET(E283,-1,1)</f>
        <v>1</v>
      </c>
      <c r="G283" s="73"/>
      <c r="H283" s="73"/>
      <c r="I283" s="73" t="s">
        <v>556</v>
      </c>
      <c r="J283" s="73"/>
      <c r="K283" s="124" t="s">
        <v>556</v>
      </c>
      <c r="L283" s="963"/>
      <c r="M283" s="73"/>
      <c r="N283" s="73"/>
      <c r="O283" s="73"/>
      <c r="P283" s="73"/>
      <c r="Q283" s="73"/>
      <c r="R283" s="73"/>
      <c r="S283" s="73"/>
      <c r="T283" s="439" cm="1" t="str">
        <f t="array" ref="T283:T283">T282</f>
        <v>true</v>
      </c>
      <c r="U283" s="73"/>
      <c r="V283" s="73"/>
      <c r="W283" s="73"/>
      <c r="X283" s="1534"/>
      <c r="Y283" s="960"/>
      <c r="Z283" s="1465"/>
      <c r="AA283" s="960"/>
      <c r="AB283" s="267" t="str">
        <f>D283&amp;".3"</f>
        <v>7.3</v>
      </c>
      <c r="AC283" s="743" t="s">
        <v>2040</v>
      </c>
      <c r="AD283" s="267" t="s">
        <v>784</v>
      </c>
      <c r="AE283" s="4561">
        <v>0</v>
      </c>
      <c r="AF283" s="4561"/>
      <c r="AG283" s="4561"/>
      <c r="AH283" s="1099">
        <f>AG283-AF283</f>
        <v>0</v>
      </c>
      <c r="AI283" s="4561">
        <v>0</v>
      </c>
      <c r="AJ283" s="4561">
        <v>487.1680486313</v>
      </c>
      <c r="AK283" s="1268"/>
      <c r="AL283" s="1268"/>
      <c r="AM283" s="4561"/>
      <c r="AN283" s="4561"/>
      <c r="AO283" s="4561"/>
      <c r="AP283" s="4561"/>
      <c r="AQ283" s="4561"/>
      <c r="AR283" s="4561"/>
      <c r="AS283" s="4561"/>
      <c r="AT283" s="4561">
        <v>25.112302652</v>
      </c>
      <c r="AU283" s="1268"/>
      <c r="AV283" s="1268"/>
      <c r="AW283" s="4561"/>
      <c r="AX283" s="4561"/>
      <c r="AY283" s="4561"/>
      <c r="AZ283" s="4561"/>
      <c r="BA283" s="4561"/>
      <c r="BB283" s="4561"/>
      <c r="BC283" s="4561"/>
      <c r="BD283" s="1100"/>
      <c r="BE283" s="1100"/>
      <c r="BF283" s="1100"/>
      <c r="BG283" s="1100"/>
      <c r="BH283" s="1100"/>
      <c r="BI283" s="1100"/>
      <c r="BJ283" s="1100"/>
      <c r="BK283" s="1100"/>
      <c r="BL283" s="1100"/>
      <c r="BM283" s="1100"/>
      <c r="BN283" s="4617" t="s">
        <v>2083</v>
      </c>
      <c r="BO283" s="4619"/>
      <c r="BP283" s="4617" t="s">
        <v>2084</v>
      </c>
      <c r="BQ283" s="960"/>
      <c r="BR283" s="960"/>
      <c r="BS283" s="1048" t="s">
        <v>2041</v>
      </c>
      <c r="BT283" s="1048"/>
      <c r="BU283" s="1048"/>
      <c r="BV283" s="962"/>
      <c r="BW283" s="962"/>
    </row>
    <row s="1621" customFormat="1" customHeight="1" ht="87.75" hidden="1">
      <c r="A284" s="960"/>
      <c r="B284" s="418">
        <f>S171="Водоотведение"</f>
        <v>0</v>
      </c>
      <c r="C284" s="73"/>
      <c r="D284" s="73" cm="1" t="str">
        <f t="array" ref="D284:D284">D283</f>
        <v>7</v>
      </c>
      <c r="E284" s="600">
        <v>90</v>
      </c>
      <c r="F284" s="50" cm="1" t="str">
        <f t="array" ref="F284:F284">OFFSET(E284,-1,1)</f>
        <v>1</v>
      </c>
      <c r="G284" s="73" t="s">
        <v>2042</v>
      </c>
      <c r="H284" s="830"/>
      <c r="I284" s="73" t="s">
        <v>725</v>
      </c>
      <c r="J284" s="73"/>
      <c r="K284" s="124" t="s">
        <v>725</v>
      </c>
      <c r="L284" s="963" t="s">
        <v>722</v>
      </c>
      <c r="M284" s="73"/>
      <c r="N284" s="73"/>
      <c r="O284" s="73"/>
      <c r="P284" s="73"/>
      <c r="Q284" s="73"/>
      <c r="R284" s="73"/>
      <c r="S284" s="73"/>
      <c r="T284" s="439" cm="1" t="str">
        <f t="array" ref="T284:T284">T283</f>
        <v>true</v>
      </c>
      <c r="U284" s="73"/>
      <c r="V284" s="73"/>
      <c r="W284" s="73"/>
      <c r="X284" s="1534"/>
      <c r="Y284" s="960"/>
      <c r="Z284" s="1465"/>
      <c r="AA284" s="960"/>
      <c r="AB284" s="267" t="str">
        <f>D284&amp;".4"</f>
        <v>7.4</v>
      </c>
      <c r="AC284" s="743" t="s">
        <v>1705</v>
      </c>
      <c r="AD284" s="747" t="s">
        <v>784</v>
      </c>
      <c r="AE284" s="1268"/>
      <c r="AF284" s="1268"/>
      <c r="AG284" s="1268"/>
      <c r="AH284" s="1099">
        <f>AG284-AF284</f>
        <v>0</v>
      </c>
      <c r="AI284" s="1268"/>
      <c r="AJ284" s="4561">
        <f>_xlfn.SUMIFS('Корректировка НВВ'!$AF$25:$AF$180,'Корректировка НВВ'!$F$25:$F$180,$F284,'Корректировка НВВ'!$I$25:$I$180,$G284)</f>
        <v>0</v>
      </c>
      <c r="AK284" s="1268"/>
      <c r="AL284" s="1268"/>
      <c r="AM284" s="1268"/>
      <c r="AN284" s="1268"/>
      <c r="AO284" s="1268"/>
      <c r="AP284" s="1268"/>
      <c r="AQ284" s="1268"/>
      <c r="AR284" s="1268"/>
      <c r="AS284" s="1268"/>
      <c r="AT284" s="4561">
        <f>_xlfn.SUMIFS('Корректировка НВВ'!$AG$25:$AG$180,'Корректировка НВВ'!$F$25:$F$180,$F284,'Корректировка НВВ'!$I$25:$I$180,$G284)</f>
        <v>0</v>
      </c>
      <c r="AU284" s="1268"/>
      <c r="AV284" s="1268"/>
      <c r="AW284" s="1268"/>
      <c r="AX284" s="1268"/>
      <c r="AY284" s="1268"/>
      <c r="AZ284" s="1268"/>
      <c r="BA284" s="1268"/>
      <c r="BB284" s="1268"/>
      <c r="BC284" s="1268"/>
      <c r="BD284" s="1100"/>
      <c r="BE284" s="1100"/>
      <c r="BF284" s="1100"/>
      <c r="BG284" s="1100"/>
      <c r="BH284" s="1100"/>
      <c r="BI284" s="1100"/>
      <c r="BJ284" s="1100"/>
      <c r="BK284" s="1100"/>
      <c r="BL284" s="1100"/>
      <c r="BM284" s="1100"/>
      <c r="BN284" s="1265"/>
      <c r="BO284" s="1269" t="str">
        <f>IF(_xlfn.IFERROR(INDEX('Корректировка НВВ'!$K$26:$L$180,MATCH($F284&amp;"3komm",'Корректировка НВВ'!$K$26:$K$180,0),2),"")=0,"",_xlfn.IFERROR(INDEX('Корректировка НВВ'!$K$26:$L$180,MATCH($F284&amp;"3komm",'Корректировка НВВ'!$K$26:$K$180,0),2),""))</f>
        <v/>
      </c>
      <c r="BP284" s="1265"/>
      <c r="BQ284" s="960"/>
      <c r="BR284" s="960"/>
      <c r="BS284" s="1048" t="s">
        <v>1249</v>
      </c>
      <c r="BT284" s="1048"/>
      <c r="BU284" s="1048"/>
      <c r="BV284" s="962"/>
      <c r="BW284" s="962"/>
    </row>
    <row s="1621" customFormat="1" customHeight="1" ht="54.75" hidden="1">
      <c r="A285" s="960"/>
      <c r="B285" s="418" cm="1" t="str">
        <f t="array" ref="B285:B285">B284</f>
        <v>false</v>
      </c>
      <c r="C285" s="73"/>
      <c r="D285" s="73" cm="1" t="str">
        <f t="array" ref="D285:D285">D284</f>
        <v>7</v>
      </c>
      <c r="E285" s="600">
        <v>56.25</v>
      </c>
      <c r="F285" s="50" cm="1" t="str">
        <f t="array" ref="F285:F285">OFFSET(E285,-1,1)</f>
        <v>1</v>
      </c>
      <c r="G285" s="73" t="s">
        <v>2043</v>
      </c>
      <c r="H285" s="830"/>
      <c r="I285" s="73" t="s">
        <v>762</v>
      </c>
      <c r="J285" s="73"/>
      <c r="K285" s="124" t="s">
        <v>762</v>
      </c>
      <c r="L285" s="963" t="s">
        <v>725</v>
      </c>
      <c r="M285" s="73"/>
      <c r="N285" s="73"/>
      <c r="O285" s="73"/>
      <c r="P285" s="73"/>
      <c r="Q285" s="73"/>
      <c r="R285" s="73"/>
      <c r="S285" s="73"/>
      <c r="T285" s="439" cm="1" t="str">
        <f t="array" ref="T285:T285">T284</f>
        <v>true</v>
      </c>
      <c r="U285" s="73"/>
      <c r="V285" s="73"/>
      <c r="W285" s="73"/>
      <c r="X285" s="1534"/>
      <c r="Y285" s="960"/>
      <c r="Z285" s="1465"/>
      <c r="AA285" s="960"/>
      <c r="AB285" s="267" t="str">
        <f>D285&amp;".5"</f>
        <v>7.5</v>
      </c>
      <c r="AC285" s="743" t="s">
        <v>1707</v>
      </c>
      <c r="AD285" s="747" t="s">
        <v>784</v>
      </c>
      <c r="AE285" s="1268"/>
      <c r="AF285" s="1268"/>
      <c r="AG285" s="1268"/>
      <c r="AH285" s="1099">
        <f>AG285-AF285</f>
        <v>0</v>
      </c>
      <c r="AI285" s="1268"/>
      <c r="AJ285" s="4561">
        <f>_xlfn.SUMIFS('Корректировка НВВ'!$AF$25:$AF$180,'Корректировка НВВ'!$F$25:$F$180,$F285,'Корректировка НВВ'!$I$25:$I$180,$G285)</f>
        <v>0</v>
      </c>
      <c r="AK285" s="1268"/>
      <c r="AL285" s="1268"/>
      <c r="AM285" s="1268"/>
      <c r="AN285" s="1268"/>
      <c r="AO285" s="1268"/>
      <c r="AP285" s="1268"/>
      <c r="AQ285" s="1268"/>
      <c r="AR285" s="1268"/>
      <c r="AS285" s="1268"/>
      <c r="AT285" s="4561">
        <f>_xlfn.SUMIFS('Корректировка НВВ'!$AG$25:$AG$180,'Корректировка НВВ'!$F$25:$F$180,$F285,'Корректировка НВВ'!$I$25:$I$180,$G285)</f>
        <v>0</v>
      </c>
      <c r="AU285" s="1268"/>
      <c r="AV285" s="1268"/>
      <c r="AW285" s="1268"/>
      <c r="AX285" s="1268"/>
      <c r="AY285" s="1268"/>
      <c r="AZ285" s="1268"/>
      <c r="BA285" s="1268"/>
      <c r="BB285" s="1268"/>
      <c r="BC285" s="1268"/>
      <c r="BD285" s="1100"/>
      <c r="BE285" s="1100"/>
      <c r="BF285" s="1100"/>
      <c r="BG285" s="1100"/>
      <c r="BH285" s="1100"/>
      <c r="BI285" s="1100"/>
      <c r="BJ285" s="1100"/>
      <c r="BK285" s="1100"/>
      <c r="BL285" s="1100"/>
      <c r="BM285" s="1100"/>
      <c r="BN285" s="1265"/>
      <c r="BO285" s="1269" t="str">
        <f>IF(_xlfn.IFERROR(INDEX('Корректировка НВВ'!$K$26:$L$180,MATCH($F285&amp;"4komm",'Корректировка НВВ'!$K$26:$K$180,0),2),"")=0,"",_xlfn.IFERROR(INDEX('Корректировка НВВ'!$K$26:$L$180,MATCH($F285&amp;"4komm",'Корректировка НВВ'!$K$26:$K$180,0),2),""))</f>
        <v/>
      </c>
      <c r="BP285" s="1265"/>
      <c r="BQ285" s="960"/>
      <c r="BR285" s="960"/>
      <c r="BS285" s="1048" t="s">
        <v>1253</v>
      </c>
      <c r="BT285" s="1048"/>
      <c r="BU285" s="1048"/>
      <c r="BV285" s="962"/>
      <c r="BW285" s="962"/>
    </row>
    <row s="1621" customFormat="1" customHeight="1" ht="14.625">
      <c r="A286" s="960"/>
      <c r="B286" s="400"/>
      <c r="C286" s="73"/>
      <c r="D286" s="73" cm="1" t="str">
        <f t="array" ref="D286:D286">D285</f>
        <v>7</v>
      </c>
      <c r="E286" s="600">
        <v>15</v>
      </c>
      <c r="F286" s="50" cm="1" t="str">
        <f t="array" ref="F286:F286">OFFSET(E286,-1,1)</f>
        <v>1</v>
      </c>
      <c r="G286" s="73" t="s">
        <v>2044</v>
      </c>
      <c r="H286" s="73"/>
      <c r="I286" s="73" t="s">
        <v>763</v>
      </c>
      <c r="J286" s="73"/>
      <c r="K286" s="124" t="s">
        <v>763</v>
      </c>
      <c r="L286" s="963" t="s">
        <v>762</v>
      </c>
      <c r="M286" s="73"/>
      <c r="N286" s="73"/>
      <c r="O286" s="73"/>
      <c r="P286" s="73"/>
      <c r="Q286" s="73"/>
      <c r="R286" s="73"/>
      <c r="S286" s="73"/>
      <c r="T286" s="439" cm="1" t="str">
        <f t="array" ref="T286:T286">T285</f>
        <v>true</v>
      </c>
      <c r="U286" s="73"/>
      <c r="V286" s="73"/>
      <c r="W286" s="73"/>
      <c r="X286" s="1534"/>
      <c r="Y286" s="960"/>
      <c r="Z286" s="1465"/>
      <c r="AA286" s="960"/>
      <c r="AB286" s="267" t="str">
        <f>IF(B285,D286&amp;".6",D286&amp;".4")</f>
        <v>7.4</v>
      </c>
      <c r="AC286" s="743" t="s">
        <v>1466</v>
      </c>
      <c r="AD286" s="267" t="s">
        <v>784</v>
      </c>
      <c r="AE286" s="4561"/>
      <c r="AF286" s="4561"/>
      <c r="AG286" s="4561"/>
      <c r="AH286" s="1099">
        <f>AG286-AF286</f>
        <v>0</v>
      </c>
      <c r="AI286" s="4561">
        <v>0</v>
      </c>
      <c r="AJ286" s="4561">
        <f>_xlfn.SUMIFS('Корректировка НВВ'!$AF$25:$AF$180,'Корректировка НВВ'!$F$25:$F$180,$F286,'Корректировка НВВ'!$I$25:$I$180,$G286)</f>
        <v>0</v>
      </c>
      <c r="AK286" s="1268"/>
      <c r="AL286" s="1268"/>
      <c r="AM286" s="4561"/>
      <c r="AN286" s="4561"/>
      <c r="AO286" s="4561"/>
      <c r="AP286" s="4561"/>
      <c r="AQ286" s="4561"/>
      <c r="AR286" s="4561"/>
      <c r="AS286" s="4561"/>
      <c r="AT286" s="4561">
        <f>_xlfn.SUMIFS('Корректировка НВВ'!$AG$25:$AG$180,'Корректировка НВВ'!$F$25:$F$180,$F286,'Корректировка НВВ'!$I$25:$I$180,$G286)</f>
        <v>0</v>
      </c>
      <c r="AU286" s="1268"/>
      <c r="AV286" s="1268"/>
      <c r="AW286" s="4561"/>
      <c r="AX286" s="4561"/>
      <c r="AY286" s="4561"/>
      <c r="AZ286" s="4561"/>
      <c r="BA286" s="4561"/>
      <c r="BB286" s="4561"/>
      <c r="BC286" s="4561"/>
      <c r="BD286" s="1100"/>
      <c r="BE286" s="1100"/>
      <c r="BF286" s="1100"/>
      <c r="BG286" s="1100"/>
      <c r="BH286" s="1100"/>
      <c r="BI286" s="1100"/>
      <c r="BJ286" s="1100"/>
      <c r="BK286" s="1100"/>
      <c r="BL286" s="1100"/>
      <c r="BM286" s="1100"/>
      <c r="BN286" s="4617"/>
      <c r="BO286" s="4619" t="str">
        <f>IF(_xlfn.IFERROR(INDEX('Корректировка НВВ'!$K$26:$L$180,MATCH($F286&amp;"5komm",'Корректировка НВВ'!$K$26:$K$180,0),2),"")=0,"",_xlfn.IFERROR(INDEX('Корректировка НВВ'!$K$26:$L$180,MATCH($F286&amp;"5komm",'Корректировка НВВ'!$K$26:$K$180,0),2),""))</f>
        <v/>
      </c>
      <c r="BP286" s="4617"/>
      <c r="BQ286" s="960"/>
      <c r="BR286" s="960"/>
      <c r="BS286" s="1048" t="s">
        <v>2045</v>
      </c>
      <c r="BT286" s="1048"/>
      <c r="BU286" s="1048"/>
      <c r="BV286" s="962"/>
      <c r="BW286" s="962"/>
    </row>
    <row s="1621" customFormat="1" customHeight="1" ht="14.625">
      <c r="A287" s="960"/>
      <c r="B287" s="961"/>
      <c r="C287" s="73"/>
      <c r="D287" s="73" cm="1" t="str">
        <f t="array" ref="D287:D287">D286</f>
        <v>7</v>
      </c>
      <c r="E287" s="600">
        <v>15</v>
      </c>
      <c r="F287" s="50" cm="1" t="str">
        <f t="array" ref="F287:F287">OFFSET(E287,-1,1)</f>
        <v>1</v>
      </c>
      <c r="G287" s="73" t="s">
        <v>2046</v>
      </c>
      <c r="H287" s="73"/>
      <c r="I287" s="73" t="s">
        <v>1717</v>
      </c>
      <c r="J287" s="73"/>
      <c r="K287" s="124" t="s">
        <v>1717</v>
      </c>
      <c r="L287" s="963" t="s">
        <v>763</v>
      </c>
      <c r="M287" s="73"/>
      <c r="N287" s="73"/>
      <c r="O287" s="73"/>
      <c r="P287" s="73"/>
      <c r="Q287" s="73"/>
      <c r="R287" s="73"/>
      <c r="S287" s="73"/>
      <c r="T287" s="439" cm="1" t="str">
        <f t="array" ref="T287:T287">T286</f>
        <v>true</v>
      </c>
      <c r="U287" s="73"/>
      <c r="V287" s="73"/>
      <c r="W287" s="73"/>
      <c r="X287" s="1534"/>
      <c r="Y287" s="960"/>
      <c r="Z287" s="1465"/>
      <c r="AA287" s="960"/>
      <c r="AB287" s="267" t="str">
        <f>IF(B285,D286&amp;".7",D286&amp;".5")</f>
        <v>7.5</v>
      </c>
      <c r="AC287" s="743" t="s">
        <v>1428</v>
      </c>
      <c r="AD287" s="267" t="s">
        <v>784</v>
      </c>
      <c r="AE287" s="4561">
        <v>306.2058428262</v>
      </c>
      <c r="AF287" s="4561">
        <f>AF288+AF289</f>
        <v>0</v>
      </c>
      <c r="AG287" s="4561">
        <f>AG288+AG289</f>
        <v>0</v>
      </c>
      <c r="AH287" s="1099">
        <f>AG287-AF287</f>
        <v>0</v>
      </c>
      <c r="AI287" s="4561">
        <f>AI288+AI289</f>
        <v>0</v>
      </c>
      <c r="AJ287" s="4561">
        <f>_xlfn.SUMIFS('Корректировка НВВ'!$AF$25:$AF$180,'Корректировка НВВ'!$F$25:$F$180,$F287,'Корректировка НВВ'!$I$25:$I$180,$G287)</f>
        <v>0</v>
      </c>
      <c r="AK287" s="1268">
        <f>AK288+AK289</f>
        <v>0</v>
      </c>
      <c r="AL287" s="1268">
        <f>AL288+AL289</f>
        <v>0</v>
      </c>
      <c r="AM287" s="4561">
        <f>AM288+AM289</f>
        <v>0</v>
      </c>
      <c r="AN287" s="4561">
        <f>AN288+AN289</f>
        <v>0</v>
      </c>
      <c r="AO287" s="4561">
        <f>AO288+AO289</f>
        <v>0</v>
      </c>
      <c r="AP287" s="4561">
        <f>AP288+AP289</f>
        <v>0</v>
      </c>
      <c r="AQ287" s="4561">
        <f>AQ288+AQ289</f>
        <v>0</v>
      </c>
      <c r="AR287" s="4561">
        <f>AR288+AR289</f>
        <v>0</v>
      </c>
      <c r="AS287" s="4561">
        <f>AS288+AS289</f>
        <v>0</v>
      </c>
      <c r="AT287" s="4561">
        <f>_xlfn.SUMIFS('Корректировка НВВ'!$AG$25:$AG$180,'Корректировка НВВ'!$F$25:$F$180,$F287,'Корректировка НВВ'!$I$25:$I$180,$G287)</f>
        <v>0</v>
      </c>
      <c r="AU287" s="1268">
        <f>AU288+AU289</f>
        <v>0</v>
      </c>
      <c r="AV287" s="1268">
        <f>AV288+AV289</f>
        <v>0</v>
      </c>
      <c r="AW287" s="4561">
        <f>AW288+AW289</f>
        <v>0</v>
      </c>
      <c r="AX287" s="4561">
        <f>AX288+AX289</f>
        <v>0</v>
      </c>
      <c r="AY287" s="4561">
        <f>AY288+AY289</f>
        <v>0</v>
      </c>
      <c r="AZ287" s="4561">
        <f>AZ288+AZ289</f>
        <v>0</v>
      </c>
      <c r="BA287" s="4561">
        <f>BA288+BA289</f>
        <v>0</v>
      </c>
      <c r="BB287" s="4561">
        <f>BB288+BB289</f>
        <v>0</v>
      </c>
      <c r="BC287" s="4561">
        <f>BC288+BC289</f>
        <v>0</v>
      </c>
      <c r="BD287" s="1099">
        <f>IF(AI287=0,0,(AT287-AI287)/AI287*100)</f>
        <v>0</v>
      </c>
      <c r="BE287" s="1099">
        <f>IF(AT287=0,0,(AU287-AT287)/AT287*100)</f>
        <v>0</v>
      </c>
      <c r="BF287" s="1099">
        <f>IF(AU287=0,0,(AV287-AU287)/AU287*100)</f>
        <v>0</v>
      </c>
      <c r="BG287" s="1099">
        <f>IF(AV287=0,0,(AW287-AV287)/AV287*100)</f>
        <v>0</v>
      </c>
      <c r="BH287" s="1099">
        <f>IF(AW287=0,0,(AX287-AW287)/AW287*100)</f>
        <v>0</v>
      </c>
      <c r="BI287" s="1099">
        <f>IF(AX287=0,0,(AY287-AX287)/AX287*100)</f>
        <v>0</v>
      </c>
      <c r="BJ287" s="1099">
        <f>IF(AY287=0,0,(AZ287-AY287)/AY287*100)</f>
        <v>0</v>
      </c>
      <c r="BK287" s="1099">
        <f>IF(AZ287=0,0,(BA287-AZ287)/AZ287*100)</f>
        <v>0</v>
      </c>
      <c r="BL287" s="1099">
        <f>IF(BA287=0,0,(BB287-BA287)/BA287*100)</f>
        <v>0</v>
      </c>
      <c r="BM287" s="1099">
        <f>IF(BB287=0,0,(BC287-BB287)/BB287*100)</f>
        <v>0</v>
      </c>
      <c r="BN287" s="4617"/>
      <c r="BO287" s="4619" t="str">
        <f>IF(_xlfn.IFERROR(INDEX('Корректировка НВВ'!$K$26:$L$180,MATCH($F287&amp;"6komm",'Корректировка НВВ'!$K$26:$K$180,0),2),"")=0,"",_xlfn.IFERROR(INDEX('Корректировка НВВ'!$K$26:$L$180,MATCH($F287&amp;"6komm",'Корректировка НВВ'!$K$26:$K$180,0),2),""))</f>
        <v/>
      </c>
      <c r="BP287" s="4617"/>
      <c r="BQ287" s="960"/>
      <c r="BR287" s="960"/>
      <c r="BS287" s="1048" t="s">
        <v>1430</v>
      </c>
      <c r="BT287" s="1048"/>
      <c r="BU287" s="1048"/>
      <c r="BV287" s="962"/>
      <c r="BW287" s="962"/>
    </row>
    <row s="1621" customFormat="1" customHeight="1" ht="21.9375">
      <c r="A288" s="960"/>
      <c r="B288" s="961"/>
      <c r="C288" s="73"/>
      <c r="D288" s="73" cm="1" t="str">
        <f t="array" ref="D288:D288">D287</f>
        <v>7</v>
      </c>
      <c r="E288" s="600">
        <v>22.5</v>
      </c>
      <c r="F288" s="50" cm="1" t="str">
        <f t="array" ref="F288:F288">OFFSET(E288,-1,1)</f>
        <v>1</v>
      </c>
      <c r="G288" s="73" t="s">
        <v>2047</v>
      </c>
      <c r="H288" s="73"/>
      <c r="I288" s="73" t="s">
        <v>2048</v>
      </c>
      <c r="J288" s="73"/>
      <c r="K288" s="124" t="s">
        <v>2048</v>
      </c>
      <c r="L288" s="963" t="s">
        <v>1712</v>
      </c>
      <c r="M288" s="73"/>
      <c r="N288" s="73"/>
      <c r="O288" s="73"/>
      <c r="P288" s="73"/>
      <c r="Q288" s="73"/>
      <c r="R288" s="73"/>
      <c r="S288" s="73"/>
      <c r="T288" s="439" cm="1" t="str">
        <f t="array" ref="T288:T288">T287</f>
        <v>true</v>
      </c>
      <c r="U288" s="73"/>
      <c r="V288" s="73"/>
      <c r="W288" s="73"/>
      <c r="X288" s="1534"/>
      <c r="Y288" s="960"/>
      <c r="Z288" s="1465"/>
      <c r="AA288" s="960"/>
      <c r="AB288" s="267" t="str">
        <f>AB287&amp;".1"</f>
        <v>7.5.1</v>
      </c>
      <c r="AC288" s="762" t="s">
        <v>1431</v>
      </c>
      <c r="AD288" s="267" t="s">
        <v>784</v>
      </c>
      <c r="AE288" s="4561">
        <v>306.2058428262</v>
      </c>
      <c r="AF288" s="4561"/>
      <c r="AG288" s="4561"/>
      <c r="AH288" s="1099">
        <f>AG288-AF288</f>
        <v>0</v>
      </c>
      <c r="AI288" s="4561"/>
      <c r="AJ288" s="4561">
        <f>_xlfn.SUMIFS('Корректировка НВВ'!$AF$25:$AF$180,'Корректировка НВВ'!$F$25:$F$180,$F288,'Корректировка НВВ'!$I$25:$I$180,$G288)</f>
        <v>0</v>
      </c>
      <c r="AK288" s="1268"/>
      <c r="AL288" s="1268"/>
      <c r="AM288" s="4561"/>
      <c r="AN288" s="4561"/>
      <c r="AO288" s="4561"/>
      <c r="AP288" s="4561"/>
      <c r="AQ288" s="4561"/>
      <c r="AR288" s="4561"/>
      <c r="AS288" s="4561"/>
      <c r="AT288" s="4561">
        <f>_xlfn.SUMIFS('Корректировка НВВ'!$AG$25:$AG$180,'Корректировка НВВ'!$F$25:$F$180,$F288,'Корректировка НВВ'!$I$25:$I$180,$G288)</f>
        <v>0</v>
      </c>
      <c r="AU288" s="1268"/>
      <c r="AV288" s="1268"/>
      <c r="AW288" s="4561"/>
      <c r="AX288" s="4561"/>
      <c r="AY288" s="4561"/>
      <c r="AZ288" s="4561"/>
      <c r="BA288" s="4561"/>
      <c r="BB288" s="4561"/>
      <c r="BC288" s="4561"/>
      <c r="BD288" s="1100"/>
      <c r="BE288" s="1100"/>
      <c r="BF288" s="1100"/>
      <c r="BG288" s="1100"/>
      <c r="BH288" s="1100"/>
      <c r="BI288" s="1100"/>
      <c r="BJ288" s="1100"/>
      <c r="BK288" s="1100"/>
      <c r="BL288" s="1100"/>
      <c r="BM288" s="1100"/>
      <c r="BN288" s="4617"/>
      <c r="BO288" s="4619" t="str">
        <f>IF(_xlfn.IFERROR(INDEX('Корректировка НВВ'!$K$26:$L$180,MATCH($F288&amp;"7komm",'Корректировка НВВ'!$K$26:$K$180,0),2),"")=0,"",_xlfn.IFERROR(INDEX('Корректировка НВВ'!$K$26:$L$180,MATCH($F288&amp;"7komm",'Корректировка НВВ'!$K$26:$K$180,0),2),""))</f>
        <v/>
      </c>
      <c r="BP288" s="4617"/>
      <c r="BQ288" s="960"/>
      <c r="BR288" s="960"/>
      <c r="BS288" s="1048" t="s">
        <v>1432</v>
      </c>
      <c r="BT288" s="1048"/>
      <c r="BU288" s="1048"/>
      <c r="BV288" s="962"/>
      <c r="BW288" s="962"/>
    </row>
    <row s="1621" customFormat="1" customHeight="1" ht="21.9375">
      <c r="A289" s="960"/>
      <c r="B289" s="961"/>
      <c r="C289" s="73"/>
      <c r="D289" s="73" cm="1" t="str">
        <f t="array" ref="D289:D289">D288</f>
        <v>7</v>
      </c>
      <c r="E289" s="600">
        <v>22.5</v>
      </c>
      <c r="F289" s="50" cm="1" t="str">
        <f t="array" ref="F289:F289">OFFSET(E289,-1,1)</f>
        <v>1</v>
      </c>
      <c r="G289" s="73" t="s">
        <v>2049</v>
      </c>
      <c r="H289" s="73"/>
      <c r="I289" s="73" t="s">
        <v>2050</v>
      </c>
      <c r="J289" s="73"/>
      <c r="K289" s="124" t="s">
        <v>2050</v>
      </c>
      <c r="L289" s="963" t="s">
        <v>1714</v>
      </c>
      <c r="M289" s="73"/>
      <c r="N289" s="73"/>
      <c r="O289" s="73"/>
      <c r="P289" s="73"/>
      <c r="Q289" s="73"/>
      <c r="R289" s="73"/>
      <c r="S289" s="73"/>
      <c r="T289" s="439" cm="1" t="str">
        <f t="array" ref="T289:T289">T288</f>
        <v>true</v>
      </c>
      <c r="U289" s="73"/>
      <c r="V289" s="73"/>
      <c r="W289" s="73"/>
      <c r="X289" s="1534"/>
      <c r="Y289" s="960"/>
      <c r="Z289" s="1465"/>
      <c r="AA289" s="960"/>
      <c r="AB289" s="267" t="str">
        <f>AB287&amp;".2"</f>
        <v>7.5.2</v>
      </c>
      <c r="AC289" s="762" t="s">
        <v>1433</v>
      </c>
      <c r="AD289" s="267" t="s">
        <v>784</v>
      </c>
      <c r="AE289" s="4561"/>
      <c r="AF289" s="4561"/>
      <c r="AG289" s="4561"/>
      <c r="AH289" s="1099">
        <f>AG289-AF289</f>
        <v>0</v>
      </c>
      <c r="AI289" s="4561">
        <v>0</v>
      </c>
      <c r="AJ289" s="4561">
        <f>_xlfn.SUMIFS('Корректировка НВВ'!$AF$25:$AF$180,'Корректировка НВВ'!$F$25:$F$180,$F289,'Корректировка НВВ'!$I$25:$I$180,$G289)</f>
        <v>0</v>
      </c>
      <c r="AK289" s="1268"/>
      <c r="AL289" s="1268"/>
      <c r="AM289" s="4561"/>
      <c r="AN289" s="4561"/>
      <c r="AO289" s="4561"/>
      <c r="AP289" s="4561"/>
      <c r="AQ289" s="4561"/>
      <c r="AR289" s="4561"/>
      <c r="AS289" s="4561"/>
      <c r="AT289" s="4561">
        <f>_xlfn.SUMIFS('Корректировка НВВ'!$AG$25:$AG$180,'Корректировка НВВ'!$F$25:$F$180,$F289,'Корректировка НВВ'!$I$25:$I$180,$G289)</f>
        <v>0</v>
      </c>
      <c r="AU289" s="1268"/>
      <c r="AV289" s="1268"/>
      <c r="AW289" s="4561"/>
      <c r="AX289" s="4561"/>
      <c r="AY289" s="4561"/>
      <c r="AZ289" s="4561"/>
      <c r="BA289" s="4561"/>
      <c r="BB289" s="4561"/>
      <c r="BC289" s="4561"/>
      <c r="BD289" s="1100"/>
      <c r="BE289" s="1100"/>
      <c r="BF289" s="1100"/>
      <c r="BG289" s="1100"/>
      <c r="BH289" s="1100"/>
      <c r="BI289" s="1100"/>
      <c r="BJ289" s="1100"/>
      <c r="BK289" s="1100"/>
      <c r="BL289" s="1100"/>
      <c r="BM289" s="1100"/>
      <c r="BN289" s="4617"/>
      <c r="BO289" s="4619" t="str">
        <f>IF(_xlfn.IFERROR(INDEX('Корректировка НВВ'!$K$26:$L$180,MATCH($F289&amp;"8komm",'Корректировка НВВ'!$K$26:$K$180,0),2),"")=0,"",_xlfn.IFERROR(INDEX('Корректировка НВВ'!$K$26:$L$180,MATCH($F289&amp;"8komm",'Корректировка НВВ'!$K$26:$K$180,0),2),""))</f>
        <v/>
      </c>
      <c r="BP289" s="4617"/>
      <c r="BQ289" s="960"/>
      <c r="BR289" s="960"/>
      <c r="BS289" s="1048" t="s">
        <v>1434</v>
      </c>
      <c r="BT289" s="1048"/>
      <c r="BU289" s="1048"/>
      <c r="BV289" s="962"/>
      <c r="BW289" s="962"/>
    </row>
    <row s="1621" customFormat="1" customHeight="1" ht="14.625">
      <c r="A290" s="960"/>
      <c r="B290" s="961"/>
      <c r="C290" s="73"/>
      <c r="D290" s="73" cm="1" t="str">
        <f t="array" ref="D290:D290">D289</f>
        <v>7</v>
      </c>
      <c r="E290" s="600">
        <v>15</v>
      </c>
      <c r="F290" s="50" cm="1" t="str">
        <f t="array" ref="F290:F290">OFFSET(E290,-1,1)</f>
        <v>1</v>
      </c>
      <c r="G290" s="73" t="s">
        <v>312</v>
      </c>
      <c r="H290" s="73"/>
      <c r="I290" s="73" t="s">
        <v>1718</v>
      </c>
      <c r="J290" s="73"/>
      <c r="K290" s="124" t="s">
        <v>1718</v>
      </c>
      <c r="L290" s="963" t="s">
        <v>1717</v>
      </c>
      <c r="M290" s="73"/>
      <c r="N290" s="73"/>
      <c r="O290" s="73"/>
      <c r="P290" s="73"/>
      <c r="Q290" s="73"/>
      <c r="R290" s="73"/>
      <c r="S290" s="73"/>
      <c r="T290" s="439" cm="1" t="str">
        <f t="array" ref="T290:T290">T289</f>
        <v>true</v>
      </c>
      <c r="U290" s="73"/>
      <c r="V290" s="73"/>
      <c r="W290" s="73"/>
      <c r="X290" s="1534"/>
      <c r="Y290" s="960"/>
      <c r="Z290" s="1465"/>
      <c r="AA290" s="960"/>
      <c r="AB290" s="267" t="str">
        <f>IF(B285,D286&amp;".8",D286&amp;".6")</f>
        <v>7.6</v>
      </c>
      <c r="AC290" s="763" t="s">
        <v>1435</v>
      </c>
      <c r="AD290" s="267" t="s">
        <v>784</v>
      </c>
      <c r="AE290" s="4561"/>
      <c r="AF290" s="4561"/>
      <c r="AG290" s="4561"/>
      <c r="AH290" s="1099">
        <f>AG290-AF290</f>
        <v>0</v>
      </c>
      <c r="AI290" s="4561">
        <v>0</v>
      </c>
      <c r="AJ290" s="4561">
        <f>_xlfn.SUMIFS('Корректировка НВВ'!$AF$25:$AF$180,'Корректировка НВВ'!$F$25:$F$180,$F290,'Корректировка НВВ'!$I$25:$I$180,$G290)</f>
        <v>0</v>
      </c>
      <c r="AK290" s="1268"/>
      <c r="AL290" s="1268"/>
      <c r="AM290" s="4561"/>
      <c r="AN290" s="4561"/>
      <c r="AO290" s="4561"/>
      <c r="AP290" s="4561"/>
      <c r="AQ290" s="4561"/>
      <c r="AR290" s="4561"/>
      <c r="AS290" s="4561"/>
      <c r="AT290" s="4561">
        <f>_xlfn.SUMIFS('Корректировка НВВ'!$AG$25:$AG$180,'Корректировка НВВ'!$F$25:$F$180,$F290,'Корректировка НВВ'!$I$25:$I$180,$G290)</f>
        <v>0</v>
      </c>
      <c r="AU290" s="1268"/>
      <c r="AV290" s="1268"/>
      <c r="AW290" s="4561"/>
      <c r="AX290" s="4561"/>
      <c r="AY290" s="4561"/>
      <c r="AZ290" s="4561"/>
      <c r="BA290" s="4561"/>
      <c r="BB290" s="4561"/>
      <c r="BC290" s="4561"/>
      <c r="BD290" s="1100"/>
      <c r="BE290" s="1100"/>
      <c r="BF290" s="1100"/>
      <c r="BG290" s="1100"/>
      <c r="BH290" s="1100"/>
      <c r="BI290" s="1100"/>
      <c r="BJ290" s="1100"/>
      <c r="BK290" s="1100"/>
      <c r="BL290" s="1100"/>
      <c r="BM290" s="1100"/>
      <c r="BN290" s="4617"/>
      <c r="BO290" s="4619" t="str">
        <f>IF(_xlfn.IFERROR(INDEX('Корректировка НВВ'!$K$26:$L$180,MATCH($F290&amp;"9komm",'Корректировка НВВ'!$K$26:$K$180,0),2),"")=0,"",_xlfn.IFERROR(INDEX('Корректировка НВВ'!$K$26:$L$180,MATCH($F290&amp;"9komm",'Корректировка НВВ'!$K$26:$K$180,0),2),""))</f>
        <v/>
      </c>
      <c r="BP290" s="4617"/>
      <c r="BQ290" s="960"/>
      <c r="BR290" s="960"/>
      <c r="BS290" s="1048" t="s">
        <v>2051</v>
      </c>
      <c r="BT290" s="1048"/>
      <c r="BU290" s="1048"/>
      <c r="BV290" s="962"/>
      <c r="BW290" s="962"/>
    </row>
    <row s="1621" customFormat="1" customHeight="1" ht="14.625">
      <c r="A291" s="960"/>
      <c r="B291" s="961"/>
      <c r="C291" s="73"/>
      <c r="D291" s="73" cm="1" t="str">
        <f t="array" ref="D291:D291">D290</f>
        <v>7</v>
      </c>
      <c r="E291" s="600">
        <v>15</v>
      </c>
      <c r="F291" s="50" cm="1" t="str">
        <f t="array" ref="F291:F291">OFFSET(E291,-1,1)</f>
        <v>1</v>
      </c>
      <c r="G291" s="73" t="s">
        <v>2052</v>
      </c>
      <c r="H291" s="73"/>
      <c r="I291" s="73" t="s">
        <v>1720</v>
      </c>
      <c r="J291" s="73"/>
      <c r="K291" s="124" t="s">
        <v>1720</v>
      </c>
      <c r="L291" s="963" t="s">
        <v>1718</v>
      </c>
      <c r="M291" s="73"/>
      <c r="N291" s="73"/>
      <c r="O291" s="73"/>
      <c r="P291" s="73"/>
      <c r="Q291" s="73"/>
      <c r="R291" s="73"/>
      <c r="S291" s="73"/>
      <c r="T291" s="439" cm="1" t="str">
        <f t="array" ref="T291:T291">T290</f>
        <v>true</v>
      </c>
      <c r="U291" s="73"/>
      <c r="V291" s="73"/>
      <c r="W291" s="73"/>
      <c r="X291" s="1534"/>
      <c r="Y291" s="960"/>
      <c r="Z291" s="1465"/>
      <c r="AA291" s="960"/>
      <c r="AB291" s="267" t="str">
        <f>IF(B285,D286&amp;".9",D286&amp;".7")</f>
        <v>7.7</v>
      </c>
      <c r="AC291" s="763" t="s">
        <v>1437</v>
      </c>
      <c r="AD291" s="267" t="s">
        <v>784</v>
      </c>
      <c r="AE291" s="4561"/>
      <c r="AF291" s="4561"/>
      <c r="AG291" s="4561"/>
      <c r="AH291" s="1099">
        <f>AG291-AF291</f>
        <v>0</v>
      </c>
      <c r="AI291" s="4561">
        <v>0</v>
      </c>
      <c r="AJ291" s="4561">
        <f>_xlfn.SUMIFS('Корректировка НВВ'!$AF$25:$AF$180,'Корректировка НВВ'!$F$25:$F$180,$F291,'Корректировка НВВ'!$I$25:$I$180,$G291)</f>
        <v>0</v>
      </c>
      <c r="AK291" s="1268"/>
      <c r="AL291" s="1268"/>
      <c r="AM291" s="4561"/>
      <c r="AN291" s="4561"/>
      <c r="AO291" s="4561"/>
      <c r="AP291" s="4561"/>
      <c r="AQ291" s="4561"/>
      <c r="AR291" s="4561"/>
      <c r="AS291" s="4561"/>
      <c r="AT291" s="4561">
        <f>_xlfn.SUMIFS('Корректировка НВВ'!$AG$25:$AG$180,'Корректировка НВВ'!$F$25:$F$180,$F291,'Корректировка НВВ'!$I$25:$I$180,$G291)</f>
        <v>0</v>
      </c>
      <c r="AU291" s="1268"/>
      <c r="AV291" s="1268"/>
      <c r="AW291" s="4561"/>
      <c r="AX291" s="4561"/>
      <c r="AY291" s="4561"/>
      <c r="AZ291" s="4561"/>
      <c r="BA291" s="4561"/>
      <c r="BB291" s="4561"/>
      <c r="BC291" s="4561"/>
      <c r="BD291" s="1100"/>
      <c r="BE291" s="1100"/>
      <c r="BF291" s="1100"/>
      <c r="BG291" s="1100"/>
      <c r="BH291" s="1100"/>
      <c r="BI291" s="1100"/>
      <c r="BJ291" s="1100"/>
      <c r="BK291" s="1100"/>
      <c r="BL291" s="1100"/>
      <c r="BM291" s="1100"/>
      <c r="BN291" s="4617"/>
      <c r="BO291" s="4619" t="str">
        <f>IF(_xlfn.IFERROR(INDEX('Корректировка НВВ'!$K$26:$L$180,MATCH($F291&amp;"10komm",'Корректировка НВВ'!$K$26:$K$180,0),2),"")=0,"",_xlfn.IFERROR(INDEX('Корректировка НВВ'!$K$26:$L$180,MATCH($F291&amp;"10komm",'Корректировка НВВ'!$K$26:$K$180,0),2),""))</f>
        <v/>
      </c>
      <c r="BP291" s="4617"/>
      <c r="BQ291" s="960"/>
      <c r="BR291" s="960"/>
      <c r="BS291" s="1048" t="s">
        <v>1438</v>
      </c>
      <c r="BT291" s="1048"/>
      <c r="BU291" s="1048"/>
      <c r="BV291" s="962"/>
      <c r="BW291" s="962"/>
    </row>
    <row s="4672" customFormat="1" customHeight="1" ht="222.75">
      <c r="A292" s="680"/>
      <c r="B292" s="408"/>
      <c r="C292" s="75"/>
      <c r="D292" s="75">
        <f>D291+1</f>
        <v>8</v>
      </c>
      <c r="E292" s="807">
        <v>21</v>
      </c>
      <c r="F292" s="50" cm="1" t="str">
        <f t="array" ref="F292:F292">OFFSET(E292,-1,1)</f>
        <v>1</v>
      </c>
      <c r="G292" s="75"/>
      <c r="H292" s="75"/>
      <c r="I292" s="75" t="s">
        <v>564</v>
      </c>
      <c r="J292" s="75"/>
      <c r="K292" s="128" t="s">
        <v>564</v>
      </c>
      <c r="L292" s="968"/>
      <c r="M292" s="75"/>
      <c r="N292" s="75"/>
      <c r="O292" s="75"/>
      <c r="P292" s="75"/>
      <c r="Q292" s="75"/>
      <c r="R292" s="75"/>
      <c r="S292" s="75"/>
      <c r="T292" s="439" cm="1" t="str">
        <f t="array" ref="T292:T292">T291</f>
        <v>true</v>
      </c>
      <c r="U292" s="75"/>
      <c r="V292" s="75"/>
      <c r="W292" s="75"/>
      <c r="X292" s="1534"/>
      <c r="Y292" s="680"/>
      <c r="Z292" s="1465"/>
      <c r="AA292" s="680"/>
      <c r="AB292" s="178" cm="1" t="str">
        <f t="array" ref="AB292:AB292">D292</f>
        <v>8</v>
      </c>
      <c r="AC292" s="179" t="s">
        <v>2053</v>
      </c>
      <c r="AD292" s="178" t="s">
        <v>784</v>
      </c>
      <c r="AE292" s="4606">
        <v>-19.58</v>
      </c>
      <c r="AF292" s="4606"/>
      <c r="AG292" s="4606"/>
      <c r="AH292" s="759">
        <f>AG292-AF292</f>
        <v>0</v>
      </c>
      <c r="AI292" s="4606">
        <v>-365.66</v>
      </c>
      <c r="AJ292" s="4606"/>
      <c r="AK292" s="1264"/>
      <c r="AL292" s="1264"/>
      <c r="AM292" s="4606"/>
      <c r="AN292" s="4606"/>
      <c r="AO292" s="4606"/>
      <c r="AP292" s="4606"/>
      <c r="AQ292" s="4606"/>
      <c r="AR292" s="4606"/>
      <c r="AS292" s="4606"/>
      <c r="AT292" s="4606">
        <v>207.78</v>
      </c>
      <c r="AU292" s="1264"/>
      <c r="AV292" s="1264"/>
      <c r="AW292" s="4606"/>
      <c r="AX292" s="4606"/>
      <c r="AY292" s="4606"/>
      <c r="AZ292" s="4606"/>
      <c r="BA292" s="4606"/>
      <c r="BB292" s="4606"/>
      <c r="BC292" s="4606"/>
      <c r="BD292" s="183"/>
      <c r="BE292" s="183"/>
      <c r="BF292" s="183"/>
      <c r="BG292" s="183"/>
      <c r="BH292" s="183"/>
      <c r="BI292" s="183"/>
      <c r="BJ292" s="183"/>
      <c r="BK292" s="183"/>
      <c r="BL292" s="183"/>
      <c r="BM292" s="183"/>
      <c r="BN292" s="4618"/>
      <c r="BO292" s="4618" t="s">
        <v>2085</v>
      </c>
      <c r="BP292" s="4618" t="s">
        <v>2086</v>
      </c>
      <c r="BQ292" s="680"/>
      <c r="BR292" s="680"/>
      <c r="BS292" s="1054" t="s">
        <v>2054</v>
      </c>
      <c r="BT292" s="1054"/>
      <c r="BU292" s="1054"/>
      <c r="BV292" s="687"/>
      <c r="BW292" s="687"/>
    </row>
    <row s="1621" customFormat="1" customHeight="1" ht="14.25">
      <c r="A293" s="960"/>
      <c r="B293" s="961"/>
      <c r="C293" s="73"/>
      <c r="D293" s="75" cm="1" t="str">
        <f t="array" ref="D293:D293">D292</f>
        <v>8</v>
      </c>
      <c r="E293" s="600">
        <v>15</v>
      </c>
      <c r="F293" s="50" cm="1" t="str">
        <f t="array" ref="F293:F293">OFFSET(E293,-1,1)</f>
        <v>1</v>
      </c>
      <c r="G293" s="73"/>
      <c r="H293" s="73"/>
      <c r="I293" s="73" t="s">
        <v>568</v>
      </c>
      <c r="J293" s="73"/>
      <c r="K293" s="124" t="s">
        <v>568</v>
      </c>
      <c r="L293" s="963"/>
      <c r="M293" s="73"/>
      <c r="N293" s="73"/>
      <c r="O293" s="73"/>
      <c r="P293" s="73"/>
      <c r="Q293" s="73"/>
      <c r="R293" s="73"/>
      <c r="S293" s="73"/>
      <c r="T293" s="439" cm="1" t="str">
        <f t="array" ref="T293:T293">T292</f>
        <v>true</v>
      </c>
      <c r="U293" s="73"/>
      <c r="V293" s="73"/>
      <c r="W293" s="73"/>
      <c r="X293" s="1534"/>
      <c r="Y293" s="960"/>
      <c r="Z293" s="1465"/>
      <c r="AA293" s="960"/>
      <c r="AB293" s="267" t="str">
        <f>D293&amp;".1"</f>
        <v>8.1</v>
      </c>
      <c r="AC293" s="743" t="s">
        <v>2055</v>
      </c>
      <c r="AD293" s="267" t="s">
        <v>437</v>
      </c>
      <c r="AE293" s="1099">
        <f>IF(AE294=0,0,AE292/(AE294+AE279)*100)</f>
        <v>-0.703120473858538</v>
      </c>
      <c r="AF293" s="1099">
        <f>IF(AF294=0,0,AF292/(AF294+AF279)*100)</f>
        <v>0</v>
      </c>
      <c r="AG293" s="1099">
        <f>IF(AG294=0,0,AG292/(AG294+AG279)*100)</f>
        <v>0</v>
      </c>
      <c r="AH293" s="1099">
        <f>AG293-AF293</f>
        <v>0</v>
      </c>
      <c r="AI293" s="1099">
        <f>IF(AI294=0,0,AI292/(AI294+AI279)*100)</f>
        <v>-35.4754347961849</v>
      </c>
      <c r="AJ293" s="1099">
        <f>IF(AJ294=0,0,AJ292/(AJ294+AJ279)*100)</f>
        <v>0</v>
      </c>
      <c r="AK293" s="1099">
        <f>IF(AK294=0,0,AK292/(AK294+AK279)*100)</f>
        <v>0</v>
      </c>
      <c r="AL293" s="1099">
        <f>IF(AL294=0,0,AL292/(AL294+AL279)*100)</f>
        <v>0</v>
      </c>
      <c r="AM293" s="1099">
        <f>IF(AM294=0,0,AM292/(AM294+AM279)*100)</f>
        <v>0</v>
      </c>
      <c r="AN293" s="1099">
        <f>IF(AN294=0,0,AN292/(AN294+AN279)*100)</f>
        <v>0</v>
      </c>
      <c r="AO293" s="1099">
        <f>IF(AO294=0,0,AO292/(AO294+AO279)*100)</f>
        <v>0</v>
      </c>
      <c r="AP293" s="1099">
        <f>IF(AP294=0,0,AP292/(AP294+AP279)*100)</f>
        <v>0</v>
      </c>
      <c r="AQ293" s="1099">
        <f>IF(AQ294=0,0,AQ292/(AQ294+AQ279)*100)</f>
        <v>0</v>
      </c>
      <c r="AR293" s="1099">
        <f>IF(AR294=0,0,AR292/(AR294+AR279)*100)</f>
        <v>0</v>
      </c>
      <c r="AS293" s="1099">
        <f>IF(AS294=0,0,AS292/(AS294+AS279)*100)</f>
        <v>0</v>
      </c>
      <c r="AT293" s="1099">
        <f>IF(AT294=0,0,AT292/(AT294+AT279)*100)</f>
        <v>12.7274024083399</v>
      </c>
      <c r="AU293" s="1099">
        <f>IF(AU294=0,0,AU292/(AU294+AU279)*100)</f>
        <v>0</v>
      </c>
      <c r="AV293" s="1099">
        <f>IF(AV294=0,0,AV292/(AV294+AV279)*100)</f>
        <v>0</v>
      </c>
      <c r="AW293" s="1099">
        <f>IF(AW294=0,0,AW292/(AW294+AW279)*100)</f>
        <v>0</v>
      </c>
      <c r="AX293" s="1099">
        <f>IF(AX294=0,0,AX292/(AX294+AX279)*100)</f>
        <v>0</v>
      </c>
      <c r="AY293" s="1099">
        <f>IF(AY294=0,0,AY292/(AY294+AY279)*100)</f>
        <v>0</v>
      </c>
      <c r="AZ293" s="1099">
        <f>IF(AZ294=0,0,AZ292/(AZ294+AZ279)*100)</f>
        <v>0</v>
      </c>
      <c r="BA293" s="1099">
        <f>IF(BA294=0,0,BA292/(BA294+BA279)*100)</f>
        <v>0</v>
      </c>
      <c r="BB293" s="1099">
        <f>IF(BB294=0,0,BB292/(BB294+BB279)*100)</f>
        <v>0</v>
      </c>
      <c r="BC293" s="1099">
        <f>IF(BC294=0,0,BC292/(BC294+BC279)*100)</f>
        <v>0</v>
      </c>
      <c r="BD293" s="1100"/>
      <c r="BE293" s="1100"/>
      <c r="BF293" s="1100"/>
      <c r="BG293" s="1100"/>
      <c r="BH293" s="1100"/>
      <c r="BI293" s="1100"/>
      <c r="BJ293" s="1100"/>
      <c r="BK293" s="1100"/>
      <c r="BL293" s="1100"/>
      <c r="BM293" s="1100"/>
      <c r="BN293" s="4617"/>
      <c r="BO293" s="4617"/>
      <c r="BP293" s="4617"/>
      <c r="BQ293" s="960"/>
      <c r="BR293" s="960"/>
      <c r="BS293" s="1048" t="s">
        <v>2056</v>
      </c>
      <c r="BT293" s="1048"/>
      <c r="BU293" s="1048"/>
      <c r="BV293" s="962"/>
      <c r="BW293" s="962"/>
    </row>
    <row s="4673" customFormat="1" customHeight="1" ht="20.25">
      <c r="A294" s="680"/>
      <c r="B294" s="408"/>
      <c r="C294" s="75"/>
      <c r="D294" s="75">
        <f>D293+1</f>
        <v>9</v>
      </c>
      <c r="E294" s="807">
        <v>21</v>
      </c>
      <c r="F294" s="50" cm="1" t="str">
        <f t="array" ref="F294:F294">OFFSET(E294,-1,1)</f>
        <v>1</v>
      </c>
      <c r="G294" s="75"/>
      <c r="H294" s="73"/>
      <c r="I294" s="73" t="s">
        <v>722</v>
      </c>
      <c r="J294" s="75"/>
      <c r="K294" s="124" t="s">
        <v>722</v>
      </c>
      <c r="L294" s="968" t="s">
        <v>1720</v>
      </c>
      <c r="M294" s="75"/>
      <c r="N294" s="75"/>
      <c r="O294" s="75"/>
      <c r="P294" s="75"/>
      <c r="Q294" s="75"/>
      <c r="R294" s="75"/>
      <c r="S294" s="75"/>
      <c r="T294" s="439" cm="1" t="str">
        <f t="array" ref="T294:T294">T293</f>
        <v>true</v>
      </c>
      <c r="U294" s="75"/>
      <c r="V294" s="75"/>
      <c r="W294" s="75"/>
      <c r="X294" s="1534"/>
      <c r="Y294" s="680"/>
      <c r="Z294" s="1465"/>
      <c r="AA294" s="680"/>
      <c r="AB294" s="178" cm="1" t="str">
        <f t="array" ref="AB294:AB294">D294</f>
        <v>9</v>
      </c>
      <c r="AC294" s="179" t="s">
        <v>1722</v>
      </c>
      <c r="AD294" s="201" t="s">
        <v>784</v>
      </c>
      <c r="AE294" s="180">
        <f>AE172+AE222+AE258+AE259+AE261+AE266+AE267+AE270</f>
        <v>3090.9348797365</v>
      </c>
      <c r="AF294" s="180">
        <f>AF172+AF222+AF258+AF259+AF261+AF266+AF267+AF270</f>
        <v>7152.1847912985</v>
      </c>
      <c r="AG294" s="180">
        <f>AG172+AG222+AG258+AG259+AG261+AG266+AG267+AG270</f>
        <v>1076.6774299695</v>
      </c>
      <c r="AH294" s="759">
        <f>AG294-AF294</f>
        <v>-6075.507361329</v>
      </c>
      <c r="AI294" s="180">
        <f>AI172+AI222+AI258+AI259+AI261+AI266+AI267+AI270</f>
        <v>1030.7414189588</v>
      </c>
      <c r="AJ294" s="180">
        <f>AJ172+AJ222+AJ258+AJ259+AJ261+AJ266+AJ267+AJ270</f>
        <v>1705.7683865498</v>
      </c>
      <c r="AK294" s="180">
        <f>AK172+AK222+AK258+AK259+AK261+AK266+AK267+AK270</f>
        <v>0</v>
      </c>
      <c r="AL294" s="180">
        <f>AL172+AL222+AL258+AL259+AL261+AL266+AL267+AL270</f>
        <v>0</v>
      </c>
      <c r="AM294" s="180">
        <f>AM172+AM222+AM258+AM259+AM261+AM266+AM267+AM270</f>
        <v>0</v>
      </c>
      <c r="AN294" s="180">
        <f>AN172+AN222+AN258+AN259+AN261+AN266+AN267+AN270</f>
        <v>0</v>
      </c>
      <c r="AO294" s="180">
        <f>AO172+AO222+AO258+AO259+AO261+AO266+AO267+AO270</f>
        <v>0</v>
      </c>
      <c r="AP294" s="180">
        <f>AP172+AP222+AP258+AP259+AP261+AP266+AP267+AP270</f>
        <v>0</v>
      </c>
      <c r="AQ294" s="180">
        <f>AQ172+AQ222+AQ258+AQ259+AQ261+AQ266+AQ267+AQ270</f>
        <v>0</v>
      </c>
      <c r="AR294" s="180">
        <f>AR172+AR222+AR258+AR259+AR261+AR266+AR267+AR270</f>
        <v>0</v>
      </c>
      <c r="AS294" s="180">
        <f>AS172+AS222+AS258+AS259+AS261+AS266+AS267+AS270</f>
        <v>0</v>
      </c>
      <c r="AT294" s="180">
        <f>AT172+AT222+AT258+AT259+AT261+AT266+AT267+AT270</f>
        <v>1607.4282058798</v>
      </c>
      <c r="AU294" s="180">
        <f>AU172+AU222+AU258+AU259+AU261+AU266+AU267+AU270</f>
        <v>0</v>
      </c>
      <c r="AV294" s="180">
        <f>AV172+AV222+AV258+AV259+AV261+AV266+AV267+AV270</f>
        <v>0</v>
      </c>
      <c r="AW294" s="180">
        <f>AW172+AW222+AW258+AW259+AW261+AW266+AW267+AW270</f>
        <v>0</v>
      </c>
      <c r="AX294" s="180">
        <f>AX172+AX222+AX258+AX259+AX261+AX266+AX267+AX270</f>
        <v>0</v>
      </c>
      <c r="AY294" s="180">
        <f>AY172+AY222+AY258+AY259+AY261+AY266+AY267+AY270</f>
        <v>0</v>
      </c>
      <c r="AZ294" s="180">
        <f>AZ172+AZ222+AZ258+AZ259+AZ261+AZ266+AZ267+AZ270</f>
        <v>0</v>
      </c>
      <c r="BA294" s="180">
        <f>BA172+BA222+BA258+BA259+BA261+BA266+BA267+BA270</f>
        <v>0</v>
      </c>
      <c r="BB294" s="180">
        <f>BB172+BB222+BB258+BB259+BB261+BB266+BB267+BB270</f>
        <v>0</v>
      </c>
      <c r="BC294" s="180">
        <f>BC172+BC222+BC258+BC259+BC261+BC266+BC267+BC270</f>
        <v>0</v>
      </c>
      <c r="BD294" s="759">
        <f>IF(AI294=0,0,(AT294-AI294)/AI294*100)</f>
        <v>55.9487351836058</v>
      </c>
      <c r="BE294" s="759">
        <f>IF(AT294=0,0,(AU294-AT294)/AT294*100)</f>
        <v>-100</v>
      </c>
      <c r="BF294" s="759">
        <f>IF(AU294=0,0,(AV294-AU294)/AU294*100)</f>
        <v>0</v>
      </c>
      <c r="BG294" s="759">
        <f>IF(AV294=0,0,(AW294-AV294)/AV294*100)</f>
        <v>0</v>
      </c>
      <c r="BH294" s="759">
        <f>IF(AW294=0,0,(AX294-AW294)/AW294*100)</f>
        <v>0</v>
      </c>
      <c r="BI294" s="759">
        <f>IF(AX294=0,0,(AY294-AX294)/AX294*100)</f>
        <v>0</v>
      </c>
      <c r="BJ294" s="759">
        <f>IF(AY294=0,0,(AZ294-AY294)/AY294*100)</f>
        <v>0</v>
      </c>
      <c r="BK294" s="759">
        <f>IF(AZ294=0,0,(BA294-AZ294)/AZ294*100)</f>
        <v>0</v>
      </c>
      <c r="BL294" s="759">
        <f>IF(BA294=0,0,(BB294-BA294)/BA294*100)</f>
        <v>0</v>
      </c>
      <c r="BM294" s="759">
        <f>IF(BB294=0,0,(BC294-BB294)/BB294*100)</f>
        <v>0</v>
      </c>
      <c r="BN294" s="4617"/>
      <c r="BO294" s="4617"/>
      <c r="BP294" s="4617"/>
      <c r="BQ294" s="680"/>
      <c r="BR294" s="680"/>
      <c r="BS294" s="1054" t="s">
        <v>1723</v>
      </c>
      <c r="BT294" s="1054"/>
      <c r="BU294" s="1054"/>
      <c r="BV294" s="687"/>
      <c r="BW294" s="687"/>
    </row>
    <row s="4674" customFormat="1" customHeight="1" ht="20.25">
      <c r="A295" s="680"/>
      <c r="B295" s="408"/>
      <c r="C295" s="75"/>
      <c r="D295" s="75">
        <f>D294+1</f>
        <v>10</v>
      </c>
      <c r="E295" s="807">
        <v>21</v>
      </c>
      <c r="F295" s="50" cm="1" t="str">
        <f t="array" ref="F295:F295">OFFSET(E295,-1,1)</f>
        <v>1</v>
      </c>
      <c r="G295" s="75"/>
      <c r="H295" s="73"/>
      <c r="I295" s="73" t="s">
        <v>1732</v>
      </c>
      <c r="J295" s="75"/>
      <c r="K295" s="124" t="s">
        <v>1732</v>
      </c>
      <c r="L295" s="968"/>
      <c r="M295" s="75"/>
      <c r="N295" s="75"/>
      <c r="O295" s="75"/>
      <c r="P295" s="75"/>
      <c r="Q295" s="75"/>
      <c r="R295" s="75"/>
      <c r="S295" s="75"/>
      <c r="T295" s="439" cm="1" t="str">
        <f t="array" ref="T295:T295">T294</f>
        <v>true</v>
      </c>
      <c r="U295" s="75"/>
      <c r="V295" s="75"/>
      <c r="W295" s="75"/>
      <c r="X295" s="1534"/>
      <c r="Y295" s="680"/>
      <c r="Z295" s="1465"/>
      <c r="AA295" s="680"/>
      <c r="AB295" s="178" cm="1" t="str">
        <f t="array" ref="AB295:AB295">D295</f>
        <v>10</v>
      </c>
      <c r="AC295" s="179" t="s">
        <v>2057</v>
      </c>
      <c r="AD295" s="178" t="s">
        <v>784</v>
      </c>
      <c r="AE295" s="180">
        <f>AE294+AE279+AE292</f>
        <v>2765.1490369103</v>
      </c>
      <c r="AF295" s="180">
        <f>AF294+AF279+AF292</f>
        <v>7152.1847912985</v>
      </c>
      <c r="AG295" s="180">
        <f>AG294+AG279+AG292</f>
        <v>1076.6774299695</v>
      </c>
      <c r="AH295" s="180">
        <f>AH294+AH279+AH292</f>
        <v>-6075.507361329</v>
      </c>
      <c r="AI295" s="180">
        <f>AI294+AI279+AI292</f>
        <v>665.0814189588</v>
      </c>
      <c r="AJ295" s="180">
        <f>AJ294+AJ279+AJ292</f>
        <v>2192.9364351811</v>
      </c>
      <c r="AK295" s="180">
        <f>AK294+AK279+AK292</f>
        <v>0</v>
      </c>
      <c r="AL295" s="180">
        <f>AL294+AL279+AL292</f>
        <v>0</v>
      </c>
      <c r="AM295" s="180">
        <f>AM294+AM279+AM292</f>
        <v>0</v>
      </c>
      <c r="AN295" s="180">
        <f>AN294+AN279+AN292</f>
        <v>0</v>
      </c>
      <c r="AO295" s="180">
        <f>AO294+AO279+AO292</f>
        <v>0</v>
      </c>
      <c r="AP295" s="180">
        <f>AP294+AP279+AP292</f>
        <v>0</v>
      </c>
      <c r="AQ295" s="180">
        <f>AQ294+AQ279+AQ292</f>
        <v>0</v>
      </c>
      <c r="AR295" s="180">
        <f>AR294+AR279+AR292</f>
        <v>0</v>
      </c>
      <c r="AS295" s="180">
        <f>AS294+AS279+AS292</f>
        <v>0</v>
      </c>
      <c r="AT295" s="180">
        <f>AT294+AT279+AT292</f>
        <v>1840.3205085318</v>
      </c>
      <c r="AU295" s="180">
        <f>AU294+AU279+AU292</f>
        <v>0</v>
      </c>
      <c r="AV295" s="180">
        <f>AV294+AV279+AV292</f>
        <v>0</v>
      </c>
      <c r="AW295" s="180">
        <f>AW294+AW279+AW292</f>
        <v>0</v>
      </c>
      <c r="AX295" s="180">
        <f>AX294+AX279+AX292</f>
        <v>0</v>
      </c>
      <c r="AY295" s="180">
        <f>AY294+AY279+AY292</f>
        <v>0</v>
      </c>
      <c r="AZ295" s="180">
        <f>AZ294+AZ279+AZ292</f>
        <v>0</v>
      </c>
      <c r="BA295" s="180">
        <f>BA294+BA279+BA292</f>
        <v>0</v>
      </c>
      <c r="BB295" s="180">
        <f>BB294+BB279+BB292</f>
        <v>0</v>
      </c>
      <c r="BC295" s="180">
        <f>BC294+BC279+BC292</f>
        <v>0</v>
      </c>
      <c r="BD295" s="759">
        <f>IF(AI295=0,0,(AT295-AI295)/AI295*100)</f>
        <v>176.706047721625</v>
      </c>
      <c r="BE295" s="759">
        <f>IF(AT295=0,0,(AU295-AT295)/AT295*100)</f>
        <v>-100</v>
      </c>
      <c r="BF295" s="759">
        <f>IF(AU295=0,0,(AV295-AU295)/AU295*100)</f>
        <v>0</v>
      </c>
      <c r="BG295" s="759">
        <f>IF(AV295=0,0,(AW295-AV295)/AV295*100)</f>
        <v>0</v>
      </c>
      <c r="BH295" s="759">
        <f>IF(AW295=0,0,(AX295-AW295)/AW295*100)</f>
        <v>0</v>
      </c>
      <c r="BI295" s="759">
        <f>IF(AX295=0,0,(AY295-AX295)/AX295*100)</f>
        <v>0</v>
      </c>
      <c r="BJ295" s="759">
        <f>IF(AY295=0,0,(AZ295-AY295)/AY295*100)</f>
        <v>0</v>
      </c>
      <c r="BK295" s="759">
        <f>IF(AZ295=0,0,(BA295-AZ295)/AZ295*100)</f>
        <v>0</v>
      </c>
      <c r="BL295" s="759">
        <f>IF(BA295=0,0,(BB295-BA295)/BA295*100)</f>
        <v>0</v>
      </c>
      <c r="BM295" s="759">
        <f>IF(BB295=0,0,(BC295-BB295)/BB295*100)</f>
        <v>0</v>
      </c>
      <c r="BN295" s="4617"/>
      <c r="BO295" s="4617"/>
      <c r="BP295" s="4617"/>
      <c r="BQ295" s="680"/>
      <c r="BR295" s="680"/>
      <c r="BS295" s="1054" t="s">
        <v>2058</v>
      </c>
      <c r="BT295" s="1054"/>
      <c r="BU295" s="1054"/>
      <c r="BV295" s="687"/>
      <c r="BW295" s="687"/>
    </row>
    <row s="1621" customFormat="1" customHeight="1" ht="14.25" hidden="1">
      <c r="A296" s="960"/>
      <c r="B296" s="418">
        <f>A171="двухставочный"</f>
        <v>0</v>
      </c>
      <c r="C296" s="73"/>
      <c r="D296" s="73" cm="1" t="str">
        <f t="array" ref="D296:D296">D295</f>
        <v>10</v>
      </c>
      <c r="E296" s="600">
        <v>15</v>
      </c>
      <c r="F296" s="50" cm="1" t="str">
        <f t="array" ref="F296:F296">OFFSET(E296,-1,1)</f>
        <v>1</v>
      </c>
      <c r="G296" s="73"/>
      <c r="H296" s="830"/>
      <c r="I296" s="830" t="s">
        <v>1736</v>
      </c>
      <c r="J296" s="73"/>
      <c r="K296" s="346" t="s">
        <v>1736</v>
      </c>
      <c r="L296" s="963" t="s">
        <v>1724</v>
      </c>
      <c r="M296" s="73"/>
      <c r="N296" s="73"/>
      <c r="O296" s="73"/>
      <c r="P296" s="73"/>
      <c r="Q296" s="73"/>
      <c r="R296" s="73"/>
      <c r="S296" s="73"/>
      <c r="T296" s="439" cm="1" t="str">
        <f t="array" ref="T296:T296">T295</f>
        <v>true</v>
      </c>
      <c r="U296" s="73"/>
      <c r="V296" s="73"/>
      <c r="W296" s="73"/>
      <c r="X296" s="1534"/>
      <c r="Y296" s="960"/>
      <c r="Z296" s="1465"/>
      <c r="AA296" s="960"/>
      <c r="AB296" s="267" t="str">
        <f>D296&amp;".1"</f>
        <v>10.1</v>
      </c>
      <c r="AC296" s="1097" t="s">
        <v>1726</v>
      </c>
      <c r="AD296" s="267" t="s">
        <v>784</v>
      </c>
      <c r="AE296" s="1268"/>
      <c r="AF296" s="1268"/>
      <c r="AG296" s="1268"/>
      <c r="AH296" s="1099">
        <f>AG296-AF296</f>
        <v>0</v>
      </c>
      <c r="AI296" s="1268"/>
      <c r="AJ296" s="4561"/>
      <c r="AK296" s="1268"/>
      <c r="AL296" s="1268"/>
      <c r="AM296" s="1268"/>
      <c r="AN296" s="1268"/>
      <c r="AO296" s="1268"/>
      <c r="AP296" s="1268"/>
      <c r="AQ296" s="1268"/>
      <c r="AR296" s="1268"/>
      <c r="AS296" s="1268"/>
      <c r="AT296" s="4561"/>
      <c r="AU296" s="1268"/>
      <c r="AV296" s="1268"/>
      <c r="AW296" s="1268"/>
      <c r="AX296" s="1268"/>
      <c r="AY296" s="1268"/>
      <c r="AZ296" s="1268"/>
      <c r="BA296" s="1268"/>
      <c r="BB296" s="1268"/>
      <c r="BC296" s="1268"/>
      <c r="BD296" s="1100"/>
      <c r="BE296" s="1100"/>
      <c r="BF296" s="1100"/>
      <c r="BG296" s="1100"/>
      <c r="BH296" s="1100"/>
      <c r="BI296" s="1100"/>
      <c r="BJ296" s="1100"/>
      <c r="BK296" s="1100"/>
      <c r="BL296" s="1100"/>
      <c r="BM296" s="1100"/>
      <c r="BN296" s="1265"/>
      <c r="BO296" s="1265"/>
      <c r="BP296" s="1265"/>
      <c r="BQ296" s="960"/>
      <c r="BR296" s="960"/>
      <c r="BS296" s="1046" t="s">
        <v>1727</v>
      </c>
      <c r="BT296" s="1048"/>
      <c r="BU296" s="1048"/>
      <c r="BV296" s="962"/>
      <c r="BW296" s="962"/>
    </row>
    <row s="1621" customFormat="1" customHeight="1" ht="14.25" hidden="1">
      <c r="A297" s="960"/>
      <c r="B297" s="418">
        <f>A171="двухставочный"</f>
        <v>0</v>
      </c>
      <c r="C297" s="73"/>
      <c r="D297" s="73" cm="1" t="str">
        <f t="array" ref="D297:D297">D296</f>
        <v>10</v>
      </c>
      <c r="E297" s="600">
        <v>15</v>
      </c>
      <c r="F297" s="50" cm="1" t="str">
        <f t="array" ref="F297:F297">OFFSET(E297,-1,1)</f>
        <v>1</v>
      </c>
      <c r="G297" s="73"/>
      <c r="H297" s="830"/>
      <c r="I297" s="830" t="s">
        <v>1740</v>
      </c>
      <c r="J297" s="73"/>
      <c r="K297" s="346" t="s">
        <v>1740</v>
      </c>
      <c r="L297" s="963" t="s">
        <v>1728</v>
      </c>
      <c r="M297" s="73"/>
      <c r="N297" s="73"/>
      <c r="O297" s="73"/>
      <c r="P297" s="73"/>
      <c r="Q297" s="73"/>
      <c r="R297" s="73"/>
      <c r="S297" s="73"/>
      <c r="T297" s="439" cm="1" t="str">
        <f t="array" ref="T297:T297">T296</f>
        <v>true</v>
      </c>
      <c r="U297" s="73"/>
      <c r="V297" s="73"/>
      <c r="W297" s="73"/>
      <c r="X297" s="1534"/>
      <c r="Y297" s="960"/>
      <c r="Z297" s="1465"/>
      <c r="AA297" s="960"/>
      <c r="AB297" s="267" t="str">
        <f>D297&amp;".2"</f>
        <v>10.2</v>
      </c>
      <c r="AC297" s="1097" t="s">
        <v>1730</v>
      </c>
      <c r="AD297" s="267" t="s">
        <v>784</v>
      </c>
      <c r="AE297" s="1268"/>
      <c r="AF297" s="1268"/>
      <c r="AG297" s="1268"/>
      <c r="AH297" s="1099">
        <f>AG297-AF297</f>
        <v>0</v>
      </c>
      <c r="AI297" s="1268"/>
      <c r="AJ297" s="4561"/>
      <c r="AK297" s="1268"/>
      <c r="AL297" s="1268"/>
      <c r="AM297" s="1268"/>
      <c r="AN297" s="1268"/>
      <c r="AO297" s="1268"/>
      <c r="AP297" s="1268"/>
      <c r="AQ297" s="1268"/>
      <c r="AR297" s="1268"/>
      <c r="AS297" s="1268"/>
      <c r="AT297" s="4561"/>
      <c r="AU297" s="1268"/>
      <c r="AV297" s="1268"/>
      <c r="AW297" s="1268"/>
      <c r="AX297" s="1268"/>
      <c r="AY297" s="1268"/>
      <c r="AZ297" s="1268"/>
      <c r="BA297" s="1268"/>
      <c r="BB297" s="1268"/>
      <c r="BC297" s="1268"/>
      <c r="BD297" s="1100"/>
      <c r="BE297" s="1100"/>
      <c r="BF297" s="1100"/>
      <c r="BG297" s="1100"/>
      <c r="BH297" s="1100"/>
      <c r="BI297" s="1100"/>
      <c r="BJ297" s="1100"/>
      <c r="BK297" s="1100"/>
      <c r="BL297" s="1100"/>
      <c r="BM297" s="1100"/>
      <c r="BN297" s="1265"/>
      <c r="BO297" s="1265"/>
      <c r="BP297" s="1265"/>
      <c r="BQ297" s="960"/>
      <c r="BR297" s="960"/>
      <c r="BS297" s="1046" t="s">
        <v>1731</v>
      </c>
      <c r="BT297" s="1048"/>
      <c r="BU297" s="1048"/>
      <c r="BV297" s="962"/>
      <c r="BW297" s="962"/>
    </row>
    <row s="4675" customFormat="1" customHeight="1" ht="44.25">
      <c r="A298" s="680"/>
      <c r="B298" s="408"/>
      <c r="C298" s="75"/>
      <c r="D298" s="75">
        <f>D297+1</f>
        <v>11</v>
      </c>
      <c r="E298" s="807">
        <v>21</v>
      </c>
      <c r="F298" s="50" cm="1" t="str">
        <f t="array" ref="F298:F298">OFFSET(E298,-1,1)</f>
        <v>1</v>
      </c>
      <c r="G298" s="73" t="s">
        <v>1503</v>
      </c>
      <c r="H298" s="73"/>
      <c r="I298" s="73" t="s">
        <v>1760</v>
      </c>
      <c r="J298" s="75"/>
      <c r="K298" s="124" t="s">
        <v>1760</v>
      </c>
      <c r="L298" s="968" t="s">
        <v>1732</v>
      </c>
      <c r="M298" s="75"/>
      <c r="N298" s="75"/>
      <c r="O298" s="75"/>
      <c r="P298" s="75"/>
      <c r="Q298" s="75"/>
      <c r="R298" s="75"/>
      <c r="S298" s="75"/>
      <c r="T298" s="439" cm="1" t="str">
        <f t="array" ref="T298:T298">T297</f>
        <v>true</v>
      </c>
      <c r="U298" s="75"/>
      <c r="V298" s="75"/>
      <c r="W298" s="75"/>
      <c r="X298" s="1534"/>
      <c r="Y298" s="680"/>
      <c r="Z298" s="1465"/>
      <c r="AA298" s="680"/>
      <c r="AB298" s="178" cm="1" t="str">
        <f t="array" ref="AB298:AB298">D298</f>
        <v>11</v>
      </c>
      <c r="AC298" s="179" t="s">
        <v>1734</v>
      </c>
      <c r="AD298" s="178" t="s">
        <v>512</v>
      </c>
      <c r="AE298" s="766">
        <f>_xlfn.SUMIFS(Баланс!AE$26:AE$300,Баланс!$F$26:$F$300,$F298,Баланс!$G$26:$G$300,"ПО")</f>
        <v>183.4584</v>
      </c>
      <c r="AF298" s="766">
        <f>_xlfn.SUMIFS(Баланс!AF$26:AF$300,Баланс!$F$26:$F$300,$F298,Баланс!$G$26:$G$300,"ПО")</f>
        <v>163.933</v>
      </c>
      <c r="AG298" s="766">
        <f>_xlfn.SUMIFS(Баланс!AG$26:AG$300,Баланс!$F$26:$F$300,$F298,Баланс!$G$26:$G$300,"ПО")</f>
        <v>163.933</v>
      </c>
      <c r="AH298" s="766">
        <f>AG298-AF298</f>
        <v>0</v>
      </c>
      <c r="AI298" s="766">
        <f>_xlfn.SUMIFS(Баланс!AH$26:AH$300,Баланс!$F$26:$F$300,$F298,Баланс!$G$26:$G$300,"ПО")</f>
        <v>151.23</v>
      </c>
      <c r="AJ298" s="766">
        <f>_xlfn.SUMIFS(Баланс!AI$26:AI$300,Баланс!$F$26:$F$300,$F298,Баланс!$G$26:$G$300,"ПО")</f>
        <v>147.98</v>
      </c>
      <c r="AK298" s="766">
        <f>_xlfn.SUMIFS(Баланс!AJ$26:AJ$300,Баланс!$F$26:$F$300,$F298,Баланс!$G$26:$G$300,"ПО")</f>
        <v>0</v>
      </c>
      <c r="AL298" s="766">
        <f>_xlfn.SUMIFS(Баланс!AK$26:AK$300,Баланс!$F$26:$F$300,$F298,Баланс!$G$26:$G$300,"ПО")</f>
        <v>0</v>
      </c>
      <c r="AM298" s="766">
        <f>_xlfn.SUMIFS(Баланс!AL$26:AL$300,Баланс!$F$26:$F$300,$F298,Баланс!$G$26:$G$300,"ПО")</f>
        <v>0</v>
      </c>
      <c r="AN298" s="766">
        <f>_xlfn.SUMIFS(Баланс!AM$26:AM$300,Баланс!$F$26:$F$300,$F298,Баланс!$G$26:$G$300,"ПО")</f>
        <v>0</v>
      </c>
      <c r="AO298" s="766">
        <f>_xlfn.SUMIFS(Баланс!AN$26:AN$300,Баланс!$F$26:$F$300,$F298,Баланс!$G$26:$G$300,"ПО")</f>
        <v>0</v>
      </c>
      <c r="AP298" s="766">
        <f>_xlfn.SUMIFS(Баланс!AO$26:AO$300,Баланс!$F$26:$F$300,$F298,Баланс!$G$26:$G$300,"ПО")</f>
        <v>0</v>
      </c>
      <c r="AQ298" s="766">
        <f>_xlfn.SUMIFS(Баланс!AP$26:AP$300,Баланс!$F$26:$F$300,$F298,Баланс!$G$26:$G$300,"ПО")</f>
        <v>0</v>
      </c>
      <c r="AR298" s="766">
        <f>_xlfn.SUMIFS(Баланс!AQ$26:AQ$300,Баланс!$F$26:$F$300,$F298,Баланс!$G$26:$G$300,"ПО")</f>
        <v>0</v>
      </c>
      <c r="AS298" s="766">
        <f>_xlfn.SUMIFS(Баланс!AR$26:AR$300,Баланс!$F$26:$F$300,$F298,Баланс!$G$26:$G$300,"ПО")</f>
        <v>0</v>
      </c>
      <c r="AT298" s="766">
        <f>_xlfn.SUMIFS(Баланс!AS$26:AS$300,Баланс!$F$26:$F$300,$F298,Баланс!$G$26:$G$300,"ПО")</f>
        <v>163.933</v>
      </c>
      <c r="AU298" s="766">
        <f>_xlfn.SUMIFS(Баланс!AT$26:AT$300,Баланс!$F$26:$F$300,$F298,Баланс!$G$26:$G$300,"ПО")</f>
        <v>0</v>
      </c>
      <c r="AV298" s="766">
        <f>_xlfn.SUMIFS(Баланс!AU$26:AU$300,Баланс!$F$26:$F$300,$F298,Баланс!$G$26:$G$300,"ПО")</f>
        <v>0</v>
      </c>
      <c r="AW298" s="766">
        <f>_xlfn.SUMIFS(Баланс!AV$26:AV$300,Баланс!$F$26:$F$300,$F298,Баланс!$G$26:$G$300,"ПО")</f>
        <v>0</v>
      </c>
      <c r="AX298" s="766">
        <f>_xlfn.SUMIFS(Баланс!AW$26:AW$300,Баланс!$F$26:$F$300,$F298,Баланс!$G$26:$G$300,"ПО")</f>
        <v>0</v>
      </c>
      <c r="AY298" s="766">
        <f>_xlfn.SUMIFS(Баланс!AX$26:AX$300,Баланс!$F$26:$F$300,$F298,Баланс!$G$26:$G$300,"ПО")</f>
        <v>0</v>
      </c>
      <c r="AZ298" s="766">
        <f>_xlfn.SUMIFS(Баланс!AY$26:AY$300,Баланс!$F$26:$F$300,$F298,Баланс!$G$26:$G$300,"ПО")</f>
        <v>0</v>
      </c>
      <c r="BA298" s="766">
        <f>_xlfn.SUMIFS(Баланс!AZ$26:AZ$300,Баланс!$F$26:$F$300,$F298,Баланс!$G$26:$G$300,"ПО")</f>
        <v>0</v>
      </c>
      <c r="BB298" s="766">
        <f>_xlfn.SUMIFS(Баланс!BA$26:BA$300,Баланс!$F$26:$F$300,$F298,Баланс!$G$26:$G$300,"ПО")</f>
        <v>0</v>
      </c>
      <c r="BC298" s="766">
        <f>_xlfn.SUMIFS(Баланс!BB$26:BB$300,Баланс!$F$26:$F$300,$F298,Баланс!$G$26:$G$300,"ПО")</f>
        <v>0</v>
      </c>
      <c r="BD298" s="183"/>
      <c r="BE298" s="183"/>
      <c r="BF298" s="183"/>
      <c r="BG298" s="183"/>
      <c r="BH298" s="183"/>
      <c r="BI298" s="183"/>
      <c r="BJ298" s="183"/>
      <c r="BK298" s="183"/>
      <c r="BL298" s="183"/>
      <c r="BM298" s="183"/>
      <c r="BN298" s="4617" t="s">
        <v>2087</v>
      </c>
      <c r="BO298" s="4617"/>
      <c r="BP298" s="4617"/>
      <c r="BQ298" s="680"/>
      <c r="BR298" s="680"/>
      <c r="BS298" s="1047" t="s">
        <v>1735</v>
      </c>
      <c r="BT298" s="1054"/>
      <c r="BU298" s="1054"/>
      <c r="BV298" s="687"/>
      <c r="BW298" s="687"/>
    </row>
    <row s="1621" customFormat="1" customHeight="1" ht="14.625">
      <c r="A299" s="960"/>
      <c r="B299" s="961"/>
      <c r="C299" s="73"/>
      <c r="D299" s="73" cm="1" t="str">
        <f t="array" ref="D299:D299">D298</f>
        <v>11</v>
      </c>
      <c r="E299" s="600">
        <v>15</v>
      </c>
      <c r="F299" s="50" cm="1" t="str">
        <f t="array" ref="F299:F299">OFFSET(E299,-1,1)</f>
        <v>1</v>
      </c>
      <c r="G299" s="73" t="s">
        <v>1530</v>
      </c>
      <c r="H299" s="73"/>
      <c r="I299" s="73" t="s">
        <v>2059</v>
      </c>
      <c r="J299" s="73"/>
      <c r="K299" s="124" t="s">
        <v>2059</v>
      </c>
      <c r="L299" s="963" t="s">
        <v>1736</v>
      </c>
      <c r="M299" s="73"/>
      <c r="N299" s="73"/>
      <c r="O299" s="73"/>
      <c r="P299" s="73"/>
      <c r="Q299" s="73"/>
      <c r="R299" s="73"/>
      <c r="S299" s="73"/>
      <c r="T299" s="439" cm="1" t="str">
        <f t="array" ref="T299:T299">T298</f>
        <v>true</v>
      </c>
      <c r="U299" s="73"/>
      <c r="V299" s="73"/>
      <c r="W299" s="73"/>
      <c r="X299" s="1534"/>
      <c r="Y299" s="960"/>
      <c r="Z299" s="1465"/>
      <c r="AA299" s="960"/>
      <c r="AB299" s="267" t="str">
        <f>D299&amp;".1"</f>
        <v>11.1</v>
      </c>
      <c r="AC299" s="1096" t="s">
        <v>1738</v>
      </c>
      <c r="AD299" s="267" t="s">
        <v>512</v>
      </c>
      <c r="AE299" s="4548">
        <v>91.7292</v>
      </c>
      <c r="AF299" s="4548">
        <v>81.9665</v>
      </c>
      <c r="AG299" s="4548">
        <v>81.9665</v>
      </c>
      <c r="AH299" s="1098">
        <f>AG299-AF299</f>
        <v>0</v>
      </c>
      <c r="AI299" s="4548">
        <v>75.615</v>
      </c>
      <c r="AJ299" s="4548">
        <v>73.99</v>
      </c>
      <c r="AK299" s="1266">
        <f>IF(god=2025,AK298/12*9,AK298/2)</f>
        <v>0</v>
      </c>
      <c r="AL299" s="1266">
        <f>AL298/2</f>
        <v>0</v>
      </c>
      <c r="AM299" s="4548">
        <f>AM298/2</f>
        <v>0</v>
      </c>
      <c r="AN299" s="4548">
        <f>AN298/2</f>
        <v>0</v>
      </c>
      <c r="AO299" s="4548">
        <f>AO298/2</f>
        <v>0</v>
      </c>
      <c r="AP299" s="4548">
        <f>AP298/2</f>
        <v>0</v>
      </c>
      <c r="AQ299" s="4548">
        <f>AQ298/2</f>
        <v>0</v>
      </c>
      <c r="AR299" s="4548">
        <f>AR298/2</f>
        <v>0</v>
      </c>
      <c r="AS299" s="4548">
        <f>AS298/2</f>
        <v>0</v>
      </c>
      <c r="AT299" s="4548">
        <v>81.9665</v>
      </c>
      <c r="AU299" s="1266">
        <f>AU298/2</f>
        <v>0</v>
      </c>
      <c r="AV299" s="1266">
        <f>AV298/2</f>
        <v>0</v>
      </c>
      <c r="AW299" s="4548">
        <f>AW298/2</f>
        <v>0</v>
      </c>
      <c r="AX299" s="4548">
        <f>AX298/2</f>
        <v>0</v>
      </c>
      <c r="AY299" s="4548">
        <f>AY298/2</f>
        <v>0</v>
      </c>
      <c r="AZ299" s="4548">
        <f>AZ298/2</f>
        <v>0</v>
      </c>
      <c r="BA299" s="4548">
        <f>BA298/2</f>
        <v>0</v>
      </c>
      <c r="BB299" s="4548">
        <f>BB298/2</f>
        <v>0</v>
      </c>
      <c r="BC299" s="4548">
        <f>BC298/2</f>
        <v>0</v>
      </c>
      <c r="BD299" s="1100"/>
      <c r="BE299" s="1100"/>
      <c r="BF299" s="1100"/>
      <c r="BG299" s="1100"/>
      <c r="BH299" s="1100"/>
      <c r="BI299" s="1100"/>
      <c r="BJ299" s="1100"/>
      <c r="BK299" s="1100"/>
      <c r="BL299" s="1100"/>
      <c r="BM299" s="1100"/>
      <c r="BN299" s="4617"/>
      <c r="BO299" s="4617"/>
      <c r="BP299" s="4617"/>
      <c r="BQ299" s="960"/>
      <c r="BR299" s="960"/>
      <c r="BS299" s="1046" t="s">
        <v>1739</v>
      </c>
      <c r="BT299" s="1048"/>
      <c r="BU299" s="1048"/>
      <c r="BV299" s="962"/>
      <c r="BW299" s="962"/>
    </row>
    <row s="1621" customFormat="1" customHeight="1" ht="117.75">
      <c r="A300" s="960"/>
      <c r="B300" s="961"/>
      <c r="C300" s="73"/>
      <c r="D300" s="73" cm="1" t="str">
        <f t="array" ref="D300:D300">D299</f>
        <v>11</v>
      </c>
      <c r="E300" s="600">
        <v>15</v>
      </c>
      <c r="F300" s="50" cm="1" t="str">
        <f t="array" ref="F300:F300">OFFSET(E300,-1,1)</f>
        <v>1</v>
      </c>
      <c r="G300" s="73" t="s">
        <v>1491</v>
      </c>
      <c r="H300" s="73"/>
      <c r="I300" s="73" t="s">
        <v>2060</v>
      </c>
      <c r="J300" s="73"/>
      <c r="K300" s="124" t="s">
        <v>2060</v>
      </c>
      <c r="L300" s="963" t="s">
        <v>1740</v>
      </c>
      <c r="M300" s="73"/>
      <c r="N300" s="73"/>
      <c r="O300" s="73"/>
      <c r="P300" s="73"/>
      <c r="Q300" s="73"/>
      <c r="R300" s="73"/>
      <c r="S300" s="73"/>
      <c r="T300" s="439" cm="1" t="str">
        <f t="array" ref="T300:T300">T299</f>
        <v>true</v>
      </c>
      <c r="U300" s="73"/>
      <c r="V300" s="73"/>
      <c r="W300" s="73"/>
      <c r="X300" s="1534"/>
      <c r="Y300" s="960"/>
      <c r="Z300" s="1465"/>
      <c r="AA300" s="960"/>
      <c r="AB300" s="267" t="str">
        <f>D300&amp;".2"</f>
        <v>11.2</v>
      </c>
      <c r="AC300" s="1096" t="s">
        <v>1742</v>
      </c>
      <c r="AD300" s="267" t="s">
        <v>1494</v>
      </c>
      <c r="AE300" s="4561">
        <v>31.16</v>
      </c>
      <c r="AF300" s="4561">
        <v>115.84</v>
      </c>
      <c r="AG300" s="4561"/>
      <c r="AH300" s="1099">
        <f>AG300-AF300</f>
        <v>-115.84</v>
      </c>
      <c r="AI300" s="4561">
        <v>34.2100401235</v>
      </c>
      <c r="AJ300" s="4561">
        <v>50.56</v>
      </c>
      <c r="AK300" s="1268"/>
      <c r="AL300" s="1268"/>
      <c r="AM300" s="4561"/>
      <c r="AN300" s="4561"/>
      <c r="AO300" s="4561"/>
      <c r="AP300" s="4561"/>
      <c r="AQ300" s="4561"/>
      <c r="AR300" s="4561"/>
      <c r="AS300" s="4561"/>
      <c r="AT300" s="4561">
        <v>41.52</v>
      </c>
      <c r="AU300" s="1268" cm="1" t="str">
        <f t="array" ref="AU300:AU300">AT302</f>
        <v>45.6699432832</v>
      </c>
      <c r="AV300" s="1268" cm="1" t="str">
        <f t="array" ref="AV300:AV300">AU302</f>
        <v>0</v>
      </c>
      <c r="AW300" s="4561" cm="1" t="str">
        <f t="array" ref="AW300:AW300">AV302</f>
        <v>0</v>
      </c>
      <c r="AX300" s="4561" cm="1" t="str">
        <f t="array" ref="AX300:AX300">AW302</f>
        <v>0</v>
      </c>
      <c r="AY300" s="4561" cm="1" t="str">
        <f t="array" ref="AY300:AY300">AX302</f>
        <v>0</v>
      </c>
      <c r="AZ300" s="4561" cm="1" t="str">
        <f t="array" ref="AZ300:AZ300">AY302</f>
        <v>0</v>
      </c>
      <c r="BA300" s="4561" cm="1" t="str">
        <f t="array" ref="BA300:BA300">AZ302</f>
        <v>0</v>
      </c>
      <c r="BB300" s="4561" cm="1" t="str">
        <f t="array" ref="BB300:BB300">BA302</f>
        <v>0</v>
      </c>
      <c r="BC300" s="4561" cm="1" t="str">
        <f t="array" ref="BC300:BC300">BB302</f>
        <v>0</v>
      </c>
      <c r="BD300" s="1100"/>
      <c r="BE300" s="1100"/>
      <c r="BF300" s="1100"/>
      <c r="BG300" s="1100"/>
      <c r="BH300" s="1100"/>
      <c r="BI300" s="1100"/>
      <c r="BJ300" s="1100"/>
      <c r="BK300" s="1100"/>
      <c r="BL300" s="1100"/>
      <c r="BM300" s="1100"/>
      <c r="BN300" s="4617"/>
      <c r="BO300" s="4617" t="s">
        <v>2088</v>
      </c>
      <c r="BP300" s="4617"/>
      <c r="BQ300" s="960"/>
      <c r="BR300" s="960"/>
      <c r="BS300" s="1046" t="s">
        <v>1743</v>
      </c>
      <c r="BT300" s="1048"/>
      <c r="BU300" s="1048"/>
      <c r="BV300" s="962"/>
      <c r="BW300" s="962"/>
    </row>
    <row s="1621" customFormat="1" customHeight="1" ht="14.25">
      <c r="A301" s="960"/>
      <c r="B301" s="961"/>
      <c r="C301" s="73"/>
      <c r="D301" s="73" cm="1" t="str">
        <f t="array" ref="D301:D301">D300</f>
        <v>11</v>
      </c>
      <c r="E301" s="600">
        <v>15</v>
      </c>
      <c r="F301" s="50" cm="1" t="str">
        <f t="array" ref="F301:F301">OFFSET(E301,-1,1)</f>
        <v>1</v>
      </c>
      <c r="G301" s="73" t="s">
        <v>1543</v>
      </c>
      <c r="H301" s="73"/>
      <c r="I301" s="73" t="s">
        <v>2061</v>
      </c>
      <c r="J301" s="73"/>
      <c r="K301" s="124" t="s">
        <v>2061</v>
      </c>
      <c r="L301" s="963" t="s">
        <v>1744</v>
      </c>
      <c r="M301" s="73"/>
      <c r="N301" s="73"/>
      <c r="O301" s="73"/>
      <c r="P301" s="73"/>
      <c r="Q301" s="73"/>
      <c r="R301" s="73"/>
      <c r="S301" s="73"/>
      <c r="T301" s="439" cm="1" t="str">
        <f t="array" ref="T301:T301">T300</f>
        <v>true</v>
      </c>
      <c r="U301" s="73"/>
      <c r="V301" s="73"/>
      <c r="W301" s="73"/>
      <c r="X301" s="1534"/>
      <c r="Y301" s="960"/>
      <c r="Z301" s="1465"/>
      <c r="AA301" s="960"/>
      <c r="AB301" s="267" t="str">
        <f>D301&amp;".3"</f>
        <v>11.3</v>
      </c>
      <c r="AC301" s="1096" t="s">
        <v>2062</v>
      </c>
      <c r="AD301" s="267" t="s">
        <v>512</v>
      </c>
      <c r="AE301" s="1098">
        <f>AE298-AE299</f>
        <v>91.7292</v>
      </c>
      <c r="AF301" s="1098">
        <f>AF298-AF299</f>
        <v>81.9665</v>
      </c>
      <c r="AG301" s="1098">
        <f>AG298-AG299</f>
        <v>81.9665</v>
      </c>
      <c r="AH301" s="1098">
        <f>AG301-AF301</f>
        <v>0</v>
      </c>
      <c r="AI301" s="1098">
        <f>AI298-AI299</f>
        <v>75.615</v>
      </c>
      <c r="AJ301" s="1098">
        <f>AJ298-AJ299</f>
        <v>73.99</v>
      </c>
      <c r="AK301" s="1098">
        <f>AK298-AK299</f>
        <v>0</v>
      </c>
      <c r="AL301" s="1098">
        <f>AL298-AL299</f>
        <v>0</v>
      </c>
      <c r="AM301" s="1098">
        <f>AM298-AM299</f>
        <v>0</v>
      </c>
      <c r="AN301" s="1098">
        <f>AN298-AN299</f>
        <v>0</v>
      </c>
      <c r="AO301" s="1098">
        <f>AO298-AO299</f>
        <v>0</v>
      </c>
      <c r="AP301" s="1098">
        <f>AP298-AP299</f>
        <v>0</v>
      </c>
      <c r="AQ301" s="1098">
        <f>AQ298-AQ299</f>
        <v>0</v>
      </c>
      <c r="AR301" s="1098">
        <f>AR298-AR299</f>
        <v>0</v>
      </c>
      <c r="AS301" s="1098">
        <f>AS298-AS299</f>
        <v>0</v>
      </c>
      <c r="AT301" s="1098">
        <f>AT298-AT299</f>
        <v>81.9665</v>
      </c>
      <c r="AU301" s="1098">
        <f>AU298-AU299</f>
        <v>0</v>
      </c>
      <c r="AV301" s="1098">
        <f>AV298-AV299</f>
        <v>0</v>
      </c>
      <c r="AW301" s="1098">
        <f>AW298-AW299</f>
        <v>0</v>
      </c>
      <c r="AX301" s="1098">
        <f>AX298-AX299</f>
        <v>0</v>
      </c>
      <c r="AY301" s="1098">
        <f>AY298-AY299</f>
        <v>0</v>
      </c>
      <c r="AZ301" s="1098">
        <f>AZ298-AZ299</f>
        <v>0</v>
      </c>
      <c r="BA301" s="1098">
        <f>BA298-BA299</f>
        <v>0</v>
      </c>
      <c r="BB301" s="1098">
        <f>BB298-BB299</f>
        <v>0</v>
      </c>
      <c r="BC301" s="1098">
        <f>BC298-BC299</f>
        <v>0</v>
      </c>
      <c r="BD301" s="1100"/>
      <c r="BE301" s="1100"/>
      <c r="BF301" s="1100"/>
      <c r="BG301" s="1100"/>
      <c r="BH301" s="1100"/>
      <c r="BI301" s="1100"/>
      <c r="BJ301" s="1100"/>
      <c r="BK301" s="1100"/>
      <c r="BL301" s="1100"/>
      <c r="BM301" s="1100"/>
      <c r="BN301" s="4617"/>
      <c r="BO301" s="4617"/>
      <c r="BP301" s="4617"/>
      <c r="BQ301" s="960"/>
      <c r="BR301" s="960"/>
      <c r="BS301" s="1046" t="s">
        <v>1747</v>
      </c>
      <c r="BT301" s="1048"/>
      <c r="BU301" s="1048"/>
      <c r="BV301" s="962"/>
      <c r="BW301" s="962"/>
    </row>
    <row s="1621" customFormat="1" customHeight="1" ht="14.625">
      <c r="A302" s="960"/>
      <c r="B302" s="961"/>
      <c r="C302" s="73"/>
      <c r="D302" s="73" cm="1" t="str">
        <f t="array" ref="D302:D302">D301</f>
        <v>11</v>
      </c>
      <c r="E302" s="600">
        <v>15</v>
      </c>
      <c r="F302" s="50" cm="1" t="str">
        <f t="array" ref="F302:F302">OFFSET(E302,-1,1)</f>
        <v>1</v>
      </c>
      <c r="G302" s="73" t="s">
        <v>1496</v>
      </c>
      <c r="H302" s="73"/>
      <c r="I302" s="73" t="s">
        <v>2063</v>
      </c>
      <c r="J302" s="73"/>
      <c r="K302" s="124" t="s">
        <v>2063</v>
      </c>
      <c r="L302" s="963" t="s">
        <v>1748</v>
      </c>
      <c r="M302" s="73"/>
      <c r="N302" s="73"/>
      <c r="O302" s="73"/>
      <c r="P302" s="73"/>
      <c r="Q302" s="73"/>
      <c r="R302" s="73"/>
      <c r="S302" s="73"/>
      <c r="T302" s="439" cm="1" t="str">
        <f t="array" ref="T302:T302">T301</f>
        <v>true</v>
      </c>
      <c r="U302" s="73"/>
      <c r="V302" s="73"/>
      <c r="W302" s="73"/>
      <c r="X302" s="1534"/>
      <c r="Y302" s="960"/>
      <c r="Z302" s="1465"/>
      <c r="AA302" s="960"/>
      <c r="AB302" s="267" t="str">
        <f>D302&amp;".4"</f>
        <v>11.4</v>
      </c>
      <c r="AC302" s="1096" t="s">
        <v>1750</v>
      </c>
      <c r="AD302" s="267" t="s">
        <v>1494</v>
      </c>
      <c r="AE302" s="4561">
        <v>34.2100401235</v>
      </c>
      <c r="AF302" s="4561">
        <v>115.8380548315</v>
      </c>
      <c r="AG302" s="4561">
        <v>13.1355789252</v>
      </c>
      <c r="AH302" s="1099">
        <f>AG302-AF302</f>
        <v>-102.7024759063</v>
      </c>
      <c r="AI302" s="4561">
        <v>41.5199568108</v>
      </c>
      <c r="AJ302" s="4561">
        <v>50.5608898213</v>
      </c>
      <c r="AK302" s="1268">
        <f>IF(AK301=0,0,(AK295-AK299*AK300)/AK301)</f>
        <v>0</v>
      </c>
      <c r="AL302" s="1268">
        <f>IF(AL301=0,0,(AL295-AL299*AL300)/AL301)</f>
        <v>0</v>
      </c>
      <c r="AM302" s="4561">
        <f>IF(AM301=0,0,(AM295-AM299*AM300)/AM301)</f>
        <v>0</v>
      </c>
      <c r="AN302" s="4561">
        <f>IF(AN301=0,0,(AN295-AN299*AN300)/AN301)</f>
        <v>0</v>
      </c>
      <c r="AO302" s="4561">
        <f>IF(AO301=0,0,(AO295-AO299*AO300)/AO301)</f>
        <v>0</v>
      </c>
      <c r="AP302" s="4561">
        <f>IF(AP301=0,0,(AP295-AP299*AP300)/AP301)</f>
        <v>0</v>
      </c>
      <c r="AQ302" s="4561">
        <f>IF(AQ301=0,0,(AQ295-AQ299*AQ300)/AQ301)</f>
        <v>0</v>
      </c>
      <c r="AR302" s="4561">
        <f>IF(AR301=0,0,(AR295-AR299*AR300)/AR301)</f>
        <v>0</v>
      </c>
      <c r="AS302" s="4561">
        <f>IF(AS301=0,0,(AS295-AS299*AS300)/AS301)</f>
        <v>0</v>
      </c>
      <c r="AT302" s="4561">
        <v>45.6699432832</v>
      </c>
      <c r="AU302" s="1268">
        <f>IF(AU301=0,0,(AU295-AU299*AU300)/AU301)</f>
        <v>0</v>
      </c>
      <c r="AV302" s="1268">
        <f>IF(AV301=0,0,(AV295-AV299*AV300)/AV301)</f>
        <v>0</v>
      </c>
      <c r="AW302" s="4561">
        <f>IF(AW301=0,0,(AW295-AW299*AW300)/AW301)</f>
        <v>0</v>
      </c>
      <c r="AX302" s="4561">
        <f>IF(AX301=0,0,(AX295-AX299*AX300)/AX301)</f>
        <v>0</v>
      </c>
      <c r="AY302" s="4561">
        <f>IF(AY301=0,0,(AY295-AY299*AY300)/AY301)</f>
        <v>0</v>
      </c>
      <c r="AZ302" s="4561">
        <f>IF(AZ301=0,0,(AZ295-AZ299*AZ300)/AZ301)</f>
        <v>0</v>
      </c>
      <c r="BA302" s="4561">
        <f>IF(BA301=0,0,(BA295-BA299*BA300)/BA301)</f>
        <v>0</v>
      </c>
      <c r="BB302" s="4561">
        <f>IF(BB301=0,0,(BB295-BB299*BB300)/BB301)</f>
        <v>0</v>
      </c>
      <c r="BC302" s="4561">
        <f>IF(BC301=0,0,(BC295-BC299*BC300)/BC301)</f>
        <v>0</v>
      </c>
      <c r="BD302" s="1100"/>
      <c r="BE302" s="1100"/>
      <c r="BF302" s="1100"/>
      <c r="BG302" s="1100"/>
      <c r="BH302" s="1100"/>
      <c r="BI302" s="1100"/>
      <c r="BJ302" s="1100"/>
      <c r="BK302" s="1100"/>
      <c r="BL302" s="1100"/>
      <c r="BM302" s="1100"/>
      <c r="BN302" s="4617"/>
      <c r="BO302" s="4617"/>
      <c r="BP302" s="4617"/>
      <c r="BQ302" s="960"/>
      <c r="BR302" s="960"/>
      <c r="BS302" s="1046" t="s">
        <v>1751</v>
      </c>
      <c r="BT302" s="1048"/>
      <c r="BU302" s="1048"/>
      <c r="BV302" s="962"/>
      <c r="BW302" s="962"/>
    </row>
    <row s="1621" customFormat="1" customHeight="1" ht="14.25">
      <c r="A303" s="960"/>
      <c r="B303" s="961"/>
      <c r="C303" s="73"/>
      <c r="D303" s="73" cm="1" t="str">
        <f t="array" ref="D303:D303">D302</f>
        <v>11</v>
      </c>
      <c r="E303" s="600">
        <v>15</v>
      </c>
      <c r="F303" s="50" cm="1" t="str">
        <f t="array" ref="F303:F303">OFFSET(E303,-1,1)</f>
        <v>1</v>
      </c>
      <c r="G303" s="73"/>
      <c r="H303" s="73"/>
      <c r="I303" s="73" t="s">
        <v>2064</v>
      </c>
      <c r="J303" s="73"/>
      <c r="K303" s="124" t="s">
        <v>2064</v>
      </c>
      <c r="L303" s="963" t="s">
        <v>1752</v>
      </c>
      <c r="M303" s="73"/>
      <c r="N303" s="73"/>
      <c r="O303" s="73"/>
      <c r="P303" s="73"/>
      <c r="Q303" s="73"/>
      <c r="R303" s="73"/>
      <c r="S303" s="73"/>
      <c r="T303" s="439" cm="1" t="str">
        <f t="array" ref="T303:T303">T302</f>
        <v>true</v>
      </c>
      <c r="U303" s="73"/>
      <c r="V303" s="73"/>
      <c r="W303" s="73"/>
      <c r="X303" s="1534"/>
      <c r="Y303" s="960"/>
      <c r="Z303" s="1465"/>
      <c r="AA303" s="960"/>
      <c r="AB303" s="267" t="str">
        <f>D303&amp;".5"</f>
        <v>11.5</v>
      </c>
      <c r="AC303" s="1096" t="s">
        <v>1754</v>
      </c>
      <c r="AD303" s="267" t="s">
        <v>437</v>
      </c>
      <c r="AE303" s="1099">
        <f>IF(AE300=0,0,AE302/AE300*100)</f>
        <v>109.788318753209</v>
      </c>
      <c r="AF303" s="1099">
        <f>IF(AF300=0,0,AF302/AF300*100)</f>
        <v>99.9983208144855</v>
      </c>
      <c r="AG303" s="1099">
        <f>IF(AG300=0,0,AG302/AG300*100)</f>
        <v>0</v>
      </c>
      <c r="AH303" s="1100"/>
      <c r="AI303" s="1099">
        <f>IF(AI300=0,0,AI302/AI300*100)</f>
        <v>121.367752451943</v>
      </c>
      <c r="AJ303" s="1099">
        <f>IF(AJ300=0,0,AJ302/AJ300*100)</f>
        <v>100.001759931369</v>
      </c>
      <c r="AK303" s="1099">
        <f>IF(AK300=0,0,AK302/AK300*100)</f>
        <v>0</v>
      </c>
      <c r="AL303" s="1099">
        <f>IF(AL300=0,0,AL302/AL300*100)</f>
        <v>0</v>
      </c>
      <c r="AM303" s="1099">
        <f>IF(AM300=0,0,AM302/AM300*100)</f>
        <v>0</v>
      </c>
      <c r="AN303" s="1099">
        <f>IF(AN300=0,0,AN302/AN300*100)</f>
        <v>0</v>
      </c>
      <c r="AO303" s="1099">
        <f>IF(AO300=0,0,AO302/AO300*100)</f>
        <v>0</v>
      </c>
      <c r="AP303" s="1099">
        <f>IF(AP300=0,0,AP302/AP300*100)</f>
        <v>0</v>
      </c>
      <c r="AQ303" s="1099">
        <f>IF(AQ300=0,0,AQ302/AQ300*100)</f>
        <v>0</v>
      </c>
      <c r="AR303" s="1099">
        <f>IF(AR300=0,0,AR302/AR300*100)</f>
        <v>0</v>
      </c>
      <c r="AS303" s="1099">
        <f>IF(AS300=0,0,AS302/AS300*100)</f>
        <v>0</v>
      </c>
      <c r="AT303" s="1099">
        <f>IF(AT300=0,0,AT302/AT300*100)</f>
        <v>109.99504644316</v>
      </c>
      <c r="AU303" s="1099">
        <f>IF(AU300=0,0,AU302/AU300*100)</f>
        <v>0</v>
      </c>
      <c r="AV303" s="1099">
        <f>IF(AV300=0,0,AV302/AV300*100)</f>
        <v>0</v>
      </c>
      <c r="AW303" s="1099">
        <f>IF(AW300=0,0,AW302/AW300*100)</f>
        <v>0</v>
      </c>
      <c r="AX303" s="1099">
        <f>IF(AX300=0,0,AX302/AX300*100)</f>
        <v>0</v>
      </c>
      <c r="AY303" s="1099">
        <f>IF(AY300=0,0,AY302/AY300*100)</f>
        <v>0</v>
      </c>
      <c r="AZ303" s="1099">
        <f>IF(AZ300=0,0,AZ302/AZ300*100)</f>
        <v>0</v>
      </c>
      <c r="BA303" s="1099">
        <f>IF(BA300=0,0,BA302/BA300*100)</f>
        <v>0</v>
      </c>
      <c r="BB303" s="1099">
        <f>IF(BB300=0,0,BB302/BB300*100)</f>
        <v>0</v>
      </c>
      <c r="BC303" s="1099">
        <f>IF(BC300=0,0,BC302/BC300*100)</f>
        <v>0</v>
      </c>
      <c r="BD303" s="1100"/>
      <c r="BE303" s="1100"/>
      <c r="BF303" s="1100"/>
      <c r="BG303" s="1100"/>
      <c r="BH303" s="1100"/>
      <c r="BI303" s="1100"/>
      <c r="BJ303" s="1100"/>
      <c r="BK303" s="1100"/>
      <c r="BL303" s="1100"/>
      <c r="BM303" s="1100"/>
      <c r="BN303" s="4617"/>
      <c r="BO303" s="4617"/>
      <c r="BP303" s="4617"/>
      <c r="BQ303" s="960"/>
      <c r="BR303" s="960"/>
      <c r="BS303" s="1046" t="s">
        <v>1755</v>
      </c>
      <c r="BT303" s="1048"/>
      <c r="BU303" s="1048"/>
      <c r="BV303" s="962"/>
      <c r="BW303" s="962"/>
    </row>
    <row s="1621" customFormat="1" customHeight="1" ht="14.625">
      <c r="A304" s="960"/>
      <c r="B304" s="961"/>
      <c r="C304" s="73"/>
      <c r="D304" s="73" cm="1" t="str">
        <f t="array" ref="D304:D304">D303</f>
        <v>11</v>
      </c>
      <c r="E304" s="600">
        <v>15</v>
      </c>
      <c r="F304" s="50" cm="1" t="str">
        <f t="array" ref="F304:F304">OFFSET(E304,-1,1)</f>
        <v>1</v>
      </c>
      <c r="G304" s="73"/>
      <c r="H304" s="73"/>
      <c r="I304" s="73" t="s">
        <v>2065</v>
      </c>
      <c r="J304" s="73"/>
      <c r="K304" s="124" t="s">
        <v>2065</v>
      </c>
      <c r="L304" s="963" t="s">
        <v>1756</v>
      </c>
      <c r="M304" s="73"/>
      <c r="N304" s="73"/>
      <c r="O304" s="73"/>
      <c r="P304" s="73"/>
      <c r="Q304" s="73"/>
      <c r="R304" s="73"/>
      <c r="S304" s="73"/>
      <c r="T304" s="439" cm="1" t="str">
        <f t="array" ref="T304:T304">T303</f>
        <v>true</v>
      </c>
      <c r="U304" s="73"/>
      <c r="V304" s="73"/>
      <c r="W304" s="73"/>
      <c r="X304" s="1534"/>
      <c r="Y304" s="960"/>
      <c r="Z304" s="1465"/>
      <c r="AA304" s="960"/>
      <c r="AB304" s="267" t="str">
        <f>D304&amp;".6"</f>
        <v>11.6</v>
      </c>
      <c r="AC304" s="1096" t="s">
        <v>1758</v>
      </c>
      <c r="AD304" s="267" t="s">
        <v>1494</v>
      </c>
      <c r="AE304" s="4561">
        <v>32.6850200617</v>
      </c>
      <c r="AF304" s="4561">
        <v>115.8390274157</v>
      </c>
      <c r="AG304" s="4561">
        <v>6.5677894626</v>
      </c>
      <c r="AH304" s="1099">
        <f>AG304-AF304</f>
        <v>-109.2712379531</v>
      </c>
      <c r="AI304" s="4561">
        <v>37.8649984672</v>
      </c>
      <c r="AJ304" s="4561">
        <v>50.5604449107</v>
      </c>
      <c r="AK304" s="1268">
        <f>IF(AK298=0,0,AK295/AK298)</f>
        <v>0</v>
      </c>
      <c r="AL304" s="1268">
        <f>IF(AL298=0,0,AL295/AL298)</f>
        <v>0</v>
      </c>
      <c r="AM304" s="4561">
        <f>IF(AM298=0,0,AM295/AM298)</f>
        <v>0</v>
      </c>
      <c r="AN304" s="4561">
        <f>IF(AN298=0,0,AN295/AN298)</f>
        <v>0</v>
      </c>
      <c r="AO304" s="4561">
        <f>IF(AO298=0,0,AO295/AO298)</f>
        <v>0</v>
      </c>
      <c r="AP304" s="4561">
        <f>IF(AP298=0,0,AP295/AP298)</f>
        <v>0</v>
      </c>
      <c r="AQ304" s="4561">
        <f>IF(AQ298=0,0,AQ295/AQ298)</f>
        <v>0</v>
      </c>
      <c r="AR304" s="4561">
        <f>IF(AR298=0,0,AR295/AR298)</f>
        <v>0</v>
      </c>
      <c r="AS304" s="4561">
        <f>IF(AS298=0,0,AS295/AS298)</f>
        <v>0</v>
      </c>
      <c r="AT304" s="4561">
        <v>43.5949716416</v>
      </c>
      <c r="AU304" s="1268">
        <f>IF(AU298=0,0,AU295/AU298)</f>
        <v>0</v>
      </c>
      <c r="AV304" s="1268">
        <f>IF(AV298=0,0,AV295/AV298)</f>
        <v>0</v>
      </c>
      <c r="AW304" s="4561">
        <f>IF(AW298=0,0,AW295/AW298)</f>
        <v>0</v>
      </c>
      <c r="AX304" s="4561">
        <f>IF(AX298=0,0,AX295/AX298)</f>
        <v>0</v>
      </c>
      <c r="AY304" s="4561">
        <f>IF(AY298=0,0,AY295/AY298)</f>
        <v>0</v>
      </c>
      <c r="AZ304" s="4561">
        <f>IF(AZ298=0,0,AZ295/AZ298)</f>
        <v>0</v>
      </c>
      <c r="BA304" s="4561">
        <f>IF(BA298=0,0,BA295/BA298)</f>
        <v>0</v>
      </c>
      <c r="BB304" s="4561">
        <f>IF(BB298=0,0,BB295/BB298)</f>
        <v>0</v>
      </c>
      <c r="BC304" s="4561">
        <f>IF(BC298=0,0,BC295/BC298)</f>
        <v>0</v>
      </c>
      <c r="BD304" s="1100"/>
      <c r="BE304" s="1100"/>
      <c r="BF304" s="1100"/>
      <c r="BG304" s="1100"/>
      <c r="BH304" s="1100"/>
      <c r="BI304" s="1100"/>
      <c r="BJ304" s="1100"/>
      <c r="BK304" s="1100"/>
      <c r="BL304" s="1100"/>
      <c r="BM304" s="1100"/>
      <c r="BN304" s="4617"/>
      <c r="BO304" s="4617"/>
      <c r="BP304" s="4617"/>
      <c r="BQ304" s="960"/>
      <c r="BR304" s="960"/>
      <c r="BS304" s="1046" t="s">
        <v>1759</v>
      </c>
      <c r="BT304" s="1048"/>
      <c r="BU304" s="1048"/>
      <c r="BV304" s="962"/>
      <c r="BW304" s="962"/>
    </row>
    <row s="4676" customFormat="1" customHeight="1" ht="20.25">
      <c r="A305" s="680"/>
      <c r="B305" s="408"/>
      <c r="C305" s="75"/>
      <c r="D305" s="75">
        <f>D304+1</f>
        <v>12</v>
      </c>
      <c r="E305" s="807">
        <v>21</v>
      </c>
      <c r="F305" s="50" cm="1" t="str">
        <f t="array" ref="F305:F305">OFFSET(E305,-1,1)</f>
        <v>1</v>
      </c>
      <c r="G305" s="75"/>
      <c r="H305" s="73"/>
      <c r="I305" s="73" t="s">
        <v>1764</v>
      </c>
      <c r="J305" s="75"/>
      <c r="K305" s="124" t="s">
        <v>1764</v>
      </c>
      <c r="L305" s="968" t="s">
        <v>1760</v>
      </c>
      <c r="M305" s="75"/>
      <c r="N305" s="75"/>
      <c r="O305" s="75"/>
      <c r="P305" s="75"/>
      <c r="Q305" s="75"/>
      <c r="R305" s="75"/>
      <c r="S305" s="75"/>
      <c r="T305" s="439" cm="1" t="str">
        <f t="array" ref="T305:T305">T304</f>
        <v>true</v>
      </c>
      <c r="U305" s="75"/>
      <c r="V305" s="75"/>
      <c r="W305" s="75"/>
      <c r="X305" s="1534"/>
      <c r="Y305" s="680"/>
      <c r="Z305" s="1465"/>
      <c r="AA305" s="680"/>
      <c r="AB305" s="178" cm="1" t="str">
        <f t="array" ref="AB305:AB305">D305</f>
        <v>12</v>
      </c>
      <c r="AC305" s="179" t="s">
        <v>1762</v>
      </c>
      <c r="AD305" s="178" t="s">
        <v>784</v>
      </c>
      <c r="AE305" s="4610">
        <f>IF(AE298=0,0,AE295/AE298*AE306)</f>
        <v>0</v>
      </c>
      <c r="AF305" s="4610">
        <f>IF(AF298=0,0,AF295/AF298*AF306)</f>
        <v>0</v>
      </c>
      <c r="AG305" s="4610">
        <f>IF(AG298=0,0,AG295/AG298*AG306)</f>
        <v>0</v>
      </c>
      <c r="AH305" s="180">
        <f>AH307*AH308+AH309*AH310</f>
        <v>0</v>
      </c>
      <c r="AI305" s="4610">
        <f>IF(AI298=0,0,AI295/AI298*AI306)</f>
        <v>0</v>
      </c>
      <c r="AJ305" s="4610">
        <f>IF(AJ298=0,0,AJ295/AJ298*AJ306)</f>
        <v>0</v>
      </c>
      <c r="AK305" s="1277">
        <f>IF(AK298=0,0,AK295/AK298*AK306)</f>
        <v>0</v>
      </c>
      <c r="AL305" s="1277">
        <f>IF(AL298=0,0,AL295/AL298*AL306)</f>
        <v>0</v>
      </c>
      <c r="AM305" s="4610">
        <f>IF(AM298=0,0,AM295/AM298*AM306)</f>
        <v>0</v>
      </c>
      <c r="AN305" s="4610">
        <f>IF(AN298=0,0,AN295/AN298*AN306)</f>
        <v>0</v>
      </c>
      <c r="AO305" s="4610">
        <f>IF(AO298=0,0,AO295/AO298*AO306)</f>
        <v>0</v>
      </c>
      <c r="AP305" s="4610">
        <f>IF(AP298=0,0,AP295/AP298*AP306)</f>
        <v>0</v>
      </c>
      <c r="AQ305" s="4610">
        <f>IF(AQ298=0,0,AQ295/AQ298*AQ306)</f>
        <v>0</v>
      </c>
      <c r="AR305" s="4610">
        <f>IF(AR298=0,0,AR295/AR298*AR306)</f>
        <v>0</v>
      </c>
      <c r="AS305" s="4610">
        <f>IF(AS298=0,0,AS295/AS298*AS306)</f>
        <v>0</v>
      </c>
      <c r="AT305" s="4610">
        <f>IF(AT298=0,0,AT295/AT298*AT306)</f>
        <v>0</v>
      </c>
      <c r="AU305" s="1277">
        <f>IF(AU298=0,0,AU295/AU298*AU306)</f>
        <v>0</v>
      </c>
      <c r="AV305" s="1277">
        <f>IF(AV298=0,0,AV295/AV298*AV306)</f>
        <v>0</v>
      </c>
      <c r="AW305" s="4610">
        <f>IF(AW298=0,0,AW295/AW298*AW306)</f>
        <v>0</v>
      </c>
      <c r="AX305" s="4610">
        <f>IF(AX298=0,0,AX295/AX298*AX306)</f>
        <v>0</v>
      </c>
      <c r="AY305" s="4610">
        <f>IF(AY298=0,0,AY295/AY298*AY306)</f>
        <v>0</v>
      </c>
      <c r="AZ305" s="4610">
        <f>IF(AZ298=0,0,AZ295/AZ298*AZ306)</f>
        <v>0</v>
      </c>
      <c r="BA305" s="4610">
        <f>IF(BA298=0,0,BA295/BA298*BA306)</f>
        <v>0</v>
      </c>
      <c r="BB305" s="4610">
        <f>IF(BB298=0,0,BB295/BB298*BB306)</f>
        <v>0</v>
      </c>
      <c r="BC305" s="4610">
        <f>IF(BC298=0,0,BC295/BC298*BC306)</f>
        <v>0</v>
      </c>
      <c r="BD305" s="759">
        <f>IF(AI305=0,0,(AT305-AI305)/AI305*100)</f>
        <v>0</v>
      </c>
      <c r="BE305" s="759">
        <f>IF(AT305=0,0,(AU305-AT305)/AT305*100)</f>
        <v>0</v>
      </c>
      <c r="BF305" s="759">
        <f>IF(AU305=0,0,(AV305-AU305)/AU305*100)</f>
        <v>0</v>
      </c>
      <c r="BG305" s="759">
        <f>IF(AV305=0,0,(AW305-AV305)/AV305*100)</f>
        <v>0</v>
      </c>
      <c r="BH305" s="759">
        <f>IF(AW305=0,0,(AX305-AW305)/AW305*100)</f>
        <v>0</v>
      </c>
      <c r="BI305" s="759">
        <f>IF(AX305=0,0,(AY305-AX305)/AX305*100)</f>
        <v>0</v>
      </c>
      <c r="BJ305" s="759">
        <f>IF(AY305=0,0,(AZ305-AY305)/AY305*100)</f>
        <v>0</v>
      </c>
      <c r="BK305" s="759">
        <f>IF(AZ305=0,0,(BA305-AZ305)/AZ305*100)</f>
        <v>0</v>
      </c>
      <c r="BL305" s="759">
        <f>IF(BA305=0,0,(BB305-BA305)/BA305*100)</f>
        <v>0</v>
      </c>
      <c r="BM305" s="759">
        <f>IF(BB305=0,0,(BC305-BB305)/BB305*100)</f>
        <v>0</v>
      </c>
      <c r="BN305" s="4617"/>
      <c r="BO305" s="4617"/>
      <c r="BP305" s="4617"/>
      <c r="BQ305" s="680"/>
      <c r="BR305" s="680"/>
      <c r="BS305" s="1047" t="s">
        <v>1763</v>
      </c>
      <c r="BT305" s="1054"/>
      <c r="BU305" s="1054"/>
      <c r="BV305" s="687"/>
      <c r="BW305" s="687"/>
    </row>
    <row s="4677" customFormat="1" customHeight="1" ht="20.25">
      <c r="A306" s="680"/>
      <c r="B306" s="408"/>
      <c r="C306" s="75"/>
      <c r="D306" s="75">
        <f>D305+1</f>
        <v>13</v>
      </c>
      <c r="E306" s="807">
        <v>21</v>
      </c>
      <c r="F306" s="50" cm="1" t="str">
        <f t="array" ref="F306:F306">OFFSET(E306,-1,1)</f>
        <v>1</v>
      </c>
      <c r="G306" s="73" t="s">
        <v>1516</v>
      </c>
      <c r="H306" s="73"/>
      <c r="I306" s="73" t="s">
        <v>2066</v>
      </c>
      <c r="J306" s="75"/>
      <c r="K306" s="124" t="s">
        <v>2066</v>
      </c>
      <c r="L306" s="968" t="s">
        <v>1764</v>
      </c>
      <c r="M306" s="75"/>
      <c r="N306" s="75"/>
      <c r="O306" s="75"/>
      <c r="P306" s="75"/>
      <c r="Q306" s="75"/>
      <c r="R306" s="75"/>
      <c r="S306" s="75"/>
      <c r="T306" s="439" cm="1" t="str">
        <f t="array" ref="T306:T306">T305</f>
        <v>true</v>
      </c>
      <c r="U306" s="75"/>
      <c r="V306" s="75"/>
      <c r="W306" s="75"/>
      <c r="X306" s="1534"/>
      <c r="Y306" s="680"/>
      <c r="Z306" s="1465"/>
      <c r="AA306" s="680"/>
      <c r="AB306" s="178" cm="1" t="str">
        <f t="array" ref="AB306:AB306">D306</f>
        <v>13</v>
      </c>
      <c r="AC306" s="179" t="s">
        <v>1766</v>
      </c>
      <c r="AD306" s="178" t="s">
        <v>512</v>
      </c>
      <c r="AE306" s="766">
        <f>_xlfn.SUMIFS(Баланс!AE$26:AE$300,Баланс!$F$26:$F$300,$F306,Баланс!$G$26:$G$300,"население")</f>
        <v>0</v>
      </c>
      <c r="AF306" s="766">
        <f>_xlfn.SUMIFS(Баланс!AF$26:AF$300,Баланс!$F$26:$F$300,$F306,Баланс!$G$26:$G$300,"население")</f>
        <v>0</v>
      </c>
      <c r="AG306" s="766">
        <f>_xlfn.SUMIFS(Баланс!AG$26:AG$300,Баланс!$F$26:$F$300,$F306,Баланс!$G$26:$G$300,"население")</f>
        <v>0</v>
      </c>
      <c r="AH306" s="766">
        <f>AG306-AF306</f>
        <v>0</v>
      </c>
      <c r="AI306" s="766">
        <f>_xlfn.SUMIFS(Баланс!AH$26:AH$300,Баланс!$F$26:$F$300,$F306,Баланс!$G$26:$G$300,"население")</f>
        <v>0</v>
      </c>
      <c r="AJ306" s="766">
        <f>_xlfn.SUMIFS(Баланс!AI$26:AI$300,Баланс!$F$26:$F$300,$F306,Баланс!$G$26:$G$300,"население")</f>
        <v>0</v>
      </c>
      <c r="AK306" s="766">
        <f>_xlfn.SUMIFS(Баланс!AJ$26:AJ$300,Баланс!$F$26:$F$300,$F306,Баланс!$G$26:$G$300,"население")</f>
        <v>0</v>
      </c>
      <c r="AL306" s="766">
        <f>_xlfn.SUMIFS(Баланс!AK$26:AK$300,Баланс!$F$26:$F$300,$F306,Баланс!$G$26:$G$300,"население")</f>
        <v>0</v>
      </c>
      <c r="AM306" s="766">
        <f>_xlfn.SUMIFS(Баланс!AL$26:AL$300,Баланс!$F$26:$F$300,$F306,Баланс!$G$26:$G$300,"население")</f>
        <v>0</v>
      </c>
      <c r="AN306" s="766">
        <f>_xlfn.SUMIFS(Баланс!AM$26:AM$300,Баланс!$F$26:$F$300,$F306,Баланс!$G$26:$G$300,"население")</f>
        <v>0</v>
      </c>
      <c r="AO306" s="766">
        <f>_xlfn.SUMIFS(Баланс!AN$26:AN$300,Баланс!$F$26:$F$300,$F306,Баланс!$G$26:$G$300,"население")</f>
        <v>0</v>
      </c>
      <c r="AP306" s="766">
        <f>_xlfn.SUMIFS(Баланс!AO$26:AO$300,Баланс!$F$26:$F$300,$F306,Баланс!$G$26:$G$300,"население")</f>
        <v>0</v>
      </c>
      <c r="AQ306" s="766">
        <f>_xlfn.SUMIFS(Баланс!AP$26:AP$300,Баланс!$F$26:$F$300,$F306,Баланс!$G$26:$G$300,"население")</f>
        <v>0</v>
      </c>
      <c r="AR306" s="766">
        <f>_xlfn.SUMIFS(Баланс!AQ$26:AQ$300,Баланс!$F$26:$F$300,$F306,Баланс!$G$26:$G$300,"население")</f>
        <v>0</v>
      </c>
      <c r="AS306" s="766">
        <f>_xlfn.SUMIFS(Баланс!AR$26:AR$300,Баланс!$F$26:$F$300,$F306,Баланс!$G$26:$G$300,"население")</f>
        <v>0</v>
      </c>
      <c r="AT306" s="766">
        <f>_xlfn.SUMIFS(Баланс!AS$26:AS$300,Баланс!$F$26:$F$300,$F306,Баланс!$G$26:$G$300,"население")</f>
        <v>0</v>
      </c>
      <c r="AU306" s="766">
        <f>_xlfn.SUMIFS(Баланс!AT$26:AT$300,Баланс!$F$26:$F$300,$F306,Баланс!$G$26:$G$300,"население")</f>
        <v>0</v>
      </c>
      <c r="AV306" s="766">
        <f>_xlfn.SUMIFS(Баланс!AU$26:AU$300,Баланс!$F$26:$F$300,$F306,Баланс!$G$26:$G$300,"население")</f>
        <v>0</v>
      </c>
      <c r="AW306" s="766">
        <f>_xlfn.SUMIFS(Баланс!AV$26:AV$300,Баланс!$F$26:$F$300,$F306,Баланс!$G$26:$G$300,"население")</f>
        <v>0</v>
      </c>
      <c r="AX306" s="766">
        <f>_xlfn.SUMIFS(Баланс!AW$26:AW$300,Баланс!$F$26:$F$300,$F306,Баланс!$G$26:$G$300,"население")</f>
        <v>0</v>
      </c>
      <c r="AY306" s="766">
        <f>_xlfn.SUMIFS(Баланс!AX$26:AX$300,Баланс!$F$26:$F$300,$F306,Баланс!$G$26:$G$300,"население")</f>
        <v>0</v>
      </c>
      <c r="AZ306" s="766">
        <f>_xlfn.SUMIFS(Баланс!AY$26:AY$300,Баланс!$F$26:$F$300,$F306,Баланс!$G$26:$G$300,"население")</f>
        <v>0</v>
      </c>
      <c r="BA306" s="766">
        <f>_xlfn.SUMIFS(Баланс!AZ$26:AZ$300,Баланс!$F$26:$F$300,$F306,Баланс!$G$26:$G$300,"население")</f>
        <v>0</v>
      </c>
      <c r="BB306" s="766">
        <f>_xlfn.SUMIFS(Баланс!BA$26:BA$300,Баланс!$F$26:$F$300,$F306,Баланс!$G$26:$G$300,"население")</f>
        <v>0</v>
      </c>
      <c r="BC306" s="766">
        <f>_xlfn.SUMIFS(Баланс!BB$26:BB$300,Баланс!$F$26:$F$300,$F306,Баланс!$G$26:$G$300,"население")</f>
        <v>0</v>
      </c>
      <c r="BD306" s="183"/>
      <c r="BE306" s="183"/>
      <c r="BF306" s="183"/>
      <c r="BG306" s="183"/>
      <c r="BH306" s="183"/>
      <c r="BI306" s="183"/>
      <c r="BJ306" s="183"/>
      <c r="BK306" s="183"/>
      <c r="BL306" s="183"/>
      <c r="BM306" s="183"/>
      <c r="BN306" s="4617"/>
      <c r="BO306" s="4617"/>
      <c r="BP306" s="4617"/>
      <c r="BQ306" s="680"/>
      <c r="BR306" s="680"/>
      <c r="BS306" s="1047" t="s">
        <v>1767</v>
      </c>
      <c r="BT306" s="1054"/>
      <c r="BU306" s="1054"/>
      <c r="BV306" s="687"/>
      <c r="BW306" s="687"/>
    </row>
    <row s="1621" customFormat="1" customHeight="1" ht="14.25">
      <c r="A307" s="960"/>
      <c r="B307" s="961"/>
      <c r="C307" s="73"/>
      <c r="D307" s="73" cm="1" t="str">
        <f t="array" ref="D307:D307">D306</f>
        <v>13</v>
      </c>
      <c r="E307" s="600">
        <v>15</v>
      </c>
      <c r="F307" s="50" cm="1" t="str">
        <f t="array" ref="F307:F307">OFFSET(E307,-1,1)</f>
        <v>1</v>
      </c>
      <c r="G307" s="73" t="s">
        <v>1550</v>
      </c>
      <c r="H307" s="73"/>
      <c r="I307" s="73" t="s">
        <v>2067</v>
      </c>
      <c r="J307" s="73"/>
      <c r="K307" s="124" t="s">
        <v>2067</v>
      </c>
      <c r="L307" s="963" t="s">
        <v>1768</v>
      </c>
      <c r="M307" s="73"/>
      <c r="N307" s="73"/>
      <c r="O307" s="73"/>
      <c r="P307" s="73"/>
      <c r="Q307" s="73"/>
      <c r="R307" s="73"/>
      <c r="S307" s="73"/>
      <c r="T307" s="439" cm="1" t="str">
        <f t="array" ref="T307:T307">T306</f>
        <v>true</v>
      </c>
      <c r="U307" s="73"/>
      <c r="V307" s="73"/>
      <c r="W307" s="73"/>
      <c r="X307" s="1534"/>
      <c r="Y307" s="960"/>
      <c r="Z307" s="1465"/>
      <c r="AA307" s="960"/>
      <c r="AB307" s="267" t="str">
        <f>D307&amp;".1"</f>
        <v>13.1</v>
      </c>
      <c r="AC307" s="1096" t="s">
        <v>1770</v>
      </c>
      <c r="AD307" s="267" t="s">
        <v>512</v>
      </c>
      <c r="AE307" s="4548">
        <f>AE306/2</f>
        <v>0</v>
      </c>
      <c r="AF307" s="4548">
        <f>AF306/2</f>
        <v>0</v>
      </c>
      <c r="AG307" s="4548">
        <f>AG306/2</f>
        <v>0</v>
      </c>
      <c r="AH307" s="1098">
        <f>AG307-AF307</f>
        <v>0</v>
      </c>
      <c r="AI307" s="4548">
        <f>AI306/2</f>
        <v>0</v>
      </c>
      <c r="AJ307" s="4548">
        <f>IF(god=2026,AJ306/12*9,AJ306/2)</f>
        <v>0</v>
      </c>
      <c r="AK307" s="1266">
        <f>IF(god=2025,AK306/12*9,AK306/2)</f>
        <v>0</v>
      </c>
      <c r="AL307" s="1266">
        <f>AL306/2</f>
        <v>0</v>
      </c>
      <c r="AM307" s="4548">
        <f>AM306/2</f>
        <v>0</v>
      </c>
      <c r="AN307" s="4548">
        <f>AN306/2</f>
        <v>0</v>
      </c>
      <c r="AO307" s="4548">
        <f>AO306/2</f>
        <v>0</v>
      </c>
      <c r="AP307" s="4548">
        <f>AP306/2</f>
        <v>0</v>
      </c>
      <c r="AQ307" s="4548">
        <f>AQ306/2</f>
        <v>0</v>
      </c>
      <c r="AR307" s="4548">
        <f>AR306/2</f>
        <v>0</v>
      </c>
      <c r="AS307" s="4548">
        <f>AS306/2</f>
        <v>0</v>
      </c>
      <c r="AT307" s="4611">
        <f>IF(god=2026,AT306/12*9,AT306/2)</f>
        <v>0</v>
      </c>
      <c r="AU307" s="1288">
        <f>IF(god=2025,AU306/12*9,AU306/2)</f>
        <v>0</v>
      </c>
      <c r="AV307" s="1266">
        <f>AV306/2</f>
        <v>0</v>
      </c>
      <c r="AW307" s="4548">
        <f>AW306/2</f>
        <v>0</v>
      </c>
      <c r="AX307" s="4548">
        <f>AX306/2</f>
        <v>0</v>
      </c>
      <c r="AY307" s="4548">
        <f>AY306/2</f>
        <v>0</v>
      </c>
      <c r="AZ307" s="4548">
        <f>AZ306/2</f>
        <v>0</v>
      </c>
      <c r="BA307" s="4548">
        <f>BA306/2</f>
        <v>0</v>
      </c>
      <c r="BB307" s="4548">
        <f>BB306/2</f>
        <v>0</v>
      </c>
      <c r="BC307" s="4548">
        <f>BC306/2</f>
        <v>0</v>
      </c>
      <c r="BD307" s="1100"/>
      <c r="BE307" s="1100"/>
      <c r="BF307" s="1100"/>
      <c r="BG307" s="1100"/>
      <c r="BH307" s="1100"/>
      <c r="BI307" s="1100"/>
      <c r="BJ307" s="1100"/>
      <c r="BK307" s="1100"/>
      <c r="BL307" s="1100"/>
      <c r="BM307" s="1100"/>
      <c r="BN307" s="4617"/>
      <c r="BO307" s="4617"/>
      <c r="BP307" s="4617"/>
      <c r="BQ307" s="960"/>
      <c r="BR307" s="960"/>
      <c r="BS307" s="1046" t="s">
        <v>1771</v>
      </c>
      <c r="BT307" s="1048"/>
      <c r="BU307" s="1048"/>
      <c r="BV307" s="962"/>
      <c r="BW307" s="962"/>
    </row>
    <row s="1621" customFormat="1" customHeight="1" ht="14.25">
      <c r="A308" s="960"/>
      <c r="B308" s="961"/>
      <c r="C308" s="73"/>
      <c r="D308" s="73" cm="1" t="str">
        <f t="array" ref="D308:D308">D307</f>
        <v>13</v>
      </c>
      <c r="E308" s="600">
        <v>15</v>
      </c>
      <c r="F308" s="50" cm="1" t="str">
        <f t="array" ref="F308:F308">OFFSET(E308,-1,1)</f>
        <v>1</v>
      </c>
      <c r="G308" s="73" t="s">
        <v>1506</v>
      </c>
      <c r="H308" s="73"/>
      <c r="I308" s="73" t="s">
        <v>2068</v>
      </c>
      <c r="J308" s="73"/>
      <c r="K308" s="124" t="s">
        <v>2068</v>
      </c>
      <c r="L308" s="963" t="s">
        <v>1772</v>
      </c>
      <c r="M308" s="73"/>
      <c r="N308" s="73"/>
      <c r="O308" s="73"/>
      <c r="P308" s="73"/>
      <c r="Q308" s="73"/>
      <c r="R308" s="73"/>
      <c r="S308" s="73"/>
      <c r="T308" s="439" cm="1" t="str">
        <f t="array" ref="T308:T308">T307</f>
        <v>true</v>
      </c>
      <c r="U308" s="73"/>
      <c r="V308" s="73"/>
      <c r="W308" s="73"/>
      <c r="X308" s="1534"/>
      <c r="Y308" s="960"/>
      <c r="Z308" s="1465"/>
      <c r="AA308" s="960"/>
      <c r="AB308" s="267" t="str">
        <f>D308&amp;".2"</f>
        <v>13.2</v>
      </c>
      <c r="AC308" s="1096" t="s">
        <v>1774</v>
      </c>
      <c r="AD308" s="267" t="s">
        <v>1494</v>
      </c>
      <c r="AE308" s="4561">
        <f>IF(AE306=0,0,AE300*(1+Сценарии!AE$26/100))</f>
        <v>0</v>
      </c>
      <c r="AF308" s="4614">
        <f>IF(AF306=0,0,AF300*(1+Сценарии!AF$26/100))</f>
        <v>0</v>
      </c>
      <c r="AG308" s="4614">
        <f>IF(AG306=0,0,AG300*(1+Сценарии!AG$26/100))</f>
        <v>0</v>
      </c>
      <c r="AH308" s="1099">
        <f>AG308-AF308</f>
        <v>0</v>
      </c>
      <c r="AI308" s="4561">
        <f>IF(AI306=0,0,AI300*(1+Сценарии!AI$26/100))</f>
        <v>0</v>
      </c>
      <c r="AJ308" s="4614">
        <f>IF(AJ306=0,0,AJ300*(1+Сценарии!AJ$26/100))</f>
        <v>0</v>
      </c>
      <c r="AK308" s="1289">
        <f>IF(AK306=0,0,AK300*(1+Сценарии!AO$26/100))</f>
        <v>0</v>
      </c>
      <c r="AL308" s="1289">
        <f>IF(AL306=0,0,AL300*(1+Сценарии!AP$26/100))</f>
        <v>0</v>
      </c>
      <c r="AM308" s="4614">
        <f>IF(AM306=0,0,AM300*(1+Сценарии!AQ$26/100))</f>
        <v>0</v>
      </c>
      <c r="AN308" s="4614">
        <f>IF(AN306=0,0,AN300*(1+Сценарии!AR$26/100))</f>
        <v>0</v>
      </c>
      <c r="AO308" s="4614">
        <f>IF(AO306=0,0,AO300*(1+Сценарии!AS$26/100))</f>
        <v>0</v>
      </c>
      <c r="AP308" s="4614">
        <f>IF(AP306=0,0,AP300*(1+Сценарии!AT$26/100))</f>
        <v>0</v>
      </c>
      <c r="AQ308" s="4614">
        <f>IF(AQ306=0,0,AQ300*(1+Сценарии!AU$26/100))</f>
        <v>0</v>
      </c>
      <c r="AR308" s="4614">
        <f>IF(AR306=0,0,AR300*(1+Сценарии!AV$26/100))</f>
        <v>0</v>
      </c>
      <c r="AS308" s="4614">
        <f>IF(AS306=0,0,AS300*(1+Сценарии!AW$26/100))</f>
        <v>0</v>
      </c>
      <c r="AT308" s="4561">
        <f>IF(AT306=0,0,AT300*(1+Сценарии!AK$26/100))</f>
        <v>0</v>
      </c>
      <c r="AU308" s="1268">
        <f>IF(AU306=0,0,AU300*(1+Сценарии!AX$26/100))</f>
        <v>0</v>
      </c>
      <c r="AV308" s="1289">
        <f>IF(AV306=0,0,AV300*(1+Сценарии!AY$26/100))</f>
        <v>0</v>
      </c>
      <c r="AW308" s="4614">
        <f>IF(AW306=0,0,AW300*(1+Сценарии!AZ$26/100))</f>
        <v>0</v>
      </c>
      <c r="AX308" s="4614">
        <f>IF(AX306=0,0,AX300*(1+Сценарии!BA$26/100))</f>
        <v>0</v>
      </c>
      <c r="AY308" s="4614">
        <f>IF(AY306=0,0,AY300*(1+Сценарии!BB$26/100))</f>
        <v>0</v>
      </c>
      <c r="AZ308" s="4614">
        <f>IF(AZ306=0,0,AZ300*(1+Сценарии!BC$26/100))</f>
        <v>0</v>
      </c>
      <c r="BA308" s="4614">
        <f>IF(BA306=0,0,BA300*(1+Сценарии!BD$26/100))</f>
        <v>0</v>
      </c>
      <c r="BB308" s="4614">
        <f>IF(BB306=0,0,BB300*(1+Сценарии!BE$26/100))</f>
        <v>0</v>
      </c>
      <c r="BC308" s="4614">
        <f>IF(BC306=0,0,BC300*(1+Сценарии!BF$26/100))</f>
        <v>0</v>
      </c>
      <c r="BD308" s="1100"/>
      <c r="BE308" s="1100"/>
      <c r="BF308" s="1100"/>
      <c r="BG308" s="1100"/>
      <c r="BH308" s="1100"/>
      <c r="BI308" s="1100"/>
      <c r="BJ308" s="1100"/>
      <c r="BK308" s="1100"/>
      <c r="BL308" s="1100"/>
      <c r="BM308" s="1100"/>
      <c r="BN308" s="4617"/>
      <c r="BO308" s="4617"/>
      <c r="BP308" s="4617"/>
      <c r="BQ308" s="960"/>
      <c r="BR308" s="960"/>
      <c r="BS308" s="1046" t="s">
        <v>1775</v>
      </c>
      <c r="BT308" s="1048"/>
      <c r="BU308" s="1048"/>
      <c r="BV308" s="962"/>
      <c r="BW308" s="962"/>
    </row>
    <row s="1621" customFormat="1" customHeight="1" ht="14.25">
      <c r="A309" s="960"/>
      <c r="B309" s="961"/>
      <c r="C309" s="73"/>
      <c r="D309" s="73" cm="1" t="str">
        <f t="array" ref="D309:D309">D308</f>
        <v>13</v>
      </c>
      <c r="E309" s="600">
        <v>15</v>
      </c>
      <c r="F309" s="50" cm="1" t="str">
        <f t="array" ref="F309:F309">OFFSET(E309,-1,1)</f>
        <v>1</v>
      </c>
      <c r="G309" s="73" t="s">
        <v>1557</v>
      </c>
      <c r="H309" s="73"/>
      <c r="I309" s="73" t="s">
        <v>2069</v>
      </c>
      <c r="J309" s="73"/>
      <c r="K309" s="73" t="s">
        <v>2069</v>
      </c>
      <c r="L309" s="963" t="s">
        <v>1776</v>
      </c>
      <c r="M309" s="73"/>
      <c r="N309" s="73"/>
      <c r="O309" s="73"/>
      <c r="P309" s="73"/>
      <c r="Q309" s="73"/>
      <c r="R309" s="73"/>
      <c r="S309" s="73"/>
      <c r="T309" s="439" cm="1" t="str">
        <f t="array" ref="T309:T309">T308</f>
        <v>true</v>
      </c>
      <c r="U309" s="73"/>
      <c r="V309" s="73"/>
      <c r="W309" s="73"/>
      <c r="X309" s="1534"/>
      <c r="Y309" s="960"/>
      <c r="Z309" s="1465"/>
      <c r="AA309" s="960"/>
      <c r="AB309" s="267" t="str">
        <f>D309&amp;".3"</f>
        <v>13.3</v>
      </c>
      <c r="AC309" s="1096" t="s">
        <v>1746</v>
      </c>
      <c r="AD309" s="267" t="s">
        <v>512</v>
      </c>
      <c r="AE309" s="1098">
        <f>AE306-AE307</f>
        <v>0</v>
      </c>
      <c r="AF309" s="1098">
        <f>AF306-AF307</f>
        <v>0</v>
      </c>
      <c r="AG309" s="1098">
        <f>AG306-AG307</f>
        <v>0</v>
      </c>
      <c r="AH309" s="1098">
        <f>AG309-AF309</f>
        <v>0</v>
      </c>
      <c r="AI309" s="1098">
        <f>AI306-AI307</f>
        <v>0</v>
      </c>
      <c r="AJ309" s="1098">
        <f>AJ306-AJ307</f>
        <v>0</v>
      </c>
      <c r="AK309" s="1098">
        <f>AK306-AK307</f>
        <v>0</v>
      </c>
      <c r="AL309" s="1098">
        <f>AL306-AL307</f>
        <v>0</v>
      </c>
      <c r="AM309" s="1098">
        <f>AM306-AM307</f>
        <v>0</v>
      </c>
      <c r="AN309" s="1098">
        <f>AN306-AN307</f>
        <v>0</v>
      </c>
      <c r="AO309" s="1098">
        <f>AO306-AO307</f>
        <v>0</v>
      </c>
      <c r="AP309" s="1098">
        <f>AP306-AP307</f>
        <v>0</v>
      </c>
      <c r="AQ309" s="1098">
        <f>AQ306-AQ307</f>
        <v>0</v>
      </c>
      <c r="AR309" s="1098">
        <f>AR306-AR307</f>
        <v>0</v>
      </c>
      <c r="AS309" s="1098">
        <f>AS306-AS307</f>
        <v>0</v>
      </c>
      <c r="AT309" s="1098">
        <f>AT306-AT307</f>
        <v>0</v>
      </c>
      <c r="AU309" s="1098">
        <f>AU306-AU307</f>
        <v>0</v>
      </c>
      <c r="AV309" s="1098">
        <f>AV306-AV307</f>
        <v>0</v>
      </c>
      <c r="AW309" s="1098">
        <f>AW306-AW307</f>
        <v>0</v>
      </c>
      <c r="AX309" s="1098">
        <f>AX306-AX307</f>
        <v>0</v>
      </c>
      <c r="AY309" s="1098">
        <f>AY306-AY307</f>
        <v>0</v>
      </c>
      <c r="AZ309" s="1098">
        <f>AZ306-AZ307</f>
        <v>0</v>
      </c>
      <c r="BA309" s="1098">
        <f>BA306-BA307</f>
        <v>0</v>
      </c>
      <c r="BB309" s="1098">
        <f>BB306-BB307</f>
        <v>0</v>
      </c>
      <c r="BC309" s="1098">
        <f>BC306-BC307</f>
        <v>0</v>
      </c>
      <c r="BD309" s="1100"/>
      <c r="BE309" s="1100"/>
      <c r="BF309" s="1100"/>
      <c r="BG309" s="1100"/>
      <c r="BH309" s="1100"/>
      <c r="BI309" s="1100"/>
      <c r="BJ309" s="1100"/>
      <c r="BK309" s="1100"/>
      <c r="BL309" s="1100"/>
      <c r="BM309" s="1100"/>
      <c r="BN309" s="4617"/>
      <c r="BO309" s="4617"/>
      <c r="BP309" s="4617"/>
      <c r="BQ309" s="960"/>
      <c r="BR309" s="960"/>
      <c r="BS309" s="1046" t="s">
        <v>1778</v>
      </c>
      <c r="BT309" s="1048"/>
      <c r="BU309" s="1048"/>
      <c r="BV309" s="962"/>
      <c r="BW309" s="962"/>
    </row>
    <row s="1621" customFormat="1" customHeight="1" ht="14.25">
      <c r="A310" s="960"/>
      <c r="B310" s="961"/>
      <c r="C310" s="73"/>
      <c r="D310" s="73" cm="1" t="str">
        <f t="array" ref="D310:D310">D309</f>
        <v>13</v>
      </c>
      <c r="E310" s="600">
        <v>15</v>
      </c>
      <c r="F310" s="50" cm="1" t="str">
        <f t="array" ref="F310:F310">OFFSET(E310,-1,1)</f>
        <v>1</v>
      </c>
      <c r="G310" s="73" t="s">
        <v>1510</v>
      </c>
      <c r="H310" s="73"/>
      <c r="I310" s="73" t="s">
        <v>2070</v>
      </c>
      <c r="J310" s="73"/>
      <c r="K310" s="73" t="s">
        <v>2070</v>
      </c>
      <c r="L310" s="963" t="s">
        <v>1779</v>
      </c>
      <c r="M310" s="73"/>
      <c r="N310" s="73"/>
      <c r="O310" s="73"/>
      <c r="P310" s="73"/>
      <c r="Q310" s="73"/>
      <c r="R310" s="73"/>
      <c r="S310" s="73"/>
      <c r="T310" s="439" cm="1" t="str">
        <f t="array" ref="T310:T310">T309</f>
        <v>true</v>
      </c>
      <c r="U310" s="73"/>
      <c r="V310" s="73"/>
      <c r="W310" s="73"/>
      <c r="X310" s="1534"/>
      <c r="Y310" s="960"/>
      <c r="Z310" s="1465"/>
      <c r="AA310" s="960"/>
      <c r="AB310" s="267" t="str">
        <f>D310&amp;".4"</f>
        <v>13.4</v>
      </c>
      <c r="AC310" s="1096" t="s">
        <v>1750</v>
      </c>
      <c r="AD310" s="267" t="s">
        <v>1494</v>
      </c>
      <c r="AE310" s="4561">
        <f>IF(AE306=0,0,AE302*(1+Сценарии!AE$26/100))</f>
        <v>0</v>
      </c>
      <c r="AF310" s="4614">
        <f>IF(AF306=0,0,AF302*(1+Сценарии!AF$26/100))</f>
        <v>0</v>
      </c>
      <c r="AG310" s="4614">
        <f>IF(AG306=0,0,AG302*(1+Сценарии!AG$26/100))</f>
        <v>0</v>
      </c>
      <c r="AH310" s="1099">
        <f>AG310-AF310</f>
        <v>0</v>
      </c>
      <c r="AI310" s="4561">
        <f>IF(AI306=0,0,AI302*(1+Сценарии!AI$26/100))</f>
        <v>0</v>
      </c>
      <c r="AJ310" s="4614">
        <f>IF(AJ306=0,0,AJ302*(1+Сценарии!AJ$26/100))</f>
        <v>0</v>
      </c>
      <c r="AK310" s="1268">
        <f>IF(AK306=0,0,AK302*(1+Сценарии!AO$26/100))</f>
        <v>0</v>
      </c>
      <c r="AL310" s="1289">
        <f>IF(AL306=0,0,AL302*(1+Сценарии!AP$26/100))</f>
        <v>0</v>
      </c>
      <c r="AM310" s="4614">
        <f>IF(AM306=0,0,AM302*(1+Сценарии!AQ$26/100))</f>
        <v>0</v>
      </c>
      <c r="AN310" s="4614">
        <f>IF(AN306=0,0,AN302*(1+Сценарии!AR$26/100))</f>
        <v>0</v>
      </c>
      <c r="AO310" s="4614">
        <f>IF(AO306=0,0,AO302*(1+Сценарии!AS$26/100))</f>
        <v>0</v>
      </c>
      <c r="AP310" s="4614">
        <f>IF(AP306=0,0,AP302*(1+Сценарии!AT$26/100))</f>
        <v>0</v>
      </c>
      <c r="AQ310" s="4614">
        <f>IF(AQ306=0,0,AQ302*(1+Сценарии!AU$26/100))</f>
        <v>0</v>
      </c>
      <c r="AR310" s="4614">
        <f>IF(AR306=0,0,AR302*(1+Сценарии!AV$26/100))</f>
        <v>0</v>
      </c>
      <c r="AS310" s="4614">
        <f>IF(AS306=0,0,AS302*(1+Сценарии!AW$26/100))</f>
        <v>0</v>
      </c>
      <c r="AT310" s="4561">
        <f>IF(AT306=0,0,AT302*(1+Сценарии!AK$26/100))</f>
        <v>0</v>
      </c>
      <c r="AU310" s="1268">
        <f>IF(AU306=0,0,AU302*(1+Сценарии!AX$26/100))</f>
        <v>0</v>
      </c>
      <c r="AV310" s="1289">
        <f>IF(AV306=0,0,AV302*(1+Сценарии!AY$26/100))</f>
        <v>0</v>
      </c>
      <c r="AW310" s="4614">
        <f>IF(AW306=0,0,AW302*(1+Сценарии!AZ$26/100))</f>
        <v>0</v>
      </c>
      <c r="AX310" s="4614">
        <f>IF(AX306=0,0,AX302*(1+Сценарии!BA$26/100))</f>
        <v>0</v>
      </c>
      <c r="AY310" s="4614">
        <f>IF(AY306=0,0,AY302*(1+Сценарии!BB$26/100))</f>
        <v>0</v>
      </c>
      <c r="AZ310" s="4614">
        <f>IF(AZ306=0,0,AZ302*(1+Сценарии!BC$26/100))</f>
        <v>0</v>
      </c>
      <c r="BA310" s="4614">
        <f>IF(BA306=0,0,BA302*(1+Сценарии!BD$26/100))</f>
        <v>0</v>
      </c>
      <c r="BB310" s="4614">
        <f>IF(BB306=0,0,BB302*(1+Сценарии!BE$26/100))</f>
        <v>0</v>
      </c>
      <c r="BC310" s="4614">
        <f>IF(BC306=0,0,BC302*(1+Сценарии!BF$26/100))</f>
        <v>0</v>
      </c>
      <c r="BD310" s="1100"/>
      <c r="BE310" s="1100"/>
      <c r="BF310" s="1100"/>
      <c r="BG310" s="1100"/>
      <c r="BH310" s="1100"/>
      <c r="BI310" s="1100"/>
      <c r="BJ310" s="1100"/>
      <c r="BK310" s="1100"/>
      <c r="BL310" s="1100"/>
      <c r="BM310" s="1100"/>
      <c r="BN310" s="4617"/>
      <c r="BO310" s="4617"/>
      <c r="BP310" s="4617"/>
      <c r="BQ310" s="960"/>
      <c r="BR310" s="960"/>
      <c r="BS310" s="1046" t="s">
        <v>1782</v>
      </c>
      <c r="BT310" s="1048"/>
      <c r="BU310" s="1048"/>
      <c r="BV310" s="962"/>
      <c r="BW310" s="962"/>
    </row>
    <row s="1621" customFormat="1" customHeight="1" ht="14.25">
      <c r="A311" s="960"/>
      <c r="B311" s="961"/>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534"/>
      <c r="Y311" s="960"/>
      <c r="Z311" s="1465"/>
      <c r="AA311" s="960"/>
      <c r="AB311" s="178" cm="1" t="str">
        <f t="array" ref="AB311:AB311">D311</f>
        <v>14</v>
      </c>
      <c r="AC311" s="179" t="s">
        <v>1784</v>
      </c>
      <c r="AD311" s="178" t="s">
        <v>784</v>
      </c>
      <c r="AE311" s="4561"/>
      <c r="AF311" s="4561"/>
      <c r="AG311" s="4561"/>
      <c r="AH311" s="1099">
        <f>AG311-AF311</f>
        <v>0</v>
      </c>
      <c r="AI311" s="4561"/>
      <c r="AJ311" s="4561"/>
      <c r="AK311" s="1268"/>
      <c r="AL311" s="1268"/>
      <c r="AM311" s="4561"/>
      <c r="AN311" s="4561"/>
      <c r="AO311" s="4561"/>
      <c r="AP311" s="4561"/>
      <c r="AQ311" s="4561"/>
      <c r="AR311" s="4561"/>
      <c r="AS311" s="4561"/>
      <c r="AT311" s="4561"/>
      <c r="AU311" s="1268"/>
      <c r="AV311" s="1268"/>
      <c r="AW311" s="4561"/>
      <c r="AX311" s="4561"/>
      <c r="AY311" s="4561"/>
      <c r="AZ311" s="4561"/>
      <c r="BA311" s="4561"/>
      <c r="BB311" s="4561"/>
      <c r="BC311" s="4561"/>
      <c r="BD311" s="1100"/>
      <c r="BE311" s="1100"/>
      <c r="BF311" s="1100"/>
      <c r="BG311" s="1100"/>
      <c r="BH311" s="1100"/>
      <c r="BI311" s="1100"/>
      <c r="BJ311" s="1100"/>
      <c r="BK311" s="1100"/>
      <c r="BL311" s="1100"/>
      <c r="BM311" s="1100"/>
      <c r="BN311" s="4617"/>
      <c r="BO311" s="4617"/>
      <c r="BP311" s="4617"/>
      <c r="BQ311" s="960"/>
      <c r="BR311" s="960"/>
      <c r="BS311" s="1046" t="s">
        <v>1785</v>
      </c>
      <c r="BT311" s="1048"/>
      <c r="BU311" s="1048"/>
      <c r="BV311" s="962"/>
      <c r="BW311" s="962"/>
    </row>
    <row s="1260" customFormat="1" customHeight="1" ht="20.25">
      <c r="A312" s="1260"/>
      <c r="B312" s="734"/>
      <c r="C312" s="73"/>
      <c r="D312" s="73" cm="1" t="str">
        <f t="array" ref="D312:D312">D311</f>
        <v>14</v>
      </c>
      <c r="E312" s="600">
        <v>21</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534"/>
      <c r="Y312" s="1260"/>
      <c r="Z312" s="1465"/>
      <c r="AA312" s="1260"/>
      <c r="AB312" s="267" t="str">
        <f>D312&amp;".1"</f>
        <v>14.1</v>
      </c>
      <c r="AC312" s="743" t="s">
        <v>1787</v>
      </c>
      <c r="AD312" s="267" t="s">
        <v>784</v>
      </c>
      <c r="AE312" s="4561"/>
      <c r="AF312" s="4561"/>
      <c r="AG312" s="4561"/>
      <c r="AH312" s="1099">
        <f>AG312-AF312</f>
        <v>0</v>
      </c>
      <c r="AI312" s="4561"/>
      <c r="AJ312" s="4561"/>
      <c r="AK312" s="1268"/>
      <c r="AL312" s="1268"/>
      <c r="AM312" s="4561"/>
      <c r="AN312" s="4561"/>
      <c r="AO312" s="4561"/>
      <c r="AP312" s="4561"/>
      <c r="AQ312" s="4561"/>
      <c r="AR312" s="4561"/>
      <c r="AS312" s="4561"/>
      <c r="AT312" s="4561"/>
      <c r="AU312" s="1268"/>
      <c r="AV312" s="1268"/>
      <c r="AW312" s="4561"/>
      <c r="AX312" s="4561"/>
      <c r="AY312" s="4561"/>
      <c r="AZ312" s="4561"/>
      <c r="BA312" s="4561"/>
      <c r="BB312" s="4561"/>
      <c r="BC312" s="4561"/>
      <c r="BD312" s="1100"/>
      <c r="BE312" s="1100"/>
      <c r="BF312" s="1100"/>
      <c r="BG312" s="1100"/>
      <c r="BH312" s="1100"/>
      <c r="BI312" s="1100"/>
      <c r="BJ312" s="1100"/>
      <c r="BK312" s="1100"/>
      <c r="BL312" s="1100"/>
      <c r="BM312" s="1100"/>
      <c r="BN312" s="4617"/>
      <c r="BO312" s="4617"/>
      <c r="BP312" s="4617"/>
      <c r="BQ312" s="1260"/>
      <c r="BR312" s="1260"/>
      <c r="BS312" s="1046" t="s">
        <v>1788</v>
      </c>
      <c r="BT312" s="1055"/>
      <c r="BU312" s="1055"/>
      <c r="BV312" s="1056"/>
      <c r="BW312" s="1056"/>
    </row>
    <row s="1260" customFormat="1" customHeight="1" ht="64.5">
      <c r="A313" s="1260"/>
      <c r="B313" s="734"/>
      <c r="C313" s="73"/>
      <c r="D313" s="73" cm="1" t="str">
        <f t="array" ref="D313:D313">D312</f>
        <v>14</v>
      </c>
      <c r="E313" s="600">
        <v>66.6</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534"/>
      <c r="Y313" s="1260"/>
      <c r="Z313" s="1465"/>
      <c r="AA313" s="1260"/>
      <c r="AB313" s="267" t="str">
        <f>D313&amp;".2"</f>
        <v>14.2</v>
      </c>
      <c r="AC313" s="743" t="s">
        <v>1790</v>
      </c>
      <c r="AD313" s="267" t="s">
        <v>784</v>
      </c>
      <c r="AE313" s="4561"/>
      <c r="AF313" s="4561"/>
      <c r="AG313" s="4561"/>
      <c r="AH313" s="1099">
        <f>AG313-AF313</f>
        <v>0</v>
      </c>
      <c r="AI313" s="4561"/>
      <c r="AJ313" s="4561"/>
      <c r="AK313" s="1268"/>
      <c r="AL313" s="1268"/>
      <c r="AM313" s="4561"/>
      <c r="AN313" s="4561"/>
      <c r="AO313" s="4561"/>
      <c r="AP313" s="4561"/>
      <c r="AQ313" s="4561"/>
      <c r="AR313" s="4561"/>
      <c r="AS313" s="4561"/>
      <c r="AT313" s="4561"/>
      <c r="AU313" s="1268"/>
      <c r="AV313" s="1268"/>
      <c r="AW313" s="4561"/>
      <c r="AX313" s="4561"/>
      <c r="AY313" s="4561"/>
      <c r="AZ313" s="4561"/>
      <c r="BA313" s="4561"/>
      <c r="BB313" s="4561"/>
      <c r="BC313" s="4561"/>
      <c r="BD313" s="1100"/>
      <c r="BE313" s="1100"/>
      <c r="BF313" s="1100"/>
      <c r="BG313" s="1100"/>
      <c r="BH313" s="1100"/>
      <c r="BI313" s="1100"/>
      <c r="BJ313" s="1100"/>
      <c r="BK313" s="1100"/>
      <c r="BL313" s="1100"/>
      <c r="BM313" s="1100"/>
      <c r="BN313" s="4617"/>
      <c r="BO313" s="4617"/>
      <c r="BP313" s="4617"/>
      <c r="BQ313" s="1260"/>
      <c r="BR313" s="1260"/>
      <c r="BS313" s="1046" t="s">
        <v>1791</v>
      </c>
      <c r="BT313" s="1055"/>
      <c r="BU313" s="1055"/>
      <c r="BV313" s="1056"/>
      <c r="BW313" s="1056"/>
    </row>
    <row s="1260" customFormat="1" customHeight="1" ht="44.25">
      <c r="A314" s="1260"/>
      <c r="B314" s="734"/>
      <c r="C314" s="73"/>
      <c r="D314" s="73" cm="1" t="str">
        <f t="array" ref="D314:D314">D313</f>
        <v>14</v>
      </c>
      <c r="E314" s="600">
        <v>45.6</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534"/>
      <c r="Y314" s="1260"/>
      <c r="Z314" s="1465"/>
      <c r="AA314" s="1260"/>
      <c r="AB314" s="267" t="str">
        <f>D314&amp;".3"</f>
        <v>14.3</v>
      </c>
      <c r="AC314" s="743" t="s">
        <v>2071</v>
      </c>
      <c r="AD314" s="267" t="s">
        <v>784</v>
      </c>
      <c r="AE314" s="1100"/>
      <c r="AF314" s="4561"/>
      <c r="AG314" s="4561"/>
      <c r="AH314" s="1099">
        <f>AG314-AF314</f>
        <v>0</v>
      </c>
      <c r="AI314" s="1100"/>
      <c r="AJ314" s="1100"/>
      <c r="AK314" s="1100"/>
      <c r="AL314" s="1100"/>
      <c r="AM314" s="1100"/>
      <c r="AN314" s="1100"/>
      <c r="AO314" s="1100"/>
      <c r="AP314" s="1100"/>
      <c r="AQ314" s="1100"/>
      <c r="AR314" s="1100"/>
      <c r="AS314" s="1100"/>
      <c r="AT314" s="1100"/>
      <c r="AU314" s="1100"/>
      <c r="AV314" s="1100"/>
      <c r="AW314" s="1100"/>
      <c r="AX314" s="1100"/>
      <c r="AY314" s="1100"/>
      <c r="AZ314" s="1100"/>
      <c r="BA314" s="1100"/>
      <c r="BB314" s="1100"/>
      <c r="BC314" s="1100"/>
      <c r="BD314" s="1100"/>
      <c r="BE314" s="1100"/>
      <c r="BF314" s="1100"/>
      <c r="BG314" s="1100"/>
      <c r="BH314" s="1100"/>
      <c r="BI314" s="1100"/>
      <c r="BJ314" s="1100"/>
      <c r="BK314" s="1100"/>
      <c r="BL314" s="1100"/>
      <c r="BM314" s="1100"/>
      <c r="BN314" s="4617"/>
      <c r="BO314" s="4617"/>
      <c r="BP314" s="4617"/>
      <c r="BQ314" s="1260"/>
      <c r="BR314" s="1260"/>
      <c r="BS314" s="1055" t="s">
        <v>2072</v>
      </c>
      <c r="BT314" s="1055"/>
      <c r="BU314" s="1055"/>
      <c r="BV314" s="1056"/>
      <c r="BW314" s="1056"/>
    </row>
    <row s="4678" customFormat="1" customHeight="1" ht="14.25">
      <c r="A315" s="1153"/>
      <c r="B315" s="401"/>
      <c r="C315" s="399"/>
      <c r="D315" s="399"/>
      <c r="E315" s="598">
        <v>15</v>
      </c>
      <c r="F315" s="467" cm="1" t="str">
        <f t="array" ref="F315:F315">X315</f>
        <v>2</v>
      </c>
      <c r="G315" s="467" cm="1" t="str">
        <f t="array" ref="G315:G315">INDEX('Общие сведения'!$AK$179:$AK$222,MATCH($X315,'Общие сведения'!$Z$179:$Z$222,0))</f>
        <v>одноставочный</v>
      </c>
      <c r="H315" s="399"/>
      <c r="I315" s="467"/>
      <c r="J315" s="399"/>
      <c r="K315" s="399"/>
      <c r="L315" s="965"/>
      <c r="M315" s="399"/>
      <c r="N315" s="399"/>
      <c r="O315" s="399"/>
      <c r="P315" s="399"/>
      <c r="Q315" s="399"/>
      <c r="R315" s="399"/>
      <c r="S315" s="399" cm="1" t="str">
        <f t="array" ref="S315:S315">INDEX('Общие сведения'!$AE$179:$AE$222,MATCH($X315,'Общие сведения'!$Z$179:$Z$222,0))</f>
        <v>Водоотведение</v>
      </c>
      <c r="T315" s="439">
        <f>X315&gt;0</f>
        <v>1</v>
      </c>
      <c r="U315" s="399"/>
      <c r="V315" s="399" cm="1" t="str">
        <f t="array" ref="V315:V315">'Калькуляция (МЭОР)'!$AB$197</f>
        <v>Тариф 2 (Водоотведение) - тариф на водоотведение (Оказание услуг на территории: Прокопьевский муниципальный округ (ОКТМО: 32522000) - п Калачево)</v>
      </c>
      <c r="W315" s="399"/>
      <c r="X315" s="1534" t="s">
        <v>283</v>
      </c>
      <c r="Y315" s="1153"/>
      <c r="Z315" s="1465"/>
      <c r="AA315" s="1153"/>
      <c r="AB315" s="348" cm="1" t="str">
        <f t="array" ref="AB315:AB315">'Калькуляция (МЭОР)'!$AB$197</f>
        <v>Тариф 2 (Водоотведение) - тариф на водоотведение (Оказание услуг на территории: Прокопьевский муниципальный округ (ОКТМО: 32522000) - п Калачево)</v>
      </c>
      <c r="AC315" s="219"/>
      <c r="AD315" s="219"/>
      <c r="AE315" s="219"/>
      <c r="AF315" s="219"/>
      <c r="AG315" s="219"/>
      <c r="AH315" s="219"/>
      <c r="AI315" s="219"/>
      <c r="AJ315" s="219"/>
      <c r="AK315" s="219"/>
      <c r="AL315" s="219"/>
      <c r="AM315" s="219"/>
      <c r="AN315" s="219"/>
      <c r="AO315" s="219"/>
      <c r="AP315" s="219"/>
      <c r="AQ315" s="219"/>
      <c r="AR315" s="219"/>
      <c r="AS315" s="219"/>
      <c r="AT315" s="219"/>
      <c r="AU315" s="219"/>
      <c r="AV315" s="219"/>
      <c r="AW315" s="219"/>
      <c r="AX315" s="219"/>
      <c r="AY315" s="219"/>
      <c r="AZ315" s="219"/>
      <c r="BA315" s="219"/>
      <c r="BB315" s="219"/>
      <c r="BC315" s="219"/>
      <c r="BD315" s="219"/>
      <c r="BE315" s="219"/>
      <c r="BF315" s="219"/>
      <c r="BG315" s="219"/>
      <c r="BH315" s="219"/>
      <c r="BI315" s="219"/>
      <c r="BJ315" s="219"/>
      <c r="BK315" s="219"/>
      <c r="BL315" s="219"/>
      <c r="BM315" s="219"/>
      <c r="BN315" s="219"/>
      <c r="BO315" s="219"/>
      <c r="BP315" s="219"/>
      <c r="BQ315" s="1153"/>
      <c r="BR315" s="1153"/>
      <c r="BS315" s="980"/>
      <c r="BT315" s="980"/>
      <c r="BU315" s="980"/>
      <c r="BV315" s="597"/>
      <c r="BW315" s="597"/>
    </row>
    <row s="4679" customFormat="1" customHeight="1" ht="201.75">
      <c r="A316" s="127"/>
      <c r="B316" s="407"/>
      <c r="C316" s="837"/>
      <c r="D316" s="837"/>
      <c r="E316" s="838">
        <v>21</v>
      </c>
      <c r="F316" s="50" cm="1" t="str">
        <f t="array" ref="F316:F316">OFFSET(E316,-1,1)</f>
        <v>2</v>
      </c>
      <c r="G316" s="837"/>
      <c r="H316" s="78"/>
      <c r="I316" s="78" t="s">
        <v>325</v>
      </c>
      <c r="J316" s="837"/>
      <c r="K316" s="344" t="s">
        <v>325</v>
      </c>
      <c r="L316" s="966"/>
      <c r="M316" s="837"/>
      <c r="N316" s="837"/>
      <c r="O316" s="837"/>
      <c r="P316" s="837"/>
      <c r="Q316" s="837"/>
      <c r="R316" s="837"/>
      <c r="S316" s="837"/>
      <c r="T316" s="439" cm="1" t="str">
        <f t="array" ref="T316:T316">T315</f>
        <v>true</v>
      </c>
      <c r="U316" s="837"/>
      <c r="V316" s="837"/>
      <c r="W316" s="837"/>
      <c r="X316" s="1534"/>
      <c r="Y316" s="127"/>
      <c r="Z316" s="1465"/>
      <c r="AA316" s="127"/>
      <c r="AB316" s="201" t="s">
        <v>272</v>
      </c>
      <c r="AC316" s="179" t="s">
        <v>1798</v>
      </c>
      <c r="AD316" s="201" t="s">
        <v>784</v>
      </c>
      <c r="AE316" s="759">
        <f>SUM(AE318,AE335,AE341,AE361,AE362,AE363)</f>
        <v>1542.1511518401</v>
      </c>
      <c r="AF316" s="759">
        <f>SUM(AF318,AF335,AF341,AF361,AF362,AF363)</f>
        <v>9849.429208528</v>
      </c>
      <c r="AG316" s="759">
        <f>SUM(AG318,AG335,AG341,AG361,AG362,AG363)</f>
        <v>0</v>
      </c>
      <c r="AH316" s="759">
        <f>AG316-AF316</f>
        <v>-9849.429208528</v>
      </c>
      <c r="AI316" s="759">
        <f>SUM(AI318,AI335,AI341,AI361,AI362,AI363)</f>
        <v>0</v>
      </c>
      <c r="AJ316" s="759">
        <f>SUM(AJ318,AJ335,AJ341,AJ361,AJ362,AJ363)</f>
        <v>0</v>
      </c>
      <c r="AK316" s="1264">
        <f>AJ316*AK317</f>
        <v>0</v>
      </c>
      <c r="AL316" s="1264">
        <f>AK316*AL317</f>
        <v>0</v>
      </c>
      <c r="AM316" s="4606">
        <f>AL316*AM317</f>
        <v>0</v>
      </c>
      <c r="AN316" s="4606">
        <f>AM316*AN317</f>
        <v>0</v>
      </c>
      <c r="AO316" s="4606">
        <f>AN316*AO317</f>
        <v>0</v>
      </c>
      <c r="AP316" s="4606">
        <f>AO316*AP317</f>
        <v>0</v>
      </c>
      <c r="AQ316" s="4606">
        <f>AP316*AQ317</f>
        <v>0</v>
      </c>
      <c r="AR316" s="4606">
        <f>AQ316*AR317</f>
        <v>0</v>
      </c>
      <c r="AS316" s="4606">
        <f>AR316*AS317</f>
        <v>0</v>
      </c>
      <c r="AT316" s="759">
        <f>SUM(AT318,AT335,AT341,AT361,AT362,AT363)</f>
        <v>0</v>
      </c>
      <c r="AU316" s="1264">
        <f>AT316*AU317</f>
        <v>0</v>
      </c>
      <c r="AV316" s="1264">
        <f>AU316*AV317</f>
        <v>0</v>
      </c>
      <c r="AW316" s="4606">
        <f>AV316*AW317</f>
        <v>0</v>
      </c>
      <c r="AX316" s="4606">
        <f>AW316*AX317</f>
        <v>0</v>
      </c>
      <c r="AY316" s="4606">
        <f>AX316*AY317</f>
        <v>0</v>
      </c>
      <c r="AZ316" s="4606">
        <f>AY316*AZ317</f>
        <v>0</v>
      </c>
      <c r="BA316" s="4606">
        <f>AZ316*BA317</f>
        <v>0</v>
      </c>
      <c r="BB316" s="4606">
        <f>BA316*BB317</f>
        <v>0</v>
      </c>
      <c r="BC316" s="4606">
        <f>BB316*BC317</f>
        <v>0</v>
      </c>
      <c r="BD316" s="759">
        <f>IF(AI316=0,0,(AT316-AI316)/AI316*100)</f>
        <v>0</v>
      </c>
      <c r="BE316" s="759">
        <f>IF(AT316=0,0,(AU316-AT316)/AT316*100)</f>
        <v>0</v>
      </c>
      <c r="BF316" s="759">
        <f>IF(AU316=0,0,(AV316-AU316)/AU316*100)</f>
        <v>0</v>
      </c>
      <c r="BG316" s="759">
        <f>IF(AV316=0,0,(AW316-AV316)/AV316*100)</f>
        <v>0</v>
      </c>
      <c r="BH316" s="759">
        <f>IF(AW316=0,0,(AX316-AW316)/AW316*100)</f>
        <v>0</v>
      </c>
      <c r="BI316" s="759">
        <f>IF(AX316=0,0,(AY316-AX316)/AX316*100)</f>
        <v>0</v>
      </c>
      <c r="BJ316" s="759">
        <f>IF(AY316=0,0,(AZ316-AY316)/AY316*100)</f>
        <v>0</v>
      </c>
      <c r="BK316" s="759">
        <f>IF(AZ316=0,0,(BA316-AZ316)/AZ316*100)</f>
        <v>0</v>
      </c>
      <c r="BL316" s="759">
        <f>IF(BA316=0,0,(BB316-BA316)/BA316*100)</f>
        <v>0</v>
      </c>
      <c r="BM316" s="759">
        <f>IF(BB316=0,0,(BC316-BB316)/BB316*100)</f>
        <v>0</v>
      </c>
      <c r="BN316" s="4617" t="s">
        <v>2089</v>
      </c>
      <c r="BO316" s="4617" t="s">
        <v>2074</v>
      </c>
      <c r="BP316" s="4617" t="s">
        <v>2075</v>
      </c>
      <c r="BQ316" s="126"/>
      <c r="BR316" s="127"/>
      <c r="BS316" s="1052" t="s">
        <v>504</v>
      </c>
      <c r="BT316" s="1052"/>
      <c r="BU316" s="1052"/>
      <c r="BV316" s="685"/>
      <c r="BW316" s="685"/>
    </row>
    <row s="1621" customFormat="1" customHeight="1" ht="14.625">
      <c r="A317" s="960"/>
      <c r="B317" s="961"/>
      <c r="C317" s="73"/>
      <c r="D317" s="73"/>
      <c r="E317" s="600">
        <v>15</v>
      </c>
      <c r="F317" s="50" cm="1" t="str">
        <f t="array" ref="F317:F317">OFFSET(E317,-1,1)</f>
        <v>2</v>
      </c>
      <c r="G317" s="73"/>
      <c r="H317" s="839"/>
      <c r="I317" s="839" t="s">
        <v>441</v>
      </c>
      <c r="J317" s="73"/>
      <c r="K317" s="345" t="s">
        <v>441</v>
      </c>
      <c r="L317" s="963"/>
      <c r="M317" s="73"/>
      <c r="N317" s="73"/>
      <c r="O317" s="73"/>
      <c r="P317" s="73"/>
      <c r="Q317" s="73"/>
      <c r="R317" s="73"/>
      <c r="S317" s="73"/>
      <c r="T317" s="439" cm="1" t="str">
        <f t="array" ref="T317:T317">T316</f>
        <v>true</v>
      </c>
      <c r="U317" s="73"/>
      <c r="V317" s="73"/>
      <c r="W317" s="73"/>
      <c r="X317" s="1534"/>
      <c r="Y317" s="960"/>
      <c r="Z317" s="1465"/>
      <c r="AA317" s="960"/>
      <c r="AB317" s="267" t="s">
        <v>845</v>
      </c>
      <c r="AC317" s="743" t="s">
        <v>1799</v>
      </c>
      <c r="AD317" s="267"/>
      <c r="AE317" s="4548"/>
      <c r="AF317" s="4548"/>
      <c r="AG317" s="4548"/>
      <c r="AH317" s="1098">
        <f>AG317-AF317</f>
        <v>0</v>
      </c>
      <c r="AI317" s="4548">
        <v>1.03158</v>
      </c>
      <c r="AJ317" s="4548">
        <v>1.045</v>
      </c>
      <c r="AK317" s="1266">
        <f>_xlfn.SUMIFS(INDEX(Сценарии!$AE$25:$BF$109,,MATCH(AK$8,Сценарии!$AE$8:$BF$8,0)),Сценарии!$F$25:$F$109,$F317,Сценарии!$G$25:$G$109,"ИОР")</f>
        <v>1</v>
      </c>
      <c r="AL317" s="1266">
        <f>_xlfn.SUMIFS(INDEX(Сценарии!$AE$25:$BF$109,,MATCH(AL$8,Сценарии!$AE$8:$BF$8,0)),Сценарии!$F$25:$F$109,$F317,Сценарии!$G$25:$G$109,"ИОР")</f>
        <v>1</v>
      </c>
      <c r="AM317" s="4548">
        <f>_xlfn.SUMIFS(INDEX(Сценарии!$AE$25:$BF$109,,MATCH(AM$8,Сценарии!$AE$8:$BF$8,0)),Сценарии!$F$25:$F$109,$F317,Сценарии!$G$25:$G$109,"ИОР")</f>
        <v>1</v>
      </c>
      <c r="AN317" s="4548">
        <f>_xlfn.SUMIFS(INDEX(Сценарии!$AE$25:$BF$109,,MATCH(AN$8,Сценарии!$AE$8:$BF$8,0)),Сценарии!$F$25:$F$109,$F317,Сценарии!$G$25:$G$109,"ИОР")</f>
        <v>1</v>
      </c>
      <c r="AO317" s="4548">
        <f>_xlfn.SUMIFS(INDEX(Сценарии!$AE$25:$BF$109,,MATCH(AO$8,Сценарии!$AE$8:$BF$8,0)),Сценарии!$F$25:$F$109,$F317,Сценарии!$G$25:$G$109,"ИОР")</f>
        <v>1</v>
      </c>
      <c r="AP317" s="4548">
        <f>_xlfn.SUMIFS(INDEX(Сценарии!$AE$25:$BF$109,,MATCH(AP$8,Сценарии!$AE$8:$BF$8,0)),Сценарии!$F$25:$F$109,$F317,Сценарии!$G$25:$G$109,"ИОР")</f>
        <v>1</v>
      </c>
      <c r="AQ317" s="4548">
        <f>_xlfn.SUMIFS(INDEX(Сценарии!$AE$25:$BF$109,,MATCH(AQ$8,Сценарии!$AE$8:$BF$8,0)),Сценарии!$F$25:$F$109,$F317,Сценарии!$G$25:$G$109,"ИОР")</f>
        <v>1</v>
      </c>
      <c r="AR317" s="4548">
        <f>_xlfn.SUMIFS(INDEX(Сценарии!$AE$25:$BF$109,,MATCH(AR$8,Сценарии!$AE$8:$BF$8,0)),Сценарии!$F$25:$F$109,$F317,Сценарии!$G$25:$G$109,"ИОР")</f>
        <v>1</v>
      </c>
      <c r="AS317" s="4548">
        <f>_xlfn.SUMIFS(INDEX(Сценарии!$AE$25:$BF$109,,MATCH(AS$8,Сценарии!$AE$8:$BF$8,0)),Сценарии!$F$25:$F$109,$F317,Сценарии!$G$25:$G$109,"ИОР")</f>
        <v>1</v>
      </c>
      <c r="AT317" s="4548">
        <v>1.03257</v>
      </c>
      <c r="AU317" s="1266">
        <f>_xlfn.SUMIFS(INDEX(Сценарии!$AE$25:$BF$109,,MATCH(AU$8,Сценарии!$AE$8:$BF$8,0)),Сценарии!$F$25:$F$109,$F317,Сценарии!$G$25:$G$109,"ИОР")</f>
        <v>1</v>
      </c>
      <c r="AV317" s="1266">
        <f>_xlfn.SUMIFS(INDEX(Сценарии!$AE$25:$BF$109,,MATCH(AV$8,Сценарии!$AE$8:$BF$8,0)),Сценарии!$F$25:$F$109,$F317,Сценарии!$G$25:$G$109,"ИОР")</f>
        <v>1</v>
      </c>
      <c r="AW317" s="4548">
        <f>_xlfn.SUMIFS(INDEX(Сценарии!$AE$25:$BF$109,,MATCH(AW$8,Сценарии!$AE$8:$BF$8,0)),Сценарии!$F$25:$F$109,$F317,Сценарии!$G$25:$G$109,"ИОР")</f>
        <v>1</v>
      </c>
      <c r="AX317" s="4548">
        <f>_xlfn.SUMIFS(INDEX(Сценарии!$AE$25:$BF$109,,MATCH(AX$8,Сценарии!$AE$8:$BF$8,0)),Сценарии!$F$25:$F$109,$F317,Сценарии!$G$25:$G$109,"ИОР")</f>
        <v>1</v>
      </c>
      <c r="AY317" s="4548">
        <f>_xlfn.SUMIFS(INDEX(Сценарии!$AE$25:$BF$109,,MATCH(AY$8,Сценарии!$AE$8:$BF$8,0)),Сценарии!$F$25:$F$109,$F317,Сценарии!$G$25:$G$109,"ИОР")</f>
        <v>1</v>
      </c>
      <c r="AZ317" s="4548">
        <f>_xlfn.SUMIFS(INDEX(Сценарии!$AE$25:$BF$109,,MATCH(AZ$8,Сценарии!$AE$8:$BF$8,0)),Сценарии!$F$25:$F$109,$F317,Сценарии!$G$25:$G$109,"ИОР")</f>
        <v>1</v>
      </c>
      <c r="BA317" s="4548">
        <f>_xlfn.SUMIFS(INDEX(Сценарии!$AE$25:$BF$109,,MATCH(BA$8,Сценарии!$AE$8:$BF$8,0)),Сценарии!$F$25:$F$109,$F317,Сценарии!$G$25:$G$109,"ИОР")</f>
        <v>1</v>
      </c>
      <c r="BB317" s="4548">
        <f>_xlfn.SUMIFS(INDEX(Сценарии!$AE$25:$BF$109,,MATCH(BB$8,Сценарии!$AE$8:$BF$8,0)),Сценарии!$F$25:$F$109,$F317,Сценарии!$G$25:$G$109,"ИОР")</f>
        <v>1</v>
      </c>
      <c r="BC317" s="4548">
        <f>_xlfn.SUMIFS(INDEX(Сценарии!$AE$25:$BF$109,,MATCH(BC$8,Сценарии!$AE$8:$BF$8,0)),Сценарии!$F$25:$F$109,$F317,Сценарии!$G$25:$G$109,"ИОР")</f>
        <v>1</v>
      </c>
      <c r="BD317" s="1099">
        <f>IF(AI317=0,0,(AT317-AI317)/AI317*100)</f>
        <v>0.0959692898272598</v>
      </c>
      <c r="BE317" s="1100"/>
      <c r="BF317" s="1100"/>
      <c r="BG317" s="1100"/>
      <c r="BH317" s="1100"/>
      <c r="BI317" s="1100"/>
      <c r="BJ317" s="1100"/>
      <c r="BK317" s="1100"/>
      <c r="BL317" s="1100"/>
      <c r="BM317" s="1100"/>
      <c r="BN317" s="4617"/>
      <c r="BO317" s="4617"/>
      <c r="BP317" s="4617"/>
      <c r="BQ317" s="960"/>
      <c r="BR317" s="960"/>
      <c r="BS317" s="1048" t="s">
        <v>1800</v>
      </c>
      <c r="BT317" s="1048"/>
      <c r="BU317" s="1048"/>
      <c r="BV317" s="962"/>
      <c r="BW317" s="962"/>
    </row>
    <row s="407" customFormat="1" customHeight="1" ht="20.25">
      <c r="A318" s="126"/>
      <c r="B318" s="407"/>
      <c r="C318" s="840"/>
      <c r="D318" s="840"/>
      <c r="E318" s="841">
        <v>21</v>
      </c>
      <c r="F318" s="50" cm="1" t="str">
        <f t="array" ref="F318:F318">OFFSET(E318,-1,1)</f>
        <v>2</v>
      </c>
      <c r="G318" s="840"/>
      <c r="H318" s="78"/>
      <c r="I318" s="78" t="s">
        <v>445</v>
      </c>
      <c r="J318" s="840"/>
      <c r="K318" s="344" t="s">
        <v>445</v>
      </c>
      <c r="L318" s="967" t="s">
        <v>325</v>
      </c>
      <c r="M318" s="840"/>
      <c r="N318" s="840"/>
      <c r="O318" s="840"/>
      <c r="P318" s="840"/>
      <c r="Q318" s="840"/>
      <c r="R318" s="840"/>
      <c r="S318" s="840"/>
      <c r="T318" s="439" cm="1" t="str">
        <f t="array" ref="T318:T318">T317</f>
        <v>true</v>
      </c>
      <c r="U318" s="840"/>
      <c r="V318" s="840"/>
      <c r="W318" s="840"/>
      <c r="X318" s="1534"/>
      <c r="Y318" s="126"/>
      <c r="Z318" s="1465"/>
      <c r="AA318" s="126"/>
      <c r="AB318" s="201" t="s">
        <v>848</v>
      </c>
      <c r="AC318" s="328" t="s">
        <v>1586</v>
      </c>
      <c r="AD318" s="201" t="s">
        <v>784</v>
      </c>
      <c r="AE318" s="759">
        <f>SUM(AE319,AE322,AE323,AE326,AE327)</f>
        <v>992.1511518401</v>
      </c>
      <c r="AF318" s="759">
        <f>SUM(AF319,AF322,AF323,AF326,AF327)</f>
        <v>2968.264668528</v>
      </c>
      <c r="AG318" s="759">
        <f>SUM(AG319,AG322,AG323,AG326,AG327)</f>
        <v>0</v>
      </c>
      <c r="AH318" s="759">
        <f>AG318-AF318</f>
        <v>-2968.264668528</v>
      </c>
      <c r="AI318" s="759">
        <f>SUM(AI319,AI322,AI323,AI326,AI327)</f>
        <v>0</v>
      </c>
      <c r="AJ318" s="759">
        <f>SUM(AJ319,AJ322,AJ323,AJ326,AJ327)</f>
        <v>0</v>
      </c>
      <c r="AK318" s="183"/>
      <c r="AL318" s="183"/>
      <c r="AM318" s="183"/>
      <c r="AN318" s="183"/>
      <c r="AO318" s="183"/>
      <c r="AP318" s="183"/>
      <c r="AQ318" s="183"/>
      <c r="AR318" s="183"/>
      <c r="AS318" s="183"/>
      <c r="AT318" s="759">
        <f>SUM(AT319,AT322,AT323,AT326,AT327)</f>
        <v>0</v>
      </c>
      <c r="AU318" s="183"/>
      <c r="AV318" s="183"/>
      <c r="AW318" s="183"/>
      <c r="AX318" s="183"/>
      <c r="AY318" s="183"/>
      <c r="AZ318" s="183"/>
      <c r="BA318" s="183"/>
      <c r="BB318" s="183"/>
      <c r="BC318" s="183"/>
      <c r="BD318" s="759">
        <f>IF(AI318=0,0,(AT318-AI318)/AI318*100)</f>
        <v>0</v>
      </c>
      <c r="BE318" s="183"/>
      <c r="BF318" s="183"/>
      <c r="BG318" s="183"/>
      <c r="BH318" s="183"/>
      <c r="BI318" s="183"/>
      <c r="BJ318" s="183"/>
      <c r="BK318" s="183"/>
      <c r="BL318" s="183"/>
      <c r="BM318" s="183"/>
      <c r="BN318" s="4618"/>
      <c r="BO318" s="4618"/>
      <c r="BP318" s="4618"/>
      <c r="BQ318" s="126"/>
      <c r="BR318" s="126"/>
      <c r="BS318" s="1046" t="s">
        <v>498</v>
      </c>
      <c r="BT318" s="1053"/>
      <c r="BU318" s="1053"/>
      <c r="BV318" s="686"/>
      <c r="BW318" s="686"/>
    </row>
    <row s="1621" customFormat="1" customHeight="1" ht="14.25">
      <c r="A319" s="960"/>
      <c r="B319" s="961"/>
      <c r="C319" s="73"/>
      <c r="D319" s="73"/>
      <c r="E319" s="600">
        <v>15</v>
      </c>
      <c r="F319" s="50" cm="1" t="str">
        <f t="array" ref="F319:F319">OFFSET(E319,-1,1)</f>
        <v>2</v>
      </c>
      <c r="G319" s="73"/>
      <c r="H319" s="839"/>
      <c r="I319" s="839" t="s">
        <v>1219</v>
      </c>
      <c r="J319" s="73"/>
      <c r="K319" s="345" t="s">
        <v>1219</v>
      </c>
      <c r="L319" s="963" t="s">
        <v>441</v>
      </c>
      <c r="M319" s="73"/>
      <c r="N319" s="73"/>
      <c r="O319" s="73"/>
      <c r="P319" s="73"/>
      <c r="Q319" s="73"/>
      <c r="R319" s="73"/>
      <c r="S319" s="73"/>
      <c r="T319" s="439" cm="1" t="str">
        <f t="array" ref="T319:T319">T318</f>
        <v>true</v>
      </c>
      <c r="U319" s="73"/>
      <c r="V319" s="73"/>
      <c r="W319" s="73"/>
      <c r="X319" s="1534"/>
      <c r="Y319" s="960"/>
      <c r="Z319" s="1465"/>
      <c r="AA319" s="960"/>
      <c r="AB319" s="267" t="s">
        <v>1220</v>
      </c>
      <c r="AC319" s="746" t="s">
        <v>1801</v>
      </c>
      <c r="AD319" s="747" t="s">
        <v>784</v>
      </c>
      <c r="AE319" s="1099">
        <f>SUM(AE320,AE321)</f>
        <v>1.8944</v>
      </c>
      <c r="AF319" s="1099">
        <f>SUM(AF320,AF321)</f>
        <v>7.90827</v>
      </c>
      <c r="AG319" s="1099">
        <f>SUM(AG320,AG321)</f>
        <v>0</v>
      </c>
      <c r="AH319" s="1099">
        <f>AG319-AF319</f>
        <v>-7.90827</v>
      </c>
      <c r="AI319" s="1099">
        <f>SUM(AI320,AI321)</f>
        <v>0</v>
      </c>
      <c r="AJ319" s="1099">
        <f>SUM(AJ320,AJ321)</f>
        <v>0</v>
      </c>
      <c r="AK319" s="1100"/>
      <c r="AL319" s="1100"/>
      <c r="AM319" s="1100"/>
      <c r="AN319" s="1100"/>
      <c r="AO319" s="1100"/>
      <c r="AP319" s="1100"/>
      <c r="AQ319" s="1100"/>
      <c r="AR319" s="1100"/>
      <c r="AS319" s="1100"/>
      <c r="AT319" s="1099">
        <f>SUM(AT320,AT321)</f>
        <v>0</v>
      </c>
      <c r="AU319" s="1100"/>
      <c r="AV319" s="1100"/>
      <c r="AW319" s="1100"/>
      <c r="AX319" s="1100"/>
      <c r="AY319" s="1100"/>
      <c r="AZ319" s="1100"/>
      <c r="BA319" s="1100"/>
      <c r="BB319" s="1100"/>
      <c r="BC319" s="1100"/>
      <c r="BD319" s="1099">
        <f>IF(AI319=0,0,(AT319-AI319)/AI319*100)</f>
        <v>0</v>
      </c>
      <c r="BE319" s="1100"/>
      <c r="BF319" s="1100"/>
      <c r="BG319" s="1100"/>
      <c r="BH319" s="1100"/>
      <c r="BI319" s="1100"/>
      <c r="BJ319" s="1100"/>
      <c r="BK319" s="1100"/>
      <c r="BL319" s="1100"/>
      <c r="BM319" s="1100"/>
      <c r="BN319" s="4617"/>
      <c r="BO319" s="4617"/>
      <c r="BP319" s="4617"/>
      <c r="BQ319" s="76"/>
      <c r="BR319" s="960"/>
      <c r="BS319" s="1047" t="s">
        <v>1588</v>
      </c>
      <c r="BT319" s="1048"/>
      <c r="BU319" s="1048"/>
      <c r="BV319" s="962"/>
      <c r="BW319" s="962"/>
    </row>
    <row s="1621" customFormat="1" customHeight="1" ht="14.625">
      <c r="A320" s="960"/>
      <c r="B320" s="961"/>
      <c r="C320" s="73"/>
      <c r="D320" s="73"/>
      <c r="E320" s="600">
        <v>15</v>
      </c>
      <c r="F320" s="50" cm="1" t="str">
        <f t="array" ref="F320:F320">OFFSET(E320,-1,1)</f>
        <v>2</v>
      </c>
      <c r="G320" s="73"/>
      <c r="H320" s="839"/>
      <c r="I320" s="839" t="s">
        <v>1802</v>
      </c>
      <c r="J320" s="73"/>
      <c r="K320" s="345" t="s">
        <v>1802</v>
      </c>
      <c r="L320" s="963" t="s">
        <v>958</v>
      </c>
      <c r="M320" s="73"/>
      <c r="N320" s="73"/>
      <c r="O320" s="73"/>
      <c r="P320" s="73"/>
      <c r="Q320" s="73"/>
      <c r="R320" s="73"/>
      <c r="S320" s="73"/>
      <c r="T320" s="439" cm="1" t="str">
        <f t="array" ref="T320:T320">T319</f>
        <v>true</v>
      </c>
      <c r="U320" s="73"/>
      <c r="V320" s="73"/>
      <c r="W320" s="73"/>
      <c r="X320" s="1534"/>
      <c r="Y320" s="960"/>
      <c r="Z320" s="1465"/>
      <c r="AA320" s="960"/>
      <c r="AB320" s="267" t="s">
        <v>1803</v>
      </c>
      <c r="AC320" s="749" t="s">
        <v>1591</v>
      </c>
      <c r="AD320" s="747" t="s">
        <v>784</v>
      </c>
      <c r="AE320" s="4561">
        <v>1.8944</v>
      </c>
      <c r="AF320" s="4561">
        <v>7.90827</v>
      </c>
      <c r="AG320" s="4561"/>
      <c r="AH320" s="1099">
        <f>AG320-AF320</f>
        <v>-7.90827</v>
      </c>
      <c r="AI320" s="4561"/>
      <c r="AJ320" s="4561"/>
      <c r="AK320" s="1100"/>
      <c r="AL320" s="1100"/>
      <c r="AM320" s="1100"/>
      <c r="AN320" s="1100"/>
      <c r="AO320" s="1100"/>
      <c r="AP320" s="1100"/>
      <c r="AQ320" s="1100"/>
      <c r="AR320" s="1100"/>
      <c r="AS320" s="1100"/>
      <c r="AT320" s="4561"/>
      <c r="AU320" s="1100"/>
      <c r="AV320" s="1100"/>
      <c r="AW320" s="1100"/>
      <c r="AX320" s="1100"/>
      <c r="AY320" s="1100"/>
      <c r="AZ320" s="1100"/>
      <c r="BA320" s="1100"/>
      <c r="BB320" s="1100"/>
      <c r="BC320" s="1100"/>
      <c r="BD320" s="1099">
        <f>IF(AI320=0,0,(AT320-AI320)/AI320*100)</f>
        <v>0</v>
      </c>
      <c r="BE320" s="1100"/>
      <c r="BF320" s="1100"/>
      <c r="BG320" s="1100"/>
      <c r="BH320" s="1100"/>
      <c r="BI320" s="1100"/>
      <c r="BJ320" s="1100"/>
      <c r="BK320" s="1100"/>
      <c r="BL320" s="1100"/>
      <c r="BM320" s="1100"/>
      <c r="BN320" s="4617"/>
      <c r="BO320" s="4617"/>
      <c r="BP320" s="4617"/>
      <c r="BQ320" s="960"/>
      <c r="BR320" s="960"/>
      <c r="BS320" s="1046" t="s">
        <v>1592</v>
      </c>
      <c r="BT320" s="1048"/>
      <c r="BU320" s="1048"/>
      <c r="BV320" s="962"/>
      <c r="BW320" s="962"/>
    </row>
    <row s="1621" customFormat="1" customHeight="1" ht="14.25">
      <c r="A321" s="960"/>
      <c r="B321" s="961"/>
      <c r="C321" s="73"/>
      <c r="D321" s="73"/>
      <c r="E321" s="600">
        <v>15</v>
      </c>
      <c r="F321" s="50" cm="1" t="str">
        <f t="array" ref="F321:F321">OFFSET(E321,-1,1)</f>
        <v>2</v>
      </c>
      <c r="G321" s="73"/>
      <c r="H321" s="839"/>
      <c r="I321" s="839" t="s">
        <v>1804</v>
      </c>
      <c r="J321" s="73"/>
      <c r="K321" s="345" t="s">
        <v>1804</v>
      </c>
      <c r="L321" s="963" t="s">
        <v>1194</v>
      </c>
      <c r="M321" s="73"/>
      <c r="N321" s="73"/>
      <c r="O321" s="73"/>
      <c r="P321" s="73"/>
      <c r="Q321" s="73"/>
      <c r="R321" s="73"/>
      <c r="S321" s="73"/>
      <c r="T321" s="439" cm="1" t="str">
        <f t="array" ref="T321:T321">T320</f>
        <v>true</v>
      </c>
      <c r="U321" s="73"/>
      <c r="V321" s="73"/>
      <c r="W321" s="73"/>
      <c r="X321" s="1534"/>
      <c r="Y321" s="960"/>
      <c r="Z321" s="1465"/>
      <c r="AA321" s="960"/>
      <c r="AB321" s="267" t="s">
        <v>1805</v>
      </c>
      <c r="AC321" s="749" t="s">
        <v>1593</v>
      </c>
      <c r="AD321" s="747" t="s">
        <v>784</v>
      </c>
      <c r="AE321" s="4561"/>
      <c r="AF321" s="4561"/>
      <c r="AG321" s="4561"/>
      <c r="AH321" s="1099">
        <f>AG321-AF321</f>
        <v>0</v>
      </c>
      <c r="AI321" s="4561"/>
      <c r="AJ321" s="4561"/>
      <c r="AK321" s="1100"/>
      <c r="AL321" s="1100"/>
      <c r="AM321" s="1100"/>
      <c r="AN321" s="1100"/>
      <c r="AO321" s="1100"/>
      <c r="AP321" s="1100"/>
      <c r="AQ321" s="1100"/>
      <c r="AR321" s="1100"/>
      <c r="AS321" s="1100"/>
      <c r="AT321" s="4561"/>
      <c r="AU321" s="1100"/>
      <c r="AV321" s="1100"/>
      <c r="AW321" s="1100"/>
      <c r="AX321" s="1100"/>
      <c r="AY321" s="1100"/>
      <c r="AZ321" s="1100"/>
      <c r="BA321" s="1100"/>
      <c r="BB321" s="1100"/>
      <c r="BC321" s="1100"/>
      <c r="BD321" s="1099">
        <f>IF(AI321=0,0,(AT321-AI321)/AI321*100)</f>
        <v>0</v>
      </c>
      <c r="BE321" s="1100"/>
      <c r="BF321" s="1100"/>
      <c r="BG321" s="1100"/>
      <c r="BH321" s="1100"/>
      <c r="BI321" s="1100"/>
      <c r="BJ321" s="1100"/>
      <c r="BK321" s="1100"/>
      <c r="BL321" s="1100"/>
      <c r="BM321" s="1100"/>
      <c r="BN321" s="4617"/>
      <c r="BO321" s="4617"/>
      <c r="BP321" s="4617"/>
      <c r="BQ321" s="960"/>
      <c r="BR321" s="960"/>
      <c r="BS321" s="1046" t="s">
        <v>1594</v>
      </c>
      <c r="BT321" s="1048"/>
      <c r="BU321" s="1048"/>
      <c r="BV321" s="962"/>
      <c r="BW321" s="962"/>
    </row>
    <row s="1621" customFormat="1" customHeight="1" ht="21.75">
      <c r="A322" s="960"/>
      <c r="B322" s="961"/>
      <c r="C322" s="73"/>
      <c r="D322" s="73"/>
      <c r="E322" s="600">
        <v>22.5</v>
      </c>
      <c r="F322" s="50" cm="1" t="str">
        <f t="array" ref="F322:F322">OFFSET(E322,-1,1)</f>
        <v>2</v>
      </c>
      <c r="G322" s="73"/>
      <c r="H322" s="839"/>
      <c r="I322" s="839" t="s">
        <v>1222</v>
      </c>
      <c r="J322" s="73"/>
      <c r="K322" s="345" t="s">
        <v>1222</v>
      </c>
      <c r="L322" s="963" t="s">
        <v>448</v>
      </c>
      <c r="M322" s="73"/>
      <c r="N322" s="73"/>
      <c r="O322" s="73"/>
      <c r="P322" s="73"/>
      <c r="Q322" s="73"/>
      <c r="R322" s="73"/>
      <c r="S322" s="73"/>
      <c r="T322" s="439" cm="1" t="str">
        <f t="array" ref="T322:T322">T321</f>
        <v>true</v>
      </c>
      <c r="U322" s="73"/>
      <c r="V322" s="73"/>
      <c r="W322" s="73"/>
      <c r="X322" s="1534"/>
      <c r="Y322" s="960"/>
      <c r="Z322" s="1465"/>
      <c r="AA322" s="960"/>
      <c r="AB322" s="267" t="s">
        <v>1223</v>
      </c>
      <c r="AC322" s="746" t="s">
        <v>1806</v>
      </c>
      <c r="AD322" s="747" t="s">
        <v>784</v>
      </c>
      <c r="AE322" s="4561"/>
      <c r="AF322" s="4561"/>
      <c r="AG322" s="4561"/>
      <c r="AH322" s="1099">
        <f>AG322-AF322</f>
        <v>0</v>
      </c>
      <c r="AI322" s="4561"/>
      <c r="AJ322" s="4561"/>
      <c r="AK322" s="1100"/>
      <c r="AL322" s="1100"/>
      <c r="AM322" s="1100"/>
      <c r="AN322" s="1100"/>
      <c r="AO322" s="1100"/>
      <c r="AP322" s="1100"/>
      <c r="AQ322" s="1100"/>
      <c r="AR322" s="1100"/>
      <c r="AS322" s="1100"/>
      <c r="AT322" s="4561"/>
      <c r="AU322" s="1100"/>
      <c r="AV322" s="1100"/>
      <c r="AW322" s="1100"/>
      <c r="AX322" s="1100"/>
      <c r="AY322" s="1100"/>
      <c r="AZ322" s="1100"/>
      <c r="BA322" s="1100"/>
      <c r="BB322" s="1100"/>
      <c r="BC322" s="1100"/>
      <c r="BD322" s="1099">
        <f>IF(AI322=0,0,(AT322-AI322)/AI322*100)</f>
        <v>0</v>
      </c>
      <c r="BE322" s="1100"/>
      <c r="BF322" s="1100"/>
      <c r="BG322" s="1100"/>
      <c r="BH322" s="1100"/>
      <c r="BI322" s="1100"/>
      <c r="BJ322" s="1100"/>
      <c r="BK322" s="1100"/>
      <c r="BL322" s="1100"/>
      <c r="BM322" s="1100"/>
      <c r="BN322" s="4617"/>
      <c r="BO322" s="4617"/>
      <c r="BP322" s="4617"/>
      <c r="BQ322" s="960"/>
      <c r="BR322" s="960"/>
      <c r="BS322" s="1047" t="s">
        <v>1619</v>
      </c>
      <c r="BT322" s="1048"/>
      <c r="BU322" s="1048"/>
      <c r="BV322" s="962"/>
      <c r="BW322" s="962"/>
    </row>
    <row s="1621" customFormat="1" customHeight="1" ht="21.75">
      <c r="A323" s="960"/>
      <c r="B323" s="961"/>
      <c r="C323" s="73"/>
      <c r="D323" s="73"/>
      <c r="E323" s="600">
        <v>22.5</v>
      </c>
      <c r="F323" s="50" cm="1" t="str">
        <f t="array" ref="F323:F323">OFFSET(E323,-1,1)</f>
        <v>2</v>
      </c>
      <c r="G323" s="73"/>
      <c r="H323" s="839"/>
      <c r="I323" s="839" t="s">
        <v>1226</v>
      </c>
      <c r="J323" s="73"/>
      <c r="K323" s="345" t="s">
        <v>1226</v>
      </c>
      <c r="L323" s="963" t="s">
        <v>452</v>
      </c>
      <c r="M323" s="73"/>
      <c r="N323" s="73"/>
      <c r="O323" s="73"/>
      <c r="P323" s="73"/>
      <c r="Q323" s="73"/>
      <c r="R323" s="73"/>
      <c r="S323" s="73"/>
      <c r="T323" s="439" cm="1" t="str">
        <f t="array" ref="T323:T323">T322</f>
        <v>true</v>
      </c>
      <c r="U323" s="73"/>
      <c r="V323" s="73"/>
      <c r="W323" s="73"/>
      <c r="X323" s="1534"/>
      <c r="Y323" s="960"/>
      <c r="Z323" s="1465"/>
      <c r="AA323" s="960"/>
      <c r="AB323" s="267" t="s">
        <v>1227</v>
      </c>
      <c r="AC323" s="746" t="s">
        <v>1807</v>
      </c>
      <c r="AD323" s="747" t="s">
        <v>784</v>
      </c>
      <c r="AE323" s="1101">
        <f>AE324+AE325</f>
        <v>0</v>
      </c>
      <c r="AF323" s="1101">
        <f>AF324+AF325</f>
        <v>0</v>
      </c>
      <c r="AG323" s="1101">
        <f>AG324+AG325</f>
        <v>0</v>
      </c>
      <c r="AH323" s="1099">
        <f>AG323-AF323</f>
        <v>0</v>
      </c>
      <c r="AI323" s="1101">
        <f>AI324+AI325</f>
        <v>0</v>
      </c>
      <c r="AJ323" s="1101">
        <f>AJ324+AJ325</f>
        <v>0</v>
      </c>
      <c r="AK323" s="1100"/>
      <c r="AL323" s="1100"/>
      <c r="AM323" s="1100"/>
      <c r="AN323" s="1100"/>
      <c r="AO323" s="1100"/>
      <c r="AP323" s="1100"/>
      <c r="AQ323" s="1100"/>
      <c r="AR323" s="1100"/>
      <c r="AS323" s="1100"/>
      <c r="AT323" s="1101">
        <f>AT324+AT325</f>
        <v>0</v>
      </c>
      <c r="AU323" s="1100"/>
      <c r="AV323" s="1100"/>
      <c r="AW323" s="1100"/>
      <c r="AX323" s="1100"/>
      <c r="AY323" s="1100"/>
      <c r="AZ323" s="1100"/>
      <c r="BA323" s="1100"/>
      <c r="BB323" s="1100"/>
      <c r="BC323" s="1100"/>
      <c r="BD323" s="1099">
        <f>IF(AI323=0,0,(AT323-AI323)/AI323*100)</f>
        <v>0</v>
      </c>
      <c r="BE323" s="1100"/>
      <c r="BF323" s="1100"/>
      <c r="BG323" s="1100"/>
      <c r="BH323" s="1100"/>
      <c r="BI323" s="1100"/>
      <c r="BJ323" s="1100"/>
      <c r="BK323" s="1100"/>
      <c r="BL323" s="1100"/>
      <c r="BM323" s="1100"/>
      <c r="BN323" s="4617"/>
      <c r="BO323" s="4617"/>
      <c r="BP323" s="4617"/>
      <c r="BQ323" s="960"/>
      <c r="BR323" s="960"/>
      <c r="BS323" s="1047" t="s">
        <v>1808</v>
      </c>
      <c r="BT323" s="1048"/>
      <c r="BU323" s="1048"/>
      <c r="BV323" s="962"/>
      <c r="BW323" s="962"/>
    </row>
    <row s="1621" customFormat="1" customHeight="1" ht="14.25">
      <c r="A324" s="960"/>
      <c r="B324" s="961"/>
      <c r="C324" s="73"/>
      <c r="D324" s="73"/>
      <c r="E324" s="600">
        <v>15</v>
      </c>
      <c r="F324" s="50" cm="1" t="str">
        <f t="array" ref="F324:F324">OFFSET(E324,-1,1)</f>
        <v>2</v>
      </c>
      <c r="G324" s="341" t="s">
        <v>1038</v>
      </c>
      <c r="H324" s="839"/>
      <c r="I324" s="839" t="s">
        <v>1370</v>
      </c>
      <c r="J324" s="73"/>
      <c r="K324" s="345" t="s">
        <v>1370</v>
      </c>
      <c r="L324" s="963" t="s">
        <v>1246</v>
      </c>
      <c r="M324" s="73"/>
      <c r="N324" s="73"/>
      <c r="O324" s="73"/>
      <c r="P324" s="73"/>
      <c r="Q324" s="73"/>
      <c r="R324" s="73"/>
      <c r="S324" s="73"/>
      <c r="T324" s="439" cm="1" t="str">
        <f t="array" ref="T324:T324">T323</f>
        <v>true</v>
      </c>
      <c r="U324" s="73"/>
      <c r="V324" s="73"/>
      <c r="W324" s="73"/>
      <c r="X324" s="1534"/>
      <c r="Y324" s="960"/>
      <c r="Z324" s="1465"/>
      <c r="AA324" s="960"/>
      <c r="AB324" s="267" t="s">
        <v>1809</v>
      </c>
      <c r="AC324" s="749" t="s">
        <v>1622</v>
      </c>
      <c r="AD324" s="747" t="s">
        <v>784</v>
      </c>
      <c r="AE324" s="1099">
        <f>_xlfn.SUMIFS(ФОТ!AE$25:AE$102,ФОТ!$F$25:$F$102,$F324,ФОТ!$G$25:$G$102,$G324)</f>
        <v>0</v>
      </c>
      <c r="AF324" s="1099">
        <f>_xlfn.SUMIFS(ФОТ!AF$25:AF$102,ФОТ!$F$25:$F$102,$F324,ФОТ!$G$25:$G$102,$G324)</f>
        <v>0</v>
      </c>
      <c r="AG324" s="1099">
        <f>_xlfn.SUMIFS(ФОТ!AG$25:AG$102,ФОТ!$F$25:$F$102,$F324,ФОТ!$G$25:$G$102,$G324)</f>
        <v>0</v>
      </c>
      <c r="AH324" s="1099">
        <f>AG324-AF324</f>
        <v>0</v>
      </c>
      <c r="AI324" s="1099">
        <f>_xlfn.SUMIFS(ФОТ!AH$25:AH$102,ФОТ!$F$25:$F$102,$F324,ФОТ!$G$25:$G$102,$G324)</f>
        <v>0</v>
      </c>
      <c r="AJ324" s="1099">
        <f>_xlfn.SUMIFS(ФОТ!AI$25:AI$102,ФОТ!$F$25:$F$102,$F324,ФОТ!$G$25:$G$102,$G324)</f>
        <v>0</v>
      </c>
      <c r="AK324" s="1100"/>
      <c r="AL324" s="1100"/>
      <c r="AM324" s="1100"/>
      <c r="AN324" s="1100"/>
      <c r="AO324" s="1100"/>
      <c r="AP324" s="1100"/>
      <c r="AQ324" s="1100"/>
      <c r="AR324" s="1100"/>
      <c r="AS324" s="1100"/>
      <c r="AT324" s="1099">
        <f>_xlfn.SUMIFS(ФОТ!AJ$25:AJ$102,ФОТ!$F$25:$F$102,$F324,ФОТ!$G$25:$G$102,$G324)</f>
        <v>0</v>
      </c>
      <c r="AU324" s="1100"/>
      <c r="AV324" s="1100"/>
      <c r="AW324" s="1100"/>
      <c r="AX324" s="1100"/>
      <c r="AY324" s="1100"/>
      <c r="AZ324" s="1100"/>
      <c r="BA324" s="1100"/>
      <c r="BB324" s="1100"/>
      <c r="BC324" s="1100"/>
      <c r="BD324" s="1099">
        <f>IF(AI324=0,0,(AT324-AI324)/AI324*100)</f>
        <v>0</v>
      </c>
      <c r="BE324" s="1100"/>
      <c r="BF324" s="1100"/>
      <c r="BG324" s="1100"/>
      <c r="BH324" s="1100"/>
      <c r="BI324" s="1100"/>
      <c r="BJ324" s="1100"/>
      <c r="BK324" s="1100"/>
      <c r="BL324" s="1100"/>
      <c r="BM324" s="1100"/>
      <c r="BN324" s="4617"/>
      <c r="BO324" s="4619" t="str">
        <f>IF(_xlfn.IFERROR(INDEX(ФОТ!$K$26:$L$102,MATCH($F324&amp;"1komm",ФОТ!$K$26:$K$102,0),2),"")=0,"",_xlfn.IFERROR(INDEX(ФОТ!$K$26:$L$102,MATCH($F324&amp;"1komm",ФОТ!$K$26:$K$102,0),2),""))</f>
        <v/>
      </c>
      <c r="BP324" s="4617"/>
      <c r="BQ324" s="960"/>
      <c r="BR324" s="960"/>
      <c r="BS324" s="1046" t="s">
        <v>1623</v>
      </c>
      <c r="BT324" s="1048"/>
      <c r="BU324" s="1048"/>
      <c r="BV324" s="962"/>
      <c r="BW324" s="962"/>
    </row>
    <row s="1621" customFormat="1" customHeight="1" ht="21.75">
      <c r="A325" s="960"/>
      <c r="B325" s="961"/>
      <c r="C325" s="73"/>
      <c r="D325" s="73"/>
      <c r="E325" s="600">
        <v>22.5</v>
      </c>
      <c r="F325" s="50" cm="1" t="str">
        <f t="array" ref="F325:F325">OFFSET(E325,-1,1)</f>
        <v>2</v>
      </c>
      <c r="G325" s="341" t="s">
        <v>1050</v>
      </c>
      <c r="H325" s="839"/>
      <c r="I325" s="839" t="s">
        <v>1374</v>
      </c>
      <c r="J325" s="73"/>
      <c r="K325" s="345" t="s">
        <v>1374</v>
      </c>
      <c r="L325" s="963" t="s">
        <v>1247</v>
      </c>
      <c r="M325" s="73"/>
      <c r="N325" s="73"/>
      <c r="O325" s="73"/>
      <c r="P325" s="73"/>
      <c r="Q325" s="73"/>
      <c r="R325" s="73"/>
      <c r="S325" s="73"/>
      <c r="T325" s="439" cm="1" t="str">
        <f t="array" ref="T325:T325">T324</f>
        <v>true</v>
      </c>
      <c r="U325" s="73"/>
      <c r="V325" s="73"/>
      <c r="W325" s="73"/>
      <c r="X325" s="1534"/>
      <c r="Y325" s="960"/>
      <c r="Z325" s="1465"/>
      <c r="AA325" s="960"/>
      <c r="AB325" s="267" t="s">
        <v>1810</v>
      </c>
      <c r="AC325" s="749" t="s">
        <v>1811</v>
      </c>
      <c r="AD325" s="747" t="s">
        <v>784</v>
      </c>
      <c r="AE325" s="1099">
        <f>_xlfn.SUMIFS(ФОТ!AE$25:AE$102,ФОТ!$F$25:$F$102,$F325,ФОТ!$G$25:$G$102,$G325)</f>
        <v>0</v>
      </c>
      <c r="AF325" s="1099">
        <f>_xlfn.SUMIFS(ФОТ!AF$25:AF$102,ФОТ!$F$25:$F$102,$F325,ФОТ!$G$25:$G$102,$G325)</f>
        <v>0</v>
      </c>
      <c r="AG325" s="1099">
        <f>_xlfn.SUMIFS(ФОТ!AG$25:AG$102,ФОТ!$F$25:$F$102,$F325,ФОТ!$G$25:$G$102,$G325)</f>
        <v>0</v>
      </c>
      <c r="AH325" s="1099">
        <f>AG325-AF325</f>
        <v>0</v>
      </c>
      <c r="AI325" s="1099">
        <f>_xlfn.SUMIFS(ФОТ!AH$25:AH$102,ФОТ!$F$25:$F$102,$F325,ФОТ!$G$25:$G$102,$G325)</f>
        <v>0</v>
      </c>
      <c r="AJ325" s="1099">
        <f>_xlfn.SUMIFS(ФОТ!AI$25:AI$102,ФОТ!$F$25:$F$102,$F325,ФОТ!$G$25:$G$102,$G325)</f>
        <v>0</v>
      </c>
      <c r="AK325" s="1100"/>
      <c r="AL325" s="1100"/>
      <c r="AM325" s="1100"/>
      <c r="AN325" s="1100"/>
      <c r="AO325" s="1100"/>
      <c r="AP325" s="1100"/>
      <c r="AQ325" s="1100"/>
      <c r="AR325" s="1100"/>
      <c r="AS325" s="1100"/>
      <c r="AT325" s="1099">
        <f>_xlfn.SUMIFS(ФОТ!AJ$25:AJ$102,ФОТ!$F$25:$F$102,$F325,ФОТ!$G$25:$G$102,$G325)</f>
        <v>0</v>
      </c>
      <c r="AU325" s="1100"/>
      <c r="AV325" s="1100"/>
      <c r="AW325" s="1100"/>
      <c r="AX325" s="1100"/>
      <c r="AY325" s="1100"/>
      <c r="AZ325" s="1100"/>
      <c r="BA325" s="1100"/>
      <c r="BB325" s="1100"/>
      <c r="BC325" s="1100"/>
      <c r="BD325" s="1099">
        <f>IF(AI325=0,0,(AT325-AI325)/AI325*100)</f>
        <v>0</v>
      </c>
      <c r="BE325" s="1100"/>
      <c r="BF325" s="1100"/>
      <c r="BG325" s="1100"/>
      <c r="BH325" s="1100"/>
      <c r="BI325" s="1100"/>
      <c r="BJ325" s="1100"/>
      <c r="BK325" s="1100"/>
      <c r="BL325" s="1100"/>
      <c r="BM325" s="1100"/>
      <c r="BN325" s="4617"/>
      <c r="BO325" s="4619" t="str">
        <f>IF(_xlfn.IFERROR(INDEX(ФОТ!$K$26:$L$102,MATCH($F325&amp;"2komm",ФОТ!$K$26:$K$102,0),2),"")=0,"",_xlfn.IFERROR(INDEX(ФОТ!$K$26:$L$102,MATCH($F325&amp;"2komm",ФОТ!$K$26:$K$102,0),2),""))</f>
        <v/>
      </c>
      <c r="BP325" s="4617"/>
      <c r="BQ325" s="960"/>
      <c r="BR325" s="960"/>
      <c r="BS325" s="1046" t="s">
        <v>1625</v>
      </c>
      <c r="BT325" s="1048"/>
      <c r="BU325" s="1048"/>
      <c r="BV325" s="962"/>
      <c r="BW325" s="962"/>
    </row>
    <row s="1621" customFormat="1" customHeight="1" ht="14.625">
      <c r="A326" s="960"/>
      <c r="B326" s="961"/>
      <c r="C326" s="73"/>
      <c r="D326" s="73"/>
      <c r="E326" s="600">
        <v>15</v>
      </c>
      <c r="F326" s="50" cm="1" t="str">
        <f t="array" ref="F326:F326">OFFSET(E326,-1,1)</f>
        <v>2</v>
      </c>
      <c r="G326" s="73"/>
      <c r="H326" s="839"/>
      <c r="I326" s="839" t="s">
        <v>1385</v>
      </c>
      <c r="J326" s="73"/>
      <c r="K326" s="345" t="s">
        <v>1385</v>
      </c>
      <c r="L326" s="963" t="s">
        <v>1627</v>
      </c>
      <c r="M326" s="73"/>
      <c r="N326" s="73"/>
      <c r="O326" s="73"/>
      <c r="P326" s="73"/>
      <c r="Q326" s="73"/>
      <c r="R326" s="73"/>
      <c r="S326" s="73"/>
      <c r="T326" s="439" cm="1" t="str">
        <f t="array" ref="T326:T326">T325</f>
        <v>true</v>
      </c>
      <c r="U326" s="73"/>
      <c r="V326" s="73"/>
      <c r="W326" s="73"/>
      <c r="X326" s="1534"/>
      <c r="Y326" s="960"/>
      <c r="Z326" s="1465"/>
      <c r="AA326" s="960"/>
      <c r="AB326" s="267" t="s">
        <v>1601</v>
      </c>
      <c r="AC326" s="746" t="s">
        <v>1812</v>
      </c>
      <c r="AD326" s="747" t="s">
        <v>784</v>
      </c>
      <c r="AE326" s="4561">
        <v>308.4073518401</v>
      </c>
      <c r="AF326" s="4561">
        <v>400.9146104763</v>
      </c>
      <c r="AG326" s="4561"/>
      <c r="AH326" s="1099">
        <f>AG326-AF326</f>
        <v>-400.9146104763</v>
      </c>
      <c r="AI326" s="4561"/>
      <c r="AJ326" s="4561"/>
      <c r="AK326" s="1100"/>
      <c r="AL326" s="1100"/>
      <c r="AM326" s="1100"/>
      <c r="AN326" s="1100"/>
      <c r="AO326" s="1100"/>
      <c r="AP326" s="1100"/>
      <c r="AQ326" s="1100"/>
      <c r="AR326" s="1100"/>
      <c r="AS326" s="1100"/>
      <c r="AT326" s="4561"/>
      <c r="AU326" s="1100"/>
      <c r="AV326" s="1100"/>
      <c r="AW326" s="1100"/>
      <c r="AX326" s="1100"/>
      <c r="AY326" s="1100"/>
      <c r="AZ326" s="1100"/>
      <c r="BA326" s="1100"/>
      <c r="BB326" s="1100"/>
      <c r="BC326" s="1100"/>
      <c r="BD326" s="1099">
        <f>IF(AI326=0,0,(AT326-AI326)/AI326*100)</f>
        <v>0</v>
      </c>
      <c r="BE326" s="1100"/>
      <c r="BF326" s="1100"/>
      <c r="BG326" s="1100"/>
      <c r="BH326" s="1100"/>
      <c r="BI326" s="1100"/>
      <c r="BJ326" s="1100"/>
      <c r="BK326" s="1100"/>
      <c r="BL326" s="1100"/>
      <c r="BM326" s="1100"/>
      <c r="BN326" s="4617"/>
      <c r="BO326" s="4617"/>
      <c r="BP326" s="4617"/>
      <c r="BQ326" s="960"/>
      <c r="BR326" s="960"/>
      <c r="BS326" s="1047" t="s">
        <v>1630</v>
      </c>
      <c r="BT326" s="1048"/>
      <c r="BU326" s="1048"/>
      <c r="BV326" s="962"/>
      <c r="BW326" s="962"/>
    </row>
    <row s="1621" customFormat="1" customHeight="1" ht="14.25">
      <c r="A327" s="960"/>
      <c r="B327" s="961"/>
      <c r="C327" s="73"/>
      <c r="D327" s="73"/>
      <c r="E327" s="600">
        <v>15</v>
      </c>
      <c r="F327" s="50" cm="1" t="str">
        <f t="array" ref="F327:F327">OFFSET(E327,-1,1)</f>
        <v>2</v>
      </c>
      <c r="G327" s="73"/>
      <c r="H327" s="839"/>
      <c r="I327" s="839" t="s">
        <v>1389</v>
      </c>
      <c r="J327" s="73"/>
      <c r="K327" s="345" t="s">
        <v>1389</v>
      </c>
      <c r="L327" s="963" t="s">
        <v>1631</v>
      </c>
      <c r="M327" s="960"/>
      <c r="N327" s="73"/>
      <c r="O327" s="73"/>
      <c r="P327" s="73"/>
      <c r="Q327" s="73"/>
      <c r="R327" s="73"/>
      <c r="S327" s="73"/>
      <c r="T327" s="439" cm="1" t="str">
        <f t="array" ref="T327:T327">T326</f>
        <v>true</v>
      </c>
      <c r="U327" s="73"/>
      <c r="V327" s="73"/>
      <c r="W327" s="73"/>
      <c r="X327" s="1534"/>
      <c r="Y327" s="960"/>
      <c r="Z327" s="1465"/>
      <c r="AA327" s="960"/>
      <c r="AB327" s="267" t="s">
        <v>1603</v>
      </c>
      <c r="AC327" s="746" t="s">
        <v>1813</v>
      </c>
      <c r="AD327" s="267" t="s">
        <v>784</v>
      </c>
      <c r="AE327" s="1101">
        <f>SUM(AE328:AE334)</f>
        <v>681.8494</v>
      </c>
      <c r="AF327" s="1101">
        <f>SUM(AF328:AF334)</f>
        <v>2559.4417880517</v>
      </c>
      <c r="AG327" s="1101">
        <f>SUM(AG328:AG334)</f>
        <v>0</v>
      </c>
      <c r="AH327" s="1099">
        <f>AG327-AF327</f>
        <v>-2559.4417880517</v>
      </c>
      <c r="AI327" s="1101">
        <f>SUM(AI328:AI334)</f>
        <v>0</v>
      </c>
      <c r="AJ327" s="1101">
        <f>SUM(AJ328:AJ334)</f>
        <v>0</v>
      </c>
      <c r="AK327" s="1100"/>
      <c r="AL327" s="1100"/>
      <c r="AM327" s="1100"/>
      <c r="AN327" s="1100"/>
      <c r="AO327" s="1100"/>
      <c r="AP327" s="1100"/>
      <c r="AQ327" s="1100"/>
      <c r="AR327" s="1100"/>
      <c r="AS327" s="1100"/>
      <c r="AT327" s="1101">
        <f>SUM(AT328:AT334)</f>
        <v>0</v>
      </c>
      <c r="AU327" s="1100"/>
      <c r="AV327" s="1100"/>
      <c r="AW327" s="1100"/>
      <c r="AX327" s="1100"/>
      <c r="AY327" s="1100"/>
      <c r="AZ327" s="1100"/>
      <c r="BA327" s="1100"/>
      <c r="BB327" s="1100"/>
      <c r="BC327" s="1100"/>
      <c r="BD327" s="1099">
        <f>IF(AI327=0,0,(AT327-AI327)/AI327*100)</f>
        <v>0</v>
      </c>
      <c r="BE327" s="1100"/>
      <c r="BF327" s="1100"/>
      <c r="BG327" s="1100"/>
      <c r="BH327" s="1100"/>
      <c r="BI327" s="1100"/>
      <c r="BJ327" s="1100"/>
      <c r="BK327" s="1100"/>
      <c r="BL327" s="1100"/>
      <c r="BM327" s="1100"/>
      <c r="BN327" s="4617"/>
      <c r="BO327" s="4617"/>
      <c r="BP327" s="4617"/>
      <c r="BQ327" s="960"/>
      <c r="BR327" s="960"/>
      <c r="BS327" s="1047" t="s">
        <v>1814</v>
      </c>
      <c r="BT327" s="1048"/>
      <c r="BU327" s="1048"/>
      <c r="BV327" s="962"/>
      <c r="BW327" s="962"/>
    </row>
    <row s="1621" customFormat="1" customHeight="1" ht="14.25">
      <c r="A328" s="960"/>
      <c r="B328" s="961"/>
      <c r="C328" s="73"/>
      <c r="D328" s="73"/>
      <c r="E328" s="600">
        <v>15</v>
      </c>
      <c r="F328" s="50" cm="1" t="str">
        <f t="array" ref="F328:F328">OFFSET(E328,-1,1)</f>
        <v>2</v>
      </c>
      <c r="G328" s="73"/>
      <c r="H328" s="839"/>
      <c r="I328" s="839" t="s">
        <v>1815</v>
      </c>
      <c r="J328" s="73"/>
      <c r="K328" s="345" t="s">
        <v>1815</v>
      </c>
      <c r="L328" s="963" t="s">
        <v>1631</v>
      </c>
      <c r="M328" s="73" t="s">
        <v>1639</v>
      </c>
      <c r="N328" s="73"/>
      <c r="O328" s="73"/>
      <c r="P328" s="73"/>
      <c r="Q328" s="73"/>
      <c r="R328" s="73"/>
      <c r="S328" s="73"/>
      <c r="T328" s="439" cm="1" t="str">
        <f t="array" ref="T328:T328">T327</f>
        <v>true</v>
      </c>
      <c r="U328" s="73"/>
      <c r="V328" s="73"/>
      <c r="W328" s="73"/>
      <c r="X328" s="1534"/>
      <c r="Y328" s="960"/>
      <c r="Z328" s="1465"/>
      <c r="AA328" s="960"/>
      <c r="AB328" s="267" t="s">
        <v>1816</v>
      </c>
      <c r="AC328" s="749" t="s">
        <v>1817</v>
      </c>
      <c r="AD328" s="267" t="s">
        <v>784</v>
      </c>
      <c r="AE328" s="4561"/>
      <c r="AF328" s="4561"/>
      <c r="AG328" s="4561"/>
      <c r="AH328" s="1099">
        <f>AG328-AF328</f>
        <v>0</v>
      </c>
      <c r="AI328" s="4561"/>
      <c r="AJ328" s="4561"/>
      <c r="AK328" s="1100"/>
      <c r="AL328" s="1100"/>
      <c r="AM328" s="1100"/>
      <c r="AN328" s="1100"/>
      <c r="AO328" s="1100"/>
      <c r="AP328" s="1100"/>
      <c r="AQ328" s="1100"/>
      <c r="AR328" s="1100"/>
      <c r="AS328" s="1100"/>
      <c r="AT328" s="4561"/>
      <c r="AU328" s="1100"/>
      <c r="AV328" s="1100"/>
      <c r="AW328" s="1100"/>
      <c r="AX328" s="1100"/>
      <c r="AY328" s="1100"/>
      <c r="AZ328" s="1100"/>
      <c r="BA328" s="1100"/>
      <c r="BB328" s="1100"/>
      <c r="BC328" s="1100"/>
      <c r="BD328" s="1099">
        <f>IF(AI328=0,0,(AT328-AI328)/AI328*100)</f>
        <v>0</v>
      </c>
      <c r="BE328" s="1100"/>
      <c r="BF328" s="1100"/>
      <c r="BG328" s="1100"/>
      <c r="BH328" s="1100"/>
      <c r="BI328" s="1100"/>
      <c r="BJ328" s="1100"/>
      <c r="BK328" s="1100"/>
      <c r="BL328" s="1100"/>
      <c r="BM328" s="1100"/>
      <c r="BN328" s="4617"/>
      <c r="BO328" s="4617"/>
      <c r="BP328" s="4617"/>
      <c r="BQ328" s="960"/>
      <c r="BR328" s="960"/>
      <c r="BS328" s="1046" t="s">
        <v>1642</v>
      </c>
      <c r="BT328" s="1048"/>
      <c r="BU328" s="1048"/>
      <c r="BV328" s="962"/>
      <c r="BW328" s="962"/>
    </row>
    <row s="1621" customFormat="1" customHeight="1" ht="21.75">
      <c r="A329" s="960"/>
      <c r="B329" s="961"/>
      <c r="C329" s="73"/>
      <c r="D329" s="73"/>
      <c r="E329" s="600">
        <v>22.5</v>
      </c>
      <c r="F329" s="50" cm="1" t="str">
        <f t="array" ref="F329:F329">OFFSET(E329,-1,1)</f>
        <v>2</v>
      </c>
      <c r="G329" s="73"/>
      <c r="H329" s="839"/>
      <c r="I329" s="839" t="s">
        <v>1818</v>
      </c>
      <c r="J329" s="73"/>
      <c r="K329" s="345" t="s">
        <v>1818</v>
      </c>
      <c r="L329" s="963" t="s">
        <v>1631</v>
      </c>
      <c r="M329" s="73" t="s">
        <v>1635</v>
      </c>
      <c r="N329" s="73"/>
      <c r="O329" s="73"/>
      <c r="P329" s="73"/>
      <c r="Q329" s="73"/>
      <c r="R329" s="73"/>
      <c r="S329" s="73"/>
      <c r="T329" s="439" cm="1" t="str">
        <f t="array" ref="T329:T329">T328</f>
        <v>true</v>
      </c>
      <c r="U329" s="73"/>
      <c r="V329" s="73"/>
      <c r="W329" s="73"/>
      <c r="X329" s="1534"/>
      <c r="Y329" s="960"/>
      <c r="Z329" s="1465"/>
      <c r="AA329" s="960"/>
      <c r="AB329" s="267" t="s">
        <v>1819</v>
      </c>
      <c r="AC329" s="749" t="s">
        <v>1820</v>
      </c>
      <c r="AD329" s="267" t="s">
        <v>784</v>
      </c>
      <c r="AE329" s="4561"/>
      <c r="AF329" s="4561"/>
      <c r="AG329" s="4561"/>
      <c r="AH329" s="1099">
        <f>AG329-AF329</f>
        <v>0</v>
      </c>
      <c r="AI329" s="4561"/>
      <c r="AJ329" s="4561"/>
      <c r="AK329" s="1100"/>
      <c r="AL329" s="1100"/>
      <c r="AM329" s="1100"/>
      <c r="AN329" s="1100"/>
      <c r="AO329" s="1100"/>
      <c r="AP329" s="1100"/>
      <c r="AQ329" s="1100"/>
      <c r="AR329" s="1100"/>
      <c r="AS329" s="1100"/>
      <c r="AT329" s="4561"/>
      <c r="AU329" s="1100"/>
      <c r="AV329" s="1100"/>
      <c r="AW329" s="1100"/>
      <c r="AX329" s="1100"/>
      <c r="AY329" s="1100"/>
      <c r="AZ329" s="1100"/>
      <c r="BA329" s="1100"/>
      <c r="BB329" s="1100"/>
      <c r="BC329" s="1100"/>
      <c r="BD329" s="1099">
        <f>IF(AI329=0,0,(AT329-AI329)/AI329*100)</f>
        <v>0</v>
      </c>
      <c r="BE329" s="1100"/>
      <c r="BF329" s="1100"/>
      <c r="BG329" s="1100"/>
      <c r="BH329" s="1100"/>
      <c r="BI329" s="1100"/>
      <c r="BJ329" s="1100"/>
      <c r="BK329" s="1100"/>
      <c r="BL329" s="1100"/>
      <c r="BM329" s="1100"/>
      <c r="BN329" s="4617"/>
      <c r="BO329" s="4617"/>
      <c r="BP329" s="4617"/>
      <c r="BQ329" s="960"/>
      <c r="BR329" s="960"/>
      <c r="BS329" s="1048" t="s">
        <v>1821</v>
      </c>
      <c r="BT329" s="1048"/>
      <c r="BU329" s="1048"/>
      <c r="BV329" s="962"/>
      <c r="BW329" s="962"/>
    </row>
    <row s="1621" customFormat="1" customHeight="1" ht="21.75">
      <c r="A330" s="960"/>
      <c r="B330" s="961"/>
      <c r="C330" s="73"/>
      <c r="D330" s="73"/>
      <c r="E330" s="600">
        <v>22.5</v>
      </c>
      <c r="F330" s="50" cm="1" t="str">
        <f t="array" ref="F330:F330">OFFSET(E330,-1,1)</f>
        <v>2</v>
      </c>
      <c r="G330" s="73"/>
      <c r="H330" s="839"/>
      <c r="I330" s="839" t="s">
        <v>1822</v>
      </c>
      <c r="J330" s="73"/>
      <c r="K330" s="345" t="s">
        <v>1822</v>
      </c>
      <c r="L330" s="960"/>
      <c r="M330" s="960"/>
      <c r="N330" s="73"/>
      <c r="O330" s="73"/>
      <c r="P330" s="73"/>
      <c r="Q330" s="73"/>
      <c r="R330" s="73"/>
      <c r="S330" s="73"/>
      <c r="T330" s="439" cm="1" t="str">
        <f t="array" ref="T330:T330">T329</f>
        <v>true</v>
      </c>
      <c r="U330" s="73"/>
      <c r="V330" s="73"/>
      <c r="W330" s="73"/>
      <c r="X330" s="1534"/>
      <c r="Y330" s="960"/>
      <c r="Z330" s="1465"/>
      <c r="AA330" s="960"/>
      <c r="AB330" s="267" t="s">
        <v>1823</v>
      </c>
      <c r="AC330" s="750" t="s">
        <v>1824</v>
      </c>
      <c r="AD330" s="267" t="s">
        <v>784</v>
      </c>
      <c r="AE330" s="4561"/>
      <c r="AF330" s="4561"/>
      <c r="AG330" s="4561"/>
      <c r="AH330" s="1099">
        <f>AG330-AF330</f>
        <v>0</v>
      </c>
      <c r="AI330" s="4561"/>
      <c r="AJ330" s="4561"/>
      <c r="AK330" s="1100"/>
      <c r="AL330" s="1100"/>
      <c r="AM330" s="1100"/>
      <c r="AN330" s="1100"/>
      <c r="AO330" s="1100"/>
      <c r="AP330" s="1100"/>
      <c r="AQ330" s="1100"/>
      <c r="AR330" s="1100"/>
      <c r="AS330" s="1100"/>
      <c r="AT330" s="4561"/>
      <c r="AU330" s="1100"/>
      <c r="AV330" s="1100"/>
      <c r="AW330" s="1100"/>
      <c r="AX330" s="1100"/>
      <c r="AY330" s="1100"/>
      <c r="AZ330" s="1100"/>
      <c r="BA330" s="1100"/>
      <c r="BB330" s="1100"/>
      <c r="BC330" s="1100"/>
      <c r="BD330" s="1099">
        <f>IF(AI330=0,0,(AT330-AI330)/AI330*100)</f>
        <v>0</v>
      </c>
      <c r="BE330" s="1100"/>
      <c r="BF330" s="1100"/>
      <c r="BG330" s="1100"/>
      <c r="BH330" s="1100"/>
      <c r="BI330" s="1100"/>
      <c r="BJ330" s="1100"/>
      <c r="BK330" s="1100"/>
      <c r="BL330" s="1100"/>
      <c r="BM330" s="1100"/>
      <c r="BN330" s="4617"/>
      <c r="BO330" s="4617"/>
      <c r="BP330" s="4617"/>
      <c r="BQ330" s="960"/>
      <c r="BR330" s="960"/>
      <c r="BS330" s="1048" t="s">
        <v>1825</v>
      </c>
      <c r="BT330" s="1048"/>
      <c r="BU330" s="1048"/>
      <c r="BV330" s="962"/>
      <c r="BW330" s="962"/>
    </row>
    <row s="1621" customFormat="1" customHeight="1" ht="21.75">
      <c r="A331" s="960"/>
      <c r="B331" s="961"/>
      <c r="C331" s="73"/>
      <c r="D331" s="73"/>
      <c r="E331" s="600">
        <v>22.5</v>
      </c>
      <c r="F331" s="50" cm="1" t="str">
        <f t="array" ref="F331:F331">OFFSET(E331,-1,1)</f>
        <v>2</v>
      </c>
      <c r="G331" s="73"/>
      <c r="H331" s="839"/>
      <c r="I331" s="839" t="s">
        <v>1826</v>
      </c>
      <c r="J331" s="73"/>
      <c r="K331" s="345" t="s">
        <v>1826</v>
      </c>
      <c r="L331" s="963"/>
      <c r="M331" s="960"/>
      <c r="N331" s="73"/>
      <c r="O331" s="73"/>
      <c r="P331" s="73"/>
      <c r="Q331" s="73"/>
      <c r="R331" s="73"/>
      <c r="S331" s="73"/>
      <c r="T331" s="439" cm="1" t="str">
        <f t="array" ref="T331:T331">T330</f>
        <v>true</v>
      </c>
      <c r="U331" s="73"/>
      <c r="V331" s="73"/>
      <c r="W331" s="73"/>
      <c r="X331" s="1534"/>
      <c r="Y331" s="960"/>
      <c r="Z331" s="1465"/>
      <c r="AA331" s="960"/>
      <c r="AB331" s="267" t="s">
        <v>1827</v>
      </c>
      <c r="AC331" s="750" t="s">
        <v>1828</v>
      </c>
      <c r="AD331" s="267" t="s">
        <v>784</v>
      </c>
      <c r="AE331" s="4561"/>
      <c r="AF331" s="4561"/>
      <c r="AG331" s="4561"/>
      <c r="AH331" s="1099">
        <f>AG331-AF331</f>
        <v>0</v>
      </c>
      <c r="AI331" s="4561"/>
      <c r="AJ331" s="4561"/>
      <c r="AK331" s="1100"/>
      <c r="AL331" s="1100"/>
      <c r="AM331" s="1100"/>
      <c r="AN331" s="1100"/>
      <c r="AO331" s="1100"/>
      <c r="AP331" s="1100"/>
      <c r="AQ331" s="1100"/>
      <c r="AR331" s="1100"/>
      <c r="AS331" s="1100"/>
      <c r="AT331" s="4561"/>
      <c r="AU331" s="1100"/>
      <c r="AV331" s="1100"/>
      <c r="AW331" s="1100"/>
      <c r="AX331" s="1100"/>
      <c r="AY331" s="1100"/>
      <c r="AZ331" s="1100"/>
      <c r="BA331" s="1100"/>
      <c r="BB331" s="1100"/>
      <c r="BC331" s="1100"/>
      <c r="BD331" s="1099">
        <f>IF(AI331=0,0,(AT331-AI331)/AI331*100)</f>
        <v>0</v>
      </c>
      <c r="BE331" s="1100"/>
      <c r="BF331" s="1100"/>
      <c r="BG331" s="1100"/>
      <c r="BH331" s="1100"/>
      <c r="BI331" s="1100"/>
      <c r="BJ331" s="1100"/>
      <c r="BK331" s="1100"/>
      <c r="BL331" s="1100"/>
      <c r="BM331" s="1100"/>
      <c r="BN331" s="4617"/>
      <c r="BO331" s="4617"/>
      <c r="BP331" s="4617"/>
      <c r="BQ331" s="960"/>
      <c r="BR331" s="960"/>
      <c r="BS331" s="1048" t="s">
        <v>1829</v>
      </c>
      <c r="BT331" s="1048"/>
      <c r="BU331" s="1048"/>
      <c r="BV331" s="962"/>
      <c r="BW331" s="962"/>
    </row>
    <row s="1621" customFormat="1" customHeight="1" ht="43.5">
      <c r="A332" s="960"/>
      <c r="B332" s="961"/>
      <c r="C332" s="73"/>
      <c r="D332" s="73"/>
      <c r="E332" s="600">
        <v>45</v>
      </c>
      <c r="F332" s="50" cm="1" t="str">
        <f t="array" ref="F332:F332">OFFSET(E332,-1,1)</f>
        <v>2</v>
      </c>
      <c r="G332" s="73"/>
      <c r="H332" s="839"/>
      <c r="I332" s="839" t="s">
        <v>1830</v>
      </c>
      <c r="J332" s="73"/>
      <c r="K332" s="345" t="s">
        <v>1830</v>
      </c>
      <c r="L332" s="963" t="s">
        <v>1631</v>
      </c>
      <c r="M332" s="73" t="s">
        <v>1643</v>
      </c>
      <c r="N332" s="73"/>
      <c r="O332" s="73"/>
      <c r="P332" s="73"/>
      <c r="Q332" s="73"/>
      <c r="R332" s="73"/>
      <c r="S332" s="73"/>
      <c r="T332" s="439" cm="1" t="str">
        <f t="array" ref="T332:T332">T331</f>
        <v>true</v>
      </c>
      <c r="U332" s="73"/>
      <c r="V332" s="73"/>
      <c r="W332" s="73"/>
      <c r="X332" s="1534"/>
      <c r="Y332" s="960"/>
      <c r="Z332" s="1465"/>
      <c r="AA332" s="960"/>
      <c r="AB332" s="267" t="s">
        <v>1831</v>
      </c>
      <c r="AC332" s="749" t="s">
        <v>1832</v>
      </c>
      <c r="AD332" s="267" t="s">
        <v>784</v>
      </c>
      <c r="AE332" s="4561"/>
      <c r="AF332" s="4561"/>
      <c r="AG332" s="4561"/>
      <c r="AH332" s="1099">
        <f>AG332-AF332</f>
        <v>0</v>
      </c>
      <c r="AI332" s="4561"/>
      <c r="AJ332" s="4561"/>
      <c r="AK332" s="1100"/>
      <c r="AL332" s="1100"/>
      <c r="AM332" s="1100"/>
      <c r="AN332" s="1100"/>
      <c r="AO332" s="1100"/>
      <c r="AP332" s="1100"/>
      <c r="AQ332" s="1100"/>
      <c r="AR332" s="1100"/>
      <c r="AS332" s="1100"/>
      <c r="AT332" s="4561"/>
      <c r="AU332" s="1100"/>
      <c r="AV332" s="1100"/>
      <c r="AW332" s="1100"/>
      <c r="AX332" s="1100"/>
      <c r="AY332" s="1100"/>
      <c r="AZ332" s="1100"/>
      <c r="BA332" s="1100"/>
      <c r="BB332" s="1100"/>
      <c r="BC332" s="1100"/>
      <c r="BD332" s="1099">
        <f>IF(AI332=0,0,(AT332-AI332)/AI332*100)</f>
        <v>0</v>
      </c>
      <c r="BE332" s="1100"/>
      <c r="BF332" s="1100"/>
      <c r="BG332" s="1100"/>
      <c r="BH332" s="1100"/>
      <c r="BI332" s="1100"/>
      <c r="BJ332" s="1100"/>
      <c r="BK332" s="1100"/>
      <c r="BL332" s="1100"/>
      <c r="BM332" s="1100"/>
      <c r="BN332" s="4617"/>
      <c r="BO332" s="4617"/>
      <c r="BP332" s="4617"/>
      <c r="BQ332" s="960"/>
      <c r="BR332" s="960"/>
      <c r="BS332" s="1048" t="s">
        <v>1646</v>
      </c>
      <c r="BT332" s="1048"/>
      <c r="BU332" s="1048"/>
      <c r="BV332" s="962"/>
      <c r="BW332" s="962"/>
    </row>
    <row s="1621" customFormat="1" customHeight="1" ht="14.25">
      <c r="A333" s="960"/>
      <c r="B333" s="961"/>
      <c r="C333" s="73"/>
      <c r="D333" s="73"/>
      <c r="E333" s="600">
        <v>15</v>
      </c>
      <c r="F333" s="50" cm="1" t="str">
        <f t="array" ref="F333:F333">OFFSET(E333,-1,1)</f>
        <v>2</v>
      </c>
      <c r="G333" s="73"/>
      <c r="H333" s="839"/>
      <c r="I333" s="839" t="s">
        <v>1833</v>
      </c>
      <c r="J333" s="73"/>
      <c r="K333" s="345" t="s">
        <v>1833</v>
      </c>
      <c r="L333" s="963" t="s">
        <v>1631</v>
      </c>
      <c r="M333" s="73" t="s">
        <v>1647</v>
      </c>
      <c r="N333" s="73"/>
      <c r="O333" s="73"/>
      <c r="P333" s="73"/>
      <c r="Q333" s="73"/>
      <c r="R333" s="73"/>
      <c r="S333" s="73"/>
      <c r="T333" s="439" cm="1" t="str">
        <f t="array" ref="T333:T333">T332</f>
        <v>true</v>
      </c>
      <c r="U333" s="73"/>
      <c r="V333" s="73"/>
      <c r="W333" s="73"/>
      <c r="X333" s="1534"/>
      <c r="Y333" s="960"/>
      <c r="Z333" s="1465"/>
      <c r="AA333" s="960"/>
      <c r="AB333" s="267" t="s">
        <v>1834</v>
      </c>
      <c r="AC333" s="749" t="s">
        <v>1649</v>
      </c>
      <c r="AD333" s="267" t="s">
        <v>784</v>
      </c>
      <c r="AE333" s="4561"/>
      <c r="AF333" s="4561"/>
      <c r="AG333" s="4561"/>
      <c r="AH333" s="1099">
        <f>AG333-AF333</f>
        <v>0</v>
      </c>
      <c r="AI333" s="4561"/>
      <c r="AJ333" s="4561"/>
      <c r="AK333" s="1100"/>
      <c r="AL333" s="1100"/>
      <c r="AM333" s="1100"/>
      <c r="AN333" s="1100"/>
      <c r="AO333" s="1100"/>
      <c r="AP333" s="1100"/>
      <c r="AQ333" s="1100"/>
      <c r="AR333" s="1100"/>
      <c r="AS333" s="1100"/>
      <c r="AT333" s="4561"/>
      <c r="AU333" s="1100"/>
      <c r="AV333" s="1100"/>
      <c r="AW333" s="1100"/>
      <c r="AX333" s="1100"/>
      <c r="AY333" s="1100"/>
      <c r="AZ333" s="1100"/>
      <c r="BA333" s="1100"/>
      <c r="BB333" s="1100"/>
      <c r="BC333" s="1100"/>
      <c r="BD333" s="1099">
        <f>IF(AI333=0,0,(AT333-AI333)/AI333*100)</f>
        <v>0</v>
      </c>
      <c r="BE333" s="1100"/>
      <c r="BF333" s="1100"/>
      <c r="BG333" s="1100"/>
      <c r="BH333" s="1100"/>
      <c r="BI333" s="1100"/>
      <c r="BJ333" s="1100"/>
      <c r="BK333" s="1100"/>
      <c r="BL333" s="1100"/>
      <c r="BM333" s="1100"/>
      <c r="BN333" s="4617"/>
      <c r="BO333" s="4617"/>
      <c r="BP333" s="4617"/>
      <c r="BQ333" s="960"/>
      <c r="BR333" s="960"/>
      <c r="BS333" s="1048" t="s">
        <v>1650</v>
      </c>
      <c r="BT333" s="1048"/>
      <c r="BU333" s="1048"/>
      <c r="BV333" s="962"/>
      <c r="BW333" s="962"/>
    </row>
    <row s="1621" customFormat="1" customHeight="1" ht="14.625">
      <c r="A334" s="960"/>
      <c r="B334" s="961"/>
      <c r="C334" s="73"/>
      <c r="D334" s="73"/>
      <c r="E334" s="600">
        <v>15</v>
      </c>
      <c r="F334" s="50" cm="1" t="str">
        <f t="array" ref="F334:F334">OFFSET(E334,-1,1)</f>
        <v>2</v>
      </c>
      <c r="G334" s="73"/>
      <c r="H334" s="839"/>
      <c r="I334" s="839" t="s">
        <v>1835</v>
      </c>
      <c r="J334" s="73"/>
      <c r="K334" s="345" t="s">
        <v>1835</v>
      </c>
      <c r="L334" s="963"/>
      <c r="M334" s="73"/>
      <c r="N334" s="73"/>
      <c r="O334" s="73"/>
      <c r="P334" s="73"/>
      <c r="Q334" s="73"/>
      <c r="R334" s="73"/>
      <c r="S334" s="73"/>
      <c r="T334" s="439" cm="1" t="str">
        <f t="array" ref="T334:T334">T333</f>
        <v>true</v>
      </c>
      <c r="U334" s="73"/>
      <c r="V334" s="73"/>
      <c r="W334" s="73"/>
      <c r="X334" s="1534"/>
      <c r="Y334" s="960"/>
      <c r="Z334" s="1465"/>
      <c r="AA334" s="960"/>
      <c r="AB334" s="267" t="s">
        <v>1836</v>
      </c>
      <c r="AC334" s="749" t="s">
        <v>1837</v>
      </c>
      <c r="AD334" s="267" t="s">
        <v>784</v>
      </c>
      <c r="AE334" s="4561">
        <v>681.8494</v>
      </c>
      <c r="AF334" s="4561">
        <v>2559.4417880517</v>
      </c>
      <c r="AG334" s="4561"/>
      <c r="AH334" s="1099">
        <f>AG334-AF334</f>
        <v>-2559.4417880517</v>
      </c>
      <c r="AI334" s="4561"/>
      <c r="AJ334" s="1391"/>
      <c r="AK334" s="1100"/>
      <c r="AL334" s="1100"/>
      <c r="AM334" s="1100"/>
      <c r="AN334" s="1100"/>
      <c r="AO334" s="1100"/>
      <c r="AP334" s="1100"/>
      <c r="AQ334" s="1100"/>
      <c r="AR334" s="1100"/>
      <c r="AS334" s="1100"/>
      <c r="AT334" s="1100"/>
      <c r="AU334" s="1100"/>
      <c r="AV334" s="1100"/>
      <c r="AW334" s="1100"/>
      <c r="AX334" s="1100"/>
      <c r="AY334" s="1100"/>
      <c r="AZ334" s="1100"/>
      <c r="BA334" s="1100"/>
      <c r="BB334" s="1100"/>
      <c r="BC334" s="1100"/>
      <c r="BD334" s="1099">
        <f>IF(AI334=0,0,(AT334-AI334)/AI334*100)</f>
        <v>0</v>
      </c>
      <c r="BE334" s="1100"/>
      <c r="BF334" s="1100"/>
      <c r="BG334" s="1100"/>
      <c r="BH334" s="1100"/>
      <c r="BI334" s="1100"/>
      <c r="BJ334" s="1100"/>
      <c r="BK334" s="1100"/>
      <c r="BL334" s="1100"/>
      <c r="BM334" s="1100"/>
      <c r="BN334" s="4617"/>
      <c r="BO334" s="4617"/>
      <c r="BP334" s="4617"/>
      <c r="BQ334" s="960"/>
      <c r="BR334" s="960"/>
      <c r="BS334" s="1048" t="s">
        <v>1634</v>
      </c>
      <c r="BT334" s="1048"/>
      <c r="BU334" s="1048"/>
      <c r="BV334" s="962"/>
      <c r="BW334" s="962"/>
    </row>
    <row s="4680" customFormat="1" customHeight="1" ht="20.25">
      <c r="A335" s="680"/>
      <c r="B335" s="408"/>
      <c r="C335" s="75"/>
      <c r="D335" s="75"/>
      <c r="E335" s="807">
        <v>21</v>
      </c>
      <c r="F335" s="50" cm="1" t="str">
        <f t="array" ref="F335:F335">OFFSET(E335,-1,1)</f>
        <v>2</v>
      </c>
      <c r="G335" s="75"/>
      <c r="H335" s="839"/>
      <c r="I335" s="839" t="s">
        <v>448</v>
      </c>
      <c r="J335" s="75"/>
      <c r="K335" s="345" t="s">
        <v>448</v>
      </c>
      <c r="L335" s="968"/>
      <c r="M335" s="75"/>
      <c r="N335" s="75"/>
      <c r="O335" s="75"/>
      <c r="P335" s="75"/>
      <c r="Q335" s="75"/>
      <c r="R335" s="75"/>
      <c r="S335" s="75"/>
      <c r="T335" s="439" cm="1" t="str">
        <f t="array" ref="T335:T335">T334</f>
        <v>true</v>
      </c>
      <c r="U335" s="75"/>
      <c r="V335" s="75"/>
      <c r="W335" s="75"/>
      <c r="X335" s="1534"/>
      <c r="Y335" s="680"/>
      <c r="Z335" s="1465"/>
      <c r="AA335" s="680"/>
      <c r="AB335" s="178" t="s">
        <v>851</v>
      </c>
      <c r="AC335" s="328" t="s">
        <v>1654</v>
      </c>
      <c r="AD335" s="178" t="s">
        <v>784</v>
      </c>
      <c r="AE335" s="180">
        <f>AE336+AE337+AE338</f>
        <v>550</v>
      </c>
      <c r="AF335" s="180">
        <f>AF336+AF337+AF338</f>
        <v>6881.16454</v>
      </c>
      <c r="AG335" s="180">
        <f>AG336+AG337+AG338</f>
        <v>0</v>
      </c>
      <c r="AH335" s="759">
        <f>AG335-AF335</f>
        <v>-6881.16454</v>
      </c>
      <c r="AI335" s="180">
        <f>AI336+AI337+AI338</f>
        <v>0</v>
      </c>
      <c r="AJ335" s="180">
        <f>AJ336+AJ337+AJ338</f>
        <v>0</v>
      </c>
      <c r="AK335" s="183"/>
      <c r="AL335" s="183"/>
      <c r="AM335" s="183"/>
      <c r="AN335" s="183"/>
      <c r="AO335" s="183"/>
      <c r="AP335" s="183"/>
      <c r="AQ335" s="183"/>
      <c r="AR335" s="183"/>
      <c r="AS335" s="183"/>
      <c r="AT335" s="180">
        <f>AT336+AT337+AT338</f>
        <v>0</v>
      </c>
      <c r="AU335" s="183"/>
      <c r="AV335" s="183"/>
      <c r="AW335" s="183"/>
      <c r="AX335" s="183"/>
      <c r="AY335" s="183"/>
      <c r="AZ335" s="183"/>
      <c r="BA335" s="183"/>
      <c r="BB335" s="183"/>
      <c r="BC335" s="183"/>
      <c r="BD335" s="759">
        <f>IF(AI335=0,0,(AT335-AI335)/AI335*100)</f>
        <v>0</v>
      </c>
      <c r="BE335" s="183"/>
      <c r="BF335" s="183"/>
      <c r="BG335" s="183"/>
      <c r="BH335" s="183"/>
      <c r="BI335" s="183"/>
      <c r="BJ335" s="183"/>
      <c r="BK335" s="183"/>
      <c r="BL335" s="183"/>
      <c r="BM335" s="183"/>
      <c r="BN335" s="4618"/>
      <c r="BO335" s="4618"/>
      <c r="BP335" s="4618"/>
      <c r="BQ335" s="680"/>
      <c r="BR335" s="680"/>
      <c r="BS335" s="1047" t="s">
        <v>1655</v>
      </c>
      <c r="BT335" s="1054"/>
      <c r="BU335" s="1054"/>
      <c r="BV335" s="687"/>
      <c r="BW335" s="687"/>
    </row>
    <row s="1621" customFormat="1" customHeight="1" ht="23.25">
      <c r="A336" s="960"/>
      <c r="B336" s="961"/>
      <c r="C336" s="73"/>
      <c r="D336" s="73"/>
      <c r="E336" s="600">
        <v>22.5</v>
      </c>
      <c r="F336" s="50" cm="1" t="str">
        <f t="array" ref="F336:F336">OFFSET(E336,-1,1)</f>
        <v>2</v>
      </c>
      <c r="G336" s="73"/>
      <c r="H336" s="839"/>
      <c r="I336" s="839" t="s">
        <v>1232</v>
      </c>
      <c r="J336" s="73"/>
      <c r="K336" s="345" t="s">
        <v>1232</v>
      </c>
      <c r="L336" s="963"/>
      <c r="M336" s="73"/>
      <c r="N336" s="73"/>
      <c r="O336" s="73"/>
      <c r="P336" s="73"/>
      <c r="Q336" s="73"/>
      <c r="R336" s="73"/>
      <c r="S336" s="73"/>
      <c r="T336" s="439" cm="1" t="str">
        <f t="array" ref="T336:T336">T335</f>
        <v>true</v>
      </c>
      <c r="U336" s="73"/>
      <c r="V336" s="73"/>
      <c r="W336" s="73"/>
      <c r="X336" s="1534"/>
      <c r="Y336" s="960"/>
      <c r="Z336" s="1465"/>
      <c r="AA336" s="960"/>
      <c r="AB336" s="267" t="s">
        <v>1233</v>
      </c>
      <c r="AC336" s="746" t="s">
        <v>1838</v>
      </c>
      <c r="AD336" s="267" t="s">
        <v>784</v>
      </c>
      <c r="AE336" s="4561">
        <v>550</v>
      </c>
      <c r="AF336" s="4561">
        <v>6783.56454</v>
      </c>
      <c r="AG336" s="4561"/>
      <c r="AH336" s="1099">
        <f>AG336-AF336</f>
        <v>-6783.56454</v>
      </c>
      <c r="AI336" s="4561"/>
      <c r="AJ336" s="4561"/>
      <c r="AK336" s="1100"/>
      <c r="AL336" s="1100"/>
      <c r="AM336" s="1100"/>
      <c r="AN336" s="1100"/>
      <c r="AO336" s="1100"/>
      <c r="AP336" s="1100"/>
      <c r="AQ336" s="1100"/>
      <c r="AR336" s="1100"/>
      <c r="AS336" s="1100"/>
      <c r="AT336" s="4561"/>
      <c r="AU336" s="1100"/>
      <c r="AV336" s="1100"/>
      <c r="AW336" s="1100"/>
      <c r="AX336" s="1100"/>
      <c r="AY336" s="1100"/>
      <c r="AZ336" s="1100"/>
      <c r="BA336" s="1100"/>
      <c r="BB336" s="1100"/>
      <c r="BC336" s="1100"/>
      <c r="BD336" s="1099">
        <f>IF(AI336=0,0,(AT336-AI336)/AI336*100)</f>
        <v>0</v>
      </c>
      <c r="BE336" s="1100"/>
      <c r="BF336" s="1100"/>
      <c r="BG336" s="1100"/>
      <c r="BH336" s="1100"/>
      <c r="BI336" s="1100"/>
      <c r="BJ336" s="1100"/>
      <c r="BK336" s="1100"/>
      <c r="BL336" s="1100"/>
      <c r="BM336" s="1100"/>
      <c r="BN336" s="4617"/>
      <c r="BO336" s="4617"/>
      <c r="BP336" s="4617"/>
      <c r="BQ336" s="960"/>
      <c r="BR336" s="960"/>
      <c r="BS336" s="1046" t="s">
        <v>1657</v>
      </c>
      <c r="BT336" s="1048"/>
      <c r="BU336" s="1048"/>
      <c r="BV336" s="962"/>
      <c r="BW336" s="962"/>
    </row>
    <row s="1621" customFormat="1" customHeight="1" ht="23.25">
      <c r="A337" s="960"/>
      <c r="B337" s="961"/>
      <c r="C337" s="73"/>
      <c r="D337" s="73"/>
      <c r="E337" s="600">
        <v>22.5</v>
      </c>
      <c r="F337" s="50" cm="1" t="str">
        <f t="array" ref="F337:F337">OFFSET(E337,-1,1)</f>
        <v>2</v>
      </c>
      <c r="G337" s="73"/>
      <c r="H337" s="839"/>
      <c r="I337" s="839" t="s">
        <v>1236</v>
      </c>
      <c r="J337" s="73"/>
      <c r="K337" s="345" t="s">
        <v>1236</v>
      </c>
      <c r="L337" s="963"/>
      <c r="M337" s="73"/>
      <c r="N337" s="73"/>
      <c r="O337" s="73"/>
      <c r="P337" s="73"/>
      <c r="Q337" s="73"/>
      <c r="R337" s="73"/>
      <c r="S337" s="73"/>
      <c r="T337" s="439" cm="1" t="str">
        <f t="array" ref="T337:T337">T336</f>
        <v>true</v>
      </c>
      <c r="U337" s="73"/>
      <c r="V337" s="73"/>
      <c r="W337" s="73"/>
      <c r="X337" s="1534"/>
      <c r="Y337" s="960"/>
      <c r="Z337" s="1465"/>
      <c r="AA337" s="960"/>
      <c r="AB337" s="267" t="s">
        <v>1237</v>
      </c>
      <c r="AC337" s="746" t="s">
        <v>1839</v>
      </c>
      <c r="AD337" s="267" t="s">
        <v>784</v>
      </c>
      <c r="AE337" s="4561">
        <v>0</v>
      </c>
      <c r="AF337" s="4561">
        <v>97.6</v>
      </c>
      <c r="AG337" s="4561"/>
      <c r="AH337" s="1099">
        <f>AG337-AF337</f>
        <v>-97.6</v>
      </c>
      <c r="AI337" s="4561"/>
      <c r="AJ337" s="4561"/>
      <c r="AK337" s="1100"/>
      <c r="AL337" s="1100"/>
      <c r="AM337" s="1100"/>
      <c r="AN337" s="1100"/>
      <c r="AO337" s="1100"/>
      <c r="AP337" s="1100"/>
      <c r="AQ337" s="1100"/>
      <c r="AR337" s="1100"/>
      <c r="AS337" s="1100"/>
      <c r="AT337" s="4561"/>
      <c r="AU337" s="1100"/>
      <c r="AV337" s="1100"/>
      <c r="AW337" s="1100"/>
      <c r="AX337" s="1100"/>
      <c r="AY337" s="1100"/>
      <c r="AZ337" s="1100"/>
      <c r="BA337" s="1100"/>
      <c r="BB337" s="1100"/>
      <c r="BC337" s="1100"/>
      <c r="BD337" s="1099">
        <f>IF(AI337=0,0,(AT337-AI337)/AI337*100)</f>
        <v>0</v>
      </c>
      <c r="BE337" s="1100"/>
      <c r="BF337" s="1100"/>
      <c r="BG337" s="1100"/>
      <c r="BH337" s="1100"/>
      <c r="BI337" s="1100"/>
      <c r="BJ337" s="1100"/>
      <c r="BK337" s="1100"/>
      <c r="BL337" s="1100"/>
      <c r="BM337" s="1100"/>
      <c r="BN337" s="4617"/>
      <c r="BO337" s="4617"/>
      <c r="BP337" s="4617"/>
      <c r="BQ337" s="960"/>
      <c r="BR337" s="960"/>
      <c r="BS337" s="1048" t="s">
        <v>1840</v>
      </c>
      <c r="BT337" s="1048"/>
      <c r="BU337" s="1048"/>
      <c r="BV337" s="962"/>
      <c r="BW337" s="962"/>
    </row>
    <row s="1621" customFormat="1" customHeight="1" ht="21.75">
      <c r="A338" s="960"/>
      <c r="B338" s="961"/>
      <c r="C338" s="73"/>
      <c r="D338" s="73"/>
      <c r="E338" s="600">
        <v>22.5</v>
      </c>
      <c r="F338" s="50" cm="1" t="str">
        <f t="array" ref="F338:F338">OFFSET(E338,-1,1)</f>
        <v>2</v>
      </c>
      <c r="G338" s="73"/>
      <c r="H338" s="839"/>
      <c r="I338" s="839" t="s">
        <v>1240</v>
      </c>
      <c r="J338" s="73"/>
      <c r="K338" s="345" t="s">
        <v>1240</v>
      </c>
      <c r="L338" s="963" t="s">
        <v>462</v>
      </c>
      <c r="M338" s="73"/>
      <c r="N338" s="73"/>
      <c r="O338" s="73"/>
      <c r="P338" s="73"/>
      <c r="Q338" s="73"/>
      <c r="R338" s="73"/>
      <c r="S338" s="73"/>
      <c r="T338" s="439" cm="1" t="str">
        <f t="array" ref="T338:T338">T337</f>
        <v>true</v>
      </c>
      <c r="U338" s="73"/>
      <c r="V338" s="73"/>
      <c r="W338" s="73"/>
      <c r="X338" s="1534"/>
      <c r="Y338" s="960"/>
      <c r="Z338" s="1465"/>
      <c r="AA338" s="960"/>
      <c r="AB338" s="267" t="s">
        <v>1241</v>
      </c>
      <c r="AC338" s="746" t="s">
        <v>1841</v>
      </c>
      <c r="AD338" s="267" t="s">
        <v>784</v>
      </c>
      <c r="AE338" s="1101">
        <f>AE339+AE340</f>
        <v>0</v>
      </c>
      <c r="AF338" s="1101">
        <f>AF339+AF340</f>
        <v>0</v>
      </c>
      <c r="AG338" s="1101">
        <f>AG339+AG340</f>
        <v>0</v>
      </c>
      <c r="AH338" s="1099">
        <f>AG338-AF338</f>
        <v>0</v>
      </c>
      <c r="AI338" s="1101">
        <f>AI339+AI340</f>
        <v>0</v>
      </c>
      <c r="AJ338" s="1101">
        <f>AJ339+AJ340</f>
        <v>0</v>
      </c>
      <c r="AK338" s="1100"/>
      <c r="AL338" s="1100"/>
      <c r="AM338" s="1100"/>
      <c r="AN338" s="1100"/>
      <c r="AO338" s="1100"/>
      <c r="AP338" s="1100"/>
      <c r="AQ338" s="1100"/>
      <c r="AR338" s="1100"/>
      <c r="AS338" s="1100"/>
      <c r="AT338" s="1101">
        <f>AT339+AT340</f>
        <v>0</v>
      </c>
      <c r="AU338" s="1100"/>
      <c r="AV338" s="1100"/>
      <c r="AW338" s="1100"/>
      <c r="AX338" s="1100"/>
      <c r="AY338" s="1100"/>
      <c r="AZ338" s="1100"/>
      <c r="BA338" s="1100"/>
      <c r="BB338" s="1100"/>
      <c r="BC338" s="1100"/>
      <c r="BD338" s="1099">
        <f>IF(AI338=0,0,(AT338-AI338)/AI338*100)</f>
        <v>0</v>
      </c>
      <c r="BE338" s="1100"/>
      <c r="BF338" s="1100"/>
      <c r="BG338" s="1100"/>
      <c r="BH338" s="1100"/>
      <c r="BI338" s="1100"/>
      <c r="BJ338" s="1100"/>
      <c r="BK338" s="1100"/>
      <c r="BL338" s="1100"/>
      <c r="BM338" s="1100"/>
      <c r="BN338" s="4617"/>
      <c r="BO338" s="4617"/>
      <c r="BP338" s="4617"/>
      <c r="BQ338" s="960"/>
      <c r="BR338" s="960"/>
      <c r="BS338" s="1046" t="s">
        <v>1659</v>
      </c>
      <c r="BT338" s="1048"/>
      <c r="BU338" s="1048"/>
      <c r="BV338" s="962"/>
      <c r="BW338" s="962"/>
    </row>
    <row s="1621" customFormat="1" customHeight="1" ht="14.25">
      <c r="A339" s="960"/>
      <c r="B339" s="961"/>
      <c r="C339" s="73"/>
      <c r="D339" s="73"/>
      <c r="E339" s="600">
        <v>15</v>
      </c>
      <c r="F339" s="50" cm="1" t="str">
        <f t="array" ref="F339:F339">OFFSET(E339,-1,1)</f>
        <v>2</v>
      </c>
      <c r="G339" s="830" t="s">
        <v>1053</v>
      </c>
      <c r="H339" s="839"/>
      <c r="I339" s="839" t="s">
        <v>1842</v>
      </c>
      <c r="J339" s="73"/>
      <c r="K339" s="345" t="s">
        <v>1842</v>
      </c>
      <c r="L339" s="963" t="s">
        <v>1660</v>
      </c>
      <c r="M339" s="73"/>
      <c r="N339" s="73"/>
      <c r="O339" s="73"/>
      <c r="P339" s="73"/>
      <c r="Q339" s="73"/>
      <c r="R339" s="73"/>
      <c r="S339" s="73"/>
      <c r="T339" s="439" cm="1" t="str">
        <f t="array" ref="T339:T339">T338</f>
        <v>true</v>
      </c>
      <c r="U339" s="73"/>
      <c r="V339" s="73"/>
      <c r="W339" s="73"/>
      <c r="X339" s="1534"/>
      <c r="Y339" s="960"/>
      <c r="Z339" s="1465"/>
      <c r="AA339" s="960"/>
      <c r="AB339" s="267" t="s">
        <v>1843</v>
      </c>
      <c r="AC339" s="749" t="s">
        <v>1661</v>
      </c>
      <c r="AD339" s="267" t="s">
        <v>784</v>
      </c>
      <c r="AE339" s="1099">
        <f>_xlfn.SUMIFS(ФОТ!AE$25:AE$102,ФОТ!$F$25:$F$102,$F339,ФОТ!$G$25:$G$102,$G339)</f>
        <v>0</v>
      </c>
      <c r="AF339" s="1099">
        <f>_xlfn.SUMIFS(ФОТ!AF$25:AF$102,ФОТ!$F$25:$F$102,$F339,ФОТ!$G$25:$G$102,$G339)</f>
        <v>0</v>
      </c>
      <c r="AG339" s="1099">
        <f>_xlfn.SUMIFS(ФОТ!AG$25:AG$102,ФОТ!$F$25:$F$102,$F339,ФОТ!$G$25:$G$102,$G339)</f>
        <v>0</v>
      </c>
      <c r="AH339" s="1099">
        <f>AG339-AF339</f>
        <v>0</v>
      </c>
      <c r="AI339" s="1099">
        <f>_xlfn.SUMIFS(ФОТ!AH$25:AH$102,ФОТ!$F$25:$F$102,$F339,ФОТ!$G$25:$G$102,$G339)</f>
        <v>0</v>
      </c>
      <c r="AJ339" s="1099">
        <f>_xlfn.SUMIFS(ФОТ!AI$25:AI$102,ФОТ!$F$25:$F$102,$F339,ФОТ!$G$25:$G$102,$G339)</f>
        <v>0</v>
      </c>
      <c r="AK339" s="1100"/>
      <c r="AL339" s="1100"/>
      <c r="AM339" s="1100"/>
      <c r="AN339" s="1100"/>
      <c r="AO339" s="1100"/>
      <c r="AP339" s="1100"/>
      <c r="AQ339" s="1100"/>
      <c r="AR339" s="1100"/>
      <c r="AS339" s="1100"/>
      <c r="AT339" s="1099">
        <f>_xlfn.SUMIFS(ФОТ!AJ$25:AJ$102,ФОТ!$F$25:$F$102,$F339,ФОТ!$G$25:$G$102,$G339)</f>
        <v>0</v>
      </c>
      <c r="AU339" s="1100"/>
      <c r="AV339" s="1100"/>
      <c r="AW339" s="1100"/>
      <c r="AX339" s="1100"/>
      <c r="AY339" s="1100"/>
      <c r="AZ339" s="1100"/>
      <c r="BA339" s="1100"/>
      <c r="BB339" s="1100"/>
      <c r="BC339" s="1100"/>
      <c r="BD339" s="1099">
        <f>IF(AI339=0,0,(AT339-AI339)/AI339*100)</f>
        <v>0</v>
      </c>
      <c r="BE339" s="1100"/>
      <c r="BF339" s="1100"/>
      <c r="BG339" s="1100"/>
      <c r="BH339" s="1100"/>
      <c r="BI339" s="1100"/>
      <c r="BJ339" s="1100"/>
      <c r="BK339" s="1100"/>
      <c r="BL339" s="1100"/>
      <c r="BM339" s="1100"/>
      <c r="BN339" s="4617"/>
      <c r="BO339" s="4619" t="str">
        <f>IF(_xlfn.IFERROR(INDEX(ФОТ!$K$26:$L$102,MATCH($F339&amp;"3komm",ФОТ!$K$26:$K$102,0),2),"")=0,"",_xlfn.IFERROR(INDEX(ФОТ!$K$26:$L$102,MATCH($F339&amp;"3komm",ФОТ!$K$26:$K$102,0),2),""))</f>
        <v/>
      </c>
      <c r="BP339" s="4617"/>
      <c r="BQ339" s="960"/>
      <c r="BR339" s="960"/>
      <c r="BS339" s="1046" t="s">
        <v>1662</v>
      </c>
      <c r="BT339" s="1048"/>
      <c r="BU339" s="1048"/>
      <c r="BV339" s="962"/>
      <c r="BW339" s="962"/>
    </row>
    <row s="1621" customFormat="1" customHeight="1" ht="21.75">
      <c r="A340" s="960"/>
      <c r="B340" s="961"/>
      <c r="C340" s="73"/>
      <c r="D340" s="73"/>
      <c r="E340" s="600">
        <v>22.5</v>
      </c>
      <c r="F340" s="50" cm="1" t="str">
        <f t="array" ref="F340:F340">OFFSET(E340,-1,1)</f>
        <v>2</v>
      </c>
      <c r="G340" s="830" t="s">
        <v>1058</v>
      </c>
      <c r="H340" s="839"/>
      <c r="I340" s="839" t="s">
        <v>1844</v>
      </c>
      <c r="J340" s="73"/>
      <c r="K340" s="345" t="s">
        <v>1844</v>
      </c>
      <c r="L340" s="963" t="s">
        <v>1663</v>
      </c>
      <c r="M340" s="73"/>
      <c r="N340" s="73"/>
      <c r="O340" s="73"/>
      <c r="P340" s="73"/>
      <c r="Q340" s="73"/>
      <c r="R340" s="73"/>
      <c r="S340" s="73"/>
      <c r="T340" s="439" cm="1" t="str">
        <f t="array" ref="T340:T340">T339</f>
        <v>true</v>
      </c>
      <c r="U340" s="73"/>
      <c r="V340" s="73"/>
      <c r="W340" s="73"/>
      <c r="X340" s="1534"/>
      <c r="Y340" s="960"/>
      <c r="Z340" s="1465"/>
      <c r="AA340" s="960"/>
      <c r="AB340" s="267" t="s">
        <v>1845</v>
      </c>
      <c r="AC340" s="749" t="s">
        <v>1846</v>
      </c>
      <c r="AD340" s="267" t="s">
        <v>784</v>
      </c>
      <c r="AE340" s="1099">
        <f>_xlfn.SUMIFS(ФОТ!AE$25:AE$102,ФОТ!$F$25:$F$102,$F340,ФОТ!$G$25:$G$102,$G340)</f>
        <v>0</v>
      </c>
      <c r="AF340" s="1099">
        <f>_xlfn.SUMIFS(ФОТ!AF$25:AF$102,ФОТ!$F$25:$F$102,$F340,ФОТ!$G$25:$G$102,$G340)</f>
        <v>0</v>
      </c>
      <c r="AG340" s="1099">
        <f>_xlfn.SUMIFS(ФОТ!AG$25:AG$102,ФОТ!$F$25:$F$102,$F340,ФОТ!$G$25:$G$102,$G340)</f>
        <v>0</v>
      </c>
      <c r="AH340" s="1099">
        <f>AG340-AF340</f>
        <v>0</v>
      </c>
      <c r="AI340" s="1099">
        <f>_xlfn.SUMIFS(ФОТ!AH$25:AH$102,ФОТ!$F$25:$F$102,$F340,ФОТ!$G$25:$G$102,$G340)</f>
        <v>0</v>
      </c>
      <c r="AJ340" s="1099">
        <f>_xlfn.SUMIFS(ФОТ!AI$25:AI$102,ФОТ!$F$25:$F$102,$F340,ФОТ!$G$25:$G$102,$G340)</f>
        <v>0</v>
      </c>
      <c r="AK340" s="1100"/>
      <c r="AL340" s="1100"/>
      <c r="AM340" s="1100"/>
      <c r="AN340" s="1100"/>
      <c r="AO340" s="1100"/>
      <c r="AP340" s="1100"/>
      <c r="AQ340" s="1100"/>
      <c r="AR340" s="1100"/>
      <c r="AS340" s="1100"/>
      <c r="AT340" s="1099">
        <f>_xlfn.SUMIFS(ФОТ!AJ$25:AJ$102,ФОТ!$F$25:$F$102,$F340,ФОТ!$G$25:$G$102,$G340)</f>
        <v>0</v>
      </c>
      <c r="AU340" s="1100"/>
      <c r="AV340" s="1100"/>
      <c r="AW340" s="1100"/>
      <c r="AX340" s="1100"/>
      <c r="AY340" s="1100"/>
      <c r="AZ340" s="1100"/>
      <c r="BA340" s="1100"/>
      <c r="BB340" s="1100"/>
      <c r="BC340" s="1100"/>
      <c r="BD340" s="1099">
        <f>IF(AI340=0,0,(AT340-AI340)/AI340*100)</f>
        <v>0</v>
      </c>
      <c r="BE340" s="1100"/>
      <c r="BF340" s="1100"/>
      <c r="BG340" s="1100"/>
      <c r="BH340" s="1100"/>
      <c r="BI340" s="1100"/>
      <c r="BJ340" s="1100"/>
      <c r="BK340" s="1100"/>
      <c r="BL340" s="1100"/>
      <c r="BM340" s="1100"/>
      <c r="BN340" s="4617"/>
      <c r="BO340" s="4619" t="str">
        <f>IF(_xlfn.IFERROR(INDEX(ФОТ!$K$26:$L$102,MATCH($F340&amp;"4komm",ФОТ!$K$26:$K$102,0),2),"")=0,"",_xlfn.IFERROR(INDEX(ФОТ!$K$26:$L$102,MATCH($F340&amp;"4komm",ФОТ!$K$26:$K$102,0),2),""))</f>
        <v/>
      </c>
      <c r="BP340" s="4617"/>
      <c r="BQ340" s="960"/>
      <c r="BR340" s="960"/>
      <c r="BS340" s="1046" t="s">
        <v>1665</v>
      </c>
      <c r="BT340" s="1048"/>
      <c r="BU340" s="1048"/>
      <c r="BV340" s="962"/>
      <c r="BW340" s="962"/>
    </row>
    <row s="4681" customFormat="1" customHeight="1" ht="20.25">
      <c r="A341" s="680"/>
      <c r="B341" s="408"/>
      <c r="C341" s="75"/>
      <c r="D341" s="75"/>
      <c r="E341" s="807">
        <v>21</v>
      </c>
      <c r="F341" s="50" cm="1" t="str">
        <f t="array" ref="F341:F341">OFFSET(E341,-1,1)</f>
        <v>2</v>
      </c>
      <c r="G341" s="75"/>
      <c r="H341" s="839"/>
      <c r="I341" s="839" t="s">
        <v>452</v>
      </c>
      <c r="J341" s="75"/>
      <c r="K341" s="345" t="s">
        <v>452</v>
      </c>
      <c r="L341" s="968" t="s">
        <v>327</v>
      </c>
      <c r="M341" s="75"/>
      <c r="N341" s="75"/>
      <c r="O341" s="75"/>
      <c r="P341" s="75"/>
      <c r="Q341" s="75"/>
      <c r="R341" s="75"/>
      <c r="S341" s="75"/>
      <c r="T341" s="439" cm="1" t="str">
        <f t="array" ref="T341:T341">T340</f>
        <v>true</v>
      </c>
      <c r="U341" s="75"/>
      <c r="V341" s="75"/>
      <c r="W341" s="75"/>
      <c r="X341" s="1534"/>
      <c r="Y341" s="680"/>
      <c r="Z341" s="1465"/>
      <c r="AA341" s="680"/>
      <c r="AB341" s="178" t="s">
        <v>854</v>
      </c>
      <c r="AC341" s="328" t="s">
        <v>1847</v>
      </c>
      <c r="AD341" s="178" t="s">
        <v>784</v>
      </c>
      <c r="AE341" s="180">
        <f>AE342+AE350+AE353+AE354+AE355+AE356+AE357</f>
        <v>0</v>
      </c>
      <c r="AF341" s="180">
        <f>AF342+AF350+AF353+AF354+AF355+AF356+AF357</f>
        <v>0</v>
      </c>
      <c r="AG341" s="180">
        <f>AG342+AG350+AG353+AG354+AG355+AG356+AG357</f>
        <v>0</v>
      </c>
      <c r="AH341" s="759">
        <f>AG341-AF341</f>
        <v>0</v>
      </c>
      <c r="AI341" s="180">
        <f>AI342+AI350+AI353+AI354+AI355+AI356+AI357</f>
        <v>0</v>
      </c>
      <c r="AJ341" s="180">
        <f>AJ342+AJ350+AJ353+AJ354+AJ355+AJ356+AJ357</f>
        <v>0</v>
      </c>
      <c r="AK341" s="183"/>
      <c r="AL341" s="183"/>
      <c r="AM341" s="183"/>
      <c r="AN341" s="183"/>
      <c r="AO341" s="183"/>
      <c r="AP341" s="183"/>
      <c r="AQ341" s="183"/>
      <c r="AR341" s="183"/>
      <c r="AS341" s="183"/>
      <c r="AT341" s="180">
        <f>AT342+AT350+AT353+AT354+AT355+AT356+AT357</f>
        <v>0</v>
      </c>
      <c r="AU341" s="183"/>
      <c r="AV341" s="183"/>
      <c r="AW341" s="183"/>
      <c r="AX341" s="183"/>
      <c r="AY341" s="183"/>
      <c r="AZ341" s="183"/>
      <c r="BA341" s="183"/>
      <c r="BB341" s="183"/>
      <c r="BC341" s="183"/>
      <c r="BD341" s="759">
        <f>IF(AI341=0,0,(AT341-AI341)/AI341*100)</f>
        <v>0</v>
      </c>
      <c r="BE341" s="183"/>
      <c r="BF341" s="183"/>
      <c r="BG341" s="183"/>
      <c r="BH341" s="183"/>
      <c r="BI341" s="183"/>
      <c r="BJ341" s="183"/>
      <c r="BK341" s="183"/>
      <c r="BL341" s="183"/>
      <c r="BM341" s="183"/>
      <c r="BN341" s="4618"/>
      <c r="BO341" s="4618"/>
      <c r="BP341" s="4618"/>
      <c r="BQ341" s="680"/>
      <c r="BR341" s="680"/>
      <c r="BS341" s="1047" t="s">
        <v>1667</v>
      </c>
      <c r="BT341" s="1054"/>
      <c r="BU341" s="1054"/>
      <c r="BV341" s="687"/>
      <c r="BW341" s="687"/>
    </row>
    <row s="1621" customFormat="1" customHeight="1" ht="21.75">
      <c r="A342" s="960"/>
      <c r="B342" s="961"/>
      <c r="C342" s="73"/>
      <c r="D342" s="73"/>
      <c r="E342" s="600">
        <v>22.5</v>
      </c>
      <c r="F342" s="50" cm="1" t="str">
        <f t="array" ref="F342:F342">OFFSET(E342,-1,1)</f>
        <v>2</v>
      </c>
      <c r="G342" s="73" t="s">
        <v>1079</v>
      </c>
      <c r="H342" s="839"/>
      <c r="I342" s="839" t="s">
        <v>1246</v>
      </c>
      <c r="J342" s="73"/>
      <c r="K342" s="345" t="s">
        <v>1246</v>
      </c>
      <c r="L342" s="963" t="s">
        <v>875</v>
      </c>
      <c r="M342" s="73"/>
      <c r="N342" s="73"/>
      <c r="O342" s="73"/>
      <c r="P342" s="73"/>
      <c r="Q342" s="73"/>
      <c r="R342" s="73"/>
      <c r="S342" s="73"/>
      <c r="T342" s="439" cm="1" t="str">
        <f t="array" ref="T342:T342">T341</f>
        <v>true</v>
      </c>
      <c r="U342" s="73"/>
      <c r="V342" s="73"/>
      <c r="W342" s="73"/>
      <c r="X342" s="1534"/>
      <c r="Y342" s="960"/>
      <c r="Z342" s="1465"/>
      <c r="AA342" s="960"/>
      <c r="AB342" s="267" t="s">
        <v>971</v>
      </c>
      <c r="AC342" s="746" t="s">
        <v>1848</v>
      </c>
      <c r="AD342" s="267" t="s">
        <v>784</v>
      </c>
      <c r="AE342" s="1099">
        <f>_xlfn.SUMIFS(Административные!AE$25:AE$84,Административные!$F$25:$F$84,$F342,Административные!$G$25:$G$84,$G342)</f>
        <v>0</v>
      </c>
      <c r="AF342" s="1099">
        <f>_xlfn.SUMIFS(Административные!AF$25:AF$84,Административные!$F$25:$F$84,$F342,Административные!$G$25:$G$84,$G342)</f>
        <v>0</v>
      </c>
      <c r="AG342" s="1099">
        <f>_xlfn.SUMIFS(Административные!AG$25:AG$84,Административные!$F$25:$F$84,$F342,Административные!$G$25:$G$84,$G342)</f>
        <v>0</v>
      </c>
      <c r="AH342" s="1099">
        <f>AG342-AF342</f>
        <v>0</v>
      </c>
      <c r="AI342" s="1099">
        <f>_xlfn.SUMIFS(Административные!AH$25:AH$84,Административные!$F$25:$F$84,$F342,Административные!$G$25:$G$84,$G342)</f>
        <v>0</v>
      </c>
      <c r="AJ342" s="1099">
        <f>_xlfn.SUMIFS(Административные!AI$25:AI$84,Административные!$F$25:$F$84,$F342,Административные!$G$25:$G$84,$G342)</f>
        <v>0</v>
      </c>
      <c r="AK342" s="1100"/>
      <c r="AL342" s="1100"/>
      <c r="AM342" s="1100"/>
      <c r="AN342" s="1100"/>
      <c r="AO342" s="1100"/>
      <c r="AP342" s="1100"/>
      <c r="AQ342" s="1100"/>
      <c r="AR342" s="1100"/>
      <c r="AS342" s="1100"/>
      <c r="AT342" s="1099">
        <f>_xlfn.SUMIFS(Административные!AJ$25:AJ$84,Административные!$F$25:$F$84,$F342,Административные!$G$25:$G$84,$G342)</f>
        <v>0</v>
      </c>
      <c r="AU342" s="1100"/>
      <c r="AV342" s="1100"/>
      <c r="AW342" s="1100"/>
      <c r="AX342" s="1100"/>
      <c r="AY342" s="1100"/>
      <c r="AZ342" s="1100"/>
      <c r="BA342" s="1100"/>
      <c r="BB342" s="1100"/>
      <c r="BC342" s="1100"/>
      <c r="BD342" s="1099">
        <f>IF(AI342=0,0,(AT342-AI342)/AI342*100)</f>
        <v>0</v>
      </c>
      <c r="BE342" s="1100"/>
      <c r="BF342" s="1100"/>
      <c r="BG342" s="1100"/>
      <c r="BH342" s="1100"/>
      <c r="BI342" s="1100"/>
      <c r="BJ342" s="1100"/>
      <c r="BK342" s="1100"/>
      <c r="BL342" s="1100"/>
      <c r="BM342" s="1100"/>
      <c r="BN342" s="4617"/>
      <c r="BO342" s="4619" t="str">
        <f>IF(_xlfn.IFERROR(INDEX(Административные!$K$26:$L$84,MATCH($F342&amp;"17komm",Административные!$K$26:$K$84,0),2),"")=0,"",_xlfn.IFERROR(INDEX(Административные!$K$26:$L$84,MATCH($F342&amp;"17komm",Административные!$K$26:$K$84,0),2),""))</f>
        <v/>
      </c>
      <c r="BP342" s="4617"/>
      <c r="BQ342" s="960"/>
      <c r="BR342" s="960"/>
      <c r="BS342" s="1046" t="s">
        <v>1081</v>
      </c>
      <c r="BT342" s="1048"/>
      <c r="BU342" s="1048"/>
      <c r="BV342" s="962"/>
      <c r="BW342" s="962"/>
    </row>
    <row s="1621" customFormat="1" customHeight="1" ht="14.25">
      <c r="A343" s="960"/>
      <c r="B343" s="961"/>
      <c r="C343" s="73"/>
      <c r="D343" s="73"/>
      <c r="E343" s="600">
        <v>15</v>
      </c>
      <c r="F343" s="50" cm="1" t="str">
        <f t="array" ref="F343:F343">OFFSET(E343,-1,1)</f>
        <v>2</v>
      </c>
      <c r="G343" s="73" t="s">
        <v>1082</v>
      </c>
      <c r="H343" s="839"/>
      <c r="I343" s="839" t="s">
        <v>1849</v>
      </c>
      <c r="J343" s="73"/>
      <c r="K343" s="345" t="s">
        <v>1849</v>
      </c>
      <c r="L343" s="963"/>
      <c r="M343" s="73"/>
      <c r="N343" s="73"/>
      <c r="O343" s="73"/>
      <c r="P343" s="73"/>
      <c r="Q343" s="73"/>
      <c r="R343" s="73"/>
      <c r="S343" s="73"/>
      <c r="T343" s="439" cm="1" t="str">
        <f t="array" ref="T343:T343">T342</f>
        <v>true</v>
      </c>
      <c r="U343" s="73"/>
      <c r="V343" s="73"/>
      <c r="W343" s="73"/>
      <c r="X343" s="1534"/>
      <c r="Y343" s="960"/>
      <c r="Z343" s="1465"/>
      <c r="AA343" s="960"/>
      <c r="AB343" s="267" t="s">
        <v>1850</v>
      </c>
      <c r="AC343" s="749" t="s">
        <v>1083</v>
      </c>
      <c r="AD343" s="267" t="s">
        <v>784</v>
      </c>
      <c r="AE343" s="1099">
        <f>_xlfn.SUMIFS(Административные!AE$25:AE$84,Административные!$F$25:$F$84,$F343,Административные!$G$25:$G$84,$G343)</f>
        <v>0</v>
      </c>
      <c r="AF343" s="1099">
        <f>_xlfn.SUMIFS(Административные!AF$25:AF$84,Административные!$F$25:$F$84,$F343,Административные!$G$25:$G$84,$G343)</f>
        <v>0</v>
      </c>
      <c r="AG343" s="1099">
        <f>_xlfn.SUMIFS(Административные!AG$25:AG$84,Административные!$F$25:$F$84,$F343,Административные!$G$25:$G$84,$G343)</f>
        <v>0</v>
      </c>
      <c r="AH343" s="1099">
        <f>AG343-AF343</f>
        <v>0</v>
      </c>
      <c r="AI343" s="1099">
        <f>_xlfn.SUMIFS(Административные!AH$25:AH$84,Административные!$F$25:$F$84,$F343,Административные!$G$25:$G$84,$G343)</f>
        <v>0</v>
      </c>
      <c r="AJ343" s="1099">
        <f>_xlfn.SUMIFS(Административные!AI$25:AI$84,Административные!$F$25:$F$84,$F343,Административные!$G$25:$G$84,$G343)</f>
        <v>0</v>
      </c>
      <c r="AK343" s="1100"/>
      <c r="AL343" s="1100"/>
      <c r="AM343" s="1100"/>
      <c r="AN343" s="1100"/>
      <c r="AO343" s="1100"/>
      <c r="AP343" s="1100"/>
      <c r="AQ343" s="1100"/>
      <c r="AR343" s="1100"/>
      <c r="AS343" s="1100"/>
      <c r="AT343" s="1099">
        <f>_xlfn.SUMIFS(Административные!AJ$25:AJ$84,Административные!$F$25:$F$84,$F343,Административные!$G$25:$G$84,$G343)</f>
        <v>0</v>
      </c>
      <c r="AU343" s="1100"/>
      <c r="AV343" s="1100"/>
      <c r="AW343" s="1100"/>
      <c r="AX343" s="1100"/>
      <c r="AY343" s="1100"/>
      <c r="AZ343" s="1100"/>
      <c r="BA343" s="1100"/>
      <c r="BB343" s="1100"/>
      <c r="BC343" s="1100"/>
      <c r="BD343" s="1099">
        <f>IF(AI343=0,0,(AT343-AI343)/AI343*100)</f>
        <v>0</v>
      </c>
      <c r="BE343" s="1100"/>
      <c r="BF343" s="1100"/>
      <c r="BG343" s="1100"/>
      <c r="BH343" s="1100"/>
      <c r="BI343" s="1100"/>
      <c r="BJ343" s="1100"/>
      <c r="BK343" s="1100"/>
      <c r="BL343" s="1100"/>
      <c r="BM343" s="1100"/>
      <c r="BN343" s="4617"/>
      <c r="BO343" s="4619" t="str">
        <f>IF(_xlfn.IFERROR(INDEX(Административные!$K$26:$L$84,MATCH($F343&amp;"18komm",Административные!$K$26:$K$84,0),2),"")=0,"",_xlfn.IFERROR(INDEX(Административные!$K$26:$L$84,MATCH($F343&amp;"18komm",Административные!$K$26:$K$84,0),2),""))</f>
        <v/>
      </c>
      <c r="BP343" s="4617"/>
      <c r="BQ343" s="960"/>
      <c r="BR343" s="960"/>
      <c r="BS343" s="1048" t="s">
        <v>1084</v>
      </c>
      <c r="BT343" s="1048"/>
      <c r="BU343" s="1048"/>
      <c r="BV343" s="962"/>
      <c r="BW343" s="962"/>
    </row>
    <row s="1621" customFormat="1" customHeight="1" ht="14.25">
      <c r="A344" s="960"/>
      <c r="B344" s="961"/>
      <c r="C344" s="73"/>
      <c r="D344" s="73"/>
      <c r="E344" s="600">
        <v>15</v>
      </c>
      <c r="F344" s="50" cm="1" t="str">
        <f t="array" ref="F344:F344">OFFSET(E344,-1,1)</f>
        <v>2</v>
      </c>
      <c r="G344" s="73" t="s">
        <v>1085</v>
      </c>
      <c r="H344" s="839"/>
      <c r="I344" s="839" t="s">
        <v>1851</v>
      </c>
      <c r="J344" s="73"/>
      <c r="K344" s="345" t="s">
        <v>1851</v>
      </c>
      <c r="L344" s="963"/>
      <c r="M344" s="73"/>
      <c r="N344" s="73"/>
      <c r="O344" s="73"/>
      <c r="P344" s="73"/>
      <c r="Q344" s="73"/>
      <c r="R344" s="73"/>
      <c r="S344" s="73"/>
      <c r="T344" s="439" cm="1" t="str">
        <f t="array" ref="T344:T344">T343</f>
        <v>true</v>
      </c>
      <c r="U344" s="73"/>
      <c r="V344" s="73"/>
      <c r="W344" s="73"/>
      <c r="X344" s="1534"/>
      <c r="Y344" s="960"/>
      <c r="Z344" s="1465"/>
      <c r="AA344" s="960"/>
      <c r="AB344" s="267" t="s">
        <v>1852</v>
      </c>
      <c r="AC344" s="749" t="s">
        <v>1086</v>
      </c>
      <c r="AD344" s="267" t="s">
        <v>784</v>
      </c>
      <c r="AE344" s="1099">
        <f>_xlfn.SUMIFS(Административные!AE$25:AE$84,Административные!$F$25:$F$84,$F344,Административные!$G$25:$G$84,$G344)</f>
        <v>0</v>
      </c>
      <c r="AF344" s="1099">
        <f>_xlfn.SUMIFS(Административные!AF$25:AF$84,Административные!$F$25:$F$84,$F344,Административные!$G$25:$G$84,$G344)</f>
        <v>0</v>
      </c>
      <c r="AG344" s="1099">
        <f>_xlfn.SUMIFS(Административные!AG$25:AG$84,Административные!$F$25:$F$84,$F344,Административные!$G$25:$G$84,$G344)</f>
        <v>0</v>
      </c>
      <c r="AH344" s="1099">
        <f>AG344-AF344</f>
        <v>0</v>
      </c>
      <c r="AI344" s="1099">
        <f>_xlfn.SUMIFS(Административные!AH$25:AH$84,Административные!$F$25:$F$84,$F344,Административные!$G$25:$G$84,$G344)</f>
        <v>0</v>
      </c>
      <c r="AJ344" s="1099">
        <f>_xlfn.SUMIFS(Административные!AI$25:AI$84,Административные!$F$25:$F$84,$F344,Административные!$G$25:$G$84,$G344)</f>
        <v>0</v>
      </c>
      <c r="AK344" s="1100"/>
      <c r="AL344" s="1100"/>
      <c r="AM344" s="1100"/>
      <c r="AN344" s="1100"/>
      <c r="AO344" s="1100"/>
      <c r="AP344" s="1100"/>
      <c r="AQ344" s="1100"/>
      <c r="AR344" s="1100"/>
      <c r="AS344" s="1100"/>
      <c r="AT344" s="1099">
        <f>_xlfn.SUMIFS(Административные!AJ$25:AJ$84,Административные!$F$25:$F$84,$F344,Административные!$G$25:$G$84,$G344)</f>
        <v>0</v>
      </c>
      <c r="AU344" s="1100"/>
      <c r="AV344" s="1100"/>
      <c r="AW344" s="1100"/>
      <c r="AX344" s="1100"/>
      <c r="AY344" s="1100"/>
      <c r="AZ344" s="1100"/>
      <c r="BA344" s="1100"/>
      <c r="BB344" s="1100"/>
      <c r="BC344" s="1100"/>
      <c r="BD344" s="1099">
        <f>IF(AI344=0,0,(AT344-AI344)/AI344*100)</f>
        <v>0</v>
      </c>
      <c r="BE344" s="1100"/>
      <c r="BF344" s="1100"/>
      <c r="BG344" s="1100"/>
      <c r="BH344" s="1100"/>
      <c r="BI344" s="1100"/>
      <c r="BJ344" s="1100"/>
      <c r="BK344" s="1100"/>
      <c r="BL344" s="1100"/>
      <c r="BM344" s="1100"/>
      <c r="BN344" s="4617"/>
      <c r="BO344" s="4619" t="str">
        <f>IF(_xlfn.IFERROR(INDEX(Административные!$K$26:$L$84,MATCH($F344&amp;"11komm",Административные!$K$26:$K$84,0),2),"")=0,"",_xlfn.IFERROR(INDEX(Административные!$K$26:$L$84,MATCH($F344&amp;"11komm",Административные!$K$26:$K$84,0),2),""))</f>
        <v/>
      </c>
      <c r="BP344" s="4617"/>
      <c r="BQ344" s="960"/>
      <c r="BR344" s="960"/>
      <c r="BS344" s="1048" t="s">
        <v>1087</v>
      </c>
      <c r="BT344" s="1048"/>
      <c r="BU344" s="1048"/>
      <c r="BV344" s="962"/>
      <c r="BW344" s="962"/>
    </row>
    <row s="1621" customFormat="1" customHeight="1" ht="14.25">
      <c r="A345" s="960"/>
      <c r="B345" s="961"/>
      <c r="C345" s="73"/>
      <c r="D345" s="73"/>
      <c r="E345" s="600">
        <v>15</v>
      </c>
      <c r="F345" s="50" cm="1" t="str">
        <f t="array" ref="F345:F345">OFFSET(E345,-1,1)</f>
        <v>2</v>
      </c>
      <c r="G345" s="73" t="s">
        <v>1088</v>
      </c>
      <c r="H345" s="839"/>
      <c r="I345" s="839" t="s">
        <v>1853</v>
      </c>
      <c r="J345" s="73"/>
      <c r="K345" s="345" t="s">
        <v>1853</v>
      </c>
      <c r="L345" s="963"/>
      <c r="M345" s="73"/>
      <c r="N345" s="73"/>
      <c r="O345" s="73"/>
      <c r="P345" s="73"/>
      <c r="Q345" s="73"/>
      <c r="R345" s="73"/>
      <c r="S345" s="73"/>
      <c r="T345" s="439" cm="1" t="str">
        <f t="array" ref="T345:T345">T344</f>
        <v>true</v>
      </c>
      <c r="U345" s="73"/>
      <c r="V345" s="73"/>
      <c r="W345" s="73"/>
      <c r="X345" s="1534"/>
      <c r="Y345" s="960"/>
      <c r="Z345" s="1465"/>
      <c r="AA345" s="960"/>
      <c r="AB345" s="267" t="s">
        <v>1854</v>
      </c>
      <c r="AC345" s="749" t="s">
        <v>1089</v>
      </c>
      <c r="AD345" s="267" t="s">
        <v>784</v>
      </c>
      <c r="AE345" s="1099">
        <f>_xlfn.SUMIFS(Административные!AE$25:AE$84,Административные!$F$25:$F$84,$F345,Административные!$G$25:$G$84,$G345)</f>
        <v>0</v>
      </c>
      <c r="AF345" s="1099">
        <f>_xlfn.SUMIFS(Административные!AF$25:AF$84,Административные!$F$25:$F$84,$F345,Административные!$G$25:$G$84,$G345)</f>
        <v>0</v>
      </c>
      <c r="AG345" s="1099">
        <f>_xlfn.SUMIFS(Административные!AG$25:AG$84,Административные!$F$25:$F$84,$F345,Административные!$G$25:$G$84,$G345)</f>
        <v>0</v>
      </c>
      <c r="AH345" s="1099">
        <f>AG345-AF345</f>
        <v>0</v>
      </c>
      <c r="AI345" s="1099">
        <f>_xlfn.SUMIFS(Административные!AH$25:AH$84,Административные!$F$25:$F$84,$F345,Административные!$G$25:$G$84,$G345)</f>
        <v>0</v>
      </c>
      <c r="AJ345" s="1099">
        <f>_xlfn.SUMIFS(Административные!AI$25:AI$84,Административные!$F$25:$F$84,$F345,Административные!$G$25:$G$84,$G345)</f>
        <v>0</v>
      </c>
      <c r="AK345" s="1100"/>
      <c r="AL345" s="1100"/>
      <c r="AM345" s="1100"/>
      <c r="AN345" s="1100"/>
      <c r="AO345" s="1100"/>
      <c r="AP345" s="1100"/>
      <c r="AQ345" s="1100"/>
      <c r="AR345" s="1100"/>
      <c r="AS345" s="1100"/>
      <c r="AT345" s="1099">
        <f>_xlfn.SUMIFS(Административные!AJ$25:AJ$84,Административные!$F$25:$F$84,$F345,Административные!$G$25:$G$84,$G345)</f>
        <v>0</v>
      </c>
      <c r="AU345" s="1100"/>
      <c r="AV345" s="1100"/>
      <c r="AW345" s="1100"/>
      <c r="AX345" s="1100"/>
      <c r="AY345" s="1100"/>
      <c r="AZ345" s="1100"/>
      <c r="BA345" s="1100"/>
      <c r="BB345" s="1100"/>
      <c r="BC345" s="1100"/>
      <c r="BD345" s="1099">
        <f>IF(AI345=0,0,(AT345-AI345)/AI345*100)</f>
        <v>0</v>
      </c>
      <c r="BE345" s="1100"/>
      <c r="BF345" s="1100"/>
      <c r="BG345" s="1100"/>
      <c r="BH345" s="1100"/>
      <c r="BI345" s="1100"/>
      <c r="BJ345" s="1100"/>
      <c r="BK345" s="1100"/>
      <c r="BL345" s="1100"/>
      <c r="BM345" s="1100"/>
      <c r="BN345" s="4617"/>
      <c r="BO345" s="4619" t="str">
        <f>IF(_xlfn.IFERROR(INDEX(Административные!$K$26:$L$84,MATCH($F345&amp;"12komm",Административные!$K$26:$K$84,0),2),"")=0,"",_xlfn.IFERROR(INDEX(Административные!$K$26:$L$84,MATCH($F345&amp;"12komm",Административные!$K$26:$K$84,0),2),""))</f>
        <v/>
      </c>
      <c r="BP345" s="4617"/>
      <c r="BQ345" s="960"/>
      <c r="BR345" s="960"/>
      <c r="BS345" s="1048" t="s">
        <v>1090</v>
      </c>
      <c r="BT345" s="1048"/>
      <c r="BU345" s="1048"/>
      <c r="BV345" s="962"/>
      <c r="BW345" s="962"/>
    </row>
    <row s="1621" customFormat="1" customHeight="1" ht="14.25">
      <c r="A346" s="960"/>
      <c r="B346" s="961"/>
      <c r="C346" s="73"/>
      <c r="D346" s="73"/>
      <c r="E346" s="600">
        <v>15</v>
      </c>
      <c r="F346" s="50" cm="1" t="str">
        <f t="array" ref="F346:F346">OFFSET(E346,-1,1)</f>
        <v>2</v>
      </c>
      <c r="G346" s="73" t="s">
        <v>1091</v>
      </c>
      <c r="H346" s="839"/>
      <c r="I346" s="839" t="s">
        <v>1855</v>
      </c>
      <c r="J346" s="73"/>
      <c r="K346" s="345" t="s">
        <v>1855</v>
      </c>
      <c r="L346" s="963"/>
      <c r="M346" s="73"/>
      <c r="N346" s="73"/>
      <c r="O346" s="73"/>
      <c r="P346" s="73"/>
      <c r="Q346" s="73"/>
      <c r="R346" s="73"/>
      <c r="S346" s="73"/>
      <c r="T346" s="439" cm="1" t="str">
        <f t="array" ref="T346:T346">T345</f>
        <v>true</v>
      </c>
      <c r="U346" s="73"/>
      <c r="V346" s="73"/>
      <c r="W346" s="73"/>
      <c r="X346" s="1534"/>
      <c r="Y346" s="960"/>
      <c r="Z346" s="1465"/>
      <c r="AA346" s="960"/>
      <c r="AB346" s="267" t="s">
        <v>1856</v>
      </c>
      <c r="AC346" s="749" t="s">
        <v>1092</v>
      </c>
      <c r="AD346" s="267" t="s">
        <v>784</v>
      </c>
      <c r="AE346" s="1099">
        <f>_xlfn.SUMIFS(Административные!AE$25:AE$84,Административные!$F$25:$F$84,$F346,Административные!$G$25:$G$84,$G346)</f>
        <v>0</v>
      </c>
      <c r="AF346" s="1099">
        <f>_xlfn.SUMIFS(Административные!AF$25:AF$84,Административные!$F$25:$F$84,$F346,Административные!$G$25:$G$84,$G346)</f>
        <v>0</v>
      </c>
      <c r="AG346" s="1099">
        <f>_xlfn.SUMIFS(Административные!AG$25:AG$84,Административные!$F$25:$F$84,$F346,Административные!$G$25:$G$84,$G346)</f>
        <v>0</v>
      </c>
      <c r="AH346" s="1099">
        <f>AG346-AF346</f>
        <v>0</v>
      </c>
      <c r="AI346" s="1099">
        <f>_xlfn.SUMIFS(Административные!AH$25:AH$84,Административные!$F$25:$F$84,$F346,Административные!$G$25:$G$84,$G346)</f>
        <v>0</v>
      </c>
      <c r="AJ346" s="1099">
        <f>_xlfn.SUMIFS(Административные!AI$25:AI$84,Административные!$F$25:$F$84,$F346,Административные!$G$25:$G$84,$G346)</f>
        <v>0</v>
      </c>
      <c r="AK346" s="1100"/>
      <c r="AL346" s="1100"/>
      <c r="AM346" s="1100"/>
      <c r="AN346" s="1100"/>
      <c r="AO346" s="1100"/>
      <c r="AP346" s="1100"/>
      <c r="AQ346" s="1100"/>
      <c r="AR346" s="1100"/>
      <c r="AS346" s="1100"/>
      <c r="AT346" s="1099">
        <f>_xlfn.SUMIFS(Административные!AJ$25:AJ$84,Административные!$F$25:$F$84,$F346,Административные!$G$25:$G$84,$G346)</f>
        <v>0</v>
      </c>
      <c r="AU346" s="1100"/>
      <c r="AV346" s="1100"/>
      <c r="AW346" s="1100"/>
      <c r="AX346" s="1100"/>
      <c r="AY346" s="1100"/>
      <c r="AZ346" s="1100"/>
      <c r="BA346" s="1100"/>
      <c r="BB346" s="1100"/>
      <c r="BC346" s="1100"/>
      <c r="BD346" s="1099">
        <f>IF(AI346=0,0,(AT346-AI346)/AI346*100)</f>
        <v>0</v>
      </c>
      <c r="BE346" s="1100"/>
      <c r="BF346" s="1100"/>
      <c r="BG346" s="1100"/>
      <c r="BH346" s="1100"/>
      <c r="BI346" s="1100"/>
      <c r="BJ346" s="1100"/>
      <c r="BK346" s="1100"/>
      <c r="BL346" s="1100"/>
      <c r="BM346" s="1100"/>
      <c r="BN346" s="4617"/>
      <c r="BO346" s="4619" t="str">
        <f>IF(_xlfn.IFERROR(INDEX(Административные!$K$26:$L$84,MATCH($F346&amp;"13komm",Административные!$K$26:$K$84,0),2),"")=0,"",_xlfn.IFERROR(INDEX(Административные!$K$26:$L$84,MATCH($F346&amp;"13komm",Административные!$K$26:$K$84,0),2),""))</f>
        <v/>
      </c>
      <c r="BP346" s="4617"/>
      <c r="BQ346" s="960"/>
      <c r="BR346" s="960"/>
      <c r="BS346" s="1048" t="s">
        <v>1093</v>
      </c>
      <c r="BT346" s="1048"/>
      <c r="BU346" s="1048"/>
      <c r="BV346" s="962"/>
      <c r="BW346" s="962"/>
    </row>
    <row s="1621" customFormat="1" customHeight="1" ht="14.25">
      <c r="A347" s="960"/>
      <c r="B347" s="961"/>
      <c r="C347" s="73"/>
      <c r="D347" s="73"/>
      <c r="E347" s="600">
        <v>15</v>
      </c>
      <c r="F347" s="50" cm="1" t="str">
        <f t="array" ref="F347:F347">OFFSET(E347,-1,1)</f>
        <v>2</v>
      </c>
      <c r="G347" s="73" t="s">
        <v>1094</v>
      </c>
      <c r="H347" s="839"/>
      <c r="I347" s="839" t="s">
        <v>1857</v>
      </c>
      <c r="J347" s="73"/>
      <c r="K347" s="345" t="s">
        <v>1857</v>
      </c>
      <c r="L347" s="963"/>
      <c r="M347" s="73"/>
      <c r="N347" s="73"/>
      <c r="O347" s="73"/>
      <c r="P347" s="73"/>
      <c r="Q347" s="73"/>
      <c r="R347" s="73"/>
      <c r="S347" s="73"/>
      <c r="T347" s="439" cm="1" t="str">
        <f t="array" ref="T347:T347">T346</f>
        <v>true</v>
      </c>
      <c r="U347" s="73"/>
      <c r="V347" s="73"/>
      <c r="W347" s="73"/>
      <c r="X347" s="1534"/>
      <c r="Y347" s="960"/>
      <c r="Z347" s="1465"/>
      <c r="AA347" s="960"/>
      <c r="AB347" s="267" t="s">
        <v>1858</v>
      </c>
      <c r="AC347" s="749" t="s">
        <v>1095</v>
      </c>
      <c r="AD347" s="267" t="s">
        <v>784</v>
      </c>
      <c r="AE347" s="768">
        <f>_xlfn.SUMIFS(Административные!AE$25:AE$84,Административные!$F$25:$F$84,$F347,Административные!$G$25:$G$84,$G347)</f>
        <v>0</v>
      </c>
      <c r="AF347" s="768">
        <f>_xlfn.SUMIFS(Административные!AF$25:AF$84,Административные!$F$25:$F$84,$F347,Административные!$G$25:$G$84,$G347)</f>
        <v>0</v>
      </c>
      <c r="AG347" s="768">
        <f>_xlfn.SUMIFS(Административные!AG$25:AG$84,Административные!$F$25:$F$84,$F347,Административные!$G$25:$G$84,$G347)</f>
        <v>0</v>
      </c>
      <c r="AH347" s="748">
        <f>AG347-AF347</f>
        <v>0</v>
      </c>
      <c r="AI347" s="768">
        <f>_xlfn.SUMIFS(Административные!AH$25:AH$84,Административные!$F$25:$F$84,$F347,Административные!$G$25:$G$84,$G347)</f>
        <v>0</v>
      </c>
      <c r="AJ347" s="768">
        <f>_xlfn.SUMIFS(Административные!AI$25:AI$84,Административные!$F$25:$F$84,$F347,Административные!$G$25:$G$84,$G347)</f>
        <v>0</v>
      </c>
      <c r="AK347" s="744"/>
      <c r="AL347" s="744"/>
      <c r="AM347" s="744"/>
      <c r="AN347" s="744"/>
      <c r="AO347" s="744"/>
      <c r="AP347" s="744"/>
      <c r="AQ347" s="744"/>
      <c r="AR347" s="744"/>
      <c r="AS347" s="744"/>
      <c r="AT347" s="768">
        <f>_xlfn.SUMIFS(Административные!AJ$25:AJ$84,Административные!$F$25:$F$84,$F347,Административные!$G$25:$G$84,$G347)</f>
        <v>0</v>
      </c>
      <c r="AU347" s="1100"/>
      <c r="AV347" s="1100"/>
      <c r="AW347" s="1100"/>
      <c r="AX347" s="1100"/>
      <c r="AY347" s="1100"/>
      <c r="AZ347" s="1100"/>
      <c r="BA347" s="1100"/>
      <c r="BB347" s="1100"/>
      <c r="BC347" s="1100"/>
      <c r="BD347" s="1099">
        <f>IF(AI347=0,0,(AT347-AI347)/AI347*100)</f>
        <v>0</v>
      </c>
      <c r="BE347" s="1100"/>
      <c r="BF347" s="1100"/>
      <c r="BG347" s="1100"/>
      <c r="BH347" s="1100"/>
      <c r="BI347" s="1100"/>
      <c r="BJ347" s="1100"/>
      <c r="BK347" s="1100"/>
      <c r="BL347" s="1100"/>
      <c r="BM347" s="1100"/>
      <c r="BN347" s="4617"/>
      <c r="BO347" s="4619" t="str">
        <f>IF(_xlfn.IFERROR(INDEX(Административные!$K$26:$L$84,MATCH($F347&amp;"14komm",Административные!$K$26:$K$84,0),2),"")=0,"",_xlfn.IFERROR(INDEX(Административные!$K$26:$L$84,MATCH($F347&amp;"14komm",Административные!$K$26:$K$84,0),2),""))</f>
        <v/>
      </c>
      <c r="BP347" s="4617"/>
      <c r="BQ347" s="960"/>
      <c r="BR347" s="960"/>
      <c r="BS347" s="1048" t="s">
        <v>1859</v>
      </c>
      <c r="BT347" s="1048"/>
      <c r="BU347" s="1048"/>
      <c r="BV347" s="962"/>
      <c r="BW347" s="962"/>
    </row>
    <row s="1621" customFormat="1" customHeight="1" ht="14.25">
      <c r="A348" s="960"/>
      <c r="B348" s="961"/>
      <c r="C348" s="73"/>
      <c r="D348" s="73"/>
      <c r="E348" s="600">
        <v>15</v>
      </c>
      <c r="F348" s="50" cm="1" t="str">
        <f t="array" ref="F348:F348">OFFSET(E348,-1,1)</f>
        <v>2</v>
      </c>
      <c r="G348" s="73" t="s">
        <v>1097</v>
      </c>
      <c r="H348" s="839"/>
      <c r="I348" s="839" t="s">
        <v>1860</v>
      </c>
      <c r="J348" s="73"/>
      <c r="K348" s="345" t="s">
        <v>1860</v>
      </c>
      <c r="L348" s="963"/>
      <c r="M348" s="73"/>
      <c r="N348" s="73"/>
      <c r="O348" s="73"/>
      <c r="P348" s="73"/>
      <c r="Q348" s="73"/>
      <c r="R348" s="73"/>
      <c r="S348" s="73"/>
      <c r="T348" s="439" cm="1" t="str">
        <f t="array" ref="T348:T348">T347</f>
        <v>true</v>
      </c>
      <c r="U348" s="73"/>
      <c r="V348" s="73"/>
      <c r="W348" s="73"/>
      <c r="X348" s="1534"/>
      <c r="Y348" s="960"/>
      <c r="Z348" s="1465"/>
      <c r="AA348" s="960"/>
      <c r="AB348" s="267" t="s">
        <v>1861</v>
      </c>
      <c r="AC348" s="749" t="s">
        <v>1100</v>
      </c>
      <c r="AD348" s="267" t="s">
        <v>784</v>
      </c>
      <c r="AE348" s="1099">
        <f>_xlfn.SUMIFS(Административные!AE$25:AE$84,Административные!$F$25:$F$84,$F348,Административные!$G$25:$G$84,$G348)</f>
        <v>0</v>
      </c>
      <c r="AF348" s="1099">
        <f>_xlfn.SUMIFS(Административные!AF$25:AF$84,Административные!$F$25:$F$84,$F348,Административные!$G$25:$G$84,$G348)</f>
        <v>0</v>
      </c>
      <c r="AG348" s="1099">
        <f>_xlfn.SUMIFS(Административные!AG$25:AG$84,Административные!$F$25:$F$84,$F348,Административные!$G$25:$G$84,$G348)</f>
        <v>0</v>
      </c>
      <c r="AH348" s="1099">
        <f>AG348-AF348</f>
        <v>0</v>
      </c>
      <c r="AI348" s="1099">
        <f>_xlfn.SUMIFS(Административные!AH$25:AH$84,Административные!$F$25:$F$84,$F348,Административные!$G$25:$G$84,$G348)</f>
        <v>0</v>
      </c>
      <c r="AJ348" s="1099">
        <f>_xlfn.SUMIFS(Административные!AI$25:AI$84,Административные!$F$25:$F$84,$F348,Административные!$G$25:$G$84,$G348)</f>
        <v>0</v>
      </c>
      <c r="AK348" s="1100"/>
      <c r="AL348" s="1100"/>
      <c r="AM348" s="1100"/>
      <c r="AN348" s="1100"/>
      <c r="AO348" s="1100"/>
      <c r="AP348" s="1100"/>
      <c r="AQ348" s="1100"/>
      <c r="AR348" s="1100"/>
      <c r="AS348" s="1100"/>
      <c r="AT348" s="1099">
        <f>_xlfn.SUMIFS(Административные!AJ$25:AJ$84,Административные!$F$25:$F$84,$F348,Административные!$G$25:$G$84,$G348)</f>
        <v>0</v>
      </c>
      <c r="AU348" s="1100"/>
      <c r="AV348" s="1100"/>
      <c r="AW348" s="1100"/>
      <c r="AX348" s="1100"/>
      <c r="AY348" s="1100"/>
      <c r="AZ348" s="1100"/>
      <c r="BA348" s="1100"/>
      <c r="BB348" s="1100"/>
      <c r="BC348" s="1100"/>
      <c r="BD348" s="1099">
        <f>IF(AI348=0,0,(AT348-AI348)/AI348*100)</f>
        <v>0</v>
      </c>
      <c r="BE348" s="1100"/>
      <c r="BF348" s="1100"/>
      <c r="BG348" s="1100"/>
      <c r="BH348" s="1100"/>
      <c r="BI348" s="1100"/>
      <c r="BJ348" s="1100"/>
      <c r="BK348" s="1100"/>
      <c r="BL348" s="1100"/>
      <c r="BM348" s="1100"/>
      <c r="BN348" s="4617"/>
      <c r="BO348" s="4619" t="str">
        <f>IF(_xlfn.IFERROR(INDEX(Административные!$K$26:$L$84,MATCH($F348&amp;"15komm",Административные!$K$26:$K$84,0),2),"")=0,"",_xlfn.IFERROR(INDEX(Административные!$K$26:$L$84,MATCH($F348&amp;"15komm",Административные!$K$26:$K$84,0),2),""))</f>
        <v/>
      </c>
      <c r="BP348" s="4617"/>
      <c r="BQ348" s="960"/>
      <c r="BR348" s="960"/>
      <c r="BS348" s="1048" t="s">
        <v>1101</v>
      </c>
      <c r="BT348" s="1048"/>
      <c r="BU348" s="1048"/>
      <c r="BV348" s="962"/>
      <c r="BW348" s="962"/>
    </row>
    <row s="1621" customFormat="1" customHeight="1" ht="14.25">
      <c r="A349" s="960"/>
      <c r="B349" s="961"/>
      <c r="C349" s="73"/>
      <c r="D349" s="73"/>
      <c r="E349" s="600">
        <v>15</v>
      </c>
      <c r="F349" s="50" cm="1" t="str">
        <f t="array" ref="F349:F349">OFFSET(E349,-1,1)</f>
        <v>2</v>
      </c>
      <c r="G349" s="73" t="s">
        <v>1102</v>
      </c>
      <c r="H349" s="839"/>
      <c r="I349" s="839" t="s">
        <v>1862</v>
      </c>
      <c r="J349" s="73"/>
      <c r="K349" s="345" t="s">
        <v>1862</v>
      </c>
      <c r="L349" s="963"/>
      <c r="M349" s="73"/>
      <c r="N349" s="73"/>
      <c r="O349" s="73"/>
      <c r="P349" s="73"/>
      <c r="Q349" s="73"/>
      <c r="R349" s="73"/>
      <c r="S349" s="73"/>
      <c r="T349" s="439" cm="1" t="str">
        <f t="array" ref="T349:T349">T348</f>
        <v>true</v>
      </c>
      <c r="U349" s="73"/>
      <c r="V349" s="73"/>
      <c r="W349" s="73"/>
      <c r="X349" s="1534"/>
      <c r="Y349" s="960"/>
      <c r="Z349" s="1465"/>
      <c r="AA349" s="960"/>
      <c r="AB349" s="267" t="s">
        <v>1863</v>
      </c>
      <c r="AC349" s="749" t="s">
        <v>1105</v>
      </c>
      <c r="AD349" s="267" t="s">
        <v>784</v>
      </c>
      <c r="AE349" s="1099">
        <f>_xlfn.SUMIFS(Административные!AE$25:AE$84,Административные!$F$25:$F$84,$F349,Административные!$G$25:$G$84,$G349)</f>
        <v>0</v>
      </c>
      <c r="AF349" s="1099">
        <f>_xlfn.SUMIFS(Административные!AF$25:AF$84,Административные!$F$25:$F$84,$F349,Административные!$G$25:$G$84,$G349)</f>
        <v>0</v>
      </c>
      <c r="AG349" s="1099">
        <f>_xlfn.SUMIFS(Административные!AG$25:AG$84,Административные!$F$25:$F$84,$F349,Административные!$G$25:$G$84,$G349)</f>
        <v>0</v>
      </c>
      <c r="AH349" s="1099">
        <f>AG349-AF349</f>
        <v>0</v>
      </c>
      <c r="AI349" s="1099">
        <f>_xlfn.SUMIFS(Административные!AH$25:AH$84,Административные!$F$25:$F$84,$F349,Административные!$G$25:$G$84,$G349)</f>
        <v>0</v>
      </c>
      <c r="AJ349" s="1099">
        <f>_xlfn.SUMIFS(Административные!AI$25:AI$84,Административные!$F$25:$F$84,$F349,Административные!$G$25:$G$84,$G349)</f>
        <v>0</v>
      </c>
      <c r="AK349" s="1100"/>
      <c r="AL349" s="1100"/>
      <c r="AM349" s="1100"/>
      <c r="AN349" s="1100"/>
      <c r="AO349" s="1100"/>
      <c r="AP349" s="1100"/>
      <c r="AQ349" s="1100"/>
      <c r="AR349" s="1100"/>
      <c r="AS349" s="1100"/>
      <c r="AT349" s="1099">
        <f>_xlfn.SUMIFS(Административные!AJ$25:AJ$84,Административные!$F$25:$F$84,$F349,Административные!$G$25:$G$84,$G349)</f>
        <v>0</v>
      </c>
      <c r="AU349" s="1100"/>
      <c r="AV349" s="1100"/>
      <c r="AW349" s="1100"/>
      <c r="AX349" s="1100"/>
      <c r="AY349" s="1100"/>
      <c r="AZ349" s="1100"/>
      <c r="BA349" s="1100"/>
      <c r="BB349" s="1100"/>
      <c r="BC349" s="1100"/>
      <c r="BD349" s="1099">
        <f>IF(AI349=0,0,(AT349-AI349)/AI349*100)</f>
        <v>0</v>
      </c>
      <c r="BE349" s="1100"/>
      <c r="BF349" s="1100"/>
      <c r="BG349" s="1100"/>
      <c r="BH349" s="1100"/>
      <c r="BI349" s="1100"/>
      <c r="BJ349" s="1100"/>
      <c r="BK349" s="1100"/>
      <c r="BL349" s="1100"/>
      <c r="BM349" s="1100"/>
      <c r="BN349" s="4617"/>
      <c r="BO349" s="4619" t="str">
        <f>IF(_xlfn.IFERROR(INDEX(Административные!$K$26:$L$84,MATCH($F349&amp;"16komm",Административные!$K$26:$K$84,0),2),"")=0,"",_xlfn.IFERROR(INDEX(Административные!$K$26:$L$84,MATCH($F349&amp;"16komm",Административные!$K$26:$K$84,0),2),""))</f>
        <v/>
      </c>
      <c r="BP349" s="4617"/>
      <c r="BQ349" s="960"/>
      <c r="BR349" s="960"/>
      <c r="BS349" s="1048" t="s">
        <v>1864</v>
      </c>
      <c r="BT349" s="1048"/>
      <c r="BU349" s="1048"/>
      <c r="BV349" s="962"/>
      <c r="BW349" s="962"/>
    </row>
    <row s="1621" customFormat="1" customHeight="1" ht="21.75">
      <c r="A350" s="960"/>
      <c r="B350" s="961"/>
      <c r="C350" s="73"/>
      <c r="D350" s="73"/>
      <c r="E350" s="600">
        <v>22.5</v>
      </c>
      <c r="F350" s="50" cm="1" t="str">
        <f t="array" ref="F350:F350">OFFSET(E350,-1,1)</f>
        <v>2</v>
      </c>
      <c r="G350" s="73"/>
      <c r="H350" s="839"/>
      <c r="I350" s="839" t="s">
        <v>1247</v>
      </c>
      <c r="J350" s="73"/>
      <c r="K350" s="345" t="s">
        <v>1247</v>
      </c>
      <c r="L350" s="963" t="s">
        <v>877</v>
      </c>
      <c r="M350" s="73"/>
      <c r="N350" s="73"/>
      <c r="O350" s="73"/>
      <c r="P350" s="73"/>
      <c r="Q350" s="73"/>
      <c r="R350" s="73"/>
      <c r="S350" s="73"/>
      <c r="T350" s="439" cm="1" t="str">
        <f t="array" ref="T350:T350">T349</f>
        <v>true</v>
      </c>
      <c r="U350" s="73"/>
      <c r="V350" s="73"/>
      <c r="W350" s="73"/>
      <c r="X350" s="1534"/>
      <c r="Y350" s="960"/>
      <c r="Z350" s="1465"/>
      <c r="AA350" s="960"/>
      <c r="AB350" s="267" t="s">
        <v>974</v>
      </c>
      <c r="AC350" s="746" t="s">
        <v>1865</v>
      </c>
      <c r="AD350" s="267" t="s">
        <v>784</v>
      </c>
      <c r="AE350" s="1101">
        <f>AE351+AE352</f>
        <v>0</v>
      </c>
      <c r="AF350" s="1101">
        <f>AF351+AF352</f>
        <v>0</v>
      </c>
      <c r="AG350" s="1101">
        <f>AG351+AG352</f>
        <v>0</v>
      </c>
      <c r="AH350" s="1099">
        <f>AG350-AF350</f>
        <v>0</v>
      </c>
      <c r="AI350" s="1101">
        <f>AI351+AI352</f>
        <v>0</v>
      </c>
      <c r="AJ350" s="1101">
        <f>AJ351+AJ352</f>
        <v>0</v>
      </c>
      <c r="AK350" s="1100"/>
      <c r="AL350" s="1100"/>
      <c r="AM350" s="1100"/>
      <c r="AN350" s="1100"/>
      <c r="AO350" s="1100"/>
      <c r="AP350" s="1100"/>
      <c r="AQ350" s="1100"/>
      <c r="AR350" s="1100"/>
      <c r="AS350" s="1100"/>
      <c r="AT350" s="1101">
        <f>AT351+AT352</f>
        <v>0</v>
      </c>
      <c r="AU350" s="1100"/>
      <c r="AV350" s="1100"/>
      <c r="AW350" s="1100"/>
      <c r="AX350" s="1100"/>
      <c r="AY350" s="1100"/>
      <c r="AZ350" s="1100"/>
      <c r="BA350" s="1100"/>
      <c r="BB350" s="1100"/>
      <c r="BC350" s="1100"/>
      <c r="BD350" s="1099">
        <f>IF(AI350=0,0,(AT350-AI350)/AI350*100)</f>
        <v>0</v>
      </c>
      <c r="BE350" s="1100"/>
      <c r="BF350" s="1100"/>
      <c r="BG350" s="1100"/>
      <c r="BH350" s="1100"/>
      <c r="BI350" s="1100"/>
      <c r="BJ350" s="1100"/>
      <c r="BK350" s="1100"/>
      <c r="BL350" s="1100"/>
      <c r="BM350" s="1100"/>
      <c r="BN350" s="4617"/>
      <c r="BO350" s="4617"/>
      <c r="BP350" s="4617"/>
      <c r="BQ350" s="960"/>
      <c r="BR350" s="960"/>
      <c r="BS350" s="1046" t="s">
        <v>1670</v>
      </c>
      <c r="BT350" s="1048"/>
      <c r="BU350" s="1048"/>
      <c r="BV350" s="962"/>
      <c r="BW350" s="962"/>
    </row>
    <row s="1621" customFormat="1" customHeight="1" ht="14.25">
      <c r="A351" s="960"/>
      <c r="B351" s="961"/>
      <c r="C351" s="73"/>
      <c r="D351" s="73"/>
      <c r="E351" s="600">
        <v>15</v>
      </c>
      <c r="F351" s="50" cm="1" t="str">
        <f t="array" ref="F351:F351">OFFSET(E351,-1,1)</f>
        <v>2</v>
      </c>
      <c r="G351" s="73" t="s">
        <v>1061</v>
      </c>
      <c r="H351" s="839"/>
      <c r="I351" s="839" t="s">
        <v>1866</v>
      </c>
      <c r="J351" s="73"/>
      <c r="K351" s="345" t="s">
        <v>1866</v>
      </c>
      <c r="L351" s="963" t="s">
        <v>477</v>
      </c>
      <c r="M351" s="73"/>
      <c r="N351" s="73"/>
      <c r="O351" s="73"/>
      <c r="P351" s="73"/>
      <c r="Q351" s="73"/>
      <c r="R351" s="73"/>
      <c r="S351" s="73"/>
      <c r="T351" s="439" cm="1" t="str">
        <f t="array" ref="T351:T351">T350</f>
        <v>true</v>
      </c>
      <c r="U351" s="73"/>
      <c r="V351" s="73"/>
      <c r="W351" s="73"/>
      <c r="X351" s="1534"/>
      <c r="Y351" s="960"/>
      <c r="Z351" s="1465"/>
      <c r="AA351" s="960"/>
      <c r="AB351" s="267" t="s">
        <v>1867</v>
      </c>
      <c r="AC351" s="749" t="s">
        <v>1671</v>
      </c>
      <c r="AD351" s="752" t="s">
        <v>784</v>
      </c>
      <c r="AE351" s="1099">
        <f>_xlfn.SUMIFS(ФОТ!AE$25:AE$102,ФОТ!$F$25:$F$102,$F351,ФОТ!$G$25:$G$102,$G351)</f>
        <v>0</v>
      </c>
      <c r="AF351" s="1099">
        <f>_xlfn.SUMIFS(ФОТ!AF$25:AF$102,ФОТ!$F$25:$F$102,$F351,ФОТ!$G$25:$G$102,$G351)</f>
        <v>0</v>
      </c>
      <c r="AG351" s="1099">
        <f>_xlfn.SUMIFS(ФОТ!AG$25:AG$102,ФОТ!$F$25:$F$102,$F351,ФОТ!$G$25:$G$102,$G351)</f>
        <v>0</v>
      </c>
      <c r="AH351" s="1099">
        <f>AG351-AF351</f>
        <v>0</v>
      </c>
      <c r="AI351" s="1099">
        <f>_xlfn.SUMIFS(ФОТ!AH$25:AH$102,ФОТ!$F$25:$F$102,$F351,ФОТ!$G$25:$G$102,$G351)</f>
        <v>0</v>
      </c>
      <c r="AJ351" s="1099">
        <f>_xlfn.SUMIFS(ФОТ!AI$25:AI$102,ФОТ!$F$25:$F$102,$F351,ФОТ!$G$25:$G$102,$G351)</f>
        <v>0</v>
      </c>
      <c r="AK351" s="1100"/>
      <c r="AL351" s="1100"/>
      <c r="AM351" s="1100"/>
      <c r="AN351" s="1100"/>
      <c r="AO351" s="1100"/>
      <c r="AP351" s="1100"/>
      <c r="AQ351" s="1100"/>
      <c r="AR351" s="1100"/>
      <c r="AS351" s="1100"/>
      <c r="AT351" s="1099">
        <f>_xlfn.SUMIFS(ФОТ!AJ$25:AJ$102,ФОТ!$F$25:$F$102,$F351,ФОТ!$G$25:$G$102,$G351)</f>
        <v>0</v>
      </c>
      <c r="AU351" s="1100"/>
      <c r="AV351" s="1100"/>
      <c r="AW351" s="1100"/>
      <c r="AX351" s="1100"/>
      <c r="AY351" s="1100"/>
      <c r="AZ351" s="1100"/>
      <c r="BA351" s="1100"/>
      <c r="BB351" s="1100"/>
      <c r="BC351" s="1100"/>
      <c r="BD351" s="1099">
        <f>IF(AI351=0,0,(AT351-AI351)/AI351*100)</f>
        <v>0</v>
      </c>
      <c r="BE351" s="1100"/>
      <c r="BF351" s="1100"/>
      <c r="BG351" s="1100"/>
      <c r="BH351" s="1100"/>
      <c r="BI351" s="1100"/>
      <c r="BJ351" s="1100"/>
      <c r="BK351" s="1100"/>
      <c r="BL351" s="1100"/>
      <c r="BM351" s="1100"/>
      <c r="BN351" s="4617"/>
      <c r="BO351" s="4619" t="str">
        <f>IF(_xlfn.IFERROR(INDEX(ФОТ!$K$26:$L$102,MATCH($F351&amp;"5komm",ФОТ!$K$26:$K$102,0),2),"")=0,"",_xlfn.IFERROR(INDEX(ФОТ!$K$26:$L$102,MATCH($F351&amp;"5komm",ФОТ!$K$26:$K$102,0),2),""))</f>
        <v/>
      </c>
      <c r="BP351" s="4617"/>
      <c r="BQ351" s="960"/>
      <c r="BR351" s="960"/>
      <c r="BS351" s="1046" t="s">
        <v>1078</v>
      </c>
      <c r="BT351" s="1048"/>
      <c r="BU351" s="1048"/>
      <c r="BV351" s="962"/>
      <c r="BW351" s="962"/>
    </row>
    <row s="1621" customFormat="1" customHeight="1" ht="21.75">
      <c r="A352" s="960"/>
      <c r="B352" s="961"/>
      <c r="C352" s="73"/>
      <c r="D352" s="73"/>
      <c r="E352" s="600">
        <v>22.5</v>
      </c>
      <c r="F352" s="50" cm="1" t="str">
        <f t="array" ref="F352:F352">OFFSET(E352,-1,1)</f>
        <v>2</v>
      </c>
      <c r="G352" s="73" t="s">
        <v>1066</v>
      </c>
      <c r="H352" s="839"/>
      <c r="I352" s="839" t="s">
        <v>1868</v>
      </c>
      <c r="J352" s="73"/>
      <c r="K352" s="345" t="s">
        <v>1868</v>
      </c>
      <c r="L352" s="963" t="s">
        <v>482</v>
      </c>
      <c r="M352" s="73"/>
      <c r="N352" s="73"/>
      <c r="O352" s="73"/>
      <c r="P352" s="73"/>
      <c r="Q352" s="73"/>
      <c r="R352" s="73"/>
      <c r="S352" s="73"/>
      <c r="T352" s="439" cm="1" t="str">
        <f t="array" ref="T352:T352">T351</f>
        <v>true</v>
      </c>
      <c r="U352" s="73"/>
      <c r="V352" s="73"/>
      <c r="W352" s="73"/>
      <c r="X352" s="1534"/>
      <c r="Y352" s="960"/>
      <c r="Z352" s="1465"/>
      <c r="AA352" s="960"/>
      <c r="AB352" s="267" t="s">
        <v>1869</v>
      </c>
      <c r="AC352" s="749" t="s">
        <v>1870</v>
      </c>
      <c r="AD352" s="267" t="s">
        <v>784</v>
      </c>
      <c r="AE352" s="1099">
        <f>_xlfn.SUMIFS(ФОТ!AE$25:AE$102,ФОТ!$F$25:$F$102,$F352,ФОТ!$G$25:$G$102,$G352)</f>
        <v>0</v>
      </c>
      <c r="AF352" s="1099">
        <f>_xlfn.SUMIFS(ФОТ!AF$25:AF$102,ФОТ!$F$25:$F$102,$F352,ФОТ!$G$25:$G$102,$G352)</f>
        <v>0</v>
      </c>
      <c r="AG352" s="1099">
        <f>_xlfn.SUMIFS(ФОТ!AG$25:AG$102,ФОТ!$F$25:$F$102,$F352,ФОТ!$G$25:$G$102,$G352)</f>
        <v>0</v>
      </c>
      <c r="AH352" s="1099">
        <f>AG352-AF352</f>
        <v>0</v>
      </c>
      <c r="AI352" s="1099">
        <f>_xlfn.SUMIFS(ФОТ!AH$25:AH$102,ФОТ!$F$25:$F$102,$F352,ФОТ!$G$25:$G$102,$G352)</f>
        <v>0</v>
      </c>
      <c r="AJ352" s="1099">
        <f>_xlfn.SUMIFS(ФОТ!AI$25:AI$102,ФОТ!$F$25:$F$102,$F352,ФОТ!$G$25:$G$102,$G352)</f>
        <v>0</v>
      </c>
      <c r="AK352" s="1100"/>
      <c r="AL352" s="1100"/>
      <c r="AM352" s="1100"/>
      <c r="AN352" s="1100"/>
      <c r="AO352" s="1100"/>
      <c r="AP352" s="1100"/>
      <c r="AQ352" s="1100"/>
      <c r="AR352" s="1100"/>
      <c r="AS352" s="1100"/>
      <c r="AT352" s="1099">
        <f>_xlfn.SUMIFS(ФОТ!AJ$25:AJ$102,ФОТ!$F$25:$F$102,$F352,ФОТ!$G$25:$G$102,$G352)</f>
        <v>0</v>
      </c>
      <c r="AU352" s="1100"/>
      <c r="AV352" s="1100"/>
      <c r="AW352" s="1100"/>
      <c r="AX352" s="1100"/>
      <c r="AY352" s="1100"/>
      <c r="AZ352" s="1100"/>
      <c r="BA352" s="1100"/>
      <c r="BB352" s="1100"/>
      <c r="BC352" s="1100"/>
      <c r="BD352" s="1099">
        <f>IF(AI352=0,0,(AT352-AI352)/AI352*100)</f>
        <v>0</v>
      </c>
      <c r="BE352" s="1100"/>
      <c r="BF352" s="1100"/>
      <c r="BG352" s="1100"/>
      <c r="BH352" s="1100"/>
      <c r="BI352" s="1100"/>
      <c r="BJ352" s="1100"/>
      <c r="BK352" s="1100"/>
      <c r="BL352" s="1100"/>
      <c r="BM352" s="1100"/>
      <c r="BN352" s="4617"/>
      <c r="BO352" s="4619" t="str">
        <f>IF(_xlfn.IFERROR(INDEX(ФОТ!$K$26:$L$102,MATCH($F352&amp;"6komm",ФОТ!$K$26:$K$102,0),2),"")=0,"",_xlfn.IFERROR(INDEX(ФОТ!$K$26:$L$102,MATCH($F352&amp;"6komm",ФОТ!$K$26:$K$102,0),2),""))</f>
        <v/>
      </c>
      <c r="BP352" s="4617"/>
      <c r="BQ352" s="960"/>
      <c r="BR352" s="960"/>
      <c r="BS352" s="1046" t="s">
        <v>1673</v>
      </c>
      <c r="BT352" s="1048"/>
      <c r="BU352" s="1048"/>
      <c r="BV352" s="962"/>
      <c r="BW352" s="962"/>
    </row>
    <row s="1621" customFormat="1" customHeight="1" ht="32.25">
      <c r="A353" s="960"/>
      <c r="B353" s="961"/>
      <c r="C353" s="73"/>
      <c r="D353" s="73"/>
      <c r="E353" s="600">
        <v>33.75</v>
      </c>
      <c r="F353" s="50" cm="1" t="str">
        <f t="array" ref="F353:F353">OFFSET(E353,-1,1)</f>
        <v>2</v>
      </c>
      <c r="G353" s="830" t="s">
        <v>1107</v>
      </c>
      <c r="H353" s="839"/>
      <c r="I353" s="839" t="s">
        <v>1250</v>
      </c>
      <c r="J353" s="73"/>
      <c r="K353" s="345" t="s">
        <v>1250</v>
      </c>
      <c r="L353" s="963" t="s">
        <v>879</v>
      </c>
      <c r="M353" s="73"/>
      <c r="N353" s="73"/>
      <c r="O353" s="73"/>
      <c r="P353" s="73"/>
      <c r="Q353" s="73"/>
      <c r="R353" s="73"/>
      <c r="S353" s="73"/>
      <c r="T353" s="439" cm="1" t="str">
        <f t="array" ref="T353:T353">T352</f>
        <v>true</v>
      </c>
      <c r="U353" s="73"/>
      <c r="V353" s="73"/>
      <c r="W353" s="73"/>
      <c r="X353" s="1534"/>
      <c r="Y353" s="960"/>
      <c r="Z353" s="1465"/>
      <c r="AA353" s="960"/>
      <c r="AB353" s="267" t="s">
        <v>1251</v>
      </c>
      <c r="AC353" s="746" t="s">
        <v>1871</v>
      </c>
      <c r="AD353" s="267" t="s">
        <v>784</v>
      </c>
      <c r="AE353" s="1099">
        <f>_xlfn.SUMIFS(Административные!AE$25:AE$84,Административные!$F$25:$F$84,$F353,Административные!$G$25:$G$84,$G353)</f>
        <v>0</v>
      </c>
      <c r="AF353" s="1099">
        <f>_xlfn.SUMIFS(Административные!AF$25:AF$84,Административные!$F$25:$F$84,$F353,Административные!$G$25:$G$84,$G353)</f>
        <v>0</v>
      </c>
      <c r="AG353" s="1099">
        <f>_xlfn.SUMIFS(Административные!AG$25:AG$84,Административные!$F$25:$F$84,$F353,Административные!$G$25:$G$84,$G353)</f>
        <v>0</v>
      </c>
      <c r="AH353" s="1099">
        <f>AG353-AF353</f>
        <v>0</v>
      </c>
      <c r="AI353" s="1099">
        <f>_xlfn.SUMIFS(Административные!AH$25:AH$84,Административные!$F$25:$F$84,$F353,Административные!$G$25:$G$84,$G353)</f>
        <v>0</v>
      </c>
      <c r="AJ353" s="1099">
        <f>_xlfn.SUMIFS(Административные!AI$25:AI$84,Административные!$F$25:$F$84,$F353,Административные!$G$25:$G$84,$G353)</f>
        <v>0</v>
      </c>
      <c r="AK353" s="1100"/>
      <c r="AL353" s="1100"/>
      <c r="AM353" s="1100"/>
      <c r="AN353" s="1100"/>
      <c r="AO353" s="1100"/>
      <c r="AP353" s="1100"/>
      <c r="AQ353" s="1100"/>
      <c r="AR353" s="1100"/>
      <c r="AS353" s="1100"/>
      <c r="AT353" s="1099">
        <f>_xlfn.SUMIFS(Административные!AJ$25:AJ$84,Административные!$F$25:$F$84,$F353,Административные!$G$25:$G$84,$G353)</f>
        <v>0</v>
      </c>
      <c r="AU353" s="1100"/>
      <c r="AV353" s="1100"/>
      <c r="AW353" s="1100"/>
      <c r="AX353" s="1100"/>
      <c r="AY353" s="1100"/>
      <c r="AZ353" s="1100"/>
      <c r="BA353" s="1100"/>
      <c r="BB353" s="1100"/>
      <c r="BC353" s="1100"/>
      <c r="BD353" s="1099">
        <f>IF(AI353=0,0,(AT353-AI353)/AI353*100)</f>
        <v>0</v>
      </c>
      <c r="BE353" s="1100"/>
      <c r="BF353" s="1100"/>
      <c r="BG353" s="1100"/>
      <c r="BH353" s="1100"/>
      <c r="BI353" s="1100"/>
      <c r="BJ353" s="1100"/>
      <c r="BK353" s="1100"/>
      <c r="BL353" s="1100"/>
      <c r="BM353" s="1100"/>
      <c r="BN353" s="4617"/>
      <c r="BO353" s="4619" t="str">
        <f>IF(_xlfn.IFERROR(INDEX(Административные!$K$26:$L$84,MATCH($F353&amp;"2komm",Административные!$K$26:$K$84,0),2),"")=0,"",_xlfn.IFERROR(INDEX(Административные!$K$26:$L$84,MATCH($F353&amp;"2komm",Административные!$K$26:$K$84,0),2),""))</f>
        <v/>
      </c>
      <c r="BP353" s="4617"/>
      <c r="BQ353" s="960"/>
      <c r="BR353" s="960"/>
      <c r="BS353" s="1046" t="s">
        <v>1109</v>
      </c>
      <c r="BT353" s="1048"/>
      <c r="BU353" s="1048"/>
      <c r="BV353" s="962"/>
      <c r="BW353" s="962"/>
    </row>
    <row s="1621" customFormat="1" customHeight="1" ht="14.25">
      <c r="A354" s="960"/>
      <c r="B354" s="961"/>
      <c r="C354" s="73"/>
      <c r="D354" s="73"/>
      <c r="E354" s="600">
        <v>15</v>
      </c>
      <c r="F354" s="50" cm="1" t="str">
        <f t="array" ref="F354:F354">OFFSET(E354,-1,1)</f>
        <v>2</v>
      </c>
      <c r="G354" s="830" t="s">
        <v>1110</v>
      </c>
      <c r="H354" s="839"/>
      <c r="I354" s="839" t="s">
        <v>1254</v>
      </c>
      <c r="J354" s="73"/>
      <c r="K354" s="345" t="s">
        <v>1254</v>
      </c>
      <c r="L354" s="963" t="s">
        <v>881</v>
      </c>
      <c r="M354" s="73"/>
      <c r="N354" s="73"/>
      <c r="O354" s="73"/>
      <c r="P354" s="73"/>
      <c r="Q354" s="73"/>
      <c r="R354" s="73"/>
      <c r="S354" s="73"/>
      <c r="T354" s="439" cm="1" t="str">
        <f t="array" ref="T354:T354">T353</f>
        <v>true</v>
      </c>
      <c r="U354" s="73"/>
      <c r="V354" s="73"/>
      <c r="W354" s="73"/>
      <c r="X354" s="1534"/>
      <c r="Y354" s="960"/>
      <c r="Z354" s="1465"/>
      <c r="AA354" s="960"/>
      <c r="AB354" s="267" t="s">
        <v>1255</v>
      </c>
      <c r="AC354" s="746" t="s">
        <v>1872</v>
      </c>
      <c r="AD354" s="267" t="s">
        <v>784</v>
      </c>
      <c r="AE354" s="1099">
        <f>_xlfn.SUMIFS(Административные!AE$25:AE$84,Административные!$F$25:$F$84,$F354,Административные!$G$25:$G$84,$G354)</f>
        <v>0</v>
      </c>
      <c r="AF354" s="1099">
        <f>_xlfn.SUMIFS(Административные!AF$25:AF$84,Административные!$F$25:$F$84,$F354,Административные!$G$25:$G$84,$G354)</f>
        <v>0</v>
      </c>
      <c r="AG354" s="1099">
        <f>_xlfn.SUMIFS(Административные!AG$25:AG$84,Административные!$F$25:$F$84,$F354,Административные!$G$25:$G$84,$G354)</f>
        <v>0</v>
      </c>
      <c r="AH354" s="1099">
        <f>AG354-AF354</f>
        <v>0</v>
      </c>
      <c r="AI354" s="1099">
        <f>_xlfn.SUMIFS(Административные!AH$25:AH$84,Административные!$F$25:$F$84,$F354,Административные!$G$25:$G$84,$G354)</f>
        <v>0</v>
      </c>
      <c r="AJ354" s="1099">
        <f>_xlfn.SUMIFS(Административные!AI$25:AI$84,Административные!$F$25:$F$84,$F354,Административные!$G$25:$G$84,$G354)</f>
        <v>0</v>
      </c>
      <c r="AK354" s="1100"/>
      <c r="AL354" s="1100"/>
      <c r="AM354" s="1100"/>
      <c r="AN354" s="1100"/>
      <c r="AO354" s="1100"/>
      <c r="AP354" s="1100"/>
      <c r="AQ354" s="1100"/>
      <c r="AR354" s="1100"/>
      <c r="AS354" s="1100"/>
      <c r="AT354" s="1099">
        <f>_xlfn.SUMIFS(Административные!AJ$25:AJ$84,Административные!$F$25:$F$84,$F354,Административные!$G$25:$G$84,$G354)</f>
        <v>0</v>
      </c>
      <c r="AU354" s="1100"/>
      <c r="AV354" s="1100"/>
      <c r="AW354" s="1100"/>
      <c r="AX354" s="1100"/>
      <c r="AY354" s="1100"/>
      <c r="AZ354" s="1100"/>
      <c r="BA354" s="1100"/>
      <c r="BB354" s="1100"/>
      <c r="BC354" s="1100"/>
      <c r="BD354" s="1099">
        <f>IF(AI354=0,0,(AT354-AI354)/AI354*100)</f>
        <v>0</v>
      </c>
      <c r="BE354" s="1100"/>
      <c r="BF354" s="1100"/>
      <c r="BG354" s="1100"/>
      <c r="BH354" s="1100"/>
      <c r="BI354" s="1100"/>
      <c r="BJ354" s="1100"/>
      <c r="BK354" s="1100"/>
      <c r="BL354" s="1100"/>
      <c r="BM354" s="1100"/>
      <c r="BN354" s="4617"/>
      <c r="BO354" s="4619" t="str">
        <f>IF(_xlfn.IFERROR(INDEX(Административные!$K$26:$L$84,MATCH($F354&amp;"3komm",Административные!$K$26:$K$84,0),2),"")=0,"",_xlfn.IFERROR(INDEX(Административные!$K$26:$L$84,MATCH($F354&amp;"3komm",Административные!$K$26:$K$84,0),2),""))</f>
        <v/>
      </c>
      <c r="BP354" s="4617"/>
      <c r="BQ354" s="960"/>
      <c r="BR354" s="960"/>
      <c r="BS354" s="1046" t="s">
        <v>1112</v>
      </c>
      <c r="BT354" s="1048"/>
      <c r="BU354" s="1048"/>
      <c r="BV354" s="962"/>
      <c r="BW354" s="962"/>
    </row>
    <row s="1621" customFormat="1" customHeight="1" ht="14.25">
      <c r="A355" s="960"/>
      <c r="B355" s="961"/>
      <c r="C355" s="73"/>
      <c r="D355" s="73"/>
      <c r="E355" s="600">
        <v>15</v>
      </c>
      <c r="F355" s="50" cm="1" t="str">
        <f t="array" ref="F355:F355">OFFSET(E355,-1,1)</f>
        <v>2</v>
      </c>
      <c r="G355" s="830" t="s">
        <v>1113</v>
      </c>
      <c r="H355" s="839"/>
      <c r="I355" s="839" t="s">
        <v>1873</v>
      </c>
      <c r="J355" s="73"/>
      <c r="K355" s="345" t="s">
        <v>1873</v>
      </c>
      <c r="L355" s="963" t="s">
        <v>884</v>
      </c>
      <c r="M355" s="73"/>
      <c r="N355" s="73"/>
      <c r="O355" s="73"/>
      <c r="P355" s="73"/>
      <c r="Q355" s="73"/>
      <c r="R355" s="73"/>
      <c r="S355" s="73"/>
      <c r="T355" s="439" cm="1" t="str">
        <f t="array" ref="T355:T355">T354</f>
        <v>true</v>
      </c>
      <c r="U355" s="73"/>
      <c r="V355" s="73"/>
      <c r="W355" s="73"/>
      <c r="X355" s="1534"/>
      <c r="Y355" s="960"/>
      <c r="Z355" s="1465"/>
      <c r="AA355" s="960"/>
      <c r="AB355" s="267" t="s">
        <v>1874</v>
      </c>
      <c r="AC355" s="746" t="s">
        <v>1875</v>
      </c>
      <c r="AD355" s="267" t="s">
        <v>784</v>
      </c>
      <c r="AE355" s="1099">
        <f>_xlfn.SUMIFS(Административные!AE$25:AE$84,Административные!$F$25:$F$84,$F355,Административные!$G$25:$G$84,$G355)</f>
        <v>0</v>
      </c>
      <c r="AF355" s="1099">
        <f>_xlfn.SUMIFS(Административные!AF$25:AF$84,Административные!$F$25:$F$84,$F355,Административные!$G$25:$G$84,$G355)</f>
        <v>0</v>
      </c>
      <c r="AG355" s="1099">
        <f>_xlfn.SUMIFS(Административные!AG$25:AG$84,Административные!$F$25:$F$84,$F355,Административные!$G$25:$G$84,$G355)</f>
        <v>0</v>
      </c>
      <c r="AH355" s="1099">
        <f>AG355-AF355</f>
        <v>0</v>
      </c>
      <c r="AI355" s="1099">
        <f>_xlfn.SUMIFS(Административные!AH$25:AH$84,Административные!$F$25:$F$84,$F355,Административные!$G$25:$G$84,$G355)</f>
        <v>0</v>
      </c>
      <c r="AJ355" s="1099">
        <f>_xlfn.SUMIFS(Административные!AI$25:AI$84,Административные!$F$25:$F$84,$F355,Административные!$G$25:$G$84,$G355)</f>
        <v>0</v>
      </c>
      <c r="AK355" s="1100"/>
      <c r="AL355" s="1100"/>
      <c r="AM355" s="1100"/>
      <c r="AN355" s="1100"/>
      <c r="AO355" s="1100"/>
      <c r="AP355" s="1100"/>
      <c r="AQ355" s="1100"/>
      <c r="AR355" s="1100"/>
      <c r="AS355" s="1100"/>
      <c r="AT355" s="1099">
        <f>_xlfn.SUMIFS(Административные!AJ$25:AJ$84,Административные!$F$25:$F$84,$F355,Административные!$G$25:$G$84,$G355)</f>
        <v>0</v>
      </c>
      <c r="AU355" s="1100"/>
      <c r="AV355" s="1100"/>
      <c r="AW355" s="1100"/>
      <c r="AX355" s="1100"/>
      <c r="AY355" s="1100"/>
      <c r="AZ355" s="1100"/>
      <c r="BA355" s="1100"/>
      <c r="BB355" s="1100"/>
      <c r="BC355" s="1100"/>
      <c r="BD355" s="1099">
        <f>IF(AI355=0,0,(AT355-AI355)/AI355*100)</f>
        <v>0</v>
      </c>
      <c r="BE355" s="1100"/>
      <c r="BF355" s="1100"/>
      <c r="BG355" s="1100"/>
      <c r="BH355" s="1100"/>
      <c r="BI355" s="1100"/>
      <c r="BJ355" s="1100"/>
      <c r="BK355" s="1100"/>
      <c r="BL355" s="1100"/>
      <c r="BM355" s="1100"/>
      <c r="BN355" s="4617"/>
      <c r="BO355" s="4619" t="str">
        <f>IF(_xlfn.IFERROR(INDEX(Административные!$K$26:$L$84,MATCH($F355&amp;"4komm",Административные!$K$26:$K$84,0),2),"")=0,"",_xlfn.IFERROR(INDEX(Административные!$K$26:$L$84,MATCH($F355&amp;"4komm",Административные!$K$26:$K$84,0),2),""))</f>
        <v/>
      </c>
      <c r="BP355" s="4617"/>
      <c r="BQ355" s="960"/>
      <c r="BR355" s="960"/>
      <c r="BS355" s="1046" t="s">
        <v>1115</v>
      </c>
      <c r="BT355" s="1048"/>
      <c r="BU355" s="1048"/>
      <c r="BV355" s="962"/>
      <c r="BW355" s="962"/>
    </row>
    <row s="1621" customFormat="1" customHeight="1" ht="14.25">
      <c r="A356" s="960"/>
      <c r="B356" s="961"/>
      <c r="C356" s="73"/>
      <c r="D356" s="73"/>
      <c r="E356" s="600">
        <v>15</v>
      </c>
      <c r="F356" s="50" cm="1" t="str">
        <f t="array" ref="F356:F356">OFFSET(E356,-1,1)</f>
        <v>2</v>
      </c>
      <c r="G356" s="830" t="s">
        <v>1116</v>
      </c>
      <c r="H356" s="839"/>
      <c r="I356" s="839" t="s">
        <v>1876</v>
      </c>
      <c r="J356" s="73"/>
      <c r="K356" s="345" t="s">
        <v>1876</v>
      </c>
      <c r="L356" s="963" t="s">
        <v>1098</v>
      </c>
      <c r="M356" s="73"/>
      <c r="N356" s="73"/>
      <c r="O356" s="73"/>
      <c r="P356" s="73"/>
      <c r="Q356" s="73"/>
      <c r="R356" s="73"/>
      <c r="S356" s="73"/>
      <c r="T356" s="439" cm="1" t="str">
        <f t="array" ref="T356:T356">T355</f>
        <v>true</v>
      </c>
      <c r="U356" s="73"/>
      <c r="V356" s="73"/>
      <c r="W356" s="73"/>
      <c r="X356" s="1534"/>
      <c r="Y356" s="960"/>
      <c r="Z356" s="1465"/>
      <c r="AA356" s="960"/>
      <c r="AB356" s="267" t="s">
        <v>1877</v>
      </c>
      <c r="AC356" s="746" t="s">
        <v>1878</v>
      </c>
      <c r="AD356" s="267" t="s">
        <v>784</v>
      </c>
      <c r="AE356" s="1099">
        <f>_xlfn.SUMIFS(Административные!AE$25:AE$84,Административные!$F$25:$F$84,$F356,Административные!$G$25:$G$84,$G356)</f>
        <v>0</v>
      </c>
      <c r="AF356" s="1099">
        <f>_xlfn.SUMIFS(Административные!AF$25:AF$84,Административные!$F$25:$F$84,$F356,Административные!$G$25:$G$84,$G356)</f>
        <v>0</v>
      </c>
      <c r="AG356" s="1099">
        <f>_xlfn.SUMIFS(Административные!AG$25:AG$84,Административные!$F$25:$F$84,$F356,Административные!$G$25:$G$84,$G356)</f>
        <v>0</v>
      </c>
      <c r="AH356" s="1099">
        <f>AG356-AF356</f>
        <v>0</v>
      </c>
      <c r="AI356" s="1099">
        <f>_xlfn.SUMIFS(Административные!AH$25:AH$84,Административные!$F$25:$F$84,$F356,Административные!$G$25:$G$84,$G356)</f>
        <v>0</v>
      </c>
      <c r="AJ356" s="1099">
        <f>_xlfn.SUMIFS(Административные!AI$25:AI$84,Административные!$F$25:$F$84,$F356,Административные!$G$25:$G$84,$G356)</f>
        <v>0</v>
      </c>
      <c r="AK356" s="1100"/>
      <c r="AL356" s="1100"/>
      <c r="AM356" s="1100"/>
      <c r="AN356" s="1100"/>
      <c r="AO356" s="1100"/>
      <c r="AP356" s="1100"/>
      <c r="AQ356" s="1100"/>
      <c r="AR356" s="1100"/>
      <c r="AS356" s="1100"/>
      <c r="AT356" s="1099">
        <f>_xlfn.SUMIFS(Административные!AJ$25:AJ$84,Административные!$F$25:$F$84,$F356,Административные!$G$25:$G$84,$G356)</f>
        <v>0</v>
      </c>
      <c r="AU356" s="1100"/>
      <c r="AV356" s="1100"/>
      <c r="AW356" s="1100"/>
      <c r="AX356" s="1100"/>
      <c r="AY356" s="1100"/>
      <c r="AZ356" s="1100"/>
      <c r="BA356" s="1100"/>
      <c r="BB356" s="1100"/>
      <c r="BC356" s="1100"/>
      <c r="BD356" s="1099">
        <f>IF(AI356=0,0,(AT356-AI356)/AI356*100)</f>
        <v>0</v>
      </c>
      <c r="BE356" s="1100"/>
      <c r="BF356" s="1100"/>
      <c r="BG356" s="1100"/>
      <c r="BH356" s="1100"/>
      <c r="BI356" s="1100"/>
      <c r="BJ356" s="1100"/>
      <c r="BK356" s="1100"/>
      <c r="BL356" s="1100"/>
      <c r="BM356" s="1100"/>
      <c r="BN356" s="4617"/>
      <c r="BO356" s="4619" t="str">
        <f>IF(_xlfn.IFERROR(INDEX(Административные!$K$26:$L$84,MATCH($F356&amp;"5komm",Административные!$K$26:$K$84,0),2),"")=0,"",_xlfn.IFERROR(INDEX(Административные!$K$26:$L$84,MATCH($F356&amp;"5komm",Административные!$K$26:$K$84,0),2),""))</f>
        <v/>
      </c>
      <c r="BP356" s="4617"/>
      <c r="BQ356" s="960"/>
      <c r="BR356" s="960"/>
      <c r="BS356" s="1046" t="s">
        <v>1675</v>
      </c>
      <c r="BT356" s="1048"/>
      <c r="BU356" s="1048"/>
      <c r="BV356" s="962"/>
      <c r="BW356" s="962"/>
    </row>
    <row s="1621" customFormat="1" customHeight="1" ht="14.25">
      <c r="A357" s="960"/>
      <c r="B357" s="961"/>
      <c r="C357" s="73"/>
      <c r="D357" s="73"/>
      <c r="E357" s="600">
        <v>15</v>
      </c>
      <c r="F357" s="50" cm="1" t="str">
        <f t="array" ref="F357:F357">OFFSET(E357,-1,1)</f>
        <v>2</v>
      </c>
      <c r="G357" s="830" t="s">
        <v>1119</v>
      </c>
      <c r="H357" s="839"/>
      <c r="I357" s="839" t="s">
        <v>1879</v>
      </c>
      <c r="J357" s="73"/>
      <c r="K357" s="345" t="s">
        <v>1879</v>
      </c>
      <c r="L357" s="963" t="s">
        <v>1103</v>
      </c>
      <c r="M357" s="73"/>
      <c r="N357" s="73"/>
      <c r="O357" s="73"/>
      <c r="P357" s="73"/>
      <c r="Q357" s="73"/>
      <c r="R357" s="73"/>
      <c r="S357" s="73"/>
      <c r="T357" s="439" cm="1" t="str">
        <f t="array" ref="T357:T357">T356</f>
        <v>true</v>
      </c>
      <c r="U357" s="73"/>
      <c r="V357" s="73"/>
      <c r="W357" s="73"/>
      <c r="X357" s="1534"/>
      <c r="Y357" s="960"/>
      <c r="Z357" s="1465"/>
      <c r="AA357" s="960"/>
      <c r="AB357" s="267" t="s">
        <v>1880</v>
      </c>
      <c r="AC357" s="746" t="s">
        <v>1881</v>
      </c>
      <c r="AD357" s="267" t="s">
        <v>784</v>
      </c>
      <c r="AE357" s="1099">
        <f>_xlfn.SUMIFS(Административные!AE$25:AE$84,Административные!$F$25:$F$84,$F357,Административные!$G$25:$G$84,$G357)</f>
        <v>0</v>
      </c>
      <c r="AF357" s="1099">
        <f>_xlfn.SUMIFS(Административные!AF$25:AF$84,Административные!$F$25:$F$84,$F357,Административные!$G$25:$G$84,$G357)</f>
        <v>0</v>
      </c>
      <c r="AG357" s="1099">
        <f>_xlfn.SUMIFS(Административные!AG$25:AG$84,Административные!$F$25:$F$84,$F357,Административные!$G$25:$G$84,$G357)</f>
        <v>0</v>
      </c>
      <c r="AH357" s="1099">
        <f>AG357-AF357</f>
        <v>0</v>
      </c>
      <c r="AI357" s="1099">
        <f>_xlfn.SUMIFS(Административные!AH$25:AH$84,Административные!$F$25:$F$84,$F357,Административные!$G$25:$G$84,$G357)</f>
        <v>0</v>
      </c>
      <c r="AJ357" s="1099">
        <f>_xlfn.SUMIFS(Административные!AI$25:AI$84,Административные!$F$25:$F$84,$F357,Административные!$G$25:$G$84,$G357)</f>
        <v>0</v>
      </c>
      <c r="AK357" s="1100"/>
      <c r="AL357" s="1100"/>
      <c r="AM357" s="1100"/>
      <c r="AN357" s="1100"/>
      <c r="AO357" s="1100"/>
      <c r="AP357" s="1100"/>
      <c r="AQ357" s="1100"/>
      <c r="AR357" s="1100"/>
      <c r="AS357" s="1100"/>
      <c r="AT357" s="1099">
        <f>_xlfn.SUMIFS(Административные!AJ$25:AJ$84,Административные!$F$25:$F$84,$F357,Административные!$G$25:$G$84,$G357)</f>
        <v>0</v>
      </c>
      <c r="AU357" s="1100"/>
      <c r="AV357" s="1100"/>
      <c r="AW357" s="1100"/>
      <c r="AX357" s="1100"/>
      <c r="AY357" s="1100"/>
      <c r="AZ357" s="1100"/>
      <c r="BA357" s="1100"/>
      <c r="BB357" s="1100"/>
      <c r="BC357" s="1100"/>
      <c r="BD357" s="1099">
        <f>IF(AI357=0,0,(AT357-AI357)/AI357*100)</f>
        <v>0</v>
      </c>
      <c r="BE357" s="1100"/>
      <c r="BF357" s="1100"/>
      <c r="BG357" s="1100"/>
      <c r="BH357" s="1100"/>
      <c r="BI357" s="1100"/>
      <c r="BJ357" s="1100"/>
      <c r="BK357" s="1100"/>
      <c r="BL357" s="1100"/>
      <c r="BM357" s="1100"/>
      <c r="BN357" s="4617"/>
      <c r="BO357" s="4619" t="str">
        <f>IF(_xlfn.IFERROR(INDEX(Административные!$K$26:$L$84,MATCH($F357&amp;"6komm",Административные!$K$26:$K$84,0),2),"")=0,"",_xlfn.IFERROR(INDEX(Административные!$K$26:$L$84,MATCH($F357&amp;"6komm",Административные!$K$26:$K$84,0),2),""))</f>
        <v/>
      </c>
      <c r="BP357" s="4617"/>
      <c r="BQ357" s="960"/>
      <c r="BR357" s="960"/>
      <c r="BS357" s="1046" t="s">
        <v>1677</v>
      </c>
      <c r="BT357" s="1048"/>
      <c r="BU357" s="1048"/>
      <c r="BV357" s="962"/>
      <c r="BW357" s="962"/>
    </row>
    <row s="1621" customFormat="1" customHeight="1" ht="14.25">
      <c r="A358" s="960"/>
      <c r="B358" s="961"/>
      <c r="C358" s="73"/>
      <c r="D358" s="73"/>
      <c r="E358" s="600">
        <v>15</v>
      </c>
      <c r="F358" s="50" cm="1" t="str">
        <f t="array" ref="F358:F358">OFFSET(E358,-1,1)</f>
        <v>2</v>
      </c>
      <c r="G358" s="830" t="s">
        <v>1121</v>
      </c>
      <c r="H358" s="839"/>
      <c r="I358" s="839" t="s">
        <v>1882</v>
      </c>
      <c r="J358" s="73"/>
      <c r="K358" s="345" t="s">
        <v>1882</v>
      </c>
      <c r="L358" s="963" t="s">
        <v>1678</v>
      </c>
      <c r="M358" s="73"/>
      <c r="N358" s="73"/>
      <c r="O358" s="73"/>
      <c r="P358" s="73"/>
      <c r="Q358" s="73"/>
      <c r="R358" s="73"/>
      <c r="S358" s="73"/>
      <c r="T358" s="439" cm="1" t="str">
        <f t="array" ref="T358:T358">T357</f>
        <v>true</v>
      </c>
      <c r="U358" s="73"/>
      <c r="V358" s="73"/>
      <c r="W358" s="73"/>
      <c r="X358" s="1534"/>
      <c r="Y358" s="960"/>
      <c r="Z358" s="1465"/>
      <c r="AA358" s="960"/>
      <c r="AB358" s="267" t="s">
        <v>1883</v>
      </c>
      <c r="AC358" s="749" t="s">
        <v>1680</v>
      </c>
      <c r="AD358" s="267" t="s">
        <v>784</v>
      </c>
      <c r="AE358" s="1099">
        <f>_xlfn.SUMIFS(Административные!AE$25:AE$84,Административные!$F$25:$F$84,$F358,Административные!$G$25:$G$84,$G358)</f>
        <v>0</v>
      </c>
      <c r="AF358" s="1099">
        <f>_xlfn.SUMIFS(Административные!AF$25:AF$84,Административные!$F$25:$F$84,$F358,Административные!$G$25:$G$84,$G358)</f>
        <v>0</v>
      </c>
      <c r="AG358" s="1099">
        <f>_xlfn.SUMIFS(Административные!AG$25:AG$84,Административные!$F$25:$F$84,$F358,Административные!$G$25:$G$84,$G358)</f>
        <v>0</v>
      </c>
      <c r="AH358" s="1099">
        <f>AG358-AF358</f>
        <v>0</v>
      </c>
      <c r="AI358" s="1099">
        <f>_xlfn.SUMIFS(Административные!AH$25:AH$84,Административные!$F$25:$F$84,$F358,Административные!$G$25:$G$84,$G358)</f>
        <v>0</v>
      </c>
      <c r="AJ358" s="1099">
        <f>_xlfn.SUMIFS(Административные!AI$25:AI$84,Административные!$F$25:$F$84,$F358,Административные!$G$25:$G$84,$G358)</f>
        <v>0</v>
      </c>
      <c r="AK358" s="1100"/>
      <c r="AL358" s="1100"/>
      <c r="AM358" s="1100"/>
      <c r="AN358" s="1100"/>
      <c r="AO358" s="1100"/>
      <c r="AP358" s="1100"/>
      <c r="AQ358" s="1100"/>
      <c r="AR358" s="1100"/>
      <c r="AS358" s="1100"/>
      <c r="AT358" s="1099">
        <f>_xlfn.SUMIFS(Административные!AJ$25:AJ$84,Административные!$F$25:$F$84,$F358,Административные!$G$25:$G$84,$G358)</f>
        <v>0</v>
      </c>
      <c r="AU358" s="1100"/>
      <c r="AV358" s="1100"/>
      <c r="AW358" s="1100"/>
      <c r="AX358" s="1100"/>
      <c r="AY358" s="1100"/>
      <c r="AZ358" s="1100"/>
      <c r="BA358" s="1100"/>
      <c r="BB358" s="1100"/>
      <c r="BC358" s="1100"/>
      <c r="BD358" s="1099">
        <f>IF(AI358=0,0,(AT358-AI358)/AI358*100)</f>
        <v>0</v>
      </c>
      <c r="BE358" s="1100"/>
      <c r="BF358" s="1100"/>
      <c r="BG358" s="1100"/>
      <c r="BH358" s="1100"/>
      <c r="BI358" s="1100"/>
      <c r="BJ358" s="1100"/>
      <c r="BK358" s="1100"/>
      <c r="BL358" s="1100"/>
      <c r="BM358" s="1100"/>
      <c r="BN358" s="4617"/>
      <c r="BO358" s="4619" t="str">
        <f>IF(_xlfn.IFERROR(INDEX(Административные!$K$26:$L$84,MATCH($F358&amp;"7komm",Административные!$K$26:$K$84,0),2),"")=0,"",_xlfn.IFERROR(INDEX(Административные!$K$26:$L$84,MATCH($F358&amp;"7komm",Административные!$K$26:$K$84,0),2),""))</f>
        <v/>
      </c>
      <c r="BP358" s="4617"/>
      <c r="BQ358" s="960"/>
      <c r="BR358" s="960"/>
      <c r="BS358" s="1046" t="s">
        <v>1681</v>
      </c>
      <c r="BT358" s="1048"/>
      <c r="BU358" s="1048"/>
      <c r="BV358" s="962"/>
      <c r="BW358" s="962"/>
    </row>
    <row s="1621" customFormat="1" customHeight="1" ht="14.25">
      <c r="A359" s="960"/>
      <c r="B359" s="961"/>
      <c r="C359" s="73"/>
      <c r="D359" s="73"/>
      <c r="E359" s="600">
        <v>15</v>
      </c>
      <c r="F359" s="50" cm="1" t="str">
        <f t="array" ref="F359:F359">OFFSET(E359,-1,1)</f>
        <v>2</v>
      </c>
      <c r="G359" s="830" t="s">
        <v>1124</v>
      </c>
      <c r="H359" s="839"/>
      <c r="I359" s="839" t="s">
        <v>1884</v>
      </c>
      <c r="J359" s="73"/>
      <c r="K359" s="345" t="s">
        <v>1884</v>
      </c>
      <c r="L359" s="963" t="s">
        <v>1682</v>
      </c>
      <c r="M359" s="73"/>
      <c r="N359" s="73"/>
      <c r="O359" s="73"/>
      <c r="P359" s="73"/>
      <c r="Q359" s="73"/>
      <c r="R359" s="73"/>
      <c r="S359" s="73"/>
      <c r="T359" s="439" cm="1" t="str">
        <f t="array" ref="T359:T359">T358</f>
        <v>true</v>
      </c>
      <c r="U359" s="73"/>
      <c r="V359" s="73"/>
      <c r="W359" s="73"/>
      <c r="X359" s="1534"/>
      <c r="Y359" s="960"/>
      <c r="Z359" s="1465"/>
      <c r="AA359" s="960"/>
      <c r="AB359" s="267" t="s">
        <v>1885</v>
      </c>
      <c r="AC359" s="749" t="s">
        <v>1125</v>
      </c>
      <c r="AD359" s="267" t="s">
        <v>784</v>
      </c>
      <c r="AE359" s="1099">
        <f>_xlfn.SUMIFS(Административные!AE$25:AE$84,Административные!$F$25:$F$84,$F359,Административные!$G$25:$G$84,$G359)</f>
        <v>0</v>
      </c>
      <c r="AF359" s="1099">
        <f>_xlfn.SUMIFS(Административные!AF$25:AF$84,Административные!$F$25:$F$84,$F359,Административные!$G$25:$G$84,$G359)</f>
        <v>0</v>
      </c>
      <c r="AG359" s="1099">
        <f>_xlfn.SUMIFS(Административные!AG$25:AG$84,Административные!$F$25:$F$84,$F359,Административные!$G$25:$G$84,$G359)</f>
        <v>0</v>
      </c>
      <c r="AH359" s="1099">
        <f>AG359-AF359</f>
        <v>0</v>
      </c>
      <c r="AI359" s="1099">
        <f>_xlfn.SUMIFS(Административные!AH$25:AH$84,Административные!$F$25:$F$84,$F359,Административные!$G$25:$G$84,$G359)</f>
        <v>0</v>
      </c>
      <c r="AJ359" s="1099">
        <f>_xlfn.SUMIFS(Административные!AI$25:AI$84,Административные!$F$25:$F$84,$F359,Административные!$G$25:$G$84,$G359)</f>
        <v>0</v>
      </c>
      <c r="AK359" s="1100"/>
      <c r="AL359" s="1100"/>
      <c r="AM359" s="1100"/>
      <c r="AN359" s="1100"/>
      <c r="AO359" s="1100"/>
      <c r="AP359" s="1100"/>
      <c r="AQ359" s="1100"/>
      <c r="AR359" s="1100"/>
      <c r="AS359" s="1100"/>
      <c r="AT359" s="1099">
        <f>_xlfn.SUMIFS(Административные!AJ$25:AJ$84,Административные!$F$25:$F$84,$F359,Административные!$G$25:$G$84,$G359)</f>
        <v>0</v>
      </c>
      <c r="AU359" s="1100"/>
      <c r="AV359" s="1100"/>
      <c r="AW359" s="1100"/>
      <c r="AX359" s="1100"/>
      <c r="AY359" s="1100"/>
      <c r="AZ359" s="1100"/>
      <c r="BA359" s="1100"/>
      <c r="BB359" s="1100"/>
      <c r="BC359" s="1100"/>
      <c r="BD359" s="1099">
        <f>IF(AI359=0,0,(AT359-AI359)/AI359*100)</f>
        <v>0</v>
      </c>
      <c r="BE359" s="1100"/>
      <c r="BF359" s="1100"/>
      <c r="BG359" s="1100"/>
      <c r="BH359" s="1100"/>
      <c r="BI359" s="1100"/>
      <c r="BJ359" s="1100"/>
      <c r="BK359" s="1100"/>
      <c r="BL359" s="1100"/>
      <c r="BM359" s="1100"/>
      <c r="BN359" s="4617"/>
      <c r="BO359" s="4619" t="str">
        <f>IF(_xlfn.IFERROR(INDEX(Административные!$K$26:$L$84,MATCH($F359&amp;"8komm",Административные!$K$26:$K$84,0),2),"")=0,"",_xlfn.IFERROR(INDEX(Административные!$K$26:$L$84,MATCH($F359&amp;"8komm",Административные!$K$26:$K$84,0),2),""))</f>
        <v/>
      </c>
      <c r="BP359" s="4617"/>
      <c r="BQ359" s="960"/>
      <c r="BR359" s="960"/>
      <c r="BS359" s="1046" t="s">
        <v>1684</v>
      </c>
      <c r="BT359" s="1048"/>
      <c r="BU359" s="1048"/>
      <c r="BV359" s="962"/>
      <c r="BW359" s="962"/>
    </row>
    <row s="1621" customFormat="1" customHeight="1" ht="14.25">
      <c r="A360" s="960"/>
      <c r="B360" s="961"/>
      <c r="C360" s="73"/>
      <c r="D360" s="73"/>
      <c r="E360" s="600">
        <v>15</v>
      </c>
      <c r="F360" s="50" cm="1" t="str">
        <f t="array" ref="F360:F360">OFFSET(E360,-1,1)</f>
        <v>2</v>
      </c>
      <c r="G360" s="73" t="s">
        <v>1127</v>
      </c>
      <c r="H360" s="839"/>
      <c r="I360" s="839" t="s">
        <v>1886</v>
      </c>
      <c r="J360" s="73"/>
      <c r="K360" s="345" t="s">
        <v>1886</v>
      </c>
      <c r="L360" s="963" t="s">
        <v>1685</v>
      </c>
      <c r="M360" s="73"/>
      <c r="N360" s="73"/>
      <c r="O360" s="73"/>
      <c r="P360" s="73"/>
      <c r="Q360" s="73"/>
      <c r="R360" s="73"/>
      <c r="S360" s="73"/>
      <c r="T360" s="439" cm="1" t="str">
        <f t="array" ref="T360:T360">T359</f>
        <v>true</v>
      </c>
      <c r="U360" s="73"/>
      <c r="V360" s="73"/>
      <c r="W360" s="73"/>
      <c r="X360" s="1534"/>
      <c r="Y360" s="960"/>
      <c r="Z360" s="1465"/>
      <c r="AA360" s="960"/>
      <c r="AB360" s="267" t="s">
        <v>1887</v>
      </c>
      <c r="AC360" s="749" t="s">
        <v>1128</v>
      </c>
      <c r="AD360" s="267" t="s">
        <v>784</v>
      </c>
      <c r="AE360" s="1099">
        <f>_xlfn.SUMIFS(Административные!AE$25:AE$84,Административные!$F$25:$F$84,$F360,Административные!$G$25:$G$84,$G360)</f>
        <v>0</v>
      </c>
      <c r="AF360" s="1099">
        <f>_xlfn.SUMIFS(Административные!AF$25:AF$84,Административные!$F$25:$F$84,$F360,Административные!$G$25:$G$84,$G360)</f>
        <v>0</v>
      </c>
      <c r="AG360" s="1099">
        <f>_xlfn.SUMIFS(Административные!AG$25:AG$84,Административные!$F$25:$F$84,$F360,Административные!$G$25:$G$84,$G360)</f>
        <v>0</v>
      </c>
      <c r="AH360" s="1099">
        <f>AG360-AF360</f>
        <v>0</v>
      </c>
      <c r="AI360" s="1099">
        <f>_xlfn.SUMIFS(Административные!AH$25:AH$84,Административные!$F$25:$F$84,$F360,Административные!$G$25:$G$84,$G360)</f>
        <v>0</v>
      </c>
      <c r="AJ360" s="1101">
        <f>_xlfn.SUMIFS(Административные!AI$25:AI$84,Административные!$F$25:$F$84,$F360,Административные!$G$25:$G$84,$G360)</f>
        <v>0</v>
      </c>
      <c r="AK360" s="1100"/>
      <c r="AL360" s="1100"/>
      <c r="AM360" s="1100"/>
      <c r="AN360" s="1100"/>
      <c r="AO360" s="1100"/>
      <c r="AP360" s="1100"/>
      <c r="AQ360" s="1100"/>
      <c r="AR360" s="1100"/>
      <c r="AS360" s="1100"/>
      <c r="AT360" s="1100"/>
      <c r="AU360" s="1100"/>
      <c r="AV360" s="1100"/>
      <c r="AW360" s="1100"/>
      <c r="AX360" s="1100"/>
      <c r="AY360" s="1100"/>
      <c r="AZ360" s="1100"/>
      <c r="BA360" s="1100"/>
      <c r="BB360" s="1100"/>
      <c r="BC360" s="1100"/>
      <c r="BD360" s="1099">
        <f>IF(AI360=0,0,(AT360-AI360)/AI360*100)</f>
        <v>0</v>
      </c>
      <c r="BE360" s="1100"/>
      <c r="BF360" s="1100"/>
      <c r="BG360" s="1100"/>
      <c r="BH360" s="1100"/>
      <c r="BI360" s="1100"/>
      <c r="BJ360" s="1100"/>
      <c r="BK360" s="1100"/>
      <c r="BL360" s="1100"/>
      <c r="BM360" s="1100"/>
      <c r="BN360" s="4617"/>
      <c r="BO360" s="4619" t="str">
        <f>IF(_xlfn.IFERROR(INDEX(Административные!$K$26:$L$84,MATCH($F360&amp;"9komm",Административные!$K$26:$K$84,0),2),"")=0,"",_xlfn.IFERROR(INDEX(Административные!$K$26:$L$84,MATCH($F360&amp;"9komm",Административные!$K$26:$K$84,0),2),""))</f>
        <v/>
      </c>
      <c r="BP360" s="4617"/>
      <c r="BQ360" s="960"/>
      <c r="BR360" s="960"/>
      <c r="BS360" s="1046" t="s">
        <v>1687</v>
      </c>
      <c r="BT360" s="1048"/>
      <c r="BU360" s="1048"/>
      <c r="BV360" s="962"/>
      <c r="BW360" s="962"/>
    </row>
    <row s="1621" customFormat="1" customHeight="1" ht="21.75" hidden="1">
      <c r="A361" s="960"/>
      <c r="B361" s="405">
        <f>STATUS_GO="да"</f>
        <v>0</v>
      </c>
      <c r="C361" s="73"/>
      <c r="D361" s="73"/>
      <c r="E361" s="600">
        <v>22.5</v>
      </c>
      <c r="F361" s="50" cm="1" t="str">
        <f t="array" ref="F361:F361">OFFSET(E361,-1,1)</f>
        <v>2</v>
      </c>
      <c r="G361" s="73"/>
      <c r="H361" s="839"/>
      <c r="I361" s="839" t="s">
        <v>857</v>
      </c>
      <c r="J361" s="73"/>
      <c r="K361" s="345" t="s">
        <v>857</v>
      </c>
      <c r="L361" s="963" t="s">
        <v>329</v>
      </c>
      <c r="M361" s="73"/>
      <c r="N361" s="73"/>
      <c r="O361" s="73"/>
      <c r="P361" s="73"/>
      <c r="Q361" s="73"/>
      <c r="R361" s="73"/>
      <c r="S361" s="73"/>
      <c r="T361" s="439" cm="1" t="str">
        <f t="array" ref="T361:T361">T360</f>
        <v>true</v>
      </c>
      <c r="U361" s="73"/>
      <c r="V361" s="73"/>
      <c r="W361" s="73"/>
      <c r="X361" s="1534"/>
      <c r="Y361" s="960"/>
      <c r="Z361" s="1465"/>
      <c r="AA361" s="960"/>
      <c r="AB361" s="267" t="s">
        <v>858</v>
      </c>
      <c r="AC361" s="743" t="s">
        <v>1888</v>
      </c>
      <c r="AD361" s="267" t="s">
        <v>784</v>
      </c>
      <c r="AE361" s="1099">
        <f>_xlfn.SUMIFS('Сбытовые расходы ГО'!AE$25:AE$63,'Сбытовые расходы ГО'!$F$25:$F$63,$F361,'Сбытовые расходы ГО'!$G$25:$G$63,"L0")-_xlfn.SUMIFS('Сбытовые расходы ГО'!AE$25:AE$63,'Сбытовые расходы ГО'!$F$25:$F$63,$F361,'Сбытовые расходы ГО'!$G$25:$G$63,"L1")</f>
        <v>0</v>
      </c>
      <c r="AF361" s="1099">
        <f>_xlfn.SUMIFS('Сбытовые расходы ГО'!AF$25:AF$63,'Сбытовые расходы ГО'!$F$25:$F$63,$F361,'Сбытовые расходы ГО'!$G$25:$G$63,"L0")-_xlfn.SUMIFS('Сбытовые расходы ГО'!AF$25:AF$63,'Сбытовые расходы ГО'!$F$25:$F$63,$F361,'Сбытовые расходы ГО'!$G$25:$G$63,"L1")</f>
        <v>0</v>
      </c>
      <c r="AG361" s="1099">
        <f>_xlfn.SUMIFS('Сбытовые расходы ГО'!AG$25:AG$63,'Сбытовые расходы ГО'!$F$25:$F$63,$F361,'Сбытовые расходы ГО'!$G$25:$G$63,"L0")-_xlfn.SUMIFS('Сбытовые расходы ГО'!AG$25:AG$63,'Сбытовые расходы ГО'!$F$25:$F$63,$F361,'Сбытовые расходы ГО'!$G$25:$G$63,"L1")</f>
        <v>0</v>
      </c>
      <c r="AH361" s="1099">
        <f>AG361-AF361</f>
        <v>0</v>
      </c>
      <c r="AI361" s="1099">
        <f>_xlfn.SUMIFS('Сбытовые расходы ГО'!AH$25:AH$63,'Сбытовые расходы ГО'!$F$25:$F$63,$F361,'Сбытовые расходы ГО'!$G$25:$G$63,"L0")-_xlfn.SUMIFS('Сбытовые расходы ГО'!AH$25:AH$63,'Сбытовые расходы ГО'!$F$25:$F$63,$F361,'Сбытовые расходы ГО'!$G$25:$G$63,"L1")</f>
        <v>0</v>
      </c>
      <c r="AJ361" s="1099">
        <f>_xlfn.SUMIFS('Сбытовые расходы ГО'!AI$25:AI$63,'Сбытовые расходы ГО'!$F$25:$F$63,$F361,'Сбытовые расходы ГО'!$G$25:$G$63,"L0")-_xlfn.SUMIFS('Сбытовые расходы ГО'!AI$25:AI$63,'Сбытовые расходы ГО'!$F$25:$F$63,$F361,'Сбытовые расходы ГО'!$G$25:$G$63,"L1")</f>
        <v>0</v>
      </c>
      <c r="AK361" s="1100"/>
      <c r="AL361" s="1100"/>
      <c r="AM361" s="1100"/>
      <c r="AN361" s="1100"/>
      <c r="AO361" s="1100"/>
      <c r="AP361" s="1100"/>
      <c r="AQ361" s="1100"/>
      <c r="AR361" s="1100"/>
      <c r="AS361" s="1100"/>
      <c r="AT361" s="1099">
        <f>_xlfn.SUMIFS('Сбытовые расходы ГО'!AJ$25:AJ$63,'Сбытовые расходы ГО'!$F$25:$F$63,$F361,'Сбытовые расходы ГО'!$G$25:$G$63,"L0")-_xlfn.SUMIFS('Сбытовые расходы ГО'!AJ$25:AJ$63,'Сбытовые расходы ГО'!$F$25:$F$63,$F361,'Сбытовые расходы ГО'!$G$25:$G$63,"L1")</f>
        <v>0</v>
      </c>
      <c r="AU361" s="1100"/>
      <c r="AV361" s="1100"/>
      <c r="AW361" s="1100"/>
      <c r="AX361" s="1100"/>
      <c r="AY361" s="1100"/>
      <c r="AZ361" s="1100"/>
      <c r="BA361" s="1100"/>
      <c r="BB361" s="1100"/>
      <c r="BC361" s="1100"/>
      <c r="BD361" s="1099">
        <f>IF(AI361=0,0,(AT361-AI361)/AI361*100)</f>
        <v>0</v>
      </c>
      <c r="BE361" s="1100"/>
      <c r="BF361" s="1100"/>
      <c r="BG361" s="1100"/>
      <c r="BH361" s="1100"/>
      <c r="BI361" s="1100"/>
      <c r="BJ361" s="1100"/>
      <c r="BK361" s="1100"/>
      <c r="BL361" s="1100"/>
      <c r="BM361" s="1100"/>
      <c r="BN361" s="1265"/>
      <c r="BO361" s="1265"/>
      <c r="BP361" s="1265"/>
      <c r="BQ361" s="960"/>
      <c r="BR361" s="960"/>
      <c r="BS361" s="1047" t="s">
        <v>1689</v>
      </c>
      <c r="BT361" s="1048"/>
      <c r="BU361" s="1048"/>
      <c r="BV361" s="962"/>
      <c r="BW361" s="962"/>
    </row>
    <row s="1621" customFormat="1" customHeight="1" ht="14.25">
      <c r="A362" s="960"/>
      <c r="B362" s="961"/>
      <c r="C362" s="73"/>
      <c r="D362" s="73"/>
      <c r="E362" s="600">
        <v>15</v>
      </c>
      <c r="F362" s="50" cm="1" t="str">
        <f t="array" ref="F362:F362">OFFSET(E362,-1,1)</f>
        <v>2</v>
      </c>
      <c r="G362" s="73"/>
      <c r="H362" s="839"/>
      <c r="I362" s="839" t="s">
        <v>1627</v>
      </c>
      <c r="J362" s="73"/>
      <c r="K362" s="345" t="s">
        <v>1627</v>
      </c>
      <c r="L362" s="963"/>
      <c r="M362" s="73"/>
      <c r="N362" s="73"/>
      <c r="O362" s="73"/>
      <c r="P362" s="73"/>
      <c r="Q362" s="73"/>
      <c r="R362" s="73"/>
      <c r="S362" s="73"/>
      <c r="T362" s="439" cm="1" t="str">
        <f t="array" ref="T362:T362">T361</f>
        <v>true</v>
      </c>
      <c r="U362" s="73"/>
      <c r="V362" s="73"/>
      <c r="W362" s="73"/>
      <c r="X362" s="1534"/>
      <c r="Y362" s="960"/>
      <c r="Z362" s="1465"/>
      <c r="AA362" s="960"/>
      <c r="AB362" s="267" t="s">
        <v>1628</v>
      </c>
      <c r="AC362" s="743" t="s">
        <v>1889</v>
      </c>
      <c r="AD362" s="267" t="s">
        <v>784</v>
      </c>
      <c r="AE362" s="4561"/>
      <c r="AF362" s="4561"/>
      <c r="AG362" s="4561"/>
      <c r="AH362" s="1099">
        <f>AG362-AF362</f>
        <v>0</v>
      </c>
      <c r="AI362" s="4561"/>
      <c r="AJ362" s="4561"/>
      <c r="AK362" s="1100"/>
      <c r="AL362" s="1100"/>
      <c r="AM362" s="1100"/>
      <c r="AN362" s="1100"/>
      <c r="AO362" s="1100"/>
      <c r="AP362" s="1100"/>
      <c r="AQ362" s="1100"/>
      <c r="AR362" s="1100"/>
      <c r="AS362" s="1100"/>
      <c r="AT362" s="4561"/>
      <c r="AU362" s="1100"/>
      <c r="AV362" s="1100"/>
      <c r="AW362" s="1100"/>
      <c r="AX362" s="1100"/>
      <c r="AY362" s="1100"/>
      <c r="AZ362" s="1100"/>
      <c r="BA362" s="1100"/>
      <c r="BB362" s="1100"/>
      <c r="BC362" s="1100"/>
      <c r="BD362" s="1099">
        <f>IF(AI362=0,0,(AT362-AI362)/AI362*100)</f>
        <v>0</v>
      </c>
      <c r="BE362" s="1100"/>
      <c r="BF362" s="1100"/>
      <c r="BG362" s="1100"/>
      <c r="BH362" s="1100"/>
      <c r="BI362" s="1100"/>
      <c r="BJ362" s="1100"/>
      <c r="BK362" s="1100"/>
      <c r="BL362" s="1100"/>
      <c r="BM362" s="1100"/>
      <c r="BN362" s="4617"/>
      <c r="BO362" s="4617"/>
      <c r="BP362" s="4617"/>
      <c r="BQ362" s="960"/>
      <c r="BR362" s="960"/>
      <c r="BS362" s="1048" t="s">
        <v>1890</v>
      </c>
      <c r="BT362" s="1048"/>
      <c r="BU362" s="1048"/>
      <c r="BV362" s="962"/>
      <c r="BW362" s="962"/>
    </row>
    <row s="4682" customFormat="1" customHeight="1" ht="20.25">
      <c r="A363" s="680"/>
      <c r="B363" s="408"/>
      <c r="C363" s="75"/>
      <c r="D363" s="75"/>
      <c r="E363" s="807">
        <v>21</v>
      </c>
      <c r="F363" s="50" cm="1" t="str">
        <f t="array" ref="F363:F363">OFFSET(E363,-1,1)</f>
        <v>2</v>
      </c>
      <c r="G363" s="75"/>
      <c r="H363" s="839"/>
      <c r="I363" s="839" t="s">
        <v>1631</v>
      </c>
      <c r="J363" s="75"/>
      <c r="K363" s="345" t="s">
        <v>1631</v>
      </c>
      <c r="L363" s="968"/>
      <c r="M363" s="75"/>
      <c r="N363" s="75"/>
      <c r="O363" s="75"/>
      <c r="P363" s="75"/>
      <c r="Q363" s="75"/>
      <c r="R363" s="75"/>
      <c r="S363" s="75"/>
      <c r="T363" s="439">
        <f>AND(F363&gt;0,method_reg="Метод индексации")</f>
        <v>1</v>
      </c>
      <c r="U363" s="75"/>
      <c r="V363" s="75"/>
      <c r="W363" s="75"/>
      <c r="X363" s="1534"/>
      <c r="Y363" s="680"/>
      <c r="Z363" s="1465"/>
      <c r="AA363" s="680"/>
      <c r="AB363" s="178" t="s">
        <v>1632</v>
      </c>
      <c r="AC363" s="328" t="s">
        <v>1891</v>
      </c>
      <c r="AD363" s="178" t="s">
        <v>784</v>
      </c>
      <c r="AE363" s="180">
        <f>SUM(AE364:AE365)</f>
        <v>0</v>
      </c>
      <c r="AF363" s="180">
        <f>SUM(AF364:AF365)</f>
        <v>0</v>
      </c>
      <c r="AG363" s="180">
        <f>SUM(AG364:AG365)</f>
        <v>0</v>
      </c>
      <c r="AH363" s="759">
        <f>AG363-AF363</f>
        <v>0</v>
      </c>
      <c r="AI363" s="180">
        <f>SUM(AI364:AI365)</f>
        <v>0</v>
      </c>
      <c r="AJ363" s="180">
        <f>SUM(AJ364:AJ365)</f>
        <v>0</v>
      </c>
      <c r="AK363" s="183"/>
      <c r="AL363" s="183"/>
      <c r="AM363" s="183"/>
      <c r="AN363" s="183"/>
      <c r="AO363" s="183"/>
      <c r="AP363" s="183"/>
      <c r="AQ363" s="183"/>
      <c r="AR363" s="183"/>
      <c r="AS363" s="183"/>
      <c r="AT363" s="180">
        <f>SUM(AT364:AT365)</f>
        <v>0</v>
      </c>
      <c r="AU363" s="183"/>
      <c r="AV363" s="183"/>
      <c r="AW363" s="183"/>
      <c r="AX363" s="183"/>
      <c r="AY363" s="183"/>
      <c r="AZ363" s="183"/>
      <c r="BA363" s="183"/>
      <c r="BB363" s="183"/>
      <c r="BC363" s="183"/>
      <c r="BD363" s="759">
        <f>IF(AI363=0,0,(AT363-AI363)/AI363*100)</f>
        <v>0</v>
      </c>
      <c r="BE363" s="183"/>
      <c r="BF363" s="183"/>
      <c r="BG363" s="183"/>
      <c r="BH363" s="183"/>
      <c r="BI363" s="183"/>
      <c r="BJ363" s="183"/>
      <c r="BK363" s="183"/>
      <c r="BL363" s="183"/>
      <c r="BM363" s="183"/>
      <c r="BN363" s="4618"/>
      <c r="BO363" s="4618"/>
      <c r="BP363" s="4618"/>
      <c r="BQ363" s="680"/>
      <c r="BR363" s="680"/>
      <c r="BS363" s="1054" t="s">
        <v>1892</v>
      </c>
      <c r="BT363" s="1054"/>
      <c r="BU363" s="1054"/>
      <c r="BV363" s="687"/>
      <c r="BW363" s="687"/>
    </row>
    <row s="1621" customFormat="1" customHeight="1" ht="14.25" hidden="1">
      <c r="A364" s="960"/>
      <c r="B364" s="405">
        <f>method_reg="Метод индексации"</f>
        <v>1</v>
      </c>
      <c r="C364" s="73"/>
      <c r="D364" s="73"/>
      <c r="E364" s="600">
        <v>15</v>
      </c>
      <c r="F364" s="50" cm="1" t="str">
        <f t="array" ref="F364:F364">OFFSET(E364,-1,1)</f>
        <v>2</v>
      </c>
      <c r="G364" s="73"/>
      <c r="H364" s="73"/>
      <c r="I364" s="839" t="s">
        <v>1631</v>
      </c>
      <c r="J364" s="73" cm="1" t="str">
        <f t="array" ref="J364:J364">AC364</f>
        <v>0</v>
      </c>
      <c r="K364" s="345" t="s">
        <v>1631</v>
      </c>
      <c r="L364" s="963"/>
      <c r="M364" s="73"/>
      <c r="N364" s="73"/>
      <c r="O364" s="73"/>
      <c r="P364" s="73"/>
      <c r="Q364" s="73"/>
      <c r="R364" s="73"/>
      <c r="S364" s="73"/>
      <c r="T364" s="439">
        <f>AND(F364&gt;0,Y364&gt;0)</f>
        <v>0</v>
      </c>
      <c r="U364" s="73"/>
      <c r="V364" s="73"/>
      <c r="W364" s="73" t="s">
        <v>173</v>
      </c>
      <c r="X364" s="1534"/>
      <c r="Y364" s="124">
        <v>0</v>
      </c>
      <c r="Z364" s="1465"/>
      <c r="AA364" s="393" t="s">
        <v>174</v>
      </c>
      <c r="AB364" s="267" t="str">
        <f>"1.7."&amp;Y364</f>
        <v>1.7.0</v>
      </c>
      <c r="AC364" s="1270"/>
      <c r="AD364" s="267" t="s">
        <v>784</v>
      </c>
      <c r="AE364" s="1268"/>
      <c r="AF364" s="1268"/>
      <c r="AG364" s="1268"/>
      <c r="AH364" s="1099">
        <f>AG364-AF364</f>
        <v>0</v>
      </c>
      <c r="AI364" s="1268"/>
      <c r="AJ364" s="4561"/>
      <c r="AK364" s="1100"/>
      <c r="AL364" s="1100"/>
      <c r="AM364" s="1100"/>
      <c r="AN364" s="1100"/>
      <c r="AO364" s="1100"/>
      <c r="AP364" s="1100"/>
      <c r="AQ364" s="1100"/>
      <c r="AR364" s="1100"/>
      <c r="AS364" s="1100"/>
      <c r="AT364" s="4561"/>
      <c r="AU364" s="1100"/>
      <c r="AV364" s="1100"/>
      <c r="AW364" s="1100"/>
      <c r="AX364" s="1100"/>
      <c r="AY364" s="1100"/>
      <c r="AZ364" s="1100"/>
      <c r="BA364" s="1100"/>
      <c r="BB364" s="1100"/>
      <c r="BC364" s="1100"/>
      <c r="BD364" s="1099">
        <f>IF(AI364=0,0,(AT364-AI364)/AI364*100)</f>
        <v>0</v>
      </c>
      <c r="BE364" s="1100"/>
      <c r="BF364" s="1100"/>
      <c r="BG364" s="1100"/>
      <c r="BH364" s="1100"/>
      <c r="BI364" s="1100"/>
      <c r="BJ364" s="1100"/>
      <c r="BK364" s="1100"/>
      <c r="BL364" s="1100"/>
      <c r="BM364" s="1100"/>
      <c r="BN364" s="1265"/>
      <c r="BO364" s="1265"/>
      <c r="BP364" s="1265"/>
      <c r="BQ364" s="960"/>
      <c r="BR364" s="960"/>
      <c r="BS364" s="1048" t="s">
        <v>1892</v>
      </c>
      <c r="BT364" s="1048" t="s">
        <v>1893</v>
      </c>
      <c r="BU364" s="1048" cm="1" t="str">
        <f t="array" ref="BU364:BU364">AC364</f>
        <v>0</v>
      </c>
      <c r="BV364" s="962"/>
      <c r="BW364" s="683" t="b">
        <v>1</v>
      </c>
    </row>
    <row s="1621" customFormat="1" customHeight="1" ht="14.25">
      <c r="A365" s="960"/>
      <c r="B365" s="405" cm="1" t="str">
        <f t="array" ref="B365:B365">B364</f>
        <v>true</v>
      </c>
      <c r="C365" s="73"/>
      <c r="D365" s="73"/>
      <c r="E365" s="600">
        <v>15</v>
      </c>
      <c r="F365" s="50" cm="1" t="str">
        <f t="array" ref="F365:F365">OFFSET(E365,-1,1)</f>
        <v>2</v>
      </c>
      <c r="G365" s="454"/>
      <c r="H365" s="73"/>
      <c r="I365" s="73"/>
      <c r="J365" s="73" t="s">
        <v>1894</v>
      </c>
      <c r="K365" s="960"/>
      <c r="L365" s="963"/>
      <c r="M365" s="73"/>
      <c r="N365" s="73"/>
      <c r="O365" s="73"/>
      <c r="P365" s="73"/>
      <c r="Q365" s="73"/>
      <c r="R365" s="73"/>
      <c r="S365" s="73"/>
      <c r="T365" s="439">
        <f>F365&gt;0</f>
        <v>1</v>
      </c>
      <c r="U365" s="73"/>
      <c r="V365" s="73"/>
      <c r="W365" s="810" t="s">
        <v>392</v>
      </c>
      <c r="X365" s="1534"/>
      <c r="Y365" s="960"/>
      <c r="Z365" s="1465"/>
      <c r="AA365" s="960"/>
      <c r="AB365" s="856"/>
      <c r="AC365" s="227" t="s">
        <v>177</v>
      </c>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757"/>
      <c r="BL365" s="757"/>
      <c r="BM365" s="757"/>
      <c r="BN365" s="757"/>
      <c r="BO365" s="757"/>
      <c r="BP365" s="758"/>
      <c r="BQ365" s="960"/>
      <c r="BR365" s="960"/>
      <c r="BS365" s="1048"/>
      <c r="BT365" s="1048"/>
      <c r="BU365" s="1048"/>
      <c r="BV365" s="683" t="s">
        <v>1893</v>
      </c>
      <c r="BW365" s="962"/>
    </row>
    <row s="4724" customFormat="1" customHeight="1" ht="107.25">
      <c r="A366" s="680"/>
      <c r="B366" s="408"/>
      <c r="C366" s="75"/>
      <c r="D366" s="75"/>
      <c r="E366" s="807">
        <v>21</v>
      </c>
      <c r="F366" s="50" cm="1" t="str">
        <f t="array" ref="F366:F366">OFFSET(E366,-1,1)</f>
        <v>2</v>
      </c>
      <c r="G366" s="75"/>
      <c r="H366" s="73"/>
      <c r="I366" s="73" t="s">
        <v>326</v>
      </c>
      <c r="J366" s="75"/>
      <c r="K366" s="124" t="s">
        <v>326</v>
      </c>
      <c r="L366" s="968"/>
      <c r="M366" s="75"/>
      <c r="N366" s="75"/>
      <c r="O366" s="75"/>
      <c r="P366" s="75"/>
      <c r="Q366" s="75"/>
      <c r="R366" s="75"/>
      <c r="S366" s="75"/>
      <c r="T366" s="439">
        <f>F366&gt;0</f>
        <v>1</v>
      </c>
      <c r="U366" s="75"/>
      <c r="V366" s="75"/>
      <c r="W366" s="75"/>
      <c r="X366" s="1534"/>
      <c r="Y366" s="680"/>
      <c r="Z366" s="1465"/>
      <c r="AA366" s="680"/>
      <c r="AB366" s="201" t="s">
        <v>283</v>
      </c>
      <c r="AC366" s="179" t="s">
        <v>1895</v>
      </c>
      <c r="AD366" s="201" t="s">
        <v>784</v>
      </c>
      <c r="AE366" s="180">
        <f>AE367+AE379+AE380++AE391+AE392+AE393+AE395+AE396+AE397+AE398+AE401</f>
        <v>0.26489</v>
      </c>
      <c r="AF366" s="180">
        <f>AF367+AF379+AF380++AF391+AF392+AF393+AF395+AF396+AF397+AF398+AF401</f>
        <v>1463.87518634</v>
      </c>
      <c r="AG366" s="180">
        <f>AG367+AG379+AG380++AG391+AG392+AG393+AG395+AG396+AG397+AG398+AG401</f>
        <v>0</v>
      </c>
      <c r="AH366" s="759">
        <f>AG366-AF366</f>
        <v>-1463.87518634</v>
      </c>
      <c r="AI366" s="180">
        <f>AI367+AI379+AI380++AI391+AI392+AI393+AI395+AI396+AI397+AI398+AI401</f>
        <v>-761.10359</v>
      </c>
      <c r="AJ366" s="180">
        <f>AJ367+AJ379+AJ380++AJ391+AJ392+AJ393+AJ395+AJ396+AJ397+AJ398+AJ401</f>
        <v>1335.0137169634</v>
      </c>
      <c r="AK366" s="180">
        <f>AK367+AK379+AK380++AK391+AK392+AK393+AK395+AK396+AK397+AK398+AK401</f>
        <v>0</v>
      </c>
      <c r="AL366" s="180">
        <f>AL367+AL379+AL380++AL391+AL392+AL393+AL395+AL396+AL397+AL398+AL401</f>
        <v>0</v>
      </c>
      <c r="AM366" s="180">
        <f>AM367+AM379+AM380++AM391+AM392+AM393+AM395+AM396+AM397+AM398+AM401</f>
        <v>0</v>
      </c>
      <c r="AN366" s="180">
        <f>AN367+AN379+AN380++AN391+AN392+AN393+AN395+AN396+AN397+AN398+AN401</f>
        <v>0</v>
      </c>
      <c r="AO366" s="180">
        <f>AO367+AO379+AO380++AO391+AO392+AO393+AO395+AO396+AO397+AO398+AO401</f>
        <v>0</v>
      </c>
      <c r="AP366" s="180">
        <f>AP367+AP379+AP380++AP391+AP392+AP393+AP395+AP396+AP397+AP398+AP401</f>
        <v>0</v>
      </c>
      <c r="AQ366" s="180">
        <f>AQ367+AQ379+AQ380++AQ391+AQ392+AQ393+AQ395+AQ396+AQ397+AQ398+AQ401</f>
        <v>0</v>
      </c>
      <c r="AR366" s="180">
        <f>AR367+AR379+AR380++AR391+AR392+AR393+AR395+AR396+AR397+AR398+AR401</f>
        <v>0</v>
      </c>
      <c r="AS366" s="180">
        <f>AS367+AS379+AS380++AS391+AS392+AS393+AS395+AS396+AS397+AS398+AS401</f>
        <v>0</v>
      </c>
      <c r="AT366" s="180">
        <f>AT367+AT379+AT380++AT391+AT392+AT393+AT395+AT396+AT397+AT398+AT401</f>
        <v>0.37351</v>
      </c>
      <c r="AU366" s="180">
        <f>AU367+AU379+AU380++AU391+AU392+AU393+AU395+AU396+AU397+AU398+AU401</f>
        <v>0</v>
      </c>
      <c r="AV366" s="180">
        <f>AV367+AV379+AV380++AV391+AV392+AV393+AV395+AV396+AV397+AV398+AV401</f>
        <v>0</v>
      </c>
      <c r="AW366" s="180">
        <f>AW367+AW379+AW380++AW391+AW392+AW393+AW395+AW396+AW397+AW398+AW401</f>
        <v>0</v>
      </c>
      <c r="AX366" s="180">
        <f>AX367+AX379+AX380++AX391+AX392+AX393+AX395+AX396+AX397+AX398+AX401</f>
        <v>0</v>
      </c>
      <c r="AY366" s="180">
        <f>AY367+AY379+AY380++AY391+AY392+AY393+AY395+AY396+AY397+AY398+AY401</f>
        <v>0</v>
      </c>
      <c r="AZ366" s="180">
        <f>AZ367+AZ379+AZ380++AZ391+AZ392+AZ393+AZ395+AZ396+AZ397+AZ398+AZ401</f>
        <v>0</v>
      </c>
      <c r="BA366" s="180">
        <f>BA367+BA379+BA380++BA391+BA392+BA393+BA395+BA396+BA397+BA398+BA401</f>
        <v>0</v>
      </c>
      <c r="BB366" s="180">
        <f>BB367+BB379+BB380++BB391+BB392+BB393+BB395+BB396+BB397+BB398+BB401</f>
        <v>0</v>
      </c>
      <c r="BC366" s="180">
        <f>BC367+BC379+BC380++BC391+BC392+BC393+BC395+BC396+BC397+BC398+BC401</f>
        <v>0</v>
      </c>
      <c r="BD366" s="759">
        <f>IF(AI366=0,0,(AT366-AI366)/AI366*100)</f>
        <v>-100.049074791514</v>
      </c>
      <c r="BE366" s="759">
        <f>IF(AT366=0,0,(AU366-AT366)/AT366*100)</f>
        <v>-100</v>
      </c>
      <c r="BF366" s="759">
        <f>IF(AU366=0,0,(AV366-AU366)/AU366*100)</f>
        <v>0</v>
      </c>
      <c r="BG366" s="759">
        <f>IF(AV366=0,0,(AW366-AV366)/AV366*100)</f>
        <v>0</v>
      </c>
      <c r="BH366" s="759">
        <f>IF(AW366=0,0,(AX366-AW366)/AW366*100)</f>
        <v>0</v>
      </c>
      <c r="BI366" s="759">
        <f>IF(AX366=0,0,(AY366-AX366)/AX366*100)</f>
        <v>0</v>
      </c>
      <c r="BJ366" s="759">
        <f>IF(AY366=0,0,(AZ366-AY366)/AY366*100)</f>
        <v>0</v>
      </c>
      <c r="BK366" s="759">
        <f>IF(AZ366=0,0,(BA366-AZ366)/AZ366*100)</f>
        <v>0</v>
      </c>
      <c r="BL366" s="759">
        <f>IF(BA366=0,0,(BB366-BA366)/BA366*100)</f>
        <v>0</v>
      </c>
      <c r="BM366" s="759">
        <f>IF(BB366=0,0,(BC366-BB366)/BB366*100)</f>
        <v>0</v>
      </c>
      <c r="BN366" s="4617"/>
      <c r="BO366" s="4617" t="s">
        <v>2076</v>
      </c>
      <c r="BP366" s="4617"/>
      <c r="BQ366" s="126"/>
      <c r="BR366" s="680"/>
      <c r="BS366" s="1054" t="s">
        <v>1896</v>
      </c>
      <c r="BT366" s="1054"/>
      <c r="BU366" s="1054"/>
      <c r="BV366" s="687"/>
      <c r="BW366" s="687"/>
    </row>
    <row s="4725" customFormat="1" customHeight="1" ht="21.75">
      <c r="A367" s="680"/>
      <c r="B367" s="408"/>
      <c r="C367" s="75"/>
      <c r="D367" s="75"/>
      <c r="E367" s="807">
        <v>22.5</v>
      </c>
      <c r="F367" s="50" cm="1" t="str">
        <f t="array" ref="F367:F367">OFFSET(E367,-1,1)</f>
        <v>2</v>
      </c>
      <c r="G367" s="341" cm="1" t="str">
        <f t="array" ref="G367:G367">F366</f>
        <v>2</v>
      </c>
      <c r="H367" s="73"/>
      <c r="I367" s="73" t="s">
        <v>459</v>
      </c>
      <c r="J367" s="75"/>
      <c r="K367" s="124" t="s">
        <v>459</v>
      </c>
      <c r="L367" s="968" t="s">
        <v>445</v>
      </c>
      <c r="M367" s="75"/>
      <c r="N367" s="75"/>
      <c r="O367" s="75"/>
      <c r="P367" s="75"/>
      <c r="Q367" s="75"/>
      <c r="R367" s="75"/>
      <c r="S367" s="75"/>
      <c r="T367" s="439" cm="1" t="str">
        <f t="array" ref="T367:T367">T366</f>
        <v>true</v>
      </c>
      <c r="U367" s="75"/>
      <c r="V367" s="75"/>
      <c r="W367" s="75"/>
      <c r="X367" s="1534"/>
      <c r="Y367" s="680"/>
      <c r="Z367" s="1465"/>
      <c r="AA367" s="680"/>
      <c r="AB367" s="178" t="s">
        <v>515</v>
      </c>
      <c r="AC367" s="328" t="s">
        <v>1897</v>
      </c>
      <c r="AD367" s="178" t="s">
        <v>784</v>
      </c>
      <c r="AE367" s="180">
        <f>SUM(AE368:AE378)</f>
        <v>0</v>
      </c>
      <c r="AF367" s="180">
        <f>SUM(AF368:AF378)</f>
        <v>0</v>
      </c>
      <c r="AG367" s="180">
        <f>SUM(AG368:AG378)</f>
        <v>0</v>
      </c>
      <c r="AH367" s="759">
        <f>AG367-AF367</f>
        <v>0</v>
      </c>
      <c r="AI367" s="180">
        <f>SUM(AI368:AI378)</f>
        <v>0</v>
      </c>
      <c r="AJ367" s="180">
        <f>SUM(AJ368:AJ378)</f>
        <v>0</v>
      </c>
      <c r="AK367" s="180">
        <f>SUM(AK368:AK378)</f>
        <v>0</v>
      </c>
      <c r="AL367" s="180">
        <f>SUM(AL368:AL378)</f>
        <v>0</v>
      </c>
      <c r="AM367" s="180">
        <f>SUM(AM368:AM378)</f>
        <v>0</v>
      </c>
      <c r="AN367" s="180">
        <f>SUM(AN368:AN378)</f>
        <v>0</v>
      </c>
      <c r="AO367" s="180">
        <f>SUM(AO368:AO378)</f>
        <v>0</v>
      </c>
      <c r="AP367" s="180">
        <f>SUM(AP368:AP378)</f>
        <v>0</v>
      </c>
      <c r="AQ367" s="180">
        <f>SUM(AQ368:AQ378)</f>
        <v>0</v>
      </c>
      <c r="AR367" s="180">
        <f>SUM(AR368:AR378)</f>
        <v>0</v>
      </c>
      <c r="AS367" s="180">
        <f>SUM(AS368:AS378)</f>
        <v>0</v>
      </c>
      <c r="AT367" s="180">
        <f>SUM(AT368:AT378)</f>
        <v>0</v>
      </c>
      <c r="AU367" s="180">
        <f>SUM(AU368:AU378)</f>
        <v>0</v>
      </c>
      <c r="AV367" s="180">
        <f>SUM(AV368:AV378)</f>
        <v>0</v>
      </c>
      <c r="AW367" s="180">
        <f>SUM(AW368:AW378)</f>
        <v>0</v>
      </c>
      <c r="AX367" s="180">
        <f>SUM(AX368:AX378)</f>
        <v>0</v>
      </c>
      <c r="AY367" s="180">
        <f>SUM(AY368:AY378)</f>
        <v>0</v>
      </c>
      <c r="AZ367" s="180">
        <f>SUM(AZ368:AZ378)</f>
        <v>0</v>
      </c>
      <c r="BA367" s="180">
        <f>SUM(BA368:BA378)</f>
        <v>0</v>
      </c>
      <c r="BB367" s="180">
        <f>SUM(BB368:BB378)</f>
        <v>0</v>
      </c>
      <c r="BC367" s="180">
        <f>SUM(BC368:BC378)</f>
        <v>0</v>
      </c>
      <c r="BD367" s="759">
        <f>IF(AI367=0,0,(AT367-AI367)/AI367*100)</f>
        <v>0</v>
      </c>
      <c r="BE367" s="759">
        <f>IF(AT367=0,0,(AU367-AT367)/AT367*100)</f>
        <v>0</v>
      </c>
      <c r="BF367" s="759">
        <f>IF(AU367=0,0,(AV367-AU367)/AU367*100)</f>
        <v>0</v>
      </c>
      <c r="BG367" s="759">
        <f>IF(AV367=0,0,(AW367-AV367)/AV367*100)</f>
        <v>0</v>
      </c>
      <c r="BH367" s="759">
        <f>IF(AW367=0,0,(AX367-AW367)/AW367*100)</f>
        <v>0</v>
      </c>
      <c r="BI367" s="759">
        <f>IF(AX367=0,0,(AY367-AX367)/AX367*100)</f>
        <v>0</v>
      </c>
      <c r="BJ367" s="759">
        <f>IF(AY367=0,0,(AZ367-AY367)/AY367*100)</f>
        <v>0</v>
      </c>
      <c r="BK367" s="759">
        <f>IF(AZ367=0,0,(BA367-AZ367)/AZ367*100)</f>
        <v>0</v>
      </c>
      <c r="BL367" s="759">
        <f>IF(BA367=0,0,(BB367-BA367)/BA367*100)</f>
        <v>0</v>
      </c>
      <c r="BM367" s="759">
        <f>IF(BB367=0,0,(BC367-BB367)/BB367*100)</f>
        <v>0</v>
      </c>
      <c r="BN367" s="4618"/>
      <c r="BO367" s="4618"/>
      <c r="BP367" s="4618"/>
      <c r="BQ367" s="680"/>
      <c r="BR367" s="680"/>
      <c r="BS367" s="1054" t="s">
        <v>1619</v>
      </c>
      <c r="BT367" s="1054"/>
      <c r="BU367" s="1054"/>
      <c r="BV367" s="687"/>
      <c r="BW367" s="687"/>
    </row>
    <row s="1621" customFormat="1" customHeight="1" ht="14.25">
      <c r="A368" s="960"/>
      <c r="B368" s="961"/>
      <c r="C368" s="73"/>
      <c r="D368" s="73"/>
      <c r="E368" s="600">
        <v>15</v>
      </c>
      <c r="F368" s="50" cm="1" t="str">
        <f t="array" ref="F368:F368">OFFSET(E368,-1,1)</f>
        <v>2</v>
      </c>
      <c r="G368" s="73" t="s">
        <v>1028</v>
      </c>
      <c r="H368" s="73"/>
      <c r="I368" s="73" t="s">
        <v>1445</v>
      </c>
      <c r="J368" s="73"/>
      <c r="K368" s="124" t="s">
        <v>1445</v>
      </c>
      <c r="L368" s="963" t="s">
        <v>1222</v>
      </c>
      <c r="M368" s="73"/>
      <c r="N368" s="73"/>
      <c r="O368" s="73"/>
      <c r="P368" s="73"/>
      <c r="Q368" s="73"/>
      <c r="R368" s="73"/>
      <c r="S368" s="73"/>
      <c r="T368" s="439" cm="1" t="str">
        <f t="array" ref="T368:T368">T367</f>
        <v>true</v>
      </c>
      <c r="U368" s="73"/>
      <c r="V368" s="73"/>
      <c r="W368" s="73"/>
      <c r="X368" s="1534"/>
      <c r="Y368" s="960"/>
      <c r="Z368" s="1465"/>
      <c r="AA368" s="960"/>
      <c r="AB368" s="267" t="s">
        <v>467</v>
      </c>
      <c r="AC368" s="746" t="s">
        <v>1898</v>
      </c>
      <c r="AD368" s="267" t="s">
        <v>784</v>
      </c>
      <c r="AE368" s="1099">
        <f>_xlfn.SUMIFS(Покупка!AE$25:AE$117,Покупка!$F$25:$F$117,$F368,Покупка!$AC$25:$AC$117,$G368)</f>
        <v>0</v>
      </c>
      <c r="AF368" s="1099">
        <f>_xlfn.SUMIFS(Покупка!AF$25:AF$117,Покупка!$F$25:$F$117,$F368,Покупка!$AC$25:$AC$117,$G368)</f>
        <v>0</v>
      </c>
      <c r="AG368" s="1099">
        <f>_xlfn.SUMIFS(Покупка!AG$25:AG$117,Покупка!$F$25:$F$117,$F368,Покупка!$AC$25:$AC$117,$G368)</f>
        <v>0</v>
      </c>
      <c r="AH368" s="1099">
        <f>AG368-AF368</f>
        <v>0</v>
      </c>
      <c r="AI368" s="1099">
        <f>_xlfn.SUMIFS(Покупка!AH$25:AH$117,Покупка!$F$25:$F$117,$F368,Покупка!$AC$25:$AC$117,$G368)</f>
        <v>0</v>
      </c>
      <c r="AJ368" s="1099">
        <f>_xlfn.SUMIFS(Покупка!AI$25:AI$117,Покупка!$F$25:$F$117,$F368,Покупка!$AC$25:$AC$117,$G368)</f>
        <v>0</v>
      </c>
      <c r="AK368" s="1099">
        <f>_xlfn.SUMIFS(Покупка!AJ$25:AJ$117,Покупка!$F$25:$F$117,$F368,Покупка!$AC$25:$AC$117,$G368)</f>
        <v>0</v>
      </c>
      <c r="AL368" s="1099">
        <f>_xlfn.SUMIFS(Покупка!AK$25:AK$117,Покупка!$F$25:$F$117,$F368,Покупка!$AC$25:$AC$117,$G368)</f>
        <v>0</v>
      </c>
      <c r="AM368" s="1099">
        <f>_xlfn.SUMIFS(Покупка!AL$25:AL$117,Покупка!$F$25:$F$117,$F368,Покупка!$AC$25:$AC$117,$G368)</f>
        <v>0</v>
      </c>
      <c r="AN368" s="1099">
        <f>_xlfn.SUMIFS(Покупка!AM$25:AM$117,Покупка!$F$25:$F$117,$F368,Покупка!$AC$25:$AC$117,$G368)</f>
        <v>0</v>
      </c>
      <c r="AO368" s="1099">
        <f>_xlfn.SUMIFS(Покупка!AN$25:AN$117,Покупка!$F$25:$F$117,$F368,Покупка!$AC$25:$AC$117,$G368)</f>
        <v>0</v>
      </c>
      <c r="AP368" s="1099">
        <f>_xlfn.SUMIFS(Покупка!AO$25:AO$117,Покупка!$F$25:$F$117,$F368,Покупка!$AC$25:$AC$117,$G368)</f>
        <v>0</v>
      </c>
      <c r="AQ368" s="1099">
        <f>_xlfn.SUMIFS(Покупка!AP$25:AP$117,Покупка!$F$25:$F$117,$F368,Покупка!$AC$25:$AC$117,$G368)</f>
        <v>0</v>
      </c>
      <c r="AR368" s="1099">
        <f>_xlfn.SUMIFS(Покупка!AQ$25:AQ$117,Покупка!$F$25:$F$117,$F368,Покупка!$AC$25:$AC$117,$G368)</f>
        <v>0</v>
      </c>
      <c r="AS368" s="1099">
        <f>_xlfn.SUMIFS(Покупка!AR$25:AR$117,Покупка!$F$25:$F$117,$F368,Покупка!$AC$25:$AC$117,$G368)</f>
        <v>0</v>
      </c>
      <c r="AT368" s="1099">
        <f>_xlfn.SUMIFS(Покупка!AS$25:AS$117,Покупка!$F$25:$F$117,$F368,Покупка!$AC$25:$AC$117,$G368)</f>
        <v>0</v>
      </c>
      <c r="AU368" s="1099">
        <f>_xlfn.SUMIFS(Покупка!AT$25:AT$117,Покупка!$F$25:$F$117,$F368,Покупка!$AC$25:$AC$117,$G368)</f>
        <v>0</v>
      </c>
      <c r="AV368" s="1099">
        <f>_xlfn.SUMIFS(Покупка!AU$25:AU$117,Покупка!$F$25:$F$117,$F368,Покупка!$AC$25:$AC$117,$G368)</f>
        <v>0</v>
      </c>
      <c r="AW368" s="1099">
        <f>_xlfn.SUMIFS(Покупка!AV$25:AV$117,Покупка!$F$25:$F$117,$F368,Покупка!$AC$25:$AC$117,$G368)</f>
        <v>0</v>
      </c>
      <c r="AX368" s="1099">
        <f>_xlfn.SUMIFS(Покупка!AW$25:AW$117,Покупка!$F$25:$F$117,$F368,Покупка!$AC$25:$AC$117,$G368)</f>
        <v>0</v>
      </c>
      <c r="AY368" s="1099">
        <f>_xlfn.SUMIFS(Покупка!AX$25:AX$117,Покупка!$F$25:$F$117,$F368,Покупка!$AC$25:$AC$117,$G368)</f>
        <v>0</v>
      </c>
      <c r="AZ368" s="1099">
        <f>_xlfn.SUMIFS(Покупка!AY$25:AY$117,Покупка!$F$25:$F$117,$F368,Покупка!$AC$25:$AC$117,$G368)</f>
        <v>0</v>
      </c>
      <c r="BA368" s="1099">
        <f>_xlfn.SUMIFS(Покупка!AZ$25:AZ$117,Покупка!$F$25:$F$117,$F368,Покупка!$AC$25:$AC$117,$G368)</f>
        <v>0</v>
      </c>
      <c r="BB368" s="1099">
        <f>_xlfn.SUMIFS(Покупка!BA$25:BA$117,Покупка!$F$25:$F$117,$F368,Покупка!$AC$25:$AC$117,$G368)</f>
        <v>0</v>
      </c>
      <c r="BC368" s="1099">
        <f>_xlfn.SUMIFS(Покупка!BB$25:BB$117,Покупка!$F$25:$F$117,$F368,Покупка!$AC$25:$AC$117,$G368)</f>
        <v>0</v>
      </c>
      <c r="BD368" s="1099">
        <f>IF(AI368=0,0,(AT368-AI368)/AI368*100)</f>
        <v>0</v>
      </c>
      <c r="BE368" s="1099">
        <f>IF(AT368=0,0,(AU368-AT368)/AT368*100)</f>
        <v>0</v>
      </c>
      <c r="BF368" s="1099">
        <f>IF(AU368=0,0,(AV368-AU368)/AU368*100)</f>
        <v>0</v>
      </c>
      <c r="BG368" s="1099">
        <f>IF(AV368=0,0,(AW368-AV368)/AV368*100)</f>
        <v>0</v>
      </c>
      <c r="BH368" s="1099">
        <f>IF(AW368=0,0,(AX368-AW368)/AW368*100)</f>
        <v>0</v>
      </c>
      <c r="BI368" s="1099">
        <f>IF(AX368=0,0,(AY368-AX368)/AX368*100)</f>
        <v>0</v>
      </c>
      <c r="BJ368" s="1099">
        <f>IF(AY368=0,0,(AZ368-AY368)/AY368*100)</f>
        <v>0</v>
      </c>
      <c r="BK368" s="1099">
        <f>IF(AZ368=0,0,(BA368-AZ368)/AZ368*100)</f>
        <v>0</v>
      </c>
      <c r="BL368" s="1099">
        <f>IF(BA368=0,0,(BB368-BA368)/BA368*100)</f>
        <v>0</v>
      </c>
      <c r="BM368" s="1099">
        <f>IF(BB368=0,0,(BC368-BB368)/BB368*100)</f>
        <v>0</v>
      </c>
      <c r="BN368" s="4617"/>
      <c r="BO368" s="4619" t="str">
        <f>IF(_xlfn.IFERROR(INDEX(Покупка!$K$26:$L$117,MATCH($F368&amp;"6komm",Покупка!$K$26:$K$117,0),2),"")=0,"",_xlfn.IFERROR(INDEX(Покупка!$K$26:$L$117,MATCH($F368&amp;"6komm",Покупка!$K$26:$K$117,0),2),""))</f>
        <v/>
      </c>
      <c r="BP368" s="4617"/>
      <c r="BQ368" s="960"/>
      <c r="BR368" s="960"/>
      <c r="BS368" s="1048" t="s">
        <v>1029</v>
      </c>
      <c r="BT368" s="1048"/>
      <c r="BU368" s="1048"/>
      <c r="BV368" s="962"/>
      <c r="BW368" s="962"/>
    </row>
    <row s="1621" customFormat="1" customHeight="1" ht="14.25">
      <c r="A369" s="960"/>
      <c r="B369" s="961"/>
      <c r="C369" s="73"/>
      <c r="D369" s="73"/>
      <c r="E369" s="600">
        <v>15</v>
      </c>
      <c r="F369" s="50" cm="1" t="str">
        <f t="array" ref="F369:F369">OFFSET(E369,-1,1)</f>
        <v>2</v>
      </c>
      <c r="G369" s="73" t="s">
        <v>1030</v>
      </c>
      <c r="H369" s="73"/>
      <c r="I369" s="73" t="s">
        <v>1449</v>
      </c>
      <c r="J369" s="73"/>
      <c r="K369" s="73" t="s">
        <v>1449</v>
      </c>
      <c r="L369" s="963" t="s">
        <v>1226</v>
      </c>
      <c r="M369" s="73"/>
      <c r="N369" s="73"/>
      <c r="O369" s="73"/>
      <c r="P369" s="73"/>
      <c r="Q369" s="73"/>
      <c r="R369" s="73"/>
      <c r="S369" s="73"/>
      <c r="T369" s="439" cm="1" t="str">
        <f t="array" ref="T369:T369">T368</f>
        <v>true</v>
      </c>
      <c r="U369" s="73"/>
      <c r="V369" s="73"/>
      <c r="W369" s="73"/>
      <c r="X369" s="1534"/>
      <c r="Y369" s="960"/>
      <c r="Z369" s="1465"/>
      <c r="AA369" s="960"/>
      <c r="AB369" s="267" t="s">
        <v>1899</v>
      </c>
      <c r="AC369" s="746" t="s">
        <v>1900</v>
      </c>
      <c r="AD369" s="267" t="s">
        <v>784</v>
      </c>
      <c r="AE369" s="1099">
        <f>_xlfn.SUMIFS(Покупка!AE$25:AE$117,Покупка!$F$25:$F$117,$F369,Покупка!$AC$25:$AC$117,$G369)</f>
        <v>0</v>
      </c>
      <c r="AF369" s="1099">
        <f>_xlfn.SUMIFS(Покупка!AF$25:AF$117,Покупка!$F$25:$F$117,$F369,Покупка!$AC$25:$AC$117,$G369)</f>
        <v>0</v>
      </c>
      <c r="AG369" s="1099">
        <f>_xlfn.SUMIFS(Покупка!AG$25:AG$117,Покупка!$F$25:$F$117,$F369,Покупка!$AC$25:$AC$117,$G369)</f>
        <v>0</v>
      </c>
      <c r="AH369" s="1099">
        <f>AG369-AF369</f>
        <v>0</v>
      </c>
      <c r="AI369" s="1099">
        <f>_xlfn.SUMIFS(Покупка!AH$25:AH$117,Покупка!$F$25:$F$117,$F369,Покупка!$AC$25:$AC$117,$G369)</f>
        <v>0</v>
      </c>
      <c r="AJ369" s="1099">
        <f>_xlfn.SUMIFS(Покупка!AI$25:AI$117,Покупка!$F$25:$F$117,$F369,Покупка!$AC$25:$AC$117,$G369)</f>
        <v>0</v>
      </c>
      <c r="AK369" s="1099">
        <f>_xlfn.SUMIFS(Покупка!AJ$25:AJ$117,Покупка!$F$25:$F$117,$F369,Покупка!$AC$25:$AC$117,$G369)</f>
        <v>0</v>
      </c>
      <c r="AL369" s="1099">
        <f>_xlfn.SUMIFS(Покупка!AK$25:AK$117,Покупка!$F$25:$F$117,$F369,Покупка!$AC$25:$AC$117,$G369)</f>
        <v>0</v>
      </c>
      <c r="AM369" s="1099">
        <f>_xlfn.SUMIFS(Покупка!AL$25:AL$117,Покупка!$F$25:$F$117,$F369,Покупка!$AC$25:$AC$117,$G369)</f>
        <v>0</v>
      </c>
      <c r="AN369" s="1099">
        <f>_xlfn.SUMIFS(Покупка!AM$25:AM$117,Покупка!$F$25:$F$117,$F369,Покупка!$AC$25:$AC$117,$G369)</f>
        <v>0</v>
      </c>
      <c r="AO369" s="1099">
        <f>_xlfn.SUMIFS(Покупка!AN$25:AN$117,Покупка!$F$25:$F$117,$F369,Покупка!$AC$25:$AC$117,$G369)</f>
        <v>0</v>
      </c>
      <c r="AP369" s="1099">
        <f>_xlfn.SUMIFS(Покупка!AO$25:AO$117,Покупка!$F$25:$F$117,$F369,Покупка!$AC$25:$AC$117,$G369)</f>
        <v>0</v>
      </c>
      <c r="AQ369" s="1099">
        <f>_xlfn.SUMIFS(Покупка!AP$25:AP$117,Покупка!$F$25:$F$117,$F369,Покупка!$AC$25:$AC$117,$G369)</f>
        <v>0</v>
      </c>
      <c r="AR369" s="1099">
        <f>_xlfn.SUMIFS(Покупка!AQ$25:AQ$117,Покупка!$F$25:$F$117,$F369,Покупка!$AC$25:$AC$117,$G369)</f>
        <v>0</v>
      </c>
      <c r="AS369" s="1099">
        <f>_xlfn.SUMIFS(Покупка!AR$25:AR$117,Покупка!$F$25:$F$117,$F369,Покупка!$AC$25:$AC$117,$G369)</f>
        <v>0</v>
      </c>
      <c r="AT369" s="1099">
        <f>_xlfn.SUMIFS(Покупка!AS$25:AS$117,Покупка!$F$25:$F$117,$F369,Покупка!$AC$25:$AC$117,$G369)</f>
        <v>0</v>
      </c>
      <c r="AU369" s="1099">
        <f>_xlfn.SUMIFS(Покупка!AT$25:AT$117,Покупка!$F$25:$F$117,$F369,Покупка!$AC$25:$AC$117,$G369)</f>
        <v>0</v>
      </c>
      <c r="AV369" s="1099">
        <f>_xlfn.SUMIFS(Покупка!AU$25:AU$117,Покупка!$F$25:$F$117,$F369,Покупка!$AC$25:$AC$117,$G369)</f>
        <v>0</v>
      </c>
      <c r="AW369" s="1099">
        <f>_xlfn.SUMIFS(Покупка!AV$25:AV$117,Покупка!$F$25:$F$117,$F369,Покупка!$AC$25:$AC$117,$G369)</f>
        <v>0</v>
      </c>
      <c r="AX369" s="1099">
        <f>_xlfn.SUMIFS(Покупка!AW$25:AW$117,Покупка!$F$25:$F$117,$F369,Покупка!$AC$25:$AC$117,$G369)</f>
        <v>0</v>
      </c>
      <c r="AY369" s="1099">
        <f>_xlfn.SUMIFS(Покупка!AX$25:AX$117,Покупка!$F$25:$F$117,$F369,Покупка!$AC$25:$AC$117,$G369)</f>
        <v>0</v>
      </c>
      <c r="AZ369" s="1099">
        <f>_xlfn.SUMIFS(Покупка!AY$25:AY$117,Покупка!$F$25:$F$117,$F369,Покупка!$AC$25:$AC$117,$G369)</f>
        <v>0</v>
      </c>
      <c r="BA369" s="1099">
        <f>_xlfn.SUMIFS(Покупка!AZ$25:AZ$117,Покупка!$F$25:$F$117,$F369,Покупка!$AC$25:$AC$117,$G369)</f>
        <v>0</v>
      </c>
      <c r="BB369" s="1099">
        <f>_xlfn.SUMIFS(Покупка!BA$25:BA$117,Покупка!$F$25:$F$117,$F369,Покупка!$AC$25:$AC$117,$G369)</f>
        <v>0</v>
      </c>
      <c r="BC369" s="1099">
        <f>_xlfn.SUMIFS(Покупка!BB$25:BB$117,Покупка!$F$25:$F$117,$F369,Покупка!$AC$25:$AC$117,$G369)</f>
        <v>0</v>
      </c>
      <c r="BD369" s="1099">
        <f>IF(AI369=0,0,(AT369-AI369)/AI369*100)</f>
        <v>0</v>
      </c>
      <c r="BE369" s="1099">
        <f>IF(AT369=0,0,(AU369-AT369)/AT369*100)</f>
        <v>0</v>
      </c>
      <c r="BF369" s="1099">
        <f>IF(AU369=0,0,(AV369-AU369)/AU369*100)</f>
        <v>0</v>
      </c>
      <c r="BG369" s="1099">
        <f>IF(AV369=0,0,(AW369-AV369)/AV369*100)</f>
        <v>0</v>
      </c>
      <c r="BH369" s="1099">
        <f>IF(AW369=0,0,(AX369-AW369)/AW369*100)</f>
        <v>0</v>
      </c>
      <c r="BI369" s="1099">
        <f>IF(AX369=0,0,(AY369-AX369)/AX369*100)</f>
        <v>0</v>
      </c>
      <c r="BJ369" s="1099">
        <f>IF(AY369=0,0,(AZ369-AY369)/AY369*100)</f>
        <v>0</v>
      </c>
      <c r="BK369" s="1099">
        <f>IF(AZ369=0,0,(BA369-AZ369)/AZ369*100)</f>
        <v>0</v>
      </c>
      <c r="BL369" s="1099">
        <f>IF(BA369=0,0,(BB369-BA369)/BA369*100)</f>
        <v>0</v>
      </c>
      <c r="BM369" s="1099">
        <f>IF(BB369=0,0,(BC369-BB369)/BB369*100)</f>
        <v>0</v>
      </c>
      <c r="BN369" s="4617"/>
      <c r="BO369" s="4619" t="str">
        <f>IF(_xlfn.IFERROR(INDEX(Покупка!$K$26:$L$117,MATCH($F369&amp;"7komm",Покупка!$K$26:$K$117,0),2),"")=0,"",_xlfn.IFERROR(INDEX(Покупка!$K$26:$L$117,MATCH($F369&amp;"7komm",Покупка!$K$26:$K$117,0),2),""))</f>
        <v/>
      </c>
      <c r="BP369" s="4617"/>
      <c r="BQ369" s="960"/>
      <c r="BR369" s="960"/>
      <c r="BS369" s="1048" t="s">
        <v>1031</v>
      </c>
      <c r="BT369" s="1048"/>
      <c r="BU369" s="1048"/>
      <c r="BV369" s="962"/>
      <c r="BW369" s="962"/>
    </row>
    <row s="1621" customFormat="1" customHeight="1" ht="14.25">
      <c r="A370" s="960"/>
      <c r="B370" s="961"/>
      <c r="C370" s="73"/>
      <c r="D370" s="73"/>
      <c r="E370" s="600">
        <v>15</v>
      </c>
      <c r="F370" s="50" cm="1" t="str">
        <f t="array" ref="F370:F370">OFFSET(E370,-1,1)</f>
        <v>2</v>
      </c>
      <c r="G370" s="73" t="s">
        <v>1005</v>
      </c>
      <c r="H370" s="73"/>
      <c r="I370" s="73" t="s">
        <v>1531</v>
      </c>
      <c r="J370" s="73"/>
      <c r="K370" s="73" t="s">
        <v>1531</v>
      </c>
      <c r="L370" s="963" t="s">
        <v>1394</v>
      </c>
      <c r="M370" s="73"/>
      <c r="N370" s="73"/>
      <c r="O370" s="73"/>
      <c r="P370" s="73"/>
      <c r="Q370" s="73"/>
      <c r="R370" s="73"/>
      <c r="S370" s="73"/>
      <c r="T370" s="439" cm="1" t="str">
        <f t="array" ref="T370:T370">T369</f>
        <v>true</v>
      </c>
      <c r="U370" s="73"/>
      <c r="V370" s="73"/>
      <c r="W370" s="73"/>
      <c r="X370" s="1534"/>
      <c r="Y370" s="960"/>
      <c r="Z370" s="1465"/>
      <c r="AA370" s="960"/>
      <c r="AB370" s="267" t="s">
        <v>1901</v>
      </c>
      <c r="AC370" s="746" t="s">
        <v>1902</v>
      </c>
      <c r="AD370" s="267" t="s">
        <v>784</v>
      </c>
      <c r="AE370" s="1099">
        <f>_xlfn.SUMIFS(Покупка!AE$25:AE$117,Покупка!$F$25:$F$117,$F370,Покупка!$AC$25:$AC$117,$G370)</f>
        <v>0</v>
      </c>
      <c r="AF370" s="1099">
        <f>_xlfn.SUMIFS(Покупка!AF$25:AF$117,Покупка!$F$25:$F$117,$F370,Покупка!$AC$25:$AC$117,$G370)</f>
        <v>0</v>
      </c>
      <c r="AG370" s="1099">
        <f>_xlfn.SUMIFS(Покупка!AG$25:AG$117,Покупка!$F$25:$F$117,$F370,Покупка!$AC$25:$AC$117,$G370)</f>
        <v>0</v>
      </c>
      <c r="AH370" s="1099">
        <f>AG370-AF370</f>
        <v>0</v>
      </c>
      <c r="AI370" s="1099">
        <f>_xlfn.SUMIFS(Покупка!AH$25:AH$117,Покупка!$F$25:$F$117,$F370,Покупка!$AC$25:$AC$117,$G370)</f>
        <v>0</v>
      </c>
      <c r="AJ370" s="1099">
        <f>_xlfn.SUMIFS(Покупка!AI$25:AI$117,Покупка!$F$25:$F$117,$F370,Покупка!$AC$25:$AC$117,$G370)</f>
        <v>0</v>
      </c>
      <c r="AK370" s="1099">
        <f>_xlfn.SUMIFS(Покупка!AJ$25:AJ$117,Покупка!$F$25:$F$117,$F370,Покупка!$AC$25:$AC$117,$G370)</f>
        <v>0</v>
      </c>
      <c r="AL370" s="1099">
        <f>_xlfn.SUMIFS(Покупка!AK$25:AK$117,Покупка!$F$25:$F$117,$F370,Покупка!$AC$25:$AC$117,$G370)</f>
        <v>0</v>
      </c>
      <c r="AM370" s="1099">
        <f>_xlfn.SUMIFS(Покупка!AL$25:AL$117,Покупка!$F$25:$F$117,$F370,Покупка!$AC$25:$AC$117,$G370)</f>
        <v>0</v>
      </c>
      <c r="AN370" s="1099">
        <f>_xlfn.SUMIFS(Покупка!AM$25:AM$117,Покупка!$F$25:$F$117,$F370,Покупка!$AC$25:$AC$117,$G370)</f>
        <v>0</v>
      </c>
      <c r="AO370" s="1099">
        <f>_xlfn.SUMIFS(Покупка!AN$25:AN$117,Покупка!$F$25:$F$117,$F370,Покупка!$AC$25:$AC$117,$G370)</f>
        <v>0</v>
      </c>
      <c r="AP370" s="1099">
        <f>_xlfn.SUMIFS(Покупка!AO$25:AO$117,Покупка!$F$25:$F$117,$F370,Покупка!$AC$25:$AC$117,$G370)</f>
        <v>0</v>
      </c>
      <c r="AQ370" s="1099">
        <f>_xlfn.SUMIFS(Покупка!AP$25:AP$117,Покупка!$F$25:$F$117,$F370,Покупка!$AC$25:$AC$117,$G370)</f>
        <v>0</v>
      </c>
      <c r="AR370" s="1099">
        <f>_xlfn.SUMIFS(Покупка!AQ$25:AQ$117,Покупка!$F$25:$F$117,$F370,Покупка!$AC$25:$AC$117,$G370)</f>
        <v>0</v>
      </c>
      <c r="AS370" s="1099">
        <f>_xlfn.SUMIFS(Покупка!AR$25:AR$117,Покупка!$F$25:$F$117,$F370,Покупка!$AC$25:$AC$117,$G370)</f>
        <v>0</v>
      </c>
      <c r="AT370" s="1099">
        <f>_xlfn.SUMIFS(Покупка!AS$25:AS$117,Покупка!$F$25:$F$117,$F370,Покупка!$AC$25:$AC$117,$G370)</f>
        <v>0</v>
      </c>
      <c r="AU370" s="1099">
        <f>_xlfn.SUMIFS(Покупка!AT$25:AT$117,Покупка!$F$25:$F$117,$F370,Покупка!$AC$25:$AC$117,$G370)</f>
        <v>0</v>
      </c>
      <c r="AV370" s="1099">
        <f>_xlfn.SUMIFS(Покупка!AU$25:AU$117,Покупка!$F$25:$F$117,$F370,Покупка!$AC$25:$AC$117,$G370)</f>
        <v>0</v>
      </c>
      <c r="AW370" s="1099">
        <f>_xlfn.SUMIFS(Покупка!AV$25:AV$117,Покупка!$F$25:$F$117,$F370,Покупка!$AC$25:$AC$117,$G370)</f>
        <v>0</v>
      </c>
      <c r="AX370" s="1099">
        <f>_xlfn.SUMIFS(Покупка!AW$25:AW$117,Покупка!$F$25:$F$117,$F370,Покупка!$AC$25:$AC$117,$G370)</f>
        <v>0</v>
      </c>
      <c r="AY370" s="1099">
        <f>_xlfn.SUMIFS(Покупка!AX$25:AX$117,Покупка!$F$25:$F$117,$F370,Покупка!$AC$25:$AC$117,$G370)</f>
        <v>0</v>
      </c>
      <c r="AZ370" s="1099">
        <f>_xlfn.SUMIFS(Покупка!AY$25:AY$117,Покупка!$F$25:$F$117,$F370,Покупка!$AC$25:$AC$117,$G370)</f>
        <v>0</v>
      </c>
      <c r="BA370" s="1099">
        <f>_xlfn.SUMIFS(Покупка!AZ$25:AZ$117,Покупка!$F$25:$F$117,$F370,Покупка!$AC$25:$AC$117,$G370)</f>
        <v>0</v>
      </c>
      <c r="BB370" s="1099">
        <f>_xlfn.SUMIFS(Покупка!BA$25:BA$117,Покупка!$F$25:$F$117,$F370,Покупка!$AC$25:$AC$117,$G370)</f>
        <v>0</v>
      </c>
      <c r="BC370" s="1099">
        <f>_xlfn.SUMIFS(Покупка!BB$25:BB$117,Покупка!$F$25:$F$117,$F370,Покупка!$AC$25:$AC$117,$G370)</f>
        <v>0</v>
      </c>
      <c r="BD370" s="1099">
        <f>IF(AI370=0,0,(AT370-AI370)/AI370*100)</f>
        <v>0</v>
      </c>
      <c r="BE370" s="1099">
        <f>IF(AT370=0,0,(AU370-AT370)/AT370*100)</f>
        <v>0</v>
      </c>
      <c r="BF370" s="1099">
        <f>IF(AU370=0,0,(AV370-AU370)/AU370*100)</f>
        <v>0</v>
      </c>
      <c r="BG370" s="1099">
        <f>IF(AV370=0,0,(AW370-AV370)/AV370*100)</f>
        <v>0</v>
      </c>
      <c r="BH370" s="1099">
        <f>IF(AW370=0,0,(AX370-AW370)/AW370*100)</f>
        <v>0</v>
      </c>
      <c r="BI370" s="1099">
        <f>IF(AX370=0,0,(AY370-AX370)/AX370*100)</f>
        <v>0</v>
      </c>
      <c r="BJ370" s="1099">
        <f>IF(AY370=0,0,(AZ370-AY370)/AY370*100)</f>
        <v>0</v>
      </c>
      <c r="BK370" s="1099">
        <f>IF(AZ370=0,0,(BA370-AZ370)/AZ370*100)</f>
        <v>0</v>
      </c>
      <c r="BL370" s="1099">
        <f>IF(BA370=0,0,(BB370-BA370)/BA370*100)</f>
        <v>0</v>
      </c>
      <c r="BM370" s="1099">
        <f>IF(BB370=0,0,(BC370-BB370)/BB370*100)</f>
        <v>0</v>
      </c>
      <c r="BN370" s="4617"/>
      <c r="BO370" s="4619" t="str">
        <f>IF(_xlfn.IFERROR(INDEX(Покупка!$K$26:$L$117,MATCH($F370&amp;"2komm",Покупка!$K$26:$K$117,0),2),"")=0,"",_xlfn.IFERROR(INDEX(Покупка!$K$26:$L$117,MATCH($F370&amp;"2komm",Покупка!$K$26:$K$117,0),2),""))</f>
        <v/>
      </c>
      <c r="BP370" s="4617"/>
      <c r="BQ370" s="960"/>
      <c r="BR370" s="960"/>
      <c r="BS370" s="1048" t="s">
        <v>1903</v>
      </c>
      <c r="BT370" s="1048"/>
      <c r="BU370" s="1048"/>
      <c r="BV370" s="962"/>
      <c r="BW370" s="962"/>
    </row>
    <row s="1621" customFormat="1" customHeight="1" ht="14.25">
      <c r="A371" s="960"/>
      <c r="B371" s="961"/>
      <c r="C371" s="73"/>
      <c r="D371" s="73"/>
      <c r="E371" s="600">
        <v>15</v>
      </c>
      <c r="F371" s="50" cm="1" t="str">
        <f t="array" ref="F371:F371">OFFSET(E371,-1,1)</f>
        <v>2</v>
      </c>
      <c r="G371" s="73" t="s">
        <v>996</v>
      </c>
      <c r="H371" s="73"/>
      <c r="I371" s="73" t="s">
        <v>1533</v>
      </c>
      <c r="J371" s="73"/>
      <c r="K371" s="73" t="s">
        <v>1533</v>
      </c>
      <c r="L371" s="963" t="s">
        <v>1389</v>
      </c>
      <c r="M371" s="73"/>
      <c r="N371" s="73"/>
      <c r="O371" s="73"/>
      <c r="P371" s="73"/>
      <c r="Q371" s="73"/>
      <c r="R371" s="73"/>
      <c r="S371" s="73"/>
      <c r="T371" s="439" cm="1" t="str">
        <f t="array" ref="T371:T371">T370</f>
        <v>true</v>
      </c>
      <c r="U371" s="73"/>
      <c r="V371" s="73"/>
      <c r="W371" s="73"/>
      <c r="X371" s="1534"/>
      <c r="Y371" s="960"/>
      <c r="Z371" s="1465"/>
      <c r="AA371" s="960"/>
      <c r="AB371" s="267" t="s">
        <v>1904</v>
      </c>
      <c r="AC371" s="746" t="s">
        <v>1905</v>
      </c>
      <c r="AD371" s="267" t="s">
        <v>784</v>
      </c>
      <c r="AE371" s="1099">
        <f>_xlfn.SUMIFS(Покупка!AE$25:AE$117,Покупка!$F$25:$F$117,$F371,Покупка!$AC$25:$AC$117,$G371)</f>
        <v>0</v>
      </c>
      <c r="AF371" s="1099">
        <f>_xlfn.SUMIFS(Покупка!AF$25:AF$117,Покупка!$F$25:$F$117,$F371,Покупка!$AC$25:$AC$117,$G371)</f>
        <v>0</v>
      </c>
      <c r="AG371" s="1099">
        <f>_xlfn.SUMIFS(Покупка!AG$25:AG$117,Покупка!$F$25:$F$117,$F371,Покупка!$AC$25:$AC$117,$G371)</f>
        <v>0</v>
      </c>
      <c r="AH371" s="1099">
        <f>AG371-AF371</f>
        <v>0</v>
      </c>
      <c r="AI371" s="1099">
        <f>_xlfn.SUMIFS(Покупка!AH$25:AH$117,Покупка!$F$25:$F$117,$F371,Покупка!$AC$25:$AC$117,$G371)</f>
        <v>0</v>
      </c>
      <c r="AJ371" s="1099">
        <f>_xlfn.SUMIFS(Покупка!AI$25:AI$117,Покупка!$F$25:$F$117,$F371,Покупка!$AC$25:$AC$117,$G371)</f>
        <v>0</v>
      </c>
      <c r="AK371" s="1099">
        <f>_xlfn.SUMIFS(Покупка!AJ$25:AJ$117,Покупка!$F$25:$F$117,$F371,Покупка!$AC$25:$AC$117,$G371)</f>
        <v>0</v>
      </c>
      <c r="AL371" s="1099">
        <f>_xlfn.SUMIFS(Покупка!AK$25:AK$117,Покупка!$F$25:$F$117,$F371,Покупка!$AC$25:$AC$117,$G371)</f>
        <v>0</v>
      </c>
      <c r="AM371" s="1099">
        <f>_xlfn.SUMIFS(Покупка!AL$25:AL$117,Покупка!$F$25:$F$117,$F371,Покупка!$AC$25:$AC$117,$G371)</f>
        <v>0</v>
      </c>
      <c r="AN371" s="1099">
        <f>_xlfn.SUMIFS(Покупка!AM$25:AM$117,Покупка!$F$25:$F$117,$F371,Покупка!$AC$25:$AC$117,$G371)</f>
        <v>0</v>
      </c>
      <c r="AO371" s="1099">
        <f>_xlfn.SUMIFS(Покупка!AN$25:AN$117,Покупка!$F$25:$F$117,$F371,Покупка!$AC$25:$AC$117,$G371)</f>
        <v>0</v>
      </c>
      <c r="AP371" s="1099">
        <f>_xlfn.SUMIFS(Покупка!AO$25:AO$117,Покупка!$F$25:$F$117,$F371,Покупка!$AC$25:$AC$117,$G371)</f>
        <v>0</v>
      </c>
      <c r="AQ371" s="1099">
        <f>_xlfn.SUMIFS(Покупка!AP$25:AP$117,Покупка!$F$25:$F$117,$F371,Покупка!$AC$25:$AC$117,$G371)</f>
        <v>0</v>
      </c>
      <c r="AR371" s="1099">
        <f>_xlfn.SUMIFS(Покупка!AQ$25:AQ$117,Покупка!$F$25:$F$117,$F371,Покупка!$AC$25:$AC$117,$G371)</f>
        <v>0</v>
      </c>
      <c r="AS371" s="1099">
        <f>_xlfn.SUMIFS(Покупка!AR$25:AR$117,Покупка!$F$25:$F$117,$F371,Покупка!$AC$25:$AC$117,$G371)</f>
        <v>0</v>
      </c>
      <c r="AT371" s="1099">
        <f>_xlfn.SUMIFS(Покупка!AS$25:AS$117,Покупка!$F$25:$F$117,$F371,Покупка!$AC$25:$AC$117,$G371)</f>
        <v>0</v>
      </c>
      <c r="AU371" s="1099">
        <f>_xlfn.SUMIFS(Покупка!AT$25:AT$117,Покупка!$F$25:$F$117,$F371,Покупка!$AC$25:$AC$117,$G371)</f>
        <v>0</v>
      </c>
      <c r="AV371" s="1099">
        <f>_xlfn.SUMIFS(Покупка!AU$25:AU$117,Покупка!$F$25:$F$117,$F371,Покупка!$AC$25:$AC$117,$G371)</f>
        <v>0</v>
      </c>
      <c r="AW371" s="1099">
        <f>_xlfn.SUMIFS(Покупка!AV$25:AV$117,Покупка!$F$25:$F$117,$F371,Покупка!$AC$25:$AC$117,$G371)</f>
        <v>0</v>
      </c>
      <c r="AX371" s="1099">
        <f>_xlfn.SUMIFS(Покупка!AW$25:AW$117,Покупка!$F$25:$F$117,$F371,Покупка!$AC$25:$AC$117,$G371)</f>
        <v>0</v>
      </c>
      <c r="AY371" s="1099">
        <f>_xlfn.SUMIFS(Покупка!AX$25:AX$117,Покупка!$F$25:$F$117,$F371,Покупка!$AC$25:$AC$117,$G371)</f>
        <v>0</v>
      </c>
      <c r="AZ371" s="1099">
        <f>_xlfn.SUMIFS(Покупка!AY$25:AY$117,Покупка!$F$25:$F$117,$F371,Покупка!$AC$25:$AC$117,$G371)</f>
        <v>0</v>
      </c>
      <c r="BA371" s="1099">
        <f>_xlfn.SUMIFS(Покупка!AZ$25:AZ$117,Покупка!$F$25:$F$117,$F371,Покупка!$AC$25:$AC$117,$G371)</f>
        <v>0</v>
      </c>
      <c r="BB371" s="1099">
        <f>_xlfn.SUMIFS(Покупка!BA$25:BA$117,Покупка!$F$25:$F$117,$F371,Покупка!$AC$25:$AC$117,$G371)</f>
        <v>0</v>
      </c>
      <c r="BC371" s="1099">
        <f>_xlfn.SUMIFS(Покупка!BB$25:BB$117,Покупка!$F$25:$F$117,$F371,Покупка!$AC$25:$AC$117,$G371)</f>
        <v>0</v>
      </c>
      <c r="BD371" s="1099">
        <f>IF(AI371=0,0,(AT371-AI371)/AI371*100)</f>
        <v>0</v>
      </c>
      <c r="BE371" s="1099">
        <f>IF(AT371=0,0,(AU371-AT371)/AT371*100)</f>
        <v>0</v>
      </c>
      <c r="BF371" s="1099">
        <f>IF(AU371=0,0,(AV371-AU371)/AU371*100)</f>
        <v>0</v>
      </c>
      <c r="BG371" s="1099">
        <f>IF(AV371=0,0,(AW371-AV371)/AV371*100)</f>
        <v>0</v>
      </c>
      <c r="BH371" s="1099">
        <f>IF(AW371=0,0,(AX371-AW371)/AW371*100)</f>
        <v>0</v>
      </c>
      <c r="BI371" s="1099">
        <f>IF(AX371=0,0,(AY371-AX371)/AX371*100)</f>
        <v>0</v>
      </c>
      <c r="BJ371" s="1099">
        <f>IF(AY371=0,0,(AZ371-AY371)/AY371*100)</f>
        <v>0</v>
      </c>
      <c r="BK371" s="1099">
        <f>IF(AZ371=0,0,(BA371-AZ371)/AZ371*100)</f>
        <v>0</v>
      </c>
      <c r="BL371" s="1099">
        <f>IF(BA371=0,0,(BB371-BA371)/BA371*100)</f>
        <v>0</v>
      </c>
      <c r="BM371" s="1099">
        <f>IF(BB371=0,0,(BC371-BB371)/BB371*100)</f>
        <v>0</v>
      </c>
      <c r="BN371" s="4617"/>
      <c r="BO371" s="4619" t="str">
        <f>IF(_xlfn.IFERROR(INDEX(Покупка!$K$26:$L$117,MATCH($F371&amp;"1komm",Покупка!$K$26:$K$117,0),2),"")=0,"",_xlfn.IFERROR(INDEX(Покупка!$K$26:$L$117,MATCH($F371&amp;"1komm",Покупка!$K$26:$K$117,0),2),""))</f>
        <v/>
      </c>
      <c r="BP371" s="4617"/>
      <c r="BQ371" s="960"/>
      <c r="BR371" s="960"/>
      <c r="BS371" s="1048" t="s">
        <v>1906</v>
      </c>
      <c r="BT371" s="1048"/>
      <c r="BU371" s="1048"/>
      <c r="BV371" s="962"/>
      <c r="BW371" s="962"/>
    </row>
    <row s="1621" customFormat="1" customHeight="1" ht="14.25">
      <c r="A372" s="960"/>
      <c r="B372" s="961"/>
      <c r="C372" s="73"/>
      <c r="D372" s="73"/>
      <c r="E372" s="600">
        <v>15</v>
      </c>
      <c r="F372" s="50" cm="1" t="str">
        <f t="array" ref="F372:F372">OFFSET(E372,-1,1)</f>
        <v>2</v>
      </c>
      <c r="G372" s="73" t="s">
        <v>1032</v>
      </c>
      <c r="H372" s="73"/>
      <c r="I372" s="73" t="s">
        <v>1536</v>
      </c>
      <c r="J372" s="73"/>
      <c r="K372" s="73" t="s">
        <v>1536</v>
      </c>
      <c r="L372" s="963"/>
      <c r="M372" s="73"/>
      <c r="N372" s="73"/>
      <c r="O372" s="73"/>
      <c r="P372" s="73"/>
      <c r="Q372" s="73"/>
      <c r="R372" s="73"/>
      <c r="S372" s="73"/>
      <c r="T372" s="439" cm="1" t="str">
        <f t="array" ref="T372:T372">T371</f>
        <v>true</v>
      </c>
      <c r="U372" s="73"/>
      <c r="V372" s="73"/>
      <c r="W372" s="73"/>
      <c r="X372" s="1534"/>
      <c r="Y372" s="960"/>
      <c r="Z372" s="1465"/>
      <c r="AA372" s="960"/>
      <c r="AB372" s="267" t="s">
        <v>1907</v>
      </c>
      <c r="AC372" s="746" t="s">
        <v>1908</v>
      </c>
      <c r="AD372" s="267" t="s">
        <v>784</v>
      </c>
      <c r="AE372" s="1099">
        <f>_xlfn.SUMIFS(Покупка!AE$25:AE$117,Покупка!$F$25:$F$117,$F372,Покупка!$AC$25:$AC$117,$G372)</f>
        <v>0</v>
      </c>
      <c r="AF372" s="1099">
        <f>_xlfn.SUMIFS(Покупка!AF$25:AF$117,Покупка!$F$25:$F$117,$F372,Покупка!$AC$25:$AC$117,$G372)</f>
        <v>0</v>
      </c>
      <c r="AG372" s="1099">
        <f>_xlfn.SUMIFS(Покупка!AG$25:AG$117,Покупка!$F$25:$F$117,$F372,Покупка!$AC$25:$AC$117,$G372)</f>
        <v>0</v>
      </c>
      <c r="AH372" s="1099">
        <f>AG372-AF372</f>
        <v>0</v>
      </c>
      <c r="AI372" s="1099">
        <f>_xlfn.SUMIFS(Покупка!AH$25:AH$117,Покупка!$F$25:$F$117,$F372,Покупка!$AC$25:$AC$117,$G372)</f>
        <v>0</v>
      </c>
      <c r="AJ372" s="1099">
        <f>_xlfn.SUMIFS(Покупка!AI$25:AI$117,Покупка!$F$25:$F$117,$F372,Покупка!$AC$25:$AC$117,$G372)</f>
        <v>0</v>
      </c>
      <c r="AK372" s="1099">
        <f>_xlfn.SUMIFS(Покупка!AJ$25:AJ$117,Покупка!$F$25:$F$117,$F372,Покупка!$AC$25:$AC$117,$G372)</f>
        <v>0</v>
      </c>
      <c r="AL372" s="1099">
        <f>_xlfn.SUMIFS(Покупка!AK$25:AK$117,Покупка!$F$25:$F$117,$F372,Покупка!$AC$25:$AC$117,$G372)</f>
        <v>0</v>
      </c>
      <c r="AM372" s="1099">
        <f>_xlfn.SUMIFS(Покупка!AL$25:AL$117,Покупка!$F$25:$F$117,$F372,Покупка!$AC$25:$AC$117,$G372)</f>
        <v>0</v>
      </c>
      <c r="AN372" s="1099">
        <f>_xlfn.SUMIFS(Покупка!AM$25:AM$117,Покупка!$F$25:$F$117,$F372,Покупка!$AC$25:$AC$117,$G372)</f>
        <v>0</v>
      </c>
      <c r="AO372" s="1099">
        <f>_xlfn.SUMIFS(Покупка!AN$25:AN$117,Покупка!$F$25:$F$117,$F372,Покупка!$AC$25:$AC$117,$G372)</f>
        <v>0</v>
      </c>
      <c r="AP372" s="1099">
        <f>_xlfn.SUMIFS(Покупка!AO$25:AO$117,Покупка!$F$25:$F$117,$F372,Покупка!$AC$25:$AC$117,$G372)</f>
        <v>0</v>
      </c>
      <c r="AQ372" s="1099">
        <f>_xlfn.SUMIFS(Покупка!AP$25:AP$117,Покупка!$F$25:$F$117,$F372,Покупка!$AC$25:$AC$117,$G372)</f>
        <v>0</v>
      </c>
      <c r="AR372" s="1099">
        <f>_xlfn.SUMIFS(Покупка!AQ$25:AQ$117,Покупка!$F$25:$F$117,$F372,Покупка!$AC$25:$AC$117,$G372)</f>
        <v>0</v>
      </c>
      <c r="AS372" s="1099">
        <f>_xlfn.SUMIFS(Покупка!AR$25:AR$117,Покупка!$F$25:$F$117,$F372,Покупка!$AC$25:$AC$117,$G372)</f>
        <v>0</v>
      </c>
      <c r="AT372" s="1099">
        <f>_xlfn.SUMIFS(Покупка!AS$25:AS$117,Покупка!$F$25:$F$117,$F372,Покупка!$AC$25:$AC$117,$G372)</f>
        <v>0</v>
      </c>
      <c r="AU372" s="1099">
        <f>_xlfn.SUMIFS(Покупка!AT$25:AT$117,Покупка!$F$25:$F$117,$F372,Покупка!$AC$25:$AC$117,$G372)</f>
        <v>0</v>
      </c>
      <c r="AV372" s="1099">
        <f>_xlfn.SUMIFS(Покупка!AU$25:AU$117,Покупка!$F$25:$F$117,$F372,Покупка!$AC$25:$AC$117,$G372)</f>
        <v>0</v>
      </c>
      <c r="AW372" s="1099">
        <f>_xlfn.SUMIFS(Покупка!AV$25:AV$117,Покупка!$F$25:$F$117,$F372,Покупка!$AC$25:$AC$117,$G372)</f>
        <v>0</v>
      </c>
      <c r="AX372" s="1099">
        <f>_xlfn.SUMIFS(Покупка!AW$25:AW$117,Покупка!$F$25:$F$117,$F372,Покупка!$AC$25:$AC$117,$G372)</f>
        <v>0</v>
      </c>
      <c r="AY372" s="1099">
        <f>_xlfn.SUMIFS(Покупка!AX$25:AX$117,Покупка!$F$25:$F$117,$F372,Покупка!$AC$25:$AC$117,$G372)</f>
        <v>0</v>
      </c>
      <c r="AZ372" s="1099">
        <f>_xlfn.SUMIFS(Покупка!AY$25:AY$117,Покупка!$F$25:$F$117,$F372,Покупка!$AC$25:$AC$117,$G372)</f>
        <v>0</v>
      </c>
      <c r="BA372" s="1099">
        <f>_xlfn.SUMIFS(Покупка!AZ$25:AZ$117,Покупка!$F$25:$F$117,$F372,Покупка!$AC$25:$AC$117,$G372)</f>
        <v>0</v>
      </c>
      <c r="BB372" s="1099">
        <f>_xlfn.SUMIFS(Покупка!BA$25:BA$117,Покупка!$F$25:$F$117,$F372,Покупка!$AC$25:$AC$117,$G372)</f>
        <v>0</v>
      </c>
      <c r="BC372" s="1099">
        <f>_xlfn.SUMIFS(Покупка!BB$25:BB$117,Покупка!$F$25:$F$117,$F372,Покупка!$AC$25:$AC$117,$G372)</f>
        <v>0</v>
      </c>
      <c r="BD372" s="1099">
        <f>IF(AI372=0,0,(AT372-AI372)/AI372*100)</f>
        <v>0</v>
      </c>
      <c r="BE372" s="1099">
        <f>IF(AT372=0,0,(AU372-AT372)/AT372*100)</f>
        <v>0</v>
      </c>
      <c r="BF372" s="1099">
        <f>IF(AU372=0,0,(AV372-AU372)/AU372*100)</f>
        <v>0</v>
      </c>
      <c r="BG372" s="1099">
        <f>IF(AV372=0,0,(AW372-AV372)/AV372*100)</f>
        <v>0</v>
      </c>
      <c r="BH372" s="1099">
        <f>IF(AW372=0,0,(AX372-AW372)/AW372*100)</f>
        <v>0</v>
      </c>
      <c r="BI372" s="1099">
        <f>IF(AX372=0,0,(AY372-AX372)/AX372*100)</f>
        <v>0</v>
      </c>
      <c r="BJ372" s="1099">
        <f>IF(AY372=0,0,(AZ372-AY372)/AY372*100)</f>
        <v>0</v>
      </c>
      <c r="BK372" s="1099">
        <f>IF(AZ372=0,0,(BA372-AZ372)/AZ372*100)</f>
        <v>0</v>
      </c>
      <c r="BL372" s="1099">
        <f>IF(BA372=0,0,(BB372-BA372)/BA372*100)</f>
        <v>0</v>
      </c>
      <c r="BM372" s="1099">
        <f>IF(BB372=0,0,(BC372-BB372)/BB372*100)</f>
        <v>0</v>
      </c>
      <c r="BN372" s="4617"/>
      <c r="BO372" s="4619" t="str">
        <f>IF(_xlfn.IFERROR(INDEX(Покупка!$K$26:$L$117,MATCH($F372&amp;"8komm",Покупка!$K$26:$K$117,0),2),"")=0,"",_xlfn.IFERROR(INDEX(Покупка!$K$26:$L$117,MATCH($F372&amp;"8komm",Покупка!$K$26:$K$117,0),2),""))</f>
        <v/>
      </c>
      <c r="BP372" s="4617"/>
      <c r="BQ372" s="960"/>
      <c r="BR372" s="960"/>
      <c r="BS372" s="1048" t="s">
        <v>1033</v>
      </c>
      <c r="BT372" s="1048"/>
      <c r="BU372" s="1048"/>
      <c r="BV372" s="962"/>
      <c r="BW372" s="962"/>
    </row>
    <row s="1621" customFormat="1" customHeight="1" ht="14.25">
      <c r="A373" s="960"/>
      <c r="B373" s="961"/>
      <c r="C373" s="73"/>
      <c r="D373" s="73"/>
      <c r="E373" s="600">
        <v>15</v>
      </c>
      <c r="F373" s="50" cm="1" t="str">
        <f t="array" ref="F373:F373">OFFSET(E373,-1,1)</f>
        <v>2</v>
      </c>
      <c r="G373" s="73"/>
      <c r="H373" s="73"/>
      <c r="I373" s="73" t="s">
        <v>1909</v>
      </c>
      <c r="J373" s="73"/>
      <c r="K373" s="73" t="s">
        <v>1909</v>
      </c>
      <c r="L373" s="963"/>
      <c r="M373" s="73"/>
      <c r="N373" s="73"/>
      <c r="O373" s="73"/>
      <c r="P373" s="73"/>
      <c r="Q373" s="73"/>
      <c r="R373" s="73"/>
      <c r="S373" s="73"/>
      <c r="T373" s="439" cm="1" t="str">
        <f t="array" ref="T373:T373">T372</f>
        <v>true</v>
      </c>
      <c r="U373" s="73"/>
      <c r="V373" s="73"/>
      <c r="W373" s="73"/>
      <c r="X373" s="1534"/>
      <c r="Y373" s="960"/>
      <c r="Z373" s="1465"/>
      <c r="AA373" s="960"/>
      <c r="AB373" s="267" t="s">
        <v>1910</v>
      </c>
      <c r="AC373" s="746" t="s">
        <v>1911</v>
      </c>
      <c r="AD373" s="267" t="s">
        <v>784</v>
      </c>
      <c r="AE373" s="4561"/>
      <c r="AF373" s="4561"/>
      <c r="AG373" s="4561"/>
      <c r="AH373" s="1099">
        <f>AG373-AF373</f>
        <v>0</v>
      </c>
      <c r="AI373" s="4561"/>
      <c r="AJ373" s="4561"/>
      <c r="AK373" s="1268"/>
      <c r="AL373" s="1268"/>
      <c r="AM373" s="4561"/>
      <c r="AN373" s="4561"/>
      <c r="AO373" s="4561"/>
      <c r="AP373" s="4561"/>
      <c r="AQ373" s="4561"/>
      <c r="AR373" s="4561"/>
      <c r="AS373" s="4561"/>
      <c r="AT373" s="4561"/>
      <c r="AU373" s="1268"/>
      <c r="AV373" s="1268"/>
      <c r="AW373" s="4561"/>
      <c r="AX373" s="4561"/>
      <c r="AY373" s="4561"/>
      <c r="AZ373" s="4561"/>
      <c r="BA373" s="4561"/>
      <c r="BB373" s="4561"/>
      <c r="BC373" s="4561"/>
      <c r="BD373" s="1099">
        <f>IF(AI373=0,0,(AT373-AI373)/AI373*100)</f>
        <v>0</v>
      </c>
      <c r="BE373" s="1099">
        <f>IF(AT373=0,0,(AU373-AT373)/AT373*100)</f>
        <v>0</v>
      </c>
      <c r="BF373" s="1099">
        <f>IF(AU373=0,0,(AV373-AU373)/AU373*100)</f>
        <v>0</v>
      </c>
      <c r="BG373" s="1099">
        <f>IF(AV373=0,0,(AW373-AV373)/AV373*100)</f>
        <v>0</v>
      </c>
      <c r="BH373" s="1099">
        <f>IF(AW373=0,0,(AX373-AW373)/AW373*100)</f>
        <v>0</v>
      </c>
      <c r="BI373" s="1099">
        <f>IF(AX373=0,0,(AY373-AX373)/AX373*100)</f>
        <v>0</v>
      </c>
      <c r="BJ373" s="1099">
        <f>IF(AY373=0,0,(AZ373-AY373)/AY373*100)</f>
        <v>0</v>
      </c>
      <c r="BK373" s="1099">
        <f>IF(AZ373=0,0,(BA373-AZ373)/AZ373*100)</f>
        <v>0</v>
      </c>
      <c r="BL373" s="1099">
        <f>IF(BA373=0,0,(BB373-BA373)/BA373*100)</f>
        <v>0</v>
      </c>
      <c r="BM373" s="1099">
        <f>IF(BB373=0,0,(BC373-BB373)/BB373*100)</f>
        <v>0</v>
      </c>
      <c r="BN373" s="4617"/>
      <c r="BO373" s="4617"/>
      <c r="BP373" s="4617"/>
      <c r="BQ373" s="960"/>
      <c r="BR373" s="960"/>
      <c r="BS373" s="1048" t="s">
        <v>1912</v>
      </c>
      <c r="BT373" s="1048"/>
      <c r="BU373" s="1048"/>
      <c r="BV373" s="962"/>
      <c r="BW373" s="962"/>
    </row>
    <row s="1621" customFormat="1" customHeight="1" ht="14.25">
      <c r="A374" s="960"/>
      <c r="B374" s="961"/>
      <c r="C374" s="73"/>
      <c r="D374" s="73"/>
      <c r="E374" s="600">
        <v>15</v>
      </c>
      <c r="F374" s="50" cm="1" t="str">
        <f t="array" ref="F374:F374">OFFSET(E374,-1,1)</f>
        <v>2</v>
      </c>
      <c r="G374" s="73"/>
      <c r="H374" s="73"/>
      <c r="I374" s="73" t="s">
        <v>1913</v>
      </c>
      <c r="J374" s="73"/>
      <c r="K374" s="73" t="s">
        <v>1913</v>
      </c>
      <c r="L374" s="963"/>
      <c r="M374" s="73"/>
      <c r="N374" s="73"/>
      <c r="O374" s="73"/>
      <c r="P374" s="73"/>
      <c r="Q374" s="73"/>
      <c r="R374" s="73"/>
      <c r="S374" s="73"/>
      <c r="T374" s="439" cm="1" t="str">
        <f t="array" ref="T374:T374">T373</f>
        <v>true</v>
      </c>
      <c r="U374" s="73"/>
      <c r="V374" s="73"/>
      <c r="W374" s="73"/>
      <c r="X374" s="1534"/>
      <c r="Y374" s="960"/>
      <c r="Z374" s="1465"/>
      <c r="AA374" s="960"/>
      <c r="AB374" s="267" t="s">
        <v>1914</v>
      </c>
      <c r="AC374" s="746" t="s">
        <v>1915</v>
      </c>
      <c r="AD374" s="267" t="s">
        <v>784</v>
      </c>
      <c r="AE374" s="4561"/>
      <c r="AF374" s="4561"/>
      <c r="AG374" s="4561"/>
      <c r="AH374" s="1099">
        <f>AG374-AF374</f>
        <v>0</v>
      </c>
      <c r="AI374" s="4561"/>
      <c r="AJ374" s="4561"/>
      <c r="AK374" s="1268"/>
      <c r="AL374" s="1268"/>
      <c r="AM374" s="4561"/>
      <c r="AN374" s="4561"/>
      <c r="AO374" s="4561"/>
      <c r="AP374" s="4561"/>
      <c r="AQ374" s="4561"/>
      <c r="AR374" s="4561"/>
      <c r="AS374" s="4561"/>
      <c r="AT374" s="4561"/>
      <c r="AU374" s="1268"/>
      <c r="AV374" s="1268"/>
      <c r="AW374" s="4561"/>
      <c r="AX374" s="4561"/>
      <c r="AY374" s="4561"/>
      <c r="AZ374" s="4561"/>
      <c r="BA374" s="4561"/>
      <c r="BB374" s="4561"/>
      <c r="BC374" s="4561"/>
      <c r="BD374" s="1099">
        <f>IF(AI374=0,0,(AT374-AI374)/AI374*100)</f>
        <v>0</v>
      </c>
      <c r="BE374" s="1099">
        <f>IF(AT374=0,0,(AU374-AT374)/AT374*100)</f>
        <v>0</v>
      </c>
      <c r="BF374" s="1099">
        <f>IF(AU374=0,0,(AV374-AU374)/AU374*100)</f>
        <v>0</v>
      </c>
      <c r="BG374" s="1099">
        <f>IF(AV374=0,0,(AW374-AV374)/AV374*100)</f>
        <v>0</v>
      </c>
      <c r="BH374" s="1099">
        <f>IF(AW374=0,0,(AX374-AW374)/AW374*100)</f>
        <v>0</v>
      </c>
      <c r="BI374" s="1099">
        <f>IF(AX374=0,0,(AY374-AX374)/AX374*100)</f>
        <v>0</v>
      </c>
      <c r="BJ374" s="1099">
        <f>IF(AY374=0,0,(AZ374-AY374)/AY374*100)</f>
        <v>0</v>
      </c>
      <c r="BK374" s="1099">
        <f>IF(AZ374=0,0,(BA374-AZ374)/AZ374*100)</f>
        <v>0</v>
      </c>
      <c r="BL374" s="1099">
        <f>IF(BA374=0,0,(BB374-BA374)/BA374*100)</f>
        <v>0</v>
      </c>
      <c r="BM374" s="1099">
        <f>IF(BB374=0,0,(BC374-BB374)/BB374*100)</f>
        <v>0</v>
      </c>
      <c r="BN374" s="4617"/>
      <c r="BO374" s="4617"/>
      <c r="BP374" s="4617"/>
      <c r="BQ374" s="960"/>
      <c r="BR374" s="960"/>
      <c r="BS374" s="1048" t="s">
        <v>1916</v>
      </c>
      <c r="BT374" s="1048"/>
      <c r="BU374" s="1048"/>
      <c r="BV374" s="962"/>
      <c r="BW374" s="962"/>
    </row>
    <row s="1621" customFormat="1" customHeight="1" ht="14.25">
      <c r="A375" s="960"/>
      <c r="B375" s="961"/>
      <c r="C375" s="73"/>
      <c r="D375" s="73"/>
      <c r="E375" s="600">
        <v>15</v>
      </c>
      <c r="F375" s="50" cm="1" t="str">
        <f t="array" ref="F375:F375">OFFSET(E375,-1,1)</f>
        <v>2</v>
      </c>
      <c r="G375" s="73" t="s">
        <v>1010</v>
      </c>
      <c r="H375" s="73"/>
      <c r="I375" s="73" t="s">
        <v>1917</v>
      </c>
      <c r="J375" s="73"/>
      <c r="K375" s="73" t="s">
        <v>1917</v>
      </c>
      <c r="L375" s="963" t="s">
        <v>1403</v>
      </c>
      <c r="M375" s="73"/>
      <c r="N375" s="73"/>
      <c r="O375" s="73"/>
      <c r="P375" s="73"/>
      <c r="Q375" s="73"/>
      <c r="R375" s="73"/>
      <c r="S375" s="73"/>
      <c r="T375" s="439" cm="1" t="str">
        <f t="array" ref="T375:T375">T374</f>
        <v>true</v>
      </c>
      <c r="U375" s="73"/>
      <c r="V375" s="73"/>
      <c r="W375" s="73"/>
      <c r="X375" s="1534"/>
      <c r="Y375" s="960"/>
      <c r="Z375" s="1465"/>
      <c r="AA375" s="960"/>
      <c r="AB375" s="267" t="s">
        <v>1918</v>
      </c>
      <c r="AC375" s="746" t="s">
        <v>1919</v>
      </c>
      <c r="AD375" s="267" t="s">
        <v>784</v>
      </c>
      <c r="AE375" s="1099">
        <f>_xlfn.SUMIFS(Покупка!AE$25:AE$117,Покупка!$F$25:$F$117,$F375,Покупка!$AC$25:$AC$117,$G375)</f>
        <v>0</v>
      </c>
      <c r="AF375" s="1099">
        <f>_xlfn.SUMIFS(Покупка!AF$25:AF$117,Покупка!$F$25:$F$117,$F375,Покупка!$AC$25:$AC$117,$G375)</f>
        <v>0</v>
      </c>
      <c r="AG375" s="1099">
        <f>_xlfn.SUMIFS(Покупка!AG$25:AG$117,Покупка!$F$25:$F$117,$F375,Покупка!$AC$25:$AC$117,$G375)</f>
        <v>0</v>
      </c>
      <c r="AH375" s="1099">
        <f>AG375-AF375</f>
        <v>0</v>
      </c>
      <c r="AI375" s="1099">
        <f>_xlfn.SUMIFS(Покупка!AH$25:AH$117,Покупка!$F$25:$F$117,$F375,Покупка!$AC$25:$AC$117,$G375)</f>
        <v>0</v>
      </c>
      <c r="AJ375" s="1099">
        <f>_xlfn.SUMIFS(Покупка!AI$25:AI$117,Покупка!$F$25:$F$117,$F375,Покупка!$AC$25:$AC$117,$G375)</f>
        <v>0</v>
      </c>
      <c r="AK375" s="1099">
        <f>_xlfn.SUMIFS(Покупка!AJ$25:AJ$117,Покупка!$F$25:$F$117,$F375,Покупка!$AC$25:$AC$117,$G375)</f>
        <v>0</v>
      </c>
      <c r="AL375" s="1099">
        <f>_xlfn.SUMIFS(Покупка!AK$25:AK$117,Покупка!$F$25:$F$117,$F375,Покупка!$AC$25:$AC$117,$G375)</f>
        <v>0</v>
      </c>
      <c r="AM375" s="1099">
        <f>_xlfn.SUMIFS(Покупка!AL$25:AL$117,Покупка!$F$25:$F$117,$F375,Покупка!$AC$25:$AC$117,$G375)</f>
        <v>0</v>
      </c>
      <c r="AN375" s="1099">
        <f>_xlfn.SUMIFS(Покупка!AM$25:AM$117,Покупка!$F$25:$F$117,$F375,Покупка!$AC$25:$AC$117,$G375)</f>
        <v>0</v>
      </c>
      <c r="AO375" s="1099">
        <f>_xlfn.SUMIFS(Покупка!AN$25:AN$117,Покупка!$F$25:$F$117,$F375,Покупка!$AC$25:$AC$117,$G375)</f>
        <v>0</v>
      </c>
      <c r="AP375" s="1099">
        <f>_xlfn.SUMIFS(Покупка!AO$25:AO$117,Покупка!$F$25:$F$117,$F375,Покупка!$AC$25:$AC$117,$G375)</f>
        <v>0</v>
      </c>
      <c r="AQ375" s="1099">
        <f>_xlfn.SUMIFS(Покупка!AP$25:AP$117,Покупка!$F$25:$F$117,$F375,Покупка!$AC$25:$AC$117,$G375)</f>
        <v>0</v>
      </c>
      <c r="AR375" s="1099">
        <f>_xlfn.SUMIFS(Покупка!AQ$25:AQ$117,Покупка!$F$25:$F$117,$F375,Покупка!$AC$25:$AC$117,$G375)</f>
        <v>0</v>
      </c>
      <c r="AS375" s="1099">
        <f>_xlfn.SUMIFS(Покупка!AR$25:AR$117,Покупка!$F$25:$F$117,$F375,Покупка!$AC$25:$AC$117,$G375)</f>
        <v>0</v>
      </c>
      <c r="AT375" s="1099">
        <f>_xlfn.SUMIFS(Покупка!AS$25:AS$117,Покупка!$F$25:$F$117,$F375,Покупка!$AC$25:$AC$117,$G375)</f>
        <v>0</v>
      </c>
      <c r="AU375" s="1099">
        <f>_xlfn.SUMIFS(Покупка!AT$25:AT$117,Покупка!$F$25:$F$117,$F375,Покупка!$AC$25:$AC$117,$G375)</f>
        <v>0</v>
      </c>
      <c r="AV375" s="1099">
        <f>_xlfn.SUMIFS(Покупка!AU$25:AU$117,Покупка!$F$25:$F$117,$F375,Покупка!$AC$25:$AC$117,$G375)</f>
        <v>0</v>
      </c>
      <c r="AW375" s="1099">
        <f>_xlfn.SUMIFS(Покупка!AV$25:AV$117,Покупка!$F$25:$F$117,$F375,Покупка!$AC$25:$AC$117,$G375)</f>
        <v>0</v>
      </c>
      <c r="AX375" s="1099">
        <f>_xlfn.SUMIFS(Покупка!AW$25:AW$117,Покупка!$F$25:$F$117,$F375,Покупка!$AC$25:$AC$117,$G375)</f>
        <v>0</v>
      </c>
      <c r="AY375" s="1099">
        <f>_xlfn.SUMIFS(Покупка!AX$25:AX$117,Покупка!$F$25:$F$117,$F375,Покупка!$AC$25:$AC$117,$G375)</f>
        <v>0</v>
      </c>
      <c r="AZ375" s="1099">
        <f>_xlfn.SUMIFS(Покупка!AY$25:AY$117,Покупка!$F$25:$F$117,$F375,Покупка!$AC$25:$AC$117,$G375)</f>
        <v>0</v>
      </c>
      <c r="BA375" s="1099">
        <f>_xlfn.SUMIFS(Покупка!AZ$25:AZ$117,Покупка!$F$25:$F$117,$F375,Покупка!$AC$25:$AC$117,$G375)</f>
        <v>0</v>
      </c>
      <c r="BB375" s="1099">
        <f>_xlfn.SUMIFS(Покупка!BA$25:BA$117,Покупка!$F$25:$F$117,$F375,Покупка!$AC$25:$AC$117,$G375)</f>
        <v>0</v>
      </c>
      <c r="BC375" s="1099">
        <f>_xlfn.SUMIFS(Покупка!BB$25:BB$117,Покупка!$F$25:$F$117,$F375,Покупка!$AC$25:$AC$117,$G375)</f>
        <v>0</v>
      </c>
      <c r="BD375" s="1099">
        <f>IF(AI375=0,0,(AT375-AI375)/AI375*100)</f>
        <v>0</v>
      </c>
      <c r="BE375" s="1099">
        <f>IF(AT375=0,0,(AU375-AT375)/AT375*100)</f>
        <v>0</v>
      </c>
      <c r="BF375" s="1099">
        <f>IF(AU375=0,0,(AV375-AU375)/AU375*100)</f>
        <v>0</v>
      </c>
      <c r="BG375" s="1099">
        <f>IF(AV375=0,0,(AW375-AV375)/AV375*100)</f>
        <v>0</v>
      </c>
      <c r="BH375" s="1099">
        <f>IF(AW375=0,0,(AX375-AW375)/AW375*100)</f>
        <v>0</v>
      </c>
      <c r="BI375" s="1099">
        <f>IF(AX375=0,0,(AY375-AX375)/AX375*100)</f>
        <v>0</v>
      </c>
      <c r="BJ375" s="1099">
        <f>IF(AY375=0,0,(AZ375-AY375)/AY375*100)</f>
        <v>0</v>
      </c>
      <c r="BK375" s="1099">
        <f>IF(AZ375=0,0,(BA375-AZ375)/AZ375*100)</f>
        <v>0</v>
      </c>
      <c r="BL375" s="1099">
        <f>IF(BA375=0,0,(BB375-BA375)/BA375*100)</f>
        <v>0</v>
      </c>
      <c r="BM375" s="1099">
        <f>IF(BB375=0,0,(BC375-BB375)/BB375*100)</f>
        <v>0</v>
      </c>
      <c r="BN375" s="4617"/>
      <c r="BO375" s="4619" t="str">
        <f>IF(_xlfn.IFERROR(INDEX(Покупка!$K$26:$L$117,MATCH($F375&amp;"3komm",Покупка!$K$26:$K$117,0),2),"")=0,"",_xlfn.IFERROR(INDEX(Покупка!$K$26:$L$117,MATCH($F375&amp;"3komm",Покупка!$K$26:$K$117,0),2),""))</f>
        <v/>
      </c>
      <c r="BP375" s="4617"/>
      <c r="BQ375" s="960"/>
      <c r="BR375" s="960"/>
      <c r="BS375" s="1048" t="s">
        <v>1611</v>
      </c>
      <c r="BT375" s="1048"/>
      <c r="BU375" s="1048"/>
      <c r="BV375" s="962"/>
      <c r="BW375" s="962"/>
    </row>
    <row s="1621" customFormat="1" customHeight="1" ht="14.25">
      <c r="A376" s="960"/>
      <c r="B376" s="961"/>
      <c r="C376" s="73"/>
      <c r="D376" s="73"/>
      <c r="E376" s="600">
        <v>15</v>
      </c>
      <c r="F376" s="50" cm="1" t="str">
        <f t="array" ref="F376:F376">OFFSET(E376,-1,1)</f>
        <v>2</v>
      </c>
      <c r="G376" s="73" t="s">
        <v>1016</v>
      </c>
      <c r="H376" s="73"/>
      <c r="I376" s="73" t="s">
        <v>1920</v>
      </c>
      <c r="J376" s="73"/>
      <c r="K376" s="73" t="s">
        <v>1920</v>
      </c>
      <c r="L376" s="963" t="s">
        <v>1408</v>
      </c>
      <c r="M376" s="73"/>
      <c r="N376" s="73"/>
      <c r="O376" s="73"/>
      <c r="P376" s="73"/>
      <c r="Q376" s="73"/>
      <c r="R376" s="73"/>
      <c r="S376" s="73"/>
      <c r="T376" s="439" cm="1" t="str">
        <f t="array" ref="T376:T376">T375</f>
        <v>true</v>
      </c>
      <c r="U376" s="73"/>
      <c r="V376" s="73"/>
      <c r="W376" s="73"/>
      <c r="X376" s="1534"/>
      <c r="Y376" s="960"/>
      <c r="Z376" s="1465"/>
      <c r="AA376" s="960"/>
      <c r="AB376" s="267" t="s">
        <v>1921</v>
      </c>
      <c r="AC376" s="746" t="s">
        <v>1922</v>
      </c>
      <c r="AD376" s="267" t="s">
        <v>784</v>
      </c>
      <c r="AE376" s="1099">
        <f>_xlfn.SUMIFS(Покупка!AE$25:AE$117,Покупка!$F$25:$F$117,$F376,Покупка!$AC$25:$AC$117,$G376)</f>
        <v>0</v>
      </c>
      <c r="AF376" s="1099">
        <f>_xlfn.SUMIFS(Покупка!AF$25:AF$117,Покупка!$F$25:$F$117,$F376,Покупка!$AC$25:$AC$117,$G376)</f>
        <v>0</v>
      </c>
      <c r="AG376" s="1099">
        <f>_xlfn.SUMIFS(Покупка!AG$25:AG$117,Покупка!$F$25:$F$117,$F376,Покупка!$AC$25:$AC$117,$G376)</f>
        <v>0</v>
      </c>
      <c r="AH376" s="1099">
        <f>AG376-AF376</f>
        <v>0</v>
      </c>
      <c r="AI376" s="1099">
        <f>_xlfn.SUMIFS(Покупка!AH$25:AH$117,Покупка!$F$25:$F$117,$F376,Покупка!$AC$25:$AC$117,$G376)</f>
        <v>0</v>
      </c>
      <c r="AJ376" s="1099">
        <f>_xlfn.SUMIFS(Покупка!AI$25:AI$117,Покупка!$F$25:$F$117,$F376,Покупка!$AC$25:$AC$117,$G376)</f>
        <v>0</v>
      </c>
      <c r="AK376" s="1099">
        <f>_xlfn.SUMIFS(Покупка!AJ$25:AJ$117,Покупка!$F$25:$F$117,$F376,Покупка!$AC$25:$AC$117,$G376)</f>
        <v>0</v>
      </c>
      <c r="AL376" s="1099">
        <f>_xlfn.SUMIFS(Покупка!AK$25:AK$117,Покупка!$F$25:$F$117,$F376,Покупка!$AC$25:$AC$117,$G376)</f>
        <v>0</v>
      </c>
      <c r="AM376" s="1099">
        <f>_xlfn.SUMIFS(Покупка!AL$25:AL$117,Покупка!$F$25:$F$117,$F376,Покупка!$AC$25:$AC$117,$G376)</f>
        <v>0</v>
      </c>
      <c r="AN376" s="1099">
        <f>_xlfn.SUMIFS(Покупка!AM$25:AM$117,Покупка!$F$25:$F$117,$F376,Покупка!$AC$25:$AC$117,$G376)</f>
        <v>0</v>
      </c>
      <c r="AO376" s="1099">
        <f>_xlfn.SUMIFS(Покупка!AN$25:AN$117,Покупка!$F$25:$F$117,$F376,Покупка!$AC$25:$AC$117,$G376)</f>
        <v>0</v>
      </c>
      <c r="AP376" s="1099">
        <f>_xlfn.SUMIFS(Покупка!AO$25:AO$117,Покупка!$F$25:$F$117,$F376,Покупка!$AC$25:$AC$117,$G376)</f>
        <v>0</v>
      </c>
      <c r="AQ376" s="1099">
        <f>_xlfn.SUMIFS(Покупка!AP$25:AP$117,Покупка!$F$25:$F$117,$F376,Покупка!$AC$25:$AC$117,$G376)</f>
        <v>0</v>
      </c>
      <c r="AR376" s="1099">
        <f>_xlfn.SUMIFS(Покупка!AQ$25:AQ$117,Покупка!$F$25:$F$117,$F376,Покупка!$AC$25:$AC$117,$G376)</f>
        <v>0</v>
      </c>
      <c r="AS376" s="1099">
        <f>_xlfn.SUMIFS(Покупка!AR$25:AR$117,Покупка!$F$25:$F$117,$F376,Покупка!$AC$25:$AC$117,$G376)</f>
        <v>0</v>
      </c>
      <c r="AT376" s="1099">
        <f>_xlfn.SUMIFS(Покупка!AS$25:AS$117,Покупка!$F$25:$F$117,$F376,Покупка!$AC$25:$AC$117,$G376)</f>
        <v>0</v>
      </c>
      <c r="AU376" s="1099">
        <f>_xlfn.SUMIFS(Покупка!AT$25:AT$117,Покупка!$F$25:$F$117,$F376,Покупка!$AC$25:$AC$117,$G376)</f>
        <v>0</v>
      </c>
      <c r="AV376" s="1099">
        <f>_xlfn.SUMIFS(Покупка!AU$25:AU$117,Покупка!$F$25:$F$117,$F376,Покупка!$AC$25:$AC$117,$G376)</f>
        <v>0</v>
      </c>
      <c r="AW376" s="1099">
        <f>_xlfn.SUMIFS(Покупка!AV$25:AV$117,Покупка!$F$25:$F$117,$F376,Покупка!$AC$25:$AC$117,$G376)</f>
        <v>0</v>
      </c>
      <c r="AX376" s="1099">
        <f>_xlfn.SUMIFS(Покупка!AW$25:AW$117,Покупка!$F$25:$F$117,$F376,Покупка!$AC$25:$AC$117,$G376)</f>
        <v>0</v>
      </c>
      <c r="AY376" s="1099">
        <f>_xlfn.SUMIFS(Покупка!AX$25:AX$117,Покупка!$F$25:$F$117,$F376,Покупка!$AC$25:$AC$117,$G376)</f>
        <v>0</v>
      </c>
      <c r="AZ376" s="1099">
        <f>_xlfn.SUMIFS(Покупка!AY$25:AY$117,Покупка!$F$25:$F$117,$F376,Покупка!$AC$25:$AC$117,$G376)</f>
        <v>0</v>
      </c>
      <c r="BA376" s="1099">
        <f>_xlfn.SUMIFS(Покупка!AZ$25:AZ$117,Покупка!$F$25:$F$117,$F376,Покупка!$AC$25:$AC$117,$G376)</f>
        <v>0</v>
      </c>
      <c r="BB376" s="1099">
        <f>_xlfn.SUMIFS(Покупка!BA$25:BA$117,Покупка!$F$25:$F$117,$F376,Покупка!$AC$25:$AC$117,$G376)</f>
        <v>0</v>
      </c>
      <c r="BC376" s="1099">
        <f>_xlfn.SUMIFS(Покупка!BB$25:BB$117,Покупка!$F$25:$F$117,$F376,Покупка!$AC$25:$AC$117,$G376)</f>
        <v>0</v>
      </c>
      <c r="BD376" s="1099">
        <f>IF(AI376=0,0,(AT376-AI376)/AI376*100)</f>
        <v>0</v>
      </c>
      <c r="BE376" s="1099">
        <f>IF(AT376=0,0,(AU376-AT376)/AT376*100)</f>
        <v>0</v>
      </c>
      <c r="BF376" s="1099">
        <f>IF(AU376=0,0,(AV376-AU376)/AU376*100)</f>
        <v>0</v>
      </c>
      <c r="BG376" s="1099">
        <f>IF(AV376=0,0,(AW376-AV376)/AV376*100)</f>
        <v>0</v>
      </c>
      <c r="BH376" s="1099">
        <f>IF(AW376=0,0,(AX376-AW376)/AW376*100)</f>
        <v>0</v>
      </c>
      <c r="BI376" s="1099">
        <f>IF(AX376=0,0,(AY376-AX376)/AX376*100)</f>
        <v>0</v>
      </c>
      <c r="BJ376" s="1099">
        <f>IF(AY376=0,0,(AZ376-AY376)/AY376*100)</f>
        <v>0</v>
      </c>
      <c r="BK376" s="1099">
        <f>IF(AZ376=0,0,(BA376-AZ376)/AZ376*100)</f>
        <v>0</v>
      </c>
      <c r="BL376" s="1099">
        <f>IF(BA376=0,0,(BB376-BA376)/BA376*100)</f>
        <v>0</v>
      </c>
      <c r="BM376" s="1099">
        <f>IF(BB376=0,0,(BC376-BB376)/BB376*100)</f>
        <v>0</v>
      </c>
      <c r="BN376" s="4617"/>
      <c r="BO376" s="4619" t="str">
        <f>IF(_xlfn.IFERROR(INDEX(Покупка!$K$26:$L$117,MATCH($F376&amp;"4komm",Покупка!$K$26:$K$117,0),2),"")=0,"",_xlfn.IFERROR(INDEX(Покупка!$K$26:$L$117,MATCH($F375&amp;"3komm",Покупка!$K$26:$K$117,0),2),""))</f>
        <v/>
      </c>
      <c r="BP376" s="4617"/>
      <c r="BQ376" s="960"/>
      <c r="BR376" s="960"/>
      <c r="BS376" s="1048" t="s">
        <v>1614</v>
      </c>
      <c r="BT376" s="1048"/>
      <c r="BU376" s="1048"/>
      <c r="BV376" s="962"/>
      <c r="BW376" s="962"/>
    </row>
    <row s="1621" customFormat="1" customHeight="1" ht="14.25">
      <c r="A377" s="960"/>
      <c r="B377" s="961"/>
      <c r="C377" s="73"/>
      <c r="D377" s="73"/>
      <c r="E377" s="600">
        <v>15</v>
      </c>
      <c r="F377" s="50" cm="1" t="str">
        <f t="array" ref="F377:F377">OFFSET(E377,-1,1)</f>
        <v>2</v>
      </c>
      <c r="G377" s="73" t="s">
        <v>1022</v>
      </c>
      <c r="H377" s="73"/>
      <c r="I377" s="73" t="s">
        <v>1923</v>
      </c>
      <c r="J377" s="73"/>
      <c r="K377" s="73" t="s">
        <v>1923</v>
      </c>
      <c r="L377" s="963" t="s">
        <v>1418</v>
      </c>
      <c r="M377" s="73"/>
      <c r="N377" s="73"/>
      <c r="O377" s="73"/>
      <c r="P377" s="73"/>
      <c r="Q377" s="73"/>
      <c r="R377" s="73"/>
      <c r="S377" s="73"/>
      <c r="T377" s="439" cm="1" t="str">
        <f t="array" ref="T377:T377">T376</f>
        <v>true</v>
      </c>
      <c r="U377" s="73"/>
      <c r="V377" s="73"/>
      <c r="W377" s="73"/>
      <c r="X377" s="1534"/>
      <c r="Y377" s="960"/>
      <c r="Z377" s="1465"/>
      <c r="AA377" s="960"/>
      <c r="AB377" s="267" t="s">
        <v>1924</v>
      </c>
      <c r="AC377" s="746" t="s">
        <v>1925</v>
      </c>
      <c r="AD377" s="267" t="s">
        <v>784</v>
      </c>
      <c r="AE377" s="1099">
        <f>_xlfn.SUMIFS(Покупка!AE$25:AE$117,Покупка!$F$25:$F$117,$F377,Покупка!$AC$25:$AC$117,$G377)</f>
        <v>0</v>
      </c>
      <c r="AF377" s="1099">
        <f>_xlfn.SUMIFS(Покупка!AF$25:AF$117,Покупка!$F$25:$F$117,$F377,Покупка!$AC$25:$AC$117,$G377)</f>
        <v>0</v>
      </c>
      <c r="AG377" s="1099">
        <f>_xlfn.SUMIFS(Покупка!AG$25:AG$117,Покупка!$F$25:$F$117,$F377,Покупка!$AC$25:$AC$117,$G377)</f>
        <v>0</v>
      </c>
      <c r="AH377" s="1099">
        <f>AG377-AF377</f>
        <v>0</v>
      </c>
      <c r="AI377" s="1099">
        <f>_xlfn.SUMIFS(Покупка!AH$25:AH$117,Покупка!$F$25:$F$117,$F377,Покупка!$AC$25:$AC$117,$G377)</f>
        <v>0</v>
      </c>
      <c r="AJ377" s="1099">
        <f>_xlfn.SUMIFS(Покупка!AI$25:AI$117,Покупка!$F$25:$F$117,$F377,Покупка!$AC$25:$AC$117,$G377)</f>
        <v>0</v>
      </c>
      <c r="AK377" s="1099">
        <f>_xlfn.SUMIFS(Покупка!AJ$25:AJ$117,Покупка!$F$25:$F$117,$F377,Покупка!$AC$25:$AC$117,$G377)</f>
        <v>0</v>
      </c>
      <c r="AL377" s="1099">
        <f>_xlfn.SUMIFS(Покупка!AK$25:AK$117,Покупка!$F$25:$F$117,$F377,Покупка!$AC$25:$AC$117,$G377)</f>
        <v>0</v>
      </c>
      <c r="AM377" s="1099">
        <f>_xlfn.SUMIFS(Покупка!AL$25:AL$117,Покупка!$F$25:$F$117,$F377,Покупка!$AC$25:$AC$117,$G377)</f>
        <v>0</v>
      </c>
      <c r="AN377" s="1099">
        <f>_xlfn.SUMIFS(Покупка!AM$25:AM$117,Покупка!$F$25:$F$117,$F377,Покупка!$AC$25:$AC$117,$G377)</f>
        <v>0</v>
      </c>
      <c r="AO377" s="1099">
        <f>_xlfn.SUMIFS(Покупка!AN$25:AN$117,Покупка!$F$25:$F$117,$F377,Покупка!$AC$25:$AC$117,$G377)</f>
        <v>0</v>
      </c>
      <c r="AP377" s="1099">
        <f>_xlfn.SUMIFS(Покупка!AO$25:AO$117,Покупка!$F$25:$F$117,$F377,Покупка!$AC$25:$AC$117,$G377)</f>
        <v>0</v>
      </c>
      <c r="AQ377" s="1099">
        <f>_xlfn.SUMIFS(Покупка!AP$25:AP$117,Покупка!$F$25:$F$117,$F377,Покупка!$AC$25:$AC$117,$G377)</f>
        <v>0</v>
      </c>
      <c r="AR377" s="1099">
        <f>_xlfn.SUMIFS(Покупка!AQ$25:AQ$117,Покупка!$F$25:$F$117,$F377,Покупка!$AC$25:$AC$117,$G377)</f>
        <v>0</v>
      </c>
      <c r="AS377" s="1099">
        <f>_xlfn.SUMIFS(Покупка!AR$25:AR$117,Покупка!$F$25:$F$117,$F377,Покупка!$AC$25:$AC$117,$G377)</f>
        <v>0</v>
      </c>
      <c r="AT377" s="1099">
        <f>_xlfn.SUMIFS(Покупка!AS$25:AS$117,Покупка!$F$25:$F$117,$F377,Покупка!$AC$25:$AC$117,$G377)</f>
        <v>0</v>
      </c>
      <c r="AU377" s="1099">
        <f>_xlfn.SUMIFS(Покупка!AT$25:AT$117,Покупка!$F$25:$F$117,$F377,Покупка!$AC$25:$AC$117,$G377)</f>
        <v>0</v>
      </c>
      <c r="AV377" s="1099">
        <f>_xlfn.SUMIFS(Покупка!AU$25:AU$117,Покупка!$F$25:$F$117,$F377,Покупка!$AC$25:$AC$117,$G377)</f>
        <v>0</v>
      </c>
      <c r="AW377" s="1099">
        <f>_xlfn.SUMIFS(Покупка!AV$25:AV$117,Покупка!$F$25:$F$117,$F377,Покупка!$AC$25:$AC$117,$G377)</f>
        <v>0</v>
      </c>
      <c r="AX377" s="1099">
        <f>_xlfn.SUMIFS(Покупка!AW$25:AW$117,Покупка!$F$25:$F$117,$F377,Покупка!$AC$25:$AC$117,$G377)</f>
        <v>0</v>
      </c>
      <c r="AY377" s="1099">
        <f>_xlfn.SUMIFS(Покупка!AX$25:AX$117,Покупка!$F$25:$F$117,$F377,Покупка!$AC$25:$AC$117,$G377)</f>
        <v>0</v>
      </c>
      <c r="AZ377" s="1099">
        <f>_xlfn.SUMIFS(Покупка!AY$25:AY$117,Покупка!$F$25:$F$117,$F377,Покупка!$AC$25:$AC$117,$G377)</f>
        <v>0</v>
      </c>
      <c r="BA377" s="1099">
        <f>_xlfn.SUMIFS(Покупка!AZ$25:AZ$117,Покупка!$F$25:$F$117,$F377,Покупка!$AC$25:$AC$117,$G377)</f>
        <v>0</v>
      </c>
      <c r="BB377" s="1099">
        <f>_xlfn.SUMIFS(Покупка!BA$25:BA$117,Покупка!$F$25:$F$117,$F377,Покупка!$AC$25:$AC$117,$G377)</f>
        <v>0</v>
      </c>
      <c r="BC377" s="1099">
        <f>_xlfn.SUMIFS(Покупка!BB$25:BB$117,Покупка!$F$25:$F$117,$F377,Покупка!$AC$25:$AC$117,$G377)</f>
        <v>0</v>
      </c>
      <c r="BD377" s="1099">
        <f>IF(AI377=0,0,(AT377-AI377)/AI377*100)</f>
        <v>0</v>
      </c>
      <c r="BE377" s="1099">
        <f>IF(AT377=0,0,(AU377-AT377)/AT377*100)</f>
        <v>0</v>
      </c>
      <c r="BF377" s="1099">
        <f>IF(AU377=0,0,(AV377-AU377)/AU377*100)</f>
        <v>0</v>
      </c>
      <c r="BG377" s="1099">
        <f>IF(AV377=0,0,(AW377-AV377)/AV377*100)</f>
        <v>0</v>
      </c>
      <c r="BH377" s="1099">
        <f>IF(AW377=0,0,(AX377-AW377)/AW377*100)</f>
        <v>0</v>
      </c>
      <c r="BI377" s="1099">
        <f>IF(AX377=0,0,(AY377-AX377)/AX377*100)</f>
        <v>0</v>
      </c>
      <c r="BJ377" s="1099">
        <f>IF(AY377=0,0,(AZ377-AY377)/AY377*100)</f>
        <v>0</v>
      </c>
      <c r="BK377" s="1099">
        <f>IF(AZ377=0,0,(BA377-AZ377)/AZ377*100)</f>
        <v>0</v>
      </c>
      <c r="BL377" s="1099">
        <f>IF(BA377=0,0,(BB377-BA377)/BA377*100)</f>
        <v>0</v>
      </c>
      <c r="BM377" s="1099">
        <f>IF(BB377=0,0,(BC377-BB377)/BB377*100)</f>
        <v>0</v>
      </c>
      <c r="BN377" s="4617"/>
      <c r="BO377" s="4619" t="str">
        <f>IF(_xlfn.IFERROR(INDEX(Покупка!$K$26:$L$117,MATCH($F377&amp;"5komm",Покупка!$K$26:$K$117,0),2),"")=0,"",_xlfn.IFERROR(INDEX(Покупка!$K$26:$L$117,MATCH($F377&amp;"5komm",Покупка!$K$26:$K$117,0),2),""))</f>
        <v/>
      </c>
      <c r="BP377" s="4617"/>
      <c r="BQ377" s="960"/>
      <c r="BR377" s="960"/>
      <c r="BS377" s="1048" t="s">
        <v>1617</v>
      </c>
      <c r="BT377" s="1048"/>
      <c r="BU377" s="1048"/>
      <c r="BV377" s="962"/>
      <c r="BW377" s="962"/>
    </row>
    <row s="1621" customFormat="1" customHeight="1" ht="14.25">
      <c r="A378" s="960"/>
      <c r="B378" s="961"/>
      <c r="C378" s="73"/>
      <c r="D378" s="73"/>
      <c r="E378" s="600">
        <v>15</v>
      </c>
      <c r="F378" s="50" cm="1" t="str">
        <f t="array" ref="F378:F378">OFFSET(E378,-1,1)</f>
        <v>2</v>
      </c>
      <c r="G378" s="73" t="s">
        <v>1034</v>
      </c>
      <c r="H378" s="73"/>
      <c r="I378" s="73"/>
      <c r="J378" s="73"/>
      <c r="K378" s="73"/>
      <c r="L378" s="963" t="s">
        <v>1385</v>
      </c>
      <c r="M378" s="73"/>
      <c r="N378" s="73"/>
      <c r="O378" s="73"/>
      <c r="P378" s="73"/>
      <c r="Q378" s="73"/>
      <c r="R378" s="73"/>
      <c r="S378" s="73"/>
      <c r="T378" s="439" cm="1" t="str">
        <f t="array" ref="T378:T378">T377</f>
        <v>true</v>
      </c>
      <c r="U378" s="73"/>
      <c r="V378" s="73"/>
      <c r="W378" s="73"/>
      <c r="X378" s="1534"/>
      <c r="Y378" s="960"/>
      <c r="Z378" s="1465"/>
      <c r="AA378" s="960"/>
      <c r="AB378" s="267" t="s">
        <v>1926</v>
      </c>
      <c r="AC378" s="746" t="s">
        <v>1927</v>
      </c>
      <c r="AD378" s="267" t="s">
        <v>784</v>
      </c>
      <c r="AE378" s="1099">
        <f>_xlfn.SUMIFS(Покупка!AE$25:AE$117,Покупка!$F$25:$F$117,$F378,Покупка!$AC$25:$AC$117,$G378)</f>
        <v>0</v>
      </c>
      <c r="AF378" s="1099">
        <f>_xlfn.SUMIFS(Покупка!AF$25:AF$117,Покупка!$F$25:$F$117,$F378,Покупка!$AC$25:$AC$117,$G378)</f>
        <v>0</v>
      </c>
      <c r="AG378" s="1099">
        <f>_xlfn.SUMIFS(Покупка!AG$25:AG$117,Покупка!$F$25:$F$117,$F378,Покупка!$AC$25:$AC$117,$G378)</f>
        <v>0</v>
      </c>
      <c r="AH378" s="1099">
        <f>AG378-AF378</f>
        <v>0</v>
      </c>
      <c r="AI378" s="1099">
        <f>_xlfn.SUMIFS(Покупка!AH$25:AH$117,Покупка!$F$25:$F$117,$F378,Покупка!$AC$25:$AC$117,$G378)</f>
        <v>0</v>
      </c>
      <c r="AJ378" s="1099">
        <f>_xlfn.SUMIFS(Покупка!AI$25:AI$117,Покупка!$F$25:$F$117,$F378,Покупка!$AC$25:$AC$117,$G378)</f>
        <v>0</v>
      </c>
      <c r="AK378" s="1099">
        <f>_xlfn.SUMIFS(Покупка!AJ$25:AJ$117,Покупка!$F$25:$F$117,$F378,Покупка!$AC$25:$AC$117,$G378)</f>
        <v>0</v>
      </c>
      <c r="AL378" s="1099">
        <f>_xlfn.SUMIFS(Покупка!AK$25:AK$117,Покупка!$F$25:$F$117,$F378,Покупка!$AC$25:$AC$117,$G378)</f>
        <v>0</v>
      </c>
      <c r="AM378" s="1099">
        <f>_xlfn.SUMIFS(Покупка!AL$25:AL$117,Покупка!$F$25:$F$117,$F378,Покупка!$AC$25:$AC$117,$G378)</f>
        <v>0</v>
      </c>
      <c r="AN378" s="1099">
        <f>_xlfn.SUMIFS(Покупка!AM$25:AM$117,Покупка!$F$25:$F$117,$F378,Покупка!$AC$25:$AC$117,$G378)</f>
        <v>0</v>
      </c>
      <c r="AO378" s="1099">
        <f>_xlfn.SUMIFS(Покупка!AN$25:AN$117,Покупка!$F$25:$F$117,$F378,Покупка!$AC$25:$AC$117,$G378)</f>
        <v>0</v>
      </c>
      <c r="AP378" s="1099">
        <f>_xlfn.SUMIFS(Покупка!AO$25:AO$117,Покупка!$F$25:$F$117,$F378,Покупка!$AC$25:$AC$117,$G378)</f>
        <v>0</v>
      </c>
      <c r="AQ378" s="1099">
        <f>_xlfn.SUMIFS(Покупка!AP$25:AP$117,Покупка!$F$25:$F$117,$F378,Покупка!$AC$25:$AC$117,$G378)</f>
        <v>0</v>
      </c>
      <c r="AR378" s="1099">
        <f>_xlfn.SUMIFS(Покупка!AQ$25:AQ$117,Покупка!$F$25:$F$117,$F378,Покупка!$AC$25:$AC$117,$G378)</f>
        <v>0</v>
      </c>
      <c r="AS378" s="1099">
        <f>_xlfn.SUMIFS(Покупка!AR$25:AR$117,Покупка!$F$25:$F$117,$F378,Покупка!$AC$25:$AC$117,$G378)</f>
        <v>0</v>
      </c>
      <c r="AT378" s="1099">
        <f>_xlfn.SUMIFS(Покупка!AS$25:AS$117,Покупка!$F$25:$F$117,$F378,Покупка!$AC$25:$AC$117,$G378)</f>
        <v>0</v>
      </c>
      <c r="AU378" s="1099">
        <f>_xlfn.SUMIFS(Покупка!AT$25:AT$117,Покупка!$F$25:$F$117,$F378,Покупка!$AC$25:$AC$117,$G378)</f>
        <v>0</v>
      </c>
      <c r="AV378" s="1099">
        <f>_xlfn.SUMIFS(Покупка!AU$25:AU$117,Покупка!$F$25:$F$117,$F378,Покупка!$AC$25:$AC$117,$G378)</f>
        <v>0</v>
      </c>
      <c r="AW378" s="1099">
        <f>_xlfn.SUMIFS(Покупка!AV$25:AV$117,Покупка!$F$25:$F$117,$F378,Покупка!$AC$25:$AC$117,$G378)</f>
        <v>0</v>
      </c>
      <c r="AX378" s="1099">
        <f>_xlfn.SUMIFS(Покупка!AW$25:AW$117,Покупка!$F$25:$F$117,$F378,Покупка!$AC$25:$AC$117,$G378)</f>
        <v>0</v>
      </c>
      <c r="AY378" s="1099">
        <f>_xlfn.SUMIFS(Покупка!AX$25:AX$117,Покупка!$F$25:$F$117,$F378,Покупка!$AC$25:$AC$117,$G378)</f>
        <v>0</v>
      </c>
      <c r="AZ378" s="1099">
        <f>_xlfn.SUMIFS(Покупка!AY$25:AY$117,Покупка!$F$25:$F$117,$F378,Покупка!$AC$25:$AC$117,$G378)</f>
        <v>0</v>
      </c>
      <c r="BA378" s="1099">
        <f>_xlfn.SUMIFS(Покупка!AZ$25:AZ$117,Покупка!$F$25:$F$117,$F378,Покупка!$AC$25:$AC$117,$G378)</f>
        <v>0</v>
      </c>
      <c r="BB378" s="1099">
        <f>_xlfn.SUMIFS(Покупка!BA$25:BA$117,Покупка!$F$25:$F$117,$F378,Покупка!$AC$25:$AC$117,$G378)</f>
        <v>0</v>
      </c>
      <c r="BC378" s="1099">
        <f>_xlfn.SUMIFS(Покупка!BB$25:BB$117,Покупка!$F$25:$F$117,$F378,Покупка!$AC$25:$AC$117,$G378)</f>
        <v>0</v>
      </c>
      <c r="BD378" s="1099">
        <f>IF(AI378=0,0,(AT378-AI378)/AI378*100)</f>
        <v>0</v>
      </c>
      <c r="BE378" s="1099">
        <f>IF(AT378=0,0,(AU378-AT378)/AT378*100)</f>
        <v>0</v>
      </c>
      <c r="BF378" s="1099">
        <f>IF(AU378=0,0,(AV378-AU378)/AU378*100)</f>
        <v>0</v>
      </c>
      <c r="BG378" s="1099">
        <f>IF(AV378=0,0,(AW378-AV378)/AV378*100)</f>
        <v>0</v>
      </c>
      <c r="BH378" s="1099">
        <f>IF(AW378=0,0,(AX378-AW378)/AW378*100)</f>
        <v>0</v>
      </c>
      <c r="BI378" s="1099">
        <f>IF(AX378=0,0,(AY378-AX378)/AX378*100)</f>
        <v>0</v>
      </c>
      <c r="BJ378" s="1099">
        <f>IF(AY378=0,0,(AZ378-AY378)/AY378*100)</f>
        <v>0</v>
      </c>
      <c r="BK378" s="1099">
        <f>IF(AZ378=0,0,(BA378-AZ378)/AZ378*100)</f>
        <v>0</v>
      </c>
      <c r="BL378" s="1099">
        <f>IF(BA378=0,0,(BB378-BA378)/BA378*100)</f>
        <v>0</v>
      </c>
      <c r="BM378" s="1099">
        <f>IF(BB378=0,0,(BC378-BB378)/BB378*100)</f>
        <v>0</v>
      </c>
      <c r="BN378" s="4617"/>
      <c r="BO378" s="4619" t="str">
        <f>IF(_xlfn.IFERROR(INDEX(Покупка!$K$26:$L$117,MATCH($F378&amp;"9komm",Покупка!$K$26:$K$117,0),2),"")=0,"",_xlfn.IFERROR(INDEX(Покупка!$K$26:$L$117,MATCH($F378&amp;"9komm",Покупка!$K$26:$K$117,0),2),""))</f>
        <v/>
      </c>
      <c r="BP378" s="4617"/>
      <c r="BQ378" s="960"/>
      <c r="BR378" s="960"/>
      <c r="BS378" s="1048" t="s">
        <v>1035</v>
      </c>
      <c r="BT378" s="1048"/>
      <c r="BU378" s="1048"/>
      <c r="BV378" s="962"/>
      <c r="BW378" s="962"/>
    </row>
    <row s="1621" customFormat="1" customHeight="1" ht="14.25">
      <c r="A379" s="960"/>
      <c r="B379" s="961"/>
      <c r="C379" s="73"/>
      <c r="D379" s="73"/>
      <c r="E379" s="600">
        <v>15</v>
      </c>
      <c r="F379" s="50" cm="1" t="str">
        <f t="array" ref="F379:F379">OFFSET(E379,-1,1)</f>
        <v>2</v>
      </c>
      <c r="G379" s="73"/>
      <c r="H379" s="73"/>
      <c r="I379" s="73" t="s">
        <v>462</v>
      </c>
      <c r="J379" s="73"/>
      <c r="K379" s="73" t="s">
        <v>462</v>
      </c>
      <c r="L379" s="963"/>
      <c r="M379" s="73"/>
      <c r="N379" s="73"/>
      <c r="O379" s="73"/>
      <c r="P379" s="73"/>
      <c r="Q379" s="73"/>
      <c r="R379" s="73"/>
      <c r="S379" s="73"/>
      <c r="T379" s="439" cm="1" t="str">
        <f t="array" ref="T379:T379">T378</f>
        <v>true</v>
      </c>
      <c r="U379" s="73"/>
      <c r="V379" s="73"/>
      <c r="W379" s="73"/>
      <c r="X379" s="1534"/>
      <c r="Y379" s="960"/>
      <c r="Z379" s="1465"/>
      <c r="AA379" s="960"/>
      <c r="AB379" s="267" t="s">
        <v>519</v>
      </c>
      <c r="AC379" s="743" t="s">
        <v>1928</v>
      </c>
      <c r="AD379" s="760" t="s">
        <v>784</v>
      </c>
      <c r="AE379" s="1099">
        <f>_xlfn.SUMIFS('Сырье и материалы'!AE$25:AE$39,'Сырье и материалы'!$F$25:$F$39,$F379,'Сырье и материалы'!$AC$25:$AC$39,"Всего по тарифу")</f>
        <v>0</v>
      </c>
      <c r="AF379" s="1099">
        <f>_xlfn.SUMIFS('Сырье и материалы'!AF$25:AF$39,'Сырье и материалы'!$F$25:$F$39,$F379,'Сырье и материалы'!$AC$25:$AC$39,"Всего по тарифу")</f>
        <v>0</v>
      </c>
      <c r="AG379" s="1099">
        <f>_xlfn.SUMIFS('Сырье и материалы'!AG$25:AG$39,'Сырье и материалы'!$F$25:$F$39,$F379,'Сырье и материалы'!$AC$25:$AC$39,"Всего по тарифу")</f>
        <v>0</v>
      </c>
      <c r="AH379" s="1099">
        <f>AG379-AF379</f>
        <v>0</v>
      </c>
      <c r="AI379" s="1099">
        <f>_xlfn.SUMIFS('Сырье и материалы'!AH$25:AH$39,'Сырье и материалы'!$F$25:$F$39,$F379,'Сырье и материалы'!$AC$25:$AC$39,"Всего по тарифу")</f>
        <v>0</v>
      </c>
      <c r="AJ379" s="1099">
        <f>_xlfn.SUMIFS('Сырье и материалы'!AI$25:AI$39,'Сырье и материалы'!$F$25:$F$39,$F379,'Сырье и материалы'!$AC$25:$AC$39,"Всего по тарифу")</f>
        <v>0</v>
      </c>
      <c r="AK379" s="1099">
        <f>_xlfn.SUMIFS('Сырье и материалы'!AJ$25:AJ$39,'Сырье и материалы'!$F$25:$F$39,$F379,'Сырье и материалы'!$AC$25:$AC$39,"Всего по тарифу")</f>
        <v>0</v>
      </c>
      <c r="AL379" s="1099">
        <f>_xlfn.SUMIFS('Сырье и материалы'!AK$25:AK$39,'Сырье и материалы'!$F$25:$F$39,$F379,'Сырье и материалы'!$AC$25:$AC$39,"Всего по тарифу")</f>
        <v>0</v>
      </c>
      <c r="AM379" s="1099">
        <f>_xlfn.SUMIFS('Сырье и материалы'!AL$25:AL$39,'Сырье и материалы'!$F$25:$F$39,$F379,'Сырье и материалы'!$AC$25:$AC$39,"Всего по тарифу")</f>
        <v>0</v>
      </c>
      <c r="AN379" s="1099">
        <f>_xlfn.SUMIFS('Сырье и материалы'!AM$25:AM$39,'Сырье и материалы'!$F$25:$F$39,$F379,'Сырье и материалы'!$AC$25:$AC$39,"Всего по тарифу")</f>
        <v>0</v>
      </c>
      <c r="AO379" s="1099">
        <f>_xlfn.SUMIFS('Сырье и материалы'!AN$25:AN$39,'Сырье и материалы'!$F$25:$F$39,$F379,'Сырье и материалы'!$AC$25:$AC$39,"Всего по тарифу")</f>
        <v>0</v>
      </c>
      <c r="AP379" s="1099">
        <f>_xlfn.SUMIFS('Сырье и материалы'!AO$25:AO$39,'Сырье и материалы'!$F$25:$F$39,$F379,'Сырье и материалы'!$AC$25:$AC$39,"Всего по тарифу")</f>
        <v>0</v>
      </c>
      <c r="AQ379" s="1099">
        <f>_xlfn.SUMIFS('Сырье и материалы'!AP$25:AP$39,'Сырье и материалы'!$F$25:$F$39,$F379,'Сырье и материалы'!$AC$25:$AC$39,"Всего по тарифу")</f>
        <v>0</v>
      </c>
      <c r="AR379" s="1099">
        <f>_xlfn.SUMIFS('Сырье и материалы'!AQ$25:AQ$39,'Сырье и материалы'!$F$25:$F$39,$F379,'Сырье и материалы'!$AC$25:$AC$39,"Всего по тарифу")</f>
        <v>0</v>
      </c>
      <c r="AS379" s="1099">
        <f>_xlfn.SUMIFS('Сырье и материалы'!AR$25:AR$39,'Сырье и материалы'!$F$25:$F$39,$F379,'Сырье и материалы'!$AC$25:$AC$39,"Всего по тарифу")</f>
        <v>0</v>
      </c>
      <c r="AT379" s="1099">
        <f>_xlfn.SUMIFS('Сырье и материалы'!AS$25:AS$39,'Сырье и материалы'!$F$25:$F$39,$F379,'Сырье и материалы'!$AC$25:$AC$39,"Всего по тарифу")</f>
        <v>0</v>
      </c>
      <c r="AU379" s="1099">
        <f>_xlfn.SUMIFS('Сырье и материалы'!AT$25:AT$39,'Сырье и материалы'!$F$25:$F$39,$F379,'Сырье и материалы'!$AC$25:$AC$39,"Всего по тарифу")</f>
        <v>0</v>
      </c>
      <c r="AV379" s="1099">
        <f>_xlfn.SUMIFS('Сырье и материалы'!AU$25:AU$39,'Сырье и материалы'!$F$25:$F$39,$F379,'Сырье и материалы'!$AC$25:$AC$39,"Всего по тарифу")</f>
        <v>0</v>
      </c>
      <c r="AW379" s="1099">
        <f>_xlfn.SUMIFS('Сырье и материалы'!AV$25:AV$39,'Сырье и материалы'!$F$25:$F$39,$F379,'Сырье и материалы'!$AC$25:$AC$39,"Всего по тарифу")</f>
        <v>0</v>
      </c>
      <c r="AX379" s="1099">
        <f>_xlfn.SUMIFS('Сырье и материалы'!AW$25:AW$39,'Сырье и материалы'!$F$25:$F$39,$F379,'Сырье и материалы'!$AC$25:$AC$39,"Всего по тарифу")</f>
        <v>0</v>
      </c>
      <c r="AY379" s="1099">
        <f>_xlfn.SUMIFS('Сырье и материалы'!AX$25:AX$39,'Сырье и материалы'!$F$25:$F$39,$F379,'Сырье и материалы'!$AC$25:$AC$39,"Всего по тарифу")</f>
        <v>0</v>
      </c>
      <c r="AZ379" s="1099">
        <f>_xlfn.SUMIFS('Сырье и материалы'!AY$25:AY$39,'Сырье и материалы'!$F$25:$F$39,$F379,'Сырье и материалы'!$AC$25:$AC$39,"Всего по тарифу")</f>
        <v>0</v>
      </c>
      <c r="BA379" s="1099">
        <f>_xlfn.SUMIFS('Сырье и материалы'!AZ$25:AZ$39,'Сырье и материалы'!$F$25:$F$39,$F379,'Сырье и материалы'!$AC$25:$AC$39,"Всего по тарифу")</f>
        <v>0</v>
      </c>
      <c r="BB379" s="1099">
        <f>_xlfn.SUMIFS('Сырье и материалы'!BA$25:BA$39,'Сырье и материалы'!$F$25:$F$39,$F379,'Сырье и материалы'!$AC$25:$AC$39,"Всего по тарифу")</f>
        <v>0</v>
      </c>
      <c r="BC379" s="1099">
        <f>_xlfn.SUMIFS('Сырье и материалы'!BB$25:BB$39,'Сырье и материалы'!$F$25:$F$39,$F379,'Сырье и материалы'!$AC$25:$AC$39,"Всего по тарифу")</f>
        <v>0</v>
      </c>
      <c r="BD379" s="1099">
        <f>IF(AI379=0,0,(AT379-AI379)/AI379*100)</f>
        <v>0</v>
      </c>
      <c r="BE379" s="1099">
        <f>IF(AT379=0,0,(AU379-AT379)/AT379*100)</f>
        <v>0</v>
      </c>
      <c r="BF379" s="1099">
        <f>IF(AU379=0,0,(AV379-AU379)/AU379*100)</f>
        <v>0</v>
      </c>
      <c r="BG379" s="1099">
        <f>IF(AV379=0,0,(AW379-AV379)/AV379*100)</f>
        <v>0</v>
      </c>
      <c r="BH379" s="1099">
        <f>IF(AW379=0,0,(AX379-AW379)/AW379*100)</f>
        <v>0</v>
      </c>
      <c r="BI379" s="1099">
        <f>IF(AX379=0,0,(AY379-AX379)/AX379*100)</f>
        <v>0</v>
      </c>
      <c r="BJ379" s="1099">
        <f>IF(AY379=0,0,(AZ379-AY379)/AY379*100)</f>
        <v>0</v>
      </c>
      <c r="BK379" s="1099">
        <f>IF(AZ379=0,0,(BA379-AZ379)/AZ379*100)</f>
        <v>0</v>
      </c>
      <c r="BL379" s="1099">
        <f>IF(BA379=0,0,(BB379-BA379)/BA379*100)</f>
        <v>0</v>
      </c>
      <c r="BM379" s="1099">
        <f>IF(BB379=0,0,(BC379-BB379)/BB379*100)</f>
        <v>0</v>
      </c>
      <c r="BN379" s="4617"/>
      <c r="BO379" s="4619" t="str">
        <f>IF(_xlfn.IFERROR(INDEX('Сырье и материалы'!$K$26:$L$39,MATCH($F379&amp;"komm",'Сырье и материалы'!$K$26:$K$39,0),2),"")=0,"",_xlfn.IFERROR(INDEX('Сырье и материалы'!$K$26:$L$39,MATCH($F379&amp;"komm",'Сырье и материалы'!$K$26:$K$39,0),2),""))</f>
        <v/>
      </c>
      <c r="BP379" s="4617"/>
      <c r="BQ379" s="960"/>
      <c r="BR379" s="960"/>
      <c r="BS379" s="1048" t="s">
        <v>1590</v>
      </c>
      <c r="BT379" s="1048"/>
      <c r="BU379" s="1048"/>
      <c r="BV379" s="962"/>
      <c r="BW379" s="962"/>
    </row>
    <row s="4726" customFormat="1" customHeight="1" ht="107.25">
      <c r="A380" s="680"/>
      <c r="B380" s="408"/>
      <c r="C380" s="75"/>
      <c r="D380" s="75"/>
      <c r="E380" s="807">
        <v>21</v>
      </c>
      <c r="F380" s="50" cm="1" t="str">
        <f t="array" ref="F380:F380">OFFSET(E380,-1,1)</f>
        <v>2</v>
      </c>
      <c r="G380" s="75"/>
      <c r="H380" s="73"/>
      <c r="I380" s="73" t="s">
        <v>865</v>
      </c>
      <c r="J380" s="75"/>
      <c r="K380" s="73" t="s">
        <v>865</v>
      </c>
      <c r="L380" s="968" t="s">
        <v>495</v>
      </c>
      <c r="M380" s="75"/>
      <c r="N380" s="75"/>
      <c r="O380" s="75"/>
      <c r="P380" s="75"/>
      <c r="Q380" s="75"/>
      <c r="R380" s="75"/>
      <c r="S380" s="75"/>
      <c r="T380" s="439" cm="1" t="str">
        <f t="array" ref="T380:T380">T379</f>
        <v>true</v>
      </c>
      <c r="U380" s="75"/>
      <c r="V380" s="75"/>
      <c r="W380" s="75"/>
      <c r="X380" s="1534"/>
      <c r="Y380" s="680"/>
      <c r="Z380" s="1465"/>
      <c r="AA380" s="680"/>
      <c r="AB380" s="178" t="s">
        <v>523</v>
      </c>
      <c r="AC380" s="328" t="s">
        <v>1929</v>
      </c>
      <c r="AD380" s="178" t="s">
        <v>784</v>
      </c>
      <c r="AE380" s="759">
        <f>SUM(AE381:AE390)</f>
        <v>0.26489</v>
      </c>
      <c r="AF380" s="759">
        <f>SUM(AF381:AF390)</f>
        <v>1463.87518634</v>
      </c>
      <c r="AG380" s="759">
        <f>SUM(AG381:AG390)</f>
        <v>0</v>
      </c>
      <c r="AH380" s="759">
        <f>AG380-AF380</f>
        <v>-1463.87518634</v>
      </c>
      <c r="AI380" s="759">
        <f>SUM(AI381:AI390)</f>
        <v>0.39641</v>
      </c>
      <c r="AJ380" s="180">
        <f>SUM(AJ381:AJ390)</f>
        <v>1335.0137169634</v>
      </c>
      <c r="AK380" s="759">
        <f>SUM(AK381:AK390)</f>
        <v>0</v>
      </c>
      <c r="AL380" s="759">
        <f>SUM(AL381:AL390)</f>
        <v>0</v>
      </c>
      <c r="AM380" s="759">
        <f>SUM(AM381:AM390)</f>
        <v>0</v>
      </c>
      <c r="AN380" s="759">
        <f>SUM(AN381:AN390)</f>
        <v>0</v>
      </c>
      <c r="AO380" s="759">
        <f>SUM(AO381:AO390)</f>
        <v>0</v>
      </c>
      <c r="AP380" s="759">
        <f>SUM(AP381:AP390)</f>
        <v>0</v>
      </c>
      <c r="AQ380" s="759">
        <f>SUM(AQ381:AQ390)</f>
        <v>0</v>
      </c>
      <c r="AR380" s="759">
        <f>SUM(AR381:AR390)</f>
        <v>0</v>
      </c>
      <c r="AS380" s="759">
        <f>SUM(AS381:AS390)</f>
        <v>0</v>
      </c>
      <c r="AT380" s="180">
        <f>SUM(AT381:AT390)</f>
        <v>0.37351</v>
      </c>
      <c r="AU380" s="759">
        <f>SUM(AU381:AU390)</f>
        <v>0</v>
      </c>
      <c r="AV380" s="759">
        <f>SUM(AV381:AV390)</f>
        <v>0</v>
      </c>
      <c r="AW380" s="759">
        <f>SUM(AW381:AW390)</f>
        <v>0</v>
      </c>
      <c r="AX380" s="759">
        <f>SUM(AX381:AX390)</f>
        <v>0</v>
      </c>
      <c r="AY380" s="759">
        <f>SUM(AY381:AY390)</f>
        <v>0</v>
      </c>
      <c r="AZ380" s="759">
        <f>SUM(AZ381:AZ390)</f>
        <v>0</v>
      </c>
      <c r="BA380" s="759">
        <f>SUM(BA381:BA390)</f>
        <v>0</v>
      </c>
      <c r="BB380" s="759">
        <f>SUM(BB381:BB390)</f>
        <v>0</v>
      </c>
      <c r="BC380" s="759">
        <f>SUM(BC381:BC390)</f>
        <v>0</v>
      </c>
      <c r="BD380" s="759">
        <f>IF(AI380=0,0,(AT380-AI380)/AI380*100)</f>
        <v>-5.77684720365278</v>
      </c>
      <c r="BE380" s="759">
        <f>IF(AT380=0,0,(AU380-AT380)/AT380*100)</f>
        <v>-100</v>
      </c>
      <c r="BF380" s="759">
        <f>IF(AU380=0,0,(AV380-AU380)/AU380*100)</f>
        <v>0</v>
      </c>
      <c r="BG380" s="759">
        <f>IF(AV380=0,0,(AW380-AV380)/AV380*100)</f>
        <v>0</v>
      </c>
      <c r="BH380" s="759">
        <f>IF(AW380=0,0,(AX380-AW380)/AW380*100)</f>
        <v>0</v>
      </c>
      <c r="BI380" s="759">
        <f>IF(AX380=0,0,(AY380-AX380)/AX380*100)</f>
        <v>0</v>
      </c>
      <c r="BJ380" s="759">
        <f>IF(AY380=0,0,(AZ380-AY380)/AY380*100)</f>
        <v>0</v>
      </c>
      <c r="BK380" s="759">
        <f>IF(AZ380=0,0,(BA380-AZ380)/AZ380*100)</f>
        <v>0</v>
      </c>
      <c r="BL380" s="759">
        <f>IF(BA380=0,0,(BB380-BA380)/BA380*100)</f>
        <v>0</v>
      </c>
      <c r="BM380" s="759">
        <f>IF(BB380=0,0,(BC380-BB380)/BB380*100)</f>
        <v>0</v>
      </c>
      <c r="BN380" s="4618"/>
      <c r="BO380" s="4619" t="s">
        <v>2077</v>
      </c>
      <c r="BP380" s="4618" t="s">
        <v>2078</v>
      </c>
      <c r="BQ380" s="680"/>
      <c r="BR380" s="680"/>
      <c r="BS380" s="1054" t="s">
        <v>1151</v>
      </c>
      <c r="BT380" s="1054"/>
      <c r="BU380" s="1054"/>
      <c r="BV380" s="687"/>
      <c r="BW380" s="687"/>
    </row>
    <row s="1621" customFormat="1" customHeight="1" ht="14.25">
      <c r="A381" s="960"/>
      <c r="B381" s="961"/>
      <c r="C381" s="73"/>
      <c r="D381" s="73"/>
      <c r="E381" s="600">
        <v>15</v>
      </c>
      <c r="F381" s="50" cm="1" t="str">
        <f t="array" ref="F381:F381">OFFSET(E381,-1,1)</f>
        <v>2</v>
      </c>
      <c r="G381" s="904">
        <v>7</v>
      </c>
      <c r="H381" s="73"/>
      <c r="I381" s="73" t="s">
        <v>1930</v>
      </c>
      <c r="J381" s="73"/>
      <c r="K381" s="73" t="s">
        <v>1930</v>
      </c>
      <c r="L381" s="963"/>
      <c r="M381" s="73"/>
      <c r="N381" s="73"/>
      <c r="O381" s="73"/>
      <c r="P381" s="73"/>
      <c r="Q381" s="73"/>
      <c r="R381" s="73"/>
      <c r="S381" s="73"/>
      <c r="T381" s="439" cm="1" t="str">
        <f t="array" ref="T381:T381">T380</f>
        <v>true</v>
      </c>
      <c r="U381" s="73"/>
      <c r="V381" s="73"/>
      <c r="W381" s="73"/>
      <c r="X381" s="1534"/>
      <c r="Y381" s="960"/>
      <c r="Z381" s="1465"/>
      <c r="AA381" s="960"/>
      <c r="AB381" s="267" t="s">
        <v>478</v>
      </c>
      <c r="AC381" s="746" t="s">
        <v>1165</v>
      </c>
      <c r="AD381" s="267" t="s">
        <v>784</v>
      </c>
      <c r="AE381" s="1099">
        <f>_xlfn.SUMIFS(Налоги!AE$25:AE$69,Налоги!$F$25:$F$69,$F381,Налоги!$AB$25:$AB$69,$G381)</f>
        <v>0</v>
      </c>
      <c r="AF381" s="1099">
        <f>_xlfn.SUMIFS(Налоги!AF$25:AF$69,Налоги!$F$25:$F$69,$F381,Налоги!$AB$25:$AB$69,$G381)</f>
        <v>0</v>
      </c>
      <c r="AG381" s="1099">
        <f>_xlfn.SUMIFS(Налоги!AG$25:AG$69,Налоги!$F$25:$F$69,$F381,Налоги!$AB$25:$AB$69,$G381)</f>
        <v>0</v>
      </c>
      <c r="AH381" s="1099">
        <f>AG381-AF381</f>
        <v>0</v>
      </c>
      <c r="AI381" s="1099">
        <f>_xlfn.SUMIFS(Налоги!AH$25:AH$69,Налоги!$F$25:$F$69,$F381,Налоги!$AB$25:$AB$69,$G381)</f>
        <v>0</v>
      </c>
      <c r="AJ381" s="1099">
        <f>_xlfn.SUMIFS(Налоги!AI$25:AI$69,Налоги!$F$25:$F$69,$F381,Налоги!$AB$25:$AB$69,$G381)</f>
        <v>0</v>
      </c>
      <c r="AK381" s="1099">
        <f>_xlfn.SUMIFS(Налоги!AJ$25:AJ$69,Налоги!$F$25:$F$69,$F381,Налоги!$AB$25:$AB$69,$G381)</f>
        <v>0</v>
      </c>
      <c r="AL381" s="1099">
        <f>_xlfn.SUMIFS(Налоги!AK$25:AK$69,Налоги!$F$25:$F$69,$F381,Налоги!$AB$25:$AB$69,$G381)</f>
        <v>0</v>
      </c>
      <c r="AM381" s="1099">
        <f>_xlfn.SUMIFS(Налоги!AL$25:AL$69,Налоги!$F$25:$F$69,$F381,Налоги!$AB$25:$AB$69,$G381)</f>
        <v>0</v>
      </c>
      <c r="AN381" s="1099">
        <f>_xlfn.SUMIFS(Налоги!AM$25:AM$69,Налоги!$F$25:$F$69,$F381,Налоги!$AB$25:$AB$69,$G381)</f>
        <v>0</v>
      </c>
      <c r="AO381" s="1099">
        <f>_xlfn.SUMIFS(Налоги!AN$25:AN$69,Налоги!$F$25:$F$69,$F381,Налоги!$AB$25:$AB$69,$G381)</f>
        <v>0</v>
      </c>
      <c r="AP381" s="1099">
        <f>_xlfn.SUMIFS(Налоги!AO$25:AO$69,Налоги!$F$25:$F$69,$F381,Налоги!$AB$25:$AB$69,$G381)</f>
        <v>0</v>
      </c>
      <c r="AQ381" s="1099">
        <f>_xlfn.SUMIFS(Налоги!AP$25:AP$69,Налоги!$F$25:$F$69,$F381,Налоги!$AB$25:$AB$69,$G381)</f>
        <v>0</v>
      </c>
      <c r="AR381" s="1099">
        <f>_xlfn.SUMIFS(Налоги!AQ$25:AQ$69,Налоги!$F$25:$F$69,$F381,Налоги!$AB$25:$AB$69,$G381)</f>
        <v>0</v>
      </c>
      <c r="AS381" s="1099">
        <f>_xlfn.SUMIFS(Налоги!AR$25:AR$69,Налоги!$F$25:$F$69,$F381,Налоги!$AB$25:$AB$69,$G381)</f>
        <v>0</v>
      </c>
      <c r="AT381" s="1099">
        <f>_xlfn.SUMIFS(Налоги!AS$25:AS$69,Налоги!$F$25:$F$69,$F381,Налоги!$AB$25:$AB$69,$G381)</f>
        <v>0</v>
      </c>
      <c r="AU381" s="1099">
        <f>_xlfn.SUMIFS(Налоги!AT$25:AT$69,Налоги!$F$25:$F$69,$F381,Налоги!$AB$25:$AB$69,$G381)</f>
        <v>0</v>
      </c>
      <c r="AV381" s="1099">
        <f>_xlfn.SUMIFS(Налоги!AU$25:AU$69,Налоги!$F$25:$F$69,$F381,Налоги!$AB$25:$AB$69,$G381)</f>
        <v>0</v>
      </c>
      <c r="AW381" s="1099">
        <f>_xlfn.SUMIFS(Налоги!AV$25:AV$69,Налоги!$F$25:$F$69,$F381,Налоги!$AB$25:$AB$69,$G381)</f>
        <v>0</v>
      </c>
      <c r="AX381" s="1099">
        <f>_xlfn.SUMIFS(Налоги!AW$25:AW$69,Налоги!$F$25:$F$69,$F381,Налоги!$AB$25:$AB$69,$G381)</f>
        <v>0</v>
      </c>
      <c r="AY381" s="1099">
        <f>_xlfn.SUMIFS(Налоги!AX$25:AX$69,Налоги!$F$25:$F$69,$F381,Налоги!$AB$25:$AB$69,$G381)</f>
        <v>0</v>
      </c>
      <c r="AZ381" s="1099">
        <f>_xlfn.SUMIFS(Налоги!AY$25:AY$69,Налоги!$F$25:$F$69,$F381,Налоги!$AB$25:$AB$69,$G381)</f>
        <v>0</v>
      </c>
      <c r="BA381" s="1099">
        <f>_xlfn.SUMIFS(Налоги!AZ$25:AZ$69,Налоги!$F$25:$F$69,$F381,Налоги!$AB$25:$AB$69,$G381)</f>
        <v>0</v>
      </c>
      <c r="BB381" s="1099">
        <f>_xlfn.SUMIFS(Налоги!BA$25:BA$69,Налоги!$F$25:$F$69,$F381,Налоги!$AB$25:$AB$69,$G381)</f>
        <v>0</v>
      </c>
      <c r="BC381" s="1099">
        <f>_xlfn.SUMIFS(Налоги!BB$25:BB$69,Налоги!$F$25:$F$69,$F381,Налоги!$AB$25:$AB$69,$G381)</f>
        <v>0</v>
      </c>
      <c r="BD381" s="1099">
        <f>IF(AI381=0,0,(AT381-AI381)/AI381*100)</f>
        <v>0</v>
      </c>
      <c r="BE381" s="1099">
        <f>IF(AT381=0,0,(AU381-AT381)/AT381*100)</f>
        <v>0</v>
      </c>
      <c r="BF381" s="1099">
        <f>IF(AU381=0,0,(AV381-AU381)/AU381*100)</f>
        <v>0</v>
      </c>
      <c r="BG381" s="1099">
        <f>IF(AV381=0,0,(AW381-AV381)/AV381*100)</f>
        <v>0</v>
      </c>
      <c r="BH381" s="1099">
        <f>IF(AW381=0,0,(AX381-AW381)/AW381*100)</f>
        <v>0</v>
      </c>
      <c r="BI381" s="1099">
        <f>IF(AX381=0,0,(AY381-AX381)/AX381*100)</f>
        <v>0</v>
      </c>
      <c r="BJ381" s="1099">
        <f>IF(AY381=0,0,(AZ381-AY381)/AY381*100)</f>
        <v>0</v>
      </c>
      <c r="BK381" s="1099">
        <f>IF(AZ381=0,0,(BA381-AZ381)/AZ381*100)</f>
        <v>0</v>
      </c>
      <c r="BL381" s="1099">
        <f>IF(BA381=0,0,(BB381-BA381)/BA381*100)</f>
        <v>0</v>
      </c>
      <c r="BM381" s="1099">
        <f>IF(BB381=0,0,(BC381-BB381)/BB381*100)</f>
        <v>0</v>
      </c>
      <c r="BN381" s="4617"/>
      <c r="BO381" s="4619" t="str">
        <f>IF(_xlfn.IFERROR(INDEX(Налоги!$K$26:$L$69,MATCH($F381&amp;"7komm",Налоги!$K$26:$K$69,0),2),"")=0,"",_xlfn.IFERROR(INDEX(Налоги!$K$26:$L$69,MATCH($F381&amp;"7komm",Налоги!$K$26:$K$69,0),2),""))</f>
        <v/>
      </c>
      <c r="BP381" s="4617"/>
      <c r="BQ381" s="960"/>
      <c r="BR381" s="960"/>
      <c r="BS381" s="1048" t="s">
        <v>1931</v>
      </c>
      <c r="BT381" s="1048"/>
      <c r="BU381" s="1048"/>
      <c r="BV381" s="962"/>
      <c r="BW381" s="962"/>
    </row>
    <row s="1621" customFormat="1" customHeight="1" ht="14.25">
      <c r="A382" s="960"/>
      <c r="B382" s="961"/>
      <c r="C382" s="73"/>
      <c r="D382" s="73"/>
      <c r="E382" s="600">
        <v>15</v>
      </c>
      <c r="F382" s="50" cm="1" t="str">
        <f t="array" ref="F382:F382">OFFSET(E382,-1,1)</f>
        <v>2</v>
      </c>
      <c r="G382" s="904">
        <v>6</v>
      </c>
      <c r="H382" s="73"/>
      <c r="I382" s="73" t="s">
        <v>1932</v>
      </c>
      <c r="J382" s="73"/>
      <c r="K382" s="73" t="s">
        <v>1932</v>
      </c>
      <c r="L382" s="963"/>
      <c r="M382" s="73"/>
      <c r="N382" s="73"/>
      <c r="O382" s="73"/>
      <c r="P382" s="73"/>
      <c r="Q382" s="73"/>
      <c r="R382" s="73"/>
      <c r="S382" s="73"/>
      <c r="T382" s="439" cm="1" t="str">
        <f t="array" ref="T382:T382">T381</f>
        <v>true</v>
      </c>
      <c r="U382" s="73"/>
      <c r="V382" s="73"/>
      <c r="W382" s="73"/>
      <c r="X382" s="1534"/>
      <c r="Y382" s="960"/>
      <c r="Z382" s="1465"/>
      <c r="AA382" s="960"/>
      <c r="AB382" s="267" t="s">
        <v>1375</v>
      </c>
      <c r="AC382" s="746" t="s">
        <v>1933</v>
      </c>
      <c r="AD382" s="267" t="s">
        <v>784</v>
      </c>
      <c r="AE382" s="1099">
        <f>_xlfn.SUMIFS(Налоги!AE$25:AE$69,Налоги!$F$25:$F$69,$F382,Налоги!$AB$25:$AB$69,$G382)</f>
        <v>0</v>
      </c>
      <c r="AF382" s="1099">
        <f>_xlfn.SUMIFS(Налоги!AF$25:AF$69,Налоги!$F$25:$F$69,$F382,Налоги!$AB$25:$AB$69,$G382)</f>
        <v>1463.50167634</v>
      </c>
      <c r="AG382" s="1099">
        <f>_xlfn.SUMIFS(Налоги!AG$25:AG$69,Налоги!$F$25:$F$69,$F382,Налоги!$AB$25:$AB$69,$G382)</f>
        <v>0</v>
      </c>
      <c r="AH382" s="1099">
        <f>AG382-AF382</f>
        <v>-1463.50167634</v>
      </c>
      <c r="AI382" s="1099">
        <f>_xlfn.SUMIFS(Налоги!AH$25:AH$69,Налоги!$F$25:$F$69,$F382,Налоги!$AB$25:$AB$69,$G382)</f>
        <v>0</v>
      </c>
      <c r="AJ382" s="1099">
        <f>_xlfn.SUMIFS(Налоги!AI$25:AI$69,Налоги!$F$25:$F$69,$F382,Налоги!$AB$25:$AB$69,$G382)</f>
        <v>1334.3691757</v>
      </c>
      <c r="AK382" s="1099">
        <f>_xlfn.SUMIFS(Налоги!AJ$25:AJ$69,Налоги!$F$25:$F$69,$F382,Налоги!$AB$25:$AB$69,$G382)</f>
        <v>0</v>
      </c>
      <c r="AL382" s="1099">
        <f>_xlfn.SUMIFS(Налоги!AK$25:AK$69,Налоги!$F$25:$F$69,$F382,Налоги!$AB$25:$AB$69,$G382)</f>
        <v>0</v>
      </c>
      <c r="AM382" s="1099">
        <f>_xlfn.SUMIFS(Налоги!AL$25:AL$69,Налоги!$F$25:$F$69,$F382,Налоги!$AB$25:$AB$69,$G382)</f>
        <v>0</v>
      </c>
      <c r="AN382" s="1099">
        <f>_xlfn.SUMIFS(Налоги!AM$25:AM$69,Налоги!$F$25:$F$69,$F382,Налоги!$AB$25:$AB$69,$G382)</f>
        <v>0</v>
      </c>
      <c r="AO382" s="1099">
        <f>_xlfn.SUMIFS(Налоги!AN$25:AN$69,Налоги!$F$25:$F$69,$F382,Налоги!$AB$25:$AB$69,$G382)</f>
        <v>0</v>
      </c>
      <c r="AP382" s="1099">
        <f>_xlfn.SUMIFS(Налоги!AO$25:AO$69,Налоги!$F$25:$F$69,$F382,Налоги!$AB$25:$AB$69,$G382)</f>
        <v>0</v>
      </c>
      <c r="AQ382" s="1099">
        <f>_xlfn.SUMIFS(Налоги!AP$25:AP$69,Налоги!$F$25:$F$69,$F382,Налоги!$AB$25:$AB$69,$G382)</f>
        <v>0</v>
      </c>
      <c r="AR382" s="1099">
        <f>_xlfn.SUMIFS(Налоги!AQ$25:AQ$69,Налоги!$F$25:$F$69,$F382,Налоги!$AB$25:$AB$69,$G382)</f>
        <v>0</v>
      </c>
      <c r="AS382" s="1099">
        <f>_xlfn.SUMIFS(Налоги!AR$25:AR$69,Налоги!$F$25:$F$69,$F382,Налоги!$AB$25:$AB$69,$G382)</f>
        <v>0</v>
      </c>
      <c r="AT382" s="1099">
        <f>_xlfn.SUMIFS(Налоги!AS$25:AS$69,Налоги!$F$25:$F$69,$F382,Налоги!$AB$25:$AB$69,$G382)</f>
        <v>0</v>
      </c>
      <c r="AU382" s="1099">
        <f>_xlfn.SUMIFS(Налоги!AT$25:AT$69,Налоги!$F$25:$F$69,$F382,Налоги!$AB$25:$AB$69,$G382)</f>
        <v>0</v>
      </c>
      <c r="AV382" s="1099">
        <f>_xlfn.SUMIFS(Налоги!AU$25:AU$69,Налоги!$F$25:$F$69,$F382,Налоги!$AB$25:$AB$69,$G382)</f>
        <v>0</v>
      </c>
      <c r="AW382" s="1099">
        <f>_xlfn.SUMIFS(Налоги!AV$25:AV$69,Налоги!$F$25:$F$69,$F382,Налоги!$AB$25:$AB$69,$G382)</f>
        <v>0</v>
      </c>
      <c r="AX382" s="1099">
        <f>_xlfn.SUMIFS(Налоги!AW$25:AW$69,Налоги!$F$25:$F$69,$F382,Налоги!$AB$25:$AB$69,$G382)</f>
        <v>0</v>
      </c>
      <c r="AY382" s="1099">
        <f>_xlfn.SUMIFS(Налоги!AX$25:AX$69,Налоги!$F$25:$F$69,$F382,Налоги!$AB$25:$AB$69,$G382)</f>
        <v>0</v>
      </c>
      <c r="AZ382" s="1099">
        <f>_xlfn.SUMIFS(Налоги!AY$25:AY$69,Налоги!$F$25:$F$69,$F382,Налоги!$AB$25:$AB$69,$G382)</f>
        <v>0</v>
      </c>
      <c r="BA382" s="1099">
        <f>_xlfn.SUMIFS(Налоги!AZ$25:AZ$69,Налоги!$F$25:$F$69,$F382,Налоги!$AB$25:$AB$69,$G382)</f>
        <v>0</v>
      </c>
      <c r="BB382" s="1099">
        <f>_xlfn.SUMIFS(Налоги!BA$25:BA$69,Налоги!$F$25:$F$69,$F382,Налоги!$AB$25:$AB$69,$G382)</f>
        <v>0</v>
      </c>
      <c r="BC382" s="1099">
        <f>_xlfn.SUMIFS(Налоги!BB$25:BB$69,Налоги!$F$25:$F$69,$F382,Налоги!$AB$25:$AB$69,$G382)</f>
        <v>0</v>
      </c>
      <c r="BD382" s="1099">
        <f>IF(AI382=0,0,(AT382-AI382)/AI382*100)</f>
        <v>0</v>
      </c>
      <c r="BE382" s="1099">
        <f>IF(AT382=0,0,(AU382-AT382)/AT382*100)</f>
        <v>0</v>
      </c>
      <c r="BF382" s="1099">
        <f>IF(AU382=0,0,(AV382-AU382)/AU382*100)</f>
        <v>0</v>
      </c>
      <c r="BG382" s="1099">
        <f>IF(AV382=0,0,(AW382-AV382)/AV382*100)</f>
        <v>0</v>
      </c>
      <c r="BH382" s="1099">
        <f>IF(AW382=0,0,(AX382-AW382)/AW382*100)</f>
        <v>0</v>
      </c>
      <c r="BI382" s="1099">
        <f>IF(AX382=0,0,(AY382-AX382)/AX382*100)</f>
        <v>0</v>
      </c>
      <c r="BJ382" s="1099">
        <f>IF(AY382=0,0,(AZ382-AY382)/AY382*100)</f>
        <v>0</v>
      </c>
      <c r="BK382" s="1099">
        <f>IF(AZ382=0,0,(BA382-AZ382)/AZ382*100)</f>
        <v>0</v>
      </c>
      <c r="BL382" s="1099">
        <f>IF(BA382=0,0,(BB382-BA382)/BA382*100)</f>
        <v>0</v>
      </c>
      <c r="BM382" s="1099">
        <f>IF(BB382=0,0,(BC382-BB382)/BB382*100)</f>
        <v>0</v>
      </c>
      <c r="BN382" s="4617"/>
      <c r="BO382" s="4619" t="str">
        <f>IF(_xlfn.IFERROR(INDEX(Налоги!$K$26:$L$69,MATCH($F382&amp;"6komm",Налоги!$K$26:$K$69,0),2),"")=0,"",_xlfn.IFERROR(INDEX(Налоги!$K$26:$L$69,MATCH($F382&amp;"6komm",Налоги!$K$26:$K$69,0),2),""))</f>
        <v>по расчету регулятора в соответствии с НК РФ (исходя из остаточной стоимости недвижимого имущества)</v>
      </c>
      <c r="BP382" s="4617"/>
      <c r="BQ382" s="960"/>
      <c r="BR382" s="960"/>
      <c r="BS382" s="1048" t="s">
        <v>1934</v>
      </c>
      <c r="BT382" s="1048"/>
      <c r="BU382" s="1048"/>
      <c r="BV382" s="962"/>
      <c r="BW382" s="962"/>
    </row>
    <row s="1621" customFormat="1" customHeight="1" ht="14.25">
      <c r="A383" s="960"/>
      <c r="B383" s="961"/>
      <c r="C383" s="73"/>
      <c r="D383" s="73"/>
      <c r="E383" s="600">
        <v>15</v>
      </c>
      <c r="F383" s="50" cm="1" t="str">
        <f t="array" ref="F383:F383">OFFSET(E383,-1,1)</f>
        <v>2</v>
      </c>
      <c r="G383" s="904">
        <v>2</v>
      </c>
      <c r="H383" s="73"/>
      <c r="I383" s="73" t="s">
        <v>1935</v>
      </c>
      <c r="J383" s="73"/>
      <c r="K383" s="73" t="s">
        <v>1935</v>
      </c>
      <c r="L383" s="963"/>
      <c r="M383" s="73"/>
      <c r="N383" s="73"/>
      <c r="O383" s="73"/>
      <c r="P383" s="73"/>
      <c r="Q383" s="73"/>
      <c r="R383" s="73"/>
      <c r="S383" s="73"/>
      <c r="T383" s="439" cm="1" t="str">
        <f t="array" ref="T383:T383">T382</f>
        <v>true</v>
      </c>
      <c r="U383" s="73"/>
      <c r="V383" s="73"/>
      <c r="W383" s="73"/>
      <c r="X383" s="1534"/>
      <c r="Y383" s="960"/>
      <c r="Z383" s="1465"/>
      <c r="AA383" s="960"/>
      <c r="AB383" s="267" t="s">
        <v>1380</v>
      </c>
      <c r="AC383" s="746" t="s">
        <v>1936</v>
      </c>
      <c r="AD383" s="267" t="s">
        <v>784</v>
      </c>
      <c r="AE383" s="1099">
        <f>_xlfn.SUMIFS(Налоги!AE$25:AE$69,Налоги!$F$25:$F$69,$F383,Налоги!$AB$25:$AB$69,$G383)</f>
        <v>0</v>
      </c>
      <c r="AF383" s="1099">
        <f>_xlfn.SUMIFS(Налоги!AF$25:AF$69,Налоги!$F$25:$F$69,$F383,Налоги!$AB$25:$AB$69,$G383)</f>
        <v>0</v>
      </c>
      <c r="AG383" s="1099">
        <f>_xlfn.SUMIFS(Налоги!AG$25:AG$69,Налоги!$F$25:$F$69,$F383,Налоги!$AB$25:$AB$69,$G383)</f>
        <v>0</v>
      </c>
      <c r="AH383" s="1099">
        <f>AG383-AF383</f>
        <v>0</v>
      </c>
      <c r="AI383" s="1099">
        <f>_xlfn.SUMIFS(Налоги!AH$25:AH$69,Налоги!$F$25:$F$69,$F383,Налоги!$AB$25:$AB$69,$G383)</f>
        <v>0</v>
      </c>
      <c r="AJ383" s="1099">
        <f>_xlfn.SUMIFS(Налоги!AI$25:AI$69,Налоги!$F$25:$F$69,$F383,Налоги!$AB$25:$AB$69,$G383)</f>
        <v>0</v>
      </c>
      <c r="AK383" s="1099">
        <f>_xlfn.SUMIFS(Налоги!AJ$25:AJ$69,Налоги!$F$25:$F$69,$F383,Налоги!$AB$25:$AB$69,$G383)</f>
        <v>0</v>
      </c>
      <c r="AL383" s="1099">
        <f>_xlfn.SUMIFS(Налоги!AK$25:AK$69,Налоги!$F$25:$F$69,$F383,Налоги!$AB$25:$AB$69,$G383)</f>
        <v>0</v>
      </c>
      <c r="AM383" s="1099">
        <f>_xlfn.SUMIFS(Налоги!AL$25:AL$69,Налоги!$F$25:$F$69,$F383,Налоги!$AB$25:$AB$69,$G383)</f>
        <v>0</v>
      </c>
      <c r="AN383" s="1099">
        <f>_xlfn.SUMIFS(Налоги!AM$25:AM$69,Налоги!$F$25:$F$69,$F383,Налоги!$AB$25:$AB$69,$G383)</f>
        <v>0</v>
      </c>
      <c r="AO383" s="1099">
        <f>_xlfn.SUMIFS(Налоги!AN$25:AN$69,Налоги!$F$25:$F$69,$F383,Налоги!$AB$25:$AB$69,$G383)</f>
        <v>0</v>
      </c>
      <c r="AP383" s="1099">
        <f>_xlfn.SUMIFS(Налоги!AO$25:AO$69,Налоги!$F$25:$F$69,$F383,Налоги!$AB$25:$AB$69,$G383)</f>
        <v>0</v>
      </c>
      <c r="AQ383" s="1099">
        <f>_xlfn.SUMIFS(Налоги!AP$25:AP$69,Налоги!$F$25:$F$69,$F383,Налоги!$AB$25:$AB$69,$G383)</f>
        <v>0</v>
      </c>
      <c r="AR383" s="1099">
        <f>_xlfn.SUMIFS(Налоги!AQ$25:AQ$69,Налоги!$F$25:$F$69,$F383,Налоги!$AB$25:$AB$69,$G383)</f>
        <v>0</v>
      </c>
      <c r="AS383" s="1099">
        <f>_xlfn.SUMIFS(Налоги!AR$25:AR$69,Налоги!$F$25:$F$69,$F383,Налоги!$AB$25:$AB$69,$G383)</f>
        <v>0</v>
      </c>
      <c r="AT383" s="1099">
        <f>_xlfn.SUMIFS(Налоги!AS$25:AS$69,Налоги!$F$25:$F$69,$F383,Налоги!$AB$25:$AB$69,$G383)</f>
        <v>0</v>
      </c>
      <c r="AU383" s="1099">
        <f>_xlfn.SUMIFS(Налоги!AT$25:AT$69,Налоги!$F$25:$F$69,$F383,Налоги!$AB$25:$AB$69,$G383)</f>
        <v>0</v>
      </c>
      <c r="AV383" s="1099">
        <f>_xlfn.SUMIFS(Налоги!AU$25:AU$69,Налоги!$F$25:$F$69,$F383,Налоги!$AB$25:$AB$69,$G383)</f>
        <v>0</v>
      </c>
      <c r="AW383" s="1099">
        <f>_xlfn.SUMIFS(Налоги!AV$25:AV$69,Налоги!$F$25:$F$69,$F383,Налоги!$AB$25:$AB$69,$G383)</f>
        <v>0</v>
      </c>
      <c r="AX383" s="1099">
        <f>_xlfn.SUMIFS(Налоги!AW$25:AW$69,Налоги!$F$25:$F$69,$F383,Налоги!$AB$25:$AB$69,$G383)</f>
        <v>0</v>
      </c>
      <c r="AY383" s="1099">
        <f>_xlfn.SUMIFS(Налоги!AX$25:AX$69,Налоги!$F$25:$F$69,$F383,Налоги!$AB$25:$AB$69,$G383)</f>
        <v>0</v>
      </c>
      <c r="AZ383" s="1099">
        <f>_xlfn.SUMIFS(Налоги!AY$25:AY$69,Налоги!$F$25:$F$69,$F383,Налоги!$AB$25:$AB$69,$G383)</f>
        <v>0</v>
      </c>
      <c r="BA383" s="1099">
        <f>_xlfn.SUMIFS(Налоги!AZ$25:AZ$69,Налоги!$F$25:$F$69,$F383,Налоги!$AB$25:$AB$69,$G383)</f>
        <v>0</v>
      </c>
      <c r="BB383" s="1099">
        <f>_xlfn.SUMIFS(Налоги!BA$25:BA$69,Налоги!$F$25:$F$69,$F383,Налоги!$AB$25:$AB$69,$G383)</f>
        <v>0</v>
      </c>
      <c r="BC383" s="1099">
        <f>_xlfn.SUMIFS(Налоги!BB$25:BB$69,Налоги!$F$25:$F$69,$F383,Налоги!$AB$25:$AB$69,$G383)</f>
        <v>0</v>
      </c>
      <c r="BD383" s="1099">
        <f>IF(AI383=0,0,(AT383-AI383)/AI383*100)</f>
        <v>0</v>
      </c>
      <c r="BE383" s="1099">
        <f>IF(AT383=0,0,(AU383-AT383)/AT383*100)</f>
        <v>0</v>
      </c>
      <c r="BF383" s="1099">
        <f>IF(AU383=0,0,(AV383-AU383)/AU383*100)</f>
        <v>0</v>
      </c>
      <c r="BG383" s="1099">
        <f>IF(AV383=0,0,(AW383-AV383)/AV383*100)</f>
        <v>0</v>
      </c>
      <c r="BH383" s="1099">
        <f>IF(AW383=0,0,(AX383-AW383)/AW383*100)</f>
        <v>0</v>
      </c>
      <c r="BI383" s="1099">
        <f>IF(AX383=0,0,(AY383-AX383)/AX383*100)</f>
        <v>0</v>
      </c>
      <c r="BJ383" s="1099">
        <f>IF(AY383=0,0,(AZ383-AY383)/AY383*100)</f>
        <v>0</v>
      </c>
      <c r="BK383" s="1099">
        <f>IF(AZ383=0,0,(BA383-AZ383)/AZ383*100)</f>
        <v>0</v>
      </c>
      <c r="BL383" s="1099">
        <f>IF(BA383=0,0,(BB383-BA383)/BA383*100)</f>
        <v>0</v>
      </c>
      <c r="BM383" s="1099">
        <f>IF(BB383=0,0,(BC383-BB383)/BB383*100)</f>
        <v>0</v>
      </c>
      <c r="BN383" s="4617"/>
      <c r="BO383" s="4619" t="str">
        <f>IF(_xlfn.IFERROR(INDEX(Налоги!$K$26:$L$69,MATCH($F383&amp;"2komm",Налоги!$K$26:$K$69,0),2),"")=0,"",_xlfn.IFERROR(INDEX(Налоги!$K$26:$L$69,MATCH($F383&amp;"2komm",Налоги!$K$26:$K$69,0),2),""))</f>
        <v/>
      </c>
      <c r="BP383" s="4617"/>
      <c r="BQ383" s="960"/>
      <c r="BR383" s="960"/>
      <c r="BS383" s="1048" t="s">
        <v>1937</v>
      </c>
      <c r="BT383" s="1048"/>
      <c r="BU383" s="1048"/>
      <c r="BV383" s="962"/>
      <c r="BW383" s="962"/>
    </row>
    <row s="1621" customFormat="1" customHeight="1" ht="14.25">
      <c r="A384" s="960"/>
      <c r="B384" s="961"/>
      <c r="C384" s="73"/>
      <c r="D384" s="73"/>
      <c r="E384" s="600">
        <v>15</v>
      </c>
      <c r="F384" s="50" cm="1" t="str">
        <f t="array" ref="F384:F384">OFFSET(E384,-1,1)</f>
        <v>2</v>
      </c>
      <c r="G384" s="904">
        <v>4</v>
      </c>
      <c r="H384" s="73"/>
      <c r="I384" s="73" t="s">
        <v>1938</v>
      </c>
      <c r="J384" s="73"/>
      <c r="K384" s="73" t="s">
        <v>1938</v>
      </c>
      <c r="L384" s="963"/>
      <c r="M384" s="73"/>
      <c r="N384" s="73"/>
      <c r="O384" s="73"/>
      <c r="P384" s="73"/>
      <c r="Q384" s="73"/>
      <c r="R384" s="73"/>
      <c r="S384" s="73"/>
      <c r="T384" s="439" cm="1" t="str">
        <f t="array" ref="T384:T384">T383</f>
        <v>true</v>
      </c>
      <c r="U384" s="73"/>
      <c r="V384" s="73"/>
      <c r="W384" s="73"/>
      <c r="X384" s="1534"/>
      <c r="Y384" s="960"/>
      <c r="Z384" s="1465"/>
      <c r="AA384" s="960"/>
      <c r="AB384" s="267" t="s">
        <v>1939</v>
      </c>
      <c r="AC384" s="746" t="s">
        <v>1940</v>
      </c>
      <c r="AD384" s="267" t="s">
        <v>784</v>
      </c>
      <c r="AE384" s="1099">
        <f>_xlfn.SUMIFS(Налоги!AE$25:AE$69,Налоги!$F$25:$F$69,$F384,Налоги!$AB$25:$AB$69,$G384)</f>
        <v>0</v>
      </c>
      <c r="AF384" s="1099">
        <f>_xlfn.SUMIFS(Налоги!AF$25:AF$69,Налоги!$F$25:$F$69,$F384,Налоги!$AB$25:$AB$69,$G384)</f>
        <v>0</v>
      </c>
      <c r="AG384" s="1099">
        <f>_xlfn.SUMIFS(Налоги!AG$25:AG$69,Налоги!$F$25:$F$69,$F384,Налоги!$AB$25:$AB$69,$G384)</f>
        <v>0</v>
      </c>
      <c r="AH384" s="1099">
        <f>AG384-AF384</f>
        <v>0</v>
      </c>
      <c r="AI384" s="1099">
        <f>_xlfn.SUMIFS(Налоги!AH$25:AH$69,Налоги!$F$25:$F$69,$F384,Налоги!$AB$25:$AB$69,$G384)</f>
        <v>0</v>
      </c>
      <c r="AJ384" s="1099">
        <f>_xlfn.SUMIFS(Налоги!AI$25:AI$69,Налоги!$F$25:$F$69,$F384,Налоги!$AB$25:$AB$69,$G384)</f>
        <v>0</v>
      </c>
      <c r="AK384" s="1099">
        <f>_xlfn.SUMIFS(Налоги!AJ$25:AJ$69,Налоги!$F$25:$F$69,$F384,Налоги!$AB$25:$AB$69,$G384)</f>
        <v>0</v>
      </c>
      <c r="AL384" s="1099">
        <f>_xlfn.SUMIFS(Налоги!AK$25:AK$69,Налоги!$F$25:$F$69,$F384,Налоги!$AB$25:$AB$69,$G384)</f>
        <v>0</v>
      </c>
      <c r="AM384" s="1099">
        <f>_xlfn.SUMIFS(Налоги!AL$25:AL$69,Налоги!$F$25:$F$69,$F384,Налоги!$AB$25:$AB$69,$G384)</f>
        <v>0</v>
      </c>
      <c r="AN384" s="1099">
        <f>_xlfn.SUMIFS(Налоги!AM$25:AM$69,Налоги!$F$25:$F$69,$F384,Налоги!$AB$25:$AB$69,$G384)</f>
        <v>0</v>
      </c>
      <c r="AO384" s="1099">
        <f>_xlfn.SUMIFS(Налоги!AN$25:AN$69,Налоги!$F$25:$F$69,$F384,Налоги!$AB$25:$AB$69,$G384)</f>
        <v>0</v>
      </c>
      <c r="AP384" s="1099">
        <f>_xlfn.SUMIFS(Налоги!AO$25:AO$69,Налоги!$F$25:$F$69,$F384,Налоги!$AB$25:$AB$69,$G384)</f>
        <v>0</v>
      </c>
      <c r="AQ384" s="1099">
        <f>_xlfn.SUMIFS(Налоги!AP$25:AP$69,Налоги!$F$25:$F$69,$F384,Налоги!$AB$25:$AB$69,$G384)</f>
        <v>0</v>
      </c>
      <c r="AR384" s="1099">
        <f>_xlfn.SUMIFS(Налоги!AQ$25:AQ$69,Налоги!$F$25:$F$69,$F384,Налоги!$AB$25:$AB$69,$G384)</f>
        <v>0</v>
      </c>
      <c r="AS384" s="1099">
        <f>_xlfn.SUMIFS(Налоги!AR$25:AR$69,Налоги!$F$25:$F$69,$F384,Налоги!$AB$25:$AB$69,$G384)</f>
        <v>0</v>
      </c>
      <c r="AT384" s="1099">
        <f>_xlfn.SUMIFS(Налоги!AS$25:AS$69,Налоги!$F$25:$F$69,$F384,Налоги!$AB$25:$AB$69,$G384)</f>
        <v>0</v>
      </c>
      <c r="AU384" s="1099">
        <f>_xlfn.SUMIFS(Налоги!AT$25:AT$69,Налоги!$F$25:$F$69,$F384,Налоги!$AB$25:$AB$69,$G384)</f>
        <v>0</v>
      </c>
      <c r="AV384" s="1099">
        <f>_xlfn.SUMIFS(Налоги!AU$25:AU$69,Налоги!$F$25:$F$69,$F384,Налоги!$AB$25:$AB$69,$G384)</f>
        <v>0</v>
      </c>
      <c r="AW384" s="1099">
        <f>_xlfn.SUMIFS(Налоги!AV$25:AV$69,Налоги!$F$25:$F$69,$F384,Налоги!$AB$25:$AB$69,$G384)</f>
        <v>0</v>
      </c>
      <c r="AX384" s="1099">
        <f>_xlfn.SUMIFS(Налоги!AW$25:AW$69,Налоги!$F$25:$F$69,$F384,Налоги!$AB$25:$AB$69,$G384)</f>
        <v>0</v>
      </c>
      <c r="AY384" s="1099">
        <f>_xlfn.SUMIFS(Налоги!AX$25:AX$69,Налоги!$F$25:$F$69,$F384,Налоги!$AB$25:$AB$69,$G384)</f>
        <v>0</v>
      </c>
      <c r="AZ384" s="1099">
        <f>_xlfn.SUMIFS(Налоги!AY$25:AY$69,Налоги!$F$25:$F$69,$F384,Налоги!$AB$25:$AB$69,$G384)</f>
        <v>0</v>
      </c>
      <c r="BA384" s="1099">
        <f>_xlfn.SUMIFS(Налоги!AZ$25:AZ$69,Налоги!$F$25:$F$69,$F384,Налоги!$AB$25:$AB$69,$G384)</f>
        <v>0</v>
      </c>
      <c r="BB384" s="1099">
        <f>_xlfn.SUMIFS(Налоги!BA$25:BA$69,Налоги!$F$25:$F$69,$F384,Налоги!$AB$25:$AB$69,$G384)</f>
        <v>0</v>
      </c>
      <c r="BC384" s="1099">
        <f>_xlfn.SUMIFS(Налоги!BB$25:BB$69,Налоги!$F$25:$F$69,$F384,Налоги!$AB$25:$AB$69,$G384)</f>
        <v>0</v>
      </c>
      <c r="BD384" s="1099">
        <f>IF(AI384=0,0,(AT384-AI384)/AI384*100)</f>
        <v>0</v>
      </c>
      <c r="BE384" s="1099">
        <f>IF(AT384=0,0,(AU384-AT384)/AT384*100)</f>
        <v>0</v>
      </c>
      <c r="BF384" s="1099">
        <f>IF(AU384=0,0,(AV384-AU384)/AU384*100)</f>
        <v>0</v>
      </c>
      <c r="BG384" s="1099">
        <f>IF(AV384=0,0,(AW384-AV384)/AV384*100)</f>
        <v>0</v>
      </c>
      <c r="BH384" s="1099">
        <f>IF(AW384=0,0,(AX384-AW384)/AW384*100)</f>
        <v>0</v>
      </c>
      <c r="BI384" s="1099">
        <f>IF(AX384=0,0,(AY384-AX384)/AX384*100)</f>
        <v>0</v>
      </c>
      <c r="BJ384" s="1099">
        <f>IF(AY384=0,0,(AZ384-AY384)/AY384*100)</f>
        <v>0</v>
      </c>
      <c r="BK384" s="1099">
        <f>IF(AZ384=0,0,(BA384-AZ384)/AZ384*100)</f>
        <v>0</v>
      </c>
      <c r="BL384" s="1099">
        <f>IF(BA384=0,0,(BB384-BA384)/BA384*100)</f>
        <v>0</v>
      </c>
      <c r="BM384" s="1099">
        <f>IF(BB384=0,0,(BC384-BB384)/BB384*100)</f>
        <v>0</v>
      </c>
      <c r="BN384" s="4617"/>
      <c r="BO384" s="4619" t="str">
        <f>IF(_xlfn.IFERROR(INDEX(Налоги!$K$26:$L$69,MATCH($F384&amp;"4komm",Налоги!$K$26:$K$69,0),2),"")=0,"",_xlfn.IFERROR(INDEX(Налоги!$K$26:$L$69,MATCH($F384&amp;"4komm",Налоги!$K$26:$K$69,0),2),""))</f>
        <v/>
      </c>
      <c r="BP384" s="4617"/>
      <c r="BQ384" s="960"/>
      <c r="BR384" s="960"/>
      <c r="BS384" s="1048" t="s">
        <v>1941</v>
      </c>
      <c r="BT384" s="1048"/>
      <c r="BU384" s="1048"/>
      <c r="BV384" s="962"/>
      <c r="BW384" s="962"/>
    </row>
    <row s="1621" customFormat="1" customHeight="1" ht="14.25">
      <c r="A385" s="960"/>
      <c r="B385" s="961"/>
      <c r="C385" s="73"/>
      <c r="D385" s="73"/>
      <c r="E385" s="600">
        <v>15</v>
      </c>
      <c r="F385" s="50" cm="1" t="str">
        <f t="array" ref="F385:F385">OFFSET(E385,-1,1)</f>
        <v>2</v>
      </c>
      <c r="G385" s="904">
        <v>5</v>
      </c>
      <c r="H385" s="73"/>
      <c r="I385" s="73" t="s">
        <v>1942</v>
      </c>
      <c r="J385" s="73"/>
      <c r="K385" s="73" t="s">
        <v>1942</v>
      </c>
      <c r="L385" s="963"/>
      <c r="M385" s="73"/>
      <c r="N385" s="73"/>
      <c r="O385" s="73"/>
      <c r="P385" s="73"/>
      <c r="Q385" s="73"/>
      <c r="R385" s="73"/>
      <c r="S385" s="73"/>
      <c r="T385" s="439" cm="1" t="str">
        <f t="array" ref="T385:T385">T384</f>
        <v>true</v>
      </c>
      <c r="U385" s="73"/>
      <c r="V385" s="73"/>
      <c r="W385" s="73"/>
      <c r="X385" s="1534"/>
      <c r="Y385" s="960"/>
      <c r="Z385" s="1465"/>
      <c r="AA385" s="960"/>
      <c r="AB385" s="267" t="s">
        <v>1943</v>
      </c>
      <c r="AC385" s="746" t="s">
        <v>1944</v>
      </c>
      <c r="AD385" s="267" t="s">
        <v>784</v>
      </c>
      <c r="AE385" s="1099">
        <f>_xlfn.SUMIFS(Налоги!AE$25:AE$69,Налоги!$F$25:$F$69,$F385,Налоги!$AB$25:$AB$69,$G385)</f>
        <v>0</v>
      </c>
      <c r="AF385" s="1099">
        <f>_xlfn.SUMIFS(Налоги!AF$25:AF$69,Налоги!$F$25:$F$69,$F385,Налоги!$AB$25:$AB$69,$G385)</f>
        <v>0</v>
      </c>
      <c r="AG385" s="1099">
        <f>_xlfn.SUMIFS(Налоги!AG$25:AG$69,Налоги!$F$25:$F$69,$F385,Налоги!$AB$25:$AB$69,$G385)</f>
        <v>0</v>
      </c>
      <c r="AH385" s="1099">
        <f>AG385-AF385</f>
        <v>0</v>
      </c>
      <c r="AI385" s="1099">
        <f>_xlfn.SUMIFS(Налоги!AH$25:AH$69,Налоги!$F$25:$F$69,$F385,Налоги!$AB$25:$AB$69,$G385)</f>
        <v>0</v>
      </c>
      <c r="AJ385" s="1099">
        <f>_xlfn.SUMIFS(Налоги!AI$25:AI$69,Налоги!$F$25:$F$69,$F385,Налоги!$AB$25:$AB$69,$G385)</f>
        <v>0</v>
      </c>
      <c r="AK385" s="1099">
        <f>_xlfn.SUMIFS(Налоги!AJ$25:AJ$69,Налоги!$F$25:$F$69,$F385,Налоги!$AB$25:$AB$69,$G385)</f>
        <v>0</v>
      </c>
      <c r="AL385" s="1099">
        <f>_xlfn.SUMIFS(Налоги!AK$25:AK$69,Налоги!$F$25:$F$69,$F385,Налоги!$AB$25:$AB$69,$G385)</f>
        <v>0</v>
      </c>
      <c r="AM385" s="1099">
        <f>_xlfn.SUMIFS(Налоги!AL$25:AL$69,Налоги!$F$25:$F$69,$F385,Налоги!$AB$25:$AB$69,$G385)</f>
        <v>0</v>
      </c>
      <c r="AN385" s="1099">
        <f>_xlfn.SUMIFS(Налоги!AM$25:AM$69,Налоги!$F$25:$F$69,$F385,Налоги!$AB$25:$AB$69,$G385)</f>
        <v>0</v>
      </c>
      <c r="AO385" s="1099">
        <f>_xlfn.SUMIFS(Налоги!AN$25:AN$69,Налоги!$F$25:$F$69,$F385,Налоги!$AB$25:$AB$69,$G385)</f>
        <v>0</v>
      </c>
      <c r="AP385" s="1099">
        <f>_xlfn.SUMIFS(Налоги!AO$25:AO$69,Налоги!$F$25:$F$69,$F385,Налоги!$AB$25:$AB$69,$G385)</f>
        <v>0</v>
      </c>
      <c r="AQ385" s="1099">
        <f>_xlfn.SUMIFS(Налоги!AP$25:AP$69,Налоги!$F$25:$F$69,$F385,Налоги!$AB$25:$AB$69,$G385)</f>
        <v>0</v>
      </c>
      <c r="AR385" s="1099">
        <f>_xlfn.SUMIFS(Налоги!AQ$25:AQ$69,Налоги!$F$25:$F$69,$F385,Налоги!$AB$25:$AB$69,$G385)</f>
        <v>0</v>
      </c>
      <c r="AS385" s="1099">
        <f>_xlfn.SUMIFS(Налоги!AR$25:AR$69,Налоги!$F$25:$F$69,$F385,Налоги!$AB$25:$AB$69,$G385)</f>
        <v>0</v>
      </c>
      <c r="AT385" s="1099">
        <f>_xlfn.SUMIFS(Налоги!AS$25:AS$69,Налоги!$F$25:$F$69,$F385,Налоги!$AB$25:$AB$69,$G385)</f>
        <v>0</v>
      </c>
      <c r="AU385" s="1099">
        <f>_xlfn.SUMIFS(Налоги!AT$25:AT$69,Налоги!$F$25:$F$69,$F385,Налоги!$AB$25:$AB$69,$G385)</f>
        <v>0</v>
      </c>
      <c r="AV385" s="1099">
        <f>_xlfn.SUMIFS(Налоги!AU$25:AU$69,Налоги!$F$25:$F$69,$F385,Налоги!$AB$25:$AB$69,$G385)</f>
        <v>0</v>
      </c>
      <c r="AW385" s="1099">
        <f>_xlfn.SUMIFS(Налоги!AV$25:AV$69,Налоги!$F$25:$F$69,$F385,Налоги!$AB$25:$AB$69,$G385)</f>
        <v>0</v>
      </c>
      <c r="AX385" s="1099">
        <f>_xlfn.SUMIFS(Налоги!AW$25:AW$69,Налоги!$F$25:$F$69,$F385,Налоги!$AB$25:$AB$69,$G385)</f>
        <v>0</v>
      </c>
      <c r="AY385" s="1099">
        <f>_xlfn.SUMIFS(Налоги!AX$25:AX$69,Налоги!$F$25:$F$69,$F385,Налоги!$AB$25:$AB$69,$G385)</f>
        <v>0</v>
      </c>
      <c r="AZ385" s="1099">
        <f>_xlfn.SUMIFS(Налоги!AY$25:AY$69,Налоги!$F$25:$F$69,$F385,Налоги!$AB$25:$AB$69,$G385)</f>
        <v>0</v>
      </c>
      <c r="BA385" s="1099">
        <f>_xlfn.SUMIFS(Налоги!AZ$25:AZ$69,Налоги!$F$25:$F$69,$F385,Налоги!$AB$25:$AB$69,$G385)</f>
        <v>0</v>
      </c>
      <c r="BB385" s="1099">
        <f>_xlfn.SUMIFS(Налоги!BA$25:BA$69,Налоги!$F$25:$F$69,$F385,Налоги!$AB$25:$AB$69,$G385)</f>
        <v>0</v>
      </c>
      <c r="BC385" s="1099">
        <f>_xlfn.SUMIFS(Налоги!BB$25:BB$69,Налоги!$F$25:$F$69,$F385,Налоги!$AB$25:$AB$69,$G385)</f>
        <v>0</v>
      </c>
      <c r="BD385" s="1099">
        <f>IF(AI385=0,0,(AT385-AI385)/AI385*100)</f>
        <v>0</v>
      </c>
      <c r="BE385" s="1099">
        <f>IF(AT385=0,0,(AU385-AT385)/AT385*100)</f>
        <v>0</v>
      </c>
      <c r="BF385" s="1099">
        <f>IF(AU385=0,0,(AV385-AU385)/AU385*100)</f>
        <v>0</v>
      </c>
      <c r="BG385" s="1099">
        <f>IF(AV385=0,0,(AW385-AV385)/AV385*100)</f>
        <v>0</v>
      </c>
      <c r="BH385" s="1099">
        <f>IF(AW385=0,0,(AX385-AW385)/AW385*100)</f>
        <v>0</v>
      </c>
      <c r="BI385" s="1099">
        <f>IF(AX385=0,0,(AY385-AX385)/AX385*100)</f>
        <v>0</v>
      </c>
      <c r="BJ385" s="1099">
        <f>IF(AY385=0,0,(AZ385-AY385)/AY385*100)</f>
        <v>0</v>
      </c>
      <c r="BK385" s="1099">
        <f>IF(AZ385=0,0,(BA385-AZ385)/AZ385*100)</f>
        <v>0</v>
      </c>
      <c r="BL385" s="1099">
        <f>IF(BA385=0,0,(BB385-BA385)/BA385*100)</f>
        <v>0</v>
      </c>
      <c r="BM385" s="1099">
        <f>IF(BB385=0,0,(BC385-BB385)/BB385*100)</f>
        <v>0</v>
      </c>
      <c r="BN385" s="4617"/>
      <c r="BO385" s="4619" t="str">
        <f>IF(_xlfn.IFERROR(INDEX(Налоги!$K$26:$L$69,MATCH($F385&amp;"5komm",Налоги!$K$26:$K$69,0),2),"")=0,"",_xlfn.IFERROR(INDEX(Налоги!$K$26:$L$69,MATCH($F385&amp;"5komm",Налоги!$K$26:$K$69,0),2),""))</f>
        <v/>
      </c>
      <c r="BP385" s="4617"/>
      <c r="BQ385" s="960"/>
      <c r="BR385" s="960"/>
      <c r="BS385" s="1048" t="s">
        <v>1945</v>
      </c>
      <c r="BT385" s="1048"/>
      <c r="BU385" s="1048"/>
      <c r="BV385" s="962"/>
      <c r="BW385" s="962"/>
    </row>
    <row s="1621" customFormat="1" customHeight="1" ht="14.25">
      <c r="A386" s="960"/>
      <c r="B386" s="961"/>
      <c r="C386" s="73"/>
      <c r="D386" s="73"/>
      <c r="E386" s="600">
        <v>15</v>
      </c>
      <c r="F386" s="50" cm="1" t="str">
        <f t="array" ref="F386:F386">OFFSET(E386,-1,1)</f>
        <v>2</v>
      </c>
      <c r="G386" s="904">
        <v>1</v>
      </c>
      <c r="H386" s="73"/>
      <c r="I386" s="73" t="s">
        <v>1946</v>
      </c>
      <c r="J386" s="73"/>
      <c r="K386" s="73" t="s">
        <v>1946</v>
      </c>
      <c r="L386" s="963"/>
      <c r="M386" s="73"/>
      <c r="N386" s="73"/>
      <c r="O386" s="73"/>
      <c r="P386" s="73"/>
      <c r="Q386" s="73"/>
      <c r="R386" s="73"/>
      <c r="S386" s="73"/>
      <c r="T386" s="439" cm="1" t="str">
        <f t="array" ref="T386:T386">T385</f>
        <v>true</v>
      </c>
      <c r="U386" s="73"/>
      <c r="V386" s="73"/>
      <c r="W386" s="73"/>
      <c r="X386" s="1534"/>
      <c r="Y386" s="960"/>
      <c r="Z386" s="1465"/>
      <c r="AA386" s="960"/>
      <c r="AB386" s="267" t="s">
        <v>1947</v>
      </c>
      <c r="AC386" s="746" t="s">
        <v>1948</v>
      </c>
      <c r="AD386" s="267" t="s">
        <v>784</v>
      </c>
      <c r="AE386" s="1099">
        <f>_xlfn.SUMIFS(Налоги!AE$25:AE$69,Налоги!$F$25:$F$69,$F386,Налоги!$AB$25:$AB$69,$G386)</f>
        <v>0</v>
      </c>
      <c r="AF386" s="1099">
        <f>_xlfn.SUMIFS(Налоги!AF$25:AF$69,Налоги!$F$25:$F$69,$F386,Налоги!$AB$25:$AB$69,$G386)</f>
        <v>0</v>
      </c>
      <c r="AG386" s="1099">
        <f>_xlfn.SUMIFS(Налоги!AG$25:AG$69,Налоги!$F$25:$F$69,$F386,Налоги!$AB$25:$AB$69,$G386)</f>
        <v>0</v>
      </c>
      <c r="AH386" s="1099">
        <f>AG386-AF386</f>
        <v>0</v>
      </c>
      <c r="AI386" s="1099">
        <f>_xlfn.SUMIFS(Налоги!AH$25:AH$69,Налоги!$F$25:$F$69,$F386,Налоги!$AB$25:$AB$69,$G386)</f>
        <v>0</v>
      </c>
      <c r="AJ386" s="1099">
        <f>_xlfn.SUMIFS(Налоги!AI$25:AI$69,Налоги!$F$25:$F$69,$F386,Налоги!$AB$25:$AB$69,$G386)</f>
        <v>0</v>
      </c>
      <c r="AK386" s="1099">
        <f>_xlfn.SUMIFS(Налоги!AJ$25:AJ$69,Налоги!$F$25:$F$69,$F386,Налоги!$AB$25:$AB$69,$G386)</f>
        <v>0</v>
      </c>
      <c r="AL386" s="1099">
        <f>_xlfn.SUMIFS(Налоги!AK$25:AK$69,Налоги!$F$25:$F$69,$F386,Налоги!$AB$25:$AB$69,$G386)</f>
        <v>0</v>
      </c>
      <c r="AM386" s="1099">
        <f>_xlfn.SUMIFS(Налоги!AL$25:AL$69,Налоги!$F$25:$F$69,$F386,Налоги!$AB$25:$AB$69,$G386)</f>
        <v>0</v>
      </c>
      <c r="AN386" s="1099">
        <f>_xlfn.SUMIFS(Налоги!AM$25:AM$69,Налоги!$F$25:$F$69,$F386,Налоги!$AB$25:$AB$69,$G386)</f>
        <v>0</v>
      </c>
      <c r="AO386" s="1099">
        <f>_xlfn.SUMIFS(Налоги!AN$25:AN$69,Налоги!$F$25:$F$69,$F386,Налоги!$AB$25:$AB$69,$G386)</f>
        <v>0</v>
      </c>
      <c r="AP386" s="1099">
        <f>_xlfn.SUMIFS(Налоги!AO$25:AO$69,Налоги!$F$25:$F$69,$F386,Налоги!$AB$25:$AB$69,$G386)</f>
        <v>0</v>
      </c>
      <c r="AQ386" s="1099">
        <f>_xlfn.SUMIFS(Налоги!AP$25:AP$69,Налоги!$F$25:$F$69,$F386,Налоги!$AB$25:$AB$69,$G386)</f>
        <v>0</v>
      </c>
      <c r="AR386" s="1099">
        <f>_xlfn.SUMIFS(Налоги!AQ$25:AQ$69,Налоги!$F$25:$F$69,$F386,Налоги!$AB$25:$AB$69,$G386)</f>
        <v>0</v>
      </c>
      <c r="AS386" s="1099">
        <f>_xlfn.SUMIFS(Налоги!AR$25:AR$69,Налоги!$F$25:$F$69,$F386,Налоги!$AB$25:$AB$69,$G386)</f>
        <v>0</v>
      </c>
      <c r="AT386" s="1099">
        <f>_xlfn.SUMIFS(Налоги!AS$25:AS$69,Налоги!$F$25:$F$69,$F386,Налоги!$AB$25:$AB$69,$G386)</f>
        <v>0</v>
      </c>
      <c r="AU386" s="1099">
        <f>_xlfn.SUMIFS(Налоги!AT$25:AT$69,Налоги!$F$25:$F$69,$F386,Налоги!$AB$25:$AB$69,$G386)</f>
        <v>0</v>
      </c>
      <c r="AV386" s="1099">
        <f>_xlfn.SUMIFS(Налоги!AU$25:AU$69,Налоги!$F$25:$F$69,$F386,Налоги!$AB$25:$AB$69,$G386)</f>
        <v>0</v>
      </c>
      <c r="AW386" s="1099">
        <f>_xlfn.SUMIFS(Налоги!AV$25:AV$69,Налоги!$F$25:$F$69,$F386,Налоги!$AB$25:$AB$69,$G386)</f>
        <v>0</v>
      </c>
      <c r="AX386" s="1099">
        <f>_xlfn.SUMIFS(Налоги!AW$25:AW$69,Налоги!$F$25:$F$69,$F386,Налоги!$AB$25:$AB$69,$G386)</f>
        <v>0</v>
      </c>
      <c r="AY386" s="1099">
        <f>_xlfn.SUMIFS(Налоги!AX$25:AX$69,Налоги!$F$25:$F$69,$F386,Налоги!$AB$25:$AB$69,$G386)</f>
        <v>0</v>
      </c>
      <c r="AZ386" s="1099">
        <f>_xlfn.SUMIFS(Налоги!AY$25:AY$69,Налоги!$F$25:$F$69,$F386,Налоги!$AB$25:$AB$69,$G386)</f>
        <v>0</v>
      </c>
      <c r="BA386" s="1099">
        <f>_xlfn.SUMIFS(Налоги!AZ$25:AZ$69,Налоги!$F$25:$F$69,$F386,Налоги!$AB$25:$AB$69,$G386)</f>
        <v>0</v>
      </c>
      <c r="BB386" s="1099">
        <f>_xlfn.SUMIFS(Налоги!BA$25:BA$69,Налоги!$F$25:$F$69,$F386,Налоги!$AB$25:$AB$69,$G386)</f>
        <v>0</v>
      </c>
      <c r="BC386" s="1099">
        <f>_xlfn.SUMIFS(Налоги!BB$25:BB$69,Налоги!$F$25:$F$69,$F386,Налоги!$AB$25:$AB$69,$G386)</f>
        <v>0</v>
      </c>
      <c r="BD386" s="1099">
        <f>IF(AI386=0,0,(AT386-AI386)/AI386*100)</f>
        <v>0</v>
      </c>
      <c r="BE386" s="1099">
        <f>IF(AT386=0,0,(AU386-AT386)/AT386*100)</f>
        <v>0</v>
      </c>
      <c r="BF386" s="1099">
        <f>IF(AU386=0,0,(AV386-AU386)/AU386*100)</f>
        <v>0</v>
      </c>
      <c r="BG386" s="1099">
        <f>IF(AV386=0,0,(AW386-AV386)/AV386*100)</f>
        <v>0</v>
      </c>
      <c r="BH386" s="1099">
        <f>IF(AW386=0,0,(AX386-AW386)/AW386*100)</f>
        <v>0</v>
      </c>
      <c r="BI386" s="1099">
        <f>IF(AX386=0,0,(AY386-AX386)/AX386*100)</f>
        <v>0</v>
      </c>
      <c r="BJ386" s="1099">
        <f>IF(AY386=0,0,(AZ386-AY386)/AY386*100)</f>
        <v>0</v>
      </c>
      <c r="BK386" s="1099">
        <f>IF(AZ386=0,0,(BA386-AZ386)/AZ386*100)</f>
        <v>0</v>
      </c>
      <c r="BL386" s="1099">
        <f>IF(BA386=0,0,(BB386-BA386)/BA386*100)</f>
        <v>0</v>
      </c>
      <c r="BM386" s="1099">
        <f>IF(BB386=0,0,(BC386-BB386)/BB386*100)</f>
        <v>0</v>
      </c>
      <c r="BN386" s="4617"/>
      <c r="BO386" s="4619" t="str">
        <f>IF(_xlfn.IFERROR(INDEX(Налоги!$K$26:$L$69,MATCH($F386&amp;"1komm",Налоги!$K$26:$K$69,0),2),"")=0,"",_xlfn.IFERROR(INDEX(Налоги!$K$26:$L$69,MATCH($F386&amp;"1komm",Налоги!$K$26:$K$69,0),2),""))</f>
        <v/>
      </c>
      <c r="BP386" s="4617"/>
      <c r="BQ386" s="960"/>
      <c r="BR386" s="960"/>
      <c r="BS386" s="1048" t="s">
        <v>1949</v>
      </c>
      <c r="BT386" s="1048"/>
      <c r="BU386" s="1048"/>
      <c r="BV386" s="962"/>
      <c r="BW386" s="962"/>
    </row>
    <row s="1621" customFormat="1" customHeight="1" ht="14.25">
      <c r="A387" s="960"/>
      <c r="B387" s="961"/>
      <c r="C387" s="73"/>
      <c r="D387" s="73"/>
      <c r="E387" s="600">
        <v>15</v>
      </c>
      <c r="F387" s="50" cm="1" t="str">
        <f t="array" ref="F387:F387">OFFSET(E387,-1,1)</f>
        <v>2</v>
      </c>
      <c r="G387" s="904">
        <v>3</v>
      </c>
      <c r="H387" s="73"/>
      <c r="I387" s="73" t="s">
        <v>1950</v>
      </c>
      <c r="J387" s="73"/>
      <c r="K387" s="73" t="s">
        <v>1950</v>
      </c>
      <c r="L387" s="963"/>
      <c r="M387" s="73"/>
      <c r="N387" s="73"/>
      <c r="O387" s="73"/>
      <c r="P387" s="73"/>
      <c r="Q387" s="73"/>
      <c r="R387" s="73"/>
      <c r="S387" s="73"/>
      <c r="T387" s="439" cm="1" t="str">
        <f t="array" ref="T387:T387">T386</f>
        <v>true</v>
      </c>
      <c r="U387" s="73"/>
      <c r="V387" s="73"/>
      <c r="W387" s="73"/>
      <c r="X387" s="1534"/>
      <c r="Y387" s="960"/>
      <c r="Z387" s="1465"/>
      <c r="AA387" s="960"/>
      <c r="AB387" s="267" t="s">
        <v>1951</v>
      </c>
      <c r="AC387" s="746" t="s">
        <v>1952</v>
      </c>
      <c r="AD387" s="267" t="s">
        <v>784</v>
      </c>
      <c r="AE387" s="1099">
        <f>_xlfn.SUMIFS(Налоги!AE$25:AE$69,Налоги!$F$25:$F$69,$F387,Налоги!$AB$25:$AB$69,$G387)</f>
        <v>0.26489</v>
      </c>
      <c r="AF387" s="1099">
        <f>_xlfn.SUMIFS(Налоги!AF$25:AF$69,Налоги!$F$25:$F$69,$F387,Налоги!$AB$25:$AB$69,$G387)</f>
        <v>0.37351</v>
      </c>
      <c r="AG387" s="1099">
        <f>_xlfn.SUMIFS(Налоги!AG$25:AG$69,Налоги!$F$25:$F$69,$F387,Налоги!$AB$25:$AB$69,$G387)</f>
        <v>0</v>
      </c>
      <c r="AH387" s="1099">
        <f>AG387-AF387</f>
        <v>-0.37351</v>
      </c>
      <c r="AI387" s="1099">
        <f>_xlfn.SUMIFS(Налоги!AH$25:AH$69,Налоги!$F$25:$F$69,$F387,Налоги!$AB$25:$AB$69,$G387)</f>
        <v>0.39641</v>
      </c>
      <c r="AJ387" s="1099">
        <f>_xlfn.SUMIFS(Налоги!AI$25:AI$69,Налоги!$F$25:$F$69,$F387,Налоги!$AB$25:$AB$69,$G387)</f>
        <v>0.6445412634</v>
      </c>
      <c r="AK387" s="1099">
        <f>_xlfn.SUMIFS(Налоги!AJ$25:AJ$69,Налоги!$F$25:$F$69,$F387,Налоги!$AB$25:$AB$69,$G387)</f>
        <v>0</v>
      </c>
      <c r="AL387" s="1099">
        <f>_xlfn.SUMIFS(Налоги!AK$25:AK$69,Налоги!$F$25:$F$69,$F387,Налоги!$AB$25:$AB$69,$G387)</f>
        <v>0</v>
      </c>
      <c r="AM387" s="1099">
        <f>_xlfn.SUMIFS(Налоги!AL$25:AL$69,Налоги!$F$25:$F$69,$F387,Налоги!$AB$25:$AB$69,$G387)</f>
        <v>0</v>
      </c>
      <c r="AN387" s="1099">
        <f>_xlfn.SUMIFS(Налоги!AM$25:AM$69,Налоги!$F$25:$F$69,$F387,Налоги!$AB$25:$AB$69,$G387)</f>
        <v>0</v>
      </c>
      <c r="AO387" s="1099">
        <f>_xlfn.SUMIFS(Налоги!AN$25:AN$69,Налоги!$F$25:$F$69,$F387,Налоги!$AB$25:$AB$69,$G387)</f>
        <v>0</v>
      </c>
      <c r="AP387" s="1099">
        <f>_xlfn.SUMIFS(Налоги!AO$25:AO$69,Налоги!$F$25:$F$69,$F387,Налоги!$AB$25:$AB$69,$G387)</f>
        <v>0</v>
      </c>
      <c r="AQ387" s="1099">
        <f>_xlfn.SUMIFS(Налоги!AP$25:AP$69,Налоги!$F$25:$F$69,$F387,Налоги!$AB$25:$AB$69,$G387)</f>
        <v>0</v>
      </c>
      <c r="AR387" s="1099">
        <f>_xlfn.SUMIFS(Налоги!AQ$25:AQ$69,Налоги!$F$25:$F$69,$F387,Налоги!$AB$25:$AB$69,$G387)</f>
        <v>0</v>
      </c>
      <c r="AS387" s="1099">
        <f>_xlfn.SUMIFS(Налоги!AR$25:AR$69,Налоги!$F$25:$F$69,$F387,Налоги!$AB$25:$AB$69,$G387)</f>
        <v>0</v>
      </c>
      <c r="AT387" s="1099">
        <f>_xlfn.SUMIFS(Налоги!AS$25:AS$69,Налоги!$F$25:$F$69,$F387,Налоги!$AB$25:$AB$69,$G387)</f>
        <v>0.37351</v>
      </c>
      <c r="AU387" s="1099">
        <f>_xlfn.SUMIFS(Налоги!AT$25:AT$69,Налоги!$F$25:$F$69,$F387,Налоги!$AB$25:$AB$69,$G387)</f>
        <v>0</v>
      </c>
      <c r="AV387" s="1099">
        <f>_xlfn.SUMIFS(Налоги!AU$25:AU$69,Налоги!$F$25:$F$69,$F387,Налоги!$AB$25:$AB$69,$G387)</f>
        <v>0</v>
      </c>
      <c r="AW387" s="1099">
        <f>_xlfn.SUMIFS(Налоги!AV$25:AV$69,Налоги!$F$25:$F$69,$F387,Налоги!$AB$25:$AB$69,$G387)</f>
        <v>0</v>
      </c>
      <c r="AX387" s="1099">
        <f>_xlfn.SUMIFS(Налоги!AW$25:AW$69,Налоги!$F$25:$F$69,$F387,Налоги!$AB$25:$AB$69,$G387)</f>
        <v>0</v>
      </c>
      <c r="AY387" s="1099">
        <f>_xlfn.SUMIFS(Налоги!AX$25:AX$69,Налоги!$F$25:$F$69,$F387,Налоги!$AB$25:$AB$69,$G387)</f>
        <v>0</v>
      </c>
      <c r="AZ387" s="1099">
        <f>_xlfn.SUMIFS(Налоги!AY$25:AY$69,Налоги!$F$25:$F$69,$F387,Налоги!$AB$25:$AB$69,$G387)</f>
        <v>0</v>
      </c>
      <c r="BA387" s="1099">
        <f>_xlfn.SUMIFS(Налоги!AZ$25:AZ$69,Налоги!$F$25:$F$69,$F387,Налоги!$AB$25:$AB$69,$G387)</f>
        <v>0</v>
      </c>
      <c r="BB387" s="1099">
        <f>_xlfn.SUMIFS(Налоги!BA$25:BA$69,Налоги!$F$25:$F$69,$F387,Налоги!$AB$25:$AB$69,$G387)</f>
        <v>0</v>
      </c>
      <c r="BC387" s="1099">
        <f>_xlfn.SUMIFS(Налоги!BB$25:BB$69,Налоги!$F$25:$F$69,$F387,Налоги!$AB$25:$AB$69,$G387)</f>
        <v>0</v>
      </c>
      <c r="BD387" s="1099">
        <f>IF(AI387=0,0,(AT387-AI387)/AI387*100)</f>
        <v>-5.77684720365278</v>
      </c>
      <c r="BE387" s="1099">
        <f>IF(AT387=0,0,(AU387-AT387)/AT387*100)</f>
        <v>-100</v>
      </c>
      <c r="BF387" s="1099">
        <f>IF(AU387=0,0,(AV387-AU387)/AU387*100)</f>
        <v>0</v>
      </c>
      <c r="BG387" s="1099">
        <f>IF(AV387=0,0,(AW387-AV387)/AV387*100)</f>
        <v>0</v>
      </c>
      <c r="BH387" s="1099">
        <f>IF(AW387=0,0,(AX387-AW387)/AW387*100)</f>
        <v>0</v>
      </c>
      <c r="BI387" s="1099">
        <f>IF(AX387=0,0,(AY387-AX387)/AX387*100)</f>
        <v>0</v>
      </c>
      <c r="BJ387" s="1099">
        <f>IF(AY387=0,0,(AZ387-AY387)/AY387*100)</f>
        <v>0</v>
      </c>
      <c r="BK387" s="1099">
        <f>IF(AZ387=0,0,(BA387-AZ387)/AZ387*100)</f>
        <v>0</v>
      </c>
      <c r="BL387" s="1099">
        <f>IF(BA387=0,0,(BB387-BA387)/BA387*100)</f>
        <v>0</v>
      </c>
      <c r="BM387" s="1099">
        <f>IF(BB387=0,0,(BC387-BB387)/BB387*100)</f>
        <v>0</v>
      </c>
      <c r="BN387" s="4617"/>
      <c r="BO387" s="4619" t="str">
        <f>IF(_xlfn.IFERROR(INDEX(Налоги!$K$26:$L$69,MATCH($F387&amp;"5komm",Налоги!$K$26:$K$69,0),2),"")=0,"",_xlfn.IFERROR(INDEX(Налоги!$K$26:$L$69,MATCH($F387&amp;"5komm",Налоги!$K$26:$K$69,0),2),""))</f>
        <v/>
      </c>
      <c r="BP387" s="4617"/>
      <c r="BQ387" s="960"/>
      <c r="BR387" s="960"/>
      <c r="BS387" s="1048" t="s">
        <v>1953</v>
      </c>
      <c r="BT387" s="1048"/>
      <c r="BU387" s="1048"/>
      <c r="BV387" s="962"/>
      <c r="BW387" s="962"/>
    </row>
    <row s="1621" customFormat="1" customHeight="1" ht="14.25">
      <c r="A388" s="960"/>
      <c r="B388" s="961"/>
      <c r="C388" s="73"/>
      <c r="D388" s="73"/>
      <c r="E388" s="600">
        <v>15</v>
      </c>
      <c r="F388" s="50" cm="1" t="str">
        <f t="array" ref="F388:F388">OFFSET(E388,-1,1)</f>
        <v>2</v>
      </c>
      <c r="G388" s="904">
        <v>8</v>
      </c>
      <c r="H388" s="73"/>
      <c r="I388" s="73" t="s">
        <v>1954</v>
      </c>
      <c r="J388" s="73"/>
      <c r="K388" s="73" t="s">
        <v>1954</v>
      </c>
      <c r="L388" s="963"/>
      <c r="M388" s="73"/>
      <c r="N388" s="73"/>
      <c r="O388" s="73"/>
      <c r="P388" s="73"/>
      <c r="Q388" s="73"/>
      <c r="R388" s="73"/>
      <c r="S388" s="73"/>
      <c r="T388" s="439" cm="1" t="str">
        <f t="array" ref="T388:T388">T387</f>
        <v>true</v>
      </c>
      <c r="U388" s="73"/>
      <c r="V388" s="73"/>
      <c r="W388" s="73"/>
      <c r="X388" s="1534"/>
      <c r="Y388" s="960"/>
      <c r="Z388" s="1465"/>
      <c r="AA388" s="960"/>
      <c r="AB388" s="267" t="s">
        <v>1955</v>
      </c>
      <c r="AC388" s="746" t="s">
        <v>1956</v>
      </c>
      <c r="AD388" s="267" t="s">
        <v>784</v>
      </c>
      <c r="AE388" s="1099">
        <f>_xlfn.SUMIFS(Налоги!AE$25:AE$69,Налоги!$F$25:$F$69,$F388,Налоги!$AB$25:$AB$69,$G388)</f>
        <v>0</v>
      </c>
      <c r="AF388" s="1099">
        <f>_xlfn.SUMIFS(Налоги!AF$25:AF$69,Налоги!$F$25:$F$69,$F388,Налоги!$AB$25:$AB$69,$G388)</f>
        <v>0</v>
      </c>
      <c r="AG388" s="1099">
        <f>_xlfn.SUMIFS(Налоги!AG$25:AG$69,Налоги!$F$25:$F$69,$F388,Налоги!$AB$25:$AB$69,$G388)</f>
        <v>0</v>
      </c>
      <c r="AH388" s="1099">
        <f>AG388-AF388</f>
        <v>0</v>
      </c>
      <c r="AI388" s="1099">
        <f>_xlfn.SUMIFS(Налоги!AH$25:AH$69,Налоги!$F$25:$F$69,$F388,Налоги!$AB$25:$AB$69,$G388)</f>
        <v>0</v>
      </c>
      <c r="AJ388" s="1099">
        <f>_xlfn.SUMIFS(Налоги!AI$25:AI$69,Налоги!$F$25:$F$69,$F388,Налоги!$AB$25:$AB$69,$G388)</f>
        <v>0</v>
      </c>
      <c r="AK388" s="1099">
        <f>_xlfn.SUMIFS(Налоги!AJ$25:AJ$69,Налоги!$F$25:$F$69,$F388,Налоги!$AB$25:$AB$69,$G388)</f>
        <v>0</v>
      </c>
      <c r="AL388" s="1099">
        <f>_xlfn.SUMIFS(Налоги!AK$25:AK$69,Налоги!$F$25:$F$69,$F388,Налоги!$AB$25:$AB$69,$G388)</f>
        <v>0</v>
      </c>
      <c r="AM388" s="1099">
        <f>_xlfn.SUMIFS(Налоги!AL$25:AL$69,Налоги!$F$25:$F$69,$F388,Налоги!$AB$25:$AB$69,$G388)</f>
        <v>0</v>
      </c>
      <c r="AN388" s="1099">
        <f>_xlfn.SUMIFS(Налоги!AM$25:AM$69,Налоги!$F$25:$F$69,$F388,Налоги!$AB$25:$AB$69,$G388)</f>
        <v>0</v>
      </c>
      <c r="AO388" s="1099">
        <f>_xlfn.SUMIFS(Налоги!AN$25:AN$69,Налоги!$F$25:$F$69,$F388,Налоги!$AB$25:$AB$69,$G388)</f>
        <v>0</v>
      </c>
      <c r="AP388" s="1099">
        <f>_xlfn.SUMIFS(Налоги!AO$25:AO$69,Налоги!$F$25:$F$69,$F388,Налоги!$AB$25:$AB$69,$G388)</f>
        <v>0</v>
      </c>
      <c r="AQ388" s="1099">
        <f>_xlfn.SUMIFS(Налоги!AP$25:AP$69,Налоги!$F$25:$F$69,$F388,Налоги!$AB$25:$AB$69,$G388)</f>
        <v>0</v>
      </c>
      <c r="AR388" s="1099">
        <f>_xlfn.SUMIFS(Налоги!AQ$25:AQ$69,Налоги!$F$25:$F$69,$F388,Налоги!$AB$25:$AB$69,$G388)</f>
        <v>0</v>
      </c>
      <c r="AS388" s="1099">
        <f>_xlfn.SUMIFS(Налоги!AR$25:AR$69,Налоги!$F$25:$F$69,$F388,Налоги!$AB$25:$AB$69,$G388)</f>
        <v>0</v>
      </c>
      <c r="AT388" s="1099">
        <f>_xlfn.SUMIFS(Налоги!AS$25:AS$69,Налоги!$F$25:$F$69,$F388,Налоги!$AB$25:$AB$69,$G388)</f>
        <v>0</v>
      </c>
      <c r="AU388" s="1099">
        <f>_xlfn.SUMIFS(Налоги!AT$25:AT$69,Налоги!$F$25:$F$69,$F388,Налоги!$AB$25:$AB$69,$G388)</f>
        <v>0</v>
      </c>
      <c r="AV388" s="1099">
        <f>_xlfn.SUMIFS(Налоги!AU$25:AU$69,Налоги!$F$25:$F$69,$F388,Налоги!$AB$25:$AB$69,$G388)</f>
        <v>0</v>
      </c>
      <c r="AW388" s="1099">
        <f>_xlfn.SUMIFS(Налоги!AV$25:AV$69,Налоги!$F$25:$F$69,$F388,Налоги!$AB$25:$AB$69,$G388)</f>
        <v>0</v>
      </c>
      <c r="AX388" s="1099">
        <f>_xlfn.SUMIFS(Налоги!AW$25:AW$69,Налоги!$F$25:$F$69,$F388,Налоги!$AB$25:$AB$69,$G388)</f>
        <v>0</v>
      </c>
      <c r="AY388" s="1099">
        <f>_xlfn.SUMIFS(Налоги!AX$25:AX$69,Налоги!$F$25:$F$69,$F388,Налоги!$AB$25:$AB$69,$G388)</f>
        <v>0</v>
      </c>
      <c r="AZ388" s="1099">
        <f>_xlfn.SUMIFS(Налоги!AY$25:AY$69,Налоги!$F$25:$F$69,$F388,Налоги!$AB$25:$AB$69,$G388)</f>
        <v>0</v>
      </c>
      <c r="BA388" s="1099">
        <f>_xlfn.SUMIFS(Налоги!AZ$25:AZ$69,Налоги!$F$25:$F$69,$F388,Налоги!$AB$25:$AB$69,$G388)</f>
        <v>0</v>
      </c>
      <c r="BB388" s="1099">
        <f>_xlfn.SUMIFS(Налоги!BA$25:BA$69,Налоги!$F$25:$F$69,$F388,Налоги!$AB$25:$AB$69,$G388)</f>
        <v>0</v>
      </c>
      <c r="BC388" s="1099">
        <f>_xlfn.SUMIFS(Налоги!BB$25:BB$69,Налоги!$F$25:$F$69,$F388,Налоги!$AB$25:$AB$69,$G388)</f>
        <v>0</v>
      </c>
      <c r="BD388" s="1099">
        <f>IF(AI388=0,0,(AT388-AI388)/AI388*100)</f>
        <v>0</v>
      </c>
      <c r="BE388" s="1099">
        <f>IF(AT388=0,0,(AU388-AT388)/AT388*100)</f>
        <v>0</v>
      </c>
      <c r="BF388" s="1099">
        <f>IF(AU388=0,0,(AV388-AU388)/AU388*100)</f>
        <v>0</v>
      </c>
      <c r="BG388" s="1099">
        <f>IF(AV388=0,0,(AW388-AV388)/AV388*100)</f>
        <v>0</v>
      </c>
      <c r="BH388" s="1099">
        <f>IF(AW388=0,0,(AX388-AW388)/AW388*100)</f>
        <v>0</v>
      </c>
      <c r="BI388" s="1099">
        <f>IF(AX388=0,0,(AY388-AX388)/AX388*100)</f>
        <v>0</v>
      </c>
      <c r="BJ388" s="1099">
        <f>IF(AY388=0,0,(AZ388-AY388)/AY388*100)</f>
        <v>0</v>
      </c>
      <c r="BK388" s="1099">
        <f>IF(AZ388=0,0,(BA388-AZ388)/AZ388*100)</f>
        <v>0</v>
      </c>
      <c r="BL388" s="1099">
        <f>IF(BA388=0,0,(BB388-BA388)/BA388*100)</f>
        <v>0</v>
      </c>
      <c r="BM388" s="1099">
        <f>IF(BB388=0,0,(BC388-BB388)/BB388*100)</f>
        <v>0</v>
      </c>
      <c r="BN388" s="4617"/>
      <c r="BO388" s="4619" t="str">
        <f>IF(_xlfn.IFERROR(INDEX(Налоги!$K$26:$L$69,MATCH($F388&amp;"8komm",Налоги!$K$26:$K$69,0),2),"")=0,"",_xlfn.IFERROR(INDEX(Налоги!$K$26:$L$69,MATCH($F388&amp;"8komm",Налоги!$K$26:$K$69,0),2),""))</f>
        <v/>
      </c>
      <c r="BP388" s="4617"/>
      <c r="BQ388" s="960"/>
      <c r="BR388" s="960"/>
      <c r="BS388" s="1048" t="s">
        <v>1169</v>
      </c>
      <c r="BT388" s="1048"/>
      <c r="BU388" s="1048"/>
      <c r="BV388" s="962"/>
      <c r="BW388" s="962"/>
    </row>
    <row s="1260" customFormat="1" customHeight="1" ht="14.25">
      <c r="A389" s="1260"/>
      <c r="B389" s="734"/>
      <c r="C389" s="73"/>
      <c r="D389" s="73"/>
      <c r="E389" s="600">
        <v>15</v>
      </c>
      <c r="F389" s="50" cm="1" t="str">
        <f t="array" ref="F389:F389">OFFSET(E389,-1,1)</f>
        <v>2</v>
      </c>
      <c r="G389" s="904">
        <v>9</v>
      </c>
      <c r="H389" s="73"/>
      <c r="I389" s="73"/>
      <c r="J389" s="73"/>
      <c r="K389" s="73"/>
      <c r="L389" s="963"/>
      <c r="M389" s="73"/>
      <c r="N389" s="73"/>
      <c r="O389" s="73"/>
      <c r="P389" s="73"/>
      <c r="Q389" s="73"/>
      <c r="R389" s="73"/>
      <c r="S389" s="73"/>
      <c r="T389" s="439" cm="1" t="str">
        <f t="array" ref="T389:T389">T388</f>
        <v>true</v>
      </c>
      <c r="U389" s="73"/>
      <c r="V389" s="73"/>
      <c r="W389" s="73"/>
      <c r="X389" s="1534"/>
      <c r="Y389" s="1260"/>
      <c r="Z389" s="1465"/>
      <c r="AA389" s="1260"/>
      <c r="AB389" s="267" t="s">
        <v>1957</v>
      </c>
      <c r="AC389" s="761" t="s">
        <v>1958</v>
      </c>
      <c r="AD389" s="267" t="s">
        <v>784</v>
      </c>
      <c r="AE389" s="1099">
        <f>_xlfn.SUMIFS(Налоги!AE$25:AE$69,Налоги!$F$25:$F$69,$F389,Налоги!$AB$25:$AB$69,$G389)</f>
        <v>0</v>
      </c>
      <c r="AF389" s="1099">
        <f>_xlfn.SUMIFS(Налоги!AF$25:AF$69,Налоги!$F$25:$F$69,$F389,Налоги!$AB$25:$AB$69,$G389)</f>
        <v>0</v>
      </c>
      <c r="AG389" s="1099">
        <f>_xlfn.SUMIFS(Налоги!AG$25:AG$69,Налоги!$F$25:$F$69,$F389,Налоги!$AB$25:$AB$69,$G389)</f>
        <v>0</v>
      </c>
      <c r="AH389" s="1099">
        <f>AG389-AF389</f>
        <v>0</v>
      </c>
      <c r="AI389" s="1099">
        <f>_xlfn.SUMIFS(Налоги!AH$25:AH$69,Налоги!$F$25:$F$69,$F389,Налоги!$AB$25:$AB$69,$G389)</f>
        <v>0</v>
      </c>
      <c r="AJ389" s="1099">
        <f>_xlfn.SUMIFS(Налоги!AI$25:AI$69,Налоги!$F$25:$F$69,$F389,Налоги!$AB$25:$AB$69,$G389)</f>
        <v>0</v>
      </c>
      <c r="AK389" s="1099">
        <f>_xlfn.SUMIFS(Налоги!AJ$25:AJ$69,Налоги!$F$25:$F$69,$F389,Налоги!$AB$25:$AB$69,$G389)</f>
        <v>0</v>
      </c>
      <c r="AL389" s="1099">
        <f>_xlfn.SUMIFS(Налоги!AK$25:AK$69,Налоги!$F$25:$F$69,$F389,Налоги!$AB$25:$AB$69,$G389)</f>
        <v>0</v>
      </c>
      <c r="AM389" s="1099">
        <f>_xlfn.SUMIFS(Налоги!AL$25:AL$69,Налоги!$F$25:$F$69,$F389,Налоги!$AB$25:$AB$69,$G389)</f>
        <v>0</v>
      </c>
      <c r="AN389" s="1099">
        <f>_xlfn.SUMIFS(Налоги!AM$25:AM$69,Налоги!$F$25:$F$69,$F389,Налоги!$AB$25:$AB$69,$G389)</f>
        <v>0</v>
      </c>
      <c r="AO389" s="1099">
        <f>_xlfn.SUMIFS(Налоги!AN$25:AN$69,Налоги!$F$25:$F$69,$F389,Налоги!$AB$25:$AB$69,$G389)</f>
        <v>0</v>
      </c>
      <c r="AP389" s="1099">
        <f>_xlfn.SUMIFS(Налоги!AO$25:AO$69,Налоги!$F$25:$F$69,$F389,Налоги!$AB$25:$AB$69,$G389)</f>
        <v>0</v>
      </c>
      <c r="AQ389" s="1099">
        <f>_xlfn.SUMIFS(Налоги!AP$25:AP$69,Налоги!$F$25:$F$69,$F389,Налоги!$AB$25:$AB$69,$G389)</f>
        <v>0</v>
      </c>
      <c r="AR389" s="1099">
        <f>_xlfn.SUMIFS(Налоги!AQ$25:AQ$69,Налоги!$F$25:$F$69,$F389,Налоги!$AB$25:$AB$69,$G389)</f>
        <v>0</v>
      </c>
      <c r="AS389" s="1099">
        <f>_xlfn.SUMIFS(Налоги!AR$25:AR$69,Налоги!$F$25:$F$69,$F389,Налоги!$AB$25:$AB$69,$G389)</f>
        <v>0</v>
      </c>
      <c r="AT389" s="1099">
        <f>_xlfn.SUMIFS(Налоги!AS$25:AS$69,Налоги!$F$25:$F$69,$F389,Налоги!$AB$25:$AB$69,$G389)</f>
        <v>0</v>
      </c>
      <c r="AU389" s="1099">
        <f>_xlfn.SUMIFS(Налоги!AT$25:AT$69,Налоги!$F$25:$F$69,$F389,Налоги!$AB$25:$AB$69,$G389)</f>
        <v>0</v>
      </c>
      <c r="AV389" s="1099">
        <f>_xlfn.SUMIFS(Налоги!AU$25:AU$69,Налоги!$F$25:$F$69,$F389,Налоги!$AB$25:$AB$69,$G389)</f>
        <v>0</v>
      </c>
      <c r="AW389" s="1099">
        <f>_xlfn.SUMIFS(Налоги!AV$25:AV$69,Налоги!$F$25:$F$69,$F389,Налоги!$AB$25:$AB$69,$G389)</f>
        <v>0</v>
      </c>
      <c r="AX389" s="1099">
        <f>_xlfn.SUMIFS(Налоги!AW$25:AW$69,Налоги!$F$25:$F$69,$F389,Налоги!$AB$25:$AB$69,$G389)</f>
        <v>0</v>
      </c>
      <c r="AY389" s="1099">
        <f>_xlfn.SUMIFS(Налоги!AX$25:AX$69,Налоги!$F$25:$F$69,$F389,Налоги!$AB$25:$AB$69,$G389)</f>
        <v>0</v>
      </c>
      <c r="AZ389" s="1099">
        <f>_xlfn.SUMIFS(Налоги!AY$25:AY$69,Налоги!$F$25:$F$69,$F389,Налоги!$AB$25:$AB$69,$G389)</f>
        <v>0</v>
      </c>
      <c r="BA389" s="1099">
        <f>_xlfn.SUMIFS(Налоги!AZ$25:AZ$69,Налоги!$F$25:$F$69,$F389,Налоги!$AB$25:$AB$69,$G389)</f>
        <v>0</v>
      </c>
      <c r="BB389" s="1099">
        <f>_xlfn.SUMIFS(Налоги!BA$25:BA$69,Налоги!$F$25:$F$69,$F389,Налоги!$AB$25:$AB$69,$G389)</f>
        <v>0</v>
      </c>
      <c r="BC389" s="1099">
        <f>_xlfn.SUMIFS(Налоги!BB$25:BB$69,Налоги!$F$25:$F$69,$F389,Налоги!$AB$25:$AB$69,$G389)</f>
        <v>0</v>
      </c>
      <c r="BD389" s="1099">
        <f>IF(AI389=0,0,(AT389-AI389)/AI389*100)</f>
        <v>0</v>
      </c>
      <c r="BE389" s="1099">
        <f>IF(AT389=0,0,(AU389-AT389)/AT389*100)</f>
        <v>0</v>
      </c>
      <c r="BF389" s="1099">
        <f>IF(AU389=0,0,(AV389-AU389)/AU389*100)</f>
        <v>0</v>
      </c>
      <c r="BG389" s="1099">
        <f>IF(AV389=0,0,(AW389-AV389)/AV389*100)</f>
        <v>0</v>
      </c>
      <c r="BH389" s="1099">
        <f>IF(AW389=0,0,(AX389-AW389)/AW389*100)</f>
        <v>0</v>
      </c>
      <c r="BI389" s="1099">
        <f>IF(AX389=0,0,(AY389-AX389)/AX389*100)</f>
        <v>0</v>
      </c>
      <c r="BJ389" s="1099">
        <f>IF(AY389=0,0,(AZ389-AY389)/AY389*100)</f>
        <v>0</v>
      </c>
      <c r="BK389" s="1099">
        <f>IF(AZ389=0,0,(BA389-AZ389)/AZ389*100)</f>
        <v>0</v>
      </c>
      <c r="BL389" s="1099">
        <f>IF(BA389=0,0,(BB389-BA389)/BA389*100)</f>
        <v>0</v>
      </c>
      <c r="BM389" s="1099">
        <f>IF(BB389=0,0,(BC389-BB389)/BB389*100)</f>
        <v>0</v>
      </c>
      <c r="BN389" s="4617"/>
      <c r="BO389" s="4619" t="str">
        <f>IF(_xlfn.IFERROR(INDEX(Налоги!$K$26:$L$69,MATCH($F389&amp;"9komm",Налоги!$K$26:$K$69,0),2),"")=0,"",_xlfn.IFERROR(INDEX(Налоги!$K$26:$L$69,MATCH($F389&amp;"9komm",Налоги!$K$26:$K$69,0),2),""))</f>
        <v/>
      </c>
      <c r="BP389" s="4617"/>
      <c r="BQ389" s="1260"/>
      <c r="BR389" s="1260"/>
      <c r="BS389" s="1055" t="s">
        <v>1959</v>
      </c>
      <c r="BT389" s="1055"/>
      <c r="BU389" s="1055"/>
      <c r="BV389" s="1056"/>
      <c r="BW389" s="1056"/>
    </row>
    <row s="1621" customFormat="1" customHeight="1" ht="14.25">
      <c r="A390" s="960"/>
      <c r="B390" s="961"/>
      <c r="C390" s="73"/>
      <c r="D390" s="73"/>
      <c r="E390" s="600">
        <v>15</v>
      </c>
      <c r="F390" s="50" cm="1" t="str">
        <f t="array" ref="F390:F390">OFFSET(E390,-1,1)</f>
        <v>2</v>
      </c>
      <c r="G390" s="904">
        <v>10</v>
      </c>
      <c r="H390" s="73"/>
      <c r="I390" s="73" t="s">
        <v>1960</v>
      </c>
      <c r="J390" s="73"/>
      <c r="K390" s="73" t="s">
        <v>1960</v>
      </c>
      <c r="L390" s="963"/>
      <c r="M390" s="73"/>
      <c r="N390" s="73"/>
      <c r="O390" s="73"/>
      <c r="P390" s="73"/>
      <c r="Q390" s="73"/>
      <c r="R390" s="73"/>
      <c r="S390" s="73"/>
      <c r="T390" s="439" cm="1" t="str">
        <f t="array" ref="T390:T390">T389</f>
        <v>true</v>
      </c>
      <c r="U390" s="73"/>
      <c r="V390" s="73"/>
      <c r="W390" s="73"/>
      <c r="X390" s="1534"/>
      <c r="Y390" s="960"/>
      <c r="Z390" s="1465"/>
      <c r="AA390" s="960"/>
      <c r="AB390" s="267" t="s">
        <v>1961</v>
      </c>
      <c r="AC390" s="762" t="s">
        <v>1962</v>
      </c>
      <c r="AD390" s="267" t="s">
        <v>784</v>
      </c>
      <c r="AE390" s="1099">
        <f>_xlfn.SUMIFS(Налоги!AE$25:AE$69,Налоги!$F$25:$F$69,$F390,Налоги!$AB$25:$AB$69,$G390)</f>
        <v>0</v>
      </c>
      <c r="AF390" s="1099">
        <f>_xlfn.SUMIFS(Налоги!AF$25:AF$69,Налоги!$F$25:$F$69,$F390,Налоги!$AB$25:$AB$69,$G390)</f>
        <v>0</v>
      </c>
      <c r="AG390" s="1099">
        <f>_xlfn.SUMIFS(Налоги!AG$25:AG$69,Налоги!$F$25:$F$69,$F390,Налоги!$AB$25:$AB$69,$G390)</f>
        <v>0</v>
      </c>
      <c r="AH390" s="1099">
        <f>AG390-AF390</f>
        <v>0</v>
      </c>
      <c r="AI390" s="1099">
        <f>_xlfn.SUMIFS(Налоги!AH$25:AH$69,Налоги!$F$25:$F$69,$F390,Налоги!$AB$25:$AB$69,$G390)</f>
        <v>0</v>
      </c>
      <c r="AJ390" s="1099">
        <f>_xlfn.SUMIFS(Налоги!AI$25:AI$69,Налоги!$F$25:$F$69,$F390,Налоги!$AB$25:$AB$69,$G390)</f>
        <v>0</v>
      </c>
      <c r="AK390" s="1099">
        <f>_xlfn.SUMIFS(Налоги!AJ$25:AJ$69,Налоги!$F$25:$F$69,$F390,Налоги!$AB$25:$AB$69,$G390)</f>
        <v>0</v>
      </c>
      <c r="AL390" s="1099">
        <f>_xlfn.SUMIFS(Налоги!AK$25:AK$69,Налоги!$F$25:$F$69,$F390,Налоги!$AB$25:$AB$69,$G390)</f>
        <v>0</v>
      </c>
      <c r="AM390" s="1099">
        <f>_xlfn.SUMIFS(Налоги!AL$25:AL$69,Налоги!$F$25:$F$69,$F390,Налоги!$AB$25:$AB$69,$G390)</f>
        <v>0</v>
      </c>
      <c r="AN390" s="1099">
        <f>_xlfn.SUMIFS(Налоги!AM$25:AM$69,Налоги!$F$25:$F$69,$F390,Налоги!$AB$25:$AB$69,$G390)</f>
        <v>0</v>
      </c>
      <c r="AO390" s="1099">
        <f>_xlfn.SUMIFS(Налоги!AN$25:AN$69,Налоги!$F$25:$F$69,$F390,Налоги!$AB$25:$AB$69,$G390)</f>
        <v>0</v>
      </c>
      <c r="AP390" s="1099">
        <f>_xlfn.SUMIFS(Налоги!AO$25:AO$69,Налоги!$F$25:$F$69,$F390,Налоги!$AB$25:$AB$69,$G390)</f>
        <v>0</v>
      </c>
      <c r="AQ390" s="1099">
        <f>_xlfn.SUMIFS(Налоги!AP$25:AP$69,Налоги!$F$25:$F$69,$F390,Налоги!$AB$25:$AB$69,$G390)</f>
        <v>0</v>
      </c>
      <c r="AR390" s="1099">
        <f>_xlfn.SUMIFS(Налоги!AQ$25:AQ$69,Налоги!$F$25:$F$69,$F390,Налоги!$AB$25:$AB$69,$G390)</f>
        <v>0</v>
      </c>
      <c r="AS390" s="1099">
        <f>_xlfn.SUMIFS(Налоги!AR$25:AR$69,Налоги!$F$25:$F$69,$F390,Налоги!$AB$25:$AB$69,$G390)</f>
        <v>0</v>
      </c>
      <c r="AT390" s="1099">
        <f>_xlfn.SUMIFS(Налоги!AS$25:AS$69,Налоги!$F$25:$F$69,$F390,Налоги!$AB$25:$AB$69,$G390)</f>
        <v>0</v>
      </c>
      <c r="AU390" s="1099">
        <f>_xlfn.SUMIFS(Налоги!AT$25:AT$69,Налоги!$F$25:$F$69,$F390,Налоги!$AB$25:$AB$69,$G390)</f>
        <v>0</v>
      </c>
      <c r="AV390" s="1099">
        <f>_xlfn.SUMIFS(Налоги!AU$25:AU$69,Налоги!$F$25:$F$69,$F390,Налоги!$AB$25:$AB$69,$G390)</f>
        <v>0</v>
      </c>
      <c r="AW390" s="1099">
        <f>_xlfn.SUMIFS(Налоги!AV$25:AV$69,Налоги!$F$25:$F$69,$F390,Налоги!$AB$25:$AB$69,$G390)</f>
        <v>0</v>
      </c>
      <c r="AX390" s="1099">
        <f>_xlfn.SUMIFS(Налоги!AW$25:AW$69,Налоги!$F$25:$F$69,$F390,Налоги!$AB$25:$AB$69,$G390)</f>
        <v>0</v>
      </c>
      <c r="AY390" s="1099">
        <f>_xlfn.SUMIFS(Налоги!AX$25:AX$69,Налоги!$F$25:$F$69,$F390,Налоги!$AB$25:$AB$69,$G390)</f>
        <v>0</v>
      </c>
      <c r="AZ390" s="1099">
        <f>_xlfn.SUMIFS(Налоги!AY$25:AY$69,Налоги!$F$25:$F$69,$F390,Налоги!$AB$25:$AB$69,$G390)</f>
        <v>0</v>
      </c>
      <c r="BA390" s="1099">
        <f>_xlfn.SUMIFS(Налоги!AZ$25:AZ$69,Налоги!$F$25:$F$69,$F390,Налоги!$AB$25:$AB$69,$G390)</f>
        <v>0</v>
      </c>
      <c r="BB390" s="1099">
        <f>_xlfn.SUMIFS(Налоги!BA$25:BA$69,Налоги!$F$25:$F$69,$F390,Налоги!$AB$25:$AB$69,$G390)</f>
        <v>0</v>
      </c>
      <c r="BC390" s="1099">
        <f>_xlfn.SUMIFS(Налоги!BB$25:BB$69,Налоги!$F$25:$F$69,$F390,Налоги!$AB$25:$AB$69,$G390)</f>
        <v>0</v>
      </c>
      <c r="BD390" s="1099">
        <f>IF(AI390=0,0,(AT390-AI390)/AI390*100)</f>
        <v>0</v>
      </c>
      <c r="BE390" s="1099">
        <f>IF(AT390=0,0,(AU390-AT390)/AT390*100)</f>
        <v>0</v>
      </c>
      <c r="BF390" s="1099">
        <f>IF(AU390=0,0,(AV390-AU390)/AU390*100)</f>
        <v>0</v>
      </c>
      <c r="BG390" s="1099">
        <f>IF(AV390=0,0,(AW390-AV390)/AV390*100)</f>
        <v>0</v>
      </c>
      <c r="BH390" s="1099">
        <f>IF(AW390=0,0,(AX390-AW390)/AW390*100)</f>
        <v>0</v>
      </c>
      <c r="BI390" s="1099">
        <f>IF(AX390=0,0,(AY390-AX390)/AX390*100)</f>
        <v>0</v>
      </c>
      <c r="BJ390" s="1099">
        <f>IF(AY390=0,0,(AZ390-AY390)/AY390*100)</f>
        <v>0</v>
      </c>
      <c r="BK390" s="1099">
        <f>IF(AZ390=0,0,(BA390-AZ390)/AZ390*100)</f>
        <v>0</v>
      </c>
      <c r="BL390" s="1099">
        <f>IF(BA390=0,0,(BB390-BA390)/BA390*100)</f>
        <v>0</v>
      </c>
      <c r="BM390" s="1099">
        <f>IF(BB390=0,0,(BC390-BB390)/BB390*100)</f>
        <v>0</v>
      </c>
      <c r="BN390" s="4617"/>
      <c r="BO390" s="4619" t="str">
        <f>IF(_xlfn.IFERROR(INDEX(Налоги!$K$26:$L$69,MATCH($F390&amp;"10komm",Налоги!$K$26:$K$69,0),2),"")=0,"",_xlfn.IFERROR(INDEX(Налоги!$K$26:$L$69,MATCH($F390&amp;"10komm",Налоги!$K$26:$K$69,0),2),""))</f>
        <v/>
      </c>
      <c r="BP390" s="4617"/>
      <c r="BQ390" s="960"/>
      <c r="BR390" s="960"/>
      <c r="BS390" s="1048" t="s">
        <v>1963</v>
      </c>
      <c r="BT390" s="1048"/>
      <c r="BU390" s="1048"/>
      <c r="BV390" s="962"/>
      <c r="BW390" s="962"/>
    </row>
    <row s="1621" customFormat="1" customHeight="1" ht="65.25">
      <c r="A391" s="960"/>
      <c r="B391" s="961"/>
      <c r="C391" s="73"/>
      <c r="D391" s="73"/>
      <c r="E391" s="600">
        <v>67.5</v>
      </c>
      <c r="F391" s="50" cm="1" t="str">
        <f t="array" ref="F391:F391">OFFSET(E391,-1,1)</f>
        <v>2</v>
      </c>
      <c r="G391" s="73" t="s">
        <v>1328</v>
      </c>
      <c r="H391" s="73"/>
      <c r="I391" s="73" t="s">
        <v>867</v>
      </c>
      <c r="J391" s="73"/>
      <c r="K391" s="124" t="s">
        <v>867</v>
      </c>
      <c r="L391" s="963"/>
      <c r="M391" s="73"/>
      <c r="N391" s="73"/>
      <c r="O391" s="73"/>
      <c r="P391" s="73"/>
      <c r="Q391" s="73"/>
      <c r="R391" s="73"/>
      <c r="S391" s="73"/>
      <c r="T391" s="439" cm="1" t="str">
        <f t="array" ref="T391:T391">T390</f>
        <v>true</v>
      </c>
      <c r="U391" s="73"/>
      <c r="V391" s="73"/>
      <c r="W391" s="73"/>
      <c r="X391" s="1534"/>
      <c r="Y391" s="960"/>
      <c r="Z391" s="1465"/>
      <c r="AA391" s="960"/>
      <c r="AB391" s="267" t="s">
        <v>868</v>
      </c>
      <c r="AC391" s="763" t="s">
        <v>1331</v>
      </c>
      <c r="AD391" s="267" t="s">
        <v>784</v>
      </c>
      <c r="AE391" s="4587"/>
      <c r="AF391" s="4587"/>
      <c r="AG391" s="4587"/>
      <c r="AH391" s="1099">
        <f>AG391-AF391</f>
        <v>0</v>
      </c>
      <c r="AI391" s="4587"/>
      <c r="AJ391" s="4587"/>
      <c r="AK391" s="1271"/>
      <c r="AL391" s="1271"/>
      <c r="AM391" s="4587"/>
      <c r="AN391" s="4587"/>
      <c r="AO391" s="4587"/>
      <c r="AP391" s="4587"/>
      <c r="AQ391" s="4587"/>
      <c r="AR391" s="4587"/>
      <c r="AS391" s="4587"/>
      <c r="AT391" s="4587"/>
      <c r="AU391" s="1271"/>
      <c r="AV391" s="1271"/>
      <c r="AW391" s="4587"/>
      <c r="AX391" s="4587"/>
      <c r="AY391" s="4587"/>
      <c r="AZ391" s="4587"/>
      <c r="BA391" s="4587"/>
      <c r="BB391" s="4587"/>
      <c r="BC391" s="4587"/>
      <c r="BD391" s="1099">
        <f>IF(AI391=0,0,(AT391-AI391)/AI391*100)</f>
        <v>0</v>
      </c>
      <c r="BE391" s="1099">
        <f>IF(AT391=0,0,(AU391-AT391)/AT391*100)</f>
        <v>0</v>
      </c>
      <c r="BF391" s="1099">
        <f>IF(AU391=0,0,(AV391-AU391)/AU391*100)</f>
        <v>0</v>
      </c>
      <c r="BG391" s="1099">
        <f>IF(AV391=0,0,(AW391-AV391)/AV391*100)</f>
        <v>0</v>
      </c>
      <c r="BH391" s="1099">
        <f>IF(AW391=0,0,(AX391-AW391)/AW391*100)</f>
        <v>0</v>
      </c>
      <c r="BI391" s="1099">
        <f>IF(AX391=0,0,(AY391-AX391)/AX391*100)</f>
        <v>0</v>
      </c>
      <c r="BJ391" s="1099">
        <f>IF(AY391=0,0,(AZ391-AY391)/AY391*100)</f>
        <v>0</v>
      </c>
      <c r="BK391" s="1099">
        <f>IF(AZ391=0,0,(BA391-AZ391)/AZ391*100)</f>
        <v>0</v>
      </c>
      <c r="BL391" s="1099">
        <f>IF(BA391=0,0,(BB391-BA391)/BA391*100)</f>
        <v>0</v>
      </c>
      <c r="BM391" s="1099">
        <f>IF(BB391=0,0,(BC391-BB391)/BB391*100)</f>
        <v>0</v>
      </c>
      <c r="BN391" s="4617"/>
      <c r="BO391" s="4617"/>
      <c r="BP391" s="4617"/>
      <c r="BQ391" s="960"/>
      <c r="BR391" s="960"/>
      <c r="BS391" s="1048" t="s">
        <v>1964</v>
      </c>
      <c r="BT391" s="1048"/>
      <c r="BU391" s="1048"/>
      <c r="BV391" s="962"/>
      <c r="BW391" s="962"/>
    </row>
    <row s="1621" customFormat="1" customHeight="1" ht="14.25">
      <c r="A392" s="960"/>
      <c r="B392" s="961"/>
      <c r="C392" s="73"/>
      <c r="D392" s="73"/>
      <c r="E392" s="600">
        <v>15</v>
      </c>
      <c r="F392" s="50" cm="1" t="str">
        <f t="array" ref="F392:F392">OFFSET(E392,-1,1)</f>
        <v>2</v>
      </c>
      <c r="G392" s="73" t="s">
        <v>949</v>
      </c>
      <c r="H392" s="73"/>
      <c r="I392" s="73" t="s">
        <v>870</v>
      </c>
      <c r="J392" s="73"/>
      <c r="K392" s="124" t="s">
        <v>870</v>
      </c>
      <c r="L392" s="963" t="s">
        <v>491</v>
      </c>
      <c r="M392" s="73"/>
      <c r="N392" s="73"/>
      <c r="O392" s="73"/>
      <c r="P392" s="73"/>
      <c r="Q392" s="73"/>
      <c r="R392" s="73"/>
      <c r="S392" s="73"/>
      <c r="T392" s="439" cm="1" t="str">
        <f t="array" ref="T392:T392">T391</f>
        <v>true</v>
      </c>
      <c r="U392" s="73"/>
      <c r="V392" s="73"/>
      <c r="W392" s="73"/>
      <c r="X392" s="1534"/>
      <c r="Y392" s="960"/>
      <c r="Z392" s="1465"/>
      <c r="AA392" s="960"/>
      <c r="AB392" s="267" t="s">
        <v>871</v>
      </c>
      <c r="AC392" s="743" t="s">
        <v>949</v>
      </c>
      <c r="AD392" s="267" t="s">
        <v>784</v>
      </c>
      <c r="AE392" s="1099">
        <f>_xlfn.SUMIFS(Аренда!AE$25:AE$57,Аренда!$F$25:$F$57,$F392,Аренда!$G$25:$G$57,"Арендная и концессионная плата, лизинговые платежи")</f>
        <v>0</v>
      </c>
      <c r="AF392" s="1099">
        <f>_xlfn.SUMIFS(Аренда!AF$25:AF$57,Аренда!$F$25:$F$57,$F392,Аренда!$G$25:$G$57,"Арендная и концессионная плата, лизинговые платежи")</f>
        <v>0</v>
      </c>
      <c r="AG392" s="1099">
        <f>_xlfn.SUMIFS(Аренда!AG$25:AG$57,Аренда!$F$25:$F$57,$F392,Аренда!$G$25:$G$57,"Арендная и концессионная плата, лизинговые платежи")</f>
        <v>0</v>
      </c>
      <c r="AH392" s="1099">
        <f>AG392-AF392</f>
        <v>0</v>
      </c>
      <c r="AI392" s="1099">
        <f>_xlfn.SUMIFS(Аренда!AH$25:AH$57,Аренда!$F$25:$F$57,$F392,Аренда!$G$25:$G$57,"Арендная и концессионная плата, лизинговые платежи")</f>
        <v>0</v>
      </c>
      <c r="AJ392" s="1099">
        <f>_xlfn.SUMIFS(Аренда!AI$25:AI$57,Аренда!$F$25:$F$57,$F392,Аренда!$G$25:$G$57,"Арендная и концессионная плата, лизинговые платежи")</f>
        <v>0</v>
      </c>
      <c r="AK392" s="1099">
        <f>_xlfn.SUMIFS(Аренда!AJ$25:AJ$57,Аренда!$F$25:$F$57,$F392,Аренда!$G$25:$G$57,"Арендная и концессионная плата, лизинговые платежи")</f>
        <v>0</v>
      </c>
      <c r="AL392" s="1099">
        <f>_xlfn.SUMIFS(Аренда!AK$25:AK$57,Аренда!$F$25:$F$57,$F392,Аренда!$G$25:$G$57,"Арендная и концессионная плата, лизинговые платежи")</f>
        <v>0</v>
      </c>
      <c r="AM392" s="1099">
        <f>_xlfn.SUMIFS(Аренда!AL$25:AL$57,Аренда!$F$25:$F$57,$F392,Аренда!$G$25:$G$57,"Арендная и концессионная плата, лизинговые платежи")</f>
        <v>0</v>
      </c>
      <c r="AN392" s="1099">
        <f>_xlfn.SUMIFS(Аренда!AM$25:AM$57,Аренда!$F$25:$F$57,$F392,Аренда!$G$25:$G$57,"Арендная и концессионная плата, лизинговые платежи")</f>
        <v>0</v>
      </c>
      <c r="AO392" s="1099">
        <f>_xlfn.SUMIFS(Аренда!AN$25:AN$57,Аренда!$F$25:$F$57,$F392,Аренда!$G$25:$G$57,"Арендная и концессионная плата, лизинговые платежи")</f>
        <v>0</v>
      </c>
      <c r="AP392" s="1099">
        <f>_xlfn.SUMIFS(Аренда!AO$25:AO$57,Аренда!$F$25:$F$57,$F392,Аренда!$G$25:$G$57,"Арендная и концессионная плата, лизинговые платежи")</f>
        <v>0</v>
      </c>
      <c r="AQ392" s="1099">
        <f>_xlfn.SUMIFS(Аренда!AP$25:AP$57,Аренда!$F$25:$F$57,$F392,Аренда!$G$25:$G$57,"Арендная и концессионная плата, лизинговые платежи")</f>
        <v>0</v>
      </c>
      <c r="AR392" s="1099">
        <f>_xlfn.SUMIFS(Аренда!AQ$25:AQ$57,Аренда!$F$25:$F$57,$F392,Аренда!$G$25:$G$57,"Арендная и концессионная плата, лизинговые платежи")</f>
        <v>0</v>
      </c>
      <c r="AS392" s="1099">
        <f>_xlfn.SUMIFS(Аренда!AR$25:AR$57,Аренда!$F$25:$F$57,$F392,Аренда!$G$25:$G$57,"Арендная и концессионная плата, лизинговые платежи")</f>
        <v>0</v>
      </c>
      <c r="AT392" s="1099">
        <f>_xlfn.SUMIFS(Аренда!AS$25:AS$57,Аренда!$F$25:$F$57,$F392,Аренда!$G$25:$G$57,"Арендная и концессионная плата, лизинговые платежи")</f>
        <v>0</v>
      </c>
      <c r="AU392" s="1099">
        <f>_xlfn.SUMIFS(Аренда!AT$25:AT$57,Аренда!$F$25:$F$57,$F392,Аренда!$G$25:$G$57,"Арендная и концессионная плата, лизинговые платежи")</f>
        <v>0</v>
      </c>
      <c r="AV392" s="1099">
        <f>_xlfn.SUMIFS(Аренда!AU$25:AU$57,Аренда!$F$25:$F$57,$F392,Аренда!$G$25:$G$57,"Арендная и концессионная плата, лизинговые платежи")</f>
        <v>0</v>
      </c>
      <c r="AW392" s="1099">
        <f>_xlfn.SUMIFS(Аренда!AV$25:AV$57,Аренда!$F$25:$F$57,$F392,Аренда!$G$25:$G$57,"Арендная и концессионная плата, лизинговые платежи")</f>
        <v>0</v>
      </c>
      <c r="AX392" s="1099">
        <f>_xlfn.SUMIFS(Аренда!AW$25:AW$57,Аренда!$F$25:$F$57,$F392,Аренда!$G$25:$G$57,"Арендная и концессионная плата, лизинговые платежи")</f>
        <v>0</v>
      </c>
      <c r="AY392" s="1099">
        <f>_xlfn.SUMIFS(Аренда!AX$25:AX$57,Аренда!$F$25:$F$57,$F392,Аренда!$G$25:$G$57,"Арендная и концессионная плата, лизинговые платежи")</f>
        <v>0</v>
      </c>
      <c r="AZ392" s="1099">
        <f>_xlfn.SUMIFS(Аренда!AY$25:AY$57,Аренда!$F$25:$F$57,$F392,Аренда!$G$25:$G$57,"Арендная и концессионная плата, лизинговые платежи")</f>
        <v>0</v>
      </c>
      <c r="BA392" s="1099">
        <f>_xlfn.SUMIFS(Аренда!AZ$25:AZ$57,Аренда!$F$25:$F$57,$F392,Аренда!$G$25:$G$57,"Арендная и концессионная плата, лизинговые платежи")</f>
        <v>0</v>
      </c>
      <c r="BB392" s="1099">
        <f>_xlfn.SUMIFS(Аренда!BA$25:BA$57,Аренда!$F$25:$F$57,$F392,Аренда!$G$25:$G$57,"Арендная и концессионная плата, лизинговые платежи")</f>
        <v>0</v>
      </c>
      <c r="BC392" s="1099">
        <f>_xlfn.SUMIFS(Аренда!BB$25:BB$57,Аренда!$F$25:$F$57,$F392,Аренда!$G$25:$G$57,"Арендная и концессионная плата, лизинговые платежи")</f>
        <v>0</v>
      </c>
      <c r="BD392" s="1099">
        <f>IF(AI392=0,0,(AT392-AI392)/AI392*100)</f>
        <v>0</v>
      </c>
      <c r="BE392" s="1099">
        <f>IF(AT392=0,0,(AU392-AT392)/AT392*100)</f>
        <v>0</v>
      </c>
      <c r="BF392" s="1099">
        <f>IF(AU392=0,0,(AV392-AU392)/AU392*100)</f>
        <v>0</v>
      </c>
      <c r="BG392" s="1099">
        <f>IF(AV392=0,0,(AW392-AV392)/AV392*100)</f>
        <v>0</v>
      </c>
      <c r="BH392" s="1099">
        <f>IF(AW392=0,0,(AX392-AW392)/AW392*100)</f>
        <v>0</v>
      </c>
      <c r="BI392" s="1099">
        <f>IF(AX392=0,0,(AY392-AX392)/AX392*100)</f>
        <v>0</v>
      </c>
      <c r="BJ392" s="1099">
        <f>IF(AY392=0,0,(AZ392-AY392)/AY392*100)</f>
        <v>0</v>
      </c>
      <c r="BK392" s="1099">
        <f>IF(AZ392=0,0,(BA392-AZ392)/AZ392*100)</f>
        <v>0</v>
      </c>
      <c r="BL392" s="1099">
        <f>IF(BA392=0,0,(BB392-BA392)/BA392*100)</f>
        <v>0</v>
      </c>
      <c r="BM392" s="1099">
        <f>IF(BB392=0,0,(BC392-BB392)/BB392*100)</f>
        <v>0</v>
      </c>
      <c r="BN392" s="4617"/>
      <c r="BO392" s="4667" t="str">
        <f>IF(_xlfn.IFERROR(INDEX(Аренда!$K$26:$L$57,MATCH($F392&amp;"komm",Аренда!$K$26:$K$57,0),2),"")=0,"",_xlfn.IFERROR(INDEX(Аренда!$K$26:$L$57,MATCH($F392&amp;"komm",Аренда!$K$26:$K$57,0),2),""))</f>
        <v/>
      </c>
      <c r="BP392" s="4617"/>
      <c r="BQ392" s="960"/>
      <c r="BR392" s="960"/>
      <c r="BS392" s="1048" t="s">
        <v>1965</v>
      </c>
      <c r="BT392" s="1048"/>
      <c r="BU392" s="1048"/>
      <c r="BV392" s="962"/>
      <c r="BW392" s="962"/>
    </row>
    <row s="1621" customFormat="1" customHeight="1" ht="14.25" hidden="1">
      <c r="A393" s="960"/>
      <c r="B393" s="405">
        <f>STATUS_GO="да"</f>
        <v>0</v>
      </c>
      <c r="C393" s="73"/>
      <c r="D393" s="73"/>
      <c r="E393" s="600">
        <v>15</v>
      </c>
      <c r="F393" s="50" cm="1" t="str">
        <f t="array" ref="F393:F393">OFFSET(E393,-1,1)</f>
        <v>2</v>
      </c>
      <c r="G393" s="73"/>
      <c r="H393" s="73"/>
      <c r="I393" s="73" t="s">
        <v>1966</v>
      </c>
      <c r="J393" s="73"/>
      <c r="K393" s="124" t="s">
        <v>1966</v>
      </c>
      <c r="L393" s="963"/>
      <c r="M393" s="73"/>
      <c r="N393" s="73"/>
      <c r="O393" s="73"/>
      <c r="P393" s="73"/>
      <c r="Q393" s="73"/>
      <c r="R393" s="73"/>
      <c r="S393" s="73"/>
      <c r="T393" s="439" cm="1" t="str">
        <f t="array" ref="T393:T393">T392</f>
        <v>true</v>
      </c>
      <c r="U393" s="73"/>
      <c r="V393" s="73"/>
      <c r="W393" s="73"/>
      <c r="X393" s="1534"/>
      <c r="Y393" s="960"/>
      <c r="Z393" s="1465"/>
      <c r="AA393" s="960"/>
      <c r="AB393" s="267" t="s">
        <v>1395</v>
      </c>
      <c r="AC393" s="743" t="s">
        <v>1967</v>
      </c>
      <c r="AD393" s="267" t="s">
        <v>784</v>
      </c>
      <c r="AE393" s="1268" cm="1" t="str">
        <f t="array" ref="AE393:AE393">AE394</f>
        <v>0</v>
      </c>
      <c r="AF393" s="1268" cm="1" t="str">
        <f t="array" ref="AF393:AF393">AF394</f>
        <v>0</v>
      </c>
      <c r="AG393" s="1268" cm="1" t="str">
        <f t="array" ref="AG393:AG393">AG394</f>
        <v>0</v>
      </c>
      <c r="AH393" s="1099">
        <f>AG393-AF393</f>
        <v>0</v>
      </c>
      <c r="AI393" s="1268" cm="1" t="str">
        <f t="array" ref="AI393:AI393">AI394</f>
        <v>0</v>
      </c>
      <c r="AJ393" s="4561" cm="1" t="str">
        <f t="array" ref="AJ393:AJ393">AJ394</f>
        <v>0</v>
      </c>
      <c r="AK393" s="1268" cm="1" t="str">
        <f t="array" ref="AK393:AK393">AK394</f>
        <v>0</v>
      </c>
      <c r="AL393" s="1268" cm="1" t="str">
        <f t="array" ref="AL393:AL393">AL394</f>
        <v>0</v>
      </c>
      <c r="AM393" s="1268" cm="1" t="str">
        <f t="array" ref="AM393:AM393">AM394</f>
        <v>0</v>
      </c>
      <c r="AN393" s="1268" cm="1" t="str">
        <f t="array" ref="AN393:AN393">AN394</f>
        <v>0</v>
      </c>
      <c r="AO393" s="1268" cm="1" t="str">
        <f t="array" ref="AO393:AO393">AO394</f>
        <v>0</v>
      </c>
      <c r="AP393" s="1268" cm="1" t="str">
        <f t="array" ref="AP393:AP393">AP394</f>
        <v>0</v>
      </c>
      <c r="AQ393" s="1268" cm="1" t="str">
        <f t="array" ref="AQ393:AQ393">AQ394</f>
        <v>0</v>
      </c>
      <c r="AR393" s="1268" cm="1" t="str">
        <f t="array" ref="AR393:AR393">AR394</f>
        <v>0</v>
      </c>
      <c r="AS393" s="1268" cm="1" t="str">
        <f t="array" ref="AS393:AS393">AS394</f>
        <v>0</v>
      </c>
      <c r="AT393" s="4561" cm="1" t="str">
        <f t="array" ref="AT393:AT393">AT394</f>
        <v>0</v>
      </c>
      <c r="AU393" s="1268" cm="1" t="str">
        <f t="array" ref="AU393:AU393">AU394</f>
        <v>0</v>
      </c>
      <c r="AV393" s="1268" cm="1" t="str">
        <f t="array" ref="AV393:AV393">AV394</f>
        <v>0</v>
      </c>
      <c r="AW393" s="1268" cm="1" t="str">
        <f t="array" ref="AW393:AW393">AW394</f>
        <v>0</v>
      </c>
      <c r="AX393" s="1268" cm="1" t="str">
        <f t="array" ref="AX393:AX393">AX394</f>
        <v>0</v>
      </c>
      <c r="AY393" s="1268" cm="1" t="str">
        <f t="array" ref="AY393:AY393">AY394</f>
        <v>0</v>
      </c>
      <c r="AZ393" s="1268" cm="1" t="str">
        <f t="array" ref="AZ393:AZ393">AZ394</f>
        <v>0</v>
      </c>
      <c r="BA393" s="1268" cm="1" t="str">
        <f t="array" ref="BA393:BA393">BA394</f>
        <v>0</v>
      </c>
      <c r="BB393" s="1268" cm="1" t="str">
        <f t="array" ref="BB393:BB393">BB394</f>
        <v>0</v>
      </c>
      <c r="BC393" s="1268" cm="1" t="str">
        <f t="array" ref="BC393:BC393">BC394</f>
        <v>0</v>
      </c>
      <c r="BD393" s="1099">
        <f>IF(AI393=0,0,(AT393-AI393)/AI393*100)</f>
        <v>0</v>
      </c>
      <c r="BE393" s="1099">
        <f>IF(AT393=0,0,(AU393-AT393)/AT393*100)</f>
        <v>0</v>
      </c>
      <c r="BF393" s="1099">
        <f>IF(AU393=0,0,(AV393-AU393)/AU393*100)</f>
        <v>0</v>
      </c>
      <c r="BG393" s="1099">
        <f>IF(AV393=0,0,(AW393-AV393)/AV393*100)</f>
        <v>0</v>
      </c>
      <c r="BH393" s="1099">
        <f>IF(AW393=0,0,(AX393-AW393)/AW393*100)</f>
        <v>0</v>
      </c>
      <c r="BI393" s="1099">
        <f>IF(AX393=0,0,(AY393-AX393)/AX393*100)</f>
        <v>0</v>
      </c>
      <c r="BJ393" s="1099">
        <f>IF(AY393=0,0,(AZ393-AY393)/AY393*100)</f>
        <v>0</v>
      </c>
      <c r="BK393" s="1099">
        <f>IF(AZ393=0,0,(BA393-AZ393)/AZ393*100)</f>
        <v>0</v>
      </c>
      <c r="BL393" s="1099">
        <f>IF(BA393=0,0,(BB393-BA393)/BA393*100)</f>
        <v>0</v>
      </c>
      <c r="BM393" s="1099">
        <f>IF(BB393=0,0,(BC393-BB393)/BB393*100)</f>
        <v>0</v>
      </c>
      <c r="BN393" s="1265"/>
      <c r="BO393" s="1265"/>
      <c r="BP393" s="1265"/>
      <c r="BQ393" s="960"/>
      <c r="BR393" s="960"/>
      <c r="BS393" s="1048" t="s">
        <v>1689</v>
      </c>
      <c r="BT393" s="1048"/>
      <c r="BU393" s="1048"/>
      <c r="BV393" s="962"/>
      <c r="BW393" s="962"/>
    </row>
    <row s="1621" customFormat="1" customHeight="1" ht="14.25" hidden="1">
      <c r="A394" s="960"/>
      <c r="B394" s="405">
        <f>STATUS_GO="да"</f>
        <v>0</v>
      </c>
      <c r="C394" s="73"/>
      <c r="D394" s="73"/>
      <c r="E394" s="600">
        <v>15</v>
      </c>
      <c r="F394" s="50" cm="1" t="str">
        <f t="array" ref="F394:F394">OFFSET(E394,-1,1)</f>
        <v>2</v>
      </c>
      <c r="G394" s="73" t="s">
        <v>1337</v>
      </c>
      <c r="H394" s="73"/>
      <c r="I394" s="73" t="s">
        <v>1968</v>
      </c>
      <c r="J394" s="73"/>
      <c r="K394" s="124" t="s">
        <v>1968</v>
      </c>
      <c r="L394" s="963"/>
      <c r="M394" s="73"/>
      <c r="N394" s="73"/>
      <c r="O394" s="73"/>
      <c r="P394" s="73"/>
      <c r="Q394" s="73"/>
      <c r="R394" s="73"/>
      <c r="S394" s="73"/>
      <c r="T394" s="439" cm="1" t="str">
        <f t="array" ref="T394:T394">T393</f>
        <v>true</v>
      </c>
      <c r="U394" s="73"/>
      <c r="V394" s="73"/>
      <c r="W394" s="73"/>
      <c r="X394" s="1534"/>
      <c r="Y394" s="960"/>
      <c r="Z394" s="1465"/>
      <c r="AA394" s="960"/>
      <c r="AB394" s="267" t="s">
        <v>1969</v>
      </c>
      <c r="AC394" s="746" t="s">
        <v>1337</v>
      </c>
      <c r="AD394" s="267" t="s">
        <v>784</v>
      </c>
      <c r="AE394" s="1099">
        <f>_xlfn.SUMIFS('Сбытовые расходы ГО'!AE$25:AE$63,'Сбытовые расходы ГО'!$F$25:$F$63,$F394,'Сбытовые расходы ГО'!$G$25:$G$63,"l1")</f>
        <v>0</v>
      </c>
      <c r="AF394" s="1099">
        <f>_xlfn.SUMIFS('Сбытовые расходы ГО'!AF$25:AF$63,'Сбытовые расходы ГО'!$F$25:$F$63,$F394,'Сбытовые расходы ГО'!$G$25:$G$63,"l1")</f>
        <v>0</v>
      </c>
      <c r="AG394" s="1099">
        <f>_xlfn.SUMIFS('Сбытовые расходы ГО'!AG$25:AG$63,'Сбытовые расходы ГО'!$F$25:$F$63,$F394,'Сбытовые расходы ГО'!$G$25:$G$63,"l1")</f>
        <v>0</v>
      </c>
      <c r="AH394" s="1099">
        <f>AG394-AF394</f>
        <v>0</v>
      </c>
      <c r="AI394" s="1099">
        <f>_xlfn.SUMIFS('Сбытовые расходы ГО'!AH$25:AH$63,'Сбытовые расходы ГО'!$F$25:$F$63,$F394,'Сбытовые расходы ГО'!$G$25:$G$63,"l1")</f>
        <v>0</v>
      </c>
      <c r="AJ394" s="1099">
        <f>_xlfn.SUMIFS('Сбытовые расходы ГО'!AI$25:AI$63,'Сбытовые расходы ГО'!$F$25:$F$63,$F394,'Сбытовые расходы ГО'!$G$25:$G$63,"l1")</f>
        <v>0</v>
      </c>
      <c r="AK394" s="1268"/>
      <c r="AL394" s="1268"/>
      <c r="AM394" s="1268"/>
      <c r="AN394" s="1268"/>
      <c r="AO394" s="1268"/>
      <c r="AP394" s="1268"/>
      <c r="AQ394" s="1268"/>
      <c r="AR394" s="1268"/>
      <c r="AS394" s="1268"/>
      <c r="AT394" s="1099">
        <f>_xlfn.SUMIFS('Сбытовые расходы ГО'!AJ$25:AJ$63,'Сбытовые расходы ГО'!$F$25:$F$63,$F394,'Сбытовые расходы ГО'!$G$25:$G$63,"l1")</f>
        <v>0</v>
      </c>
      <c r="AU394" s="1268"/>
      <c r="AV394" s="1268"/>
      <c r="AW394" s="1268"/>
      <c r="AX394" s="1268"/>
      <c r="AY394" s="1268"/>
      <c r="AZ394" s="1268"/>
      <c r="BA394" s="1268"/>
      <c r="BB394" s="1268"/>
      <c r="BC394" s="1268"/>
      <c r="BD394" s="1099">
        <f>IF(AI394=0,0,(AT394-AI394)/AI394*100)</f>
        <v>0</v>
      </c>
      <c r="BE394" s="1099">
        <f>IF(AT394=0,0,(AU394-AT394)/AT394*100)</f>
        <v>0</v>
      </c>
      <c r="BF394" s="1099">
        <f>IF(AU394=0,0,(AV394-AU394)/AU394*100)</f>
        <v>0</v>
      </c>
      <c r="BG394" s="1099">
        <f>IF(AV394=0,0,(AW394-AV394)/AV394*100)</f>
        <v>0</v>
      </c>
      <c r="BH394" s="1099">
        <f>IF(AW394=0,0,(AX394-AW394)/AW394*100)</f>
        <v>0</v>
      </c>
      <c r="BI394" s="1099">
        <f>IF(AX394=0,0,(AY394-AX394)/AX394*100)</f>
        <v>0</v>
      </c>
      <c r="BJ394" s="1099">
        <f>IF(AY394=0,0,(AZ394-AY394)/AY394*100)</f>
        <v>0</v>
      </c>
      <c r="BK394" s="1099">
        <f>IF(AZ394=0,0,(BA394-AZ394)/AZ394*100)</f>
        <v>0</v>
      </c>
      <c r="BL394" s="1099">
        <f>IF(BA394=0,0,(BB394-BA394)/BA394*100)</f>
        <v>0</v>
      </c>
      <c r="BM394" s="1099">
        <f>IF(BB394=0,0,(BC394-BB394)/BB394*100)</f>
        <v>0</v>
      </c>
      <c r="BN394" s="1265"/>
      <c r="BO394" s="1272" t="str">
        <f>IF(_xlfn.IFERROR(INDEX('Сбытовые расходы ГО'!$K$26:$M$63,MATCH($F394&amp;"komm",'Сбытовые расходы ГО'!$K$26:$K$63,0),2),"")=0,"",_xlfn.IFERROR(INDEX('Сбытовые расходы ГО'!$K$26:$M$63,MATCH($F394&amp;"komm",'Сбытовые расходы ГО'!$K$26:$K$63,0),2),""))</f>
        <v/>
      </c>
      <c r="BP394" s="1265"/>
      <c r="BQ394" s="960"/>
      <c r="BR394" s="960"/>
      <c r="BS394" s="1048" t="s">
        <v>1970</v>
      </c>
      <c r="BT394" s="1048"/>
      <c r="BU394" s="1048"/>
      <c r="BV394" s="962"/>
      <c r="BW394" s="962"/>
    </row>
    <row s="1621" customFormat="1" customHeight="1" ht="14.625">
      <c r="A395" s="960"/>
      <c r="B395" s="961"/>
      <c r="C395" s="73"/>
      <c r="D395" s="73"/>
      <c r="E395" s="600">
        <v>15</v>
      </c>
      <c r="F395" s="50" cm="1" t="str">
        <f t="array" ref="F395:F395">OFFSET(E395,-1,1)</f>
        <v>2</v>
      </c>
      <c r="G395" s="73" t="s">
        <v>1342</v>
      </c>
      <c r="H395" s="73"/>
      <c r="I395" s="73" t="s">
        <v>1971</v>
      </c>
      <c r="J395" s="73"/>
      <c r="K395" s="124" t="s">
        <v>1971</v>
      </c>
      <c r="L395" s="963"/>
      <c r="M395" s="73"/>
      <c r="N395" s="73"/>
      <c r="O395" s="73"/>
      <c r="P395" s="73"/>
      <c r="Q395" s="73"/>
      <c r="R395" s="73"/>
      <c r="S395" s="73"/>
      <c r="T395" s="439" cm="1" t="str">
        <f t="array" ref="T395:T395">T394</f>
        <v>true</v>
      </c>
      <c r="U395" s="73"/>
      <c r="V395" s="73"/>
      <c r="W395" s="73"/>
      <c r="X395" s="1534"/>
      <c r="Y395" s="960"/>
      <c r="Z395" s="1465"/>
      <c r="AA395" s="960"/>
      <c r="AB395" s="267" t="s">
        <v>1400</v>
      </c>
      <c r="AC395" s="743" t="s">
        <v>1342</v>
      </c>
      <c r="AD395" s="267" t="s">
        <v>784</v>
      </c>
      <c r="AE395" s="4561">
        <v>0</v>
      </c>
      <c r="AF395" s="4561"/>
      <c r="AG395" s="4561"/>
      <c r="AH395" s="1099">
        <f>AG395-AF395</f>
        <v>0</v>
      </c>
      <c r="AI395" s="4561">
        <v>-761.5</v>
      </c>
      <c r="AJ395" s="4561">
        <f>_xlfn.SUMIFS(Экономия_корр!AE$25:AE$51,Экономия_корр!$F$25:$F$51,$F395,Экономия_корр!$AC$25:$AC$51,"Экономия расходов с учетом ИПЦ")</f>
        <v>0</v>
      </c>
      <c r="AK395" s="1268">
        <f>_xlfn.SUMIFS(Экономия_корр!AF$25:AF$51,Экономия_корр!$F$25:$F$51,$F395,Экономия_корр!$AC$25:$AC$51,"Экономия расходов с учетом ИПЦ")</f>
        <v>0</v>
      </c>
      <c r="AL395" s="1268">
        <f>_xlfn.SUMIFS(Экономия_корр!AG$25:AG$51,Экономия_корр!$F$25:$F$51,$F395,Экономия_корр!$AC$25:$AC$51,"Экономия расходов с учетом ИПЦ")</f>
        <v>0</v>
      </c>
      <c r="AM395" s="4561">
        <f>_xlfn.SUMIFS(Экономия_корр!AH$25:AH$51,Экономия_корр!$F$25:$F$51,$F395,Экономия_корр!$AC$25:$AC$51,"Экономия расходов с учетом ИПЦ")</f>
        <v>0</v>
      </c>
      <c r="AN395" s="4561">
        <f>_xlfn.SUMIFS(Экономия_корр!AI$25:AI$51,Экономия_корр!$F$25:$F$51,$F395,Экономия_корр!$AC$25:$AC$51,"Экономия расходов с учетом ИПЦ")</f>
        <v>0</v>
      </c>
      <c r="AO395" s="4561">
        <f>_xlfn.SUMIFS(Экономия_корр!AJ$25:AJ$51,Экономия_корр!$F$25:$F$51,$F395,Экономия_корр!$AC$25:$AC$51,"Экономия расходов с учетом ИПЦ")</f>
        <v>0</v>
      </c>
      <c r="AP395" s="4561">
        <f>_xlfn.SUMIFS(Экономия_корр!AK$25:AK$51,Экономия_корр!$F$25:$F$51,$F395,Экономия_корр!$AC$25:$AC$51,"Экономия расходов с учетом ИПЦ")</f>
        <v>0</v>
      </c>
      <c r="AQ395" s="4561">
        <f>_xlfn.SUMIFS(Экономия_корр!AL$25:AL$51,Экономия_корр!$F$25:$F$51,$F395,Экономия_корр!$AC$25:$AC$51,"Экономия расходов с учетом ИПЦ")</f>
        <v>0</v>
      </c>
      <c r="AR395" s="4561">
        <f>_xlfn.SUMIFS(Экономия_корр!AM$25:AM$51,Экономия_корр!$F$25:$F$51,$F395,Экономия_корр!$AC$25:$AC$51,"Экономия расходов с учетом ИПЦ")</f>
        <v>0</v>
      </c>
      <c r="AS395" s="4561">
        <f>_xlfn.SUMIFS(Экономия_корр!AN$25:AN$51,Экономия_корр!$F$25:$F$51,$F395,Экономия_корр!$AC$25:$AC$51,"Экономия расходов с учетом ИПЦ")</f>
        <v>0</v>
      </c>
      <c r="AT395" s="4561">
        <f>_xlfn.SUMIFS(Экономия_корр!AO$25:AO$51,Экономия_корр!$F$25:$F$51,$F395,Экономия_корр!$AC$25:$AC$51,"Экономия расходов с учетом ИПЦ")</f>
        <v>0</v>
      </c>
      <c r="AU395" s="1268">
        <f>_xlfn.SUMIFS(Экономия_корр!AP$25:AP$51,Экономия_корр!$F$25:$F$51,$F395,Экономия_корр!$AC$25:$AC$51,"Экономия расходов с учетом ИПЦ")</f>
        <v>0</v>
      </c>
      <c r="AV395" s="1268">
        <f>_xlfn.SUMIFS(Экономия_корр!AQ$25:AQ$51,Экономия_корр!$F$25:$F$51,$F395,Экономия_корр!$AC$25:$AC$51,"Экономия расходов с учетом ИПЦ")</f>
        <v>0</v>
      </c>
      <c r="AW395" s="4561">
        <f>_xlfn.SUMIFS(Экономия_корр!AR$25:AR$51,Экономия_корр!$F$25:$F$51,$F395,Экономия_корр!$AC$25:$AC$51,"Экономия расходов с учетом ИПЦ")</f>
        <v>0</v>
      </c>
      <c r="AX395" s="4561">
        <f>_xlfn.SUMIFS(Экономия_корр!AS$25:AS$51,Экономия_корр!$F$25:$F$51,$F395,Экономия_корр!$AC$25:$AC$51,"Экономия расходов с учетом ИПЦ")</f>
        <v>0</v>
      </c>
      <c r="AY395" s="4561">
        <f>_xlfn.SUMIFS(Экономия_корр!AT$25:AT$51,Экономия_корр!$F$25:$F$51,$F395,Экономия_корр!$AC$25:$AC$51,"Экономия расходов с учетом ИПЦ")</f>
        <v>0</v>
      </c>
      <c r="AZ395" s="4561">
        <f>_xlfn.SUMIFS(Экономия_корр!AU$25:AU$51,Экономия_корр!$F$25:$F$51,$F395,Экономия_корр!$AC$25:$AC$51,"Экономия расходов с учетом ИПЦ")</f>
        <v>0</v>
      </c>
      <c r="BA395" s="4561">
        <f>_xlfn.SUMIFS(Экономия_корр!AV$25:AV$51,Экономия_корр!$F$25:$F$51,$F395,Экономия_корр!$AC$25:$AC$51,"Экономия расходов с учетом ИПЦ")</f>
        <v>0</v>
      </c>
      <c r="BB395" s="4561">
        <f>_xlfn.SUMIFS(Экономия_корр!AW$25:AW$51,Экономия_корр!$F$25:$F$51,$F395,Экономия_корр!$AC$25:$AC$51,"Экономия расходов с учетом ИПЦ")</f>
        <v>0</v>
      </c>
      <c r="BC395" s="4561">
        <f>_xlfn.SUMIFS(Экономия_корр!AX$25:AX$51,Экономия_корр!$F$25:$F$51,$F395,Экономия_корр!$AC$25:$AC$51,"Экономия расходов с учетом ИПЦ")</f>
        <v>0</v>
      </c>
      <c r="BD395" s="1099">
        <f>IF(AI395=0,0,(AT395-AI395)/AI395*100)</f>
        <v>-100</v>
      </c>
      <c r="BE395" s="1099">
        <f>IF(AT395=0,0,(AU395-AT395)/AT395*100)</f>
        <v>0</v>
      </c>
      <c r="BF395" s="1099">
        <f>IF(AU395=0,0,(AV395-AU395)/AU395*100)</f>
        <v>0</v>
      </c>
      <c r="BG395" s="1099">
        <f>IF(AV395=0,0,(AW395-AV395)/AV395*100)</f>
        <v>0</v>
      </c>
      <c r="BH395" s="1099">
        <f>IF(AW395=0,0,(AX395-AW395)/AW395*100)</f>
        <v>0</v>
      </c>
      <c r="BI395" s="1099">
        <f>IF(AX395=0,0,(AY395-AX395)/AX395*100)</f>
        <v>0</v>
      </c>
      <c r="BJ395" s="1099">
        <f>IF(AY395=0,0,(AZ395-AY395)/AY395*100)</f>
        <v>0</v>
      </c>
      <c r="BK395" s="1099">
        <f>IF(AZ395=0,0,(BA395-AZ395)/AZ395*100)</f>
        <v>0</v>
      </c>
      <c r="BL395" s="1099">
        <f>IF(BA395=0,0,(BB395-BA395)/BA395*100)</f>
        <v>0</v>
      </c>
      <c r="BM395" s="1099">
        <f>IF(BB395=0,0,(BC395-BB395)/BB395*100)</f>
        <v>0</v>
      </c>
      <c r="BN395" s="4617"/>
      <c r="BO395" s="4617"/>
      <c r="BP395" s="4617"/>
      <c r="BQ395" s="960"/>
      <c r="BR395" s="960"/>
      <c r="BS395" s="1048" t="s">
        <v>1972</v>
      </c>
      <c r="BT395" s="1048"/>
      <c r="BU395" s="1048"/>
      <c r="BV395" s="962"/>
      <c r="BW395" s="962"/>
    </row>
    <row s="1621" customFormat="1" customHeight="1" ht="14.25">
      <c r="A396" s="960"/>
      <c r="B396" s="961"/>
      <c r="C396" s="73"/>
      <c r="D396" s="73"/>
      <c r="E396" s="600">
        <v>15</v>
      </c>
      <c r="F396" s="50" cm="1" t="str">
        <f t="array" ref="F396:F396">OFFSET(E396,-1,1)</f>
        <v>2</v>
      </c>
      <c r="G396" s="73" t="s">
        <v>1347</v>
      </c>
      <c r="H396" s="73"/>
      <c r="I396" s="73" t="s">
        <v>1973</v>
      </c>
      <c r="J396" s="73"/>
      <c r="K396" s="124" t="s">
        <v>1973</v>
      </c>
      <c r="L396" s="963"/>
      <c r="M396" s="73"/>
      <c r="N396" s="73"/>
      <c r="O396" s="73"/>
      <c r="P396" s="73"/>
      <c r="Q396" s="73"/>
      <c r="R396" s="73"/>
      <c r="S396" s="73"/>
      <c r="T396" s="439" cm="1" t="str">
        <f t="array" ref="T396:T396">T395</f>
        <v>true</v>
      </c>
      <c r="U396" s="73"/>
      <c r="V396" s="73"/>
      <c r="W396" s="73"/>
      <c r="X396" s="1534"/>
      <c r="Y396" s="960"/>
      <c r="Z396" s="1465"/>
      <c r="AA396" s="960"/>
      <c r="AB396" s="267" t="s">
        <v>1974</v>
      </c>
      <c r="AC396" s="743" t="s">
        <v>1347</v>
      </c>
      <c r="AD396" s="267" t="s">
        <v>784</v>
      </c>
      <c r="AE396" s="4561"/>
      <c r="AF396" s="4561"/>
      <c r="AG396" s="4561"/>
      <c r="AH396" s="1099">
        <f>AG396-AF396</f>
        <v>0</v>
      </c>
      <c r="AI396" s="4561"/>
      <c r="AJ396" s="4561"/>
      <c r="AK396" s="1268"/>
      <c r="AL396" s="1268"/>
      <c r="AM396" s="4561"/>
      <c r="AN396" s="4561"/>
      <c r="AO396" s="4561"/>
      <c r="AP396" s="4561"/>
      <c r="AQ396" s="4561"/>
      <c r="AR396" s="4561"/>
      <c r="AS396" s="4561"/>
      <c r="AT396" s="4561"/>
      <c r="AU396" s="1268"/>
      <c r="AV396" s="1268"/>
      <c r="AW396" s="4561"/>
      <c r="AX396" s="4561"/>
      <c r="AY396" s="4561"/>
      <c r="AZ396" s="4561"/>
      <c r="BA396" s="4561"/>
      <c r="BB396" s="4561"/>
      <c r="BC396" s="4561"/>
      <c r="BD396" s="1099">
        <f>IF(AI396=0,0,(AT396-AI396)/AI396*100)</f>
        <v>0</v>
      </c>
      <c r="BE396" s="1099">
        <f>IF(AT396=0,0,(AU396-AT396)/AT396*100)</f>
        <v>0</v>
      </c>
      <c r="BF396" s="1099">
        <f>IF(AU396=0,0,(AV396-AU396)/AU396*100)</f>
        <v>0</v>
      </c>
      <c r="BG396" s="1099">
        <f>IF(AV396=0,0,(AW396-AV396)/AV396*100)</f>
        <v>0</v>
      </c>
      <c r="BH396" s="1099">
        <f>IF(AW396=0,0,(AX396-AW396)/AW396*100)</f>
        <v>0</v>
      </c>
      <c r="BI396" s="1099">
        <f>IF(AX396=0,0,(AY396-AX396)/AX396*100)</f>
        <v>0</v>
      </c>
      <c r="BJ396" s="1099">
        <f>IF(AY396=0,0,(AZ396-AY396)/AY396*100)</f>
        <v>0</v>
      </c>
      <c r="BK396" s="1099">
        <f>IF(AZ396=0,0,(BA396-AZ396)/AZ396*100)</f>
        <v>0</v>
      </c>
      <c r="BL396" s="1099">
        <f>IF(BA396=0,0,(BB396-BA396)/BA396*100)</f>
        <v>0</v>
      </c>
      <c r="BM396" s="1099">
        <f>IF(BB396=0,0,(BC396-BB396)/BB396*100)</f>
        <v>0</v>
      </c>
      <c r="BN396" s="4617"/>
      <c r="BO396" s="4617"/>
      <c r="BP396" s="4617"/>
      <c r="BQ396" s="960"/>
      <c r="BR396" s="960"/>
      <c r="BS396" s="1048" t="s">
        <v>1704</v>
      </c>
      <c r="BT396" s="1048"/>
      <c r="BU396" s="1048"/>
      <c r="BV396" s="962"/>
      <c r="BW396" s="962"/>
    </row>
    <row s="1621" customFormat="1" customHeight="1" ht="14.25">
      <c r="A397" s="960"/>
      <c r="B397" s="961"/>
      <c r="C397" s="73"/>
      <c r="D397" s="73"/>
      <c r="E397" s="600">
        <v>15</v>
      </c>
      <c r="F397" s="50" cm="1" t="str">
        <f t="array" ref="F397:F397">OFFSET(E397,-1,1)</f>
        <v>2</v>
      </c>
      <c r="G397" s="73" t="s">
        <v>1352</v>
      </c>
      <c r="H397" s="73"/>
      <c r="I397" s="73" t="s">
        <v>1975</v>
      </c>
      <c r="J397" s="73"/>
      <c r="K397" s="124" t="s">
        <v>1975</v>
      </c>
      <c r="L397" s="963"/>
      <c r="M397" s="73"/>
      <c r="N397" s="73"/>
      <c r="O397" s="73"/>
      <c r="P397" s="73"/>
      <c r="Q397" s="73"/>
      <c r="R397" s="73"/>
      <c r="S397" s="73"/>
      <c r="T397" s="439" cm="1" t="str">
        <f t="array" ref="T397:T397">T396</f>
        <v>true</v>
      </c>
      <c r="U397" s="73"/>
      <c r="V397" s="73"/>
      <c r="W397" s="73"/>
      <c r="X397" s="1534"/>
      <c r="Y397" s="960"/>
      <c r="Z397" s="1465"/>
      <c r="AA397" s="960"/>
      <c r="AB397" s="267" t="s">
        <v>1419</v>
      </c>
      <c r="AC397" s="743" t="s">
        <v>1352</v>
      </c>
      <c r="AD397" s="267" t="s">
        <v>784</v>
      </c>
      <c r="AE397" s="4561"/>
      <c r="AF397" s="4561"/>
      <c r="AG397" s="4561"/>
      <c r="AH397" s="1099">
        <f>AG397-AF397</f>
        <v>0</v>
      </c>
      <c r="AI397" s="4561"/>
      <c r="AJ397" s="4561"/>
      <c r="AK397" s="1268"/>
      <c r="AL397" s="1268"/>
      <c r="AM397" s="4561"/>
      <c r="AN397" s="4561"/>
      <c r="AO397" s="4561"/>
      <c r="AP397" s="4561"/>
      <c r="AQ397" s="4561"/>
      <c r="AR397" s="4561"/>
      <c r="AS397" s="4561"/>
      <c r="AT397" s="4561"/>
      <c r="AU397" s="1268"/>
      <c r="AV397" s="1268"/>
      <c r="AW397" s="4561"/>
      <c r="AX397" s="4561"/>
      <c r="AY397" s="4561"/>
      <c r="AZ397" s="4561"/>
      <c r="BA397" s="4561"/>
      <c r="BB397" s="4561"/>
      <c r="BC397" s="4561"/>
      <c r="BD397" s="1099">
        <f>IF(AI397=0,0,(AT397-AI397)/AI397*100)</f>
        <v>0</v>
      </c>
      <c r="BE397" s="1099">
        <f>IF(AT397=0,0,(AU397-AT397)/AT397*100)</f>
        <v>0</v>
      </c>
      <c r="BF397" s="1099">
        <f>IF(AU397=0,0,(AV397-AU397)/AU397*100)</f>
        <v>0</v>
      </c>
      <c r="BG397" s="1099">
        <f>IF(AV397=0,0,(AW397-AV397)/AV397*100)</f>
        <v>0</v>
      </c>
      <c r="BH397" s="1099">
        <f>IF(AW397=0,0,(AX397-AW397)/AW397*100)</f>
        <v>0</v>
      </c>
      <c r="BI397" s="1099">
        <f>IF(AX397=0,0,(AY397-AX397)/AX397*100)</f>
        <v>0</v>
      </c>
      <c r="BJ397" s="1099">
        <f>IF(AY397=0,0,(AZ397-AY397)/AY397*100)</f>
        <v>0</v>
      </c>
      <c r="BK397" s="1099">
        <f>IF(AZ397=0,0,(BA397-AZ397)/AZ397*100)</f>
        <v>0</v>
      </c>
      <c r="BL397" s="1099">
        <f>IF(BA397=0,0,(BB397-BA397)/BA397*100)</f>
        <v>0</v>
      </c>
      <c r="BM397" s="1099">
        <f>IF(BB397=0,0,(BC397-BB397)/BB397*100)</f>
        <v>0</v>
      </c>
      <c r="BN397" s="4617"/>
      <c r="BO397" s="4617"/>
      <c r="BP397" s="4617"/>
      <c r="BQ397" s="960"/>
      <c r="BR397" s="960"/>
      <c r="BS397" s="1048" t="s">
        <v>1976</v>
      </c>
      <c r="BT397" s="1048"/>
      <c r="BU397" s="1048"/>
      <c r="BV397" s="962"/>
      <c r="BW397" s="962"/>
    </row>
    <row s="1621" customFormat="1" customHeight="1" ht="14.25">
      <c r="A398" s="960"/>
      <c r="B398" s="961"/>
      <c r="C398" s="73"/>
      <c r="D398" s="73"/>
      <c r="E398" s="600">
        <v>15</v>
      </c>
      <c r="F398" s="50" cm="1" t="str">
        <f t="array" ref="F398:F398">OFFSET(E398,-1,1)</f>
        <v>2</v>
      </c>
      <c r="G398" s="73" t="s">
        <v>1357</v>
      </c>
      <c r="H398" s="73"/>
      <c r="I398" s="73" t="s">
        <v>1977</v>
      </c>
      <c r="J398" s="73"/>
      <c r="K398" s="124" t="s">
        <v>1977</v>
      </c>
      <c r="L398" s="963"/>
      <c r="M398" s="73"/>
      <c r="N398" s="73"/>
      <c r="O398" s="73"/>
      <c r="P398" s="73"/>
      <c r="Q398" s="73"/>
      <c r="R398" s="73"/>
      <c r="S398" s="73"/>
      <c r="T398" s="439" cm="1" t="str">
        <f t="array" ref="T398:T398">T397</f>
        <v>true</v>
      </c>
      <c r="U398" s="73"/>
      <c r="V398" s="73"/>
      <c r="W398" s="73"/>
      <c r="X398" s="1534"/>
      <c r="Y398" s="960"/>
      <c r="Z398" s="1465"/>
      <c r="AA398" s="960"/>
      <c r="AB398" s="267" t="s">
        <v>1423</v>
      </c>
      <c r="AC398" s="743" t="s">
        <v>1357</v>
      </c>
      <c r="AD398" s="267" t="s">
        <v>784</v>
      </c>
      <c r="AE398" s="1101">
        <f>SUM(AE399,AE400)</f>
        <v>0</v>
      </c>
      <c r="AF398" s="1099">
        <f>SUM(AF399,AF400)</f>
        <v>0</v>
      </c>
      <c r="AG398" s="1099">
        <f>SUM(AG399,AG400)</f>
        <v>0</v>
      </c>
      <c r="AH398" s="1099">
        <f>AG398-AF398</f>
        <v>0</v>
      </c>
      <c r="AI398" s="1099">
        <f>SUM(AI399,AI400)</f>
        <v>0</v>
      </c>
      <c r="AJ398" s="1101">
        <f>SUM(AJ399,AJ400)</f>
        <v>0</v>
      </c>
      <c r="AK398" s="1099">
        <f>SUM(AK399,AK400)</f>
        <v>0</v>
      </c>
      <c r="AL398" s="1099">
        <f>SUM(AL399,AL400)</f>
        <v>0</v>
      </c>
      <c r="AM398" s="1099">
        <f>SUM(AM399,AM400)</f>
        <v>0</v>
      </c>
      <c r="AN398" s="1099">
        <f>SUM(AN399,AN400)</f>
        <v>0</v>
      </c>
      <c r="AO398" s="1099">
        <f>SUM(AO399,AO400)</f>
        <v>0</v>
      </c>
      <c r="AP398" s="1099">
        <f>SUM(AP399,AP400)</f>
        <v>0</v>
      </c>
      <c r="AQ398" s="1099">
        <f>SUM(AQ399,AQ400)</f>
        <v>0</v>
      </c>
      <c r="AR398" s="1099">
        <f>SUM(AR399,AR400)</f>
        <v>0</v>
      </c>
      <c r="AS398" s="1099">
        <f>SUM(AS399,AS400)</f>
        <v>0</v>
      </c>
      <c r="AT398" s="1101">
        <f>SUM(AT399,AT400)</f>
        <v>0</v>
      </c>
      <c r="AU398" s="1099">
        <f>SUM(AU399,AU400)</f>
        <v>0</v>
      </c>
      <c r="AV398" s="1099">
        <f>SUM(AV399,AV400)</f>
        <v>0</v>
      </c>
      <c r="AW398" s="1099">
        <f>SUM(AW399,AW400)</f>
        <v>0</v>
      </c>
      <c r="AX398" s="1099">
        <f>SUM(AX399,AX400)</f>
        <v>0</v>
      </c>
      <c r="AY398" s="1099">
        <f>SUM(AY399,AY400)</f>
        <v>0</v>
      </c>
      <c r="AZ398" s="1099">
        <f>SUM(AZ399,AZ400)</f>
        <v>0</v>
      </c>
      <c r="BA398" s="1099">
        <f>SUM(BA399,BA400)</f>
        <v>0</v>
      </c>
      <c r="BB398" s="1099">
        <f>SUM(BB399,BB400)</f>
        <v>0</v>
      </c>
      <c r="BC398" s="1099">
        <f>SUM(BC399,BC400)</f>
        <v>0</v>
      </c>
      <c r="BD398" s="1099">
        <f>IF(AI398=0,0,(AT398-AI398)/AI398*100)</f>
        <v>0</v>
      </c>
      <c r="BE398" s="1099">
        <f>IF(AT398=0,0,(AU398-AT398)/AT398*100)</f>
        <v>0</v>
      </c>
      <c r="BF398" s="1099">
        <f>IF(AU398=0,0,(AV398-AU398)/AU398*100)</f>
        <v>0</v>
      </c>
      <c r="BG398" s="1099">
        <f>IF(AV398=0,0,(AW398-AV398)/AV398*100)</f>
        <v>0</v>
      </c>
      <c r="BH398" s="1099">
        <f>IF(AW398=0,0,(AX398-AW398)/AW398*100)</f>
        <v>0</v>
      </c>
      <c r="BI398" s="1099">
        <f>IF(AX398=0,0,(AY398-AX398)/AX398*100)</f>
        <v>0</v>
      </c>
      <c r="BJ398" s="1099">
        <f>IF(AY398=0,0,(AZ398-AY398)/AY398*100)</f>
        <v>0</v>
      </c>
      <c r="BK398" s="1099">
        <f>IF(AZ398=0,0,(BA398-AZ398)/AZ398*100)</f>
        <v>0</v>
      </c>
      <c r="BL398" s="1099">
        <f>IF(BA398=0,0,(BB398-BA398)/BA398*100)</f>
        <v>0</v>
      </c>
      <c r="BM398" s="1099">
        <f>IF(BB398=0,0,(BC398-BB398)/BB398*100)</f>
        <v>0</v>
      </c>
      <c r="BN398" s="4617"/>
      <c r="BO398" s="4617"/>
      <c r="BP398" s="4617"/>
      <c r="BQ398" s="960"/>
      <c r="BR398" s="960"/>
      <c r="BS398" s="1048" t="s">
        <v>1978</v>
      </c>
      <c r="BT398" s="1048"/>
      <c r="BU398" s="1048"/>
      <c r="BV398" s="962"/>
      <c r="BW398" s="962"/>
    </row>
    <row s="1621" customFormat="1" customHeight="1" ht="14.25">
      <c r="A399" s="960"/>
      <c r="B399" s="961"/>
      <c r="C399" s="73"/>
      <c r="D399" s="73"/>
      <c r="E399" s="600">
        <v>15</v>
      </c>
      <c r="F399" s="50" cm="1" t="str">
        <f t="array" ref="F399:F399">OFFSET(E399,-1,1)</f>
        <v>2</v>
      </c>
      <c r="G399" s="73"/>
      <c r="H399" s="73"/>
      <c r="I399" s="73" t="s">
        <v>1979</v>
      </c>
      <c r="J399" s="73"/>
      <c r="K399" s="124" t="s">
        <v>1979</v>
      </c>
      <c r="L399" s="963"/>
      <c r="M399" s="73"/>
      <c r="N399" s="73"/>
      <c r="O399" s="73"/>
      <c r="P399" s="73"/>
      <c r="Q399" s="73"/>
      <c r="R399" s="73"/>
      <c r="S399" s="73"/>
      <c r="T399" s="439" cm="1" t="str">
        <f t="array" ref="T399:T399">T398</f>
        <v>true</v>
      </c>
      <c r="U399" s="73"/>
      <c r="V399" s="73"/>
      <c r="W399" s="73"/>
      <c r="X399" s="1534"/>
      <c r="Y399" s="960"/>
      <c r="Z399" s="1465"/>
      <c r="AA399" s="960"/>
      <c r="AB399" s="267" t="s">
        <v>1980</v>
      </c>
      <c r="AC399" s="746" t="s">
        <v>1981</v>
      </c>
      <c r="AD399" s="267" t="s">
        <v>784</v>
      </c>
      <c r="AE399" s="4561"/>
      <c r="AF399" s="4561"/>
      <c r="AG399" s="4561"/>
      <c r="AH399" s="1099">
        <f>AG399-AF399</f>
        <v>0</v>
      </c>
      <c r="AI399" s="4561"/>
      <c r="AJ399" s="4561"/>
      <c r="AK399" s="1268"/>
      <c r="AL399" s="1268"/>
      <c r="AM399" s="4561"/>
      <c r="AN399" s="4561"/>
      <c r="AO399" s="4561"/>
      <c r="AP399" s="4561"/>
      <c r="AQ399" s="4561"/>
      <c r="AR399" s="4561"/>
      <c r="AS399" s="4561"/>
      <c r="AT399" s="4561"/>
      <c r="AU399" s="1268"/>
      <c r="AV399" s="1268"/>
      <c r="AW399" s="4561"/>
      <c r="AX399" s="4561"/>
      <c r="AY399" s="4561"/>
      <c r="AZ399" s="4561"/>
      <c r="BA399" s="4561"/>
      <c r="BB399" s="4561"/>
      <c r="BC399" s="4561"/>
      <c r="BD399" s="1099">
        <f>IF(AI399=0,0,(AT399-AI399)/AI399*100)</f>
        <v>0</v>
      </c>
      <c r="BE399" s="1099">
        <f>IF(AT399=0,0,(AU399-AT399)/AT399*100)</f>
        <v>0</v>
      </c>
      <c r="BF399" s="1099">
        <f>IF(AU399=0,0,(AV399-AU399)/AU399*100)</f>
        <v>0</v>
      </c>
      <c r="BG399" s="1099">
        <f>IF(AV399=0,0,(AW399-AV399)/AV399*100)</f>
        <v>0</v>
      </c>
      <c r="BH399" s="1099">
        <f>IF(AW399=0,0,(AX399-AW399)/AW399*100)</f>
        <v>0</v>
      </c>
      <c r="BI399" s="1099">
        <f>IF(AX399=0,0,(AY399-AX399)/AX399*100)</f>
        <v>0</v>
      </c>
      <c r="BJ399" s="1099">
        <f>IF(AY399=0,0,(AZ399-AY399)/AY399*100)</f>
        <v>0</v>
      </c>
      <c r="BK399" s="1099">
        <f>IF(AZ399=0,0,(BA399-AZ399)/AZ399*100)</f>
        <v>0</v>
      </c>
      <c r="BL399" s="1099">
        <f>IF(BA399=0,0,(BB399-BA399)/BA399*100)</f>
        <v>0</v>
      </c>
      <c r="BM399" s="1099">
        <f>IF(BB399=0,0,(BC399-BB399)/BB399*100)</f>
        <v>0</v>
      </c>
      <c r="BN399" s="4617"/>
      <c r="BO399" s="4617"/>
      <c r="BP399" s="4617"/>
      <c r="BQ399" s="960"/>
      <c r="BR399" s="960"/>
      <c r="BS399" s="1048" t="s">
        <v>1144</v>
      </c>
      <c r="BT399" s="1048"/>
      <c r="BU399" s="1048"/>
      <c r="BV399" s="962"/>
      <c r="BW399" s="962"/>
    </row>
    <row s="1621" customFormat="1" customHeight="1" ht="14.25">
      <c r="A400" s="960"/>
      <c r="B400" s="961"/>
      <c r="C400" s="73"/>
      <c r="D400" s="73"/>
      <c r="E400" s="600">
        <v>15</v>
      </c>
      <c r="F400" s="50" cm="1" t="str">
        <f t="array" ref="F400:F400">OFFSET(E400,-1,1)</f>
        <v>2</v>
      </c>
      <c r="G400" s="73"/>
      <c r="H400" s="73"/>
      <c r="I400" s="73" t="s">
        <v>1982</v>
      </c>
      <c r="J400" s="73"/>
      <c r="K400" s="124" t="s">
        <v>1982</v>
      </c>
      <c r="L400" s="963" t="s">
        <v>857</v>
      </c>
      <c r="M400" s="73"/>
      <c r="N400" s="73"/>
      <c r="O400" s="73"/>
      <c r="P400" s="73"/>
      <c r="Q400" s="73"/>
      <c r="R400" s="73"/>
      <c r="S400" s="73"/>
      <c r="T400" s="439" cm="1" t="str">
        <f t="array" ref="T400:T400">T399</f>
        <v>true</v>
      </c>
      <c r="U400" s="73"/>
      <c r="V400" s="73"/>
      <c r="W400" s="73"/>
      <c r="X400" s="1534"/>
      <c r="Y400" s="960"/>
      <c r="Z400" s="1465"/>
      <c r="AA400" s="960"/>
      <c r="AB400" s="267" t="s">
        <v>1983</v>
      </c>
      <c r="AC400" s="746" t="s">
        <v>1984</v>
      </c>
      <c r="AD400" s="267" t="s">
        <v>784</v>
      </c>
      <c r="AE400" s="4561"/>
      <c r="AF400" s="4561"/>
      <c r="AG400" s="4561"/>
      <c r="AH400" s="1099">
        <f>AG400-AF400</f>
        <v>0</v>
      </c>
      <c r="AI400" s="4561"/>
      <c r="AJ400" s="4561"/>
      <c r="AK400" s="1268"/>
      <c r="AL400" s="1268"/>
      <c r="AM400" s="4561"/>
      <c r="AN400" s="4561"/>
      <c r="AO400" s="4561"/>
      <c r="AP400" s="4561"/>
      <c r="AQ400" s="4561"/>
      <c r="AR400" s="4561"/>
      <c r="AS400" s="4561"/>
      <c r="AT400" s="4561"/>
      <c r="AU400" s="1268"/>
      <c r="AV400" s="1268"/>
      <c r="AW400" s="4561"/>
      <c r="AX400" s="4561"/>
      <c r="AY400" s="4561"/>
      <c r="AZ400" s="4561"/>
      <c r="BA400" s="4561"/>
      <c r="BB400" s="4561"/>
      <c r="BC400" s="4561"/>
      <c r="BD400" s="1099">
        <f>IF(AI400=0,0,(AT400-AI400)/AI400*100)</f>
        <v>0</v>
      </c>
      <c r="BE400" s="1099">
        <f>IF(AT400=0,0,(AU400-AT400)/AT400*100)</f>
        <v>0</v>
      </c>
      <c r="BF400" s="1099">
        <f>IF(AU400=0,0,(AV400-AU400)/AU400*100)</f>
        <v>0</v>
      </c>
      <c r="BG400" s="1099">
        <f>IF(AV400=0,0,(AW400-AV400)/AV400*100)</f>
        <v>0</v>
      </c>
      <c r="BH400" s="1099">
        <f>IF(AW400=0,0,(AX400-AW400)/AW400*100)</f>
        <v>0</v>
      </c>
      <c r="BI400" s="1099">
        <f>IF(AX400=0,0,(AY400-AX400)/AX400*100)</f>
        <v>0</v>
      </c>
      <c r="BJ400" s="1099">
        <f>IF(AY400=0,0,(AZ400-AY400)/AY400*100)</f>
        <v>0</v>
      </c>
      <c r="BK400" s="1099">
        <f>IF(AZ400=0,0,(BA400-AZ400)/AZ400*100)</f>
        <v>0</v>
      </c>
      <c r="BL400" s="1099">
        <f>IF(BA400=0,0,(BB400-BA400)/BA400*100)</f>
        <v>0</v>
      </c>
      <c r="BM400" s="1099">
        <f>IF(BB400=0,0,(BC400-BB400)/BB400*100)</f>
        <v>0</v>
      </c>
      <c r="BN400" s="4617"/>
      <c r="BO400" s="4617"/>
      <c r="BP400" s="4617"/>
      <c r="BQ400" s="960"/>
      <c r="BR400" s="960"/>
      <c r="BS400" s="1048" t="s">
        <v>1985</v>
      </c>
      <c r="BT400" s="1048"/>
      <c r="BU400" s="1048"/>
      <c r="BV400" s="962"/>
      <c r="BW400" s="962"/>
    </row>
    <row s="1621" customFormat="1" customHeight="1" ht="21.75">
      <c r="A401" s="960"/>
      <c r="B401" s="961"/>
      <c r="C401" s="73"/>
      <c r="D401" s="73"/>
      <c r="E401" s="600">
        <v>22.5</v>
      </c>
      <c r="F401" s="50" cm="1" t="str">
        <f t="array" ref="F401:F401">OFFSET(E401,-1,1)</f>
        <v>2</v>
      </c>
      <c r="G401" s="73" t="s">
        <v>1362</v>
      </c>
      <c r="H401" s="73"/>
      <c r="I401" s="73" t="s">
        <v>1986</v>
      </c>
      <c r="J401" s="73"/>
      <c r="K401" s="124" t="s">
        <v>1986</v>
      </c>
      <c r="L401" s="963"/>
      <c r="M401" s="73"/>
      <c r="N401" s="73"/>
      <c r="O401" s="73"/>
      <c r="P401" s="73"/>
      <c r="Q401" s="73"/>
      <c r="R401" s="73"/>
      <c r="S401" s="73"/>
      <c r="T401" s="439" cm="1" t="str">
        <f t="array" ref="T401:T401">T400</f>
        <v>true</v>
      </c>
      <c r="U401" s="73"/>
      <c r="V401" s="73"/>
      <c r="W401" s="73"/>
      <c r="X401" s="1534"/>
      <c r="Y401" s="960"/>
      <c r="Z401" s="1465"/>
      <c r="AA401" s="960"/>
      <c r="AB401" s="267" t="s">
        <v>1426</v>
      </c>
      <c r="AC401" s="743" t="s">
        <v>1987</v>
      </c>
      <c r="AD401" s="267" t="s">
        <v>784</v>
      </c>
      <c r="AE401" s="4561"/>
      <c r="AF401" s="4561"/>
      <c r="AG401" s="4561"/>
      <c r="AH401" s="1099">
        <f>AG401-AF401</f>
        <v>0</v>
      </c>
      <c r="AI401" s="4561"/>
      <c r="AJ401" s="4561"/>
      <c r="AK401" s="1268"/>
      <c r="AL401" s="1268"/>
      <c r="AM401" s="4561"/>
      <c r="AN401" s="4561"/>
      <c r="AO401" s="4561"/>
      <c r="AP401" s="4561"/>
      <c r="AQ401" s="4561"/>
      <c r="AR401" s="4561"/>
      <c r="AS401" s="4561"/>
      <c r="AT401" s="4561"/>
      <c r="AU401" s="1268"/>
      <c r="AV401" s="1268"/>
      <c r="AW401" s="4561"/>
      <c r="AX401" s="4561"/>
      <c r="AY401" s="4561"/>
      <c r="AZ401" s="4561"/>
      <c r="BA401" s="4561"/>
      <c r="BB401" s="4561"/>
      <c r="BC401" s="4561"/>
      <c r="BD401" s="1099">
        <f>IF(AI401=0,0,(AT401-AI401)/AI401*100)</f>
        <v>0</v>
      </c>
      <c r="BE401" s="1099">
        <f>IF(AT401=0,0,(AU401-AT401)/AT401*100)</f>
        <v>0</v>
      </c>
      <c r="BF401" s="1099">
        <f>IF(AU401=0,0,(AV401-AU401)/AU401*100)</f>
        <v>0</v>
      </c>
      <c r="BG401" s="1099">
        <f>IF(AV401=0,0,(AW401-AV401)/AV401*100)</f>
        <v>0</v>
      </c>
      <c r="BH401" s="1099">
        <f>IF(AW401=0,0,(AX401-AW401)/AW401*100)</f>
        <v>0</v>
      </c>
      <c r="BI401" s="1099">
        <f>IF(AX401=0,0,(AY401-AX401)/AX401*100)</f>
        <v>0</v>
      </c>
      <c r="BJ401" s="1099">
        <f>IF(AY401=0,0,(AZ401-AY401)/AY401*100)</f>
        <v>0</v>
      </c>
      <c r="BK401" s="1099">
        <f>IF(AZ401=0,0,(BA401-AZ401)/AZ401*100)</f>
        <v>0</v>
      </c>
      <c r="BL401" s="1099">
        <f>IF(BA401=0,0,(BB401-BA401)/BA401*100)</f>
        <v>0</v>
      </c>
      <c r="BM401" s="1099">
        <f>IF(BB401=0,0,(BC401-BB401)/BB401*100)</f>
        <v>0</v>
      </c>
      <c r="BN401" s="4617"/>
      <c r="BO401" s="4617"/>
      <c r="BP401" s="4617"/>
      <c r="BQ401" s="960"/>
      <c r="BR401" s="960"/>
      <c r="BS401" s="1048" t="s">
        <v>1988</v>
      </c>
      <c r="BT401" s="1048"/>
      <c r="BU401" s="1048"/>
      <c r="BV401" s="962"/>
      <c r="BW401" s="962"/>
    </row>
    <row s="4727" customFormat="1" customHeight="1" ht="138.75">
      <c r="A402" s="680"/>
      <c r="B402" s="408"/>
      <c r="C402" s="75"/>
      <c r="D402" s="75"/>
      <c r="E402" s="807">
        <v>21</v>
      </c>
      <c r="F402" s="50" cm="1" t="str">
        <f t="array" ref="F402:F402">OFFSET(E402,-1,1)</f>
        <v>2</v>
      </c>
      <c r="G402" s="73" t="s">
        <v>1989</v>
      </c>
      <c r="H402" s="73"/>
      <c r="I402" s="73" t="s">
        <v>327</v>
      </c>
      <c r="J402" s="75"/>
      <c r="K402" s="124" t="s">
        <v>327</v>
      </c>
      <c r="L402" s="968" t="s">
        <v>1219</v>
      </c>
      <c r="M402" s="75"/>
      <c r="N402" s="75"/>
      <c r="O402" s="75"/>
      <c r="P402" s="75"/>
      <c r="Q402" s="75"/>
      <c r="R402" s="75"/>
      <c r="S402" s="75"/>
      <c r="T402" s="439" cm="1" t="str">
        <f t="array" ref="T402:T402">T401</f>
        <v>true</v>
      </c>
      <c r="U402" s="75"/>
      <c r="V402" s="75"/>
      <c r="W402" s="75"/>
      <c r="X402" s="1534"/>
      <c r="Y402" s="680"/>
      <c r="Z402" s="1465"/>
      <c r="AA402" s="680"/>
      <c r="AB402" s="178" t="s">
        <v>323</v>
      </c>
      <c r="AC402" s="179" t="s">
        <v>1990</v>
      </c>
      <c r="AD402" s="178" t="s">
        <v>784</v>
      </c>
      <c r="AE402" s="759">
        <f>_xlfn.SUMIFS(ЭЭ!AE$25:AE$93,ЭЭ!$F$25:$F$93,$F402,ЭЭ!$AC$25:$AC$93,"Всего по тарифу")</f>
        <v>515.5806411857</v>
      </c>
      <c r="AF402" s="759">
        <f>_xlfn.SUMIFS(ЭЭ!AF$25:AF$93,ЭЭ!$F$25:$F$93,$F402,ЭЭ!$AC$25:$AC$93,"Всего по тарифу")</f>
        <v>301.8922260161</v>
      </c>
      <c r="AG402" s="759">
        <f>_xlfn.SUMIFS(ЭЭ!AG$25:AG$93,ЭЭ!$F$25:$F$93,$F402,ЭЭ!$AC$25:$AC$93,"Всего по тарифу")</f>
        <v>301.8922260161</v>
      </c>
      <c r="AH402" s="759">
        <f>AG402-AF402</f>
        <v>0</v>
      </c>
      <c r="AI402" s="759">
        <f>_xlfn.SUMIFS(ЭЭ!AH$25:AH$93,ЭЭ!$F$25:$F$93,$F402,ЭЭ!$AC$25:$AC$93,"Всего по тарифу")</f>
        <v>590.1692517201</v>
      </c>
      <c r="AJ402" s="759">
        <f>_xlfn.SUMIFS(ЭЭ!AI$25:AI$93,ЭЭ!$F$25:$F$93,$F402,ЭЭ!$AC$25:$AC$93,"Всего по тарифу")</f>
        <v>313.6659</v>
      </c>
      <c r="AK402" s="759">
        <f>_xlfn.SUMIFS(ЭЭ!AJ$25:AJ$93,ЭЭ!$F$25:$F$93,$F402,ЭЭ!$AC$25:$AC$93,"Всего по тарифу")</f>
        <v>0</v>
      </c>
      <c r="AL402" s="759">
        <f>_xlfn.SUMIFS(ЭЭ!AK$25:AK$93,ЭЭ!$F$25:$F$93,$F402,ЭЭ!$AC$25:$AC$93,"Всего по тарифу")</f>
        <v>0</v>
      </c>
      <c r="AM402" s="759">
        <f>_xlfn.SUMIFS(ЭЭ!AL$25:AL$93,ЭЭ!$F$25:$F$93,$F402,ЭЭ!$AC$25:$AC$93,"Всего по тарифу")</f>
        <v>0</v>
      </c>
      <c r="AN402" s="759">
        <f>_xlfn.SUMIFS(ЭЭ!AM$25:AM$93,ЭЭ!$F$25:$F$93,$F402,ЭЭ!$AC$25:$AC$93,"Всего по тарифу")</f>
        <v>0</v>
      </c>
      <c r="AO402" s="759">
        <f>_xlfn.SUMIFS(ЭЭ!AN$25:AN$93,ЭЭ!$F$25:$F$93,$F402,ЭЭ!$AC$25:$AC$93,"Всего по тарифу")</f>
        <v>0</v>
      </c>
      <c r="AP402" s="759">
        <f>_xlfn.SUMIFS(ЭЭ!AO$25:AO$93,ЭЭ!$F$25:$F$93,$F402,ЭЭ!$AC$25:$AC$93,"Всего по тарифу")</f>
        <v>0</v>
      </c>
      <c r="AQ402" s="759">
        <f>_xlfn.SUMIFS(ЭЭ!AP$25:AP$93,ЭЭ!$F$25:$F$93,$F402,ЭЭ!$AC$25:$AC$93,"Всего по тарифу")</f>
        <v>0</v>
      </c>
      <c r="AR402" s="759">
        <f>_xlfn.SUMIFS(ЭЭ!AQ$25:AQ$93,ЭЭ!$F$25:$F$93,$F402,ЭЭ!$AC$25:$AC$93,"Всего по тарифу")</f>
        <v>0</v>
      </c>
      <c r="AS402" s="759">
        <f>_xlfn.SUMIFS(ЭЭ!AR$25:AR$93,ЭЭ!$F$25:$F$93,$F402,ЭЭ!$AC$25:$AC$93,"Всего по тарифу")</f>
        <v>0</v>
      </c>
      <c r="AT402" s="759">
        <f>_xlfn.SUMIFS(ЭЭ!AS$25:AS$93,ЭЭ!$F$25:$F$93,$F402,ЭЭ!$AC$25:$AC$93,"Всего по тарифу")</f>
        <v>602.6409307544</v>
      </c>
      <c r="AU402" s="759">
        <f>_xlfn.SUMIFS(ЭЭ!AT$25:AT$93,ЭЭ!$F$25:$F$93,$F402,ЭЭ!$AC$25:$AC$93,"Всего по тарифу")</f>
        <v>0</v>
      </c>
      <c r="AV402" s="759">
        <f>_xlfn.SUMIFS(ЭЭ!AU$25:AU$93,ЭЭ!$F$25:$F$93,$F402,ЭЭ!$AC$25:$AC$93,"Всего по тарифу")</f>
        <v>0</v>
      </c>
      <c r="AW402" s="759">
        <f>_xlfn.SUMIFS(ЭЭ!AV$25:AV$93,ЭЭ!$F$25:$F$93,$F402,ЭЭ!$AC$25:$AC$93,"Всего по тарифу")</f>
        <v>0</v>
      </c>
      <c r="AX402" s="759">
        <f>_xlfn.SUMIFS(ЭЭ!AW$25:AW$93,ЭЭ!$F$25:$F$93,$F402,ЭЭ!$AC$25:$AC$93,"Всего по тарифу")</f>
        <v>0</v>
      </c>
      <c r="AY402" s="759">
        <f>_xlfn.SUMIFS(ЭЭ!AX$25:AX$93,ЭЭ!$F$25:$F$93,$F402,ЭЭ!$AC$25:$AC$93,"Всего по тарифу")</f>
        <v>0</v>
      </c>
      <c r="AZ402" s="759">
        <f>_xlfn.SUMIFS(ЭЭ!AY$25:AY$93,ЭЭ!$F$25:$F$93,$F402,ЭЭ!$AC$25:$AC$93,"Всего по тарифу")</f>
        <v>0</v>
      </c>
      <c r="BA402" s="759">
        <f>_xlfn.SUMIFS(ЭЭ!AZ$25:AZ$93,ЭЭ!$F$25:$F$93,$F402,ЭЭ!$AC$25:$AC$93,"Всего по тарифу")</f>
        <v>0</v>
      </c>
      <c r="BB402" s="759">
        <f>_xlfn.SUMIFS(ЭЭ!BA$25:BA$93,ЭЭ!$F$25:$F$93,$F402,ЭЭ!$AC$25:$AC$93,"Всего по тарифу")</f>
        <v>0</v>
      </c>
      <c r="BC402" s="759">
        <f>_xlfn.SUMIFS(ЭЭ!BB$25:BB$93,ЭЭ!$F$25:$F$93,$F402,ЭЭ!$AC$25:$AC$93,"Всего по тарифу")</f>
        <v>0</v>
      </c>
      <c r="BD402" s="759">
        <f>IF(AI402=0,0,(AT402-AI402)/AI402*100)</f>
        <v>2.11323768528269</v>
      </c>
      <c r="BE402" s="759">
        <f>IF(AT402=0,0,(AU402-AT402)/AT402*100)</f>
        <v>-100</v>
      </c>
      <c r="BF402" s="759">
        <f>IF(AU402=0,0,(AV402-AU402)/AU402*100)</f>
        <v>0</v>
      </c>
      <c r="BG402" s="759">
        <f>IF(AV402=0,0,(AW402-AV402)/AV402*100)</f>
        <v>0</v>
      </c>
      <c r="BH402" s="759">
        <f>IF(AW402=0,0,(AX402-AW402)/AW402*100)</f>
        <v>0</v>
      </c>
      <c r="BI402" s="759">
        <f>IF(AX402=0,0,(AY402-AX402)/AX402*100)</f>
        <v>0</v>
      </c>
      <c r="BJ402" s="759">
        <f>IF(AY402=0,0,(AZ402-AY402)/AY402*100)</f>
        <v>0</v>
      </c>
      <c r="BK402" s="759">
        <f>IF(AZ402=0,0,(BA402-AZ402)/AZ402*100)</f>
        <v>0</v>
      </c>
      <c r="BL402" s="759">
        <f>IF(BA402=0,0,(BB402-BA402)/BA402*100)</f>
        <v>0</v>
      </c>
      <c r="BM402" s="759">
        <f>IF(BB402=0,0,(BC402-BB402)/BB402*100)</f>
        <v>0</v>
      </c>
      <c r="BN402" s="4617"/>
      <c r="BO402" s="4667" t="s">
        <v>840</v>
      </c>
      <c r="BP402" s="4617" t="s">
        <v>2080</v>
      </c>
      <c r="BQ402" s="680"/>
      <c r="BR402" s="680"/>
      <c r="BS402" s="1054" t="s">
        <v>1598</v>
      </c>
      <c r="BT402" s="1054"/>
      <c r="BU402" s="1054"/>
      <c r="BV402" s="687"/>
      <c r="BW402" s="687"/>
    </row>
    <row s="4728" customFormat="1" customHeight="1" ht="243.75">
      <c r="A403" s="680"/>
      <c r="B403" s="128">
        <f>method_reg="Метод индексации"</f>
        <v>1</v>
      </c>
      <c r="C403" s="75"/>
      <c r="D403" s="75"/>
      <c r="E403" s="807">
        <v>22.5</v>
      </c>
      <c r="F403" s="50" cm="1" t="str">
        <f t="array" ref="F403:F403">OFFSET(E403,-1,1)</f>
        <v>2</v>
      </c>
      <c r="G403" s="73" t="s">
        <v>1384</v>
      </c>
      <c r="H403" s="73"/>
      <c r="I403" s="73" t="s">
        <v>329</v>
      </c>
      <c r="J403" s="75"/>
      <c r="K403" s="124"/>
      <c r="L403" s="968" t="s">
        <v>328</v>
      </c>
      <c r="M403" s="75"/>
      <c r="N403" s="75"/>
      <c r="O403" s="75"/>
      <c r="P403" s="75"/>
      <c r="Q403" s="75"/>
      <c r="R403" s="75"/>
      <c r="S403" s="75"/>
      <c r="T403" s="439" cm="1" t="str">
        <f t="array" ref="T403:T403">T402</f>
        <v>true</v>
      </c>
      <c r="U403" s="75"/>
      <c r="V403" s="75"/>
      <c r="W403" s="75"/>
      <c r="X403" s="1534"/>
      <c r="Y403" s="680"/>
      <c r="Z403" s="1465"/>
      <c r="AA403" s="680"/>
      <c r="AB403" s="178" t="s">
        <v>536</v>
      </c>
      <c r="AC403" s="179" t="s">
        <v>1991</v>
      </c>
      <c r="AD403" s="178" t="s">
        <v>784</v>
      </c>
      <c r="AE403" s="759">
        <f>_xlfn.SUMIFS(Амортизация!AE$25:AE$174,Амортизация!$F$25:$F$174,$F403,Амортизация!$AC$25:$AC$174,"Сумма амортизационных отчислений")</f>
        <v>0</v>
      </c>
      <c r="AF403" s="759">
        <f>_xlfn.SUMIFS(Амортизация!AF$25:AF$174,Амортизация!$F$25:$F$174,$F403,Амортизация!$AC$25:$AC$174,"Сумма амортизационных отчислений")</f>
        <v>3149.81176</v>
      </c>
      <c r="AG403" s="759">
        <f>_xlfn.SUMIFS(Амортизация!AG$25:AG$174,Амортизация!$F$25:$F$174,$F403,Амортизация!$AC$25:$AC$174,"Сумма амортизационных отчислений")</f>
        <v>19.3129358333</v>
      </c>
      <c r="AH403" s="759">
        <f>AG403-AF403</f>
        <v>-3130.4988241667</v>
      </c>
      <c r="AI403" s="759">
        <f>_xlfn.SUMIFS(Амортизация!AH$25:AH$174,Амортизация!$F$25:$F$174,$F403,Амортизация!$AC$25:$AC$174,"Сумма амортизационных отчислений")</f>
        <v>19.3129358333</v>
      </c>
      <c r="AJ403" s="759">
        <f>_xlfn.SUMIFS(Амортизация!AI$25:AI$174,Амортизация!$F$25:$F$174,$F403,Амортизация!$AC$25:$AC$174,"Сумма амортизационных отчислений")</f>
        <v>3144.4416</v>
      </c>
      <c r="AK403" s="759">
        <f>_xlfn.SUMIFS(Амортизация!AJ$25:AJ$174,Амортизация!$F$25:$F$174,$F403,Амортизация!$AC$25:$AC$174,"Сумма амортизационных отчислений")</f>
        <v>0</v>
      </c>
      <c r="AL403" s="759">
        <f>_xlfn.SUMIFS(Амортизация!AK$25:AK$174,Амортизация!$F$25:$F$174,$F403,Амортизация!$AC$25:$AC$174,"Сумма амортизационных отчислений")</f>
        <v>0</v>
      </c>
      <c r="AM403" s="759">
        <f>_xlfn.SUMIFS(Амортизация!AL$25:AL$174,Амортизация!$F$25:$F$174,$F403,Амортизация!$AC$25:$AC$174,"Сумма амортизационных отчислений")</f>
        <v>0</v>
      </c>
      <c r="AN403" s="759">
        <f>_xlfn.SUMIFS(Амортизация!AM$25:AM$174,Амортизация!$F$25:$F$174,$F403,Амортизация!$AC$25:$AC$174,"Сумма амортизационных отчислений")</f>
        <v>0</v>
      </c>
      <c r="AO403" s="759">
        <f>_xlfn.SUMIFS(Амортизация!AN$25:AN$174,Амортизация!$F$25:$F$174,$F403,Амортизация!$AC$25:$AC$174,"Сумма амортизационных отчислений")</f>
        <v>0</v>
      </c>
      <c r="AP403" s="759">
        <f>_xlfn.SUMIFS(Амортизация!AO$25:AO$174,Амортизация!$F$25:$F$174,$F403,Амортизация!$AC$25:$AC$174,"Сумма амортизационных отчислений")</f>
        <v>0</v>
      </c>
      <c r="AQ403" s="759">
        <f>_xlfn.SUMIFS(Амортизация!AP$25:AP$174,Амортизация!$F$25:$F$174,$F403,Амортизация!$AC$25:$AC$174,"Сумма амортизационных отчислений")</f>
        <v>0</v>
      </c>
      <c r="AR403" s="759">
        <f>_xlfn.SUMIFS(Амортизация!AQ$25:AQ$174,Амортизация!$F$25:$F$174,$F403,Амортизация!$AC$25:$AC$174,"Сумма амортизационных отчислений")</f>
        <v>0</v>
      </c>
      <c r="AS403" s="759">
        <f>_xlfn.SUMIFS(Амортизация!AR$25:AR$174,Амортизация!$F$25:$F$174,$F403,Амортизация!$AC$25:$AC$174,"Сумма амортизационных отчислений")</f>
        <v>0</v>
      </c>
      <c r="AT403" s="759">
        <f>_xlfn.SUMIFS(Амортизация!AS$25:AS$174,Амортизация!$F$25:$F$174,$F403,Амортизация!$AC$25:$AC$174,"Сумма амортизационных отчислений")</f>
        <v>19.3129358333</v>
      </c>
      <c r="AU403" s="759">
        <f>_xlfn.SUMIFS(Амортизация!AT$25:AT$174,Амортизация!$F$25:$F$174,$F403,Амортизация!$AC$25:$AC$174,"Сумма амортизационных отчислений")</f>
        <v>0</v>
      </c>
      <c r="AV403" s="759">
        <f>_xlfn.SUMIFS(Амортизация!AU$25:AU$174,Амортизация!$F$25:$F$174,$F403,Амортизация!$AC$25:$AC$174,"Сумма амортизационных отчислений")</f>
        <v>0</v>
      </c>
      <c r="AW403" s="759">
        <f>_xlfn.SUMIFS(Амортизация!AV$25:AV$174,Амортизация!$F$25:$F$174,$F403,Амортизация!$AC$25:$AC$174,"Сумма амортизационных отчислений")</f>
        <v>0</v>
      </c>
      <c r="AX403" s="759">
        <f>_xlfn.SUMIFS(Амортизация!AW$25:AW$174,Амортизация!$F$25:$F$174,$F403,Амортизация!$AC$25:$AC$174,"Сумма амортизационных отчислений")</f>
        <v>0</v>
      </c>
      <c r="AY403" s="759">
        <f>_xlfn.SUMIFS(Амортизация!AX$25:AX$174,Амортизация!$F$25:$F$174,$F403,Амортизация!$AC$25:$AC$174,"Сумма амортизационных отчислений")</f>
        <v>0</v>
      </c>
      <c r="AZ403" s="759">
        <f>_xlfn.SUMIFS(Амортизация!AY$25:AY$174,Амортизация!$F$25:$F$174,$F403,Амортизация!$AC$25:$AC$174,"Сумма амортизационных отчислений")</f>
        <v>0</v>
      </c>
      <c r="BA403" s="759">
        <f>_xlfn.SUMIFS(Амортизация!AZ$25:AZ$174,Амортизация!$F$25:$F$174,$F403,Амортизация!$AC$25:$AC$174,"Сумма амортизационных отчислений")</f>
        <v>0</v>
      </c>
      <c r="BB403" s="759">
        <f>_xlfn.SUMIFS(Амортизация!BA$25:BA$174,Амортизация!$F$25:$F$174,$F403,Амортизация!$AC$25:$AC$174,"Сумма амортизационных отчислений")</f>
        <v>0</v>
      </c>
      <c r="BC403" s="759">
        <f>_xlfn.SUMIFS(Амортизация!BB$25:BB$174,Амортизация!$F$25:$F$174,$F403,Амортизация!$AC$25:$AC$174,"Сумма амортизационных отчислений")</f>
        <v>0</v>
      </c>
      <c r="BD403" s="759">
        <f>IF(AI403=0,0,(AT403-AI403)/AI403*100)</f>
        <v>0</v>
      </c>
      <c r="BE403" s="759">
        <f>IF(AT403=0,0,(AU403-AT403)/AT403*100)</f>
        <v>-100</v>
      </c>
      <c r="BF403" s="759">
        <f>IF(AU403=0,0,(AV403-AU403)/AU403*100)</f>
        <v>0</v>
      </c>
      <c r="BG403" s="759">
        <f>IF(AV403=0,0,(AW403-AV403)/AV403*100)</f>
        <v>0</v>
      </c>
      <c r="BH403" s="759">
        <f>IF(AW403=0,0,(AX403-AW403)/AW403*100)</f>
        <v>0</v>
      </c>
      <c r="BI403" s="759">
        <f>IF(AX403=0,0,(AY403-AX403)/AX403*100)</f>
        <v>0</v>
      </c>
      <c r="BJ403" s="759">
        <f>IF(AY403=0,0,(AZ403-AY403)/AY403*100)</f>
        <v>0</v>
      </c>
      <c r="BK403" s="759">
        <f>IF(AZ403=0,0,(BA403-AZ403)/AZ403*100)</f>
        <v>0</v>
      </c>
      <c r="BL403" s="759">
        <f>IF(BA403=0,0,(BB403-BA403)/BA403*100)</f>
        <v>0</v>
      </c>
      <c r="BM403" s="759">
        <f>IF(BB403=0,0,(BC403-BB403)/BB403*100)</f>
        <v>0</v>
      </c>
      <c r="BN403" s="4617"/>
      <c r="BO403" s="4619" t="s">
        <v>2081</v>
      </c>
      <c r="BP403" s="4617" t="s">
        <v>2082</v>
      </c>
      <c r="BQ403" s="680"/>
      <c r="BR403" s="680"/>
      <c r="BS403" s="1054" t="s">
        <v>1123</v>
      </c>
      <c r="BT403" s="1054"/>
      <c r="BU403" s="1054"/>
      <c r="BV403" s="687"/>
      <c r="BW403" s="687"/>
    </row>
    <row s="1621" customFormat="1" customHeight="1" ht="14.25">
      <c r="A404" s="960"/>
      <c r="B404" s="405" cm="1" t="str">
        <f t="array" ref="B404:B404">B403</f>
        <v>true</v>
      </c>
      <c r="C404" s="73"/>
      <c r="D404" s="73"/>
      <c r="E404" s="600">
        <v>15</v>
      </c>
      <c r="F404" s="50" cm="1" t="str">
        <f t="array" ref="F404:F404">OFFSET(E404,-1,1)</f>
        <v>2</v>
      </c>
      <c r="G404" s="73"/>
      <c r="H404" s="73"/>
      <c r="I404" s="73" t="s">
        <v>514</v>
      </c>
      <c r="J404" s="73"/>
      <c r="K404" s="960"/>
      <c r="L404" s="963" t="s">
        <v>528</v>
      </c>
      <c r="M404" s="73"/>
      <c r="N404" s="73"/>
      <c r="O404" s="73"/>
      <c r="P404" s="73"/>
      <c r="Q404" s="73"/>
      <c r="R404" s="73"/>
      <c r="S404" s="73"/>
      <c r="T404" s="439" cm="1" t="str">
        <f t="array" ref="T404:T404">T403</f>
        <v>true</v>
      </c>
      <c r="U404" s="73"/>
      <c r="V404" s="73"/>
      <c r="W404" s="73"/>
      <c r="X404" s="1534"/>
      <c r="Y404" s="960"/>
      <c r="Z404" s="1465"/>
      <c r="AA404" s="960"/>
      <c r="AB404" s="267" t="s">
        <v>652</v>
      </c>
      <c r="AC404" s="743" t="s">
        <v>1691</v>
      </c>
      <c r="AD404" s="267" t="s">
        <v>784</v>
      </c>
      <c r="AE404" s="4561">
        <f>_xlfn.SUMIFS('ИП + источники'!AF$27:AF$116,'ИП + источники'!$F$27:$F$116,$F404,'ИП + источники'!$AC$27:$AC$116,"Амортизационные отчисления")+_xlfn.SUMIFS('ИП + источники'!AF$27:AF$116,'ИП + источники'!$F$27:$F$116,$F404,'ИП + источники'!$AC$27:$AC$116,"погашение займов и кредитов из амортизации")</f>
        <v>0</v>
      </c>
      <c r="AF404" s="4561">
        <f>_xlfn.SUMIFS('ИП + источники'!AG$27:AG$116,'ИП + источники'!$F$27:$F$116,$F404,'ИП + источники'!$AC$27:$AC$116,"Амортизационные отчисления")+_xlfn.SUMIFS('ИП + источники'!AG$27:AG$116,'ИП + источники'!$F$27:$F$116,$F404,'ИП + источники'!$AC$27:$AC$116,"погашение займов и кредитов из амортизации")</f>
        <v>0</v>
      </c>
      <c r="AG404" s="4561">
        <f>_xlfn.SUMIFS('ИП + источники'!AH$27:AH$116,'ИП + источники'!$F$27:$F$116,$F404,'ИП + источники'!$AC$27:$AC$116,"Амортизационные отчисления")+_xlfn.SUMIFS('ИП + источники'!AH$27:AH$116,'ИП + источники'!$F$27:$F$116,$F404,'ИП + источники'!$AC$27:$AC$116,"погашение займов и кредитов из амортизации")</f>
        <v>0</v>
      </c>
      <c r="AH404" s="1099">
        <f>AG404-AF404</f>
        <v>0</v>
      </c>
      <c r="AI404" s="4561">
        <f>_xlfn.SUMIFS('ИП + источники'!AJ$27:AJ$116,'ИП + источники'!$F$27:$F$116,$F404,'ИП + источники'!$AC$27:$AC$116,"Амортизационные отчисления")+_xlfn.SUMIFS('ИП + источники'!AJ$27:AJ$116,'ИП + источники'!$F$27:$F$116,$F404,'ИП + источники'!$AC$27:$AC$116,"погашение займов и кредитов из амортизации")</f>
        <v>0</v>
      </c>
      <c r="AJ404" s="4561">
        <f>_xlfn.SUMIFS('ИП + источники'!AK$27:AK$116,'ИП + источники'!$F$27:$F$116,$F404,'ИП + источники'!$AC$27:$AC$116,"Амортизационные отчисления")+_xlfn.SUMIFS('ИП + источники'!AK$27:AK$116,'ИП + источники'!$F$27:$F$116,$F404,'ИП + источники'!$AC$27:$AC$116,"погашение займов и кредитов из амортизации")</f>
        <v>0</v>
      </c>
      <c r="AK404" s="1268">
        <f>_xlfn.SUMIFS('ИП + источники'!AL$27:AL$116,'ИП + источники'!$F$27:$F$116,$F404,'ИП + источники'!$AC$27:$AC$116,"Амортизационные отчисления")+_xlfn.SUMIFS('ИП + источники'!AL$27:AL$116,'ИП + источники'!$F$27:$F$116,$F404,'ИП + источники'!$AC$27:$AC$116,"погашение займов и кредитов из амортизации")</f>
        <v>0</v>
      </c>
      <c r="AL404" s="1268">
        <f>_xlfn.SUMIFS('ИП + источники'!AM$27:AM$116,'ИП + источники'!$F$27:$F$116,$F404,'ИП + источники'!$AC$27:$AC$116,"Амортизационные отчисления")+_xlfn.SUMIFS('ИП + источники'!AM$27:AM$116,'ИП + источники'!$F$27:$F$116,$F404,'ИП + источники'!$AC$27:$AC$116,"погашение займов и кредитов из амортизации")</f>
        <v>0</v>
      </c>
      <c r="AM404" s="4561">
        <f>_xlfn.SUMIFS('ИП + источники'!AN$27:AN$116,'ИП + источники'!$F$27:$F$116,$F404,'ИП + источники'!$AC$27:$AC$116,"Амортизационные отчисления")+_xlfn.SUMIFS('ИП + источники'!AN$27:AN$116,'ИП + источники'!$F$27:$F$116,$F404,'ИП + источники'!$AC$27:$AC$116,"погашение займов и кредитов из амортизации")</f>
        <v>0</v>
      </c>
      <c r="AN404" s="4561">
        <f>_xlfn.SUMIFS('ИП + источники'!AO$27:AO$116,'ИП + источники'!$F$27:$F$116,$F404,'ИП + источники'!$AC$27:$AC$116,"Амортизационные отчисления")+_xlfn.SUMIFS('ИП + источники'!AO$27:AO$116,'ИП + источники'!$F$27:$F$116,$F404,'ИП + источники'!$AC$27:$AC$116,"погашение займов и кредитов из амортизации")</f>
        <v>0</v>
      </c>
      <c r="AO404" s="4561">
        <f>_xlfn.SUMIFS('ИП + источники'!AP$27:AP$116,'ИП + источники'!$F$27:$F$116,$F404,'ИП + источники'!$AC$27:$AC$116,"Амортизационные отчисления")+_xlfn.SUMIFS('ИП + источники'!AP$27:AP$116,'ИП + источники'!$F$27:$F$116,$F404,'ИП + источники'!$AC$27:$AC$116,"погашение займов и кредитов из амортизации")</f>
        <v>0</v>
      </c>
      <c r="AP404" s="4561">
        <f>_xlfn.SUMIFS('ИП + источники'!AQ$27:AQ$116,'ИП + источники'!$F$27:$F$116,$F404,'ИП + источники'!$AC$27:$AC$116,"Амортизационные отчисления")+_xlfn.SUMIFS('ИП + источники'!AQ$27:AQ$116,'ИП + источники'!$F$27:$F$116,$F404,'ИП + источники'!$AC$27:$AC$116,"погашение займов и кредитов из амортизации")</f>
        <v>0</v>
      </c>
      <c r="AQ404" s="4561">
        <f>_xlfn.SUMIFS('ИП + источники'!AR$27:AR$116,'ИП + источники'!$F$27:$F$116,$F404,'ИП + источники'!$AC$27:$AC$116,"Амортизационные отчисления")+_xlfn.SUMIFS('ИП + источники'!AR$27:AR$116,'ИП + источники'!$F$27:$F$116,$F404,'ИП + источники'!$AC$27:$AC$116,"погашение займов и кредитов из амортизации")</f>
        <v>0</v>
      </c>
      <c r="AR404" s="4561">
        <f>_xlfn.SUMIFS('ИП + источники'!AS$27:AS$116,'ИП + источники'!$F$27:$F$116,$F404,'ИП + источники'!$AC$27:$AC$116,"Амортизационные отчисления")+_xlfn.SUMIFS('ИП + источники'!AS$27:AS$116,'ИП + источники'!$F$27:$F$116,$F404,'ИП + источники'!$AC$27:$AC$116,"погашение займов и кредитов из амортизации")</f>
        <v>0</v>
      </c>
      <c r="AS404" s="4561">
        <f>_xlfn.SUMIFS('ИП + источники'!AT$27:AT$116,'ИП + источники'!$F$27:$F$116,$F404,'ИП + источники'!$AC$27:$AC$116,"Амортизационные отчисления")+_xlfn.SUMIFS('ИП + источники'!AT$27:AT$116,'ИП + источники'!$F$27:$F$116,$F404,'ИП + источники'!$AC$27:$AC$116,"погашение займов и кредитов из амортизации")</f>
        <v>0</v>
      </c>
      <c r="AT404" s="4561">
        <f>_xlfn.SUMIFS('ИП + источники'!AU$27:AU$116,'ИП + источники'!$F$27:$F$116,$F404,'ИП + источники'!$AC$27:$AC$116,"Амортизационные отчисления")+_xlfn.SUMIFS('ИП + источники'!AU$27:AU$116,'ИП + источники'!$F$27:$F$116,$F404,'ИП + источники'!$AC$27:$AC$116,"погашение займов и кредитов из амортизации")</f>
        <v>0</v>
      </c>
      <c r="AU404" s="1268">
        <f>_xlfn.SUMIFS('ИП + источники'!AV$27:AV$116,'ИП + источники'!$F$27:$F$116,$F404,'ИП + источники'!$AC$27:$AC$116,"Амортизационные отчисления")+_xlfn.SUMIFS('ИП + источники'!AV$27:AV$116,'ИП + источники'!$F$27:$F$116,$F404,'ИП + источники'!$AC$27:$AC$116,"погашение займов и кредитов из амортизации")</f>
        <v>0</v>
      </c>
      <c r="AV404" s="1268">
        <f>_xlfn.SUMIFS('ИП + источники'!AW$27:AW$116,'ИП + источники'!$F$27:$F$116,$F404,'ИП + источники'!$AC$27:$AC$116,"Амортизационные отчисления")+_xlfn.SUMIFS('ИП + источники'!AW$27:AW$116,'ИП + источники'!$F$27:$F$116,$F404,'ИП + источники'!$AC$27:$AC$116,"погашение займов и кредитов из амортизации")</f>
        <v>0</v>
      </c>
      <c r="AW404" s="4561">
        <f>_xlfn.SUMIFS('ИП + источники'!AX$27:AX$116,'ИП + источники'!$F$27:$F$116,$F404,'ИП + источники'!$AC$27:$AC$116,"Амортизационные отчисления")+_xlfn.SUMIFS('ИП + источники'!AX$27:AX$116,'ИП + источники'!$F$27:$F$116,$F404,'ИП + источники'!$AC$27:$AC$116,"погашение займов и кредитов из амортизации")</f>
        <v>0</v>
      </c>
      <c r="AX404" s="4561">
        <f>_xlfn.SUMIFS('ИП + источники'!AY$27:AY$116,'ИП + источники'!$F$27:$F$116,$F404,'ИП + источники'!$AC$27:$AC$116,"Амортизационные отчисления")+_xlfn.SUMIFS('ИП + источники'!AY$27:AY$116,'ИП + источники'!$F$27:$F$116,$F404,'ИП + источники'!$AC$27:$AC$116,"погашение займов и кредитов из амортизации")</f>
        <v>0</v>
      </c>
      <c r="AY404" s="4561">
        <f>_xlfn.SUMIFS('ИП + источники'!AZ$27:AZ$116,'ИП + источники'!$F$27:$F$116,$F404,'ИП + источники'!$AC$27:$AC$116,"Амортизационные отчисления")+_xlfn.SUMIFS('ИП + источники'!AZ$27:AZ$116,'ИП + источники'!$F$27:$F$116,$F404,'ИП + источники'!$AC$27:$AC$116,"погашение займов и кредитов из амортизации")</f>
        <v>0</v>
      </c>
      <c r="AZ404" s="4561">
        <f>_xlfn.SUMIFS('ИП + источники'!BA$27:BA$116,'ИП + источники'!$F$27:$F$116,$F404,'ИП + источники'!$AC$27:$AC$116,"Амортизационные отчисления")+_xlfn.SUMIFS('ИП + источники'!BA$27:BA$116,'ИП + источники'!$F$27:$F$116,$F404,'ИП + источники'!$AC$27:$AC$116,"погашение займов и кредитов из амортизации")</f>
        <v>0</v>
      </c>
      <c r="BA404" s="4561">
        <f>_xlfn.SUMIFS('ИП + источники'!BB$27:BB$116,'ИП + источники'!$F$27:$F$116,$F404,'ИП + источники'!$AC$27:$AC$116,"Амортизационные отчисления")+_xlfn.SUMIFS('ИП + источники'!BB$27:BB$116,'ИП + источники'!$F$27:$F$116,$F404,'ИП + источники'!$AC$27:$AC$116,"погашение займов и кредитов из амортизации")</f>
        <v>0</v>
      </c>
      <c r="BB404" s="4561">
        <f>_xlfn.SUMIFS('ИП + источники'!BC$27:BC$116,'ИП + источники'!$F$27:$F$116,$F404,'ИП + источники'!$AC$27:$AC$116,"Амортизационные отчисления")+_xlfn.SUMIFS('ИП + источники'!BC$27:BC$116,'ИП + источники'!$F$27:$F$116,$F404,'ИП + источники'!$AC$27:$AC$116,"погашение займов и кредитов из амортизации")</f>
        <v>0</v>
      </c>
      <c r="BC404" s="4561">
        <f>_xlfn.SUMIFS('ИП + источники'!BD$27:BD$116,'ИП + источники'!$F$27:$F$116,$F404,'ИП + источники'!$AC$27:$AC$116,"Амортизационные отчисления")+_xlfn.SUMIFS('ИП + источники'!BD$27:BD$116,'ИП + источники'!$F$27:$F$116,$F404,'ИП + источники'!$AC$27:$AC$116,"погашение займов и кредитов из амортизации")</f>
        <v>0</v>
      </c>
      <c r="BD404" s="1099">
        <f>IF(AI404=0,0,(AT404-AI404)/AI404*100)</f>
        <v>0</v>
      </c>
      <c r="BE404" s="1099">
        <f>IF(AT404=0,0,(AU404-AT404)/AT404*100)</f>
        <v>0</v>
      </c>
      <c r="BF404" s="1099">
        <f>IF(AU404=0,0,(AV404-AU404)/AU404*100)</f>
        <v>0</v>
      </c>
      <c r="BG404" s="1099">
        <f>IF(AV404=0,0,(AW404-AV404)/AV404*100)</f>
        <v>0</v>
      </c>
      <c r="BH404" s="1099">
        <f>IF(AW404=0,0,(AX404-AW404)/AW404*100)</f>
        <v>0</v>
      </c>
      <c r="BI404" s="1099">
        <f>IF(AX404=0,0,(AY404-AX404)/AX404*100)</f>
        <v>0</v>
      </c>
      <c r="BJ404" s="1099">
        <f>IF(AY404=0,0,(AZ404-AY404)/AY404*100)</f>
        <v>0</v>
      </c>
      <c r="BK404" s="1099">
        <f>IF(AZ404=0,0,(BA404-AZ404)/AZ404*100)</f>
        <v>0</v>
      </c>
      <c r="BL404" s="1099">
        <f>IF(BA404=0,0,(BB404-BA404)/BA404*100)</f>
        <v>0</v>
      </c>
      <c r="BM404" s="1099">
        <f>IF(BB404=0,0,(BC404-BB404)/BB404*100)</f>
        <v>0</v>
      </c>
      <c r="BN404" s="4617"/>
      <c r="BO404" s="4617"/>
      <c r="BP404" s="4617"/>
      <c r="BQ404" s="960"/>
      <c r="BR404" s="960"/>
      <c r="BS404" s="1048" t="s">
        <v>1692</v>
      </c>
      <c r="BT404" s="1048"/>
      <c r="BU404" s="1048"/>
      <c r="BV404" s="962"/>
      <c r="BW404" s="962"/>
    </row>
    <row s="4729" customFormat="1" customHeight="1" ht="20.25">
      <c r="A405" s="680"/>
      <c r="B405" s="405" cm="1" t="str">
        <f t="array" ref="B405:B405">B404</f>
        <v>true</v>
      </c>
      <c r="C405" s="75"/>
      <c r="D405" s="75"/>
      <c r="E405" s="807">
        <v>21</v>
      </c>
      <c r="F405" s="50" cm="1" t="str">
        <f t="array" ref="F405:F405">OFFSET(E405,-1,1)</f>
        <v>2</v>
      </c>
      <c r="G405" s="73" t="s">
        <v>1388</v>
      </c>
      <c r="H405" s="73"/>
      <c r="I405" s="73" t="s">
        <v>328</v>
      </c>
      <c r="J405" s="75"/>
      <c r="K405" s="124"/>
      <c r="L405" s="968" t="s">
        <v>541</v>
      </c>
      <c r="M405" s="75"/>
      <c r="N405" s="75"/>
      <c r="O405" s="75"/>
      <c r="P405" s="75"/>
      <c r="Q405" s="75"/>
      <c r="R405" s="75"/>
      <c r="S405" s="75"/>
      <c r="T405" s="439" cm="1" t="str">
        <f t="array" ref="T405:T405">T404</f>
        <v>true</v>
      </c>
      <c r="U405" s="75"/>
      <c r="V405" s="75"/>
      <c r="W405" s="75"/>
      <c r="X405" s="1534"/>
      <c r="Y405" s="680"/>
      <c r="Z405" s="1465"/>
      <c r="AA405" s="680"/>
      <c r="AB405" s="178" t="s">
        <v>492</v>
      </c>
      <c r="AC405" s="179" t="s">
        <v>1388</v>
      </c>
      <c r="AD405" s="201" t="s">
        <v>784</v>
      </c>
      <c r="AE405" s="180">
        <f>AE406+AE407+AE408+AE409</f>
        <v>0</v>
      </c>
      <c r="AF405" s="180">
        <f>AF406+AF407+AF408+AF409</f>
        <v>0</v>
      </c>
      <c r="AG405" s="180">
        <f>AG406+AG407+AG408+AG409</f>
        <v>0</v>
      </c>
      <c r="AH405" s="180">
        <f>AG405-AF405</f>
        <v>0</v>
      </c>
      <c r="AI405" s="180">
        <f>AI406+AI407+AI408+AI409</f>
        <v>0</v>
      </c>
      <c r="AJ405" s="180">
        <f>AJ406+AJ407+AJ408+AJ409</f>
        <v>0</v>
      </c>
      <c r="AK405" s="180">
        <f>AK406+AK407+AK408+AK409</f>
        <v>0</v>
      </c>
      <c r="AL405" s="180">
        <f>AL406+AL407+AL408+AL409</f>
        <v>0</v>
      </c>
      <c r="AM405" s="180">
        <f>AM406+AM407+AM408+AM409</f>
        <v>0</v>
      </c>
      <c r="AN405" s="180">
        <f>AN406+AN407+AN408+AN409</f>
        <v>0</v>
      </c>
      <c r="AO405" s="180">
        <f>AO406+AO407+AO408+AO409</f>
        <v>0</v>
      </c>
      <c r="AP405" s="180">
        <f>AP406+AP407+AP408+AP409</f>
        <v>0</v>
      </c>
      <c r="AQ405" s="180">
        <f>AQ406+AQ407+AQ408+AQ409</f>
        <v>0</v>
      </c>
      <c r="AR405" s="180">
        <f>AR406+AR407+AR408+AR409</f>
        <v>0</v>
      </c>
      <c r="AS405" s="180">
        <f>AS406+AS407+AS408+AS409</f>
        <v>0</v>
      </c>
      <c r="AT405" s="180">
        <f>AT406+AT407+AT408+AT409</f>
        <v>0</v>
      </c>
      <c r="AU405" s="180">
        <f>AU406+AU407+AU408+AU409</f>
        <v>0</v>
      </c>
      <c r="AV405" s="180">
        <f>AV406+AV407+AV408+AV409</f>
        <v>0</v>
      </c>
      <c r="AW405" s="180">
        <f>AW406+AW407+AW408+AW409</f>
        <v>0</v>
      </c>
      <c r="AX405" s="180">
        <f>AX406+AX407+AX408+AX409</f>
        <v>0</v>
      </c>
      <c r="AY405" s="180">
        <f>AY406+AY407+AY408+AY409</f>
        <v>0</v>
      </c>
      <c r="AZ405" s="180">
        <f>AZ406+AZ407+AZ408+AZ409</f>
        <v>0</v>
      </c>
      <c r="BA405" s="180">
        <f>BA406+BA407+BA408+BA409</f>
        <v>0</v>
      </c>
      <c r="BB405" s="180">
        <f>BB406+BB407+BB408+BB409</f>
        <v>0</v>
      </c>
      <c r="BC405" s="180">
        <f>BC406+BC407+BC408+BC409</f>
        <v>0</v>
      </c>
      <c r="BD405" s="759">
        <f>IF(AI405=0,0,(AT405-AI405)/AI405*100)</f>
        <v>0</v>
      </c>
      <c r="BE405" s="759">
        <f>IF(AT405=0,0,(AU405-AT405)/AT405*100)</f>
        <v>0</v>
      </c>
      <c r="BF405" s="759">
        <f>IF(AU405=0,0,(AV405-AU405)/AU405*100)</f>
        <v>0</v>
      </c>
      <c r="BG405" s="759">
        <f>IF(AV405=0,0,(AW405-AV405)/AV405*100)</f>
        <v>0</v>
      </c>
      <c r="BH405" s="759">
        <f>IF(AW405=0,0,(AX405-AW405)/AW405*100)</f>
        <v>0</v>
      </c>
      <c r="BI405" s="759">
        <f>IF(AX405=0,0,(AY405-AX405)/AX405*100)</f>
        <v>0</v>
      </c>
      <c r="BJ405" s="759">
        <f>IF(AY405=0,0,(AZ405-AY405)/AY405*100)</f>
        <v>0</v>
      </c>
      <c r="BK405" s="759">
        <f>IF(AZ405=0,0,(BA405-AZ405)/AZ405*100)</f>
        <v>0</v>
      </c>
      <c r="BL405" s="759">
        <f>IF(BA405=0,0,(BB405-BA405)/BA405*100)</f>
        <v>0</v>
      </c>
      <c r="BM405" s="759">
        <f>IF(BB405=0,0,(BC405-BB405)/BB405*100)</f>
        <v>0</v>
      </c>
      <c r="BN405" s="4617"/>
      <c r="BO405" s="4617"/>
      <c r="BP405" s="4617"/>
      <c r="BQ405" s="680"/>
      <c r="BR405" s="680"/>
      <c r="BS405" s="1047" t="s">
        <v>1392</v>
      </c>
      <c r="BT405" s="1054"/>
      <c r="BU405" s="1054"/>
      <c r="BV405" s="687"/>
      <c r="BW405" s="687"/>
    </row>
    <row s="1621" customFormat="1" customHeight="1" ht="14.25">
      <c r="A406" s="960"/>
      <c r="B406" s="405" cm="1" t="str">
        <f t="array" ref="B406:B406">B405</f>
        <v>true</v>
      </c>
      <c r="C406" s="73"/>
      <c r="D406" s="73"/>
      <c r="E406" s="600">
        <v>15</v>
      </c>
      <c r="F406" s="50" cm="1" t="str">
        <f t="array" ref="F406:F406">OFFSET(E406,-1,1)</f>
        <v>2</v>
      </c>
      <c r="G406" s="73"/>
      <c r="H406" s="73"/>
      <c r="I406" s="73" t="s">
        <v>528</v>
      </c>
      <c r="J406" s="73"/>
      <c r="K406" s="960"/>
      <c r="L406" s="963"/>
      <c r="M406" s="73"/>
      <c r="N406" s="73"/>
      <c r="O406" s="73"/>
      <c r="P406" s="73"/>
      <c r="Q406" s="73"/>
      <c r="R406" s="73"/>
      <c r="S406" s="73"/>
      <c r="T406" s="439" cm="1" t="str">
        <f t="array" ref="T406:T406">T405</f>
        <v>true</v>
      </c>
      <c r="U406" s="73"/>
      <c r="V406" s="73"/>
      <c r="W406" s="73"/>
      <c r="X406" s="1534"/>
      <c r="Y406" s="960"/>
      <c r="Z406" s="1465"/>
      <c r="AA406" s="960"/>
      <c r="AB406" s="267" t="s">
        <v>659</v>
      </c>
      <c r="AC406" s="743" t="s">
        <v>1992</v>
      </c>
      <c r="AD406" s="267" t="s">
        <v>784</v>
      </c>
      <c r="AE406" s="4561">
        <f>_xlfn.SUMIFS('ИП + источники'!AF$27:AF$116,'ИП + источники'!$F$27:$F$116,$F406,'ИП + источники'!$AC$27:$AC$116,"погашение займов и кредитов из нормативной прибыли")</f>
        <v>0</v>
      </c>
      <c r="AF406" s="4561">
        <f>_xlfn.SUMIFS('ИП + источники'!AG$27:AG$116,'ИП + источники'!$F$27:$F$116,$F406,'ИП + источники'!$AC$27:$AC$116,"погашение займов и кредитов из нормативной прибыли")</f>
        <v>0</v>
      </c>
      <c r="AG406" s="4561">
        <f>_xlfn.SUMIFS('ИП + источники'!AH$27:AH$116,'ИП + источники'!$F$27:$F$116,$F406,'ИП + источники'!$AC$27:$AC$116,"погашение займов и кредитов из нормативной прибыли")</f>
        <v>0</v>
      </c>
      <c r="AH406" s="1099">
        <f>AG406-AF406</f>
        <v>0</v>
      </c>
      <c r="AI406" s="4561">
        <f>_xlfn.SUMIFS('ИП + источники'!AJ$27:AJ$116,'ИП + источники'!$F$27:$F$116,$F406,'ИП + источники'!$AC$27:$AC$116,"погашение займов и кредитов из нормативной прибыли")</f>
        <v>0</v>
      </c>
      <c r="AJ406" s="4561">
        <f>_xlfn.SUMIFS('ИП + источники'!AK$27:AK$116,'ИП + источники'!$F$27:$F$116,$F406,'ИП + источники'!$AC$27:$AC$116,"погашение займов и кредитов из нормативной прибыли")</f>
        <v>0</v>
      </c>
      <c r="AK406" s="1268">
        <f>_xlfn.SUMIFS('ИП + источники'!AL$27:AL$116,'ИП + источники'!$F$27:$F$116,$F406,'ИП + источники'!$AC$27:$AC$116,"погашение займов и кредитов из нормативной прибыли")</f>
        <v>0</v>
      </c>
      <c r="AL406" s="1268">
        <f>_xlfn.SUMIFS('ИП + источники'!AM$27:AM$116,'ИП + источники'!$F$27:$F$116,$F406,'ИП + источники'!$AC$27:$AC$116,"погашение займов и кредитов из нормативной прибыли")</f>
        <v>0</v>
      </c>
      <c r="AM406" s="4561">
        <f>_xlfn.SUMIFS('ИП + источники'!AN$27:AN$116,'ИП + источники'!$F$27:$F$116,$F406,'ИП + источники'!$AC$27:$AC$116,"погашение займов и кредитов из нормативной прибыли")</f>
        <v>0</v>
      </c>
      <c r="AN406" s="4561">
        <f>_xlfn.SUMIFS('ИП + источники'!AO$27:AO$116,'ИП + источники'!$F$27:$F$116,$F406,'ИП + источники'!$AC$27:$AC$116,"погашение займов и кредитов из нормативной прибыли")</f>
        <v>0</v>
      </c>
      <c r="AO406" s="4561">
        <f>_xlfn.SUMIFS('ИП + источники'!AP$27:AP$116,'ИП + источники'!$F$27:$F$116,$F406,'ИП + источники'!$AC$27:$AC$116,"погашение займов и кредитов из нормативной прибыли")</f>
        <v>0</v>
      </c>
      <c r="AP406" s="4561">
        <f>_xlfn.SUMIFS('ИП + источники'!AQ$27:AQ$116,'ИП + источники'!$F$27:$F$116,$F406,'ИП + источники'!$AC$27:$AC$116,"погашение займов и кредитов из нормативной прибыли")</f>
        <v>0</v>
      </c>
      <c r="AQ406" s="4561">
        <f>_xlfn.SUMIFS('ИП + источники'!AR$27:AR$116,'ИП + источники'!$F$27:$F$116,$F406,'ИП + источники'!$AC$27:$AC$116,"погашение займов и кредитов из нормативной прибыли")</f>
        <v>0</v>
      </c>
      <c r="AR406" s="4561">
        <f>_xlfn.SUMIFS('ИП + источники'!AS$27:AS$116,'ИП + источники'!$F$27:$F$116,$F406,'ИП + источники'!$AC$27:$AC$116,"погашение займов и кредитов из нормативной прибыли")</f>
        <v>0</v>
      </c>
      <c r="AS406" s="4561">
        <f>_xlfn.SUMIFS('ИП + источники'!AT$27:AT$116,'ИП + источники'!$F$27:$F$116,$F406,'ИП + источники'!$AC$27:$AC$116,"погашение займов и кредитов из нормативной прибыли")</f>
        <v>0</v>
      </c>
      <c r="AT406" s="4561">
        <f>_xlfn.SUMIFS('ИП + источники'!AU$27:AU$116,'ИП + источники'!$F$27:$F$116,$F406,'ИП + источники'!$AC$27:$AC$116,"погашение займов и кредитов из нормативной прибыли")</f>
        <v>0</v>
      </c>
      <c r="AU406" s="1268">
        <f>_xlfn.SUMIFS('ИП + источники'!AV$27:AV$116,'ИП + источники'!$F$27:$F$116,$F406,'ИП + источники'!$AC$27:$AC$116,"погашение займов и кредитов из нормативной прибыли")</f>
        <v>0</v>
      </c>
      <c r="AV406" s="1268">
        <f>_xlfn.SUMIFS('ИП + источники'!AW$27:AW$116,'ИП + источники'!$F$27:$F$116,$F406,'ИП + источники'!$AC$27:$AC$116,"погашение займов и кредитов из нормативной прибыли")</f>
        <v>0</v>
      </c>
      <c r="AW406" s="4561">
        <f>_xlfn.SUMIFS('ИП + источники'!AX$27:AX$116,'ИП + источники'!$F$27:$F$116,$F406,'ИП + источники'!$AC$27:$AC$116,"погашение займов и кредитов из нормативной прибыли")</f>
        <v>0</v>
      </c>
      <c r="AX406" s="4561">
        <f>_xlfn.SUMIFS('ИП + источники'!AY$27:AY$116,'ИП + источники'!$F$27:$F$116,$F406,'ИП + источники'!$AC$27:$AC$116,"погашение займов и кредитов из нормативной прибыли")</f>
        <v>0</v>
      </c>
      <c r="AY406" s="4561">
        <f>_xlfn.SUMIFS('ИП + источники'!AZ$27:AZ$116,'ИП + источники'!$F$27:$F$116,$F406,'ИП + источники'!$AC$27:$AC$116,"погашение займов и кредитов из нормативной прибыли")</f>
        <v>0</v>
      </c>
      <c r="AZ406" s="4561">
        <f>_xlfn.SUMIFS('ИП + источники'!BA$27:BA$116,'ИП + источники'!$F$27:$F$116,$F406,'ИП + источники'!$AC$27:$AC$116,"погашение займов и кредитов из нормативной прибыли")</f>
        <v>0</v>
      </c>
      <c r="BA406" s="4561">
        <f>_xlfn.SUMIFS('ИП + источники'!BB$27:BB$116,'ИП + источники'!$F$27:$F$116,$F406,'ИП + источники'!$AC$27:$AC$116,"погашение займов и кредитов из нормативной прибыли")</f>
        <v>0</v>
      </c>
      <c r="BB406" s="4561">
        <f>_xlfn.SUMIFS('ИП + источники'!BC$27:BC$116,'ИП + источники'!$F$27:$F$116,$F406,'ИП + источники'!$AC$27:$AC$116,"погашение займов и кредитов из нормативной прибыли")</f>
        <v>0</v>
      </c>
      <c r="BC406" s="4561">
        <f>_xlfn.SUMIFS('ИП + источники'!BD$27:BD$116,'ИП + источники'!$F$27:$F$116,$F406,'ИП + источники'!$AC$27:$AC$116,"погашение займов и кредитов из нормативной прибыли")</f>
        <v>0</v>
      </c>
      <c r="BD406" s="1099">
        <f>IF(AI406=0,0,(AT406-AI406)/AI406*100)</f>
        <v>0</v>
      </c>
      <c r="BE406" s="1099">
        <f>IF(AT406=0,0,(AU406-AT406)/AT406*100)</f>
        <v>0</v>
      </c>
      <c r="BF406" s="1099">
        <f>IF(AU406=0,0,(AV406-AU406)/AU406*100)</f>
        <v>0</v>
      </c>
      <c r="BG406" s="1099">
        <f>IF(AV406=0,0,(AW406-AV406)/AV406*100)</f>
        <v>0</v>
      </c>
      <c r="BH406" s="1099">
        <f>IF(AW406=0,0,(AX406-AW406)/AW406*100)</f>
        <v>0</v>
      </c>
      <c r="BI406" s="1099">
        <f>IF(AX406=0,0,(AY406-AX406)/AX406*100)</f>
        <v>0</v>
      </c>
      <c r="BJ406" s="1099">
        <f>IF(AY406=0,0,(AZ406-AY406)/AY406*100)</f>
        <v>0</v>
      </c>
      <c r="BK406" s="1099">
        <f>IF(AZ406=0,0,(BA406-AZ406)/AZ406*100)</f>
        <v>0</v>
      </c>
      <c r="BL406" s="1099">
        <f>IF(BA406=0,0,(BB406-BA406)/BA406*100)</f>
        <v>0</v>
      </c>
      <c r="BM406" s="1099">
        <f>IF(BB406=0,0,(BC406-BB406)/BB406*100)</f>
        <v>0</v>
      </c>
      <c r="BN406" s="4617"/>
      <c r="BO406" s="4619" t="str">
        <f>IF(_xlfn.IFERROR(INDEX('ИП + источники'!$K$28:$L$116,MATCH($F406&amp;"2komm",'ИП + источники'!$K$28:$K$116,0),2),"")=0,"",_xlfn.IFERROR(INDEX('ИП + источники'!$K$28:$L$116,MATCH($F406&amp;"2komm",'ИП + источники'!$K$28:$K$116,0),2),""))</f>
        <v/>
      </c>
      <c r="BP406" s="4617"/>
      <c r="BQ406" s="960"/>
      <c r="BR406" s="960"/>
      <c r="BS406" s="1048" t="s">
        <v>1993</v>
      </c>
      <c r="BT406" s="1048"/>
      <c r="BU406" s="1048"/>
      <c r="BV406" s="962"/>
      <c r="BW406" s="962"/>
    </row>
    <row s="1621" customFormat="1" customHeight="1" ht="14.25">
      <c r="A407" s="960"/>
      <c r="B407" s="405" cm="1" t="str">
        <f t="array" ref="B407:B407">B406</f>
        <v>true</v>
      </c>
      <c r="C407" s="73"/>
      <c r="D407" s="73"/>
      <c r="E407" s="600">
        <v>15</v>
      </c>
      <c r="F407" s="50" cm="1" t="str">
        <f t="array" ref="F407:F407">OFFSET(E407,-1,1)</f>
        <v>2</v>
      </c>
      <c r="G407" s="73"/>
      <c r="H407" s="73"/>
      <c r="I407" s="73" t="s">
        <v>532</v>
      </c>
      <c r="J407" s="73"/>
      <c r="K407" s="960"/>
      <c r="L407" s="963"/>
      <c r="M407" s="73"/>
      <c r="N407" s="73"/>
      <c r="O407" s="73"/>
      <c r="P407" s="73"/>
      <c r="Q407" s="73"/>
      <c r="R407" s="73"/>
      <c r="S407" s="73"/>
      <c r="T407" s="439" cm="1" t="str">
        <f t="array" ref="T407:T407">T406</f>
        <v>true</v>
      </c>
      <c r="U407" s="73"/>
      <c r="V407" s="73"/>
      <c r="W407" s="73"/>
      <c r="X407" s="1534"/>
      <c r="Y407" s="960"/>
      <c r="Z407" s="1465"/>
      <c r="AA407" s="960"/>
      <c r="AB407" s="267" t="s">
        <v>662</v>
      </c>
      <c r="AC407" s="743" t="s">
        <v>1994</v>
      </c>
      <c r="AD407" s="267" t="s">
        <v>784</v>
      </c>
      <c r="AE407" s="4561">
        <f>_xlfn.SUMIFS('ИП + источники'!AF$27:AF$116,'ИП + источники'!$F$27:$F$116,$F407,'ИП + источники'!$AC$27:$AC$116,"уплата процентов по кредитам из нормативной прибыли")</f>
        <v>0</v>
      </c>
      <c r="AF407" s="4561">
        <f>_xlfn.SUMIFS('ИП + источники'!AG$27:AG$116,'ИП + источники'!$F$27:$F$116,$F407,'ИП + источники'!$AC$27:$AC$116,"уплата процентов по кредитам из нормативной прибыли")</f>
        <v>0</v>
      </c>
      <c r="AG407" s="4561">
        <f>_xlfn.SUMIFS('ИП + источники'!AH$27:AH$116,'ИП + источники'!$F$27:$F$116,$F407,'ИП + источники'!$AC$27:$AC$116,"уплата процентов по кредитам из нормативной прибыли")</f>
        <v>0</v>
      </c>
      <c r="AH407" s="1099">
        <f>AG407-AF407</f>
        <v>0</v>
      </c>
      <c r="AI407" s="4561">
        <f>_xlfn.SUMIFS('ИП + источники'!AJ$27:AJ$116,'ИП + источники'!$F$27:$F$116,$F407,'ИП + источники'!$AC$27:$AC$116,"уплата процентов по кредитам из нормативной прибыли")</f>
        <v>0</v>
      </c>
      <c r="AJ407" s="4561">
        <f>_xlfn.SUMIFS('ИП + источники'!AK$27:AK$116,'ИП + источники'!$F$27:$F$116,$F407,'ИП + источники'!$AC$27:$AC$116,"уплата процентов по кредитам из нормативной прибыли")</f>
        <v>0</v>
      </c>
      <c r="AK407" s="1268">
        <f>_xlfn.SUMIFS('ИП + источники'!AL$27:AL$116,'ИП + источники'!$F$27:$F$116,$F407,'ИП + источники'!$AC$27:$AC$116,"уплата процентов по кредитам из нормативной прибыли")</f>
        <v>0</v>
      </c>
      <c r="AL407" s="1268">
        <f>_xlfn.SUMIFS('ИП + источники'!AM$27:AM$116,'ИП + источники'!$F$27:$F$116,$F407,'ИП + источники'!$AC$27:$AC$116,"уплата процентов по кредитам из нормативной прибыли")</f>
        <v>0</v>
      </c>
      <c r="AM407" s="4561">
        <f>_xlfn.SUMIFS('ИП + источники'!AN$27:AN$116,'ИП + источники'!$F$27:$F$116,$F407,'ИП + источники'!$AC$27:$AC$116,"уплата процентов по кредитам из нормативной прибыли")</f>
        <v>0</v>
      </c>
      <c r="AN407" s="4561">
        <f>_xlfn.SUMIFS('ИП + источники'!AO$27:AO$116,'ИП + источники'!$F$27:$F$116,$F407,'ИП + источники'!$AC$27:$AC$116,"уплата процентов по кредитам из нормативной прибыли")</f>
        <v>0</v>
      </c>
      <c r="AO407" s="4561">
        <f>_xlfn.SUMIFS('ИП + источники'!AP$27:AP$116,'ИП + источники'!$F$27:$F$116,$F407,'ИП + источники'!$AC$27:$AC$116,"уплата процентов по кредитам из нормативной прибыли")</f>
        <v>0</v>
      </c>
      <c r="AP407" s="4561">
        <f>_xlfn.SUMIFS('ИП + источники'!AQ$27:AQ$116,'ИП + источники'!$F$27:$F$116,$F407,'ИП + источники'!$AC$27:$AC$116,"уплата процентов по кредитам из нормативной прибыли")</f>
        <v>0</v>
      </c>
      <c r="AQ407" s="4561">
        <f>_xlfn.SUMIFS('ИП + источники'!AR$27:AR$116,'ИП + источники'!$F$27:$F$116,$F407,'ИП + источники'!$AC$27:$AC$116,"уплата процентов по кредитам из нормативной прибыли")</f>
        <v>0</v>
      </c>
      <c r="AR407" s="4561">
        <f>_xlfn.SUMIFS('ИП + источники'!AS$27:AS$116,'ИП + источники'!$F$27:$F$116,$F407,'ИП + источники'!$AC$27:$AC$116,"уплата процентов по кредитам из нормативной прибыли")</f>
        <v>0</v>
      </c>
      <c r="AS407" s="4561">
        <f>_xlfn.SUMIFS('ИП + источники'!AT$27:AT$116,'ИП + источники'!$F$27:$F$116,$F407,'ИП + источники'!$AC$27:$AC$116,"уплата процентов по кредитам из нормативной прибыли")</f>
        <v>0</v>
      </c>
      <c r="AT407" s="4561">
        <f>_xlfn.SUMIFS('ИП + источники'!AU$27:AU$116,'ИП + источники'!$F$27:$F$116,$F407,'ИП + источники'!$AC$27:$AC$116,"уплата процентов по кредитам из нормативной прибыли")</f>
        <v>0</v>
      </c>
      <c r="AU407" s="1268">
        <f>_xlfn.SUMIFS('ИП + источники'!AV$27:AV$116,'ИП + источники'!$F$27:$F$116,$F407,'ИП + источники'!$AC$27:$AC$116,"уплата процентов по кредитам из нормативной прибыли")</f>
        <v>0</v>
      </c>
      <c r="AV407" s="1268">
        <f>_xlfn.SUMIFS('ИП + источники'!AW$27:AW$116,'ИП + источники'!$F$27:$F$116,$F407,'ИП + источники'!$AC$27:$AC$116,"уплата процентов по кредитам из нормативной прибыли")</f>
        <v>0</v>
      </c>
      <c r="AW407" s="4561">
        <f>_xlfn.SUMIFS('ИП + источники'!AX$27:AX$116,'ИП + источники'!$F$27:$F$116,$F407,'ИП + источники'!$AC$27:$AC$116,"уплата процентов по кредитам из нормативной прибыли")</f>
        <v>0</v>
      </c>
      <c r="AX407" s="4561">
        <f>_xlfn.SUMIFS('ИП + источники'!AY$27:AY$116,'ИП + источники'!$F$27:$F$116,$F407,'ИП + источники'!$AC$27:$AC$116,"уплата процентов по кредитам из нормативной прибыли")</f>
        <v>0</v>
      </c>
      <c r="AY407" s="4561">
        <f>_xlfn.SUMIFS('ИП + источники'!AZ$27:AZ$116,'ИП + источники'!$F$27:$F$116,$F407,'ИП + источники'!$AC$27:$AC$116,"уплата процентов по кредитам из нормативной прибыли")</f>
        <v>0</v>
      </c>
      <c r="AZ407" s="4561">
        <f>_xlfn.SUMIFS('ИП + источники'!BA$27:BA$116,'ИП + источники'!$F$27:$F$116,$F407,'ИП + источники'!$AC$27:$AC$116,"уплата процентов по кредитам из нормативной прибыли")</f>
        <v>0</v>
      </c>
      <c r="BA407" s="4561">
        <f>_xlfn.SUMIFS('ИП + источники'!BB$27:BB$116,'ИП + источники'!$F$27:$F$116,$F407,'ИП + источники'!$AC$27:$AC$116,"уплата процентов по кредитам из нормативной прибыли")</f>
        <v>0</v>
      </c>
      <c r="BB407" s="4561">
        <f>_xlfn.SUMIFS('ИП + источники'!BC$27:BC$116,'ИП + источники'!$F$27:$F$116,$F407,'ИП + источники'!$AC$27:$AC$116,"уплата процентов по кредитам из нормативной прибыли")</f>
        <v>0</v>
      </c>
      <c r="BC407" s="4561">
        <f>_xlfn.SUMIFS('ИП + источники'!BD$27:BD$116,'ИП + источники'!$F$27:$F$116,$F407,'ИП + источники'!$AC$27:$AC$116,"уплата процентов по кредитам из нормативной прибыли")</f>
        <v>0</v>
      </c>
      <c r="BD407" s="1099">
        <f>IF(AI407=0,0,(AT407-AI407)/AI407*100)</f>
        <v>0</v>
      </c>
      <c r="BE407" s="1099">
        <f>IF(AT407=0,0,(AU407-AT407)/AT407*100)</f>
        <v>0</v>
      </c>
      <c r="BF407" s="1099">
        <f>IF(AU407=0,0,(AV407-AU407)/AU407*100)</f>
        <v>0</v>
      </c>
      <c r="BG407" s="1099">
        <f>IF(AV407=0,0,(AW407-AV407)/AV407*100)</f>
        <v>0</v>
      </c>
      <c r="BH407" s="1099">
        <f>IF(AW407=0,0,(AX407-AW407)/AW407*100)</f>
        <v>0</v>
      </c>
      <c r="BI407" s="1099">
        <f>IF(AX407=0,0,(AY407-AX407)/AX407*100)</f>
        <v>0</v>
      </c>
      <c r="BJ407" s="1099">
        <f>IF(AY407=0,0,(AZ407-AY407)/AY407*100)</f>
        <v>0</v>
      </c>
      <c r="BK407" s="1099">
        <f>IF(AZ407=0,0,(BA407-AZ407)/AZ407*100)</f>
        <v>0</v>
      </c>
      <c r="BL407" s="1099">
        <f>IF(BA407=0,0,(BB407-BA407)/BA407*100)</f>
        <v>0</v>
      </c>
      <c r="BM407" s="1099">
        <f>IF(BB407=0,0,(BC407-BB407)/BB407*100)</f>
        <v>0</v>
      </c>
      <c r="BN407" s="4617"/>
      <c r="BO407" s="4619" t="str">
        <f>IF(_xlfn.IFERROR(INDEX('ИП + источники'!$K$28:$L$116,MATCH($F407&amp;"3komm",'ИП + источники'!$K$28:$K$116,0),2),"")=0,"",_xlfn.IFERROR(INDEX('ИП + источники'!$K$28:$L$116,MATCH($F407&amp;"3komm",'ИП + источники'!$K$28:$K$116,0),2),""))</f>
        <v/>
      </c>
      <c r="BP407" s="4617"/>
      <c r="BQ407" s="960"/>
      <c r="BR407" s="960"/>
      <c r="BS407" s="1048" t="s">
        <v>1995</v>
      </c>
      <c r="BT407" s="1048"/>
      <c r="BU407" s="1048"/>
      <c r="BV407" s="962"/>
      <c r="BW407" s="962"/>
    </row>
    <row s="1621" customFormat="1" customHeight="1" ht="14.25">
      <c r="A408" s="960"/>
      <c r="B408" s="405" cm="1" t="str">
        <f t="array" ref="B408:B408">B407</f>
        <v>true</v>
      </c>
      <c r="C408" s="73"/>
      <c r="D408" s="73"/>
      <c r="E408" s="600">
        <v>15</v>
      </c>
      <c r="F408" s="50" cm="1" t="str">
        <f t="array" ref="F408:F408">OFFSET(E408,-1,1)</f>
        <v>2</v>
      </c>
      <c r="G408" s="73"/>
      <c r="H408" s="73"/>
      <c r="I408" s="73" t="s">
        <v>749</v>
      </c>
      <c r="J408" s="73"/>
      <c r="K408" s="960"/>
      <c r="L408" s="963" t="s">
        <v>548</v>
      </c>
      <c r="M408" s="73"/>
      <c r="N408" s="73"/>
      <c r="O408" s="73"/>
      <c r="P408" s="73"/>
      <c r="Q408" s="73"/>
      <c r="R408" s="73"/>
      <c r="S408" s="73"/>
      <c r="T408" s="439" cm="1" t="str">
        <f t="array" ref="T408:T408">T407</f>
        <v>true</v>
      </c>
      <c r="U408" s="73"/>
      <c r="V408" s="73"/>
      <c r="W408" s="73"/>
      <c r="X408" s="1534"/>
      <c r="Y408" s="960"/>
      <c r="Z408" s="1465"/>
      <c r="AA408" s="960"/>
      <c r="AB408" s="267" t="s">
        <v>900</v>
      </c>
      <c r="AC408" s="743" t="s">
        <v>1996</v>
      </c>
      <c r="AD408" s="267" t="s">
        <v>784</v>
      </c>
      <c r="AE408" s="4561">
        <f>_xlfn.SUMIFS('ИП + источники'!AF$27:AF$116,'ИП + источники'!$F$27:$F$116,$F408,'ИП + источники'!$AC$27:$AC$116,"Прибыль на капвложения")</f>
        <v>0</v>
      </c>
      <c r="AF408" s="4561">
        <f>_xlfn.SUMIFS('ИП + источники'!AG$27:AG$116,'ИП + источники'!$F$27:$F$116,$F408,'ИП + источники'!$AC$27:$AC$116,"Прибыль на капвложения")</f>
        <v>0</v>
      </c>
      <c r="AG408" s="4561">
        <f>_xlfn.SUMIFS('ИП + источники'!AH$27:AH$116,'ИП + источники'!$F$27:$F$116,$F408,'ИП + источники'!$AC$27:$AC$116,"Прибыль на капвложения")</f>
        <v>0</v>
      </c>
      <c r="AH408" s="1099">
        <f>AG408-AF408</f>
        <v>0</v>
      </c>
      <c r="AI408" s="4561">
        <f>_xlfn.SUMIFS('ИП + источники'!AJ$27:AJ$116,'ИП + источники'!$F$27:$F$116,$F408,'ИП + источники'!$AC$27:$AC$116,"Прибыль на капвложения")</f>
        <v>0</v>
      </c>
      <c r="AJ408" s="4561">
        <f>_xlfn.SUMIFS('ИП + источники'!AK$27:AK$116,'ИП + источники'!$F$27:$F$116,$F408,'ИП + источники'!$AC$27:$AC$116,"Прибыль на капвложения")</f>
        <v>0</v>
      </c>
      <c r="AK408" s="1268">
        <f>_xlfn.SUMIFS('ИП + источники'!AL$27:AL$116,'ИП + источники'!$F$27:$F$116,$F408,'ИП + источники'!$AC$27:$AC$116,"Прибыль на капвложения")</f>
        <v>0</v>
      </c>
      <c r="AL408" s="1268">
        <f>_xlfn.SUMIFS('ИП + источники'!AM$27:AM$116,'ИП + источники'!$F$27:$F$116,$F408,'ИП + источники'!$AC$27:$AC$116,"Прибыль на капвложения")</f>
        <v>0</v>
      </c>
      <c r="AM408" s="4561">
        <f>_xlfn.SUMIFS('ИП + источники'!AN$27:AN$116,'ИП + источники'!$F$27:$F$116,$F408,'ИП + источники'!$AC$27:$AC$116,"Прибыль на капвложения")</f>
        <v>0</v>
      </c>
      <c r="AN408" s="4561">
        <f>_xlfn.SUMIFS('ИП + источники'!AO$27:AO$116,'ИП + источники'!$F$27:$F$116,$F408,'ИП + источники'!$AC$27:$AC$116,"Прибыль на капвложения")</f>
        <v>0</v>
      </c>
      <c r="AO408" s="4561">
        <f>_xlfn.SUMIFS('ИП + источники'!AP$27:AP$116,'ИП + источники'!$F$27:$F$116,$F408,'ИП + источники'!$AC$27:$AC$116,"Прибыль на капвложения")</f>
        <v>0</v>
      </c>
      <c r="AP408" s="4561">
        <f>_xlfn.SUMIFS('ИП + источники'!AQ$27:AQ$116,'ИП + источники'!$F$27:$F$116,$F408,'ИП + источники'!$AC$27:$AC$116,"Прибыль на капвложения")</f>
        <v>0</v>
      </c>
      <c r="AQ408" s="4561">
        <f>_xlfn.SUMIFS('ИП + источники'!AR$27:AR$116,'ИП + источники'!$F$27:$F$116,$F408,'ИП + источники'!$AC$27:$AC$116,"Прибыль на капвложения")</f>
        <v>0</v>
      </c>
      <c r="AR408" s="4561">
        <f>_xlfn.SUMIFS('ИП + источники'!AS$27:AS$116,'ИП + источники'!$F$27:$F$116,$F408,'ИП + источники'!$AC$27:$AC$116,"Прибыль на капвложения")</f>
        <v>0</v>
      </c>
      <c r="AS408" s="4561">
        <f>_xlfn.SUMIFS('ИП + источники'!AT$27:AT$116,'ИП + источники'!$F$27:$F$116,$F408,'ИП + источники'!$AC$27:$AC$116,"Прибыль на капвложения")</f>
        <v>0</v>
      </c>
      <c r="AT408" s="4561">
        <f>_xlfn.SUMIFS('ИП + источники'!AU$27:AU$116,'ИП + источники'!$F$27:$F$116,$F408,'ИП + источники'!$AC$27:$AC$116,"Прибыль на капвложения")</f>
        <v>0</v>
      </c>
      <c r="AU408" s="1268">
        <f>_xlfn.SUMIFS('ИП + источники'!AV$27:AV$116,'ИП + источники'!$F$27:$F$116,$F408,'ИП + источники'!$AC$27:$AC$116,"Прибыль на капвложения")</f>
        <v>0</v>
      </c>
      <c r="AV408" s="1268">
        <f>_xlfn.SUMIFS('ИП + источники'!AW$27:AW$116,'ИП + источники'!$F$27:$F$116,$F408,'ИП + источники'!$AC$27:$AC$116,"Прибыль на капвложения")</f>
        <v>0</v>
      </c>
      <c r="AW408" s="4561">
        <f>_xlfn.SUMIFS('ИП + источники'!AX$27:AX$116,'ИП + источники'!$F$27:$F$116,$F408,'ИП + источники'!$AC$27:$AC$116,"Прибыль на капвложения")</f>
        <v>0</v>
      </c>
      <c r="AX408" s="4561">
        <f>_xlfn.SUMIFS('ИП + источники'!AY$27:AY$116,'ИП + источники'!$F$27:$F$116,$F408,'ИП + источники'!$AC$27:$AC$116,"Прибыль на капвложения")</f>
        <v>0</v>
      </c>
      <c r="AY408" s="4561">
        <f>_xlfn.SUMIFS('ИП + источники'!AZ$27:AZ$116,'ИП + источники'!$F$27:$F$116,$F408,'ИП + источники'!$AC$27:$AC$116,"Прибыль на капвложения")</f>
        <v>0</v>
      </c>
      <c r="AZ408" s="4561">
        <f>_xlfn.SUMIFS('ИП + источники'!BA$27:BA$116,'ИП + источники'!$F$27:$F$116,$F408,'ИП + источники'!$AC$27:$AC$116,"Прибыль на капвложения")</f>
        <v>0</v>
      </c>
      <c r="BA408" s="4561">
        <f>_xlfn.SUMIFS('ИП + источники'!BB$27:BB$116,'ИП + источники'!$F$27:$F$116,$F408,'ИП + источники'!$AC$27:$AC$116,"Прибыль на капвложения")</f>
        <v>0</v>
      </c>
      <c r="BB408" s="4561">
        <f>_xlfn.SUMIFS('ИП + источники'!BC$27:BC$116,'ИП + источники'!$F$27:$F$116,$F408,'ИП + источники'!$AC$27:$AC$116,"Прибыль на капвложения")</f>
        <v>0</v>
      </c>
      <c r="BC408" s="4561">
        <f>_xlfn.SUMIFS('ИП + источники'!BD$27:BD$116,'ИП + источники'!$F$27:$F$116,$F408,'ИП + источники'!$AC$27:$AC$116,"Прибыль на капвложения")</f>
        <v>0</v>
      </c>
      <c r="BD408" s="1099">
        <f>IF(AI408=0,0,(AT408-AI408)/AI408*100)</f>
        <v>0</v>
      </c>
      <c r="BE408" s="1099">
        <f>IF(AT408=0,0,(AU408-AT408)/AT408*100)</f>
        <v>0</v>
      </c>
      <c r="BF408" s="1099">
        <f>IF(AU408=0,0,(AV408-AU408)/AU408*100)</f>
        <v>0</v>
      </c>
      <c r="BG408" s="1099">
        <f>IF(AV408=0,0,(AW408-AV408)/AV408*100)</f>
        <v>0</v>
      </c>
      <c r="BH408" s="1099">
        <f>IF(AW408=0,0,(AX408-AW408)/AW408*100)</f>
        <v>0</v>
      </c>
      <c r="BI408" s="1099">
        <f>IF(AX408=0,0,(AY408-AX408)/AX408*100)</f>
        <v>0</v>
      </c>
      <c r="BJ408" s="1099">
        <f>IF(AY408=0,0,(AZ408-AY408)/AY408*100)</f>
        <v>0</v>
      </c>
      <c r="BK408" s="1099">
        <f>IF(AZ408=0,0,(BA408-AZ408)/AZ408*100)</f>
        <v>0</v>
      </c>
      <c r="BL408" s="1099">
        <f>IF(BA408=0,0,(BB408-BA408)/BA408*100)</f>
        <v>0</v>
      </c>
      <c r="BM408" s="1099">
        <f>IF(BB408=0,0,(BC408-BB408)/BB408*100)</f>
        <v>0</v>
      </c>
      <c r="BN408" s="4617"/>
      <c r="BO408" s="4619" t="str">
        <f>IF(_xlfn.IFERROR(INDEX('ИП + источники'!$K$28:$L$116,MATCH($F408&amp;"1komm",'ИП + источники'!$K$28:$K$116,0),2),"")=0,"",_xlfn.IFERROR(INDEX('ИП + источники'!$K$28:$L$116,MATCH($F408&amp;"1komm",'ИП + источники'!$K$28:$K$116,0),2),""))</f>
        <v/>
      </c>
      <c r="BP408" s="4617"/>
      <c r="BQ408" s="960"/>
      <c r="BR408" s="960"/>
      <c r="BS408" s="1048" t="s">
        <v>1699</v>
      </c>
      <c r="BT408" s="1048"/>
      <c r="BU408" s="1048"/>
      <c r="BV408" s="962"/>
      <c r="BW408" s="962"/>
    </row>
    <row s="1621" customFormat="1" customHeight="1" ht="21.75">
      <c r="A409" s="960"/>
      <c r="B409" s="405" cm="1" t="str">
        <f t="array" ref="B409:B409">B408</f>
        <v>true</v>
      </c>
      <c r="C409" s="73"/>
      <c r="D409" s="73"/>
      <c r="E409" s="600">
        <v>22.5</v>
      </c>
      <c r="F409" s="50" cm="1" t="str">
        <f t="array" ref="F409:F409">OFFSET(E409,-1,1)</f>
        <v>2</v>
      </c>
      <c r="G409" s="73" t="s">
        <v>1997</v>
      </c>
      <c r="H409" s="73"/>
      <c r="I409" s="73" t="s">
        <v>902</v>
      </c>
      <c r="J409" s="73"/>
      <c r="K409" s="960"/>
      <c r="L409" s="963" t="s">
        <v>552</v>
      </c>
      <c r="M409" s="73"/>
      <c r="N409" s="73"/>
      <c r="O409" s="73"/>
      <c r="P409" s="73"/>
      <c r="Q409" s="73"/>
      <c r="R409" s="73"/>
      <c r="S409" s="73"/>
      <c r="T409" s="439" cm="1" t="str">
        <f t="array" ref="T409:T409">T408</f>
        <v>true</v>
      </c>
      <c r="U409" s="73"/>
      <c r="V409" s="73"/>
      <c r="W409" s="73"/>
      <c r="X409" s="1534"/>
      <c r="Y409" s="960"/>
      <c r="Z409" s="1465"/>
      <c r="AA409" s="960"/>
      <c r="AB409" s="267" t="s">
        <v>903</v>
      </c>
      <c r="AC409" s="743" t="s">
        <v>1998</v>
      </c>
      <c r="AD409" s="267" t="s">
        <v>784</v>
      </c>
      <c r="AE409" s="4561"/>
      <c r="AF409" s="4561"/>
      <c r="AG409" s="4561"/>
      <c r="AH409" s="1099">
        <f>AG409-AF409</f>
        <v>0</v>
      </c>
      <c r="AI409" s="4561"/>
      <c r="AJ409" s="4561"/>
      <c r="AK409" s="1268"/>
      <c r="AL409" s="1268"/>
      <c r="AM409" s="4561"/>
      <c r="AN409" s="4561"/>
      <c r="AO409" s="4561"/>
      <c r="AP409" s="4561"/>
      <c r="AQ409" s="4561"/>
      <c r="AR409" s="4561"/>
      <c r="AS409" s="4561"/>
      <c r="AT409" s="4561"/>
      <c r="AU409" s="1268"/>
      <c r="AV409" s="1268"/>
      <c r="AW409" s="4561"/>
      <c r="AX409" s="4561"/>
      <c r="AY409" s="4561"/>
      <c r="AZ409" s="4561"/>
      <c r="BA409" s="4561"/>
      <c r="BB409" s="4561"/>
      <c r="BC409" s="4561"/>
      <c r="BD409" s="1099">
        <f>IF(AI409=0,0,(AT409-AI409)/AI409*100)</f>
        <v>0</v>
      </c>
      <c r="BE409" s="1099">
        <f>IF(AT409=0,0,(AU409-AT409)/AT409*100)</f>
        <v>0</v>
      </c>
      <c r="BF409" s="1099">
        <f>IF(AU409=0,0,(AV409-AU409)/AU409*100)</f>
        <v>0</v>
      </c>
      <c r="BG409" s="1099">
        <f>IF(AV409=0,0,(AW409-AV409)/AV409*100)</f>
        <v>0</v>
      </c>
      <c r="BH409" s="1099">
        <f>IF(AW409=0,0,(AX409-AW409)/AW409*100)</f>
        <v>0</v>
      </c>
      <c r="BI409" s="1099">
        <f>IF(AX409=0,0,(AY409-AX409)/AX409*100)</f>
        <v>0</v>
      </c>
      <c r="BJ409" s="1099">
        <f>IF(AY409=0,0,(AZ409-AY409)/AY409*100)</f>
        <v>0</v>
      </c>
      <c r="BK409" s="1099">
        <f>IF(AZ409=0,0,(BA409-AZ409)/AZ409*100)</f>
        <v>0</v>
      </c>
      <c r="BL409" s="1099">
        <f>IF(BA409=0,0,(BB409-BA409)/BA409*100)</f>
        <v>0</v>
      </c>
      <c r="BM409" s="1099">
        <f>IF(BB409=0,0,(BC409-BB409)/BB409*100)</f>
        <v>0</v>
      </c>
      <c r="BN409" s="4617"/>
      <c r="BO409" s="4617"/>
      <c r="BP409" s="4617"/>
      <c r="BQ409" s="960"/>
      <c r="BR409" s="960"/>
      <c r="BS409" s="1048" t="s">
        <v>1999</v>
      </c>
      <c r="BT409" s="1048"/>
      <c r="BU409" s="1048"/>
      <c r="BV409" s="962"/>
      <c r="BW409" s="962"/>
    </row>
    <row s="1621" customFormat="1" customHeight="1" ht="14.25" hidden="1">
      <c r="A410" s="960"/>
      <c r="B410" s="405">
        <f>AND(method_reg="Метод индексации",STATUS_GO="да")</f>
        <v>0</v>
      </c>
      <c r="C410" s="73"/>
      <c r="D410" s="73"/>
      <c r="E410" s="600">
        <v>15</v>
      </c>
      <c r="F410" s="50" cm="1" t="str">
        <f t="array" ref="F410:F410">OFFSET(E410,-1,1)</f>
        <v>2</v>
      </c>
      <c r="G410" s="73" t="s">
        <v>1702</v>
      </c>
      <c r="H410" s="73"/>
      <c r="I410" s="73" t="s">
        <v>491</v>
      </c>
      <c r="J410" s="73"/>
      <c r="K410" s="960"/>
      <c r="L410" s="963" t="s">
        <v>556</v>
      </c>
      <c r="M410" s="73"/>
      <c r="N410" s="73"/>
      <c r="O410" s="73"/>
      <c r="P410" s="73"/>
      <c r="Q410" s="73"/>
      <c r="R410" s="73"/>
      <c r="S410" s="73"/>
      <c r="T410" s="439" cm="1" t="str">
        <f t="array" ref="T410:T410">T409</f>
        <v>true</v>
      </c>
      <c r="U410" s="73"/>
      <c r="V410" s="73"/>
      <c r="W410" s="73"/>
      <c r="X410" s="1534"/>
      <c r="Y410" s="960"/>
      <c r="Z410" s="1465"/>
      <c r="AA410" s="960"/>
      <c r="AB410" s="267" t="s">
        <v>496</v>
      </c>
      <c r="AC410" s="425" t="s">
        <v>1702</v>
      </c>
      <c r="AD410" s="267" t="s">
        <v>784</v>
      </c>
      <c r="AE410" s="1268"/>
      <c r="AF410" s="1268"/>
      <c r="AG410" s="1268"/>
      <c r="AH410" s="1099">
        <f>AG410-AF410</f>
        <v>0</v>
      </c>
      <c r="AI410" s="1268"/>
      <c r="AJ410" s="4561"/>
      <c r="AK410" s="1268"/>
      <c r="AL410" s="1268"/>
      <c r="AM410" s="1268"/>
      <c r="AN410" s="1268"/>
      <c r="AO410" s="1268"/>
      <c r="AP410" s="1268"/>
      <c r="AQ410" s="1268"/>
      <c r="AR410" s="1268"/>
      <c r="AS410" s="1268"/>
      <c r="AT410" s="4561"/>
      <c r="AU410" s="1268"/>
      <c r="AV410" s="1268"/>
      <c r="AW410" s="1268"/>
      <c r="AX410" s="1268"/>
      <c r="AY410" s="1268"/>
      <c r="AZ410" s="1268"/>
      <c r="BA410" s="1268"/>
      <c r="BB410" s="1268"/>
      <c r="BC410" s="1268"/>
      <c r="BD410" s="1099">
        <f>IF(AI410=0,0,(AT410-AI410)/AI410*100)</f>
        <v>0</v>
      </c>
      <c r="BE410" s="1099">
        <f>IF(AT410=0,0,(AU410-AT410)/AT410*100)</f>
        <v>0</v>
      </c>
      <c r="BF410" s="1099">
        <f>IF(AU410=0,0,(AV410-AU410)/AU410*100)</f>
        <v>0</v>
      </c>
      <c r="BG410" s="1099">
        <f>IF(AV410=0,0,(AW410-AV410)/AV410*100)</f>
        <v>0</v>
      </c>
      <c r="BH410" s="1099">
        <f>IF(AW410=0,0,(AX410-AW410)/AW410*100)</f>
        <v>0</v>
      </c>
      <c r="BI410" s="1099">
        <f>IF(AX410=0,0,(AY410-AX410)/AX410*100)</f>
        <v>0</v>
      </c>
      <c r="BJ410" s="1099">
        <f>IF(AY410=0,0,(AZ410-AY410)/AY410*100)</f>
        <v>0</v>
      </c>
      <c r="BK410" s="1099">
        <f>IF(AZ410=0,0,(BA410-AZ410)/AZ410*100)</f>
        <v>0</v>
      </c>
      <c r="BL410" s="1099">
        <f>IF(BA410=0,0,(BB410-BA410)/BA410*100)</f>
        <v>0</v>
      </c>
      <c r="BM410" s="1099">
        <f>IF(BB410=0,0,(BC410-BB410)/BB410*100)</f>
        <v>0</v>
      </c>
      <c r="BN410" s="1265"/>
      <c r="BO410" s="1265"/>
      <c r="BP410" s="1265"/>
      <c r="BQ410" s="960"/>
      <c r="BR410" s="960"/>
      <c r="BS410" s="1048" t="s">
        <v>1703</v>
      </c>
      <c r="BT410" s="1048"/>
      <c r="BU410" s="1048"/>
      <c r="BV410" s="962"/>
      <c r="BW410" s="962"/>
    </row>
    <row s="1621" customFormat="1" customHeight="1" ht="14.25" hidden="1">
      <c r="A411" s="960"/>
      <c r="B411" s="842">
        <f>method_reg="Метод обеспечения доходности инвестированного капитала"</f>
        <v>0</v>
      </c>
      <c r="C411" s="73"/>
      <c r="D411" s="73"/>
      <c r="E411" s="600">
        <v>15</v>
      </c>
      <c r="F411" s="50" cm="1" t="str">
        <f t="array" ref="F411:F411">OFFSET(E411,-1,1)</f>
        <v>2</v>
      </c>
      <c r="G411" s="73"/>
      <c r="H411" s="73"/>
      <c r="I411" s="73"/>
      <c r="J411" s="73"/>
      <c r="K411" s="73" t="s">
        <v>329</v>
      </c>
      <c r="L411" s="963"/>
      <c r="M411" s="73"/>
      <c r="N411" s="73"/>
      <c r="O411" s="73"/>
      <c r="P411" s="73"/>
      <c r="Q411" s="73"/>
      <c r="R411" s="73"/>
      <c r="S411" s="73"/>
      <c r="T411" s="842" cm="1" t="str">
        <f t="array" ref="T411:T411">T410</f>
        <v>true</v>
      </c>
      <c r="U411" s="73"/>
      <c r="V411" s="73"/>
      <c r="W411" s="73"/>
      <c r="X411" s="1534"/>
      <c r="Y411" s="960"/>
      <c r="Z411" s="1465"/>
      <c r="AA411" s="960"/>
      <c r="AB411" s="775" t="s">
        <v>536</v>
      </c>
      <c r="AC411" s="774" t="s">
        <v>2000</v>
      </c>
      <c r="AD411" s="775" t="s">
        <v>784</v>
      </c>
      <c r="AE411" s="1273"/>
      <c r="AF411" s="1273"/>
      <c r="AG411" s="1273"/>
      <c r="AH411" s="742">
        <f>AG411-AF411</f>
        <v>0</v>
      </c>
      <c r="AI411" s="1273"/>
      <c r="AJ411" s="4595"/>
      <c r="AK411" s="1273"/>
      <c r="AL411" s="1273"/>
      <c r="AM411" s="1273"/>
      <c r="AN411" s="1273"/>
      <c r="AO411" s="1273"/>
      <c r="AP411" s="1273"/>
      <c r="AQ411" s="1273"/>
      <c r="AR411" s="1273"/>
      <c r="AS411" s="1273"/>
      <c r="AT411" s="4595"/>
      <c r="AU411" s="1273"/>
      <c r="AV411" s="1273"/>
      <c r="AW411" s="1273"/>
      <c r="AX411" s="1273"/>
      <c r="AY411" s="1273"/>
      <c r="AZ411" s="1273"/>
      <c r="BA411" s="1273"/>
      <c r="BB411" s="1273"/>
      <c r="BC411" s="1273"/>
      <c r="BD411" s="742">
        <f>IF(AI411=0,0,(AT411-AI411)/AI411*100)</f>
        <v>0</v>
      </c>
      <c r="BE411" s="742">
        <f>IF(AT411=0,0,(AU411-AT411)/AT411*100)</f>
        <v>0</v>
      </c>
      <c r="BF411" s="742">
        <f>IF(AU411=0,0,(AV411-AU411)/AU411*100)</f>
        <v>0</v>
      </c>
      <c r="BG411" s="742">
        <f>IF(AV411=0,0,(AW411-AV411)/AV411*100)</f>
        <v>0</v>
      </c>
      <c r="BH411" s="742">
        <f>IF(AW411=0,0,(AX411-AW411)/AW411*100)</f>
        <v>0</v>
      </c>
      <c r="BI411" s="742">
        <f>IF(AX411=0,0,(AY411-AX411)/AX411*100)</f>
        <v>0</v>
      </c>
      <c r="BJ411" s="742">
        <f>IF(AY411=0,0,(AZ411-AY411)/AY411*100)</f>
        <v>0</v>
      </c>
      <c r="BK411" s="742">
        <f>IF(AZ411=0,0,(BA411-AZ411)/AZ411*100)</f>
        <v>0</v>
      </c>
      <c r="BL411" s="742">
        <f>IF(BA411=0,0,(BB411-BA411)/BA411*100)</f>
        <v>0</v>
      </c>
      <c r="BM411" s="742">
        <f>IF(BB411=0,0,(BC411-BB411)/BB411*100)</f>
        <v>0</v>
      </c>
      <c r="BN411" s="1274"/>
      <c r="BO411" s="1274"/>
      <c r="BP411" s="1274"/>
      <c r="BQ411" s="960"/>
      <c r="BR411" s="960"/>
      <c r="BS411" s="1048" t="s">
        <v>2001</v>
      </c>
      <c r="BT411" s="1048"/>
      <c r="BU411" s="1048"/>
      <c r="BV411" s="962"/>
      <c r="BW411" s="962"/>
    </row>
    <row s="1621" customFormat="1" customHeight="1" ht="14.25" hidden="1">
      <c r="A412" s="960"/>
      <c r="B412" s="842" cm="1" t="str">
        <f t="array" ref="B412:B412">B411</f>
        <v>false</v>
      </c>
      <c r="C412" s="73"/>
      <c r="D412" s="73"/>
      <c r="E412" s="600">
        <v>15</v>
      </c>
      <c r="F412" s="50" cm="1" t="str">
        <f t="array" ref="F412:F412">OFFSET(E412,-1,1)</f>
        <v>2</v>
      </c>
      <c r="G412" s="73"/>
      <c r="H412" s="73"/>
      <c r="I412" s="73"/>
      <c r="J412" s="73"/>
      <c r="K412" s="73" t="s">
        <v>514</v>
      </c>
      <c r="L412" s="963"/>
      <c r="M412" s="73"/>
      <c r="N412" s="73"/>
      <c r="O412" s="73"/>
      <c r="P412" s="73"/>
      <c r="Q412" s="73"/>
      <c r="R412" s="73"/>
      <c r="S412" s="73"/>
      <c r="T412" s="842" cm="1" t="str">
        <f t="array" ref="T412:T412">T411</f>
        <v>true</v>
      </c>
      <c r="U412" s="73"/>
      <c r="V412" s="73"/>
      <c r="W412" s="73"/>
      <c r="X412" s="1534"/>
      <c r="Y412" s="960"/>
      <c r="Z412" s="1465"/>
      <c r="AA412" s="960"/>
      <c r="AB412" s="778" t="s">
        <v>652</v>
      </c>
      <c r="AC412" s="777" t="s">
        <v>2002</v>
      </c>
      <c r="AD412" s="778" t="s">
        <v>784</v>
      </c>
      <c r="AE412" s="1275"/>
      <c r="AF412" s="1275"/>
      <c r="AG412" s="1275"/>
      <c r="AH412" s="744"/>
      <c r="AI412" s="1275"/>
      <c r="AJ412" s="4600"/>
      <c r="AK412" s="1275"/>
      <c r="AL412" s="1275"/>
      <c r="AM412" s="1275"/>
      <c r="AN412" s="1275"/>
      <c r="AO412" s="1275"/>
      <c r="AP412" s="1275"/>
      <c r="AQ412" s="1275"/>
      <c r="AR412" s="1275"/>
      <c r="AS412" s="1275"/>
      <c r="AT412" s="4600"/>
      <c r="AU412" s="1275"/>
      <c r="AV412" s="1275"/>
      <c r="AW412" s="1275"/>
      <c r="AX412" s="1275"/>
      <c r="AY412" s="1275"/>
      <c r="AZ412" s="1275"/>
      <c r="BA412" s="1275"/>
      <c r="BB412" s="1275"/>
      <c r="BC412" s="1275"/>
      <c r="BD412" s="744"/>
      <c r="BE412" s="744"/>
      <c r="BF412" s="744"/>
      <c r="BG412" s="744"/>
      <c r="BH412" s="744"/>
      <c r="BI412" s="744"/>
      <c r="BJ412" s="744"/>
      <c r="BK412" s="744"/>
      <c r="BL412" s="744"/>
      <c r="BM412" s="744"/>
      <c r="BN412" s="1276"/>
      <c r="BO412" s="1276"/>
      <c r="BP412" s="1276"/>
      <c r="BQ412" s="960"/>
      <c r="BR412" s="960"/>
      <c r="BS412" s="1048" t="s">
        <v>2003</v>
      </c>
      <c r="BT412" s="1048"/>
      <c r="BU412" s="1048"/>
      <c r="BV412" s="962"/>
      <c r="BW412" s="962"/>
    </row>
    <row s="1621" customFormat="1" customHeight="1" ht="14.25" hidden="1">
      <c r="A413" s="960"/>
      <c r="B413" s="842" cm="1" t="str">
        <f t="array" ref="B413:B413">B412</f>
        <v>false</v>
      </c>
      <c r="C413" s="73"/>
      <c r="D413" s="73"/>
      <c r="E413" s="600">
        <v>15</v>
      </c>
      <c r="F413" s="50" cm="1" t="str">
        <f t="array" ref="F413:F413">OFFSET(E413,-1,1)</f>
        <v>2</v>
      </c>
      <c r="G413" s="73"/>
      <c r="H413" s="73"/>
      <c r="I413" s="73"/>
      <c r="J413" s="73"/>
      <c r="K413" s="73" t="s">
        <v>518</v>
      </c>
      <c r="L413" s="963"/>
      <c r="M413" s="73"/>
      <c r="N413" s="73"/>
      <c r="O413" s="73"/>
      <c r="P413" s="73"/>
      <c r="Q413" s="73"/>
      <c r="R413" s="73"/>
      <c r="S413" s="73"/>
      <c r="T413" s="842" cm="1" t="str">
        <f t="array" ref="T413:T413">T412</f>
        <v>true</v>
      </c>
      <c r="U413" s="73"/>
      <c r="V413" s="73"/>
      <c r="W413" s="73"/>
      <c r="X413" s="1534"/>
      <c r="Y413" s="960"/>
      <c r="Z413" s="1465"/>
      <c r="AA413" s="960"/>
      <c r="AB413" s="778" t="s">
        <v>655</v>
      </c>
      <c r="AC413" s="777" t="s">
        <v>2004</v>
      </c>
      <c r="AD413" s="778" t="s">
        <v>2005</v>
      </c>
      <c r="AE413" s="1275"/>
      <c r="AF413" s="1275"/>
      <c r="AG413" s="1275"/>
      <c r="AH413" s="744"/>
      <c r="AI413" s="1275"/>
      <c r="AJ413" s="4600"/>
      <c r="AK413" s="1275"/>
      <c r="AL413" s="1275"/>
      <c r="AM413" s="1275"/>
      <c r="AN413" s="1275"/>
      <c r="AO413" s="1275"/>
      <c r="AP413" s="1275"/>
      <c r="AQ413" s="1275"/>
      <c r="AR413" s="1275"/>
      <c r="AS413" s="1275"/>
      <c r="AT413" s="4600"/>
      <c r="AU413" s="1275"/>
      <c r="AV413" s="1275"/>
      <c r="AW413" s="1275"/>
      <c r="AX413" s="1275"/>
      <c r="AY413" s="1275"/>
      <c r="AZ413" s="1275"/>
      <c r="BA413" s="1275"/>
      <c r="BB413" s="1275"/>
      <c r="BC413" s="1275"/>
      <c r="BD413" s="744"/>
      <c r="BE413" s="744"/>
      <c r="BF413" s="744"/>
      <c r="BG413" s="744"/>
      <c r="BH413" s="744"/>
      <c r="BI413" s="744"/>
      <c r="BJ413" s="744"/>
      <c r="BK413" s="744"/>
      <c r="BL413" s="744"/>
      <c r="BM413" s="744"/>
      <c r="BN413" s="1276"/>
      <c r="BO413" s="1276"/>
      <c r="BP413" s="1276"/>
      <c r="BQ413" s="960"/>
      <c r="BR413" s="960"/>
      <c r="BS413" s="1048" t="s">
        <v>2006</v>
      </c>
      <c r="BT413" s="1048"/>
      <c r="BU413" s="1048"/>
      <c r="BV413" s="962"/>
      <c r="BW413" s="962"/>
    </row>
    <row s="1621" customFormat="1" customHeight="1" ht="14.25" hidden="1">
      <c r="A414" s="960"/>
      <c r="B414" s="842" cm="1" t="str">
        <f t="array" ref="B414:B414">B413</f>
        <v>false</v>
      </c>
      <c r="C414" s="73"/>
      <c r="D414" s="73"/>
      <c r="E414" s="600">
        <v>15</v>
      </c>
      <c r="F414" s="50" cm="1" t="str">
        <f t="array" ref="F414:F414">OFFSET(E414,-1,1)</f>
        <v>2</v>
      </c>
      <c r="G414" s="73"/>
      <c r="H414" s="73"/>
      <c r="I414" s="73"/>
      <c r="J414" s="73"/>
      <c r="K414" s="73" t="s">
        <v>328</v>
      </c>
      <c r="L414" s="963"/>
      <c r="M414" s="73"/>
      <c r="N414" s="73"/>
      <c r="O414" s="73"/>
      <c r="P414" s="73"/>
      <c r="Q414" s="73"/>
      <c r="R414" s="73"/>
      <c r="S414" s="73"/>
      <c r="T414" s="842" cm="1" t="str">
        <f t="array" ref="T414:T414">T413</f>
        <v>true</v>
      </c>
      <c r="U414" s="73"/>
      <c r="V414" s="73"/>
      <c r="W414" s="73"/>
      <c r="X414" s="1534"/>
      <c r="Y414" s="960"/>
      <c r="Z414" s="1465"/>
      <c r="AA414" s="960"/>
      <c r="AB414" s="775" t="s">
        <v>492</v>
      </c>
      <c r="AC414" s="774" t="s">
        <v>2007</v>
      </c>
      <c r="AD414" s="775" t="s">
        <v>784</v>
      </c>
      <c r="AE414" s="1273"/>
      <c r="AF414" s="1273"/>
      <c r="AG414" s="1273"/>
      <c r="AH414" s="742">
        <f>AG414-AF414</f>
        <v>0</v>
      </c>
      <c r="AI414" s="1273"/>
      <c r="AJ414" s="4595"/>
      <c r="AK414" s="1273"/>
      <c r="AL414" s="1273"/>
      <c r="AM414" s="1273"/>
      <c r="AN414" s="1273"/>
      <c r="AO414" s="1273"/>
      <c r="AP414" s="1273"/>
      <c r="AQ414" s="1273"/>
      <c r="AR414" s="1273"/>
      <c r="AS414" s="1273"/>
      <c r="AT414" s="4595"/>
      <c r="AU414" s="1273"/>
      <c r="AV414" s="1273"/>
      <c r="AW414" s="1273"/>
      <c r="AX414" s="1273"/>
      <c r="AY414" s="1273"/>
      <c r="AZ414" s="1273"/>
      <c r="BA414" s="1273"/>
      <c r="BB414" s="1273"/>
      <c r="BC414" s="1273"/>
      <c r="BD414" s="742">
        <f>IF(AI414=0,0,(AT414-AI414)/AI414*100)</f>
        <v>0</v>
      </c>
      <c r="BE414" s="742">
        <f>IF(AT414=0,0,(AU414-AT414)/AT414*100)</f>
        <v>0</v>
      </c>
      <c r="BF414" s="742">
        <f>IF(AU414=0,0,(AV414-AU414)/AU414*100)</f>
        <v>0</v>
      </c>
      <c r="BG414" s="742">
        <f>IF(AV414=0,0,(AW414-AV414)/AV414*100)</f>
        <v>0</v>
      </c>
      <c r="BH414" s="742">
        <f>IF(AW414=0,0,(AX414-AW414)/AW414*100)</f>
        <v>0</v>
      </c>
      <c r="BI414" s="742">
        <f>IF(AX414=0,0,(AY414-AX414)/AX414*100)</f>
        <v>0</v>
      </c>
      <c r="BJ414" s="742">
        <f>IF(AY414=0,0,(AZ414-AY414)/AY414*100)</f>
        <v>0</v>
      </c>
      <c r="BK414" s="742">
        <f>IF(AZ414=0,0,(BA414-AZ414)/AZ414*100)</f>
        <v>0</v>
      </c>
      <c r="BL414" s="742">
        <f>IF(BA414=0,0,(BB414-BA414)/BA414*100)</f>
        <v>0</v>
      </c>
      <c r="BM414" s="742">
        <f>IF(BB414=0,0,(BC414-BB414)/BB414*100)</f>
        <v>0</v>
      </c>
      <c r="BN414" s="1274"/>
      <c r="BO414" s="1274"/>
      <c r="BP414" s="1274"/>
      <c r="BQ414" s="960"/>
      <c r="BR414" s="960"/>
      <c r="BS414" s="1048" t="s">
        <v>2008</v>
      </c>
      <c r="BT414" s="1048"/>
      <c r="BU414" s="1048"/>
      <c r="BV414" s="962"/>
      <c r="BW414" s="962"/>
    </row>
    <row s="1621" customFormat="1" customHeight="1" ht="14.25" hidden="1">
      <c r="A415" s="960"/>
      <c r="B415" s="842" cm="1" t="str">
        <f t="array" ref="B415:B415">B414</f>
        <v>false</v>
      </c>
      <c r="C415" s="73"/>
      <c r="D415" s="73"/>
      <c r="E415" s="600">
        <v>15</v>
      </c>
      <c r="F415" s="50" cm="1" t="str">
        <f t="array" ref="F415:F415">OFFSET(E415,-1,1)</f>
        <v>2</v>
      </c>
      <c r="G415" s="73"/>
      <c r="H415" s="73"/>
      <c r="I415" s="73"/>
      <c r="J415" s="73"/>
      <c r="K415" s="73" t="s">
        <v>528</v>
      </c>
      <c r="L415" s="963"/>
      <c r="M415" s="73"/>
      <c r="N415" s="73"/>
      <c r="O415" s="73"/>
      <c r="P415" s="73"/>
      <c r="Q415" s="73"/>
      <c r="R415" s="73"/>
      <c r="S415" s="73"/>
      <c r="T415" s="842" cm="1" t="str">
        <f t="array" ref="T415:T415">T414</f>
        <v>true</v>
      </c>
      <c r="U415" s="73"/>
      <c r="V415" s="73"/>
      <c r="W415" s="73"/>
      <c r="X415" s="1534"/>
      <c r="Y415" s="960"/>
      <c r="Z415" s="1465"/>
      <c r="AA415" s="960"/>
      <c r="AB415" s="778" t="s">
        <v>659</v>
      </c>
      <c r="AC415" s="777" t="s">
        <v>2009</v>
      </c>
      <c r="AD415" s="778" t="s">
        <v>784</v>
      </c>
      <c r="AE415" s="1275"/>
      <c r="AF415" s="1275"/>
      <c r="AG415" s="1275"/>
      <c r="AH415" s="744"/>
      <c r="AI415" s="1275"/>
      <c r="AJ415" s="4600"/>
      <c r="AK415" s="1275"/>
      <c r="AL415" s="1275"/>
      <c r="AM415" s="1275"/>
      <c r="AN415" s="1275"/>
      <c r="AO415" s="1275"/>
      <c r="AP415" s="1275"/>
      <c r="AQ415" s="1275"/>
      <c r="AR415" s="1275"/>
      <c r="AS415" s="1275"/>
      <c r="AT415" s="4600"/>
      <c r="AU415" s="1275"/>
      <c r="AV415" s="1275"/>
      <c r="AW415" s="1275"/>
      <c r="AX415" s="1275"/>
      <c r="AY415" s="1275"/>
      <c r="AZ415" s="1275"/>
      <c r="BA415" s="1275"/>
      <c r="BB415" s="1275"/>
      <c r="BC415" s="1275"/>
      <c r="BD415" s="744"/>
      <c r="BE415" s="744"/>
      <c r="BF415" s="744"/>
      <c r="BG415" s="744"/>
      <c r="BH415" s="744"/>
      <c r="BI415" s="744"/>
      <c r="BJ415" s="744"/>
      <c r="BK415" s="744"/>
      <c r="BL415" s="744"/>
      <c r="BM415" s="744"/>
      <c r="BN415" s="1276"/>
      <c r="BO415" s="1276"/>
      <c r="BP415" s="1276"/>
      <c r="BQ415" s="960"/>
      <c r="BR415" s="960"/>
      <c r="BS415" s="1048" t="s">
        <v>2010</v>
      </c>
      <c r="BT415" s="1048"/>
      <c r="BU415" s="1048"/>
      <c r="BV415" s="962"/>
      <c r="BW415" s="962"/>
    </row>
    <row s="1621" customFormat="1" customHeight="1" ht="14.25" hidden="1">
      <c r="A416" s="960"/>
      <c r="B416" s="842" cm="1" t="str">
        <f t="array" ref="B416:B416">B415</f>
        <v>false</v>
      </c>
      <c r="C416" s="73"/>
      <c r="D416" s="73"/>
      <c r="E416" s="600">
        <v>15</v>
      </c>
      <c r="F416" s="50" cm="1" t="str">
        <f t="array" ref="F416:F416">OFFSET(E416,-1,1)</f>
        <v>2</v>
      </c>
      <c r="G416" s="73"/>
      <c r="H416" s="73"/>
      <c r="I416" s="73"/>
      <c r="J416" s="73"/>
      <c r="K416" s="73" t="s">
        <v>532</v>
      </c>
      <c r="L416" s="963"/>
      <c r="M416" s="73"/>
      <c r="N416" s="73"/>
      <c r="O416" s="73"/>
      <c r="P416" s="73"/>
      <c r="Q416" s="73"/>
      <c r="R416" s="73"/>
      <c r="S416" s="73"/>
      <c r="T416" s="842" cm="1" t="str">
        <f t="array" ref="T416:T416">T415</f>
        <v>true</v>
      </c>
      <c r="U416" s="73"/>
      <c r="V416" s="73"/>
      <c r="W416" s="73"/>
      <c r="X416" s="1534"/>
      <c r="Y416" s="960"/>
      <c r="Z416" s="1465"/>
      <c r="AA416" s="960"/>
      <c r="AB416" s="778" t="s">
        <v>662</v>
      </c>
      <c r="AC416" s="777" t="s">
        <v>2011</v>
      </c>
      <c r="AD416" s="778" t="s">
        <v>437</v>
      </c>
      <c r="AE416" s="1275"/>
      <c r="AF416" s="1275"/>
      <c r="AG416" s="1275"/>
      <c r="AH416" s="744"/>
      <c r="AI416" s="1275"/>
      <c r="AJ416" s="4600"/>
      <c r="AK416" s="1275"/>
      <c r="AL416" s="1275"/>
      <c r="AM416" s="1275"/>
      <c r="AN416" s="1275"/>
      <c r="AO416" s="1275"/>
      <c r="AP416" s="1275"/>
      <c r="AQ416" s="1275"/>
      <c r="AR416" s="1275"/>
      <c r="AS416" s="1275"/>
      <c r="AT416" s="4600"/>
      <c r="AU416" s="1275"/>
      <c r="AV416" s="1275"/>
      <c r="AW416" s="1275"/>
      <c r="AX416" s="1275"/>
      <c r="AY416" s="1275"/>
      <c r="AZ416" s="1275"/>
      <c r="BA416" s="1275"/>
      <c r="BB416" s="1275"/>
      <c r="BC416" s="1275"/>
      <c r="BD416" s="744"/>
      <c r="BE416" s="744"/>
      <c r="BF416" s="744"/>
      <c r="BG416" s="744"/>
      <c r="BH416" s="744"/>
      <c r="BI416" s="744"/>
      <c r="BJ416" s="744"/>
      <c r="BK416" s="744"/>
      <c r="BL416" s="744"/>
      <c r="BM416" s="744"/>
      <c r="BN416" s="1276"/>
      <c r="BO416" s="1276"/>
      <c r="BP416" s="1276"/>
      <c r="BQ416" s="960"/>
      <c r="BR416" s="960"/>
      <c r="BS416" s="1048" t="s">
        <v>2012</v>
      </c>
      <c r="BT416" s="1048"/>
      <c r="BU416" s="1048"/>
      <c r="BV416" s="962"/>
      <c r="BW416" s="962"/>
    </row>
    <row s="1621" customFormat="1" customHeight="1" ht="14.25" hidden="1">
      <c r="A417" s="960"/>
      <c r="B417" s="842" cm="1" t="str">
        <f t="array" ref="B417:B417">B416</f>
        <v>false</v>
      </c>
      <c r="C417" s="73"/>
      <c r="D417" s="73"/>
      <c r="E417" s="600">
        <v>15</v>
      </c>
      <c r="F417" s="50" cm="1" t="str">
        <f t="array" ref="F417:F417">OFFSET(E417,-1,1)</f>
        <v>2</v>
      </c>
      <c r="G417" s="73"/>
      <c r="H417" s="73"/>
      <c r="I417" s="73"/>
      <c r="J417" s="73"/>
      <c r="K417" s="73" t="s">
        <v>749</v>
      </c>
      <c r="L417" s="963"/>
      <c r="M417" s="73"/>
      <c r="N417" s="73"/>
      <c r="O417" s="73"/>
      <c r="P417" s="73"/>
      <c r="Q417" s="73"/>
      <c r="R417" s="73"/>
      <c r="S417" s="73"/>
      <c r="T417" s="842" cm="1" t="str">
        <f t="array" ref="T417:T417">T416</f>
        <v>true</v>
      </c>
      <c r="U417" s="73"/>
      <c r="V417" s="73"/>
      <c r="W417" s="73"/>
      <c r="X417" s="1534"/>
      <c r="Y417" s="960"/>
      <c r="Z417" s="1465"/>
      <c r="AA417" s="960"/>
      <c r="AB417" s="778" t="s">
        <v>900</v>
      </c>
      <c r="AC417" s="777" t="s">
        <v>2013</v>
      </c>
      <c r="AD417" s="778" t="s">
        <v>784</v>
      </c>
      <c r="AE417" s="1275"/>
      <c r="AF417" s="1275"/>
      <c r="AG417" s="1275"/>
      <c r="AH417" s="744"/>
      <c r="AI417" s="1275"/>
      <c r="AJ417" s="4600"/>
      <c r="AK417" s="1275"/>
      <c r="AL417" s="1275"/>
      <c r="AM417" s="1275"/>
      <c r="AN417" s="1275"/>
      <c r="AO417" s="1275"/>
      <c r="AP417" s="1275"/>
      <c r="AQ417" s="1275"/>
      <c r="AR417" s="1275"/>
      <c r="AS417" s="1275"/>
      <c r="AT417" s="4600"/>
      <c r="AU417" s="1275"/>
      <c r="AV417" s="1275"/>
      <c r="AW417" s="1275"/>
      <c r="AX417" s="1275"/>
      <c r="AY417" s="1275"/>
      <c r="AZ417" s="1275"/>
      <c r="BA417" s="1275"/>
      <c r="BB417" s="1275"/>
      <c r="BC417" s="1275"/>
      <c r="BD417" s="744"/>
      <c r="BE417" s="744"/>
      <c r="BF417" s="744"/>
      <c r="BG417" s="744"/>
      <c r="BH417" s="744"/>
      <c r="BI417" s="744"/>
      <c r="BJ417" s="744"/>
      <c r="BK417" s="744"/>
      <c r="BL417" s="744"/>
      <c r="BM417" s="744"/>
      <c r="BN417" s="1276"/>
      <c r="BO417" s="1276"/>
      <c r="BP417" s="1276"/>
      <c r="BQ417" s="960"/>
      <c r="BR417" s="960"/>
      <c r="BS417" s="1048" t="s">
        <v>2014</v>
      </c>
      <c r="BT417" s="1048"/>
      <c r="BU417" s="1048"/>
      <c r="BV417" s="962"/>
      <c r="BW417" s="962"/>
    </row>
    <row s="1621" customFormat="1" customHeight="1" ht="14.25" hidden="1">
      <c r="A418" s="960"/>
      <c r="B418" s="842" cm="1" t="str">
        <f t="array" ref="B418:B418">B417</f>
        <v>false</v>
      </c>
      <c r="C418" s="73"/>
      <c r="D418" s="73"/>
      <c r="E418" s="600">
        <v>15</v>
      </c>
      <c r="F418" s="50" cm="1" t="str">
        <f t="array" ref="F418:F418">OFFSET(E418,-1,1)</f>
        <v>2</v>
      </c>
      <c r="G418" s="73"/>
      <c r="H418" s="73"/>
      <c r="I418" s="73"/>
      <c r="J418" s="73"/>
      <c r="K418" s="73" t="s">
        <v>902</v>
      </c>
      <c r="L418" s="963"/>
      <c r="M418" s="73"/>
      <c r="N418" s="73"/>
      <c r="O418" s="73"/>
      <c r="P418" s="73"/>
      <c r="Q418" s="73"/>
      <c r="R418" s="73"/>
      <c r="S418" s="73"/>
      <c r="T418" s="842" cm="1" t="str">
        <f t="array" ref="T418:T418">T417</f>
        <v>true</v>
      </c>
      <c r="U418" s="73"/>
      <c r="V418" s="73"/>
      <c r="W418" s="73"/>
      <c r="X418" s="1534"/>
      <c r="Y418" s="960"/>
      <c r="Z418" s="1465"/>
      <c r="AA418" s="960"/>
      <c r="AB418" s="778" t="s">
        <v>903</v>
      </c>
      <c r="AC418" s="777" t="s">
        <v>2015</v>
      </c>
      <c r="AD418" s="778" t="s">
        <v>784</v>
      </c>
      <c r="AE418" s="1275"/>
      <c r="AF418" s="1275"/>
      <c r="AG418" s="1275"/>
      <c r="AH418" s="744"/>
      <c r="AI418" s="1275"/>
      <c r="AJ418" s="4600"/>
      <c r="AK418" s="1275"/>
      <c r="AL418" s="1275"/>
      <c r="AM418" s="1275"/>
      <c r="AN418" s="1275"/>
      <c r="AO418" s="1275"/>
      <c r="AP418" s="1275"/>
      <c r="AQ418" s="1275"/>
      <c r="AR418" s="1275"/>
      <c r="AS418" s="1275"/>
      <c r="AT418" s="4600"/>
      <c r="AU418" s="1275"/>
      <c r="AV418" s="1275"/>
      <c r="AW418" s="1275"/>
      <c r="AX418" s="1275"/>
      <c r="AY418" s="1275"/>
      <c r="AZ418" s="1275"/>
      <c r="BA418" s="1275"/>
      <c r="BB418" s="1275"/>
      <c r="BC418" s="1275"/>
      <c r="BD418" s="744"/>
      <c r="BE418" s="744"/>
      <c r="BF418" s="744"/>
      <c r="BG418" s="744"/>
      <c r="BH418" s="744"/>
      <c r="BI418" s="744"/>
      <c r="BJ418" s="744"/>
      <c r="BK418" s="744"/>
      <c r="BL418" s="744"/>
      <c r="BM418" s="744"/>
      <c r="BN418" s="1276"/>
      <c r="BO418" s="1276"/>
      <c r="BP418" s="1276"/>
      <c r="BQ418" s="960"/>
      <c r="BR418" s="960"/>
      <c r="BS418" s="1048" t="s">
        <v>2016</v>
      </c>
      <c r="BT418" s="1048"/>
      <c r="BU418" s="1048"/>
      <c r="BV418" s="962"/>
      <c r="BW418" s="962"/>
    </row>
    <row s="1621" customFormat="1" customHeight="1" ht="14.25" hidden="1">
      <c r="A419" s="960"/>
      <c r="B419" s="842" cm="1" t="str">
        <f t="array" ref="B419:B419">B418</f>
        <v>false</v>
      </c>
      <c r="C419" s="73"/>
      <c r="D419" s="73"/>
      <c r="E419" s="600">
        <v>15</v>
      </c>
      <c r="F419" s="50" cm="1" t="str">
        <f t="array" ref="F419:F419">OFFSET(E419,-1,1)</f>
        <v>2</v>
      </c>
      <c r="G419" s="73"/>
      <c r="H419" s="73"/>
      <c r="I419" s="73"/>
      <c r="J419" s="73"/>
      <c r="K419" s="73" t="s">
        <v>2017</v>
      </c>
      <c r="L419" s="963"/>
      <c r="M419" s="73"/>
      <c r="N419" s="73"/>
      <c r="O419" s="73"/>
      <c r="P419" s="73"/>
      <c r="Q419" s="73"/>
      <c r="R419" s="73"/>
      <c r="S419" s="73"/>
      <c r="T419" s="842" cm="1" t="str">
        <f t="array" ref="T419:T419">T418</f>
        <v>true</v>
      </c>
      <c r="U419" s="73"/>
      <c r="V419" s="73"/>
      <c r="W419" s="73"/>
      <c r="X419" s="1534"/>
      <c r="Y419" s="960"/>
      <c r="Z419" s="1465"/>
      <c r="AA419" s="960"/>
      <c r="AB419" s="778" t="s">
        <v>2018</v>
      </c>
      <c r="AC419" s="779" t="s">
        <v>2019</v>
      </c>
      <c r="AD419" s="778" t="s">
        <v>437</v>
      </c>
      <c r="AE419" s="1275"/>
      <c r="AF419" s="1275"/>
      <c r="AG419" s="1275"/>
      <c r="AH419" s="744"/>
      <c r="AI419" s="1275"/>
      <c r="AJ419" s="4600"/>
      <c r="AK419" s="1275"/>
      <c r="AL419" s="1275"/>
      <c r="AM419" s="1275"/>
      <c r="AN419" s="1275"/>
      <c r="AO419" s="1275"/>
      <c r="AP419" s="1275"/>
      <c r="AQ419" s="1275"/>
      <c r="AR419" s="1275"/>
      <c r="AS419" s="1275"/>
      <c r="AT419" s="4600"/>
      <c r="AU419" s="1275"/>
      <c r="AV419" s="1275"/>
      <c r="AW419" s="1275"/>
      <c r="AX419" s="1275"/>
      <c r="AY419" s="1275"/>
      <c r="AZ419" s="1275"/>
      <c r="BA419" s="1275"/>
      <c r="BB419" s="1275"/>
      <c r="BC419" s="1275"/>
      <c r="BD419" s="744"/>
      <c r="BE419" s="744"/>
      <c r="BF419" s="744"/>
      <c r="BG419" s="744"/>
      <c r="BH419" s="744"/>
      <c r="BI419" s="744"/>
      <c r="BJ419" s="744"/>
      <c r="BK419" s="744"/>
      <c r="BL419" s="744"/>
      <c r="BM419" s="744"/>
      <c r="BN419" s="1276"/>
      <c r="BO419" s="1276"/>
      <c r="BP419" s="1276"/>
      <c r="BQ419" s="960"/>
      <c r="BR419" s="960"/>
      <c r="BS419" s="1048" t="s">
        <v>2020</v>
      </c>
      <c r="BT419" s="1048"/>
      <c r="BU419" s="1048"/>
      <c r="BV419" s="962"/>
      <c r="BW419" s="962"/>
    </row>
    <row s="1621" customFormat="1" customHeight="1" ht="14.25" hidden="1">
      <c r="A420" s="960"/>
      <c r="B420" s="842" cm="1" t="str">
        <f t="array" ref="B420:B420">B419</f>
        <v>false</v>
      </c>
      <c r="C420" s="73"/>
      <c r="D420" s="73"/>
      <c r="E420" s="600">
        <v>15</v>
      </c>
      <c r="F420" s="50" cm="1" t="str">
        <f t="array" ref="F420:F420">OFFSET(E420,-1,1)</f>
        <v>2</v>
      </c>
      <c r="G420" s="73"/>
      <c r="H420" s="73"/>
      <c r="I420" s="73"/>
      <c r="J420" s="73"/>
      <c r="K420" s="73" t="s">
        <v>905</v>
      </c>
      <c r="L420" s="963"/>
      <c r="M420" s="73"/>
      <c r="N420" s="73"/>
      <c r="O420" s="73"/>
      <c r="P420" s="73"/>
      <c r="Q420" s="73"/>
      <c r="R420" s="73"/>
      <c r="S420" s="73"/>
      <c r="T420" s="842" cm="1" t="str">
        <f t="array" ref="T420:T420">T419</f>
        <v>true</v>
      </c>
      <c r="U420" s="73"/>
      <c r="V420" s="73"/>
      <c r="W420" s="73"/>
      <c r="X420" s="1534"/>
      <c r="Y420" s="960"/>
      <c r="Z420" s="1465"/>
      <c r="AA420" s="960"/>
      <c r="AB420" s="778" t="s">
        <v>906</v>
      </c>
      <c r="AC420" s="777" t="s">
        <v>2021</v>
      </c>
      <c r="AD420" s="778" t="s">
        <v>437</v>
      </c>
      <c r="AE420" s="1275"/>
      <c r="AF420" s="1275"/>
      <c r="AG420" s="1275"/>
      <c r="AH420" s="744"/>
      <c r="AI420" s="1275"/>
      <c r="AJ420" s="4600"/>
      <c r="AK420" s="1275"/>
      <c r="AL420" s="1275"/>
      <c r="AM420" s="1275"/>
      <c r="AN420" s="1275"/>
      <c r="AO420" s="1275"/>
      <c r="AP420" s="1275"/>
      <c r="AQ420" s="1275"/>
      <c r="AR420" s="1275"/>
      <c r="AS420" s="1275"/>
      <c r="AT420" s="4600"/>
      <c r="AU420" s="1275"/>
      <c r="AV420" s="1275"/>
      <c r="AW420" s="1275"/>
      <c r="AX420" s="1275"/>
      <c r="AY420" s="1275"/>
      <c r="AZ420" s="1275"/>
      <c r="BA420" s="1275"/>
      <c r="BB420" s="1275"/>
      <c r="BC420" s="1275"/>
      <c r="BD420" s="744"/>
      <c r="BE420" s="744"/>
      <c r="BF420" s="744"/>
      <c r="BG420" s="744"/>
      <c r="BH420" s="744"/>
      <c r="BI420" s="744"/>
      <c r="BJ420" s="744"/>
      <c r="BK420" s="744"/>
      <c r="BL420" s="744"/>
      <c r="BM420" s="744"/>
      <c r="BN420" s="1276"/>
      <c r="BO420" s="1276"/>
      <c r="BP420" s="1276"/>
      <c r="BQ420" s="960"/>
      <c r="BR420" s="960"/>
      <c r="BS420" s="1048" t="s">
        <v>2022</v>
      </c>
      <c r="BT420" s="1048"/>
      <c r="BU420" s="1048"/>
      <c r="BV420" s="962"/>
      <c r="BW420" s="962"/>
    </row>
    <row s="1621" customFormat="1" customHeight="1" ht="14.25" hidden="1">
      <c r="A421" s="960"/>
      <c r="B421" s="842" cm="1" t="str">
        <f t="array" ref="B421:B421">B420</f>
        <v>false</v>
      </c>
      <c r="C421" s="73"/>
      <c r="D421" s="73"/>
      <c r="E421" s="600">
        <v>15</v>
      </c>
      <c r="F421" s="50" cm="1" t="str">
        <f t="array" ref="F421:F421">OFFSET(E421,-1,1)</f>
        <v>2</v>
      </c>
      <c r="G421" s="73"/>
      <c r="H421" s="73"/>
      <c r="I421" s="73"/>
      <c r="J421" s="73"/>
      <c r="K421" s="73" t="s">
        <v>2023</v>
      </c>
      <c r="L421" s="963"/>
      <c r="M421" s="73"/>
      <c r="N421" s="73"/>
      <c r="O421" s="73"/>
      <c r="P421" s="73"/>
      <c r="Q421" s="73"/>
      <c r="R421" s="73"/>
      <c r="S421" s="73"/>
      <c r="T421" s="842" cm="1" t="str">
        <f t="array" ref="T421:T421">T420</f>
        <v>true</v>
      </c>
      <c r="U421" s="73"/>
      <c r="V421" s="73"/>
      <c r="W421" s="73"/>
      <c r="X421" s="1534"/>
      <c r="Y421" s="960"/>
      <c r="Z421" s="1465"/>
      <c r="AA421" s="960"/>
      <c r="AB421" s="778" t="s">
        <v>2024</v>
      </c>
      <c r="AC421" s="779" t="s">
        <v>2025</v>
      </c>
      <c r="AD421" s="778" t="s">
        <v>437</v>
      </c>
      <c r="AE421" s="1275"/>
      <c r="AF421" s="1275"/>
      <c r="AG421" s="1275"/>
      <c r="AH421" s="744"/>
      <c r="AI421" s="1275"/>
      <c r="AJ421" s="4600"/>
      <c r="AK421" s="1275"/>
      <c r="AL421" s="1275"/>
      <c r="AM421" s="1275"/>
      <c r="AN421" s="1275"/>
      <c r="AO421" s="1275"/>
      <c r="AP421" s="1275"/>
      <c r="AQ421" s="1275"/>
      <c r="AR421" s="1275"/>
      <c r="AS421" s="1275"/>
      <c r="AT421" s="4600"/>
      <c r="AU421" s="1275"/>
      <c r="AV421" s="1275"/>
      <c r="AW421" s="1275"/>
      <c r="AX421" s="1275"/>
      <c r="AY421" s="1275"/>
      <c r="AZ421" s="1275"/>
      <c r="BA421" s="1275"/>
      <c r="BB421" s="1275"/>
      <c r="BC421" s="1275"/>
      <c r="BD421" s="744"/>
      <c r="BE421" s="744"/>
      <c r="BF421" s="744"/>
      <c r="BG421" s="744"/>
      <c r="BH421" s="744"/>
      <c r="BI421" s="744"/>
      <c r="BJ421" s="744"/>
      <c r="BK421" s="744"/>
      <c r="BL421" s="744"/>
      <c r="BM421" s="744"/>
      <c r="BN421" s="1276"/>
      <c r="BO421" s="1276"/>
      <c r="BP421" s="1276"/>
      <c r="BQ421" s="960"/>
      <c r="BR421" s="960"/>
      <c r="BS421" s="1048" t="s">
        <v>2026</v>
      </c>
      <c r="BT421" s="1048"/>
      <c r="BU421" s="1048"/>
      <c r="BV421" s="962"/>
      <c r="BW421" s="962"/>
    </row>
    <row s="1621" customFormat="1" customHeight="1" ht="14.25" hidden="1">
      <c r="A422" s="960"/>
      <c r="B422" s="842" cm="1" t="str">
        <f t="array" ref="B422:B422">B421</f>
        <v>false</v>
      </c>
      <c r="C422" s="73"/>
      <c r="D422" s="73"/>
      <c r="E422" s="600">
        <v>15</v>
      </c>
      <c r="F422" s="50" cm="1" t="str">
        <f t="array" ref="F422:F422">OFFSET(E422,-1,1)</f>
        <v>2</v>
      </c>
      <c r="G422" s="73"/>
      <c r="H422" s="73"/>
      <c r="I422" s="73"/>
      <c r="J422" s="73"/>
      <c r="K422" s="73" t="s">
        <v>2027</v>
      </c>
      <c r="L422" s="963"/>
      <c r="M422" s="73"/>
      <c r="N422" s="73"/>
      <c r="O422" s="73"/>
      <c r="P422" s="73"/>
      <c r="Q422" s="73"/>
      <c r="R422" s="73"/>
      <c r="S422" s="73"/>
      <c r="T422" s="842" cm="1" t="str">
        <f t="array" ref="T422:T422">T421</f>
        <v>true</v>
      </c>
      <c r="U422" s="73"/>
      <c r="V422" s="73"/>
      <c r="W422" s="73"/>
      <c r="X422" s="1534"/>
      <c r="Y422" s="960"/>
      <c r="Z422" s="1465"/>
      <c r="AA422" s="960"/>
      <c r="AB422" s="778" t="s">
        <v>2028</v>
      </c>
      <c r="AC422" s="779" t="s">
        <v>2029</v>
      </c>
      <c r="AD422" s="778" t="s">
        <v>437</v>
      </c>
      <c r="AE422" s="1275"/>
      <c r="AF422" s="1275"/>
      <c r="AG422" s="1275"/>
      <c r="AH422" s="744"/>
      <c r="AI422" s="1275"/>
      <c r="AJ422" s="4600"/>
      <c r="AK422" s="1275"/>
      <c r="AL422" s="1275"/>
      <c r="AM422" s="1275"/>
      <c r="AN422" s="1275"/>
      <c r="AO422" s="1275"/>
      <c r="AP422" s="1275"/>
      <c r="AQ422" s="1275"/>
      <c r="AR422" s="1275"/>
      <c r="AS422" s="1275"/>
      <c r="AT422" s="4600"/>
      <c r="AU422" s="1275"/>
      <c r="AV422" s="1275"/>
      <c r="AW422" s="1275"/>
      <c r="AX422" s="1275"/>
      <c r="AY422" s="1275"/>
      <c r="AZ422" s="1275"/>
      <c r="BA422" s="1275"/>
      <c r="BB422" s="1275"/>
      <c r="BC422" s="1275"/>
      <c r="BD422" s="744"/>
      <c r="BE422" s="744"/>
      <c r="BF422" s="744"/>
      <c r="BG422" s="744"/>
      <c r="BH422" s="744"/>
      <c r="BI422" s="744"/>
      <c r="BJ422" s="744"/>
      <c r="BK422" s="744"/>
      <c r="BL422" s="744"/>
      <c r="BM422" s="744"/>
      <c r="BN422" s="1276"/>
      <c r="BO422" s="1276"/>
      <c r="BP422" s="1276"/>
      <c r="BQ422" s="960"/>
      <c r="BR422" s="960"/>
      <c r="BS422" s="1048" t="s">
        <v>2030</v>
      </c>
      <c r="BT422" s="1048"/>
      <c r="BU422" s="1048"/>
      <c r="BV422" s="962"/>
      <c r="BW422" s="962"/>
    </row>
    <row s="4730" customFormat="1" customHeight="1" ht="20.475">
      <c r="A423" s="680"/>
      <c r="B423" s="408"/>
      <c r="C423" s="75"/>
      <c r="D423" s="75" t="str">
        <f>IF(B422,"6","7")</f>
        <v>7</v>
      </c>
      <c r="E423" s="807">
        <v>21</v>
      </c>
      <c r="F423" s="50" cm="1" t="str">
        <f t="array" ref="F423:F423">OFFSET(E423,-1,1)</f>
        <v>2</v>
      </c>
      <c r="G423" s="73" t="s">
        <v>2031</v>
      </c>
      <c r="H423" s="73"/>
      <c r="I423" s="351" t="s">
        <v>2032</v>
      </c>
      <c r="J423" s="75"/>
      <c r="K423" s="347" t="s">
        <v>2032</v>
      </c>
      <c r="L423" s="968"/>
      <c r="M423" s="75"/>
      <c r="N423" s="75"/>
      <c r="O423" s="75"/>
      <c r="P423" s="75"/>
      <c r="Q423" s="75"/>
      <c r="R423" s="75"/>
      <c r="S423" s="75"/>
      <c r="T423" s="439" cm="1" t="str">
        <f t="array" ref="T423:T423">T422</f>
        <v>true</v>
      </c>
      <c r="U423" s="75"/>
      <c r="V423" s="75"/>
      <c r="W423" s="75"/>
      <c r="X423" s="1534"/>
      <c r="Y423" s="680"/>
      <c r="Z423" s="1465"/>
      <c r="AA423" s="680"/>
      <c r="AB423" s="178" cm="1" t="str">
        <f t="array" ref="AB423:AB423">D423</f>
        <v>7</v>
      </c>
      <c r="AC423" s="186" t="s">
        <v>1473</v>
      </c>
      <c r="AD423" s="178" t="s">
        <v>784</v>
      </c>
      <c r="AE423" s="4606">
        <v>-718.7</v>
      </c>
      <c r="AF423" s="4606"/>
      <c r="AG423" s="4606"/>
      <c r="AH423" s="759">
        <f>AG423-AF423</f>
        <v>0</v>
      </c>
      <c r="AI423" s="4606">
        <v>0</v>
      </c>
      <c r="AJ423" s="4561">
        <f>_xlfn.SUMIFS('Корректировка НВВ'!$AF$25:$AF$180,'Корректировка НВВ'!$F$25:$F$180,$F423,'Корректировка НВВ'!$I$25:$I$180,$G423)</f>
        <v>0</v>
      </c>
      <c r="AK423" s="1264"/>
      <c r="AL423" s="1264"/>
      <c r="AM423" s="4606"/>
      <c r="AN423" s="4606"/>
      <c r="AO423" s="4606"/>
      <c r="AP423" s="4606"/>
      <c r="AQ423" s="4606"/>
      <c r="AR423" s="4606"/>
      <c r="AS423" s="4606"/>
      <c r="AT423" s="4561">
        <v>-11.432715357</v>
      </c>
      <c r="AU423" s="1264"/>
      <c r="AV423" s="1264"/>
      <c r="AW423" s="4606"/>
      <c r="AX423" s="4606"/>
      <c r="AY423" s="4606"/>
      <c r="AZ423" s="4606"/>
      <c r="BA423" s="4606"/>
      <c r="BB423" s="4606"/>
      <c r="BC423" s="4606"/>
      <c r="BD423" s="759">
        <f>IF(AI423=0,0,(AT423-AI423)/AI423*100)</f>
        <v>0</v>
      </c>
      <c r="BE423" s="759">
        <f>IF(AT423=0,0,(AU423-AT423)/AT423*100)</f>
        <v>-100</v>
      </c>
      <c r="BF423" s="759">
        <f>IF(AU423=0,0,(AV423-AU423)/AU423*100)</f>
        <v>0</v>
      </c>
      <c r="BG423" s="759">
        <f>IF(AV423=0,0,(AW423-AV423)/AV423*100)</f>
        <v>0</v>
      </c>
      <c r="BH423" s="759">
        <f>IF(AW423=0,0,(AX423-AW423)/AW423*100)</f>
        <v>0</v>
      </c>
      <c r="BI423" s="759">
        <f>IF(AX423=0,0,(AY423-AX423)/AX423*100)</f>
        <v>0</v>
      </c>
      <c r="BJ423" s="759">
        <f>IF(AY423=0,0,(AZ423-AY423)/AY423*100)</f>
        <v>0</v>
      </c>
      <c r="BK423" s="759">
        <f>IF(AZ423=0,0,(BA423-AZ423)/AZ423*100)</f>
        <v>0</v>
      </c>
      <c r="BL423" s="759">
        <f>IF(BA423=0,0,(BB423-BA423)/BA423*100)</f>
        <v>0</v>
      </c>
      <c r="BM423" s="759">
        <f>IF(BB423=0,0,(BC423-BB423)/BB423*100)</f>
        <v>0</v>
      </c>
      <c r="BN423" s="4618"/>
      <c r="BO423" s="4619" t="str">
        <f>IF(_xlfn.IFERROR(INDEX('Корректировка НВВ'!$K$26:$L$180,MATCH($F423&amp;"11komm",'Корректировка НВВ'!$K$26:$K$180,0),2),"")=0,"",_xlfn.IFERROR(INDEX('Корректировка НВВ'!$K$26:$L$180,MATCH($F423&amp;"11komm",'Корректировка НВВ'!$K$26:$K$180,0),2),""))</f>
        <v/>
      </c>
      <c r="BP423" s="4618"/>
      <c r="BQ423" s="680"/>
      <c r="BR423" s="680"/>
      <c r="BS423" s="1054" t="s">
        <v>2033</v>
      </c>
      <c r="BT423" s="1054"/>
      <c r="BU423" s="1054"/>
      <c r="BV423" s="687"/>
      <c r="BW423" s="687"/>
    </row>
    <row s="1621" customFormat="1" customHeight="1" ht="14.25">
      <c r="A424" s="960"/>
      <c r="B424" s="961"/>
      <c r="C424" s="73"/>
      <c r="D424" s="73" cm="1" t="str">
        <f t="array" ref="D424:D424">D423</f>
        <v>7</v>
      </c>
      <c r="E424" s="600">
        <v>15</v>
      </c>
      <c r="F424" s="50" cm="1" t="str">
        <f t="array" ref="F424:F424">OFFSET(E424,-1,1)</f>
        <v>2</v>
      </c>
      <c r="G424" s="73"/>
      <c r="H424" s="73"/>
      <c r="I424" s="73"/>
      <c r="J424" s="73"/>
      <c r="K424" s="960"/>
      <c r="L424" s="963"/>
      <c r="M424" s="73"/>
      <c r="N424" s="73"/>
      <c r="O424" s="73"/>
      <c r="P424" s="73"/>
      <c r="Q424" s="73"/>
      <c r="R424" s="73"/>
      <c r="S424" s="73"/>
      <c r="T424" s="439" cm="1" t="str">
        <f t="array" ref="T424:T424">T423</f>
        <v>true</v>
      </c>
      <c r="U424" s="73"/>
      <c r="V424" s="73"/>
      <c r="W424" s="73"/>
      <c r="X424" s="1534"/>
      <c r="Y424" s="960"/>
      <c r="Z424" s="1465"/>
      <c r="AA424" s="960"/>
      <c r="AB424" s="267"/>
      <c r="AC424" s="425" t="s">
        <v>2034</v>
      </c>
      <c r="AD424" s="267"/>
      <c r="AE424" s="1100"/>
      <c r="AF424" s="1100"/>
      <c r="AG424" s="1100"/>
      <c r="AH424" s="1100"/>
      <c r="AI424" s="1100"/>
      <c r="AJ424" s="1100"/>
      <c r="AK424" s="1100"/>
      <c r="AL424" s="1100"/>
      <c r="AM424" s="1100"/>
      <c r="AN424" s="1100"/>
      <c r="AO424" s="1100"/>
      <c r="AP424" s="1100"/>
      <c r="AQ424" s="1100"/>
      <c r="AR424" s="1100"/>
      <c r="AS424" s="1100"/>
      <c r="AT424" s="1100"/>
      <c r="AU424" s="1100"/>
      <c r="AV424" s="1100"/>
      <c r="AW424" s="1100"/>
      <c r="AX424" s="1100"/>
      <c r="AY424" s="1100"/>
      <c r="AZ424" s="1100"/>
      <c r="BA424" s="1100"/>
      <c r="BB424" s="1100"/>
      <c r="BC424" s="1100"/>
      <c r="BD424" s="1100"/>
      <c r="BE424" s="1100"/>
      <c r="BF424" s="1100"/>
      <c r="BG424" s="1100"/>
      <c r="BH424" s="1100"/>
      <c r="BI424" s="1100"/>
      <c r="BJ424" s="1100"/>
      <c r="BK424" s="1100"/>
      <c r="BL424" s="1100"/>
      <c r="BM424" s="1100"/>
      <c r="BN424" s="1102"/>
      <c r="BO424" s="1102"/>
      <c r="BP424" s="1102"/>
      <c r="BQ424" s="960"/>
      <c r="BR424" s="960"/>
      <c r="BS424" s="1048"/>
      <c r="BT424" s="1048"/>
      <c r="BU424" s="1048"/>
      <c r="BV424" s="962"/>
      <c r="BW424" s="962"/>
    </row>
    <row s="1621" customFormat="1" customHeight="1" ht="23.25">
      <c r="A425" s="960"/>
      <c r="B425" s="961"/>
      <c r="C425" s="73"/>
      <c r="D425" s="73" cm="1" t="str">
        <f t="array" ref="D425:D425">D424</f>
        <v>7</v>
      </c>
      <c r="E425" s="600">
        <v>22.5</v>
      </c>
      <c r="F425" s="50" cm="1" t="str">
        <f t="array" ref="F425:F425">OFFSET(E425,-1,1)</f>
        <v>2</v>
      </c>
      <c r="G425" s="73" t="s">
        <v>368</v>
      </c>
      <c r="H425" s="73"/>
      <c r="I425" s="73" t="s">
        <v>495</v>
      </c>
      <c r="J425" s="73"/>
      <c r="K425" s="124" t="s">
        <v>495</v>
      </c>
      <c r="L425" s="963"/>
      <c r="M425" s="73"/>
      <c r="N425" s="73"/>
      <c r="O425" s="73"/>
      <c r="P425" s="73"/>
      <c r="Q425" s="73"/>
      <c r="R425" s="73"/>
      <c r="S425" s="73"/>
      <c r="T425" s="439" cm="1" t="str">
        <f t="array" ref="T425:T425">T424</f>
        <v>true</v>
      </c>
      <c r="U425" s="73"/>
      <c r="V425" s="73"/>
      <c r="W425" s="73"/>
      <c r="X425" s="1534"/>
      <c r="Y425" s="960"/>
      <c r="Z425" s="1465"/>
      <c r="AA425" s="960"/>
      <c r="AB425" s="267" t="str">
        <f>D425&amp;".1"</f>
        <v>7.1</v>
      </c>
      <c r="AC425" s="743" t="s">
        <v>2035</v>
      </c>
      <c r="AD425" s="267" t="s">
        <v>784</v>
      </c>
      <c r="AE425" s="4561">
        <v>0</v>
      </c>
      <c r="AF425" s="4561"/>
      <c r="AG425" s="4561"/>
      <c r="AH425" s="1099">
        <f>AG425-AF425</f>
        <v>0</v>
      </c>
      <c r="AI425" s="4561">
        <v>0</v>
      </c>
      <c r="AJ425" s="4561">
        <f>_xlfn.SUMIFS('Корректировка НВВ'!$AF$25:$AF$180,'Корректировка НВВ'!$F$25:$F$180,$F425,'Корректировка НВВ'!$I$25:$I$180,$G425)</f>
        <v>0</v>
      </c>
      <c r="AK425" s="1268"/>
      <c r="AL425" s="1268"/>
      <c r="AM425" s="4561"/>
      <c r="AN425" s="4561"/>
      <c r="AO425" s="4561"/>
      <c r="AP425" s="4561"/>
      <c r="AQ425" s="4561"/>
      <c r="AR425" s="4561"/>
      <c r="AS425" s="4561"/>
      <c r="AT425" s="4561">
        <f>_xlfn.SUMIFS('Корректировка НВВ'!$AG$25:$AG$180,'Корректировка НВВ'!$F$25:$F$180,$F425,'Корректировка НВВ'!$I$25:$I$180,$G425)</f>
        <v>0</v>
      </c>
      <c r="AU425" s="1268"/>
      <c r="AV425" s="1268"/>
      <c r="AW425" s="4561"/>
      <c r="AX425" s="4561"/>
      <c r="AY425" s="4561"/>
      <c r="AZ425" s="4561"/>
      <c r="BA425" s="4561"/>
      <c r="BB425" s="4561"/>
      <c r="BC425" s="4561"/>
      <c r="BD425" s="1100"/>
      <c r="BE425" s="1100"/>
      <c r="BF425" s="1100"/>
      <c r="BG425" s="1100"/>
      <c r="BH425" s="1100"/>
      <c r="BI425" s="1100"/>
      <c r="BJ425" s="1100"/>
      <c r="BK425" s="1100"/>
      <c r="BL425" s="1100"/>
      <c r="BM425" s="1100"/>
      <c r="BN425" s="4617"/>
      <c r="BO425" s="4619" t="str">
        <f>IF(_xlfn.IFERROR(INDEX('Корректировка НВВ'!$K$26:$L$180,MATCH($F425&amp;"1komm",'Корректировка НВВ'!$K$26:$K$180,0),2),"")=0,"",_xlfn.IFERROR(INDEX('Корректировка НВВ'!$K$26:$L$180,MATCH($F425&amp;"1komm",'Корректировка НВВ'!$K$26:$K$180,0),2),""))</f>
        <v/>
      </c>
      <c r="BP425" s="4617"/>
      <c r="BQ425" s="960"/>
      <c r="BR425" s="960"/>
      <c r="BS425" s="1048" t="s">
        <v>2036</v>
      </c>
      <c r="BT425" s="1048"/>
      <c r="BU425" s="1048"/>
      <c r="BV425" s="962"/>
      <c r="BW425" s="962"/>
    </row>
    <row s="1621" customFormat="1" customHeight="1" ht="98.71875">
      <c r="A426" s="960"/>
      <c r="B426" s="961"/>
      <c r="C426" s="73"/>
      <c r="D426" s="73" cm="1" t="str">
        <f t="array" ref="D426:D426">D425</f>
        <v>7</v>
      </c>
      <c r="E426" s="600">
        <v>101.25</v>
      </c>
      <c r="F426" s="50" cm="1" t="str">
        <f t="array" ref="F426:F426">OFFSET(E426,-1,1)</f>
        <v>2</v>
      </c>
      <c r="G426" s="73" t="s">
        <v>2037</v>
      </c>
      <c r="H426" s="73"/>
      <c r="I426" s="73" t="s">
        <v>541</v>
      </c>
      <c r="J426" s="73"/>
      <c r="K426" s="124" t="s">
        <v>541</v>
      </c>
      <c r="L426" s="963"/>
      <c r="M426" s="73"/>
      <c r="N426" s="73"/>
      <c r="O426" s="73"/>
      <c r="P426" s="73"/>
      <c r="Q426" s="73"/>
      <c r="R426" s="73"/>
      <c r="S426" s="73"/>
      <c r="T426" s="439" cm="1" t="str">
        <f t="array" ref="T426:T426">T425</f>
        <v>true</v>
      </c>
      <c r="U426" s="73"/>
      <c r="V426" s="73"/>
      <c r="W426" s="73"/>
      <c r="X426" s="1534"/>
      <c r="Y426" s="960"/>
      <c r="Z426" s="1465"/>
      <c r="AA426" s="960"/>
      <c r="AB426" s="267" t="str">
        <f>D426&amp;".2"</f>
        <v>7.2</v>
      </c>
      <c r="AC426" s="743" t="s">
        <v>2038</v>
      </c>
      <c r="AD426" s="267" t="s">
        <v>784</v>
      </c>
      <c r="AE426" s="4561">
        <v>0</v>
      </c>
      <c r="AF426" s="4561"/>
      <c r="AG426" s="4561"/>
      <c r="AH426" s="1099">
        <f>AG426-AF426</f>
        <v>0</v>
      </c>
      <c r="AI426" s="4561">
        <v>0</v>
      </c>
      <c r="AJ426" s="4561">
        <f>_xlfn.SUMIFS('Корректировка НВВ'!$AF$25:$AF$180,'Корректировка НВВ'!$F$25:$F$180,$F426,'Корректировка НВВ'!$I$25:$I$180,$G426)</f>
        <v>0</v>
      </c>
      <c r="AK426" s="1268"/>
      <c r="AL426" s="1268"/>
      <c r="AM426" s="4561"/>
      <c r="AN426" s="4561"/>
      <c r="AO426" s="4561"/>
      <c r="AP426" s="4561"/>
      <c r="AQ426" s="4561"/>
      <c r="AR426" s="4561"/>
      <c r="AS426" s="4561"/>
      <c r="AT426" s="4561">
        <f>_xlfn.SUMIFS('Корректировка НВВ'!$AG$25:$AG$180,'Корректировка НВВ'!$F$25:$F$180,$F426,'Корректировка НВВ'!$I$25:$I$180,$G426)</f>
        <v>0</v>
      </c>
      <c r="AU426" s="1268"/>
      <c r="AV426" s="1268"/>
      <c r="AW426" s="4561"/>
      <c r="AX426" s="4561"/>
      <c r="AY426" s="4561"/>
      <c r="AZ426" s="4561"/>
      <c r="BA426" s="4561"/>
      <c r="BB426" s="4561"/>
      <c r="BC426" s="4561"/>
      <c r="BD426" s="1100"/>
      <c r="BE426" s="1100"/>
      <c r="BF426" s="1100"/>
      <c r="BG426" s="1100"/>
      <c r="BH426" s="1100"/>
      <c r="BI426" s="1100"/>
      <c r="BJ426" s="1100"/>
      <c r="BK426" s="1100"/>
      <c r="BL426" s="1100"/>
      <c r="BM426" s="1100"/>
      <c r="BN426" s="4617"/>
      <c r="BO426" s="4619" t="str">
        <f>IF(_xlfn.IFERROR(INDEX('Корректировка НВВ'!$K$26:$L$180,MATCH($F426&amp;"2komm",'Корректировка НВВ'!$K$26:$K$180,0),2),"")=0,"",_xlfn.IFERROR(INDEX('Корректировка НВВ'!$K$26:$L$180,MATCH($F426&amp;"2komm",'Корректировка НВВ'!$K$26:$K$180,0),2),""))</f>
        <v/>
      </c>
      <c r="BP426" s="4617"/>
      <c r="BQ426" s="960"/>
      <c r="BR426" s="960"/>
      <c r="BS426" s="1048" t="s">
        <v>2039</v>
      </c>
      <c r="BT426" s="1048"/>
      <c r="BU426" s="1048"/>
      <c r="BV426" s="962"/>
      <c r="BW426" s="962"/>
    </row>
    <row s="1621" customFormat="1" customHeight="1" ht="43.875">
      <c r="A427" s="960"/>
      <c r="B427" s="961"/>
      <c r="C427" s="73"/>
      <c r="D427" s="73" cm="1" t="str">
        <f t="array" ref="D427:D427">D426</f>
        <v>7</v>
      </c>
      <c r="E427" s="600">
        <v>45</v>
      </c>
      <c r="F427" s="50" cm="1" t="str">
        <f t="array" ref="F427:F427">OFFSET(E427,-1,1)</f>
        <v>2</v>
      </c>
      <c r="G427" s="73"/>
      <c r="H427" s="73"/>
      <c r="I427" s="73" t="s">
        <v>556</v>
      </c>
      <c r="J427" s="73"/>
      <c r="K427" s="124" t="s">
        <v>556</v>
      </c>
      <c r="L427" s="963"/>
      <c r="M427" s="73"/>
      <c r="N427" s="73"/>
      <c r="O427" s="73"/>
      <c r="P427" s="73"/>
      <c r="Q427" s="73"/>
      <c r="R427" s="73"/>
      <c r="S427" s="73"/>
      <c r="T427" s="439" cm="1" t="str">
        <f t="array" ref="T427:T427">T426</f>
        <v>true</v>
      </c>
      <c r="U427" s="73"/>
      <c r="V427" s="73"/>
      <c r="W427" s="73"/>
      <c r="X427" s="1534"/>
      <c r="Y427" s="960"/>
      <c r="Z427" s="1465"/>
      <c r="AA427" s="960"/>
      <c r="AB427" s="267" t="str">
        <f>D427&amp;".3"</f>
        <v>7.3</v>
      </c>
      <c r="AC427" s="743" t="s">
        <v>2040</v>
      </c>
      <c r="AD427" s="267" t="s">
        <v>784</v>
      </c>
      <c r="AE427" s="4561">
        <v>0</v>
      </c>
      <c r="AF427" s="4561"/>
      <c r="AG427" s="4561"/>
      <c r="AH427" s="1099">
        <f>AG427-AF427</f>
        <v>0</v>
      </c>
      <c r="AI427" s="4561">
        <v>0</v>
      </c>
      <c r="AJ427" s="4561">
        <f>_xlfn.SUMIFS('Корректировка НВВ'!$AF$25:$AF$180,'Корректировка НВВ'!$F$25:$F$180,$F427,'Корректировка НВВ'!$I$25:$I$180,"L1")+_xlfn.SUMIFS('Корректировка НВВ'!$AF$25:$AF$180,'Корректировка НВВ'!$F$25:$F$180,$F427,'Корректировка НВВ'!$I$25:$I$180,"L2")</f>
        <v>0</v>
      </c>
      <c r="AK427" s="1268"/>
      <c r="AL427" s="1268"/>
      <c r="AM427" s="4561"/>
      <c r="AN427" s="4561"/>
      <c r="AO427" s="4561"/>
      <c r="AP427" s="4561"/>
      <c r="AQ427" s="4561"/>
      <c r="AR427" s="4561"/>
      <c r="AS427" s="4561"/>
      <c r="AT427" s="4561">
        <v>-11.432715357</v>
      </c>
      <c r="AU427" s="1268"/>
      <c r="AV427" s="1268"/>
      <c r="AW427" s="4561"/>
      <c r="AX427" s="4561"/>
      <c r="AY427" s="4561"/>
      <c r="AZ427" s="4561"/>
      <c r="BA427" s="4561"/>
      <c r="BB427" s="4561"/>
      <c r="BC427" s="4561"/>
      <c r="BD427" s="1100"/>
      <c r="BE427" s="1100"/>
      <c r="BF427" s="1100"/>
      <c r="BG427" s="1100"/>
      <c r="BH427" s="1100"/>
      <c r="BI427" s="1100"/>
      <c r="BJ427" s="1100"/>
      <c r="BK427" s="1100"/>
      <c r="BL427" s="1100"/>
      <c r="BM427" s="1100"/>
      <c r="BN427" s="4617"/>
      <c r="BO427" s="4619"/>
      <c r="BP427" s="4617" t="s">
        <v>2084</v>
      </c>
      <c r="BQ427" s="960"/>
      <c r="BR427" s="960"/>
      <c r="BS427" s="1048" t="s">
        <v>2041</v>
      </c>
      <c r="BT427" s="1048"/>
      <c r="BU427" s="1048"/>
      <c r="BV427" s="962"/>
      <c r="BW427" s="962"/>
    </row>
    <row s="1621" customFormat="1" customHeight="1" ht="87.75">
      <c r="A428" s="960"/>
      <c r="B428" s="418">
        <f>S315="Водоотведение"</f>
        <v>1</v>
      </c>
      <c r="C428" s="73"/>
      <c r="D428" s="73" cm="1" t="str">
        <f t="array" ref="D428:D428">D427</f>
        <v>7</v>
      </c>
      <c r="E428" s="600">
        <v>90</v>
      </c>
      <c r="F428" s="50" cm="1" t="str">
        <f t="array" ref="F428:F428">OFFSET(E428,-1,1)</f>
        <v>2</v>
      </c>
      <c r="G428" s="73" t="s">
        <v>2042</v>
      </c>
      <c r="H428" s="830"/>
      <c r="I428" s="73" t="s">
        <v>725</v>
      </c>
      <c r="J428" s="73"/>
      <c r="K428" s="124" t="s">
        <v>725</v>
      </c>
      <c r="L428" s="963" t="s">
        <v>722</v>
      </c>
      <c r="M428" s="73"/>
      <c r="N428" s="73"/>
      <c r="O428" s="73"/>
      <c r="P428" s="73"/>
      <c r="Q428" s="73"/>
      <c r="R428" s="73"/>
      <c r="S428" s="73"/>
      <c r="T428" s="439" cm="1" t="str">
        <f t="array" ref="T428:T428">T427</f>
        <v>true</v>
      </c>
      <c r="U428" s="73"/>
      <c r="V428" s="73"/>
      <c r="W428" s="73"/>
      <c r="X428" s="1534"/>
      <c r="Y428" s="960"/>
      <c r="Z428" s="1465"/>
      <c r="AA428" s="960"/>
      <c r="AB428" s="267" t="str">
        <f>D428&amp;".4"</f>
        <v>7.4</v>
      </c>
      <c r="AC428" s="743" t="s">
        <v>1705</v>
      </c>
      <c r="AD428" s="747" t="s">
        <v>784</v>
      </c>
      <c r="AE428" s="4561">
        <v>0</v>
      </c>
      <c r="AF428" s="4561"/>
      <c r="AG428" s="4561"/>
      <c r="AH428" s="1099">
        <f>AG428-AF428</f>
        <v>0</v>
      </c>
      <c r="AI428" s="4561">
        <v>0</v>
      </c>
      <c r="AJ428" s="4561">
        <f>_xlfn.SUMIFS('Корректировка НВВ'!$AF$25:$AF$180,'Корректировка НВВ'!$F$25:$F$180,$F428,'Корректировка НВВ'!$I$25:$I$180,$G428)</f>
        <v>0</v>
      </c>
      <c r="AK428" s="1268"/>
      <c r="AL428" s="1268"/>
      <c r="AM428" s="4561"/>
      <c r="AN428" s="4561"/>
      <c r="AO428" s="4561"/>
      <c r="AP428" s="4561"/>
      <c r="AQ428" s="4561"/>
      <c r="AR428" s="4561"/>
      <c r="AS428" s="4561"/>
      <c r="AT428" s="4561">
        <f>_xlfn.SUMIFS('Корректировка НВВ'!$AG$25:$AG$180,'Корректировка НВВ'!$F$25:$F$180,$F428,'Корректировка НВВ'!$I$25:$I$180,$G428)</f>
        <v>0</v>
      </c>
      <c r="AU428" s="1268"/>
      <c r="AV428" s="1268"/>
      <c r="AW428" s="4561"/>
      <c r="AX428" s="4561"/>
      <c r="AY428" s="4561"/>
      <c r="AZ428" s="4561"/>
      <c r="BA428" s="4561"/>
      <c r="BB428" s="4561"/>
      <c r="BC428" s="4561"/>
      <c r="BD428" s="1100"/>
      <c r="BE428" s="1100"/>
      <c r="BF428" s="1100"/>
      <c r="BG428" s="1100"/>
      <c r="BH428" s="1100"/>
      <c r="BI428" s="1100"/>
      <c r="BJ428" s="1100"/>
      <c r="BK428" s="1100"/>
      <c r="BL428" s="1100"/>
      <c r="BM428" s="1100"/>
      <c r="BN428" s="4617"/>
      <c r="BO428" s="4619" t="str">
        <f>IF(_xlfn.IFERROR(INDEX('Корректировка НВВ'!$K$26:$L$180,MATCH($F428&amp;"3komm",'Корректировка НВВ'!$K$26:$K$180,0),2),"")=0,"",_xlfn.IFERROR(INDEX('Корректировка НВВ'!$K$26:$L$180,MATCH($F428&amp;"3komm",'Корректировка НВВ'!$K$26:$K$180,0),2),""))</f>
        <v/>
      </c>
      <c r="BP428" s="4617"/>
      <c r="BQ428" s="960"/>
      <c r="BR428" s="960"/>
      <c r="BS428" s="1048" t="s">
        <v>1249</v>
      </c>
      <c r="BT428" s="1048"/>
      <c r="BU428" s="1048"/>
      <c r="BV428" s="962"/>
      <c r="BW428" s="962"/>
    </row>
    <row s="1621" customFormat="1" customHeight="1" ht="54.84375">
      <c r="A429" s="960"/>
      <c r="B429" s="418" cm="1" t="str">
        <f t="array" ref="B429:B429">B428</f>
        <v>true</v>
      </c>
      <c r="C429" s="73"/>
      <c r="D429" s="73" cm="1" t="str">
        <f t="array" ref="D429:D429">D428</f>
        <v>7</v>
      </c>
      <c r="E429" s="600">
        <v>56.25</v>
      </c>
      <c r="F429" s="50" cm="1" t="str">
        <f t="array" ref="F429:F429">OFFSET(E429,-1,1)</f>
        <v>2</v>
      </c>
      <c r="G429" s="73" t="s">
        <v>2043</v>
      </c>
      <c r="H429" s="830"/>
      <c r="I429" s="73" t="s">
        <v>762</v>
      </c>
      <c r="J429" s="73"/>
      <c r="K429" s="124" t="s">
        <v>762</v>
      </c>
      <c r="L429" s="963" t="s">
        <v>725</v>
      </c>
      <c r="M429" s="73"/>
      <c r="N429" s="73"/>
      <c r="O429" s="73"/>
      <c r="P429" s="73"/>
      <c r="Q429" s="73"/>
      <c r="R429" s="73"/>
      <c r="S429" s="73"/>
      <c r="T429" s="439" cm="1" t="str">
        <f t="array" ref="T429:T429">T428</f>
        <v>true</v>
      </c>
      <c r="U429" s="73"/>
      <c r="V429" s="73"/>
      <c r="W429" s="73"/>
      <c r="X429" s="1534"/>
      <c r="Y429" s="960"/>
      <c r="Z429" s="1465"/>
      <c r="AA429" s="960"/>
      <c r="AB429" s="267" t="str">
        <f>D429&amp;".5"</f>
        <v>7.5</v>
      </c>
      <c r="AC429" s="743" t="s">
        <v>1707</v>
      </c>
      <c r="AD429" s="747" t="s">
        <v>784</v>
      </c>
      <c r="AE429" s="4561">
        <v>0</v>
      </c>
      <c r="AF429" s="4561"/>
      <c r="AG429" s="4561"/>
      <c r="AH429" s="1099">
        <f>AG429-AF429</f>
        <v>0</v>
      </c>
      <c r="AI429" s="4561">
        <v>0</v>
      </c>
      <c r="AJ429" s="4561">
        <f>_xlfn.SUMIFS('Корректировка НВВ'!$AF$25:$AF$180,'Корректировка НВВ'!$F$25:$F$180,$F429,'Корректировка НВВ'!$I$25:$I$180,$G429)</f>
        <v>0</v>
      </c>
      <c r="AK429" s="1268"/>
      <c r="AL429" s="1268"/>
      <c r="AM429" s="4561"/>
      <c r="AN429" s="4561"/>
      <c r="AO429" s="4561"/>
      <c r="AP429" s="4561"/>
      <c r="AQ429" s="4561"/>
      <c r="AR429" s="4561"/>
      <c r="AS429" s="4561"/>
      <c r="AT429" s="4561">
        <f>_xlfn.SUMIFS('Корректировка НВВ'!$AG$25:$AG$180,'Корректировка НВВ'!$F$25:$F$180,$F429,'Корректировка НВВ'!$I$25:$I$180,$G429)</f>
        <v>0</v>
      </c>
      <c r="AU429" s="1268"/>
      <c r="AV429" s="1268"/>
      <c r="AW429" s="4561"/>
      <c r="AX429" s="4561"/>
      <c r="AY429" s="4561"/>
      <c r="AZ429" s="4561"/>
      <c r="BA429" s="4561"/>
      <c r="BB429" s="4561"/>
      <c r="BC429" s="4561"/>
      <c r="BD429" s="1100"/>
      <c r="BE429" s="1100"/>
      <c r="BF429" s="1100"/>
      <c r="BG429" s="1100"/>
      <c r="BH429" s="1100"/>
      <c r="BI429" s="1100"/>
      <c r="BJ429" s="1100"/>
      <c r="BK429" s="1100"/>
      <c r="BL429" s="1100"/>
      <c r="BM429" s="1100"/>
      <c r="BN429" s="4617"/>
      <c r="BO429" s="4619" t="str">
        <f>IF(_xlfn.IFERROR(INDEX('Корректировка НВВ'!$K$26:$L$180,MATCH($F429&amp;"4komm",'Корректировка НВВ'!$K$26:$K$180,0),2),"")=0,"",_xlfn.IFERROR(INDEX('Корректировка НВВ'!$K$26:$L$180,MATCH($F429&amp;"4komm",'Корректировка НВВ'!$K$26:$K$180,0),2),""))</f>
        <v/>
      </c>
      <c r="BP429" s="4617"/>
      <c r="BQ429" s="960"/>
      <c r="BR429" s="960"/>
      <c r="BS429" s="1048" t="s">
        <v>1253</v>
      </c>
      <c r="BT429" s="1048"/>
      <c r="BU429" s="1048"/>
      <c r="BV429" s="962"/>
      <c r="BW429" s="962"/>
    </row>
    <row s="1621" customFormat="1" customHeight="1" ht="14.625">
      <c r="A430" s="960"/>
      <c r="B430" s="400"/>
      <c r="C430" s="73"/>
      <c r="D430" s="73" cm="1" t="str">
        <f t="array" ref="D430:D430">D429</f>
        <v>7</v>
      </c>
      <c r="E430" s="600">
        <v>15</v>
      </c>
      <c r="F430" s="50" cm="1" t="str">
        <f t="array" ref="F430:F430">OFFSET(E430,-1,1)</f>
        <v>2</v>
      </c>
      <c r="G430" s="73" t="s">
        <v>2044</v>
      </c>
      <c r="H430" s="73"/>
      <c r="I430" s="73" t="s">
        <v>763</v>
      </c>
      <c r="J430" s="73"/>
      <c r="K430" s="124" t="s">
        <v>763</v>
      </c>
      <c r="L430" s="963" t="s">
        <v>762</v>
      </c>
      <c r="M430" s="73"/>
      <c r="N430" s="73"/>
      <c r="O430" s="73"/>
      <c r="P430" s="73"/>
      <c r="Q430" s="73"/>
      <c r="R430" s="73"/>
      <c r="S430" s="73"/>
      <c r="T430" s="439" cm="1" t="str">
        <f t="array" ref="T430:T430">T429</f>
        <v>true</v>
      </c>
      <c r="U430" s="73"/>
      <c r="V430" s="73"/>
      <c r="W430" s="73"/>
      <c r="X430" s="1534"/>
      <c r="Y430" s="960"/>
      <c r="Z430" s="1465"/>
      <c r="AA430" s="960"/>
      <c r="AB430" s="267" t="str">
        <f>IF(B429,D430&amp;".6",D430&amp;".4")</f>
        <v>7.6</v>
      </c>
      <c r="AC430" s="743" t="s">
        <v>1466</v>
      </c>
      <c r="AD430" s="267" t="s">
        <v>784</v>
      </c>
      <c r="AE430" s="4561"/>
      <c r="AF430" s="4561"/>
      <c r="AG430" s="4561"/>
      <c r="AH430" s="1099">
        <f>AG430-AF430</f>
        <v>0</v>
      </c>
      <c r="AI430" s="4561">
        <v>0</v>
      </c>
      <c r="AJ430" s="4561">
        <f>_xlfn.SUMIFS('Корректировка НВВ'!$AF$25:$AF$180,'Корректировка НВВ'!$F$25:$F$180,$F430,'Корректировка НВВ'!$I$25:$I$180,$G430)</f>
        <v>0</v>
      </c>
      <c r="AK430" s="1268"/>
      <c r="AL430" s="1268"/>
      <c r="AM430" s="4561"/>
      <c r="AN430" s="4561"/>
      <c r="AO430" s="4561"/>
      <c r="AP430" s="4561"/>
      <c r="AQ430" s="4561"/>
      <c r="AR430" s="4561"/>
      <c r="AS430" s="4561"/>
      <c r="AT430" s="4561">
        <f>_xlfn.SUMIFS('Корректировка НВВ'!$AG$25:$AG$180,'Корректировка НВВ'!$F$25:$F$180,$F430,'Корректировка НВВ'!$I$25:$I$180,$G430)</f>
        <v>0</v>
      </c>
      <c r="AU430" s="1268"/>
      <c r="AV430" s="1268"/>
      <c r="AW430" s="4561"/>
      <c r="AX430" s="4561"/>
      <c r="AY430" s="4561"/>
      <c r="AZ430" s="4561"/>
      <c r="BA430" s="4561"/>
      <c r="BB430" s="4561"/>
      <c r="BC430" s="4561"/>
      <c r="BD430" s="1100"/>
      <c r="BE430" s="1100"/>
      <c r="BF430" s="1100"/>
      <c r="BG430" s="1100"/>
      <c r="BH430" s="1100"/>
      <c r="BI430" s="1100"/>
      <c r="BJ430" s="1100"/>
      <c r="BK430" s="1100"/>
      <c r="BL430" s="1100"/>
      <c r="BM430" s="1100"/>
      <c r="BN430" s="4617"/>
      <c r="BO430" s="4619" t="str">
        <f>IF(_xlfn.IFERROR(INDEX('Корректировка НВВ'!$K$26:$L$180,MATCH($F430&amp;"5komm",'Корректировка НВВ'!$K$26:$K$180,0),2),"")=0,"",_xlfn.IFERROR(INDEX('Корректировка НВВ'!$K$26:$L$180,MATCH($F430&amp;"5komm",'Корректировка НВВ'!$K$26:$K$180,0),2),""))</f>
        <v/>
      </c>
      <c r="BP430" s="4617"/>
      <c r="BQ430" s="960"/>
      <c r="BR430" s="960"/>
      <c r="BS430" s="1048" t="s">
        <v>2045</v>
      </c>
      <c r="BT430" s="1048"/>
      <c r="BU430" s="1048"/>
      <c r="BV430" s="962"/>
      <c r="BW430" s="962"/>
    </row>
    <row s="1621" customFormat="1" customHeight="1" ht="14.625">
      <c r="A431" s="960"/>
      <c r="B431" s="961"/>
      <c r="C431" s="73"/>
      <c r="D431" s="73" cm="1" t="str">
        <f t="array" ref="D431:D431">D430</f>
        <v>7</v>
      </c>
      <c r="E431" s="600">
        <v>15</v>
      </c>
      <c r="F431" s="50" cm="1" t="str">
        <f t="array" ref="F431:F431">OFFSET(E431,-1,1)</f>
        <v>2</v>
      </c>
      <c r="G431" s="73" t="s">
        <v>2046</v>
      </c>
      <c r="H431" s="73"/>
      <c r="I431" s="73" t="s">
        <v>1717</v>
      </c>
      <c r="J431" s="73"/>
      <c r="K431" s="124" t="s">
        <v>1717</v>
      </c>
      <c r="L431" s="963" t="s">
        <v>763</v>
      </c>
      <c r="M431" s="73"/>
      <c r="N431" s="73"/>
      <c r="O431" s="73"/>
      <c r="P431" s="73"/>
      <c r="Q431" s="73"/>
      <c r="R431" s="73"/>
      <c r="S431" s="73"/>
      <c r="T431" s="439" cm="1" t="str">
        <f t="array" ref="T431:T431">T430</f>
        <v>true</v>
      </c>
      <c r="U431" s="73"/>
      <c r="V431" s="73"/>
      <c r="W431" s="73"/>
      <c r="X431" s="1534"/>
      <c r="Y431" s="960"/>
      <c r="Z431" s="1465"/>
      <c r="AA431" s="960"/>
      <c r="AB431" s="267" t="str">
        <f>IF(B429,D430&amp;".7",D430&amp;".5")</f>
        <v>7.7</v>
      </c>
      <c r="AC431" s="743" t="s">
        <v>1428</v>
      </c>
      <c r="AD431" s="267" t="s">
        <v>784</v>
      </c>
      <c r="AE431" s="4561">
        <v>718.7</v>
      </c>
      <c r="AF431" s="4561">
        <f>AF432+AF433</f>
        <v>0</v>
      </c>
      <c r="AG431" s="4561">
        <f>AG432+AG433</f>
        <v>0</v>
      </c>
      <c r="AH431" s="1099">
        <f>AG431-AF431</f>
        <v>0</v>
      </c>
      <c r="AI431" s="4561">
        <f>AI432+AI433</f>
        <v>0</v>
      </c>
      <c r="AJ431" s="4561">
        <f>_xlfn.SUMIFS('Корректировка НВВ'!$AF$25:$AF$180,'Корректировка НВВ'!$F$25:$F$180,$F431,'Корректировка НВВ'!$I$25:$I$180,$G431)</f>
        <v>0</v>
      </c>
      <c r="AK431" s="1268">
        <f>AK432+AK433</f>
        <v>0</v>
      </c>
      <c r="AL431" s="1268">
        <f>AL432+AL433</f>
        <v>0</v>
      </c>
      <c r="AM431" s="4561">
        <f>AM432+AM433</f>
        <v>0</v>
      </c>
      <c r="AN431" s="4561">
        <f>AN432+AN433</f>
        <v>0</v>
      </c>
      <c r="AO431" s="4561">
        <f>AO432+AO433</f>
        <v>0</v>
      </c>
      <c r="AP431" s="4561">
        <f>AP432+AP433</f>
        <v>0</v>
      </c>
      <c r="AQ431" s="4561">
        <f>AQ432+AQ433</f>
        <v>0</v>
      </c>
      <c r="AR431" s="4561">
        <f>AR432+AR433</f>
        <v>0</v>
      </c>
      <c r="AS431" s="4561">
        <f>AS432+AS433</f>
        <v>0</v>
      </c>
      <c r="AT431" s="4561">
        <f>_xlfn.SUMIFS('Корректировка НВВ'!$AG$25:$AG$180,'Корректировка НВВ'!$F$25:$F$180,$F431,'Корректировка НВВ'!$I$25:$I$180,$G431)</f>
        <v>0</v>
      </c>
      <c r="AU431" s="1268">
        <f>AU432+AU433</f>
        <v>0</v>
      </c>
      <c r="AV431" s="1268">
        <f>AV432+AV433</f>
        <v>0</v>
      </c>
      <c r="AW431" s="4561">
        <f>AW432+AW433</f>
        <v>0</v>
      </c>
      <c r="AX431" s="4561">
        <f>AX432+AX433</f>
        <v>0</v>
      </c>
      <c r="AY431" s="4561">
        <f>AY432+AY433</f>
        <v>0</v>
      </c>
      <c r="AZ431" s="4561">
        <f>AZ432+AZ433</f>
        <v>0</v>
      </c>
      <c r="BA431" s="4561">
        <f>BA432+BA433</f>
        <v>0</v>
      </c>
      <c r="BB431" s="4561">
        <f>BB432+BB433</f>
        <v>0</v>
      </c>
      <c r="BC431" s="4561">
        <f>BC432+BC433</f>
        <v>0</v>
      </c>
      <c r="BD431" s="1099">
        <f>IF(AI431=0,0,(AT431-AI431)/AI431*100)</f>
        <v>0</v>
      </c>
      <c r="BE431" s="1099">
        <f>IF(AT431=0,0,(AU431-AT431)/AT431*100)</f>
        <v>0</v>
      </c>
      <c r="BF431" s="1099">
        <f>IF(AU431=0,0,(AV431-AU431)/AU431*100)</f>
        <v>0</v>
      </c>
      <c r="BG431" s="1099">
        <f>IF(AV431=0,0,(AW431-AV431)/AV431*100)</f>
        <v>0</v>
      </c>
      <c r="BH431" s="1099">
        <f>IF(AW431=0,0,(AX431-AW431)/AW431*100)</f>
        <v>0</v>
      </c>
      <c r="BI431" s="1099">
        <f>IF(AX431=0,0,(AY431-AX431)/AX431*100)</f>
        <v>0</v>
      </c>
      <c r="BJ431" s="1099">
        <f>IF(AY431=0,0,(AZ431-AY431)/AY431*100)</f>
        <v>0</v>
      </c>
      <c r="BK431" s="1099">
        <f>IF(AZ431=0,0,(BA431-AZ431)/AZ431*100)</f>
        <v>0</v>
      </c>
      <c r="BL431" s="1099">
        <f>IF(BA431=0,0,(BB431-BA431)/BA431*100)</f>
        <v>0</v>
      </c>
      <c r="BM431" s="1099">
        <f>IF(BB431=0,0,(BC431-BB431)/BB431*100)</f>
        <v>0</v>
      </c>
      <c r="BN431" s="4617"/>
      <c r="BO431" s="4619" t="str">
        <f>IF(_xlfn.IFERROR(INDEX('Корректировка НВВ'!$K$26:$L$180,MATCH($F431&amp;"6komm",'Корректировка НВВ'!$K$26:$K$180,0),2),"")=0,"",_xlfn.IFERROR(INDEX('Корректировка НВВ'!$K$26:$L$180,MATCH($F431&amp;"6komm",'Корректировка НВВ'!$K$26:$K$180,0),2),""))</f>
        <v/>
      </c>
      <c r="BP431" s="4617"/>
      <c r="BQ431" s="960"/>
      <c r="BR431" s="960"/>
      <c r="BS431" s="1048" t="s">
        <v>1430</v>
      </c>
      <c r="BT431" s="1048"/>
      <c r="BU431" s="1048"/>
      <c r="BV431" s="962"/>
      <c r="BW431" s="962"/>
    </row>
    <row s="1621" customFormat="1" customHeight="1" ht="21.9375">
      <c r="A432" s="960"/>
      <c r="B432" s="961"/>
      <c r="C432" s="73"/>
      <c r="D432" s="73" cm="1" t="str">
        <f t="array" ref="D432:D432">D431</f>
        <v>7</v>
      </c>
      <c r="E432" s="600">
        <v>22.5</v>
      </c>
      <c r="F432" s="50" cm="1" t="str">
        <f t="array" ref="F432:F432">OFFSET(E432,-1,1)</f>
        <v>2</v>
      </c>
      <c r="G432" s="73" t="s">
        <v>2047</v>
      </c>
      <c r="H432" s="73"/>
      <c r="I432" s="73" t="s">
        <v>2048</v>
      </c>
      <c r="J432" s="73"/>
      <c r="K432" s="124" t="s">
        <v>2048</v>
      </c>
      <c r="L432" s="963" t="s">
        <v>1712</v>
      </c>
      <c r="M432" s="73"/>
      <c r="N432" s="73"/>
      <c r="O432" s="73"/>
      <c r="P432" s="73"/>
      <c r="Q432" s="73"/>
      <c r="R432" s="73"/>
      <c r="S432" s="73"/>
      <c r="T432" s="439" cm="1" t="str">
        <f t="array" ref="T432:T432">T431</f>
        <v>true</v>
      </c>
      <c r="U432" s="73"/>
      <c r="V432" s="73"/>
      <c r="W432" s="73"/>
      <c r="X432" s="1534"/>
      <c r="Y432" s="960"/>
      <c r="Z432" s="1465"/>
      <c r="AA432" s="960"/>
      <c r="AB432" s="267" t="str">
        <f>AB431&amp;".1"</f>
        <v>7.7.1</v>
      </c>
      <c r="AC432" s="762" t="s">
        <v>1431</v>
      </c>
      <c r="AD432" s="267" t="s">
        <v>784</v>
      </c>
      <c r="AE432" s="4561">
        <v>718.7</v>
      </c>
      <c r="AF432" s="4561"/>
      <c r="AG432" s="4561"/>
      <c r="AH432" s="1099">
        <f>AG432-AF432</f>
        <v>0</v>
      </c>
      <c r="AI432" s="4561"/>
      <c r="AJ432" s="4561">
        <f>_xlfn.SUMIFS('Корректировка НВВ'!$AF$25:$AF$180,'Корректировка НВВ'!$F$25:$F$180,$F432,'Корректировка НВВ'!$I$25:$I$180,$G432)</f>
        <v>0</v>
      </c>
      <c r="AK432" s="1268"/>
      <c r="AL432" s="1268"/>
      <c r="AM432" s="4561"/>
      <c r="AN432" s="4561"/>
      <c r="AO432" s="4561"/>
      <c r="AP432" s="4561"/>
      <c r="AQ432" s="4561"/>
      <c r="AR432" s="4561"/>
      <c r="AS432" s="4561"/>
      <c r="AT432" s="4561">
        <f>_xlfn.SUMIFS('Корректировка НВВ'!$AG$25:$AG$180,'Корректировка НВВ'!$F$25:$F$180,$F432,'Корректировка НВВ'!$I$25:$I$180,$G432)</f>
        <v>0</v>
      </c>
      <c r="AU432" s="1268"/>
      <c r="AV432" s="1268"/>
      <c r="AW432" s="4561"/>
      <c r="AX432" s="4561"/>
      <c r="AY432" s="4561"/>
      <c r="AZ432" s="4561"/>
      <c r="BA432" s="4561"/>
      <c r="BB432" s="4561"/>
      <c r="BC432" s="4561"/>
      <c r="BD432" s="1100"/>
      <c r="BE432" s="1100"/>
      <c r="BF432" s="1100"/>
      <c r="BG432" s="1100"/>
      <c r="BH432" s="1100"/>
      <c r="BI432" s="1100"/>
      <c r="BJ432" s="1100"/>
      <c r="BK432" s="1100"/>
      <c r="BL432" s="1100"/>
      <c r="BM432" s="1100"/>
      <c r="BN432" s="4617"/>
      <c r="BO432" s="4619" t="str">
        <f>IF(_xlfn.IFERROR(INDEX('Корректировка НВВ'!$K$26:$L$180,MATCH($F432&amp;"7komm",'Корректировка НВВ'!$K$26:$K$180,0),2),"")=0,"",_xlfn.IFERROR(INDEX('Корректировка НВВ'!$K$26:$L$180,MATCH($F432&amp;"7komm",'Корректировка НВВ'!$K$26:$K$180,0),2),""))</f>
        <v/>
      </c>
      <c r="BP432" s="4617"/>
      <c r="BQ432" s="960"/>
      <c r="BR432" s="960"/>
      <c r="BS432" s="1048" t="s">
        <v>1432</v>
      </c>
      <c r="BT432" s="1048"/>
      <c r="BU432" s="1048"/>
      <c r="BV432" s="962"/>
      <c r="BW432" s="962"/>
    </row>
    <row s="1621" customFormat="1" customHeight="1" ht="21.9375">
      <c r="A433" s="960"/>
      <c r="B433" s="961"/>
      <c r="C433" s="73"/>
      <c r="D433" s="73" cm="1" t="str">
        <f t="array" ref="D433:D433">D432</f>
        <v>7</v>
      </c>
      <c r="E433" s="600">
        <v>22.5</v>
      </c>
      <c r="F433" s="50" cm="1" t="str">
        <f t="array" ref="F433:F433">OFFSET(E433,-1,1)</f>
        <v>2</v>
      </c>
      <c r="G433" s="73" t="s">
        <v>2049</v>
      </c>
      <c r="H433" s="73"/>
      <c r="I433" s="73" t="s">
        <v>2050</v>
      </c>
      <c r="J433" s="73"/>
      <c r="K433" s="124" t="s">
        <v>2050</v>
      </c>
      <c r="L433" s="963" t="s">
        <v>1714</v>
      </c>
      <c r="M433" s="73"/>
      <c r="N433" s="73"/>
      <c r="O433" s="73"/>
      <c r="P433" s="73"/>
      <c r="Q433" s="73"/>
      <c r="R433" s="73"/>
      <c r="S433" s="73"/>
      <c r="T433" s="439" cm="1" t="str">
        <f t="array" ref="T433:T433">T432</f>
        <v>true</v>
      </c>
      <c r="U433" s="73"/>
      <c r="V433" s="73"/>
      <c r="W433" s="73"/>
      <c r="X433" s="1534"/>
      <c r="Y433" s="960"/>
      <c r="Z433" s="1465"/>
      <c r="AA433" s="960"/>
      <c r="AB433" s="267" t="str">
        <f>AB431&amp;".2"</f>
        <v>7.7.2</v>
      </c>
      <c r="AC433" s="762" t="s">
        <v>1433</v>
      </c>
      <c r="AD433" s="267" t="s">
        <v>784</v>
      </c>
      <c r="AE433" s="4561"/>
      <c r="AF433" s="4561"/>
      <c r="AG433" s="4561"/>
      <c r="AH433" s="1099">
        <f>AG433-AF433</f>
        <v>0</v>
      </c>
      <c r="AI433" s="4561">
        <v>0</v>
      </c>
      <c r="AJ433" s="4561">
        <f>_xlfn.SUMIFS('Корректировка НВВ'!$AF$25:$AF$180,'Корректировка НВВ'!$F$25:$F$180,$F433,'Корректировка НВВ'!$I$25:$I$180,$G433)</f>
        <v>0</v>
      </c>
      <c r="AK433" s="1268"/>
      <c r="AL433" s="1268"/>
      <c r="AM433" s="4561"/>
      <c r="AN433" s="4561"/>
      <c r="AO433" s="4561"/>
      <c r="AP433" s="4561"/>
      <c r="AQ433" s="4561"/>
      <c r="AR433" s="4561"/>
      <c r="AS433" s="4561"/>
      <c r="AT433" s="4561">
        <f>_xlfn.SUMIFS('Корректировка НВВ'!$AG$25:$AG$180,'Корректировка НВВ'!$F$25:$F$180,$F433,'Корректировка НВВ'!$I$25:$I$180,$G433)</f>
        <v>0</v>
      </c>
      <c r="AU433" s="1268"/>
      <c r="AV433" s="1268"/>
      <c r="AW433" s="4561"/>
      <c r="AX433" s="4561"/>
      <c r="AY433" s="4561"/>
      <c r="AZ433" s="4561"/>
      <c r="BA433" s="4561"/>
      <c r="BB433" s="4561"/>
      <c r="BC433" s="4561"/>
      <c r="BD433" s="1100"/>
      <c r="BE433" s="1100"/>
      <c r="BF433" s="1100"/>
      <c r="BG433" s="1100"/>
      <c r="BH433" s="1100"/>
      <c r="BI433" s="1100"/>
      <c r="BJ433" s="1100"/>
      <c r="BK433" s="1100"/>
      <c r="BL433" s="1100"/>
      <c r="BM433" s="1100"/>
      <c r="BN433" s="4617"/>
      <c r="BO433" s="4619" t="str">
        <f>IF(_xlfn.IFERROR(INDEX('Корректировка НВВ'!$K$26:$L$180,MATCH($F433&amp;"8komm",'Корректировка НВВ'!$K$26:$K$180,0),2),"")=0,"",_xlfn.IFERROR(INDEX('Корректировка НВВ'!$K$26:$L$180,MATCH($F433&amp;"8komm",'Корректировка НВВ'!$K$26:$K$180,0),2),""))</f>
        <v/>
      </c>
      <c r="BP433" s="4617"/>
      <c r="BQ433" s="960"/>
      <c r="BR433" s="960"/>
      <c r="BS433" s="1048" t="s">
        <v>1434</v>
      </c>
      <c r="BT433" s="1048"/>
      <c r="BU433" s="1048"/>
      <c r="BV433" s="962"/>
      <c r="BW433" s="962"/>
    </row>
    <row s="1621" customFormat="1" customHeight="1" ht="14.625">
      <c r="A434" s="960"/>
      <c r="B434" s="961"/>
      <c r="C434" s="73"/>
      <c r="D434" s="73" cm="1" t="str">
        <f t="array" ref="D434:D434">D433</f>
        <v>7</v>
      </c>
      <c r="E434" s="600">
        <v>15</v>
      </c>
      <c r="F434" s="50" cm="1" t="str">
        <f t="array" ref="F434:F434">OFFSET(E434,-1,1)</f>
        <v>2</v>
      </c>
      <c r="G434" s="73" t="s">
        <v>312</v>
      </c>
      <c r="H434" s="73"/>
      <c r="I434" s="73" t="s">
        <v>1718</v>
      </c>
      <c r="J434" s="73"/>
      <c r="K434" s="124" t="s">
        <v>1718</v>
      </c>
      <c r="L434" s="963" t="s">
        <v>1717</v>
      </c>
      <c r="M434" s="73"/>
      <c r="N434" s="73"/>
      <c r="O434" s="73"/>
      <c r="P434" s="73"/>
      <c r="Q434" s="73"/>
      <c r="R434" s="73"/>
      <c r="S434" s="73"/>
      <c r="T434" s="439" cm="1" t="str">
        <f t="array" ref="T434:T434">T433</f>
        <v>true</v>
      </c>
      <c r="U434" s="73"/>
      <c r="V434" s="73"/>
      <c r="W434" s="73"/>
      <c r="X434" s="1534"/>
      <c r="Y434" s="960"/>
      <c r="Z434" s="1465"/>
      <c r="AA434" s="960"/>
      <c r="AB434" s="267" t="str">
        <f>IF(B429,D430&amp;".8",D430&amp;".6")</f>
        <v>7.8</v>
      </c>
      <c r="AC434" s="763" t="s">
        <v>1435</v>
      </c>
      <c r="AD434" s="267" t="s">
        <v>784</v>
      </c>
      <c r="AE434" s="4561"/>
      <c r="AF434" s="4561"/>
      <c r="AG434" s="4561"/>
      <c r="AH434" s="1099">
        <f>AG434-AF434</f>
        <v>0</v>
      </c>
      <c r="AI434" s="4561">
        <v>0</v>
      </c>
      <c r="AJ434" s="4561">
        <f>_xlfn.SUMIFS('Корректировка НВВ'!$AF$25:$AF$180,'Корректировка НВВ'!$F$25:$F$180,$F434,'Корректировка НВВ'!$I$25:$I$180,$G434)</f>
        <v>0</v>
      </c>
      <c r="AK434" s="1268"/>
      <c r="AL434" s="1268"/>
      <c r="AM434" s="4561"/>
      <c r="AN434" s="4561"/>
      <c r="AO434" s="4561"/>
      <c r="AP434" s="4561"/>
      <c r="AQ434" s="4561"/>
      <c r="AR434" s="4561"/>
      <c r="AS434" s="4561"/>
      <c r="AT434" s="4561">
        <f>_xlfn.SUMIFS('Корректировка НВВ'!$AG$25:$AG$180,'Корректировка НВВ'!$F$25:$F$180,$F434,'Корректировка НВВ'!$I$25:$I$180,$G434)</f>
        <v>0</v>
      </c>
      <c r="AU434" s="1268"/>
      <c r="AV434" s="1268"/>
      <c r="AW434" s="4561"/>
      <c r="AX434" s="4561"/>
      <c r="AY434" s="4561"/>
      <c r="AZ434" s="4561"/>
      <c r="BA434" s="4561"/>
      <c r="BB434" s="4561"/>
      <c r="BC434" s="4561"/>
      <c r="BD434" s="1100"/>
      <c r="BE434" s="1100"/>
      <c r="BF434" s="1100"/>
      <c r="BG434" s="1100"/>
      <c r="BH434" s="1100"/>
      <c r="BI434" s="1100"/>
      <c r="BJ434" s="1100"/>
      <c r="BK434" s="1100"/>
      <c r="BL434" s="1100"/>
      <c r="BM434" s="1100"/>
      <c r="BN434" s="4617"/>
      <c r="BO434" s="4619" t="str">
        <f>IF(_xlfn.IFERROR(INDEX('Корректировка НВВ'!$K$26:$L$180,MATCH($F434&amp;"9komm",'Корректировка НВВ'!$K$26:$K$180,0),2),"")=0,"",_xlfn.IFERROR(INDEX('Корректировка НВВ'!$K$26:$L$180,MATCH($F434&amp;"9komm",'Корректировка НВВ'!$K$26:$K$180,0),2),""))</f>
        <v/>
      </c>
      <c r="BP434" s="4617"/>
      <c r="BQ434" s="960"/>
      <c r="BR434" s="960"/>
      <c r="BS434" s="1048" t="s">
        <v>2051</v>
      </c>
      <c r="BT434" s="1048"/>
      <c r="BU434" s="1048"/>
      <c r="BV434" s="962"/>
      <c r="BW434" s="962"/>
    </row>
    <row s="1621" customFormat="1" customHeight="1" ht="14.625">
      <c r="A435" s="960"/>
      <c r="B435" s="961"/>
      <c r="C435" s="73"/>
      <c r="D435" s="73" cm="1" t="str">
        <f t="array" ref="D435:D435">D434</f>
        <v>7</v>
      </c>
      <c r="E435" s="600">
        <v>15</v>
      </c>
      <c r="F435" s="50" cm="1" t="str">
        <f t="array" ref="F435:F435">OFFSET(E435,-1,1)</f>
        <v>2</v>
      </c>
      <c r="G435" s="73" t="s">
        <v>2052</v>
      </c>
      <c r="H435" s="73"/>
      <c r="I435" s="73" t="s">
        <v>1720</v>
      </c>
      <c r="J435" s="73"/>
      <c r="K435" s="124" t="s">
        <v>1720</v>
      </c>
      <c r="L435" s="963" t="s">
        <v>1718</v>
      </c>
      <c r="M435" s="73"/>
      <c r="N435" s="73"/>
      <c r="O435" s="73"/>
      <c r="P435" s="73"/>
      <c r="Q435" s="73"/>
      <c r="R435" s="73"/>
      <c r="S435" s="73"/>
      <c r="T435" s="439" cm="1" t="str">
        <f t="array" ref="T435:T435">T434</f>
        <v>true</v>
      </c>
      <c r="U435" s="73"/>
      <c r="V435" s="73"/>
      <c r="W435" s="73"/>
      <c r="X435" s="1534"/>
      <c r="Y435" s="960"/>
      <c r="Z435" s="1465"/>
      <c r="AA435" s="960"/>
      <c r="AB435" s="267" t="str">
        <f>IF(B429,D430&amp;".9",D430&amp;".7")</f>
        <v>7.9</v>
      </c>
      <c r="AC435" s="763" t="s">
        <v>1437</v>
      </c>
      <c r="AD435" s="267" t="s">
        <v>784</v>
      </c>
      <c r="AE435" s="4561"/>
      <c r="AF435" s="4561"/>
      <c r="AG435" s="4561"/>
      <c r="AH435" s="1099">
        <f>AG435-AF435</f>
        <v>0</v>
      </c>
      <c r="AI435" s="4561">
        <v>0</v>
      </c>
      <c r="AJ435" s="4561">
        <f>_xlfn.SUMIFS('Корректировка НВВ'!$AF$25:$AF$180,'Корректировка НВВ'!$F$25:$F$180,$F435,'Корректировка НВВ'!$I$25:$I$180,$G435)</f>
        <v>0</v>
      </c>
      <c r="AK435" s="1268"/>
      <c r="AL435" s="1268"/>
      <c r="AM435" s="4561"/>
      <c r="AN435" s="4561"/>
      <c r="AO435" s="4561"/>
      <c r="AP435" s="4561"/>
      <c r="AQ435" s="4561"/>
      <c r="AR435" s="4561"/>
      <c r="AS435" s="4561"/>
      <c r="AT435" s="4561">
        <f>_xlfn.SUMIFS('Корректировка НВВ'!$AG$25:$AG$180,'Корректировка НВВ'!$F$25:$F$180,$F435,'Корректировка НВВ'!$I$25:$I$180,$G435)</f>
        <v>0</v>
      </c>
      <c r="AU435" s="1268"/>
      <c r="AV435" s="1268"/>
      <c r="AW435" s="4561"/>
      <c r="AX435" s="4561"/>
      <c r="AY435" s="4561"/>
      <c r="AZ435" s="4561"/>
      <c r="BA435" s="4561"/>
      <c r="BB435" s="4561"/>
      <c r="BC435" s="4561"/>
      <c r="BD435" s="1100"/>
      <c r="BE435" s="1100"/>
      <c r="BF435" s="1100"/>
      <c r="BG435" s="1100"/>
      <c r="BH435" s="1100"/>
      <c r="BI435" s="1100"/>
      <c r="BJ435" s="1100"/>
      <c r="BK435" s="1100"/>
      <c r="BL435" s="1100"/>
      <c r="BM435" s="1100"/>
      <c r="BN435" s="4617"/>
      <c r="BO435" s="4619" t="str">
        <f>IF(_xlfn.IFERROR(INDEX('Корректировка НВВ'!$K$26:$L$180,MATCH($F435&amp;"10komm",'Корректировка НВВ'!$K$26:$K$180,0),2),"")=0,"",_xlfn.IFERROR(INDEX('Корректировка НВВ'!$K$26:$L$180,MATCH($F435&amp;"10komm",'Корректировка НВВ'!$K$26:$K$180,0),2),""))</f>
        <v/>
      </c>
      <c r="BP435" s="4617"/>
      <c r="BQ435" s="960"/>
      <c r="BR435" s="960"/>
      <c r="BS435" s="1048" t="s">
        <v>1438</v>
      </c>
      <c r="BT435" s="1048"/>
      <c r="BU435" s="1048"/>
      <c r="BV435" s="962"/>
      <c r="BW435" s="962"/>
    </row>
    <row s="4731" customFormat="1" customHeight="1" ht="222.75">
      <c r="A436" s="680"/>
      <c r="B436" s="408"/>
      <c r="C436" s="75"/>
      <c r="D436" s="75">
        <f>D435+1</f>
        <v>8</v>
      </c>
      <c r="E436" s="807">
        <v>21</v>
      </c>
      <c r="F436" s="50" cm="1" t="str">
        <f t="array" ref="F436:F436">OFFSET(E436,-1,1)</f>
        <v>2</v>
      </c>
      <c r="G436" s="75"/>
      <c r="H436" s="75"/>
      <c r="I436" s="75" t="s">
        <v>564</v>
      </c>
      <c r="J436" s="75"/>
      <c r="K436" s="128" t="s">
        <v>564</v>
      </c>
      <c r="L436" s="968"/>
      <c r="M436" s="75"/>
      <c r="N436" s="75"/>
      <c r="O436" s="75"/>
      <c r="P436" s="75"/>
      <c r="Q436" s="75"/>
      <c r="R436" s="75"/>
      <c r="S436" s="75"/>
      <c r="T436" s="439" cm="1" t="str">
        <f t="array" ref="T436:T436">T435</f>
        <v>true</v>
      </c>
      <c r="U436" s="75"/>
      <c r="V436" s="75"/>
      <c r="W436" s="75"/>
      <c r="X436" s="1534"/>
      <c r="Y436" s="680"/>
      <c r="Z436" s="1465"/>
      <c r="AA436" s="680"/>
      <c r="AB436" s="178" cm="1" t="str">
        <f t="array" ref="AB436:AB436">D436</f>
        <v>8</v>
      </c>
      <c r="AC436" s="179" t="s">
        <v>2053</v>
      </c>
      <c r="AD436" s="178" t="s">
        <v>784</v>
      </c>
      <c r="AE436" s="4606">
        <v>-681.87</v>
      </c>
      <c r="AF436" s="4606"/>
      <c r="AG436" s="4606"/>
      <c r="AH436" s="759">
        <f>AG436-AF436</f>
        <v>0</v>
      </c>
      <c r="AI436" s="4606">
        <v>-274.41</v>
      </c>
      <c r="AJ436" s="4606"/>
      <c r="AK436" s="1264"/>
      <c r="AL436" s="1264"/>
      <c r="AM436" s="4606"/>
      <c r="AN436" s="4606"/>
      <c r="AO436" s="4606"/>
      <c r="AP436" s="4606"/>
      <c r="AQ436" s="4606"/>
      <c r="AR436" s="4606"/>
      <c r="AS436" s="4606"/>
      <c r="AT436" s="4606">
        <v>-568.18</v>
      </c>
      <c r="AU436" s="1264"/>
      <c r="AV436" s="1264"/>
      <c r="AW436" s="4606"/>
      <c r="AX436" s="4606"/>
      <c r="AY436" s="4606"/>
      <c r="AZ436" s="4606"/>
      <c r="BA436" s="4606"/>
      <c r="BB436" s="4606"/>
      <c r="BC436" s="4606"/>
      <c r="BD436" s="183"/>
      <c r="BE436" s="183"/>
      <c r="BF436" s="183"/>
      <c r="BG436" s="183"/>
      <c r="BH436" s="183"/>
      <c r="BI436" s="183"/>
      <c r="BJ436" s="183"/>
      <c r="BK436" s="183"/>
      <c r="BL436" s="183"/>
      <c r="BM436" s="183"/>
      <c r="BN436" s="4618"/>
      <c r="BO436" s="4618" t="s">
        <v>2085</v>
      </c>
      <c r="BP436" s="4618" t="s">
        <v>2090</v>
      </c>
      <c r="BQ436" s="680"/>
      <c r="BR436" s="680"/>
      <c r="BS436" s="1054" t="s">
        <v>2054</v>
      </c>
      <c r="BT436" s="1054"/>
      <c r="BU436" s="1054"/>
      <c r="BV436" s="687"/>
      <c r="BW436" s="687"/>
    </row>
    <row s="1621" customFormat="1" customHeight="1" ht="14.25">
      <c r="A437" s="960"/>
      <c r="B437" s="961"/>
      <c r="C437" s="73"/>
      <c r="D437" s="75" cm="1" t="str">
        <f t="array" ref="D437:D437">D436</f>
        <v>8</v>
      </c>
      <c r="E437" s="600">
        <v>15</v>
      </c>
      <c r="F437" s="50" cm="1" t="str">
        <f t="array" ref="F437:F437">OFFSET(E437,-1,1)</f>
        <v>2</v>
      </c>
      <c r="G437" s="73"/>
      <c r="H437" s="73"/>
      <c r="I437" s="73" t="s">
        <v>568</v>
      </c>
      <c r="J437" s="73"/>
      <c r="K437" s="124" t="s">
        <v>568</v>
      </c>
      <c r="L437" s="963"/>
      <c r="M437" s="73"/>
      <c r="N437" s="73"/>
      <c r="O437" s="73"/>
      <c r="P437" s="73"/>
      <c r="Q437" s="73"/>
      <c r="R437" s="73"/>
      <c r="S437" s="73"/>
      <c r="T437" s="439" cm="1" t="str">
        <f t="array" ref="T437:T437">T436</f>
        <v>true</v>
      </c>
      <c r="U437" s="73"/>
      <c r="V437" s="73"/>
      <c r="W437" s="73"/>
      <c r="X437" s="1534"/>
      <c r="Y437" s="960"/>
      <c r="Z437" s="1465"/>
      <c r="AA437" s="960"/>
      <c r="AB437" s="267" t="str">
        <f>D437&amp;".1"</f>
        <v>8.1</v>
      </c>
      <c r="AC437" s="743" t="s">
        <v>2055</v>
      </c>
      <c r="AD437" s="267" t="s">
        <v>437</v>
      </c>
      <c r="AE437" s="1099">
        <f>IF(AE438=0,0,AE436/(AE438+AE423)*100)</f>
        <v>-50.9125430266495</v>
      </c>
      <c r="AF437" s="1099">
        <f>IF(AF438=0,0,AF436/(AF438+AF423)*100)</f>
        <v>0</v>
      </c>
      <c r="AG437" s="1099">
        <f>IF(AG438=0,0,AG436/(AG438+AG423)*100)</f>
        <v>0</v>
      </c>
      <c r="AH437" s="1099">
        <f>AG437-AF437</f>
        <v>0</v>
      </c>
      <c r="AI437" s="1099">
        <f>IF(AI438=0,0,AI436/(AI438+AI423)*100)</f>
        <v>180.983684078932</v>
      </c>
      <c r="AJ437" s="1099">
        <f>IF(AJ438=0,0,AJ436/(AJ438+AJ423)*100)</f>
        <v>0</v>
      </c>
      <c r="AK437" s="1099">
        <f>IF(AK438=0,0,AK436/(AK438+AK423)*100)</f>
        <v>0</v>
      </c>
      <c r="AL437" s="1099">
        <f>IF(AL438=0,0,AL436/(AL438+AL423)*100)</f>
        <v>0</v>
      </c>
      <c r="AM437" s="1099">
        <f>IF(AM438=0,0,AM436/(AM438+AM423)*100)</f>
        <v>0</v>
      </c>
      <c r="AN437" s="1099">
        <f>IF(AN438=0,0,AN436/(AN438+AN423)*100)</f>
        <v>0</v>
      </c>
      <c r="AO437" s="1099">
        <f>IF(AO438=0,0,AO436/(AO438+AO423)*100)</f>
        <v>0</v>
      </c>
      <c r="AP437" s="1099">
        <f>IF(AP438=0,0,AP436/(AP438+AP423)*100)</f>
        <v>0</v>
      </c>
      <c r="AQ437" s="1099">
        <f>IF(AQ438=0,0,AQ436/(AQ438+AQ423)*100)</f>
        <v>0</v>
      </c>
      <c r="AR437" s="1099">
        <f>IF(AR438=0,0,AR436/(AR438+AR423)*100)</f>
        <v>0</v>
      </c>
      <c r="AS437" s="1099">
        <f>IF(AS438=0,0,AS436/(AS438+AS423)*100)</f>
        <v>0</v>
      </c>
      <c r="AT437" s="1099">
        <f>IF(AT438=0,0,AT436/(AT438+AT423)*100)</f>
        <v>-93.007851608222</v>
      </c>
      <c r="AU437" s="1099">
        <f>IF(AU438=0,0,AU436/(AU438+AU423)*100)</f>
        <v>0</v>
      </c>
      <c r="AV437" s="1099">
        <f>IF(AV438=0,0,AV436/(AV438+AV423)*100)</f>
        <v>0</v>
      </c>
      <c r="AW437" s="1099">
        <f>IF(AW438=0,0,AW436/(AW438+AW423)*100)</f>
        <v>0</v>
      </c>
      <c r="AX437" s="1099">
        <f>IF(AX438=0,0,AX436/(AX438+AX423)*100)</f>
        <v>0</v>
      </c>
      <c r="AY437" s="1099">
        <f>IF(AY438=0,0,AY436/(AY438+AY423)*100)</f>
        <v>0</v>
      </c>
      <c r="AZ437" s="1099">
        <f>IF(AZ438=0,0,AZ436/(AZ438+AZ423)*100)</f>
        <v>0</v>
      </c>
      <c r="BA437" s="1099">
        <f>IF(BA438=0,0,BA436/(BA438+BA423)*100)</f>
        <v>0</v>
      </c>
      <c r="BB437" s="1099">
        <f>IF(BB438=0,0,BB436/(BB438+BB423)*100)</f>
        <v>0</v>
      </c>
      <c r="BC437" s="1099">
        <f>IF(BC438=0,0,BC436/(BC438+BC423)*100)</f>
        <v>0</v>
      </c>
      <c r="BD437" s="1100"/>
      <c r="BE437" s="1100"/>
      <c r="BF437" s="1100"/>
      <c r="BG437" s="1100"/>
      <c r="BH437" s="1100"/>
      <c r="BI437" s="1100"/>
      <c r="BJ437" s="1100"/>
      <c r="BK437" s="1100"/>
      <c r="BL437" s="1100"/>
      <c r="BM437" s="1100"/>
      <c r="BN437" s="4617"/>
      <c r="BO437" s="4617"/>
      <c r="BP437" s="4617"/>
      <c r="BQ437" s="960"/>
      <c r="BR437" s="960"/>
      <c r="BS437" s="1048" t="s">
        <v>2056</v>
      </c>
      <c r="BT437" s="1048"/>
      <c r="BU437" s="1048"/>
      <c r="BV437" s="962"/>
      <c r="BW437" s="962"/>
    </row>
    <row s="4732" customFormat="1" customHeight="1" ht="20.25">
      <c r="A438" s="680"/>
      <c r="B438" s="408"/>
      <c r="C438" s="75"/>
      <c r="D438" s="75">
        <f>D437+1</f>
        <v>9</v>
      </c>
      <c r="E438" s="807">
        <v>21</v>
      </c>
      <c r="F438" s="50" cm="1" t="str">
        <f t="array" ref="F438:F438">OFFSET(E438,-1,1)</f>
        <v>2</v>
      </c>
      <c r="G438" s="75"/>
      <c r="H438" s="73"/>
      <c r="I438" s="73" t="s">
        <v>722</v>
      </c>
      <c r="J438" s="75"/>
      <c r="K438" s="124" t="s">
        <v>722</v>
      </c>
      <c r="L438" s="968" t="s">
        <v>1720</v>
      </c>
      <c r="M438" s="75"/>
      <c r="N438" s="75"/>
      <c r="O438" s="75"/>
      <c r="P438" s="75"/>
      <c r="Q438" s="75"/>
      <c r="R438" s="75"/>
      <c r="S438" s="75"/>
      <c r="T438" s="439" cm="1" t="str">
        <f t="array" ref="T438:T438">T437</f>
        <v>true</v>
      </c>
      <c r="U438" s="75"/>
      <c r="V438" s="75"/>
      <c r="W438" s="75"/>
      <c r="X438" s="1534"/>
      <c r="Y438" s="680"/>
      <c r="Z438" s="1465"/>
      <c r="AA438" s="680"/>
      <c r="AB438" s="178" cm="1" t="str">
        <f t="array" ref="AB438:AB438">D438</f>
        <v>9</v>
      </c>
      <c r="AC438" s="179" t="s">
        <v>1722</v>
      </c>
      <c r="AD438" s="201" t="s">
        <v>784</v>
      </c>
      <c r="AE438" s="180">
        <f>AE316+AE366+AE402+AE403+AE405+AE410+AE411+AE414</f>
        <v>2057.9966830258</v>
      </c>
      <c r="AF438" s="180">
        <f>AF316+AF366+AF402+AF403+AF405+AF410+AF411+AF414</f>
        <v>14765.0083808841</v>
      </c>
      <c r="AG438" s="180">
        <f>AG316+AG366+AG402+AG403+AG405+AG410+AG411+AG414</f>
        <v>321.2051618494</v>
      </c>
      <c r="AH438" s="759">
        <f>AG438-AF438</f>
        <v>-14443.8032190347</v>
      </c>
      <c r="AI438" s="180">
        <f>AI316+AI366+AI402+AI403+AI405+AI410+AI411+AI414</f>
        <v>-151.6214024466</v>
      </c>
      <c r="AJ438" s="180">
        <f>AJ316+AJ366+AJ402+AJ403+AJ405+AJ410+AJ411+AJ414</f>
        <v>4793.1212169634</v>
      </c>
      <c r="AK438" s="180">
        <f>AK316+AK366+AK402+AK403+AK405+AK410+AK411+AK414</f>
        <v>0</v>
      </c>
      <c r="AL438" s="180">
        <f>AL316+AL366+AL402+AL403+AL405+AL410+AL411+AL414</f>
        <v>0</v>
      </c>
      <c r="AM438" s="180">
        <f>AM316+AM366+AM402+AM403+AM405+AM410+AM411+AM414</f>
        <v>0</v>
      </c>
      <c r="AN438" s="180">
        <f>AN316+AN366+AN402+AN403+AN405+AN410+AN411+AN414</f>
        <v>0</v>
      </c>
      <c r="AO438" s="180">
        <f>AO316+AO366+AO402+AO403+AO405+AO410+AO411+AO414</f>
        <v>0</v>
      </c>
      <c r="AP438" s="180">
        <f>AP316+AP366+AP402+AP403+AP405+AP410+AP411+AP414</f>
        <v>0</v>
      </c>
      <c r="AQ438" s="180">
        <f>AQ316+AQ366+AQ402+AQ403+AQ405+AQ410+AQ411+AQ414</f>
        <v>0</v>
      </c>
      <c r="AR438" s="180">
        <f>AR316+AR366+AR402+AR403+AR405+AR410+AR411+AR414</f>
        <v>0</v>
      </c>
      <c r="AS438" s="180">
        <f>AS316+AS366+AS402+AS403+AS405+AS410+AS411+AS414</f>
        <v>0</v>
      </c>
      <c r="AT438" s="180">
        <f>AT316+AT366+AT402+AT403+AT405+AT410+AT411+AT414</f>
        <v>622.3273765877</v>
      </c>
      <c r="AU438" s="180">
        <f>AU316+AU366+AU402+AU403+AU405+AU410+AU411+AU414</f>
        <v>0</v>
      </c>
      <c r="AV438" s="180">
        <f>AV316+AV366+AV402+AV403+AV405+AV410+AV411+AV414</f>
        <v>0</v>
      </c>
      <c r="AW438" s="180">
        <f>AW316+AW366+AW402+AW403+AW405+AW410+AW411+AW414</f>
        <v>0</v>
      </c>
      <c r="AX438" s="180">
        <f>AX316+AX366+AX402+AX403+AX405+AX410+AX411+AX414</f>
        <v>0</v>
      </c>
      <c r="AY438" s="180">
        <f>AY316+AY366+AY402+AY403+AY405+AY410+AY411+AY414</f>
        <v>0</v>
      </c>
      <c r="AZ438" s="180">
        <f>AZ316+AZ366+AZ402+AZ403+AZ405+AZ410+AZ411+AZ414</f>
        <v>0</v>
      </c>
      <c r="BA438" s="180">
        <f>BA316+BA366+BA402+BA403+BA405+BA410+BA411+BA414</f>
        <v>0</v>
      </c>
      <c r="BB438" s="180">
        <f>BB316+BB366+BB402+BB403+BB405+BB410+BB411+BB414</f>
        <v>0</v>
      </c>
      <c r="BC438" s="180">
        <f>BC316+BC366+BC402+BC403+BC405+BC410+BC411+BC414</f>
        <v>0</v>
      </c>
      <c r="BD438" s="759">
        <f>IF(AI438=0,0,(AT438-AI438)/AI438*100)</f>
        <v>-510.44823919689</v>
      </c>
      <c r="BE438" s="759">
        <f>IF(AT438=0,0,(AU438-AT438)/AT438*100)</f>
        <v>-100</v>
      </c>
      <c r="BF438" s="759">
        <f>IF(AU438=0,0,(AV438-AU438)/AU438*100)</f>
        <v>0</v>
      </c>
      <c r="BG438" s="759">
        <f>IF(AV438=0,0,(AW438-AV438)/AV438*100)</f>
        <v>0</v>
      </c>
      <c r="BH438" s="759">
        <f>IF(AW438=0,0,(AX438-AW438)/AW438*100)</f>
        <v>0</v>
      </c>
      <c r="BI438" s="759">
        <f>IF(AX438=0,0,(AY438-AX438)/AX438*100)</f>
        <v>0</v>
      </c>
      <c r="BJ438" s="759">
        <f>IF(AY438=0,0,(AZ438-AY438)/AY438*100)</f>
        <v>0</v>
      </c>
      <c r="BK438" s="759">
        <f>IF(AZ438=0,0,(BA438-AZ438)/AZ438*100)</f>
        <v>0</v>
      </c>
      <c r="BL438" s="759">
        <f>IF(BA438=0,0,(BB438-BA438)/BA438*100)</f>
        <v>0</v>
      </c>
      <c r="BM438" s="759">
        <f>IF(BB438=0,0,(BC438-BB438)/BB438*100)</f>
        <v>0</v>
      </c>
      <c r="BN438" s="4617"/>
      <c r="BO438" s="4617"/>
      <c r="BP438" s="4617"/>
      <c r="BQ438" s="680"/>
      <c r="BR438" s="680"/>
      <c r="BS438" s="1054" t="s">
        <v>1723</v>
      </c>
      <c r="BT438" s="1054"/>
      <c r="BU438" s="1054"/>
      <c r="BV438" s="687"/>
      <c r="BW438" s="687"/>
    </row>
    <row s="4733" customFormat="1" customHeight="1" ht="20.25">
      <c r="A439" s="680"/>
      <c r="B439" s="408"/>
      <c r="C439" s="75"/>
      <c r="D439" s="75">
        <f>D438+1</f>
        <v>10</v>
      </c>
      <c r="E439" s="807">
        <v>21</v>
      </c>
      <c r="F439" s="50" cm="1" t="str">
        <f t="array" ref="F439:F439">OFFSET(E439,-1,1)</f>
        <v>2</v>
      </c>
      <c r="G439" s="75"/>
      <c r="H439" s="73"/>
      <c r="I439" s="73" t="s">
        <v>1732</v>
      </c>
      <c r="J439" s="75"/>
      <c r="K439" s="124" t="s">
        <v>1732</v>
      </c>
      <c r="L439" s="968"/>
      <c r="M439" s="75"/>
      <c r="N439" s="75"/>
      <c r="O439" s="75"/>
      <c r="P439" s="75"/>
      <c r="Q439" s="75"/>
      <c r="R439" s="75"/>
      <c r="S439" s="75"/>
      <c r="T439" s="439" cm="1" t="str">
        <f t="array" ref="T439:T439">T438</f>
        <v>true</v>
      </c>
      <c r="U439" s="75"/>
      <c r="V439" s="75"/>
      <c r="W439" s="75"/>
      <c r="X439" s="1534"/>
      <c r="Y439" s="680"/>
      <c r="Z439" s="1465"/>
      <c r="AA439" s="680"/>
      <c r="AB439" s="178" cm="1" t="str">
        <f t="array" ref="AB439:AB439">D439</f>
        <v>10</v>
      </c>
      <c r="AC439" s="179" t="s">
        <v>2057</v>
      </c>
      <c r="AD439" s="178" t="s">
        <v>784</v>
      </c>
      <c r="AE439" s="180">
        <f>AE438+AE423+AE436</f>
        <v>657.4266830258</v>
      </c>
      <c r="AF439" s="180">
        <f>AF438+AF423+AF436</f>
        <v>14765.0083808841</v>
      </c>
      <c r="AG439" s="180">
        <f>AG438+AG423+AG436</f>
        <v>321.2051618494</v>
      </c>
      <c r="AH439" s="180">
        <f>AH438+AH423+AH436</f>
        <v>-14443.8032190347</v>
      </c>
      <c r="AI439" s="180">
        <f>AI438+AI423+AI436</f>
        <v>-426.0314024466</v>
      </c>
      <c r="AJ439" s="180">
        <f>AJ438+AJ423+AJ436</f>
        <v>4793.1212169634</v>
      </c>
      <c r="AK439" s="180">
        <f>AK438+AK423+AK436</f>
        <v>0</v>
      </c>
      <c r="AL439" s="180">
        <f>AL438+AL423+AL436</f>
        <v>0</v>
      </c>
      <c r="AM439" s="180">
        <f>AM438+AM423+AM436</f>
        <v>0</v>
      </c>
      <c r="AN439" s="180">
        <f>AN438+AN423+AN436</f>
        <v>0</v>
      </c>
      <c r="AO439" s="180">
        <f>AO438+AO423+AO436</f>
        <v>0</v>
      </c>
      <c r="AP439" s="180">
        <f>AP438+AP423+AP436</f>
        <v>0</v>
      </c>
      <c r="AQ439" s="180">
        <f>AQ438+AQ423+AQ436</f>
        <v>0</v>
      </c>
      <c r="AR439" s="180">
        <f>AR438+AR423+AR436</f>
        <v>0</v>
      </c>
      <c r="AS439" s="180">
        <f>AS438+AS423+AS436</f>
        <v>0</v>
      </c>
      <c r="AT439" s="180">
        <f>AT438+AT423+AT436</f>
        <v>42.7146612307</v>
      </c>
      <c r="AU439" s="180">
        <f>AU438+AU423+AU436</f>
        <v>0</v>
      </c>
      <c r="AV439" s="180">
        <f>AV438+AV423+AV436</f>
        <v>0</v>
      </c>
      <c r="AW439" s="180">
        <f>AW438+AW423+AW436</f>
        <v>0</v>
      </c>
      <c r="AX439" s="180">
        <f>AX438+AX423+AX436</f>
        <v>0</v>
      </c>
      <c r="AY439" s="180">
        <f>AY438+AY423+AY436</f>
        <v>0</v>
      </c>
      <c r="AZ439" s="180">
        <f>AZ438+AZ423+AZ436</f>
        <v>0</v>
      </c>
      <c r="BA439" s="180">
        <f>BA438+BA423+BA436</f>
        <v>0</v>
      </c>
      <c r="BB439" s="180">
        <f>BB438+BB423+BB436</f>
        <v>0</v>
      </c>
      <c r="BC439" s="180">
        <f>BC438+BC423+BC436</f>
        <v>0</v>
      </c>
      <c r="BD439" s="759">
        <f>IF(AI439=0,0,(AT439-AI439)/AI439*100)</f>
        <v>-110.026176705614</v>
      </c>
      <c r="BE439" s="759">
        <f>IF(AT439=0,0,(AU439-AT439)/AT439*100)</f>
        <v>-100</v>
      </c>
      <c r="BF439" s="759">
        <f>IF(AU439=0,0,(AV439-AU439)/AU439*100)</f>
        <v>0</v>
      </c>
      <c r="BG439" s="759">
        <f>IF(AV439=0,0,(AW439-AV439)/AV439*100)</f>
        <v>0</v>
      </c>
      <c r="BH439" s="759">
        <f>IF(AW439=0,0,(AX439-AW439)/AW439*100)</f>
        <v>0</v>
      </c>
      <c r="BI439" s="759">
        <f>IF(AX439=0,0,(AY439-AX439)/AX439*100)</f>
        <v>0</v>
      </c>
      <c r="BJ439" s="759">
        <f>IF(AY439=0,0,(AZ439-AY439)/AY439*100)</f>
        <v>0</v>
      </c>
      <c r="BK439" s="759">
        <f>IF(AZ439=0,0,(BA439-AZ439)/AZ439*100)</f>
        <v>0</v>
      </c>
      <c r="BL439" s="759">
        <f>IF(BA439=0,0,(BB439-BA439)/BA439*100)</f>
        <v>0</v>
      </c>
      <c r="BM439" s="759">
        <f>IF(BB439=0,0,(BC439-BB439)/BB439*100)</f>
        <v>0</v>
      </c>
      <c r="BN439" s="4617"/>
      <c r="BO439" s="4617"/>
      <c r="BP439" s="4617"/>
      <c r="BQ439" s="680"/>
      <c r="BR439" s="680"/>
      <c r="BS439" s="1054" t="s">
        <v>2058</v>
      </c>
      <c r="BT439" s="1054"/>
      <c r="BU439" s="1054"/>
      <c r="BV439" s="687"/>
      <c r="BW439" s="687"/>
    </row>
    <row s="1621" customFormat="1" customHeight="1" ht="14.25" hidden="1">
      <c r="A440" s="960"/>
      <c r="B440" s="418">
        <f>A315="двухставочный"</f>
        <v>0</v>
      </c>
      <c r="C440" s="73"/>
      <c r="D440" s="73" cm="1" t="str">
        <f t="array" ref="D440:D440">D439</f>
        <v>10</v>
      </c>
      <c r="E440" s="600">
        <v>15</v>
      </c>
      <c r="F440" s="50" cm="1" t="str">
        <f t="array" ref="F440:F440">OFFSET(E440,-1,1)</f>
        <v>2</v>
      </c>
      <c r="G440" s="73"/>
      <c r="H440" s="830"/>
      <c r="I440" s="830" t="s">
        <v>1736</v>
      </c>
      <c r="J440" s="73"/>
      <c r="K440" s="346" t="s">
        <v>1736</v>
      </c>
      <c r="L440" s="963" t="s">
        <v>1724</v>
      </c>
      <c r="M440" s="73"/>
      <c r="N440" s="73"/>
      <c r="O440" s="73"/>
      <c r="P440" s="73"/>
      <c r="Q440" s="73"/>
      <c r="R440" s="73"/>
      <c r="S440" s="73"/>
      <c r="T440" s="439" cm="1" t="str">
        <f t="array" ref="T440:T440">T439</f>
        <v>true</v>
      </c>
      <c r="U440" s="73"/>
      <c r="V440" s="73"/>
      <c r="W440" s="73"/>
      <c r="X440" s="1534"/>
      <c r="Y440" s="960"/>
      <c r="Z440" s="1465"/>
      <c r="AA440" s="960"/>
      <c r="AB440" s="267" t="str">
        <f>D440&amp;".1"</f>
        <v>10.1</v>
      </c>
      <c r="AC440" s="1097" t="s">
        <v>1726</v>
      </c>
      <c r="AD440" s="267" t="s">
        <v>784</v>
      </c>
      <c r="AE440" s="1268"/>
      <c r="AF440" s="1268"/>
      <c r="AG440" s="1268"/>
      <c r="AH440" s="1099">
        <f>AG440-AF440</f>
        <v>0</v>
      </c>
      <c r="AI440" s="1268"/>
      <c r="AJ440" s="4561"/>
      <c r="AK440" s="1268"/>
      <c r="AL440" s="1268"/>
      <c r="AM440" s="1268"/>
      <c r="AN440" s="1268"/>
      <c r="AO440" s="1268"/>
      <c r="AP440" s="1268"/>
      <c r="AQ440" s="1268"/>
      <c r="AR440" s="1268"/>
      <c r="AS440" s="1268"/>
      <c r="AT440" s="4561"/>
      <c r="AU440" s="1268"/>
      <c r="AV440" s="1268"/>
      <c r="AW440" s="1268"/>
      <c r="AX440" s="1268"/>
      <c r="AY440" s="1268"/>
      <c r="AZ440" s="1268"/>
      <c r="BA440" s="1268"/>
      <c r="BB440" s="1268"/>
      <c r="BC440" s="1268"/>
      <c r="BD440" s="1100"/>
      <c r="BE440" s="1100"/>
      <c r="BF440" s="1100"/>
      <c r="BG440" s="1100"/>
      <c r="BH440" s="1100"/>
      <c r="BI440" s="1100"/>
      <c r="BJ440" s="1100"/>
      <c r="BK440" s="1100"/>
      <c r="BL440" s="1100"/>
      <c r="BM440" s="1100"/>
      <c r="BN440" s="1265"/>
      <c r="BO440" s="1265"/>
      <c r="BP440" s="1265"/>
      <c r="BQ440" s="960"/>
      <c r="BR440" s="960"/>
      <c r="BS440" s="1046" t="s">
        <v>1727</v>
      </c>
      <c r="BT440" s="1048"/>
      <c r="BU440" s="1048"/>
      <c r="BV440" s="962"/>
      <c r="BW440" s="962"/>
    </row>
    <row s="1621" customFormat="1" customHeight="1" ht="14.25" hidden="1">
      <c r="A441" s="960"/>
      <c r="B441" s="418">
        <f>A315="двухставочный"</f>
        <v>0</v>
      </c>
      <c r="C441" s="73"/>
      <c r="D441" s="73" cm="1" t="str">
        <f t="array" ref="D441:D441">D440</f>
        <v>10</v>
      </c>
      <c r="E441" s="600">
        <v>15</v>
      </c>
      <c r="F441" s="50" cm="1" t="str">
        <f t="array" ref="F441:F441">OFFSET(E441,-1,1)</f>
        <v>2</v>
      </c>
      <c r="G441" s="73"/>
      <c r="H441" s="830"/>
      <c r="I441" s="830" t="s">
        <v>1740</v>
      </c>
      <c r="J441" s="73"/>
      <c r="K441" s="346" t="s">
        <v>1740</v>
      </c>
      <c r="L441" s="963" t="s">
        <v>1728</v>
      </c>
      <c r="M441" s="73"/>
      <c r="N441" s="73"/>
      <c r="O441" s="73"/>
      <c r="P441" s="73"/>
      <c r="Q441" s="73"/>
      <c r="R441" s="73"/>
      <c r="S441" s="73"/>
      <c r="T441" s="439" cm="1" t="str">
        <f t="array" ref="T441:T441">T440</f>
        <v>true</v>
      </c>
      <c r="U441" s="73"/>
      <c r="V441" s="73"/>
      <c r="W441" s="73"/>
      <c r="X441" s="1534"/>
      <c r="Y441" s="960"/>
      <c r="Z441" s="1465"/>
      <c r="AA441" s="960"/>
      <c r="AB441" s="267" t="str">
        <f>D441&amp;".2"</f>
        <v>10.2</v>
      </c>
      <c r="AC441" s="1097" t="s">
        <v>1730</v>
      </c>
      <c r="AD441" s="267" t="s">
        <v>784</v>
      </c>
      <c r="AE441" s="1268"/>
      <c r="AF441" s="1268"/>
      <c r="AG441" s="1268"/>
      <c r="AH441" s="1099">
        <f>AG441-AF441</f>
        <v>0</v>
      </c>
      <c r="AI441" s="1268"/>
      <c r="AJ441" s="4561"/>
      <c r="AK441" s="1268"/>
      <c r="AL441" s="1268"/>
      <c r="AM441" s="1268"/>
      <c r="AN441" s="1268"/>
      <c r="AO441" s="1268"/>
      <c r="AP441" s="1268"/>
      <c r="AQ441" s="1268"/>
      <c r="AR441" s="1268"/>
      <c r="AS441" s="1268"/>
      <c r="AT441" s="4561"/>
      <c r="AU441" s="1268"/>
      <c r="AV441" s="1268"/>
      <c r="AW441" s="1268"/>
      <c r="AX441" s="1268"/>
      <c r="AY441" s="1268"/>
      <c r="AZ441" s="1268"/>
      <c r="BA441" s="1268"/>
      <c r="BB441" s="1268"/>
      <c r="BC441" s="1268"/>
      <c r="BD441" s="1100"/>
      <c r="BE441" s="1100"/>
      <c r="BF441" s="1100"/>
      <c r="BG441" s="1100"/>
      <c r="BH441" s="1100"/>
      <c r="BI441" s="1100"/>
      <c r="BJ441" s="1100"/>
      <c r="BK441" s="1100"/>
      <c r="BL441" s="1100"/>
      <c r="BM441" s="1100"/>
      <c r="BN441" s="1265"/>
      <c r="BO441" s="1265"/>
      <c r="BP441" s="1265"/>
      <c r="BQ441" s="960"/>
      <c r="BR441" s="960"/>
      <c r="BS441" s="1046" t="s">
        <v>1731</v>
      </c>
      <c r="BT441" s="1048"/>
      <c r="BU441" s="1048"/>
      <c r="BV441" s="962"/>
      <c r="BW441" s="962"/>
    </row>
    <row s="4734" customFormat="1" customHeight="1" ht="20.25">
      <c r="A442" s="680"/>
      <c r="B442" s="408"/>
      <c r="C442" s="75"/>
      <c r="D442" s="75">
        <f>D441+1</f>
        <v>11</v>
      </c>
      <c r="E442" s="807">
        <v>21</v>
      </c>
      <c r="F442" s="50" cm="1" t="str">
        <f t="array" ref="F442:F442">OFFSET(E442,-1,1)</f>
        <v>2</v>
      </c>
      <c r="G442" s="73" t="s">
        <v>1503</v>
      </c>
      <c r="H442" s="73"/>
      <c r="I442" s="73" t="s">
        <v>1760</v>
      </c>
      <c r="J442" s="75"/>
      <c r="K442" s="124" t="s">
        <v>1760</v>
      </c>
      <c r="L442" s="968" t="s">
        <v>1732</v>
      </c>
      <c r="M442" s="75"/>
      <c r="N442" s="75"/>
      <c r="O442" s="75"/>
      <c r="P442" s="75"/>
      <c r="Q442" s="75"/>
      <c r="R442" s="75"/>
      <c r="S442" s="75"/>
      <c r="T442" s="439" cm="1" t="str">
        <f t="array" ref="T442:T442">T441</f>
        <v>true</v>
      </c>
      <c r="U442" s="75"/>
      <c r="V442" s="75"/>
      <c r="W442" s="75"/>
      <c r="X442" s="1534"/>
      <c r="Y442" s="680"/>
      <c r="Z442" s="1465"/>
      <c r="AA442" s="680"/>
      <c r="AB442" s="178" cm="1" t="str">
        <f t="array" ref="AB442:AB442">D442</f>
        <v>11</v>
      </c>
      <c r="AC442" s="179" t="s">
        <v>1734</v>
      </c>
      <c r="AD442" s="178" t="s">
        <v>512</v>
      </c>
      <c r="AE442" s="766">
        <f>_xlfn.SUMIFS(Баланс!AE$26:AE$300,Баланс!$F$26:$F$300,$F442,Баланс!$G$26:$G$300,"ПО")</f>
        <v>146.7799942943</v>
      </c>
      <c r="AF442" s="766">
        <f>_xlfn.SUMIFS(Баланс!AF$26:AF$300,Баланс!$F$26:$F$300,$F442,Баланс!$G$26:$G$300,"ПО")</f>
        <v>82.65</v>
      </c>
      <c r="AG442" s="766">
        <f>_xlfn.SUMIFS(Баланс!AG$26:AG$300,Баланс!$F$26:$F$300,$F442,Баланс!$G$26:$G$300,"ПО")</f>
        <v>146.7799942943</v>
      </c>
      <c r="AH442" s="766">
        <f>AG442-AF442</f>
        <v>64.1299942943</v>
      </c>
      <c r="AI442" s="766">
        <f>_xlfn.SUMIFS(Баланс!AH$26:AH$300,Баланс!$F$26:$F$300,$F442,Баланс!$G$26:$G$300,"ПО")</f>
        <v>139.12</v>
      </c>
      <c r="AJ442" s="766">
        <f>_xlfn.SUMIFS(Баланс!AI$26:AI$300,Баланс!$F$26:$F$300,$F442,Баланс!$G$26:$G$300,"ПО")</f>
        <v>136.4819</v>
      </c>
      <c r="AK442" s="766">
        <f>_xlfn.SUMIFS(Баланс!AJ$26:AJ$300,Баланс!$F$26:$F$300,$F442,Баланс!$G$26:$G$300,"ПО")</f>
        <v>0</v>
      </c>
      <c r="AL442" s="766">
        <f>_xlfn.SUMIFS(Баланс!AK$26:AK$300,Баланс!$F$26:$F$300,$F442,Баланс!$G$26:$G$300,"ПО")</f>
        <v>0</v>
      </c>
      <c r="AM442" s="766">
        <f>_xlfn.SUMIFS(Баланс!AL$26:AL$300,Баланс!$F$26:$F$300,$F442,Баланс!$G$26:$G$300,"ПО")</f>
        <v>0</v>
      </c>
      <c r="AN442" s="766">
        <f>_xlfn.SUMIFS(Баланс!AM$26:AM$300,Баланс!$F$26:$F$300,$F442,Баланс!$G$26:$G$300,"ПО")</f>
        <v>0</v>
      </c>
      <c r="AO442" s="766">
        <f>_xlfn.SUMIFS(Баланс!AN$26:AN$300,Баланс!$F$26:$F$300,$F442,Баланс!$G$26:$G$300,"ПО")</f>
        <v>0</v>
      </c>
      <c r="AP442" s="766">
        <f>_xlfn.SUMIFS(Баланс!AO$26:AO$300,Баланс!$F$26:$F$300,$F442,Баланс!$G$26:$G$300,"ПО")</f>
        <v>0</v>
      </c>
      <c r="AQ442" s="766">
        <f>_xlfn.SUMIFS(Баланс!AP$26:AP$300,Баланс!$F$26:$F$300,$F442,Баланс!$G$26:$G$300,"ПО")</f>
        <v>0</v>
      </c>
      <c r="AR442" s="766">
        <f>_xlfn.SUMIFS(Баланс!AQ$26:AQ$300,Баланс!$F$26:$F$300,$F442,Баланс!$G$26:$G$300,"ПО")</f>
        <v>0</v>
      </c>
      <c r="AS442" s="766">
        <f>_xlfn.SUMIFS(Баланс!AR$26:AR$300,Баланс!$F$26:$F$300,$F442,Баланс!$G$26:$G$300,"ПО")</f>
        <v>0</v>
      </c>
      <c r="AT442" s="766">
        <f>_xlfn.SUMIFS(Баланс!AS$26:AS$300,Баланс!$F$26:$F$300,$F442,Баланс!$G$26:$G$300,"ПО")</f>
        <v>136.4819</v>
      </c>
      <c r="AU442" s="766">
        <f>_xlfn.SUMIFS(Баланс!AT$26:AT$300,Баланс!$F$26:$F$300,$F442,Баланс!$G$26:$G$300,"ПО")</f>
        <v>0</v>
      </c>
      <c r="AV442" s="766">
        <f>_xlfn.SUMIFS(Баланс!AU$26:AU$300,Баланс!$F$26:$F$300,$F442,Баланс!$G$26:$G$300,"ПО")</f>
        <v>0</v>
      </c>
      <c r="AW442" s="766">
        <f>_xlfn.SUMIFS(Баланс!AV$26:AV$300,Баланс!$F$26:$F$300,$F442,Баланс!$G$26:$G$300,"ПО")</f>
        <v>0</v>
      </c>
      <c r="AX442" s="766">
        <f>_xlfn.SUMIFS(Баланс!AW$26:AW$300,Баланс!$F$26:$F$300,$F442,Баланс!$G$26:$G$300,"ПО")</f>
        <v>0</v>
      </c>
      <c r="AY442" s="766">
        <f>_xlfn.SUMIFS(Баланс!AX$26:AX$300,Баланс!$F$26:$F$300,$F442,Баланс!$G$26:$G$300,"ПО")</f>
        <v>0</v>
      </c>
      <c r="AZ442" s="766">
        <f>_xlfn.SUMIFS(Баланс!AY$26:AY$300,Баланс!$F$26:$F$300,$F442,Баланс!$G$26:$G$300,"ПО")</f>
        <v>0</v>
      </c>
      <c r="BA442" s="766">
        <f>_xlfn.SUMIFS(Баланс!AZ$26:AZ$300,Баланс!$F$26:$F$300,$F442,Баланс!$G$26:$G$300,"ПО")</f>
        <v>0</v>
      </c>
      <c r="BB442" s="766">
        <f>_xlfn.SUMIFS(Баланс!BA$26:BA$300,Баланс!$F$26:$F$300,$F442,Баланс!$G$26:$G$300,"ПО")</f>
        <v>0</v>
      </c>
      <c r="BC442" s="766">
        <f>_xlfn.SUMIFS(Баланс!BB$26:BB$300,Баланс!$F$26:$F$300,$F442,Баланс!$G$26:$G$300,"ПО")</f>
        <v>0</v>
      </c>
      <c r="BD442" s="183"/>
      <c r="BE442" s="183"/>
      <c r="BF442" s="183"/>
      <c r="BG442" s="183"/>
      <c r="BH442" s="183"/>
      <c r="BI442" s="183"/>
      <c r="BJ442" s="183"/>
      <c r="BK442" s="183"/>
      <c r="BL442" s="183"/>
      <c r="BM442" s="183"/>
      <c r="BN442" s="4617"/>
      <c r="BO442" s="4617"/>
      <c r="BP442" s="4617"/>
      <c r="BQ442" s="680"/>
      <c r="BR442" s="680"/>
      <c r="BS442" s="1047" t="s">
        <v>1735</v>
      </c>
      <c r="BT442" s="1054"/>
      <c r="BU442" s="1054"/>
      <c r="BV442" s="687"/>
      <c r="BW442" s="687"/>
    </row>
    <row s="1621" customFormat="1" customHeight="1" ht="14.625">
      <c r="A443" s="960"/>
      <c r="B443" s="961"/>
      <c r="C443" s="73"/>
      <c r="D443" s="73" cm="1" t="str">
        <f t="array" ref="D443:D443">D442</f>
        <v>11</v>
      </c>
      <c r="E443" s="600">
        <v>15</v>
      </c>
      <c r="F443" s="50" cm="1" t="str">
        <f t="array" ref="F443:F443">OFFSET(E443,-1,1)</f>
        <v>2</v>
      </c>
      <c r="G443" s="73" t="s">
        <v>1530</v>
      </c>
      <c r="H443" s="73"/>
      <c r="I443" s="73" t="s">
        <v>2059</v>
      </c>
      <c r="J443" s="73"/>
      <c r="K443" s="124" t="s">
        <v>2059</v>
      </c>
      <c r="L443" s="963" t="s">
        <v>1736</v>
      </c>
      <c r="M443" s="73"/>
      <c r="N443" s="73"/>
      <c r="O443" s="73"/>
      <c r="P443" s="73"/>
      <c r="Q443" s="73"/>
      <c r="R443" s="73"/>
      <c r="S443" s="73"/>
      <c r="T443" s="439" cm="1" t="str">
        <f t="array" ref="T443:T443">T442</f>
        <v>true</v>
      </c>
      <c r="U443" s="73"/>
      <c r="V443" s="73"/>
      <c r="W443" s="73"/>
      <c r="X443" s="1534"/>
      <c r="Y443" s="960"/>
      <c r="Z443" s="1465"/>
      <c r="AA443" s="960"/>
      <c r="AB443" s="267" t="str">
        <f>D443&amp;".1"</f>
        <v>11.1</v>
      </c>
      <c r="AC443" s="1096" t="s">
        <v>1738</v>
      </c>
      <c r="AD443" s="267" t="s">
        <v>512</v>
      </c>
      <c r="AE443" s="4548">
        <v>73.3899971472</v>
      </c>
      <c r="AF443" s="4548">
        <v>41.325</v>
      </c>
      <c r="AG443" s="4548">
        <v>73.3899971472</v>
      </c>
      <c r="AH443" s="1098">
        <f>AG443-AF443</f>
        <v>32.0649971472</v>
      </c>
      <c r="AI443" s="4548">
        <v>69.56</v>
      </c>
      <c r="AJ443" s="4548">
        <v>68.24095</v>
      </c>
      <c r="AK443" s="1266">
        <f>IF(god=2025,AK442/12*9,AK442/2)</f>
        <v>0</v>
      </c>
      <c r="AL443" s="1266">
        <f>AL442/2</f>
        <v>0</v>
      </c>
      <c r="AM443" s="4548">
        <f>AM442/2</f>
        <v>0</v>
      </c>
      <c r="AN443" s="4548">
        <f>AN442/2</f>
        <v>0</v>
      </c>
      <c r="AO443" s="4548">
        <f>AO442/2</f>
        <v>0</v>
      </c>
      <c r="AP443" s="4548">
        <f>AP442/2</f>
        <v>0</v>
      </c>
      <c r="AQ443" s="4548">
        <f>AQ442/2</f>
        <v>0</v>
      </c>
      <c r="AR443" s="4548">
        <f>AR442/2</f>
        <v>0</v>
      </c>
      <c r="AS443" s="4548">
        <f>AS442/2</f>
        <v>0</v>
      </c>
      <c r="AT443" s="4548">
        <v>68.24095</v>
      </c>
      <c r="AU443" s="1266">
        <f>AU442/2</f>
        <v>0</v>
      </c>
      <c r="AV443" s="1266">
        <f>AV442/2</f>
        <v>0</v>
      </c>
      <c r="AW443" s="4548">
        <f>AW442/2</f>
        <v>0</v>
      </c>
      <c r="AX443" s="4548">
        <f>AX442/2</f>
        <v>0</v>
      </c>
      <c r="AY443" s="4548">
        <f>AY442/2</f>
        <v>0</v>
      </c>
      <c r="AZ443" s="4548">
        <f>AZ442/2</f>
        <v>0</v>
      </c>
      <c r="BA443" s="4548">
        <f>BA442/2</f>
        <v>0</v>
      </c>
      <c r="BB443" s="4548">
        <f>BB442/2</f>
        <v>0</v>
      </c>
      <c r="BC443" s="4548">
        <f>BC442/2</f>
        <v>0</v>
      </c>
      <c r="BD443" s="1100"/>
      <c r="BE443" s="1100"/>
      <c r="BF443" s="1100"/>
      <c r="BG443" s="1100"/>
      <c r="BH443" s="1100"/>
      <c r="BI443" s="1100"/>
      <c r="BJ443" s="1100"/>
      <c r="BK443" s="1100"/>
      <c r="BL443" s="1100"/>
      <c r="BM443" s="1100"/>
      <c r="BN443" s="4617"/>
      <c r="BO443" s="4617"/>
      <c r="BP443" s="4617"/>
      <c r="BQ443" s="960"/>
      <c r="BR443" s="960"/>
      <c r="BS443" s="1046" t="s">
        <v>1739</v>
      </c>
      <c r="BT443" s="1048"/>
      <c r="BU443" s="1048"/>
      <c r="BV443" s="962"/>
      <c r="BW443" s="962"/>
    </row>
    <row s="1621" customFormat="1" customHeight="1" ht="117.75">
      <c r="A444" s="960"/>
      <c r="B444" s="961"/>
      <c r="C444" s="73"/>
      <c r="D444" s="73" cm="1" t="str">
        <f t="array" ref="D444:D444">D443</f>
        <v>11</v>
      </c>
      <c r="E444" s="600">
        <v>15</v>
      </c>
      <c r="F444" s="50" cm="1" t="str">
        <f t="array" ref="F444:F444">OFFSET(E444,-1,1)</f>
        <v>2</v>
      </c>
      <c r="G444" s="73" t="s">
        <v>1491</v>
      </c>
      <c r="H444" s="73"/>
      <c r="I444" s="73" t="s">
        <v>2060</v>
      </c>
      <c r="J444" s="73"/>
      <c r="K444" s="124" t="s">
        <v>2060</v>
      </c>
      <c r="L444" s="963" t="s">
        <v>1740</v>
      </c>
      <c r="M444" s="73"/>
      <c r="N444" s="73"/>
      <c r="O444" s="73"/>
      <c r="P444" s="73"/>
      <c r="Q444" s="73"/>
      <c r="R444" s="73"/>
      <c r="S444" s="73"/>
      <c r="T444" s="439" cm="1" t="str">
        <f t="array" ref="T444:T444">T443</f>
        <v>true</v>
      </c>
      <c r="U444" s="73"/>
      <c r="V444" s="73"/>
      <c r="W444" s="73"/>
      <c r="X444" s="1534"/>
      <c r="Y444" s="960"/>
      <c r="Z444" s="1465"/>
      <c r="AA444" s="960"/>
      <c r="AB444" s="267" t="str">
        <f>D444&amp;".2"</f>
        <v>11.2</v>
      </c>
      <c r="AC444" s="1096" t="s">
        <v>1742</v>
      </c>
      <c r="AD444" s="267" t="s">
        <v>1494</v>
      </c>
      <c r="AE444" s="4561">
        <v>23.44</v>
      </c>
      <c r="AF444" s="4561">
        <v>314.24</v>
      </c>
      <c r="AG444" s="4561"/>
      <c r="AH444" s="1099">
        <f>AG444-AF444</f>
        <v>-314.24</v>
      </c>
      <c r="AI444" s="4561">
        <v>26.96</v>
      </c>
      <c r="AJ444" s="4561">
        <v>71.32</v>
      </c>
      <c r="AK444" s="1268"/>
      <c r="AL444" s="1268"/>
      <c r="AM444" s="4561"/>
      <c r="AN444" s="4561"/>
      <c r="AO444" s="4561"/>
      <c r="AP444" s="4561"/>
      <c r="AQ444" s="4561"/>
      <c r="AR444" s="4561"/>
      <c r="AS444" s="4561"/>
      <c r="AT444" s="4561">
        <v>34.89</v>
      </c>
      <c r="AU444" s="1268" cm="1" t="str">
        <f t="array" ref="AU444:AU444">AT446</f>
        <v>38.3799365587</v>
      </c>
      <c r="AV444" s="1268" cm="1" t="str">
        <f t="array" ref="AV444:AV444">AU446</f>
        <v>0</v>
      </c>
      <c r="AW444" s="4561" cm="1" t="str">
        <f t="array" ref="AW444:AW444">AV446</f>
        <v>0</v>
      </c>
      <c r="AX444" s="4561" cm="1" t="str">
        <f t="array" ref="AX444:AX444">AW446</f>
        <v>0</v>
      </c>
      <c r="AY444" s="4561" cm="1" t="str">
        <f t="array" ref="AY444:AY444">AX446</f>
        <v>0</v>
      </c>
      <c r="AZ444" s="4561" cm="1" t="str">
        <f t="array" ref="AZ444:AZ444">AY446</f>
        <v>0</v>
      </c>
      <c r="BA444" s="4561" cm="1" t="str">
        <f t="array" ref="BA444:BA444">AZ446</f>
        <v>0</v>
      </c>
      <c r="BB444" s="4561" cm="1" t="str">
        <f t="array" ref="BB444:BB444">BA446</f>
        <v>0</v>
      </c>
      <c r="BC444" s="4561" cm="1" t="str">
        <f t="array" ref="BC444:BC444">BB446</f>
        <v>0</v>
      </c>
      <c r="BD444" s="1100"/>
      <c r="BE444" s="1100"/>
      <c r="BF444" s="1100"/>
      <c r="BG444" s="1100"/>
      <c r="BH444" s="1100"/>
      <c r="BI444" s="1100"/>
      <c r="BJ444" s="1100"/>
      <c r="BK444" s="1100"/>
      <c r="BL444" s="1100"/>
      <c r="BM444" s="1100"/>
      <c r="BN444" s="4617"/>
      <c r="BO444" s="4617" t="s">
        <v>2091</v>
      </c>
      <c r="BP444" s="4617"/>
      <c r="BQ444" s="960"/>
      <c r="BR444" s="960"/>
      <c r="BS444" s="1046" t="s">
        <v>1743</v>
      </c>
      <c r="BT444" s="1048"/>
      <c r="BU444" s="1048"/>
      <c r="BV444" s="962"/>
      <c r="BW444" s="962"/>
    </row>
    <row s="1621" customFormat="1" customHeight="1" ht="14.25">
      <c r="A445" s="960"/>
      <c r="B445" s="961"/>
      <c r="C445" s="73"/>
      <c r="D445" s="73" cm="1" t="str">
        <f t="array" ref="D445:D445">D444</f>
        <v>11</v>
      </c>
      <c r="E445" s="600">
        <v>15</v>
      </c>
      <c r="F445" s="50" cm="1" t="str">
        <f t="array" ref="F445:F445">OFFSET(E445,-1,1)</f>
        <v>2</v>
      </c>
      <c r="G445" s="73" t="s">
        <v>1543</v>
      </c>
      <c r="H445" s="73"/>
      <c r="I445" s="73" t="s">
        <v>2061</v>
      </c>
      <c r="J445" s="73"/>
      <c r="K445" s="124" t="s">
        <v>2061</v>
      </c>
      <c r="L445" s="963" t="s">
        <v>1744</v>
      </c>
      <c r="M445" s="73"/>
      <c r="N445" s="73"/>
      <c r="O445" s="73"/>
      <c r="P445" s="73"/>
      <c r="Q445" s="73"/>
      <c r="R445" s="73"/>
      <c r="S445" s="73"/>
      <c r="T445" s="439" cm="1" t="str">
        <f t="array" ref="T445:T445">T444</f>
        <v>true</v>
      </c>
      <c r="U445" s="73"/>
      <c r="V445" s="73"/>
      <c r="W445" s="73"/>
      <c r="X445" s="1534"/>
      <c r="Y445" s="960"/>
      <c r="Z445" s="1465"/>
      <c r="AA445" s="960"/>
      <c r="AB445" s="267" t="str">
        <f>D445&amp;".3"</f>
        <v>11.3</v>
      </c>
      <c r="AC445" s="1096" t="s">
        <v>2062</v>
      </c>
      <c r="AD445" s="267" t="s">
        <v>512</v>
      </c>
      <c r="AE445" s="1098">
        <f>AE442-AE443</f>
        <v>73.3899971471</v>
      </c>
      <c r="AF445" s="1098">
        <f>AF442-AF443</f>
        <v>41.325</v>
      </c>
      <c r="AG445" s="1098">
        <f>AG442-AG443</f>
        <v>73.3899971471</v>
      </c>
      <c r="AH445" s="1098">
        <f>AG445-AF445</f>
        <v>32.0649971471</v>
      </c>
      <c r="AI445" s="1098">
        <f>AI442-AI443</f>
        <v>69.56</v>
      </c>
      <c r="AJ445" s="1098">
        <f>AJ442-AJ443</f>
        <v>68.24095</v>
      </c>
      <c r="AK445" s="1098">
        <f>AK442-AK443</f>
        <v>0</v>
      </c>
      <c r="AL445" s="1098">
        <f>AL442-AL443</f>
        <v>0</v>
      </c>
      <c r="AM445" s="1098">
        <f>AM442-AM443</f>
        <v>0</v>
      </c>
      <c r="AN445" s="1098">
        <f>AN442-AN443</f>
        <v>0</v>
      </c>
      <c r="AO445" s="1098">
        <f>AO442-AO443</f>
        <v>0</v>
      </c>
      <c r="AP445" s="1098">
        <f>AP442-AP443</f>
        <v>0</v>
      </c>
      <c r="AQ445" s="1098">
        <f>AQ442-AQ443</f>
        <v>0</v>
      </c>
      <c r="AR445" s="1098">
        <f>AR442-AR443</f>
        <v>0</v>
      </c>
      <c r="AS445" s="1098">
        <f>AS442-AS443</f>
        <v>0</v>
      </c>
      <c r="AT445" s="1098">
        <f>AT442-AT443</f>
        <v>68.24095</v>
      </c>
      <c r="AU445" s="1098">
        <f>AU442-AU443</f>
        <v>0</v>
      </c>
      <c r="AV445" s="1098">
        <f>AV442-AV443</f>
        <v>0</v>
      </c>
      <c r="AW445" s="1098">
        <f>AW442-AW443</f>
        <v>0</v>
      </c>
      <c r="AX445" s="1098">
        <f>AX442-AX443</f>
        <v>0</v>
      </c>
      <c r="AY445" s="1098">
        <f>AY442-AY443</f>
        <v>0</v>
      </c>
      <c r="AZ445" s="1098">
        <f>AZ442-AZ443</f>
        <v>0</v>
      </c>
      <c r="BA445" s="1098">
        <f>BA442-BA443</f>
        <v>0</v>
      </c>
      <c r="BB445" s="1098">
        <f>BB442-BB443</f>
        <v>0</v>
      </c>
      <c r="BC445" s="1098">
        <f>BC442-BC443</f>
        <v>0</v>
      </c>
      <c r="BD445" s="1100"/>
      <c r="BE445" s="1100"/>
      <c r="BF445" s="1100"/>
      <c r="BG445" s="1100"/>
      <c r="BH445" s="1100"/>
      <c r="BI445" s="1100"/>
      <c r="BJ445" s="1100"/>
      <c r="BK445" s="1100"/>
      <c r="BL445" s="1100"/>
      <c r="BM445" s="1100"/>
      <c r="BN445" s="4617"/>
      <c r="BO445" s="4617"/>
      <c r="BP445" s="4617"/>
      <c r="BQ445" s="960"/>
      <c r="BR445" s="960"/>
      <c r="BS445" s="1046" t="s">
        <v>1747</v>
      </c>
      <c r="BT445" s="1048"/>
      <c r="BU445" s="1048"/>
      <c r="BV445" s="962"/>
      <c r="BW445" s="962"/>
    </row>
    <row s="1621" customFormat="1" customHeight="1" ht="14.625">
      <c r="A446" s="960"/>
      <c r="B446" s="961"/>
      <c r="C446" s="73"/>
      <c r="D446" s="73" cm="1" t="str">
        <f t="array" ref="D446:D446">D445</f>
        <v>11</v>
      </c>
      <c r="E446" s="600">
        <v>15</v>
      </c>
      <c r="F446" s="50" cm="1" t="str">
        <f t="array" ref="F446:F446">OFFSET(E446,-1,1)</f>
        <v>2</v>
      </c>
      <c r="G446" s="73" t="s">
        <v>1496</v>
      </c>
      <c r="H446" s="73"/>
      <c r="I446" s="73" t="s">
        <v>2063</v>
      </c>
      <c r="J446" s="73"/>
      <c r="K446" s="124" t="s">
        <v>2063</v>
      </c>
      <c r="L446" s="963" t="s">
        <v>1748</v>
      </c>
      <c r="M446" s="73"/>
      <c r="N446" s="73"/>
      <c r="O446" s="73"/>
      <c r="P446" s="73"/>
      <c r="Q446" s="73"/>
      <c r="R446" s="73"/>
      <c r="S446" s="73"/>
      <c r="T446" s="439" cm="1" t="str">
        <f t="array" ref="T446:T446">T445</f>
        <v>true</v>
      </c>
      <c r="U446" s="73"/>
      <c r="V446" s="73"/>
      <c r="W446" s="73"/>
      <c r="X446" s="1534"/>
      <c r="Y446" s="960"/>
      <c r="Z446" s="1465"/>
      <c r="AA446" s="960"/>
      <c r="AB446" s="267" t="str">
        <f>D446&amp;".4"</f>
        <v>11.4</v>
      </c>
      <c r="AC446" s="1096" t="s">
        <v>1750</v>
      </c>
      <c r="AD446" s="267" t="s">
        <v>1494</v>
      </c>
      <c r="AE446" s="4561">
        <v>26.9599408015</v>
      </c>
      <c r="AF446" s="4561">
        <v>314.247581271</v>
      </c>
      <c r="AG446" s="4561">
        <v>4.3766885725</v>
      </c>
      <c r="AH446" s="1099">
        <f>AG446-AF446</f>
        <v>-309.8708926985</v>
      </c>
      <c r="AI446" s="4561">
        <v>34.8901136784</v>
      </c>
      <c r="AJ446" s="4561">
        <v>71.3248659614</v>
      </c>
      <c r="AK446" s="1268">
        <f>IF(AK445=0,0,(AK439-AK443*AK444)/AK445)</f>
        <v>0</v>
      </c>
      <c r="AL446" s="1268">
        <f>IF(AL445=0,0,(AL439-AL443*AL444)/AL445)</f>
        <v>0</v>
      </c>
      <c r="AM446" s="4561">
        <f>IF(AM445=0,0,(AM439-AM443*AM444)/AM445)</f>
        <v>0</v>
      </c>
      <c r="AN446" s="4561">
        <f>IF(AN445=0,0,(AN439-AN443*AN444)/AN445)</f>
        <v>0</v>
      </c>
      <c r="AO446" s="4561">
        <f>IF(AO445=0,0,(AO439-AO443*AO444)/AO445)</f>
        <v>0</v>
      </c>
      <c r="AP446" s="4561">
        <f>IF(AP445=0,0,(AP439-AP443*AP444)/AP445)</f>
        <v>0</v>
      </c>
      <c r="AQ446" s="4561">
        <f>IF(AQ445=0,0,(AQ439-AQ443*AQ444)/AQ445)</f>
        <v>0</v>
      </c>
      <c r="AR446" s="4561">
        <f>IF(AR445=0,0,(AR439-AR443*AR444)/AR445)</f>
        <v>0</v>
      </c>
      <c r="AS446" s="4561">
        <f>IF(AS445=0,0,(AS439-AS443*AS444)/AS445)</f>
        <v>0</v>
      </c>
      <c r="AT446" s="4561">
        <v>38.3799365587</v>
      </c>
      <c r="AU446" s="1268">
        <f>IF(AU445=0,0,(AU439-AU443*AU444)/AU445)</f>
        <v>0</v>
      </c>
      <c r="AV446" s="1268">
        <f>IF(AV445=0,0,(AV439-AV443*AV444)/AV445)</f>
        <v>0</v>
      </c>
      <c r="AW446" s="4561">
        <f>IF(AW445=0,0,(AW439-AW443*AW444)/AW445)</f>
        <v>0</v>
      </c>
      <c r="AX446" s="4561">
        <f>IF(AX445=0,0,(AX439-AX443*AX444)/AX445)</f>
        <v>0</v>
      </c>
      <c r="AY446" s="4561">
        <f>IF(AY445=0,0,(AY439-AY443*AY444)/AY445)</f>
        <v>0</v>
      </c>
      <c r="AZ446" s="4561">
        <f>IF(AZ445=0,0,(AZ439-AZ443*AZ444)/AZ445)</f>
        <v>0</v>
      </c>
      <c r="BA446" s="4561">
        <f>IF(BA445=0,0,(BA439-BA443*BA444)/BA445)</f>
        <v>0</v>
      </c>
      <c r="BB446" s="4561">
        <f>IF(BB445=0,0,(BB439-BB443*BB444)/BB445)</f>
        <v>0</v>
      </c>
      <c r="BC446" s="4561">
        <f>IF(BC445=0,0,(BC439-BC443*BC444)/BC445)</f>
        <v>0</v>
      </c>
      <c r="BD446" s="1100"/>
      <c r="BE446" s="1100"/>
      <c r="BF446" s="1100"/>
      <c r="BG446" s="1100"/>
      <c r="BH446" s="1100"/>
      <c r="BI446" s="1100"/>
      <c r="BJ446" s="1100"/>
      <c r="BK446" s="1100"/>
      <c r="BL446" s="1100"/>
      <c r="BM446" s="1100"/>
      <c r="BN446" s="4617"/>
      <c r="BO446" s="4617"/>
      <c r="BP446" s="4617"/>
      <c r="BQ446" s="960"/>
      <c r="BR446" s="960"/>
      <c r="BS446" s="1046" t="s">
        <v>1751</v>
      </c>
      <c r="BT446" s="1048"/>
      <c r="BU446" s="1048"/>
      <c r="BV446" s="962"/>
      <c r="BW446" s="962"/>
    </row>
    <row s="1621" customFormat="1" customHeight="1" ht="14.25">
      <c r="A447" s="960"/>
      <c r="B447" s="961"/>
      <c r="C447" s="73"/>
      <c r="D447" s="73" cm="1" t="str">
        <f t="array" ref="D447:D447">D446</f>
        <v>11</v>
      </c>
      <c r="E447" s="600">
        <v>15</v>
      </c>
      <c r="F447" s="50" cm="1" t="str">
        <f t="array" ref="F447:F447">OFFSET(E447,-1,1)</f>
        <v>2</v>
      </c>
      <c r="G447" s="73"/>
      <c r="H447" s="73"/>
      <c r="I447" s="73" t="s">
        <v>2064</v>
      </c>
      <c r="J447" s="73"/>
      <c r="K447" s="124" t="s">
        <v>2064</v>
      </c>
      <c r="L447" s="963" t="s">
        <v>1752</v>
      </c>
      <c r="M447" s="73"/>
      <c r="N447" s="73"/>
      <c r="O447" s="73"/>
      <c r="P447" s="73"/>
      <c r="Q447" s="73"/>
      <c r="R447" s="73"/>
      <c r="S447" s="73"/>
      <c r="T447" s="439" cm="1" t="str">
        <f t="array" ref="T447:T447">T446</f>
        <v>true</v>
      </c>
      <c r="U447" s="73"/>
      <c r="V447" s="73"/>
      <c r="W447" s="73"/>
      <c r="X447" s="1534"/>
      <c r="Y447" s="960"/>
      <c r="Z447" s="1465"/>
      <c r="AA447" s="960"/>
      <c r="AB447" s="267" t="str">
        <f>D447&amp;".5"</f>
        <v>11.5</v>
      </c>
      <c r="AC447" s="1096" t="s">
        <v>1754</v>
      </c>
      <c r="AD447" s="267" t="s">
        <v>437</v>
      </c>
      <c r="AE447" s="1099">
        <f>IF(AE444=0,0,AE446/AE444*100)</f>
        <v>115.016812293089</v>
      </c>
      <c r="AF447" s="1099">
        <f>IF(AF444=0,0,AF446/AF444*100)</f>
        <v>100.002412573511</v>
      </c>
      <c r="AG447" s="1099">
        <f>IF(AG444=0,0,AG446/AG444*100)</f>
        <v>0</v>
      </c>
      <c r="AH447" s="1100"/>
      <c r="AI447" s="1099">
        <f>IF(AI444=0,0,AI446/AI444*100)</f>
        <v>129.414368243323</v>
      </c>
      <c r="AJ447" s="1099">
        <f>IF(AJ444=0,0,AJ446/AJ444*100)</f>
        <v>100.006822716489</v>
      </c>
      <c r="AK447" s="1099">
        <f>IF(AK444=0,0,AK446/AK444*100)</f>
        <v>0</v>
      </c>
      <c r="AL447" s="1099">
        <f>IF(AL444=0,0,AL446/AL444*100)</f>
        <v>0</v>
      </c>
      <c r="AM447" s="1099">
        <f>IF(AM444=0,0,AM446/AM444*100)</f>
        <v>0</v>
      </c>
      <c r="AN447" s="1099">
        <f>IF(AN444=0,0,AN446/AN444*100)</f>
        <v>0</v>
      </c>
      <c r="AO447" s="1099">
        <f>IF(AO444=0,0,AO446/AO444*100)</f>
        <v>0</v>
      </c>
      <c r="AP447" s="1099">
        <f>IF(AP444=0,0,AP446/AP444*100)</f>
        <v>0</v>
      </c>
      <c r="AQ447" s="1099">
        <f>IF(AQ444=0,0,AQ446/AQ444*100)</f>
        <v>0</v>
      </c>
      <c r="AR447" s="1099">
        <f>IF(AR444=0,0,AR446/AR444*100)</f>
        <v>0</v>
      </c>
      <c r="AS447" s="1099">
        <f>IF(AS444=0,0,AS446/AS444*100)</f>
        <v>0</v>
      </c>
      <c r="AT447" s="1099">
        <f>IF(AT444=0,0,AT446/AT444*100)</f>
        <v>110.002684318429</v>
      </c>
      <c r="AU447" s="1099">
        <f>IF(AU444=0,0,AU446/AU444*100)</f>
        <v>0</v>
      </c>
      <c r="AV447" s="1099">
        <f>IF(AV444=0,0,AV446/AV444*100)</f>
        <v>0</v>
      </c>
      <c r="AW447" s="1099">
        <f>IF(AW444=0,0,AW446/AW444*100)</f>
        <v>0</v>
      </c>
      <c r="AX447" s="1099">
        <f>IF(AX444=0,0,AX446/AX444*100)</f>
        <v>0</v>
      </c>
      <c r="AY447" s="1099">
        <f>IF(AY444=0,0,AY446/AY444*100)</f>
        <v>0</v>
      </c>
      <c r="AZ447" s="1099">
        <f>IF(AZ444=0,0,AZ446/AZ444*100)</f>
        <v>0</v>
      </c>
      <c r="BA447" s="1099">
        <f>IF(BA444=0,0,BA446/BA444*100)</f>
        <v>0</v>
      </c>
      <c r="BB447" s="1099">
        <f>IF(BB444=0,0,BB446/BB444*100)</f>
        <v>0</v>
      </c>
      <c r="BC447" s="1099">
        <f>IF(BC444=0,0,BC446/BC444*100)</f>
        <v>0</v>
      </c>
      <c r="BD447" s="1100"/>
      <c r="BE447" s="1100"/>
      <c r="BF447" s="1100"/>
      <c r="BG447" s="1100"/>
      <c r="BH447" s="1100"/>
      <c r="BI447" s="1100"/>
      <c r="BJ447" s="1100"/>
      <c r="BK447" s="1100"/>
      <c r="BL447" s="1100"/>
      <c r="BM447" s="1100"/>
      <c r="BN447" s="4617"/>
      <c r="BO447" s="4617"/>
      <c r="BP447" s="4617"/>
      <c r="BQ447" s="960"/>
      <c r="BR447" s="960"/>
      <c r="BS447" s="1046" t="s">
        <v>1755</v>
      </c>
      <c r="BT447" s="1048"/>
      <c r="BU447" s="1048"/>
      <c r="BV447" s="962"/>
      <c r="BW447" s="962"/>
    </row>
    <row s="1621" customFormat="1" customHeight="1" ht="14.625">
      <c r="A448" s="960"/>
      <c r="B448" s="961"/>
      <c r="C448" s="73"/>
      <c r="D448" s="73" cm="1" t="str">
        <f t="array" ref="D448:D448">D447</f>
        <v>11</v>
      </c>
      <c r="E448" s="600">
        <v>15</v>
      </c>
      <c r="F448" s="50" cm="1" t="str">
        <f t="array" ref="F448:F448">OFFSET(E448,-1,1)</f>
        <v>2</v>
      </c>
      <c r="G448" s="73"/>
      <c r="H448" s="73"/>
      <c r="I448" s="73" t="s">
        <v>2065</v>
      </c>
      <c r="J448" s="73"/>
      <c r="K448" s="124" t="s">
        <v>2065</v>
      </c>
      <c r="L448" s="963" t="s">
        <v>1756</v>
      </c>
      <c r="M448" s="73"/>
      <c r="N448" s="73"/>
      <c r="O448" s="73"/>
      <c r="P448" s="73"/>
      <c r="Q448" s="73"/>
      <c r="R448" s="73"/>
      <c r="S448" s="73"/>
      <c r="T448" s="439" cm="1" t="str">
        <f t="array" ref="T448:T448">T447</f>
        <v>true</v>
      </c>
      <c r="U448" s="73"/>
      <c r="V448" s="73"/>
      <c r="W448" s="73"/>
      <c r="X448" s="1534"/>
      <c r="Y448" s="960"/>
      <c r="Z448" s="1465"/>
      <c r="AA448" s="960"/>
      <c r="AB448" s="267" t="str">
        <f>D448&amp;".6"</f>
        <v>11.6</v>
      </c>
      <c r="AC448" s="1096" t="s">
        <v>1758</v>
      </c>
      <c r="AD448" s="267" t="s">
        <v>1494</v>
      </c>
      <c r="AE448" s="4561">
        <v>25.1999704008</v>
      </c>
      <c r="AF448" s="4561">
        <v>314.2437906355</v>
      </c>
      <c r="AG448" s="4561">
        <v>2.1883442862</v>
      </c>
      <c r="AH448" s="1099">
        <f>AG448-AF448</f>
        <v>-312.0554463493</v>
      </c>
      <c r="AI448" s="4561">
        <v>30.9250568392</v>
      </c>
      <c r="AJ448" s="4561">
        <v>71.3224329807</v>
      </c>
      <c r="AK448" s="1268">
        <f>IF(AK442=0,0,AK439/AK442)</f>
        <v>0</v>
      </c>
      <c r="AL448" s="1268">
        <f>IF(AL442=0,0,AL439/AL442)</f>
        <v>0</v>
      </c>
      <c r="AM448" s="4561">
        <f>IF(AM442=0,0,AM439/AM442)</f>
        <v>0</v>
      </c>
      <c r="AN448" s="4561">
        <f>IF(AN442=0,0,AN439/AN442)</f>
        <v>0</v>
      </c>
      <c r="AO448" s="4561">
        <f>IF(AO442=0,0,AO439/AO442)</f>
        <v>0</v>
      </c>
      <c r="AP448" s="4561">
        <f>IF(AP442=0,0,AP439/AP442)</f>
        <v>0</v>
      </c>
      <c r="AQ448" s="4561">
        <f>IF(AQ442=0,0,AQ439/AQ442)</f>
        <v>0</v>
      </c>
      <c r="AR448" s="4561">
        <f>IF(AR442=0,0,AR439/AR442)</f>
        <v>0</v>
      </c>
      <c r="AS448" s="4561">
        <f>IF(AS442=0,0,AS439/AS442)</f>
        <v>0</v>
      </c>
      <c r="AT448" s="4561">
        <v>36.6349682794</v>
      </c>
      <c r="AU448" s="1268">
        <f>IF(AU442=0,0,AU439/AU442)</f>
        <v>0</v>
      </c>
      <c r="AV448" s="1268">
        <f>IF(AV442=0,0,AV439/AV442)</f>
        <v>0</v>
      </c>
      <c r="AW448" s="4561">
        <f>IF(AW442=0,0,AW439/AW442)</f>
        <v>0</v>
      </c>
      <c r="AX448" s="4561">
        <f>IF(AX442=0,0,AX439/AX442)</f>
        <v>0</v>
      </c>
      <c r="AY448" s="4561">
        <f>IF(AY442=0,0,AY439/AY442)</f>
        <v>0</v>
      </c>
      <c r="AZ448" s="4561">
        <f>IF(AZ442=0,0,AZ439/AZ442)</f>
        <v>0</v>
      </c>
      <c r="BA448" s="4561">
        <f>IF(BA442=0,0,BA439/BA442)</f>
        <v>0</v>
      </c>
      <c r="BB448" s="4561">
        <f>IF(BB442=0,0,BB439/BB442)</f>
        <v>0</v>
      </c>
      <c r="BC448" s="4561">
        <f>IF(BC442=0,0,BC439/BC442)</f>
        <v>0</v>
      </c>
      <c r="BD448" s="1100"/>
      <c r="BE448" s="1100"/>
      <c r="BF448" s="1100"/>
      <c r="BG448" s="1100"/>
      <c r="BH448" s="1100"/>
      <c r="BI448" s="1100"/>
      <c r="BJ448" s="1100"/>
      <c r="BK448" s="1100"/>
      <c r="BL448" s="1100"/>
      <c r="BM448" s="1100"/>
      <c r="BN448" s="4617"/>
      <c r="BO448" s="4617"/>
      <c r="BP448" s="4617"/>
      <c r="BQ448" s="960"/>
      <c r="BR448" s="960"/>
      <c r="BS448" s="1046" t="s">
        <v>1759</v>
      </c>
      <c r="BT448" s="1048"/>
      <c r="BU448" s="1048"/>
      <c r="BV448" s="962"/>
      <c r="BW448" s="962"/>
    </row>
    <row s="4735" customFormat="1" customHeight="1" ht="20.25">
      <c r="A449" s="680"/>
      <c r="B449" s="408"/>
      <c r="C449" s="75"/>
      <c r="D449" s="75">
        <f>D448+1</f>
        <v>12</v>
      </c>
      <c r="E449" s="807">
        <v>21</v>
      </c>
      <c r="F449" s="50" cm="1" t="str">
        <f t="array" ref="F449:F449">OFFSET(E449,-1,1)</f>
        <v>2</v>
      </c>
      <c r="G449" s="75"/>
      <c r="H449" s="73"/>
      <c r="I449" s="73" t="s">
        <v>1764</v>
      </c>
      <c r="J449" s="75"/>
      <c r="K449" s="124" t="s">
        <v>1764</v>
      </c>
      <c r="L449" s="968" t="s">
        <v>1760</v>
      </c>
      <c r="M449" s="75"/>
      <c r="N449" s="75"/>
      <c r="O449" s="75"/>
      <c r="P449" s="75"/>
      <c r="Q449" s="75"/>
      <c r="R449" s="75"/>
      <c r="S449" s="75"/>
      <c r="T449" s="439" cm="1" t="str">
        <f t="array" ref="T449:T449">T448</f>
        <v>true</v>
      </c>
      <c r="U449" s="75"/>
      <c r="V449" s="75"/>
      <c r="W449" s="75"/>
      <c r="X449" s="1534"/>
      <c r="Y449" s="680"/>
      <c r="Z449" s="1465"/>
      <c r="AA449" s="680"/>
      <c r="AB449" s="178" cm="1" t="str">
        <f t="array" ref="AB449:AB449">D449</f>
        <v>12</v>
      </c>
      <c r="AC449" s="179" t="s">
        <v>1762</v>
      </c>
      <c r="AD449" s="178" t="s">
        <v>784</v>
      </c>
      <c r="AE449" s="4610">
        <f>IF(AE442=0,0,AE439/AE442*AE450)</f>
        <v>0</v>
      </c>
      <c r="AF449" s="4610">
        <f>IF(AF442=0,0,AF439/AF442*AF450)</f>
        <v>0</v>
      </c>
      <c r="AG449" s="4610">
        <f>IF(AG442=0,0,AG439/AG442*AG450)</f>
        <v>0</v>
      </c>
      <c r="AH449" s="180">
        <f>AH451*AH452+AH453*AH454</f>
        <v>0</v>
      </c>
      <c r="AI449" s="4610">
        <f>IF(AI442=0,0,AI439/AI442*AI450)</f>
        <v>0</v>
      </c>
      <c r="AJ449" s="4610">
        <f>IF(AJ442=0,0,AJ439/AJ442*AJ450)</f>
        <v>0</v>
      </c>
      <c r="AK449" s="1277">
        <f>IF(AK442=0,0,AK439/AK442*AK450)</f>
        <v>0</v>
      </c>
      <c r="AL449" s="1277">
        <f>IF(AL442=0,0,AL439/AL442*AL450)</f>
        <v>0</v>
      </c>
      <c r="AM449" s="4610">
        <f>IF(AM442=0,0,AM439/AM442*AM450)</f>
        <v>0</v>
      </c>
      <c r="AN449" s="4610">
        <f>IF(AN442=0,0,AN439/AN442*AN450)</f>
        <v>0</v>
      </c>
      <c r="AO449" s="4610">
        <f>IF(AO442=0,0,AO439/AO442*AO450)</f>
        <v>0</v>
      </c>
      <c r="AP449" s="4610">
        <f>IF(AP442=0,0,AP439/AP442*AP450)</f>
        <v>0</v>
      </c>
      <c r="AQ449" s="4610">
        <f>IF(AQ442=0,0,AQ439/AQ442*AQ450)</f>
        <v>0</v>
      </c>
      <c r="AR449" s="4610">
        <f>IF(AR442=0,0,AR439/AR442*AR450)</f>
        <v>0</v>
      </c>
      <c r="AS449" s="4610">
        <f>IF(AS442=0,0,AS439/AS442*AS450)</f>
        <v>0</v>
      </c>
      <c r="AT449" s="4610">
        <f>IF(AT442=0,0,AT439/AT442*AT450)</f>
        <v>0</v>
      </c>
      <c r="AU449" s="1277">
        <f>IF(AU442=0,0,AU439/AU442*AU450)</f>
        <v>0</v>
      </c>
      <c r="AV449" s="1277">
        <f>IF(AV442=0,0,AV439/AV442*AV450)</f>
        <v>0</v>
      </c>
      <c r="AW449" s="4610">
        <f>IF(AW442=0,0,AW439/AW442*AW450)</f>
        <v>0</v>
      </c>
      <c r="AX449" s="4610">
        <f>IF(AX442=0,0,AX439/AX442*AX450)</f>
        <v>0</v>
      </c>
      <c r="AY449" s="4610">
        <f>IF(AY442=0,0,AY439/AY442*AY450)</f>
        <v>0</v>
      </c>
      <c r="AZ449" s="4610">
        <f>IF(AZ442=0,0,AZ439/AZ442*AZ450)</f>
        <v>0</v>
      </c>
      <c r="BA449" s="4610">
        <f>IF(BA442=0,0,BA439/BA442*BA450)</f>
        <v>0</v>
      </c>
      <c r="BB449" s="4610">
        <f>IF(BB442=0,0,BB439/BB442*BB450)</f>
        <v>0</v>
      </c>
      <c r="BC449" s="4610">
        <f>IF(BC442=0,0,BC439/BC442*BC450)</f>
        <v>0</v>
      </c>
      <c r="BD449" s="759">
        <f>IF(AI449=0,0,(AT449-AI449)/AI449*100)</f>
        <v>0</v>
      </c>
      <c r="BE449" s="759">
        <f>IF(AT449=0,0,(AU449-AT449)/AT449*100)</f>
        <v>0</v>
      </c>
      <c r="BF449" s="759">
        <f>IF(AU449=0,0,(AV449-AU449)/AU449*100)</f>
        <v>0</v>
      </c>
      <c r="BG449" s="759">
        <f>IF(AV449=0,0,(AW449-AV449)/AV449*100)</f>
        <v>0</v>
      </c>
      <c r="BH449" s="759">
        <f>IF(AW449=0,0,(AX449-AW449)/AW449*100)</f>
        <v>0</v>
      </c>
      <c r="BI449" s="759">
        <f>IF(AX449=0,0,(AY449-AX449)/AX449*100)</f>
        <v>0</v>
      </c>
      <c r="BJ449" s="759">
        <f>IF(AY449=0,0,(AZ449-AY449)/AY449*100)</f>
        <v>0</v>
      </c>
      <c r="BK449" s="759">
        <f>IF(AZ449=0,0,(BA449-AZ449)/AZ449*100)</f>
        <v>0</v>
      </c>
      <c r="BL449" s="759">
        <f>IF(BA449=0,0,(BB449-BA449)/BA449*100)</f>
        <v>0</v>
      </c>
      <c r="BM449" s="759">
        <f>IF(BB449=0,0,(BC449-BB449)/BB449*100)</f>
        <v>0</v>
      </c>
      <c r="BN449" s="4617"/>
      <c r="BO449" s="4617"/>
      <c r="BP449" s="4617"/>
      <c r="BQ449" s="680"/>
      <c r="BR449" s="680"/>
      <c r="BS449" s="1047" t="s">
        <v>1763</v>
      </c>
      <c r="BT449" s="1054"/>
      <c r="BU449" s="1054"/>
      <c r="BV449" s="687"/>
      <c r="BW449" s="687"/>
    </row>
    <row s="4736" customFormat="1" customHeight="1" ht="20.25">
      <c r="A450" s="680"/>
      <c r="B450" s="408"/>
      <c r="C450" s="75"/>
      <c r="D450" s="75">
        <f>D449+1</f>
        <v>13</v>
      </c>
      <c r="E450" s="807">
        <v>21</v>
      </c>
      <c r="F450" s="50" cm="1" t="str">
        <f t="array" ref="F450:F450">OFFSET(E450,-1,1)</f>
        <v>2</v>
      </c>
      <c r="G450" s="73" t="s">
        <v>1516</v>
      </c>
      <c r="H450" s="73"/>
      <c r="I450" s="73" t="s">
        <v>2066</v>
      </c>
      <c r="J450" s="75"/>
      <c r="K450" s="124" t="s">
        <v>2066</v>
      </c>
      <c r="L450" s="968" t="s">
        <v>1764</v>
      </c>
      <c r="M450" s="75"/>
      <c r="N450" s="75"/>
      <c r="O450" s="75"/>
      <c r="P450" s="75"/>
      <c r="Q450" s="75"/>
      <c r="R450" s="75"/>
      <c r="S450" s="75"/>
      <c r="T450" s="439" cm="1" t="str">
        <f t="array" ref="T450:T450">T449</f>
        <v>true</v>
      </c>
      <c r="U450" s="75"/>
      <c r="V450" s="75"/>
      <c r="W450" s="75"/>
      <c r="X450" s="1534"/>
      <c r="Y450" s="680"/>
      <c r="Z450" s="1465"/>
      <c r="AA450" s="680"/>
      <c r="AB450" s="178" cm="1" t="str">
        <f t="array" ref="AB450:AB450">D450</f>
        <v>13</v>
      </c>
      <c r="AC450" s="179" t="s">
        <v>1766</v>
      </c>
      <c r="AD450" s="178" t="s">
        <v>512</v>
      </c>
      <c r="AE450" s="766">
        <f>_xlfn.SUMIFS(Баланс!AE$26:AE$300,Баланс!$F$26:$F$300,$F450,Баланс!$G$26:$G$300,"население")</f>
        <v>0</v>
      </c>
      <c r="AF450" s="766">
        <f>_xlfn.SUMIFS(Баланс!AF$26:AF$300,Баланс!$F$26:$F$300,$F450,Баланс!$G$26:$G$300,"население")</f>
        <v>0</v>
      </c>
      <c r="AG450" s="766">
        <f>_xlfn.SUMIFS(Баланс!AG$26:AG$300,Баланс!$F$26:$F$300,$F450,Баланс!$G$26:$G$300,"население")</f>
        <v>0</v>
      </c>
      <c r="AH450" s="766">
        <f>AG450-AF450</f>
        <v>0</v>
      </c>
      <c r="AI450" s="766">
        <f>_xlfn.SUMIFS(Баланс!AH$26:AH$300,Баланс!$F$26:$F$300,$F450,Баланс!$G$26:$G$300,"население")</f>
        <v>0</v>
      </c>
      <c r="AJ450" s="766">
        <f>_xlfn.SUMIFS(Баланс!AI$26:AI$300,Баланс!$F$26:$F$300,$F450,Баланс!$G$26:$G$300,"население")</f>
        <v>0</v>
      </c>
      <c r="AK450" s="766">
        <f>_xlfn.SUMIFS(Баланс!AJ$26:AJ$300,Баланс!$F$26:$F$300,$F450,Баланс!$G$26:$G$300,"население")</f>
        <v>0</v>
      </c>
      <c r="AL450" s="766">
        <f>_xlfn.SUMIFS(Баланс!AK$26:AK$300,Баланс!$F$26:$F$300,$F450,Баланс!$G$26:$G$300,"население")</f>
        <v>0</v>
      </c>
      <c r="AM450" s="766">
        <f>_xlfn.SUMIFS(Баланс!AL$26:AL$300,Баланс!$F$26:$F$300,$F450,Баланс!$G$26:$G$300,"население")</f>
        <v>0</v>
      </c>
      <c r="AN450" s="766">
        <f>_xlfn.SUMIFS(Баланс!AM$26:AM$300,Баланс!$F$26:$F$300,$F450,Баланс!$G$26:$G$300,"население")</f>
        <v>0</v>
      </c>
      <c r="AO450" s="766">
        <f>_xlfn.SUMIFS(Баланс!AN$26:AN$300,Баланс!$F$26:$F$300,$F450,Баланс!$G$26:$G$300,"население")</f>
        <v>0</v>
      </c>
      <c r="AP450" s="766">
        <f>_xlfn.SUMIFS(Баланс!AO$26:AO$300,Баланс!$F$26:$F$300,$F450,Баланс!$G$26:$G$300,"население")</f>
        <v>0</v>
      </c>
      <c r="AQ450" s="766">
        <f>_xlfn.SUMIFS(Баланс!AP$26:AP$300,Баланс!$F$26:$F$300,$F450,Баланс!$G$26:$G$300,"население")</f>
        <v>0</v>
      </c>
      <c r="AR450" s="766">
        <f>_xlfn.SUMIFS(Баланс!AQ$26:AQ$300,Баланс!$F$26:$F$300,$F450,Баланс!$G$26:$G$300,"население")</f>
        <v>0</v>
      </c>
      <c r="AS450" s="766">
        <f>_xlfn.SUMIFS(Баланс!AR$26:AR$300,Баланс!$F$26:$F$300,$F450,Баланс!$G$26:$G$300,"население")</f>
        <v>0</v>
      </c>
      <c r="AT450" s="766">
        <f>_xlfn.SUMIFS(Баланс!AS$26:AS$300,Баланс!$F$26:$F$300,$F450,Баланс!$G$26:$G$300,"население")</f>
        <v>0</v>
      </c>
      <c r="AU450" s="766">
        <f>_xlfn.SUMIFS(Баланс!AT$26:AT$300,Баланс!$F$26:$F$300,$F450,Баланс!$G$26:$G$300,"население")</f>
        <v>0</v>
      </c>
      <c r="AV450" s="766">
        <f>_xlfn.SUMIFS(Баланс!AU$26:AU$300,Баланс!$F$26:$F$300,$F450,Баланс!$G$26:$G$300,"население")</f>
        <v>0</v>
      </c>
      <c r="AW450" s="766">
        <f>_xlfn.SUMIFS(Баланс!AV$26:AV$300,Баланс!$F$26:$F$300,$F450,Баланс!$G$26:$G$300,"население")</f>
        <v>0</v>
      </c>
      <c r="AX450" s="766">
        <f>_xlfn.SUMIFS(Баланс!AW$26:AW$300,Баланс!$F$26:$F$300,$F450,Баланс!$G$26:$G$300,"население")</f>
        <v>0</v>
      </c>
      <c r="AY450" s="766">
        <f>_xlfn.SUMIFS(Баланс!AX$26:AX$300,Баланс!$F$26:$F$300,$F450,Баланс!$G$26:$G$300,"население")</f>
        <v>0</v>
      </c>
      <c r="AZ450" s="766">
        <f>_xlfn.SUMIFS(Баланс!AY$26:AY$300,Баланс!$F$26:$F$300,$F450,Баланс!$G$26:$G$300,"население")</f>
        <v>0</v>
      </c>
      <c r="BA450" s="766">
        <f>_xlfn.SUMIFS(Баланс!AZ$26:AZ$300,Баланс!$F$26:$F$300,$F450,Баланс!$G$26:$G$300,"население")</f>
        <v>0</v>
      </c>
      <c r="BB450" s="766">
        <f>_xlfn.SUMIFS(Баланс!BA$26:BA$300,Баланс!$F$26:$F$300,$F450,Баланс!$G$26:$G$300,"население")</f>
        <v>0</v>
      </c>
      <c r="BC450" s="766">
        <f>_xlfn.SUMIFS(Баланс!BB$26:BB$300,Баланс!$F$26:$F$300,$F450,Баланс!$G$26:$G$300,"население")</f>
        <v>0</v>
      </c>
      <c r="BD450" s="183"/>
      <c r="BE450" s="183"/>
      <c r="BF450" s="183"/>
      <c r="BG450" s="183"/>
      <c r="BH450" s="183"/>
      <c r="BI450" s="183"/>
      <c r="BJ450" s="183"/>
      <c r="BK450" s="183"/>
      <c r="BL450" s="183"/>
      <c r="BM450" s="183"/>
      <c r="BN450" s="4617"/>
      <c r="BO450" s="4617"/>
      <c r="BP450" s="4617"/>
      <c r="BQ450" s="680"/>
      <c r="BR450" s="680"/>
      <c r="BS450" s="1047" t="s">
        <v>1767</v>
      </c>
      <c r="BT450" s="1054"/>
      <c r="BU450" s="1054"/>
      <c r="BV450" s="687"/>
      <c r="BW450" s="687"/>
    </row>
    <row s="1621" customFormat="1" customHeight="1" ht="14.25">
      <c r="A451" s="960"/>
      <c r="B451" s="961"/>
      <c r="C451" s="73"/>
      <c r="D451" s="73" cm="1" t="str">
        <f t="array" ref="D451:D451">D450</f>
        <v>13</v>
      </c>
      <c r="E451" s="600">
        <v>15</v>
      </c>
      <c r="F451" s="50" cm="1" t="str">
        <f t="array" ref="F451:F451">OFFSET(E451,-1,1)</f>
        <v>2</v>
      </c>
      <c r="G451" s="73" t="s">
        <v>1550</v>
      </c>
      <c r="H451" s="73"/>
      <c r="I451" s="73" t="s">
        <v>2067</v>
      </c>
      <c r="J451" s="73"/>
      <c r="K451" s="124" t="s">
        <v>2067</v>
      </c>
      <c r="L451" s="963" t="s">
        <v>1768</v>
      </c>
      <c r="M451" s="73"/>
      <c r="N451" s="73"/>
      <c r="O451" s="73"/>
      <c r="P451" s="73"/>
      <c r="Q451" s="73"/>
      <c r="R451" s="73"/>
      <c r="S451" s="73"/>
      <c r="T451" s="439" cm="1" t="str">
        <f t="array" ref="T451:T451">T450</f>
        <v>true</v>
      </c>
      <c r="U451" s="73"/>
      <c r="V451" s="73"/>
      <c r="W451" s="73"/>
      <c r="X451" s="1534"/>
      <c r="Y451" s="960"/>
      <c r="Z451" s="1465"/>
      <c r="AA451" s="960"/>
      <c r="AB451" s="267" t="str">
        <f>D451&amp;".1"</f>
        <v>13.1</v>
      </c>
      <c r="AC451" s="1096" t="s">
        <v>1770</v>
      </c>
      <c r="AD451" s="267" t="s">
        <v>512</v>
      </c>
      <c r="AE451" s="4548">
        <f>AE450/2</f>
        <v>0</v>
      </c>
      <c r="AF451" s="4548">
        <f>AF450/2</f>
        <v>0</v>
      </c>
      <c r="AG451" s="4548">
        <f>AG450/2</f>
        <v>0</v>
      </c>
      <c r="AH451" s="1098">
        <f>AG451-AF451</f>
        <v>0</v>
      </c>
      <c r="AI451" s="4548">
        <f>AI450/2</f>
        <v>0</v>
      </c>
      <c r="AJ451" s="4548">
        <f>IF(god=2026,AJ450/12*9,AJ450/2)</f>
        <v>0</v>
      </c>
      <c r="AK451" s="1266">
        <f>IF(god=2025,AK450/12*9,AK450/2)</f>
        <v>0</v>
      </c>
      <c r="AL451" s="1266">
        <f>AL450/2</f>
        <v>0</v>
      </c>
      <c r="AM451" s="4548">
        <f>AM450/2</f>
        <v>0</v>
      </c>
      <c r="AN451" s="4548">
        <f>AN450/2</f>
        <v>0</v>
      </c>
      <c r="AO451" s="4548">
        <f>AO450/2</f>
        <v>0</v>
      </c>
      <c r="AP451" s="4548">
        <f>AP450/2</f>
        <v>0</v>
      </c>
      <c r="AQ451" s="4548">
        <f>AQ450/2</f>
        <v>0</v>
      </c>
      <c r="AR451" s="4548">
        <f>AR450/2</f>
        <v>0</v>
      </c>
      <c r="AS451" s="4548">
        <f>AS450/2</f>
        <v>0</v>
      </c>
      <c r="AT451" s="4611">
        <f>IF(god=2026,AT450/12*9,AT450/2)</f>
        <v>0</v>
      </c>
      <c r="AU451" s="1288">
        <f>IF(god=2025,AU450/12*9,AU450/2)</f>
        <v>0</v>
      </c>
      <c r="AV451" s="1266">
        <f>AV450/2</f>
        <v>0</v>
      </c>
      <c r="AW451" s="4548">
        <f>AW450/2</f>
        <v>0</v>
      </c>
      <c r="AX451" s="4548">
        <f>AX450/2</f>
        <v>0</v>
      </c>
      <c r="AY451" s="4548">
        <f>AY450/2</f>
        <v>0</v>
      </c>
      <c r="AZ451" s="4548">
        <f>AZ450/2</f>
        <v>0</v>
      </c>
      <c r="BA451" s="4548">
        <f>BA450/2</f>
        <v>0</v>
      </c>
      <c r="BB451" s="4548">
        <f>BB450/2</f>
        <v>0</v>
      </c>
      <c r="BC451" s="4548">
        <f>BC450/2</f>
        <v>0</v>
      </c>
      <c r="BD451" s="1100"/>
      <c r="BE451" s="1100"/>
      <c r="BF451" s="1100"/>
      <c r="BG451" s="1100"/>
      <c r="BH451" s="1100"/>
      <c r="BI451" s="1100"/>
      <c r="BJ451" s="1100"/>
      <c r="BK451" s="1100"/>
      <c r="BL451" s="1100"/>
      <c r="BM451" s="1100"/>
      <c r="BN451" s="4617"/>
      <c r="BO451" s="4617"/>
      <c r="BP451" s="4617"/>
      <c r="BQ451" s="960"/>
      <c r="BR451" s="960"/>
      <c r="BS451" s="1046" t="s">
        <v>1771</v>
      </c>
      <c r="BT451" s="1048"/>
      <c r="BU451" s="1048"/>
      <c r="BV451" s="962"/>
      <c r="BW451" s="962"/>
    </row>
    <row s="1621" customFormat="1" customHeight="1" ht="14.25">
      <c r="A452" s="960"/>
      <c r="B452" s="961"/>
      <c r="C452" s="73"/>
      <c r="D452" s="73" cm="1" t="str">
        <f t="array" ref="D452:D452">D451</f>
        <v>13</v>
      </c>
      <c r="E452" s="600">
        <v>15</v>
      </c>
      <c r="F452" s="50" cm="1" t="str">
        <f t="array" ref="F452:F452">OFFSET(E452,-1,1)</f>
        <v>2</v>
      </c>
      <c r="G452" s="73" t="s">
        <v>1506</v>
      </c>
      <c r="H452" s="73"/>
      <c r="I452" s="73" t="s">
        <v>2068</v>
      </c>
      <c r="J452" s="73"/>
      <c r="K452" s="124" t="s">
        <v>2068</v>
      </c>
      <c r="L452" s="963" t="s">
        <v>1772</v>
      </c>
      <c r="M452" s="73"/>
      <c r="N452" s="73"/>
      <c r="O452" s="73"/>
      <c r="P452" s="73"/>
      <c r="Q452" s="73"/>
      <c r="R452" s="73"/>
      <c r="S452" s="73"/>
      <c r="T452" s="439" cm="1" t="str">
        <f t="array" ref="T452:T452">T451</f>
        <v>true</v>
      </c>
      <c r="U452" s="73"/>
      <c r="V452" s="73"/>
      <c r="W452" s="73"/>
      <c r="X452" s="1534"/>
      <c r="Y452" s="960"/>
      <c r="Z452" s="1465"/>
      <c r="AA452" s="960"/>
      <c r="AB452" s="267" t="str">
        <f>D452&amp;".2"</f>
        <v>13.2</v>
      </c>
      <c r="AC452" s="1096" t="s">
        <v>1774</v>
      </c>
      <c r="AD452" s="267" t="s">
        <v>1494</v>
      </c>
      <c r="AE452" s="4561">
        <f>IF(AE450=0,0,AE444*(1+Сценарии!AE$26/100))</f>
        <v>0</v>
      </c>
      <c r="AF452" s="4614">
        <f>IF(AF450=0,0,AF444*(1+Сценарии!AF$26/100))</f>
        <v>0</v>
      </c>
      <c r="AG452" s="4614">
        <f>IF(AG450=0,0,AG444*(1+Сценарии!AG$26/100))</f>
        <v>0</v>
      </c>
      <c r="AH452" s="1099">
        <f>AG452-AF452</f>
        <v>0</v>
      </c>
      <c r="AI452" s="4561">
        <f>IF(AI450=0,0,AI444*(1+Сценарии!AI$26/100))</f>
        <v>0</v>
      </c>
      <c r="AJ452" s="4614">
        <f>IF(AJ450=0,0,AJ444*(1+Сценарии!AJ$26/100))</f>
        <v>0</v>
      </c>
      <c r="AK452" s="1289">
        <f>IF(AK450=0,0,AK444*(1+Сценарии!AO$26/100))</f>
        <v>0</v>
      </c>
      <c r="AL452" s="1289">
        <f>IF(AL450=0,0,AL444*(1+Сценарии!AP$26/100))</f>
        <v>0</v>
      </c>
      <c r="AM452" s="4614">
        <f>IF(AM450=0,0,AM444*(1+Сценарии!AQ$26/100))</f>
        <v>0</v>
      </c>
      <c r="AN452" s="4614">
        <f>IF(AN450=0,0,AN444*(1+Сценарии!AR$26/100))</f>
        <v>0</v>
      </c>
      <c r="AO452" s="4614">
        <f>IF(AO450=0,0,AO444*(1+Сценарии!AS$26/100))</f>
        <v>0</v>
      </c>
      <c r="AP452" s="4614">
        <f>IF(AP450=0,0,AP444*(1+Сценарии!AT$26/100))</f>
        <v>0</v>
      </c>
      <c r="AQ452" s="4614">
        <f>IF(AQ450=0,0,AQ444*(1+Сценарии!AU$26/100))</f>
        <v>0</v>
      </c>
      <c r="AR452" s="4614">
        <f>IF(AR450=0,0,AR444*(1+Сценарии!AV$26/100))</f>
        <v>0</v>
      </c>
      <c r="AS452" s="4614">
        <f>IF(AS450=0,0,AS444*(1+Сценарии!AW$26/100))</f>
        <v>0</v>
      </c>
      <c r="AT452" s="4561">
        <f>IF(AT450=0,0,AT444*(1+Сценарии!AK$26/100))</f>
        <v>0</v>
      </c>
      <c r="AU452" s="1268">
        <f>IF(AU450=0,0,AU444*(1+Сценарии!AX$26/100))</f>
        <v>0</v>
      </c>
      <c r="AV452" s="1289">
        <f>IF(AV450=0,0,AV444*(1+Сценарии!AY$26/100))</f>
        <v>0</v>
      </c>
      <c r="AW452" s="4614">
        <f>IF(AW450=0,0,AW444*(1+Сценарии!AZ$26/100))</f>
        <v>0</v>
      </c>
      <c r="AX452" s="4614">
        <f>IF(AX450=0,0,AX444*(1+Сценарии!BA$26/100))</f>
        <v>0</v>
      </c>
      <c r="AY452" s="4614">
        <f>IF(AY450=0,0,AY444*(1+Сценарии!BB$26/100))</f>
        <v>0</v>
      </c>
      <c r="AZ452" s="4614">
        <f>IF(AZ450=0,0,AZ444*(1+Сценарии!BC$26/100))</f>
        <v>0</v>
      </c>
      <c r="BA452" s="4614">
        <f>IF(BA450=0,0,BA444*(1+Сценарии!BD$26/100))</f>
        <v>0</v>
      </c>
      <c r="BB452" s="4614">
        <f>IF(BB450=0,0,BB444*(1+Сценарии!BE$26/100))</f>
        <v>0</v>
      </c>
      <c r="BC452" s="4614">
        <f>IF(BC450=0,0,BC444*(1+Сценарии!BF$26/100))</f>
        <v>0</v>
      </c>
      <c r="BD452" s="1100"/>
      <c r="BE452" s="1100"/>
      <c r="BF452" s="1100"/>
      <c r="BG452" s="1100"/>
      <c r="BH452" s="1100"/>
      <c r="BI452" s="1100"/>
      <c r="BJ452" s="1100"/>
      <c r="BK452" s="1100"/>
      <c r="BL452" s="1100"/>
      <c r="BM452" s="1100"/>
      <c r="BN452" s="4617"/>
      <c r="BO452" s="4617"/>
      <c r="BP452" s="4617"/>
      <c r="BQ452" s="960"/>
      <c r="BR452" s="960"/>
      <c r="BS452" s="1046" t="s">
        <v>1775</v>
      </c>
      <c r="BT452" s="1048"/>
      <c r="BU452" s="1048"/>
      <c r="BV452" s="962"/>
      <c r="BW452" s="962"/>
    </row>
    <row s="1621" customFormat="1" customHeight="1" ht="14.25">
      <c r="A453" s="960"/>
      <c r="B453" s="961"/>
      <c r="C453" s="73"/>
      <c r="D453" s="73" cm="1" t="str">
        <f t="array" ref="D453:D453">D452</f>
        <v>13</v>
      </c>
      <c r="E453" s="600">
        <v>15</v>
      </c>
      <c r="F453" s="50" cm="1" t="str">
        <f t="array" ref="F453:F453">OFFSET(E453,-1,1)</f>
        <v>2</v>
      </c>
      <c r="G453" s="73" t="s">
        <v>1557</v>
      </c>
      <c r="H453" s="73"/>
      <c r="I453" s="73" t="s">
        <v>2069</v>
      </c>
      <c r="J453" s="73"/>
      <c r="K453" s="73" t="s">
        <v>2069</v>
      </c>
      <c r="L453" s="963" t="s">
        <v>1776</v>
      </c>
      <c r="M453" s="73"/>
      <c r="N453" s="73"/>
      <c r="O453" s="73"/>
      <c r="P453" s="73"/>
      <c r="Q453" s="73"/>
      <c r="R453" s="73"/>
      <c r="S453" s="73"/>
      <c r="T453" s="439" cm="1" t="str">
        <f t="array" ref="T453:T453">T452</f>
        <v>true</v>
      </c>
      <c r="U453" s="73"/>
      <c r="V453" s="73"/>
      <c r="W453" s="73"/>
      <c r="X453" s="1534"/>
      <c r="Y453" s="960"/>
      <c r="Z453" s="1465"/>
      <c r="AA453" s="960"/>
      <c r="AB453" s="267" t="str">
        <f>D453&amp;".3"</f>
        <v>13.3</v>
      </c>
      <c r="AC453" s="1096" t="s">
        <v>1746</v>
      </c>
      <c r="AD453" s="267" t="s">
        <v>512</v>
      </c>
      <c r="AE453" s="1098">
        <f>AE450-AE451</f>
        <v>0</v>
      </c>
      <c r="AF453" s="1098">
        <f>AF450-AF451</f>
        <v>0</v>
      </c>
      <c r="AG453" s="1098">
        <f>AG450-AG451</f>
        <v>0</v>
      </c>
      <c r="AH453" s="1098">
        <f>AG453-AF453</f>
        <v>0</v>
      </c>
      <c r="AI453" s="1098">
        <f>AI450-AI451</f>
        <v>0</v>
      </c>
      <c r="AJ453" s="1098">
        <f>AJ450-AJ451</f>
        <v>0</v>
      </c>
      <c r="AK453" s="1098">
        <f>AK450-AK451</f>
        <v>0</v>
      </c>
      <c r="AL453" s="1098">
        <f>AL450-AL451</f>
        <v>0</v>
      </c>
      <c r="AM453" s="1098">
        <f>AM450-AM451</f>
        <v>0</v>
      </c>
      <c r="AN453" s="1098">
        <f>AN450-AN451</f>
        <v>0</v>
      </c>
      <c r="AO453" s="1098">
        <f>AO450-AO451</f>
        <v>0</v>
      </c>
      <c r="AP453" s="1098">
        <f>AP450-AP451</f>
        <v>0</v>
      </c>
      <c r="AQ453" s="1098">
        <f>AQ450-AQ451</f>
        <v>0</v>
      </c>
      <c r="AR453" s="1098">
        <f>AR450-AR451</f>
        <v>0</v>
      </c>
      <c r="AS453" s="1098">
        <f>AS450-AS451</f>
        <v>0</v>
      </c>
      <c r="AT453" s="1098">
        <f>AT450-AT451</f>
        <v>0</v>
      </c>
      <c r="AU453" s="1098">
        <f>AU450-AU451</f>
        <v>0</v>
      </c>
      <c r="AV453" s="1098">
        <f>AV450-AV451</f>
        <v>0</v>
      </c>
      <c r="AW453" s="1098">
        <f>AW450-AW451</f>
        <v>0</v>
      </c>
      <c r="AX453" s="1098">
        <f>AX450-AX451</f>
        <v>0</v>
      </c>
      <c r="AY453" s="1098">
        <f>AY450-AY451</f>
        <v>0</v>
      </c>
      <c r="AZ453" s="1098">
        <f>AZ450-AZ451</f>
        <v>0</v>
      </c>
      <c r="BA453" s="1098">
        <f>BA450-BA451</f>
        <v>0</v>
      </c>
      <c r="BB453" s="1098">
        <f>BB450-BB451</f>
        <v>0</v>
      </c>
      <c r="BC453" s="1098">
        <f>BC450-BC451</f>
        <v>0</v>
      </c>
      <c r="BD453" s="1100"/>
      <c r="BE453" s="1100"/>
      <c r="BF453" s="1100"/>
      <c r="BG453" s="1100"/>
      <c r="BH453" s="1100"/>
      <c r="BI453" s="1100"/>
      <c r="BJ453" s="1100"/>
      <c r="BK453" s="1100"/>
      <c r="BL453" s="1100"/>
      <c r="BM453" s="1100"/>
      <c r="BN453" s="4617"/>
      <c r="BO453" s="4617"/>
      <c r="BP453" s="4617"/>
      <c r="BQ453" s="960"/>
      <c r="BR453" s="960"/>
      <c r="BS453" s="1046" t="s">
        <v>1778</v>
      </c>
      <c r="BT453" s="1048"/>
      <c r="BU453" s="1048"/>
      <c r="BV453" s="962"/>
      <c r="BW453" s="962"/>
    </row>
    <row s="1621" customFormat="1" customHeight="1" ht="14.25">
      <c r="A454" s="960"/>
      <c r="B454" s="961"/>
      <c r="C454" s="73"/>
      <c r="D454" s="73" cm="1" t="str">
        <f t="array" ref="D454:D454">D453</f>
        <v>13</v>
      </c>
      <c r="E454" s="600">
        <v>15</v>
      </c>
      <c r="F454" s="50" cm="1" t="str">
        <f t="array" ref="F454:F454">OFFSET(E454,-1,1)</f>
        <v>2</v>
      </c>
      <c r="G454" s="73" t="s">
        <v>1510</v>
      </c>
      <c r="H454" s="73"/>
      <c r="I454" s="73" t="s">
        <v>2070</v>
      </c>
      <c r="J454" s="73"/>
      <c r="K454" s="73" t="s">
        <v>2070</v>
      </c>
      <c r="L454" s="963" t="s">
        <v>1779</v>
      </c>
      <c r="M454" s="73"/>
      <c r="N454" s="73"/>
      <c r="O454" s="73"/>
      <c r="P454" s="73"/>
      <c r="Q454" s="73"/>
      <c r="R454" s="73"/>
      <c r="S454" s="73"/>
      <c r="T454" s="439" cm="1" t="str">
        <f t="array" ref="T454:T454">T453</f>
        <v>true</v>
      </c>
      <c r="U454" s="73"/>
      <c r="V454" s="73"/>
      <c r="W454" s="73"/>
      <c r="X454" s="1534"/>
      <c r="Y454" s="960"/>
      <c r="Z454" s="1465"/>
      <c r="AA454" s="960"/>
      <c r="AB454" s="267" t="str">
        <f>D454&amp;".4"</f>
        <v>13.4</v>
      </c>
      <c r="AC454" s="1096" t="s">
        <v>1750</v>
      </c>
      <c r="AD454" s="267" t="s">
        <v>1494</v>
      </c>
      <c r="AE454" s="4561">
        <f>IF(AE450=0,0,AE446*(1+Сценарии!AE$26/100))</f>
        <v>0</v>
      </c>
      <c r="AF454" s="4614">
        <f>IF(AF450=0,0,AF446*(1+Сценарии!AF$26/100))</f>
        <v>0</v>
      </c>
      <c r="AG454" s="4614">
        <f>IF(AG450=0,0,AG446*(1+Сценарии!AG$26/100))</f>
        <v>0</v>
      </c>
      <c r="AH454" s="1099">
        <f>AG454-AF454</f>
        <v>0</v>
      </c>
      <c r="AI454" s="4561">
        <f>IF(AI450=0,0,AI446*(1+Сценарии!AI$26/100))</f>
        <v>0</v>
      </c>
      <c r="AJ454" s="4614">
        <f>IF(AJ450=0,0,AJ446*(1+Сценарии!AJ$26/100))</f>
        <v>0</v>
      </c>
      <c r="AK454" s="1268">
        <f>IF(AK450=0,0,AK446*(1+Сценарии!AO$26/100))</f>
        <v>0</v>
      </c>
      <c r="AL454" s="1289">
        <f>IF(AL450=0,0,AL446*(1+Сценарии!AP$26/100))</f>
        <v>0</v>
      </c>
      <c r="AM454" s="4614">
        <f>IF(AM450=0,0,AM446*(1+Сценарии!AQ$26/100))</f>
        <v>0</v>
      </c>
      <c r="AN454" s="4614">
        <f>IF(AN450=0,0,AN446*(1+Сценарии!AR$26/100))</f>
        <v>0</v>
      </c>
      <c r="AO454" s="4614">
        <f>IF(AO450=0,0,AO446*(1+Сценарии!AS$26/100))</f>
        <v>0</v>
      </c>
      <c r="AP454" s="4614">
        <f>IF(AP450=0,0,AP446*(1+Сценарии!AT$26/100))</f>
        <v>0</v>
      </c>
      <c r="AQ454" s="4614">
        <f>IF(AQ450=0,0,AQ446*(1+Сценарии!AU$26/100))</f>
        <v>0</v>
      </c>
      <c r="AR454" s="4614">
        <f>IF(AR450=0,0,AR446*(1+Сценарии!AV$26/100))</f>
        <v>0</v>
      </c>
      <c r="AS454" s="4614">
        <f>IF(AS450=0,0,AS446*(1+Сценарии!AW$26/100))</f>
        <v>0</v>
      </c>
      <c r="AT454" s="4561">
        <f>IF(AT450=0,0,AT446*(1+Сценарии!AK$26/100))</f>
        <v>0</v>
      </c>
      <c r="AU454" s="1268">
        <f>IF(AU450=0,0,AU446*(1+Сценарии!AX$26/100))</f>
        <v>0</v>
      </c>
      <c r="AV454" s="1289">
        <f>IF(AV450=0,0,AV446*(1+Сценарии!AY$26/100))</f>
        <v>0</v>
      </c>
      <c r="AW454" s="4614">
        <f>IF(AW450=0,0,AW446*(1+Сценарии!AZ$26/100))</f>
        <v>0</v>
      </c>
      <c r="AX454" s="4614">
        <f>IF(AX450=0,0,AX446*(1+Сценарии!BA$26/100))</f>
        <v>0</v>
      </c>
      <c r="AY454" s="4614">
        <f>IF(AY450=0,0,AY446*(1+Сценарии!BB$26/100))</f>
        <v>0</v>
      </c>
      <c r="AZ454" s="4614">
        <f>IF(AZ450=0,0,AZ446*(1+Сценарии!BC$26/100))</f>
        <v>0</v>
      </c>
      <c r="BA454" s="4614">
        <f>IF(BA450=0,0,BA446*(1+Сценарии!BD$26/100))</f>
        <v>0</v>
      </c>
      <c r="BB454" s="4614">
        <f>IF(BB450=0,0,BB446*(1+Сценарии!BE$26/100))</f>
        <v>0</v>
      </c>
      <c r="BC454" s="4614">
        <f>IF(BC450=0,0,BC446*(1+Сценарии!BF$26/100))</f>
        <v>0</v>
      </c>
      <c r="BD454" s="1100"/>
      <c r="BE454" s="1100"/>
      <c r="BF454" s="1100"/>
      <c r="BG454" s="1100"/>
      <c r="BH454" s="1100"/>
      <c r="BI454" s="1100"/>
      <c r="BJ454" s="1100"/>
      <c r="BK454" s="1100"/>
      <c r="BL454" s="1100"/>
      <c r="BM454" s="1100"/>
      <c r="BN454" s="4617"/>
      <c r="BO454" s="4617"/>
      <c r="BP454" s="4617"/>
      <c r="BQ454" s="960"/>
      <c r="BR454" s="960"/>
      <c r="BS454" s="1046" t="s">
        <v>1782</v>
      </c>
      <c r="BT454" s="1048"/>
      <c r="BU454" s="1048"/>
      <c r="BV454" s="962"/>
      <c r="BW454" s="962"/>
    </row>
    <row s="1621" customFormat="1" customHeight="1" ht="14.25">
      <c r="A455" s="960"/>
      <c r="B455" s="961"/>
      <c r="C455" s="73"/>
      <c r="D455" s="73">
        <f>D454+1</f>
        <v>14</v>
      </c>
      <c r="E455" s="600">
        <v>15</v>
      </c>
      <c r="F455" s="50" cm="1" t="str">
        <f t="array" ref="F455:F455">OFFSET(E455,-1,1)</f>
        <v>2</v>
      </c>
      <c r="G455" s="73"/>
      <c r="H455" s="73"/>
      <c r="I455" s="73"/>
      <c r="J455" s="73"/>
      <c r="K455" s="73"/>
      <c r="L455" s="963"/>
      <c r="M455" s="73"/>
      <c r="N455" s="73"/>
      <c r="O455" s="73"/>
      <c r="P455" s="73"/>
      <c r="Q455" s="73"/>
      <c r="R455" s="73"/>
      <c r="S455" s="73"/>
      <c r="T455" s="439" cm="1" t="str">
        <f t="array" ref="T455:T455">T454</f>
        <v>true</v>
      </c>
      <c r="U455" s="73"/>
      <c r="V455" s="73"/>
      <c r="W455" s="73"/>
      <c r="X455" s="1534"/>
      <c r="Y455" s="960"/>
      <c r="Z455" s="1465"/>
      <c r="AA455" s="960"/>
      <c r="AB455" s="178" cm="1" t="str">
        <f t="array" ref="AB455:AB455">D455</f>
        <v>14</v>
      </c>
      <c r="AC455" s="179" t="s">
        <v>1784</v>
      </c>
      <c r="AD455" s="178" t="s">
        <v>784</v>
      </c>
      <c r="AE455" s="4561"/>
      <c r="AF455" s="4561"/>
      <c r="AG455" s="4561"/>
      <c r="AH455" s="1099">
        <f>AG455-AF455</f>
        <v>0</v>
      </c>
      <c r="AI455" s="4561"/>
      <c r="AJ455" s="4561"/>
      <c r="AK455" s="1268"/>
      <c r="AL455" s="1268"/>
      <c r="AM455" s="4561"/>
      <c r="AN455" s="4561"/>
      <c r="AO455" s="4561"/>
      <c r="AP455" s="4561"/>
      <c r="AQ455" s="4561"/>
      <c r="AR455" s="4561"/>
      <c r="AS455" s="4561"/>
      <c r="AT455" s="4561"/>
      <c r="AU455" s="1268"/>
      <c r="AV455" s="1268"/>
      <c r="AW455" s="4561"/>
      <c r="AX455" s="4561"/>
      <c r="AY455" s="4561"/>
      <c r="AZ455" s="4561"/>
      <c r="BA455" s="4561"/>
      <c r="BB455" s="4561"/>
      <c r="BC455" s="4561"/>
      <c r="BD455" s="1100"/>
      <c r="BE455" s="1100"/>
      <c r="BF455" s="1100"/>
      <c r="BG455" s="1100"/>
      <c r="BH455" s="1100"/>
      <c r="BI455" s="1100"/>
      <c r="BJ455" s="1100"/>
      <c r="BK455" s="1100"/>
      <c r="BL455" s="1100"/>
      <c r="BM455" s="1100"/>
      <c r="BN455" s="4617"/>
      <c r="BO455" s="4617"/>
      <c r="BP455" s="4617"/>
      <c r="BQ455" s="960"/>
      <c r="BR455" s="960"/>
      <c r="BS455" s="1046" t="s">
        <v>1785</v>
      </c>
      <c r="BT455" s="1048"/>
      <c r="BU455" s="1048"/>
      <c r="BV455" s="962"/>
      <c r="BW455" s="962"/>
    </row>
    <row s="1260" customFormat="1" customHeight="1" ht="20.25">
      <c r="A456" s="1260"/>
      <c r="B456" s="734"/>
      <c r="C456" s="73"/>
      <c r="D456" s="73" cm="1" t="str">
        <f t="array" ref="D456:D456">D455</f>
        <v>14</v>
      </c>
      <c r="E456" s="600">
        <v>21</v>
      </c>
      <c r="F456" s="50" cm="1" t="str">
        <f t="array" ref="F456:F456">OFFSET(E456,-1,1)</f>
        <v>2</v>
      </c>
      <c r="G456" s="73"/>
      <c r="H456" s="73"/>
      <c r="I456" s="73"/>
      <c r="J456" s="73"/>
      <c r="K456" s="73"/>
      <c r="L456" s="963"/>
      <c r="M456" s="73"/>
      <c r="N456" s="73"/>
      <c r="O456" s="73"/>
      <c r="P456" s="73"/>
      <c r="Q456" s="73"/>
      <c r="R456" s="73"/>
      <c r="S456" s="73"/>
      <c r="T456" s="439" cm="1" t="str">
        <f t="array" ref="T456:T456">T455</f>
        <v>true</v>
      </c>
      <c r="U456" s="73"/>
      <c r="V456" s="73"/>
      <c r="W456" s="73"/>
      <c r="X456" s="1534"/>
      <c r="Y456" s="1260"/>
      <c r="Z456" s="1465"/>
      <c r="AA456" s="1260"/>
      <c r="AB456" s="267" t="str">
        <f>D456&amp;".1"</f>
        <v>14.1</v>
      </c>
      <c r="AC456" s="743" t="s">
        <v>1787</v>
      </c>
      <c r="AD456" s="267" t="s">
        <v>784</v>
      </c>
      <c r="AE456" s="4561"/>
      <c r="AF456" s="4561"/>
      <c r="AG456" s="4561"/>
      <c r="AH456" s="1099">
        <f>AG456-AF456</f>
        <v>0</v>
      </c>
      <c r="AI456" s="4561"/>
      <c r="AJ456" s="4561"/>
      <c r="AK456" s="1268"/>
      <c r="AL456" s="1268"/>
      <c r="AM456" s="4561"/>
      <c r="AN456" s="4561"/>
      <c r="AO456" s="4561"/>
      <c r="AP456" s="4561"/>
      <c r="AQ456" s="4561"/>
      <c r="AR456" s="4561"/>
      <c r="AS456" s="4561"/>
      <c r="AT456" s="4561"/>
      <c r="AU456" s="1268"/>
      <c r="AV456" s="1268"/>
      <c r="AW456" s="4561"/>
      <c r="AX456" s="4561"/>
      <c r="AY456" s="4561"/>
      <c r="AZ456" s="4561"/>
      <c r="BA456" s="4561"/>
      <c r="BB456" s="4561"/>
      <c r="BC456" s="4561"/>
      <c r="BD456" s="1100"/>
      <c r="BE456" s="1100"/>
      <c r="BF456" s="1100"/>
      <c r="BG456" s="1100"/>
      <c r="BH456" s="1100"/>
      <c r="BI456" s="1100"/>
      <c r="BJ456" s="1100"/>
      <c r="BK456" s="1100"/>
      <c r="BL456" s="1100"/>
      <c r="BM456" s="1100"/>
      <c r="BN456" s="4617"/>
      <c r="BO456" s="4617"/>
      <c r="BP456" s="4617"/>
      <c r="BQ456" s="1260"/>
      <c r="BR456" s="1260"/>
      <c r="BS456" s="1046" t="s">
        <v>1788</v>
      </c>
      <c r="BT456" s="1055"/>
      <c r="BU456" s="1055"/>
      <c r="BV456" s="1056"/>
      <c r="BW456" s="1056"/>
    </row>
    <row s="1260" customFormat="1" customHeight="1" ht="64.5">
      <c r="A457" s="1260"/>
      <c r="B457" s="734"/>
      <c r="C457" s="73"/>
      <c r="D457" s="73" cm="1" t="str">
        <f t="array" ref="D457:D457">D456</f>
        <v>14</v>
      </c>
      <c r="E457" s="600">
        <v>66.6</v>
      </c>
      <c r="F457" s="50" cm="1" t="str">
        <f t="array" ref="F457:F457">OFFSET(E457,-1,1)</f>
        <v>2</v>
      </c>
      <c r="G457" s="73"/>
      <c r="H457" s="73"/>
      <c r="I457" s="73"/>
      <c r="J457" s="73"/>
      <c r="K457" s="73"/>
      <c r="L457" s="963"/>
      <c r="M457" s="73"/>
      <c r="N457" s="73"/>
      <c r="O457" s="73"/>
      <c r="P457" s="73"/>
      <c r="Q457" s="73"/>
      <c r="R457" s="73"/>
      <c r="S457" s="73"/>
      <c r="T457" s="439" cm="1" t="str">
        <f t="array" ref="T457:T457">T456</f>
        <v>true</v>
      </c>
      <c r="U457" s="73"/>
      <c r="V457" s="73"/>
      <c r="W457" s="73"/>
      <c r="X457" s="1534"/>
      <c r="Y457" s="1260"/>
      <c r="Z457" s="1465"/>
      <c r="AA457" s="1260"/>
      <c r="AB457" s="267" t="str">
        <f>D457&amp;".2"</f>
        <v>14.2</v>
      </c>
      <c r="AC457" s="743" t="s">
        <v>1790</v>
      </c>
      <c r="AD457" s="267" t="s">
        <v>784</v>
      </c>
      <c r="AE457" s="4561"/>
      <c r="AF457" s="4561"/>
      <c r="AG457" s="4561"/>
      <c r="AH457" s="1099">
        <f>AG457-AF457</f>
        <v>0</v>
      </c>
      <c r="AI457" s="4561"/>
      <c r="AJ457" s="4561"/>
      <c r="AK457" s="1268"/>
      <c r="AL457" s="1268"/>
      <c r="AM457" s="4561"/>
      <c r="AN457" s="4561"/>
      <c r="AO457" s="4561"/>
      <c r="AP457" s="4561"/>
      <c r="AQ457" s="4561"/>
      <c r="AR457" s="4561"/>
      <c r="AS457" s="4561"/>
      <c r="AT457" s="4561"/>
      <c r="AU457" s="1268"/>
      <c r="AV457" s="1268"/>
      <c r="AW457" s="4561"/>
      <c r="AX457" s="4561"/>
      <c r="AY457" s="4561"/>
      <c r="AZ457" s="4561"/>
      <c r="BA457" s="4561"/>
      <c r="BB457" s="4561"/>
      <c r="BC457" s="4561"/>
      <c r="BD457" s="1100"/>
      <c r="BE457" s="1100"/>
      <c r="BF457" s="1100"/>
      <c r="BG457" s="1100"/>
      <c r="BH457" s="1100"/>
      <c r="BI457" s="1100"/>
      <c r="BJ457" s="1100"/>
      <c r="BK457" s="1100"/>
      <c r="BL457" s="1100"/>
      <c r="BM457" s="1100"/>
      <c r="BN457" s="4617"/>
      <c r="BO457" s="4617"/>
      <c r="BP457" s="4617"/>
      <c r="BQ457" s="1260"/>
      <c r="BR457" s="1260"/>
      <c r="BS457" s="1046" t="s">
        <v>1791</v>
      </c>
      <c r="BT457" s="1055"/>
      <c r="BU457" s="1055"/>
      <c r="BV457" s="1056"/>
      <c r="BW457" s="1056"/>
    </row>
    <row s="1260" customFormat="1" customHeight="1" ht="44.25">
      <c r="A458" s="1260"/>
      <c r="B458" s="734"/>
      <c r="C458" s="73"/>
      <c r="D458" s="73" cm="1" t="str">
        <f t="array" ref="D458:D458">D457</f>
        <v>14</v>
      </c>
      <c r="E458" s="600">
        <v>45.6</v>
      </c>
      <c r="F458" s="50" cm="1" t="str">
        <f t="array" ref="F458:F458">OFFSET(E458,-1,1)</f>
        <v>2</v>
      </c>
      <c r="G458" s="73"/>
      <c r="H458" s="73"/>
      <c r="I458" s="73"/>
      <c r="J458" s="73"/>
      <c r="K458" s="73"/>
      <c r="L458" s="963"/>
      <c r="M458" s="73"/>
      <c r="N458" s="73"/>
      <c r="O458" s="73"/>
      <c r="P458" s="73"/>
      <c r="Q458" s="73"/>
      <c r="R458" s="73"/>
      <c r="S458" s="73"/>
      <c r="T458" s="439" cm="1" t="str">
        <f t="array" ref="T458:T458">T457</f>
        <v>true</v>
      </c>
      <c r="U458" s="73"/>
      <c r="V458" s="73"/>
      <c r="W458" s="73"/>
      <c r="X458" s="1534"/>
      <c r="Y458" s="1260"/>
      <c r="Z458" s="1465"/>
      <c r="AA458" s="1260"/>
      <c r="AB458" s="267" t="str">
        <f>D458&amp;".3"</f>
        <v>14.3</v>
      </c>
      <c r="AC458" s="743" t="s">
        <v>2071</v>
      </c>
      <c r="AD458" s="267" t="s">
        <v>784</v>
      </c>
      <c r="AE458" s="1100"/>
      <c r="AF458" s="4561"/>
      <c r="AG458" s="4561"/>
      <c r="AH458" s="1099">
        <f>AG458-AF458</f>
        <v>0</v>
      </c>
      <c r="AI458" s="1100"/>
      <c r="AJ458" s="1100"/>
      <c r="AK458" s="1100"/>
      <c r="AL458" s="1100"/>
      <c r="AM458" s="1100"/>
      <c r="AN458" s="1100"/>
      <c r="AO458" s="1100"/>
      <c r="AP458" s="1100"/>
      <c r="AQ458" s="1100"/>
      <c r="AR458" s="1100"/>
      <c r="AS458" s="1100"/>
      <c r="AT458" s="1100"/>
      <c r="AU458" s="1100"/>
      <c r="AV458" s="1100"/>
      <c r="AW458" s="1100"/>
      <c r="AX458" s="1100"/>
      <c r="AY458" s="1100"/>
      <c r="AZ458" s="1100"/>
      <c r="BA458" s="1100"/>
      <c r="BB458" s="1100"/>
      <c r="BC458" s="1100"/>
      <c r="BD458" s="1100"/>
      <c r="BE458" s="1100"/>
      <c r="BF458" s="1100"/>
      <c r="BG458" s="1100"/>
      <c r="BH458" s="1100"/>
      <c r="BI458" s="1100"/>
      <c r="BJ458" s="1100"/>
      <c r="BK458" s="1100"/>
      <c r="BL458" s="1100"/>
      <c r="BM458" s="1100"/>
      <c r="BN458" s="4617"/>
      <c r="BO458" s="4617"/>
      <c r="BP458" s="4617"/>
      <c r="BQ458" s="1260"/>
      <c r="BR458" s="1260"/>
      <c r="BS458" s="1055" t="s">
        <v>2072</v>
      </c>
      <c r="BT458" s="1055"/>
      <c r="BU458" s="1055"/>
      <c r="BV458" s="1056"/>
      <c r="BW458" s="1056"/>
    </row>
    <row s="1621" customFormat="1" customHeight="1" ht="10.96875">
      <c r="B459" s="403"/>
      <c r="C459" s="0"/>
      <c r="D459" s="0"/>
      <c r="E459" s="651">
        <v>11.25</v>
      </c>
      <c r="F459" s="51"/>
      <c r="G459" s="0"/>
      <c r="H459" s="0"/>
      <c r="I459" s="0"/>
      <c r="J459" s="0"/>
      <c r="K459" s="0"/>
      <c r="L459" s="0"/>
      <c r="M459" s="0"/>
      <c r="N459" s="0"/>
      <c r="O459" s="0"/>
      <c r="P459" s="0"/>
      <c r="Q459" s="0"/>
      <c r="R459" s="0"/>
      <c r="S459" s="0"/>
      <c r="T459" s="0"/>
      <c r="U459" s="0" t="s">
        <v>177</v>
      </c>
      <c r="V459" s="809" t="s">
        <v>2092</v>
      </c>
      <c r="W459" s="0"/>
      <c r="X459" s="0"/>
      <c r="AB459" s="473"/>
      <c r="AC459" s="66"/>
      <c r="AD459" s="66"/>
      <c r="AE459" s="1093"/>
      <c r="AF459" s="1093"/>
      <c r="AG459" s="0"/>
      <c r="AH459" s="0"/>
      <c r="AI459" s="0"/>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0"/>
      <c r="BO459" s="0"/>
      <c r="BP459" s="0"/>
      <c r="BS459" s="987"/>
      <c r="BT459" s="987"/>
      <c r="BU459" s="987"/>
      <c r="BV459" s="603"/>
      <c r="BW459" s="603"/>
    </row>
    <row customHeight="1" ht="14.625">
      <c r="C460" s="73"/>
      <c r="D460" s="73"/>
      <c r="E460" s="600">
        <v>15</v>
      </c>
      <c r="F460" s="73"/>
      <c r="G460" s="73"/>
      <c r="H460" s="73"/>
      <c r="I460" s="73"/>
      <c r="J460" s="73"/>
      <c r="K460" s="73"/>
      <c r="L460" s="963"/>
      <c r="M460" s="73"/>
      <c r="N460" s="73"/>
      <c r="O460" s="73"/>
      <c r="P460" s="73"/>
      <c r="Q460" s="73"/>
      <c r="R460" s="73"/>
      <c r="S460" s="73"/>
      <c r="T460" s="73"/>
      <c r="U460" s="73"/>
      <c r="V460" s="73"/>
      <c r="W460" s="73"/>
      <c r="X460" s="73"/>
      <c r="AB460" s="1485" t="s">
        <v>398</v>
      </c>
      <c r="AC460" s="1485"/>
      <c r="AD460" s="1485"/>
      <c r="AE460" s="1485"/>
      <c r="AF460" s="1485"/>
      <c r="AG460" s="1485"/>
      <c r="AH460" s="1485"/>
      <c r="AI460" s="1485"/>
      <c r="AJ460" s="1485"/>
      <c r="AK460" s="1485"/>
      <c r="AL460" s="1485"/>
      <c r="AM460" s="1485"/>
      <c r="AN460" s="1485"/>
      <c r="AO460" s="1485"/>
      <c r="AP460" s="1485"/>
      <c r="AQ460" s="1485"/>
      <c r="AR460" s="1485"/>
      <c r="AS460" s="1485"/>
      <c r="AT460" s="1485"/>
      <c r="AU460" s="1485"/>
      <c r="AV460" s="1485"/>
      <c r="AW460" s="1485"/>
      <c r="AX460" s="1485"/>
      <c r="AY460" s="1485"/>
      <c r="AZ460" s="1485"/>
      <c r="BA460" s="1485"/>
      <c r="BB460" s="1485"/>
      <c r="BC460" s="1485"/>
      <c r="BD460" s="1485"/>
      <c r="BE460" s="1485"/>
      <c r="BF460" s="1485"/>
      <c r="BG460" s="1485"/>
      <c r="BH460" s="1485"/>
      <c r="BI460" s="1485"/>
      <c r="BJ460" s="1485"/>
      <c r="BK460" s="1485"/>
      <c r="BL460" s="1485"/>
      <c r="BM460" s="1485"/>
      <c r="BN460" s="1485"/>
      <c r="BO460" s="1485"/>
      <c r="BP460" s="1485"/>
    </row>
    <row customHeight="1" ht="14.625">
      <c r="E461" s="683">
        <v>15</v>
      </c>
      <c r="AA461" s="140"/>
      <c r="AB461" s="1562"/>
      <c r="AC461" s="1564"/>
      <c r="AD461" s="1564"/>
      <c r="AE461" s="1564"/>
      <c r="AF461" s="1564"/>
      <c r="AG461" s="1564"/>
      <c r="AH461" s="1564"/>
      <c r="AI461" s="1564"/>
      <c r="AJ461" s="1564"/>
      <c r="AK461" s="1564"/>
      <c r="AL461" s="1564"/>
      <c r="AM461" s="1564"/>
      <c r="AN461" s="1564"/>
      <c r="AO461" s="1564"/>
      <c r="AP461" s="1564"/>
      <c r="AQ461" s="1564"/>
      <c r="AR461" s="1564"/>
      <c r="AS461" s="1564"/>
      <c r="AT461" s="1564"/>
      <c r="AU461" s="1564"/>
      <c r="AV461" s="1564"/>
      <c r="AW461" s="1564"/>
      <c r="AX461" s="1564"/>
      <c r="AY461" s="1564"/>
      <c r="AZ461" s="1564"/>
      <c r="BA461" s="1564"/>
      <c r="BB461" s="1564"/>
      <c r="BC461" s="1564"/>
      <c r="BD461" s="1564"/>
      <c r="BE461" s="1564"/>
      <c r="BF461" s="1564"/>
      <c r="BG461" s="1564"/>
      <c r="BH461" s="1564"/>
      <c r="BI461" s="1564"/>
      <c r="BJ461" s="1564"/>
      <c r="BK461" s="1564"/>
      <c r="BL461" s="1564"/>
      <c r="BM461" s="1564"/>
      <c r="BN461" s="1564"/>
      <c r="BO461" s="1564"/>
      <c r="BP461" s="1564"/>
    </row>
    <row customHeight="1" ht="14.625" hidden="1">
      <c r="A462" s="960"/>
      <c r="B462" s="961"/>
      <c r="C462" s="960"/>
      <c r="D462" s="960"/>
      <c r="E462" s="683">
        <v>15</v>
      </c>
      <c r="F462" s="960"/>
      <c r="G462" s="960"/>
      <c r="H462" s="960"/>
      <c r="I462" s="960"/>
      <c r="J462" s="960"/>
      <c r="K462" s="960"/>
      <c r="L462" s="960"/>
      <c r="M462" s="960"/>
      <c r="N462" s="960"/>
      <c r="O462" s="960"/>
      <c r="P462" s="960"/>
      <c r="Q462" s="960"/>
      <c r="R462" s="960"/>
      <c r="S462" s="960"/>
      <c r="T462" s="439">
        <f>ROW(W462)&gt;ROW(W$462)</f>
        <v>0</v>
      </c>
      <c r="U462" s="960"/>
      <c r="V462" s="960"/>
      <c r="W462" s="124" t="s">
        <v>173</v>
      </c>
      <c r="X462" s="960"/>
      <c r="Y462" s="960"/>
      <c r="Z462" s="960"/>
      <c r="AA462" s="393" t="s">
        <v>174</v>
      </c>
      <c r="AB462" s="1580" t="s">
        <v>222</v>
      </c>
      <c r="AC462" s="1564"/>
      <c r="AD462" s="1564"/>
      <c r="AE462" s="1564"/>
      <c r="AF462" s="1564"/>
      <c r="AG462" s="1564"/>
      <c r="AH462" s="1564"/>
      <c r="AI462" s="1564"/>
      <c r="AJ462" s="1564"/>
      <c r="AK462" s="1564"/>
      <c r="AL462" s="1564"/>
      <c r="AM462" s="1564"/>
      <c r="AN462" s="1564"/>
      <c r="AO462" s="1564"/>
      <c r="AP462" s="1564"/>
      <c r="AQ462" s="1564"/>
      <c r="AR462" s="1564"/>
      <c r="AS462" s="1564"/>
      <c r="AT462" s="1564"/>
      <c r="AU462" s="1564"/>
      <c r="AV462" s="1564"/>
      <c r="AW462" s="1564"/>
      <c r="AX462" s="1564"/>
      <c r="AY462" s="1564"/>
      <c r="AZ462" s="1564"/>
      <c r="BA462" s="1564"/>
      <c r="BB462" s="1564"/>
      <c r="BC462" s="1564"/>
      <c r="BD462" s="1564"/>
      <c r="BE462" s="1564"/>
      <c r="BF462" s="1564"/>
      <c r="BG462" s="1564"/>
      <c r="BH462" s="1564"/>
      <c r="BI462" s="1564"/>
      <c r="BJ462" s="1564"/>
      <c r="BK462" s="1564"/>
      <c r="BL462" s="1564"/>
      <c r="BM462" s="1564"/>
      <c r="BN462" s="1564"/>
      <c r="BO462" s="1564"/>
      <c r="BP462" s="1564"/>
      <c r="BQ462" s="960"/>
      <c r="BR462" s="960"/>
      <c r="BS462" s="1048"/>
      <c r="BT462" s="1048"/>
      <c r="BU462" s="1048"/>
      <c r="BV462" s="962"/>
      <c r="BW462" s="962"/>
    </row>
    <row customHeight="1" ht="14.625">
      <c r="E463" s="683">
        <v>15</v>
      </c>
      <c r="W463" s="810" t="s">
        <v>399</v>
      </c>
      <c r="AB463" s="662"/>
      <c r="AC463" s="488" t="s">
        <v>400</v>
      </c>
      <c r="AD463" s="277"/>
      <c r="AE463" s="277"/>
      <c r="AF463" s="277"/>
      <c r="AG463" s="277"/>
      <c r="AH463" s="277"/>
      <c r="AI463" s="277"/>
      <c r="AJ463" s="277"/>
      <c r="AK463" s="277"/>
      <c r="AL463" s="277"/>
      <c r="AM463" s="277"/>
      <c r="AN463" s="277"/>
      <c r="AO463" s="277"/>
      <c r="AP463" s="277"/>
      <c r="AQ463" s="277"/>
      <c r="AR463" s="277"/>
      <c r="AS463" s="277"/>
      <c r="AT463" s="277"/>
      <c r="AU463" s="277"/>
      <c r="AV463" s="277"/>
      <c r="AW463" s="277"/>
      <c r="AX463" s="277"/>
      <c r="AY463" s="277"/>
      <c r="AZ463" s="277"/>
      <c r="BA463" s="277"/>
      <c r="BB463" s="277"/>
      <c r="BC463" s="277"/>
      <c r="BD463" s="277"/>
      <c r="BE463" s="277"/>
      <c r="BF463" s="277"/>
      <c r="BG463" s="277"/>
      <c r="BH463" s="277"/>
      <c r="BI463" s="277"/>
      <c r="BJ463" s="277"/>
      <c r="BK463" s="277"/>
      <c r="BL463" s="277"/>
      <c r="BM463" s="277"/>
      <c r="BN463" s="277"/>
      <c r="BO463" s="277"/>
      <c r="BP463" s="242"/>
    </row>
    <row customHeight="1" ht="10.96875">
      <c r="E464" s="683">
        <v>11.25</v>
      </c>
      <c r="AJ464" s="960"/>
      <c r="AK464" s="960"/>
      <c r="AL464" s="960"/>
      <c r="AM464" s="960"/>
      <c r="AN464" s="960"/>
      <c r="AO464" s="960"/>
      <c r="AP464" s="960"/>
      <c r="AQ464" s="960"/>
      <c r="AR464" s="960"/>
      <c r="AS464" s="960"/>
      <c r="AT464" s="960"/>
      <c r="AU464" s="960"/>
      <c r="AV464" s="960"/>
      <c r="AW464" s="960"/>
      <c r="AX464" s="960"/>
      <c r="AY464" s="960"/>
      <c r="AZ464" s="960"/>
      <c r="BA464" s="960"/>
      <c r="BB464" s="960"/>
      <c r="BC464" s="960"/>
      <c r="BD464" s="960"/>
      <c r="BE464" s="960"/>
      <c r="BF464" s="960"/>
      <c r="BG464" s="960"/>
      <c r="BH464" s="960"/>
      <c r="BI464" s="960"/>
      <c r="BJ464" s="960"/>
      <c r="BK464" s="960"/>
      <c r="BL464" s="960"/>
      <c r="BM464" s="960"/>
      <c r="BQ464" s="399"/>
    </row>
  </sheetData>
  <sheetProtection formatColumns="0" formatRows="0" insertRows="0" deleteColumns="0" deleteRows="0" sort="0" autoFilter="0" insertColumns="1"/>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7DAA33-57AA-5DE4-9CB8-9EE9A6448CB8}" mc:Ignorable="x14ac xr xr2 xr3">
  <sheetPr>
    <tabColor theme="6" tint="0.4"/>
  </sheetPr>
  <dimension ref="A1:AE27"/>
  <sheetViews>
    <sheetView topLeftCell="AA21" showGridLines="0" workbookViewId="0">
      <selection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26" style="1153" width="3.57421875" hidden="1" customWidth="1"/>
    <col min="27" max="27" style="1153" width="3.7109375" customWidth="1"/>
    <col min="28" max="28" style="1153" width="6.140625" customWidth="1"/>
    <col min="29" max="29" style="1153" width="20.7109375" customWidth="1"/>
    <col min="30" max="30" style="1153" width="92.57421875" customWidth="1"/>
    <col min="31" max="31" style="1153" width="9.140625"/>
  </cols>
  <sheetData>
    <row customHeight="1" ht="11.25" hidden="1">
      <c r="E1" s="88"/>
    </row>
    <row s="1160" customFormat="1" customHeight="1" ht="11.25" hidden="1">
      <c r="B2" s="419" t="s">
        <v>18</v>
      </c>
    </row>
    <row customHeight="1" ht="11.25" hidden="1">
      <c r="E3" s="88"/>
    </row>
    <row customHeight="1" ht="11.25" hidden="1">
      <c r="E4" s="88"/>
    </row>
    <row s="1161" customFormat="1" customHeight="1" ht="11.25" hidden="1">
      <c r="A5" s="88"/>
      <c r="B5" s="401"/>
      <c r="C5" s="88"/>
      <c r="D5" s="88"/>
      <c r="E5" s="596"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c r="AA21" s="398"/>
    </row>
    <row customHeight="1" ht="20.25">
      <c r="AB22" s="224" t="s">
        <v>20</v>
      </c>
      <c r="AC22" s="204"/>
      <c r="AD22" s="204"/>
    </row>
    <row r="24" s="1484" customFormat="1" customHeight="1" ht="30">
      <c r="B24" s="402"/>
      <c r="E24" s="234"/>
      <c r="AB24" s="57" t="s">
        <v>21</v>
      </c>
      <c r="AC24" s="57" t="s">
        <v>22</v>
      </c>
      <c r="AD24" s="57" t="s">
        <v>23</v>
      </c>
    </row>
    <row customHeight="1" ht="33.75">
      <c r="AB25" s="57">
        <v>1</v>
      </c>
      <c r="AC25" s="225" t="s">
        <v>24</v>
      </c>
      <c r="AD25" s="225" t="s">
        <v>25</v>
      </c>
    </row>
    <row customHeight="1" ht="69">
      <c r="AB26" s="57">
        <v>2</v>
      </c>
      <c r="AC26" s="225" t="s">
        <v>26</v>
      </c>
      <c r="AD26" s="225" t="s">
        <v>27</v>
      </c>
    </row>
    <row customHeight="1" ht="11.25">
      <c r="AE27" s="88"/>
    </row>
  </sheetData>
  <sheetProtection formatColumns="0" formatRows="0" insertRows="0" deleteColumns="0" deleteRows="0" sort="0" autoFilter="0" insert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683FD7-EF2A-E944-DD88-9DFA85E85BE8}" mc:Ignorable="x14ac xr xr2 xr3">
  <sheetPr>
    <tabColor rgb="FF92D050"/>
    <outlinePr summaryRight="0" summaryBelow="0"/>
    <pageSetUpPr fitToPage="1"/>
  </sheetPr>
  <dimension ref="A1:BW464"/>
  <sheetViews>
    <sheetView showGridLines="0" workbookViewId="0">
      <pane xSplit="30" ySplit="25" topLeftCell="AT454" activePane="bottomRight" state="frozen"/>
      <selection pane="bottomLeft" activeCell="A26" sqref="A26"/>
      <selection pane="topRight" activeCell="AE1" sqref="AE1"/>
      <selection pane="bottomRight" activeCell="AT448" sqref="AT448"/>
    </sheetView>
  </sheetViews>
  <sheetFormatPr defaultColWidth="9.140625" customHeight="1" defaultRowHeight="10.5"/>
  <cols>
    <col min="1" max="1" style="960" width="3.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12.28125" hidden="1" customWidth="1"/>
    <col min="8" max="11" style="960" width="3.57421875" hidden="1" customWidth="1"/>
    <col min="12" max="12" style="960" width="6.57421875" hidden="1" customWidth="1"/>
    <col min="13" max="16" style="960" width="3.57421875" hidden="1" customWidth="1"/>
    <col min="17" max="17" style="960" width="8.00390625" hidden="1" customWidth="1"/>
    <col min="18" max="18" style="960" width="6.421875" hidden="1" customWidth="1"/>
    <col min="19" max="19" style="960" width="11.140625" hidden="1" customWidth="1"/>
    <col min="20" max="20" style="960" width="10.421875" hidden="1" customWidth="1"/>
    <col min="21" max="21" style="960" width="5.8515625" hidden="1" customWidth="1"/>
    <col min="22" max="23" style="960" width="6.140625" hidden="1" customWidth="1"/>
    <col min="24"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6" style="960" width="12.57421875" customWidth="1"/>
    <col min="37" max="45" style="960" width="12.57421875" hidden="1" customWidth="1"/>
    <col min="46" max="46" style="960" width="12.57421875" customWidth="1"/>
    <col min="47" max="55" style="960" width="12.57421875" hidden="1" customWidth="1"/>
    <col min="56" max="56" style="960" width="12.57421875" customWidth="1"/>
    <col min="57" max="65" style="960" width="12.57421875" hidden="1" customWidth="1"/>
    <col min="66" max="67" style="960" width="20.00390625" customWidth="1"/>
    <col min="68" max="68" style="960" width="42.0039062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313</v>
      </c>
      <c r="I1" s="124" t="s">
        <v>1793</v>
      </c>
      <c r="J1" s="124" t="s">
        <v>351</v>
      </c>
      <c r="K1" s="124" t="s">
        <v>1794</v>
      </c>
      <c r="L1" s="960" t="s">
        <v>1795</v>
      </c>
      <c r="M1" s="124" t="s">
        <v>1796</v>
      </c>
      <c r="T1" s="439" t="s">
        <v>92</v>
      </c>
      <c r="U1" s="439" t="s">
        <v>97</v>
      </c>
      <c r="V1" s="439" t="s">
        <v>93</v>
      </c>
      <c r="W1" s="439" t="s">
        <v>94</v>
      </c>
      <c r="X1" s="439" t="s">
        <v>95</v>
      </c>
      <c r="Y1" s="441" t="s">
        <v>315</v>
      </c>
      <c r="Z1" s="439" t="s">
        <v>99</v>
      </c>
      <c r="AA1" s="440" t="s">
        <v>96</v>
      </c>
      <c r="AB1" s="51"/>
      <c r="AC1" s="440" t="s">
        <v>98</v>
      </c>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316</v>
      </c>
      <c r="BT1" s="1048" t="s">
        <v>317</v>
      </c>
      <c r="BU1" s="1048" t="s">
        <v>318</v>
      </c>
      <c r="BV1" s="683" t="s">
        <v>321</v>
      </c>
      <c r="BW1" s="683" t="s">
        <v>322</v>
      </c>
    </row>
    <row s="961" customFormat="1" customHeight="1" ht="11.25" hidden="1">
      <c r="B2" s="418" t="s">
        <v>18</v>
      </c>
      <c r="AC2" s="406"/>
      <c r="AJ2" s="419">
        <f>AJ6&lt;=last_year_vis</f>
        <v>1</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0</v>
      </c>
      <c r="BF2" s="419">
        <f>BF6&lt;=last_year_vis</f>
        <v>0</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R3" s="418" t="b">
        <v>0</v>
      </c>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354</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355</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359</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360</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361</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331</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318</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1580</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332</v>
      </c>
      <c r="AC18" s="123" t="s">
        <v>362</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Филиал АО "УК "Кузбассразрезуголь" "Талдинский угольный разрез" (ИНН:4205049090, КПП:423802002) / ДПР: 2024-2028</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7"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362</v>
      </c>
      <c r="AD24" s="1488" t="s">
        <v>363</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1583</v>
      </c>
      <c r="BO24" s="1510" t="s">
        <v>507</v>
      </c>
      <c r="BP24" s="1510" t="s">
        <v>1584</v>
      </c>
      <c r="BS24" s="1051"/>
      <c r="BT24" s="1051"/>
      <c r="BU24" s="1051"/>
      <c r="BV24" s="684"/>
      <c r="BW24" s="684"/>
    </row>
    <row s="964" customFormat="1" customHeight="1" ht="48.993750000000006">
      <c r="B25" s="406"/>
      <c r="E25" s="684">
        <v>50.25</v>
      </c>
      <c r="AB25" s="1488"/>
      <c r="AC25" s="1488"/>
      <c r="AD25" s="1488"/>
      <c r="AE25" s="57" t="s">
        <v>356</v>
      </c>
      <c r="AF25" s="1105" t="s">
        <v>431</v>
      </c>
      <c r="AG25" s="57" t="s">
        <v>432</v>
      </c>
      <c r="AH25" s="57" t="s">
        <v>1585</v>
      </c>
      <c r="AI25" s="57" t="s">
        <v>356</v>
      </c>
      <c r="AJ25" s="1107" t="s">
        <v>357</v>
      </c>
      <c r="AK25" s="1107" t="s">
        <v>357</v>
      </c>
      <c r="AL25" s="1107" t="s">
        <v>357</v>
      </c>
      <c r="AM25" s="1107" t="s">
        <v>357</v>
      </c>
      <c r="AN25" s="1107" t="s">
        <v>357</v>
      </c>
      <c r="AO25" s="1107" t="s">
        <v>357</v>
      </c>
      <c r="AP25" s="1107" t="s">
        <v>357</v>
      </c>
      <c r="AQ25" s="1107" t="s">
        <v>357</v>
      </c>
      <c r="AR25" s="1107" t="s">
        <v>357</v>
      </c>
      <c r="AS25" s="1107" t="s">
        <v>357</v>
      </c>
      <c r="AT25" s="327" t="s">
        <v>356</v>
      </c>
      <c r="AU25" s="327" t="s">
        <v>356</v>
      </c>
      <c r="AV25" s="327" t="s">
        <v>356</v>
      </c>
      <c r="AW25" s="327" t="s">
        <v>356</v>
      </c>
      <c r="AX25" s="327" t="s">
        <v>356</v>
      </c>
      <c r="AY25" s="327" t="s">
        <v>356</v>
      </c>
      <c r="AZ25" s="327" t="s">
        <v>356</v>
      </c>
      <c r="BA25" s="327" t="s">
        <v>356</v>
      </c>
      <c r="BB25" s="327" t="s">
        <v>356</v>
      </c>
      <c r="BC25" s="327" t="s">
        <v>356</v>
      </c>
      <c r="BD25" s="1510" t="s">
        <v>1582</v>
      </c>
      <c r="BE25" s="1510"/>
      <c r="BF25" s="1510"/>
      <c r="BG25" s="1510"/>
      <c r="BH25" s="1510"/>
      <c r="BI25" s="1510"/>
      <c r="BJ25" s="1510"/>
      <c r="BK25" s="1510"/>
      <c r="BL25" s="1510"/>
      <c r="BM25" s="1510"/>
      <c r="BN25" s="1510"/>
      <c r="BO25" s="1510"/>
      <c r="BP25" s="1510"/>
      <c r="BS25" s="1051"/>
      <c r="BT25" s="1051"/>
      <c r="BU25" s="1051"/>
      <c r="BV25" s="684"/>
      <c r="BW25" s="684"/>
    </row>
    <row s="1621" customFormat="1" customHeight="1" ht="11.25">
      <c r="B26" s="403"/>
      <c r="E26" s="651" t="s">
        <v>366</v>
      </c>
      <c r="F26" s="139" t="s">
        <v>1797</v>
      </c>
      <c r="R26" s="0"/>
      <c r="S26" s="726" t="s">
        <v>367</v>
      </c>
      <c r="T26" s="0"/>
      <c r="AC26" s="66"/>
      <c r="AD26" s="66"/>
      <c r="AE26" s="66"/>
      <c r="AF26" s="66"/>
      <c r="AJ26" s="1621"/>
      <c r="AK26" s="1621"/>
      <c r="AL26" s="1621"/>
      <c r="AM26" s="1621"/>
      <c r="AN26" s="1621"/>
      <c r="AO26" s="1621"/>
      <c r="AP26" s="1621"/>
      <c r="AQ26" s="67"/>
      <c r="AR26" s="1621"/>
      <c r="AS26" s="1621"/>
      <c r="AT26" s="1621"/>
      <c r="AU26" s="1621"/>
      <c r="AV26" s="1621"/>
      <c r="AW26" s="1621"/>
      <c r="AX26" s="1621"/>
      <c r="AY26" s="1621"/>
      <c r="AZ26" s="1621"/>
      <c r="BA26" s="1621"/>
      <c r="BB26" s="1621"/>
      <c r="BC26" s="1621"/>
      <c r="BD26" s="1621"/>
      <c r="BE26" s="1621"/>
      <c r="BF26" s="1621"/>
      <c r="BG26" s="1621"/>
      <c r="BH26" s="1621"/>
      <c r="BI26" s="1621"/>
      <c r="BJ26" s="1621"/>
      <c r="BK26" s="1621"/>
      <c r="BL26" s="1621"/>
      <c r="BM26" s="1621"/>
      <c r="BS26" s="987"/>
      <c r="BT26" s="987"/>
      <c r="BU26" s="987"/>
      <c r="BV26" s="603"/>
      <c r="BW26" s="603"/>
    </row>
    <row s="1153" customFormat="1" customHeight="1" ht="14.625" hidden="1">
      <c r="A27" s="1153"/>
      <c r="B27" s="401"/>
      <c r="C27" s="1153"/>
      <c r="D27" s="1153"/>
      <c r="E27" s="597">
        <v>15</v>
      </c>
      <c r="F27" s="64" cm="1" t="str">
        <f t="array" ref="F27:F27">X27</f>
        <v>0</v>
      </c>
      <c r="G27" s="64" cm="1" t="str">
        <f t="array" ref="G27:G27">INDEX('Общие сведения'!$AK$179:$AK$222,MATCH($X27,'Общие сведения'!$Z$179:$Z$222,0))</f>
        <v>0</v>
      </c>
      <c r="H27" s="1153"/>
      <c r="I27" s="64"/>
      <c r="J27" s="1153"/>
      <c r="K27" s="1153"/>
      <c r="L27" s="965"/>
      <c r="M27" s="399"/>
      <c r="N27" s="1153"/>
      <c r="O27" s="1153"/>
      <c r="P27" s="1153"/>
      <c r="Q27" s="1153"/>
      <c r="R27" s="1153"/>
      <c r="S27" s="88" cm="1" t="str">
        <f t="array" ref="S27:S27">INDEX('Общие сведения'!$AE$179:$AE$222,MATCH($X27,'Общие сведения'!$Z$179:$Z$222,0))</f>
        <v>0</v>
      </c>
      <c r="T27" s="439">
        <f>X27&gt;0</f>
        <v>0</v>
      </c>
      <c r="U27" s="1153"/>
      <c r="V27" s="88" t="s">
        <v>261</v>
      </c>
      <c r="W27" s="1153"/>
      <c r="X27" s="1482">
        <v>0</v>
      </c>
      <c r="Y27" s="1153"/>
      <c r="Z27" s="1465"/>
      <c r="AA27" s="1153"/>
      <c r="AB27" s="348" cm="1" t="str">
        <f t="array" ref="AB27:AB27">INDEX('Общие сведения'!$AG$179:$AG$222,MATCH($X27,'Общие сведения'!$Z$179:$Z$222,0))</f>
        <v>Тариф 0 () - </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127"/>
      <c r="D28" s="127"/>
      <c r="E28" s="685">
        <v>21</v>
      </c>
      <c r="F28" s="50" cm="1" t="str">
        <f t="array" ref="F28:F28">OFFSET(E28,-1,1)</f>
        <v>0</v>
      </c>
      <c r="G28" s="127"/>
      <c r="H28" s="344"/>
      <c r="I28" s="344" t="s">
        <v>325</v>
      </c>
      <c r="J28" s="127"/>
      <c r="K28" s="344" t="s">
        <v>325</v>
      </c>
      <c r="L28" s="966"/>
      <c r="M28" s="837"/>
      <c r="N28" s="127"/>
      <c r="O28" s="127"/>
      <c r="P28" s="127"/>
      <c r="Q28" s="127"/>
      <c r="R28" s="127" t="s">
        <v>2093</v>
      </c>
      <c r="S28" s="127"/>
      <c r="T28" s="439" cm="1" t="str">
        <f t="array" ref="T28:T28">T27</f>
        <v>false</v>
      </c>
      <c r="U28" s="127"/>
      <c r="V28" s="127"/>
      <c r="W28" s="127"/>
      <c r="X28" s="1482"/>
      <c r="Y28" s="127"/>
      <c r="Z28" s="1465"/>
      <c r="AA28" s="127"/>
      <c r="AB28" s="214" t="s">
        <v>272</v>
      </c>
      <c r="AC28" s="179" t="s">
        <v>1798</v>
      </c>
      <c r="AD28" s="201" t="s">
        <v>784</v>
      </c>
      <c r="AE28" s="742">
        <f>SUM(AE30,AE47,AE53,AE73,AE74,AE75)</f>
        <v>0</v>
      </c>
      <c r="AF28" s="742">
        <f>SUM(AF30,AF47,AF53,AF73,AF74,AF75)</f>
        <v>0</v>
      </c>
      <c r="AG28" s="742">
        <f>SUM(AG30,AG47,AG53,AG73,AG74,AG75)</f>
        <v>0</v>
      </c>
      <c r="AH28" s="742">
        <f>AG28-AF28</f>
        <v>0</v>
      </c>
      <c r="AI28" s="1273">
        <f>AE28*AI29</f>
        <v>0</v>
      </c>
      <c r="AJ28" s="4595">
        <f>AI28*AJ29</f>
        <v>0</v>
      </c>
      <c r="AK28" s="1273">
        <f>AJ28*AK29</f>
        <v>0</v>
      </c>
      <c r="AL28" s="1273">
        <f>AK28*AL29</f>
        <v>0</v>
      </c>
      <c r="AM28" s="1273">
        <f>AL28*AM29</f>
        <v>0</v>
      </c>
      <c r="AN28" s="1273">
        <f>AM28*AN29</f>
        <v>0</v>
      </c>
      <c r="AO28" s="1273">
        <f>AN28*AO29</f>
        <v>0</v>
      </c>
      <c r="AP28" s="1273">
        <f>AO28*AP29</f>
        <v>0</v>
      </c>
      <c r="AQ28" s="1273">
        <f>AP28*AQ29</f>
        <v>0</v>
      </c>
      <c r="AR28" s="1273">
        <f>AQ28*AR29</f>
        <v>0</v>
      </c>
      <c r="AS28" s="1273">
        <f>AR28*AS29</f>
        <v>0</v>
      </c>
      <c r="AT28" s="4595">
        <f>AI28*AT29</f>
        <v>0</v>
      </c>
      <c r="AU28" s="1273">
        <f>AT28*AU29</f>
        <v>0</v>
      </c>
      <c r="AV28" s="1273">
        <f>AU28*AV29</f>
        <v>0</v>
      </c>
      <c r="AW28" s="1273">
        <f>AV28*AW29</f>
        <v>0</v>
      </c>
      <c r="AX28" s="1273">
        <f>AW28*AX29</f>
        <v>0</v>
      </c>
      <c r="AY28" s="1273">
        <f>AX28*AY29</f>
        <v>0</v>
      </c>
      <c r="AZ28" s="1273">
        <f>AY28*AZ29</f>
        <v>0</v>
      </c>
      <c r="BA28" s="1273">
        <f>AZ28*BA29</f>
        <v>0</v>
      </c>
      <c r="BB28" s="1273">
        <f>BA28*BB29</f>
        <v>0</v>
      </c>
      <c r="BC28" s="1273">
        <f>BB28*BC29</f>
        <v>0</v>
      </c>
      <c r="BD28" s="742">
        <f>IF(AI28=0,0,(AT28-AI28)/AI28*100)</f>
        <v>0</v>
      </c>
      <c r="BE28" s="742">
        <f>IF(AT28=0,0,(AU28-AT28)/AT28*100)</f>
        <v>0</v>
      </c>
      <c r="BF28" s="742">
        <f>IF(AU28=0,0,(AV28-AU28)/AU28*100)</f>
        <v>0</v>
      </c>
      <c r="BG28" s="742">
        <f>IF(AV28=0,0,(AW28-AV28)/AV28*100)</f>
        <v>0</v>
      </c>
      <c r="BH28" s="742">
        <f>IF(AW28=0,0,(AX28-AW28)/AW28*100)</f>
        <v>0</v>
      </c>
      <c r="BI28" s="742">
        <f>IF(AX28=0,0,(AY28-AX28)/AX28*100)</f>
        <v>0</v>
      </c>
      <c r="BJ28" s="742">
        <f>IF(AY28=0,0,(AZ28-AY28)/AY28*100)</f>
        <v>0</v>
      </c>
      <c r="BK28" s="742">
        <f>IF(AZ28=0,0,(BA28-AZ28)/AZ28*100)</f>
        <v>0</v>
      </c>
      <c r="BL28" s="742">
        <f>IF(BA28=0,0,(BB28-BA28)/BA28*100)</f>
        <v>0</v>
      </c>
      <c r="BM28" s="742">
        <f>IF(BB28=0,0,(BC28-BB28)/BB28*100)</f>
        <v>0</v>
      </c>
      <c r="BN28" s="1278"/>
      <c r="BO28" s="1278"/>
      <c r="BP28" s="1278"/>
      <c r="BQ28" s="126"/>
      <c r="BR28" s="127"/>
      <c r="BS28" s="1052" t="s">
        <v>504</v>
      </c>
      <c r="BT28" s="1052"/>
      <c r="BU28" s="1052"/>
      <c r="BV28" s="685"/>
      <c r="BW28" s="685"/>
    </row>
    <row customHeight="1" ht="14.625" hidden="1">
      <c r="A29" s="960"/>
      <c r="B29" s="961"/>
      <c r="C29" s="960"/>
      <c r="D29" s="960"/>
      <c r="E29" s="683">
        <v>15</v>
      </c>
      <c r="F29" s="50" cm="1" t="str">
        <f t="array" ref="F29:F29">OFFSET(E29,-1,1)</f>
        <v>0</v>
      </c>
      <c r="G29" s="960"/>
      <c r="H29" s="345"/>
      <c r="I29" s="345" t="s">
        <v>441</v>
      </c>
      <c r="J29" s="960"/>
      <c r="K29" s="345" t="s">
        <v>441</v>
      </c>
      <c r="L29" s="963"/>
      <c r="M29" s="73"/>
      <c r="N29" s="960"/>
      <c r="O29" s="960"/>
      <c r="P29" s="960"/>
      <c r="Q29" s="960"/>
      <c r="R29" s="127" t="s">
        <v>2093</v>
      </c>
      <c r="S29" s="960"/>
      <c r="T29" s="439" cm="1" t="str">
        <f t="array" ref="T29:T29">T28</f>
        <v>false</v>
      </c>
      <c r="U29" s="960"/>
      <c r="V29" s="960"/>
      <c r="W29" s="960"/>
      <c r="X29" s="1482"/>
      <c r="Y29" s="960"/>
      <c r="Z29" s="1465"/>
      <c r="AA29" s="960"/>
      <c r="AB29" s="266" t="s">
        <v>845</v>
      </c>
      <c r="AC29" s="743" t="s">
        <v>1799</v>
      </c>
      <c r="AD29" s="267"/>
      <c r="AE29" s="1279"/>
      <c r="AF29" s="1279"/>
      <c r="AG29" s="1279"/>
      <c r="AH29" s="924">
        <f>AG29-AF29</f>
        <v>0</v>
      </c>
      <c r="AI29" s="1279">
        <f>_xlfn.SUMIFS(INDEX(Сценарии!$AE$25:$BF$109,,MATCH(AI$8,Сценарии!$AE$8:$BF$8,0)),Сценарии!$F$25:$F$109,$F29,Сценарии!$G$25:$G$109,"ИОР")</f>
        <v>1</v>
      </c>
      <c r="AJ29" s="4743">
        <f>_xlfn.SUMIFS(INDEX(Сценарии!$AE$25:$BF$109,,MATCH(AJ$8,Сценарии!$AE$8:$BF$8,0)),Сценарии!$F$25:$F$109,$F29,Сценарии!$G$25:$G$109,"ИОР")</f>
        <v>1</v>
      </c>
      <c r="AK29" s="1279">
        <f>_xlfn.SUMIFS(INDEX(Сценарии!$AE$25:$BF$109,,MATCH(AK$8,Сценарии!$AE$8:$BF$8,0)),Сценарии!$F$25:$F$109,$F29,Сценарии!$G$25:$G$109,"ИОР")</f>
        <v>1</v>
      </c>
      <c r="AL29" s="1279">
        <f>_xlfn.SUMIFS(INDEX(Сценарии!$AE$25:$BF$109,,MATCH(AL$8,Сценарии!$AE$8:$BF$8,0)),Сценарии!$F$25:$F$109,$F29,Сценарии!$G$25:$G$109,"ИОР")</f>
        <v>1</v>
      </c>
      <c r="AM29" s="1279">
        <f>_xlfn.SUMIFS(INDEX(Сценарии!$AE$25:$BF$109,,MATCH(AM$8,Сценарии!$AE$8:$BF$8,0)),Сценарии!$F$25:$F$109,$F29,Сценарии!$G$25:$G$109,"ИОР")</f>
        <v>1</v>
      </c>
      <c r="AN29" s="1279">
        <f>_xlfn.SUMIFS(INDEX(Сценарии!$AE$25:$BF$109,,MATCH(AN$8,Сценарии!$AE$8:$BF$8,0)),Сценарии!$F$25:$F$109,$F29,Сценарии!$G$25:$G$109,"ИОР")</f>
        <v>1</v>
      </c>
      <c r="AO29" s="1279">
        <f>_xlfn.SUMIFS(INDEX(Сценарии!$AE$25:$BF$109,,MATCH(AO$8,Сценарии!$AE$8:$BF$8,0)),Сценарии!$F$25:$F$109,$F29,Сценарии!$G$25:$G$109,"ИОР")</f>
        <v>1</v>
      </c>
      <c r="AP29" s="1279">
        <f>_xlfn.SUMIFS(INDEX(Сценарии!$AE$25:$BF$109,,MATCH(AP$8,Сценарии!$AE$8:$BF$8,0)),Сценарии!$F$25:$F$109,$F29,Сценарии!$G$25:$G$109,"ИОР")</f>
        <v>1</v>
      </c>
      <c r="AQ29" s="1279">
        <f>_xlfn.SUMIFS(INDEX(Сценарии!$AE$25:$BF$109,,MATCH(AQ$8,Сценарии!$AE$8:$BF$8,0)),Сценарии!$F$25:$F$109,$F29,Сценарии!$G$25:$G$109,"ИОР")</f>
        <v>1</v>
      </c>
      <c r="AR29" s="1279">
        <f>_xlfn.SUMIFS(INDEX(Сценарии!$AE$25:$BF$109,,MATCH(AR$8,Сценарии!$AE$8:$BF$8,0)),Сценарии!$F$25:$F$109,$F29,Сценарии!$G$25:$G$109,"ИОР")</f>
        <v>1</v>
      </c>
      <c r="AS29" s="1279">
        <f>_xlfn.SUMIFS(INDEX(Сценарии!$AE$25:$BF$109,,MATCH(AS$8,Сценарии!$AE$8:$BF$8,0)),Сценарии!$F$25:$F$109,$F29,Сценарии!$G$25:$G$109,"ИОР")</f>
        <v>1</v>
      </c>
      <c r="AT29" s="4743">
        <f>_xlfn.SUMIFS(INDEX(Сценарии!$AE$25:$BF$109,,MATCH(AT$8,Сценарии!$AE$8:$BF$8,0)),Сценарии!$F$25:$F$109,$F29,Сценарии!$G$25:$G$109,"ИОР")</f>
        <v>1</v>
      </c>
      <c r="AU29" s="1279">
        <f>_xlfn.SUMIFS(INDEX(Сценарии!$AE$25:$BF$109,,MATCH(AU$8,Сценарии!$AE$8:$BF$8,0)),Сценарии!$F$25:$F$109,$F29,Сценарии!$G$25:$G$109,"ИОР")</f>
        <v>1</v>
      </c>
      <c r="AV29" s="1279">
        <f>_xlfn.SUMIFS(INDEX(Сценарии!$AE$25:$BF$109,,MATCH(AV$8,Сценарии!$AE$8:$BF$8,0)),Сценарии!$F$25:$F$109,$F29,Сценарии!$G$25:$G$109,"ИОР")</f>
        <v>1</v>
      </c>
      <c r="AW29" s="1279">
        <f>_xlfn.SUMIFS(INDEX(Сценарии!$AE$25:$BF$109,,MATCH(AW$8,Сценарии!$AE$8:$BF$8,0)),Сценарии!$F$25:$F$109,$F29,Сценарии!$G$25:$G$109,"ИОР")</f>
        <v>1</v>
      </c>
      <c r="AX29" s="1279">
        <f>_xlfn.SUMIFS(INDEX(Сценарии!$AE$25:$BF$109,,MATCH(AX$8,Сценарии!$AE$8:$BF$8,0)),Сценарии!$F$25:$F$109,$F29,Сценарии!$G$25:$G$109,"ИОР")</f>
        <v>1</v>
      </c>
      <c r="AY29" s="1279">
        <f>_xlfn.SUMIFS(INDEX(Сценарии!$AE$25:$BF$109,,MATCH(AY$8,Сценарии!$AE$8:$BF$8,0)),Сценарии!$F$25:$F$109,$F29,Сценарии!$G$25:$G$109,"ИОР")</f>
        <v>1</v>
      </c>
      <c r="AZ29" s="1279">
        <f>_xlfn.SUMIFS(INDEX(Сценарии!$AE$25:$BF$109,,MATCH(AZ$8,Сценарии!$AE$8:$BF$8,0)),Сценарии!$F$25:$F$109,$F29,Сценарии!$G$25:$G$109,"ИОР")</f>
        <v>1</v>
      </c>
      <c r="BA29" s="1279">
        <f>_xlfn.SUMIFS(INDEX(Сценарии!$AE$25:$BF$109,,MATCH(BA$8,Сценарии!$AE$8:$BF$8,0)),Сценарии!$F$25:$F$109,$F29,Сценарии!$G$25:$G$109,"ИОР")</f>
        <v>1</v>
      </c>
      <c r="BB29" s="1279">
        <f>_xlfn.SUMIFS(INDEX(Сценарии!$AE$25:$BF$109,,MATCH(BB$8,Сценарии!$AE$8:$BF$8,0)),Сценарии!$F$25:$F$109,$F29,Сценарии!$G$25:$G$109,"ИОР")</f>
        <v>1</v>
      </c>
      <c r="BC29" s="1279">
        <f>_xlfn.SUMIFS(INDEX(Сценарии!$AE$25:$BF$109,,MATCH(BC$8,Сценарии!$AE$8:$BF$8,0)),Сценарии!$F$25:$F$109,$F29,Сценарии!$G$25:$G$109,"ИОР")</f>
        <v>1</v>
      </c>
      <c r="BD29" s="925"/>
      <c r="BE29" s="925"/>
      <c r="BF29" s="925"/>
      <c r="BG29" s="925"/>
      <c r="BH29" s="925"/>
      <c r="BI29" s="925"/>
      <c r="BJ29" s="925"/>
      <c r="BK29" s="925"/>
      <c r="BL29" s="925"/>
      <c r="BM29" s="925"/>
      <c r="BN29" s="1278"/>
      <c r="BO29" s="1278"/>
      <c r="BP29" s="1278"/>
      <c r="BQ29" s="960"/>
      <c r="BR29" s="960"/>
      <c r="BS29" s="1048" t="s">
        <v>1800</v>
      </c>
      <c r="BT29" s="1048"/>
      <c r="BU29" s="1048"/>
      <c r="BV29" s="962"/>
      <c r="BW29" s="962"/>
    </row>
    <row s="126" customFormat="1" customHeight="1" ht="20.475" hidden="1">
      <c r="A30" s="126"/>
      <c r="B30" s="407"/>
      <c r="C30" s="126"/>
      <c r="D30" s="126"/>
      <c r="E30" s="686">
        <v>21</v>
      </c>
      <c r="F30" s="50" cm="1" t="str">
        <f t="array" ref="F30:F30">OFFSET(E30,-1,1)</f>
        <v>0</v>
      </c>
      <c r="G30" s="126"/>
      <c r="H30" s="344"/>
      <c r="I30" s="344" t="s">
        <v>445</v>
      </c>
      <c r="J30" s="126"/>
      <c r="K30" s="344" t="s">
        <v>445</v>
      </c>
      <c r="L30" s="967" t="s">
        <v>325</v>
      </c>
      <c r="M30" s="840"/>
      <c r="N30" s="126"/>
      <c r="O30" s="126"/>
      <c r="P30" s="126"/>
      <c r="Q30" s="124" t="s">
        <v>2093</v>
      </c>
      <c r="R30" s="127" t="s">
        <v>2093</v>
      </c>
      <c r="S30" s="126"/>
      <c r="T30" s="439" cm="1" t="str">
        <f t="array" ref="T30:T30">T29</f>
        <v>false</v>
      </c>
      <c r="U30" s="126"/>
      <c r="V30" s="126"/>
      <c r="W30" s="126"/>
      <c r="X30" s="1482"/>
      <c r="Y30" s="126"/>
      <c r="Z30" s="1465"/>
      <c r="AA30" s="126"/>
      <c r="AB30" s="214" t="s">
        <v>848</v>
      </c>
      <c r="AC30" s="328" t="s">
        <v>1586</v>
      </c>
      <c r="AD30" s="201" t="s">
        <v>784</v>
      </c>
      <c r="AE30" s="742">
        <f>SUM(AE31,AE34,AE35,AE38,AE39)</f>
        <v>0</v>
      </c>
      <c r="AF30" s="742">
        <f>SUM(AF31,AF34,AF35,AF38,AF39)</f>
        <v>0</v>
      </c>
      <c r="AG30" s="742">
        <f>SUM(AG31,AG34,AG35,AG38,AG39)</f>
        <v>0</v>
      </c>
      <c r="AH30" s="742">
        <f>AG30-AF30</f>
        <v>0</v>
      </c>
      <c r="AI30" s="4745">
        <f>SUM(AI31,AI34,AI35,AI38,AI39)</f>
        <v>0</v>
      </c>
      <c r="AJ30" s="4743"/>
      <c r="AK30" s="745"/>
      <c r="AL30" s="745"/>
      <c r="AM30" s="745"/>
      <c r="AN30" s="745"/>
      <c r="AO30" s="745"/>
      <c r="AP30" s="745"/>
      <c r="AQ30" s="745"/>
      <c r="AR30" s="745"/>
      <c r="AS30" s="745"/>
      <c r="AT30" s="745"/>
      <c r="AU30" s="745"/>
      <c r="AV30" s="745"/>
      <c r="AW30" s="745"/>
      <c r="AX30" s="745"/>
      <c r="AY30" s="745"/>
      <c r="AZ30" s="745"/>
      <c r="BA30" s="745"/>
      <c r="BB30" s="745"/>
      <c r="BC30" s="745"/>
      <c r="BD30" s="745"/>
      <c r="BE30" s="745"/>
      <c r="BF30" s="745"/>
      <c r="BG30" s="745"/>
      <c r="BH30" s="745"/>
      <c r="BI30" s="745"/>
      <c r="BJ30" s="745"/>
      <c r="BK30" s="745"/>
      <c r="BL30" s="745"/>
      <c r="BM30" s="745"/>
      <c r="BN30" s="1274"/>
      <c r="BO30" s="1274"/>
      <c r="BP30" s="1274"/>
      <c r="BQ30" s="126"/>
      <c r="BR30" s="126"/>
      <c r="BS30" s="1046" t="s">
        <v>498</v>
      </c>
      <c r="BT30" s="1053"/>
      <c r="BU30" s="1053"/>
      <c r="BV30" s="686"/>
      <c r="BW30" s="686"/>
    </row>
    <row customHeight="1" ht="14.625" hidden="1">
      <c r="A31" s="960"/>
      <c r="B31" s="961"/>
      <c r="C31" s="960"/>
      <c r="D31" s="960"/>
      <c r="E31" s="683">
        <v>15</v>
      </c>
      <c r="F31" s="50" cm="1" t="str">
        <f t="array" ref="F31:F31">OFFSET(E31,-1,1)</f>
        <v>0</v>
      </c>
      <c r="G31" s="960"/>
      <c r="H31" s="345"/>
      <c r="I31" s="345" t="s">
        <v>1219</v>
      </c>
      <c r="J31" s="960"/>
      <c r="K31" s="345" t="s">
        <v>1219</v>
      </c>
      <c r="L31" s="963" t="s">
        <v>441</v>
      </c>
      <c r="M31" s="73"/>
      <c r="N31" s="960"/>
      <c r="O31" s="960"/>
      <c r="P31" s="960"/>
      <c r="Q31" s="124" t="s">
        <v>2093</v>
      </c>
      <c r="R31" s="127" t="s">
        <v>2093</v>
      </c>
      <c r="S31" s="960"/>
      <c r="T31" s="439" cm="1" t="str">
        <f t="array" ref="T31:T31">T30</f>
        <v>false</v>
      </c>
      <c r="U31" s="960"/>
      <c r="V31" s="960"/>
      <c r="W31" s="960"/>
      <c r="X31" s="1482"/>
      <c r="Y31" s="960"/>
      <c r="Z31" s="1465"/>
      <c r="AA31" s="960"/>
      <c r="AB31" s="266" t="s">
        <v>1220</v>
      </c>
      <c r="AC31" s="746" t="s">
        <v>1801</v>
      </c>
      <c r="AD31" s="747" t="s">
        <v>784</v>
      </c>
      <c r="AE31" s="926">
        <f>SUM(AE32,AE33)</f>
        <v>0</v>
      </c>
      <c r="AF31" s="926">
        <f>SUM(AF32,AF33)</f>
        <v>0</v>
      </c>
      <c r="AG31" s="926">
        <f>SUM(AG32,AG33)</f>
        <v>0</v>
      </c>
      <c r="AH31" s="926">
        <f>AG31-AF31</f>
        <v>0</v>
      </c>
      <c r="AI31" s="4748">
        <f>SUM(AI32,AI33)</f>
        <v>0</v>
      </c>
      <c r="AJ31" s="4743"/>
      <c r="AK31" s="925"/>
      <c r="AL31" s="925"/>
      <c r="AM31" s="925"/>
      <c r="AN31" s="925"/>
      <c r="AO31" s="925"/>
      <c r="AP31" s="925"/>
      <c r="AQ31" s="925"/>
      <c r="AR31" s="925"/>
      <c r="AS31" s="925"/>
      <c r="AT31" s="925"/>
      <c r="AU31" s="925"/>
      <c r="AV31" s="925"/>
      <c r="AW31" s="925"/>
      <c r="AX31" s="925"/>
      <c r="AY31" s="925"/>
      <c r="AZ31" s="925"/>
      <c r="BA31" s="925"/>
      <c r="BB31" s="925"/>
      <c r="BC31" s="925"/>
      <c r="BD31" s="925"/>
      <c r="BE31" s="925"/>
      <c r="BF31" s="925"/>
      <c r="BG31" s="925"/>
      <c r="BH31" s="925"/>
      <c r="BI31" s="925"/>
      <c r="BJ31" s="925"/>
      <c r="BK31" s="925"/>
      <c r="BL31" s="925"/>
      <c r="BM31" s="925"/>
      <c r="BN31" s="1278"/>
      <c r="BO31" s="1278"/>
      <c r="BP31" s="1278"/>
      <c r="BQ31" s="76"/>
      <c r="BR31" s="960"/>
      <c r="BS31" s="1047" t="s">
        <v>1588</v>
      </c>
      <c r="BT31" s="1048"/>
      <c r="BU31" s="1048"/>
      <c r="BV31" s="962"/>
      <c r="BW31" s="962"/>
    </row>
    <row customHeight="1" ht="14.625" hidden="1">
      <c r="A32" s="960"/>
      <c r="B32" s="961"/>
      <c r="C32" s="960"/>
      <c r="D32" s="960"/>
      <c r="E32" s="683">
        <v>15</v>
      </c>
      <c r="F32" s="50" cm="1" t="str">
        <f t="array" ref="F32:F32">OFFSET(E32,-1,1)</f>
        <v>0</v>
      </c>
      <c r="G32" s="960"/>
      <c r="H32" s="345"/>
      <c r="I32" s="345" t="s">
        <v>1802</v>
      </c>
      <c r="J32" s="960"/>
      <c r="K32" s="345" t="s">
        <v>1802</v>
      </c>
      <c r="L32" s="963" t="s">
        <v>958</v>
      </c>
      <c r="M32" s="73"/>
      <c r="N32" s="960"/>
      <c r="O32" s="960"/>
      <c r="P32" s="960"/>
      <c r="Q32" s="124" t="s">
        <v>2093</v>
      </c>
      <c r="R32" s="127" t="s">
        <v>2093</v>
      </c>
      <c r="S32" s="960"/>
      <c r="T32" s="439" cm="1" t="str">
        <f t="array" ref="T32:T32">T31</f>
        <v>false</v>
      </c>
      <c r="U32" s="960"/>
      <c r="V32" s="960"/>
      <c r="W32" s="960"/>
      <c r="X32" s="1482"/>
      <c r="Y32" s="960"/>
      <c r="Z32" s="1465"/>
      <c r="AA32" s="960"/>
      <c r="AB32" s="266" t="s">
        <v>1803</v>
      </c>
      <c r="AC32" s="749" t="s">
        <v>1591</v>
      </c>
      <c r="AD32" s="747" t="s">
        <v>784</v>
      </c>
      <c r="AE32" s="1280"/>
      <c r="AF32" s="1280"/>
      <c r="AG32" s="1280"/>
      <c r="AH32" s="926">
        <f>AG32-AF32</f>
        <v>0</v>
      </c>
      <c r="AI32" s="4750"/>
      <c r="AJ32" s="4743"/>
      <c r="AK32" s="925"/>
      <c r="AL32" s="925"/>
      <c r="AM32" s="925"/>
      <c r="AN32" s="925"/>
      <c r="AO32" s="925"/>
      <c r="AP32" s="925"/>
      <c r="AQ32" s="925"/>
      <c r="AR32" s="925"/>
      <c r="AS32" s="925"/>
      <c r="AT32" s="925"/>
      <c r="AU32" s="925"/>
      <c r="AV32" s="925"/>
      <c r="AW32" s="925"/>
      <c r="AX32" s="925"/>
      <c r="AY32" s="925"/>
      <c r="AZ32" s="925"/>
      <c r="BA32" s="925"/>
      <c r="BB32" s="925"/>
      <c r="BC32" s="925"/>
      <c r="BD32" s="925"/>
      <c r="BE32" s="925"/>
      <c r="BF32" s="925"/>
      <c r="BG32" s="925"/>
      <c r="BH32" s="925"/>
      <c r="BI32" s="925"/>
      <c r="BJ32" s="925"/>
      <c r="BK32" s="925"/>
      <c r="BL32" s="925"/>
      <c r="BM32" s="925"/>
      <c r="BN32" s="1278"/>
      <c r="BO32" s="1278"/>
      <c r="BP32" s="1278"/>
      <c r="BQ32" s="960"/>
      <c r="BR32" s="960"/>
      <c r="BS32" s="1046" t="s">
        <v>1592</v>
      </c>
      <c r="BT32" s="1048"/>
      <c r="BU32" s="1048"/>
      <c r="BV32" s="962"/>
      <c r="BW32" s="962"/>
    </row>
    <row customHeight="1" ht="14.625" hidden="1">
      <c r="A33" s="960"/>
      <c r="B33" s="961"/>
      <c r="C33" s="960"/>
      <c r="D33" s="960"/>
      <c r="E33" s="683">
        <v>15</v>
      </c>
      <c r="F33" s="50" cm="1" t="str">
        <f t="array" ref="F33:F33">OFFSET(E33,-1,1)</f>
        <v>0</v>
      </c>
      <c r="G33" s="960"/>
      <c r="H33" s="345"/>
      <c r="I33" s="345" t="s">
        <v>1804</v>
      </c>
      <c r="J33" s="960"/>
      <c r="K33" s="345" t="s">
        <v>1804</v>
      </c>
      <c r="L33" s="963" t="s">
        <v>1194</v>
      </c>
      <c r="M33" s="73"/>
      <c r="N33" s="960"/>
      <c r="O33" s="960"/>
      <c r="P33" s="960"/>
      <c r="Q33" s="124" t="s">
        <v>2093</v>
      </c>
      <c r="R33" s="127" t="s">
        <v>2093</v>
      </c>
      <c r="S33" s="960"/>
      <c r="T33" s="439" cm="1" t="str">
        <f t="array" ref="T33:T33">T32</f>
        <v>false</v>
      </c>
      <c r="U33" s="960"/>
      <c r="V33" s="960"/>
      <c r="W33" s="960"/>
      <c r="X33" s="1482"/>
      <c r="Y33" s="960"/>
      <c r="Z33" s="1465"/>
      <c r="AA33" s="960"/>
      <c r="AB33" s="266" t="s">
        <v>1805</v>
      </c>
      <c r="AC33" s="749" t="s">
        <v>1593</v>
      </c>
      <c r="AD33" s="747" t="s">
        <v>784</v>
      </c>
      <c r="AE33" s="1280"/>
      <c r="AF33" s="1280"/>
      <c r="AG33" s="1280"/>
      <c r="AH33" s="926">
        <f>AG33-AF33</f>
        <v>0</v>
      </c>
      <c r="AI33" s="4750"/>
      <c r="AJ33" s="4743"/>
      <c r="AK33" s="925"/>
      <c r="AL33" s="925"/>
      <c r="AM33" s="925"/>
      <c r="AN33" s="925"/>
      <c r="AO33" s="925"/>
      <c r="AP33" s="925"/>
      <c r="AQ33" s="925"/>
      <c r="AR33" s="925"/>
      <c r="AS33" s="925"/>
      <c r="AT33" s="925"/>
      <c r="AU33" s="925"/>
      <c r="AV33" s="925"/>
      <c r="AW33" s="925"/>
      <c r="AX33" s="925"/>
      <c r="AY33" s="925"/>
      <c r="AZ33" s="925"/>
      <c r="BA33" s="925"/>
      <c r="BB33" s="925"/>
      <c r="BC33" s="925"/>
      <c r="BD33" s="925"/>
      <c r="BE33" s="925"/>
      <c r="BF33" s="925"/>
      <c r="BG33" s="925"/>
      <c r="BH33" s="925"/>
      <c r="BI33" s="925"/>
      <c r="BJ33" s="925"/>
      <c r="BK33" s="925"/>
      <c r="BL33" s="925"/>
      <c r="BM33" s="925"/>
      <c r="BN33" s="1278"/>
      <c r="BO33" s="1278"/>
      <c r="BP33" s="1278"/>
      <c r="BQ33" s="960"/>
      <c r="BR33" s="960"/>
      <c r="BS33" s="1046" t="s">
        <v>1594</v>
      </c>
      <c r="BT33" s="1048"/>
      <c r="BU33" s="1048"/>
      <c r="BV33" s="962"/>
      <c r="BW33" s="962"/>
    </row>
    <row customHeight="1" ht="21.9375" hidden="1">
      <c r="A34" s="960"/>
      <c r="B34" s="961"/>
      <c r="C34" s="960"/>
      <c r="D34" s="960"/>
      <c r="E34" s="683">
        <v>22.5</v>
      </c>
      <c r="F34" s="50" cm="1" t="str">
        <f t="array" ref="F34:F34">OFFSET(E34,-1,1)</f>
        <v>0</v>
      </c>
      <c r="G34" s="960"/>
      <c r="H34" s="345"/>
      <c r="I34" s="345" t="s">
        <v>1222</v>
      </c>
      <c r="J34" s="960"/>
      <c r="K34" s="345" t="s">
        <v>1222</v>
      </c>
      <c r="L34" s="963" t="s">
        <v>448</v>
      </c>
      <c r="M34" s="73"/>
      <c r="N34" s="960"/>
      <c r="O34" s="960"/>
      <c r="P34" s="960"/>
      <c r="Q34" s="124" t="s">
        <v>2093</v>
      </c>
      <c r="R34" s="127" t="s">
        <v>2093</v>
      </c>
      <c r="S34" s="960"/>
      <c r="T34" s="439" cm="1" t="str">
        <f t="array" ref="T34:T34">T33</f>
        <v>false</v>
      </c>
      <c r="U34" s="960"/>
      <c r="V34" s="960"/>
      <c r="W34" s="960"/>
      <c r="X34" s="1482"/>
      <c r="Y34" s="960"/>
      <c r="Z34" s="1465"/>
      <c r="AA34" s="960"/>
      <c r="AB34" s="266" t="s">
        <v>1223</v>
      </c>
      <c r="AC34" s="746" t="s">
        <v>1806</v>
      </c>
      <c r="AD34" s="747" t="s">
        <v>784</v>
      </c>
      <c r="AE34" s="1280"/>
      <c r="AF34" s="1280"/>
      <c r="AG34" s="1280"/>
      <c r="AH34" s="926">
        <f>AG34-AF34</f>
        <v>0</v>
      </c>
      <c r="AI34" s="4750"/>
      <c r="AJ34" s="4743"/>
      <c r="AK34" s="925"/>
      <c r="AL34" s="925"/>
      <c r="AM34" s="925"/>
      <c r="AN34" s="925"/>
      <c r="AO34" s="925"/>
      <c r="AP34" s="925"/>
      <c r="AQ34" s="925"/>
      <c r="AR34" s="925"/>
      <c r="AS34" s="925"/>
      <c r="AT34" s="925"/>
      <c r="AU34" s="925"/>
      <c r="AV34" s="925"/>
      <c r="AW34" s="925"/>
      <c r="AX34" s="925"/>
      <c r="AY34" s="925"/>
      <c r="AZ34" s="925"/>
      <c r="BA34" s="925"/>
      <c r="BB34" s="925"/>
      <c r="BC34" s="925"/>
      <c r="BD34" s="925"/>
      <c r="BE34" s="925"/>
      <c r="BF34" s="925"/>
      <c r="BG34" s="925"/>
      <c r="BH34" s="925"/>
      <c r="BI34" s="925"/>
      <c r="BJ34" s="925"/>
      <c r="BK34" s="925"/>
      <c r="BL34" s="925"/>
      <c r="BM34" s="925"/>
      <c r="BN34" s="1278"/>
      <c r="BO34" s="1278"/>
      <c r="BP34" s="1278"/>
      <c r="BQ34" s="960"/>
      <c r="BR34" s="960"/>
      <c r="BS34" s="1047" t="s">
        <v>1619</v>
      </c>
      <c r="BT34" s="1048"/>
      <c r="BU34" s="1048"/>
      <c r="BV34" s="962"/>
      <c r="BW34" s="962"/>
    </row>
    <row customHeight="1" ht="21.9375" hidden="1">
      <c r="A35" s="960"/>
      <c r="B35" s="961"/>
      <c r="C35" s="960"/>
      <c r="D35" s="960"/>
      <c r="E35" s="683">
        <v>22.5</v>
      </c>
      <c r="F35" s="50" cm="1" t="str">
        <f t="array" ref="F35:F35">OFFSET(E35,-1,1)</f>
        <v>0</v>
      </c>
      <c r="G35" s="960"/>
      <c r="H35" s="345"/>
      <c r="I35" s="345" t="s">
        <v>1226</v>
      </c>
      <c r="J35" s="960"/>
      <c r="K35" s="345" t="s">
        <v>1226</v>
      </c>
      <c r="L35" s="963" t="s">
        <v>452</v>
      </c>
      <c r="M35" s="73"/>
      <c r="N35" s="960"/>
      <c r="O35" s="960"/>
      <c r="P35" s="960"/>
      <c r="Q35" s="124" t="s">
        <v>2093</v>
      </c>
      <c r="R35" s="127" t="s">
        <v>2093</v>
      </c>
      <c r="S35" s="960"/>
      <c r="T35" s="439" cm="1" t="str">
        <f t="array" ref="T35:T35">T34</f>
        <v>false</v>
      </c>
      <c r="U35" s="960"/>
      <c r="V35" s="960"/>
      <c r="W35" s="960"/>
      <c r="X35" s="1482"/>
      <c r="Y35" s="960"/>
      <c r="Z35" s="1465"/>
      <c r="AA35" s="960"/>
      <c r="AB35" s="266" t="s">
        <v>1227</v>
      </c>
      <c r="AC35" s="746" t="s">
        <v>1807</v>
      </c>
      <c r="AD35" s="747" t="s">
        <v>784</v>
      </c>
      <c r="AE35" s="927">
        <f>AE36+AE37</f>
        <v>0</v>
      </c>
      <c r="AF35" s="927">
        <f>AF36+AF37</f>
        <v>0</v>
      </c>
      <c r="AG35" s="927">
        <f>AG36+AG37</f>
        <v>0</v>
      </c>
      <c r="AH35" s="926">
        <f>AG35-AF35</f>
        <v>0</v>
      </c>
      <c r="AI35" s="4752">
        <f>AI36+AI37</f>
        <v>0</v>
      </c>
      <c r="AJ35" s="4743"/>
      <c r="AK35" s="925"/>
      <c r="AL35" s="925"/>
      <c r="AM35" s="925"/>
      <c r="AN35" s="925"/>
      <c r="AO35" s="925"/>
      <c r="AP35" s="925"/>
      <c r="AQ35" s="925"/>
      <c r="AR35" s="925"/>
      <c r="AS35" s="925"/>
      <c r="AT35" s="925"/>
      <c r="AU35" s="925"/>
      <c r="AV35" s="925"/>
      <c r="AW35" s="925"/>
      <c r="AX35" s="925"/>
      <c r="AY35" s="925"/>
      <c r="AZ35" s="925"/>
      <c r="BA35" s="925"/>
      <c r="BB35" s="925"/>
      <c r="BC35" s="925"/>
      <c r="BD35" s="925"/>
      <c r="BE35" s="925"/>
      <c r="BF35" s="925"/>
      <c r="BG35" s="925"/>
      <c r="BH35" s="925"/>
      <c r="BI35" s="925"/>
      <c r="BJ35" s="925"/>
      <c r="BK35" s="925"/>
      <c r="BL35" s="925"/>
      <c r="BM35" s="925"/>
      <c r="BN35" s="1278"/>
      <c r="BO35" s="1278"/>
      <c r="BP35" s="1278"/>
      <c r="BQ35" s="960"/>
      <c r="BR35" s="960"/>
      <c r="BS35" s="1047" t="s">
        <v>1808</v>
      </c>
      <c r="BT35" s="1048"/>
      <c r="BU35" s="1048"/>
      <c r="BV35" s="962"/>
      <c r="BW35" s="962"/>
    </row>
    <row customHeight="1" ht="14.625" hidden="1">
      <c r="A36" s="960"/>
      <c r="B36" s="961"/>
      <c r="C36" s="960"/>
      <c r="D36" s="960"/>
      <c r="E36" s="683">
        <v>15</v>
      </c>
      <c r="F36" s="50" cm="1" t="str">
        <f t="array" ref="F36:F36">OFFSET(E36,-1,1)</f>
        <v>0</v>
      </c>
      <c r="G36" s="316" t="s">
        <v>1038</v>
      </c>
      <c r="H36" s="345"/>
      <c r="I36" s="345" t="s">
        <v>1370</v>
      </c>
      <c r="J36" s="960"/>
      <c r="K36" s="345" t="s">
        <v>1370</v>
      </c>
      <c r="L36" s="963" t="s">
        <v>1246</v>
      </c>
      <c r="M36" s="73"/>
      <c r="N36" s="960"/>
      <c r="O36" s="960"/>
      <c r="P36" s="960"/>
      <c r="Q36" s="124" t="s">
        <v>2093</v>
      </c>
      <c r="R36" s="127" t="s">
        <v>2093</v>
      </c>
      <c r="S36" s="960"/>
      <c r="T36" s="439" cm="1" t="str">
        <f t="array" ref="T36:T36">T35</f>
        <v>false</v>
      </c>
      <c r="U36" s="960"/>
      <c r="V36" s="960"/>
      <c r="W36" s="960"/>
      <c r="X36" s="1482"/>
      <c r="Y36" s="960"/>
      <c r="Z36" s="1465"/>
      <c r="AA36" s="960"/>
      <c r="AB36" s="266" t="s">
        <v>1809</v>
      </c>
      <c r="AC36" s="749" t="s">
        <v>1622</v>
      </c>
      <c r="AD36" s="747" t="s">
        <v>784</v>
      </c>
      <c r="AE36" s="1280"/>
      <c r="AF36" s="1280"/>
      <c r="AG36" s="1280"/>
      <c r="AH36" s="926">
        <f>AG36-AF36</f>
        <v>0</v>
      </c>
      <c r="AI36" s="4750"/>
      <c r="AJ36" s="4743"/>
      <c r="AK36" s="925"/>
      <c r="AL36" s="925"/>
      <c r="AM36" s="925"/>
      <c r="AN36" s="925"/>
      <c r="AO36" s="925"/>
      <c r="AP36" s="925"/>
      <c r="AQ36" s="925"/>
      <c r="AR36" s="925"/>
      <c r="AS36" s="925"/>
      <c r="AT36" s="925"/>
      <c r="AU36" s="925"/>
      <c r="AV36" s="925"/>
      <c r="AW36" s="925"/>
      <c r="AX36" s="925"/>
      <c r="AY36" s="925"/>
      <c r="AZ36" s="925"/>
      <c r="BA36" s="925"/>
      <c r="BB36" s="925"/>
      <c r="BC36" s="925"/>
      <c r="BD36" s="925"/>
      <c r="BE36" s="925"/>
      <c r="BF36" s="925"/>
      <c r="BG36" s="925"/>
      <c r="BH36" s="925"/>
      <c r="BI36" s="925"/>
      <c r="BJ36" s="925"/>
      <c r="BK36" s="925"/>
      <c r="BL36" s="925"/>
      <c r="BM36" s="925"/>
      <c r="BN36" s="1278"/>
      <c r="BO36" s="1281" t="str">
        <f>IF(_xlfn.IFERROR(INDEX(ФОТ!$K$26:$L$102,MATCH($F36&amp;"1komm",ФОТ!$K$26:$K$102,0),2),"")=0,"",_xlfn.IFERROR(INDEX(ФОТ!$K$26:$L$102,MATCH($F36&amp;"1komm",ФОТ!$K$26:$K$102,0),2),""))</f>
        <v/>
      </c>
      <c r="BP36" s="1278"/>
      <c r="BQ36" s="960"/>
      <c r="BR36" s="960"/>
      <c r="BS36" s="1046" t="s">
        <v>1623</v>
      </c>
      <c r="BT36" s="1048"/>
      <c r="BU36" s="1048"/>
      <c r="BV36" s="962"/>
      <c r="BW36" s="962"/>
    </row>
    <row customHeight="1" ht="21.9375" hidden="1">
      <c r="A37" s="960"/>
      <c r="B37" s="961"/>
      <c r="C37" s="960"/>
      <c r="D37" s="960"/>
      <c r="E37" s="683">
        <v>22.5</v>
      </c>
      <c r="F37" s="50" cm="1" t="str">
        <f t="array" ref="F37:F37">OFFSET(E37,-1,1)</f>
        <v>0</v>
      </c>
      <c r="G37" s="316" t="s">
        <v>1050</v>
      </c>
      <c r="H37" s="345"/>
      <c r="I37" s="345" t="s">
        <v>1374</v>
      </c>
      <c r="J37" s="960"/>
      <c r="K37" s="345" t="s">
        <v>1374</v>
      </c>
      <c r="L37" s="963" t="s">
        <v>1247</v>
      </c>
      <c r="M37" s="73"/>
      <c r="N37" s="960"/>
      <c r="O37" s="960"/>
      <c r="P37" s="960"/>
      <c r="Q37" s="124" t="s">
        <v>2093</v>
      </c>
      <c r="R37" s="127" t="s">
        <v>2093</v>
      </c>
      <c r="S37" s="960"/>
      <c r="T37" s="439" cm="1" t="str">
        <f t="array" ref="T37:T37">T36</f>
        <v>false</v>
      </c>
      <c r="U37" s="960"/>
      <c r="V37" s="960"/>
      <c r="W37" s="960"/>
      <c r="X37" s="1482"/>
      <c r="Y37" s="960"/>
      <c r="Z37" s="1465"/>
      <c r="AA37" s="960"/>
      <c r="AB37" s="266" t="s">
        <v>1810</v>
      </c>
      <c r="AC37" s="749" t="s">
        <v>1811</v>
      </c>
      <c r="AD37" s="747" t="s">
        <v>784</v>
      </c>
      <c r="AE37" s="1280">
        <f>AE36*_xlfn.SUMIFS(INDEX(Сценарии!$AE$25:$BF$109,,MATCH(AE$8,Сценарии!$AE$8:$BF$8,0)),Сценарии!$F$25:$F$109,$F37,Сценарии!$G$25:$G$109,"СВФОТ")/100</f>
        <v>0</v>
      </c>
      <c r="AF37" s="1280">
        <f>AF36*_xlfn.SUMIFS(INDEX(Сценарии!$AE$25:$BF$109,,MATCH(AF$8,Сценарии!$AE$8:$BF$8,0)),Сценарии!$F$25:$F$109,$F37,Сценарии!$G$25:$G$109,"СВФОТ")/100</f>
        <v>0</v>
      </c>
      <c r="AG37" s="1280">
        <f>AG36*_xlfn.SUMIFS(INDEX(Сценарии!$AE$25:$BF$109,,MATCH(AG$8,Сценарии!$AE$8:$BF$8,0)),Сценарии!$F$25:$F$109,$F37,Сценарии!$G$25:$G$109,"СВФОТ")/100</f>
        <v>0</v>
      </c>
      <c r="AH37" s="926">
        <f>AG37-AF37</f>
        <v>0</v>
      </c>
      <c r="AI37" s="4750">
        <f>AI36*_xlfn.SUMIFS(INDEX(Сценарии!$AE$25:$BF$109,,MATCH(AG$8,Сценарии!$AE$8:$BF$8,0)),Сценарии!$F$25:$F$109,$F37,Сценарии!$G$25:$G$109,"СВФОТ")/100</f>
        <v>0</v>
      </c>
      <c r="AJ37" s="4743"/>
      <c r="AK37" s="925"/>
      <c r="AL37" s="925"/>
      <c r="AM37" s="925"/>
      <c r="AN37" s="925"/>
      <c r="AO37" s="925"/>
      <c r="AP37" s="925"/>
      <c r="AQ37" s="925"/>
      <c r="AR37" s="925"/>
      <c r="AS37" s="925"/>
      <c r="AT37" s="925"/>
      <c r="AU37" s="925"/>
      <c r="AV37" s="925"/>
      <c r="AW37" s="925"/>
      <c r="AX37" s="925"/>
      <c r="AY37" s="925"/>
      <c r="AZ37" s="925"/>
      <c r="BA37" s="925"/>
      <c r="BB37" s="925"/>
      <c r="BC37" s="925"/>
      <c r="BD37" s="925"/>
      <c r="BE37" s="925"/>
      <c r="BF37" s="925"/>
      <c r="BG37" s="925"/>
      <c r="BH37" s="925"/>
      <c r="BI37" s="925"/>
      <c r="BJ37" s="925"/>
      <c r="BK37" s="925"/>
      <c r="BL37" s="925"/>
      <c r="BM37" s="925"/>
      <c r="BN37" s="1278"/>
      <c r="BO37" s="1281" t="str">
        <f>IF(_xlfn.IFERROR(INDEX(ФОТ!$K$26:$L$102,MATCH($F37&amp;"2komm",ФОТ!$K$26:$K$102,0),2),"")=0,"",_xlfn.IFERROR(INDEX(ФОТ!$K$26:$L$102,MATCH($F37&amp;"2komm",ФОТ!$K$26:$K$102,0),2),""))</f>
        <v/>
      </c>
      <c r="BP37" s="1278"/>
      <c r="BQ37" s="960"/>
      <c r="BR37" s="960"/>
      <c r="BS37" s="1046" t="s">
        <v>1625</v>
      </c>
      <c r="BT37" s="1048"/>
      <c r="BU37" s="1048"/>
      <c r="BV37" s="962"/>
      <c r="BW37" s="962"/>
    </row>
    <row customHeight="1" ht="14.625" hidden="1">
      <c r="A38" s="960"/>
      <c r="B38" s="961"/>
      <c r="C38" s="960"/>
      <c r="D38" s="960"/>
      <c r="E38" s="683">
        <v>15</v>
      </c>
      <c r="F38" s="50" cm="1" t="str">
        <f t="array" ref="F38:F38">OFFSET(E38,-1,1)</f>
        <v>0</v>
      </c>
      <c r="G38" s="960"/>
      <c r="H38" s="345"/>
      <c r="I38" s="345" t="s">
        <v>1385</v>
      </c>
      <c r="J38" s="960"/>
      <c r="K38" s="345" t="s">
        <v>1385</v>
      </c>
      <c r="L38" s="963" t="s">
        <v>1627</v>
      </c>
      <c r="M38" s="73"/>
      <c r="N38" s="960"/>
      <c r="O38" s="960"/>
      <c r="P38" s="960"/>
      <c r="Q38" s="124" t="s">
        <v>2093</v>
      </c>
      <c r="R38" s="127" t="s">
        <v>2093</v>
      </c>
      <c r="S38" s="960"/>
      <c r="T38" s="439" cm="1" t="str">
        <f t="array" ref="T38:T38">T37</f>
        <v>false</v>
      </c>
      <c r="U38" s="960"/>
      <c r="V38" s="960"/>
      <c r="W38" s="960"/>
      <c r="X38" s="1482"/>
      <c r="Y38" s="960"/>
      <c r="Z38" s="1465"/>
      <c r="AA38" s="960"/>
      <c r="AB38" s="266" t="s">
        <v>1601</v>
      </c>
      <c r="AC38" s="746" t="s">
        <v>1812</v>
      </c>
      <c r="AD38" s="747" t="s">
        <v>784</v>
      </c>
      <c r="AE38" s="1280"/>
      <c r="AF38" s="1280"/>
      <c r="AG38" s="1280"/>
      <c r="AH38" s="926">
        <f>AG38-AF38</f>
        <v>0</v>
      </c>
      <c r="AI38" s="4750"/>
      <c r="AJ38" s="4743"/>
      <c r="AK38" s="925"/>
      <c r="AL38" s="925"/>
      <c r="AM38" s="925"/>
      <c r="AN38" s="925"/>
      <c r="AO38" s="925"/>
      <c r="AP38" s="925"/>
      <c r="AQ38" s="925"/>
      <c r="AR38" s="925"/>
      <c r="AS38" s="925"/>
      <c r="AT38" s="925"/>
      <c r="AU38" s="925"/>
      <c r="AV38" s="925"/>
      <c r="AW38" s="925"/>
      <c r="AX38" s="925"/>
      <c r="AY38" s="925"/>
      <c r="AZ38" s="925"/>
      <c r="BA38" s="925"/>
      <c r="BB38" s="925"/>
      <c r="BC38" s="925"/>
      <c r="BD38" s="925"/>
      <c r="BE38" s="925"/>
      <c r="BF38" s="925"/>
      <c r="BG38" s="925"/>
      <c r="BH38" s="925"/>
      <c r="BI38" s="925"/>
      <c r="BJ38" s="925"/>
      <c r="BK38" s="925"/>
      <c r="BL38" s="925"/>
      <c r="BM38" s="925"/>
      <c r="BN38" s="1278"/>
      <c r="BO38" s="1278"/>
      <c r="BP38" s="1278"/>
      <c r="BQ38" s="960"/>
      <c r="BR38" s="960"/>
      <c r="BS38" s="1047" t="s">
        <v>1630</v>
      </c>
      <c r="BT38" s="1048"/>
      <c r="BU38" s="1048"/>
      <c r="BV38" s="962"/>
      <c r="BW38" s="962"/>
    </row>
    <row customHeight="1" ht="14.625" hidden="1">
      <c r="A39" s="960"/>
      <c r="B39" s="961"/>
      <c r="C39" s="960"/>
      <c r="D39" s="960"/>
      <c r="E39" s="683">
        <v>15</v>
      </c>
      <c r="F39" s="50" cm="1" t="str">
        <f t="array" ref="F39:F39">OFFSET(E39,-1,1)</f>
        <v>0</v>
      </c>
      <c r="G39" s="960"/>
      <c r="H39" s="345"/>
      <c r="I39" s="345" t="s">
        <v>1389</v>
      </c>
      <c r="J39" s="960"/>
      <c r="K39" s="345" t="s">
        <v>1389</v>
      </c>
      <c r="L39" s="963" t="s">
        <v>1631</v>
      </c>
      <c r="M39" s="960"/>
      <c r="N39" s="960"/>
      <c r="O39" s="960"/>
      <c r="P39" s="960"/>
      <c r="Q39" s="124" t="s">
        <v>2093</v>
      </c>
      <c r="R39" s="127" t="s">
        <v>2093</v>
      </c>
      <c r="S39" s="960"/>
      <c r="T39" s="439" cm="1" t="str">
        <f t="array" ref="T39:T39">T38</f>
        <v>false</v>
      </c>
      <c r="U39" s="960"/>
      <c r="V39" s="960"/>
      <c r="W39" s="960"/>
      <c r="X39" s="1482"/>
      <c r="Y39" s="960"/>
      <c r="Z39" s="1465"/>
      <c r="AA39" s="960"/>
      <c r="AB39" s="266" t="s">
        <v>1603</v>
      </c>
      <c r="AC39" s="746" t="s">
        <v>1813</v>
      </c>
      <c r="AD39" s="267" t="s">
        <v>784</v>
      </c>
      <c r="AE39" s="927">
        <f>SUM(AE40:AE46)</f>
        <v>0</v>
      </c>
      <c r="AF39" s="927">
        <f>SUM(AF40:AF46)</f>
        <v>0</v>
      </c>
      <c r="AG39" s="927">
        <f>SUM(AG40:AG46)</f>
        <v>0</v>
      </c>
      <c r="AH39" s="926">
        <f>AG39-AF39</f>
        <v>0</v>
      </c>
      <c r="AI39" s="4752">
        <f>SUM(AI40:AI46)</f>
        <v>0</v>
      </c>
      <c r="AJ39" s="4743"/>
      <c r="AK39" s="925"/>
      <c r="AL39" s="925"/>
      <c r="AM39" s="925"/>
      <c r="AN39" s="925"/>
      <c r="AO39" s="925"/>
      <c r="AP39" s="925"/>
      <c r="AQ39" s="925"/>
      <c r="AR39" s="925"/>
      <c r="AS39" s="925"/>
      <c r="AT39" s="925"/>
      <c r="AU39" s="925"/>
      <c r="AV39" s="925"/>
      <c r="AW39" s="925"/>
      <c r="AX39" s="925"/>
      <c r="AY39" s="925"/>
      <c r="AZ39" s="925"/>
      <c r="BA39" s="925"/>
      <c r="BB39" s="925"/>
      <c r="BC39" s="925"/>
      <c r="BD39" s="925"/>
      <c r="BE39" s="925"/>
      <c r="BF39" s="925"/>
      <c r="BG39" s="925"/>
      <c r="BH39" s="925"/>
      <c r="BI39" s="925"/>
      <c r="BJ39" s="925"/>
      <c r="BK39" s="925"/>
      <c r="BL39" s="925"/>
      <c r="BM39" s="925"/>
      <c r="BN39" s="1278"/>
      <c r="BO39" s="1278"/>
      <c r="BP39" s="1278"/>
      <c r="BQ39" s="960"/>
      <c r="BR39" s="960"/>
      <c r="BS39" s="1047" t="s">
        <v>1814</v>
      </c>
      <c r="BT39" s="1048"/>
      <c r="BU39" s="1048"/>
      <c r="BV39" s="962"/>
      <c r="BW39" s="962"/>
    </row>
    <row customHeight="1" ht="14.625" hidden="1">
      <c r="A40" s="960"/>
      <c r="B40" s="961"/>
      <c r="C40" s="960"/>
      <c r="D40" s="960"/>
      <c r="E40" s="683">
        <v>15</v>
      </c>
      <c r="F40" s="50" cm="1" t="str">
        <f t="array" ref="F40:F40">OFFSET(E40,-1,1)</f>
        <v>0</v>
      </c>
      <c r="G40" s="960"/>
      <c r="H40" s="345"/>
      <c r="I40" s="345" t="s">
        <v>1815</v>
      </c>
      <c r="J40" s="960"/>
      <c r="K40" s="345" t="s">
        <v>1815</v>
      </c>
      <c r="L40" s="963" t="s">
        <v>1631</v>
      </c>
      <c r="M40" s="73" t="s">
        <v>1639</v>
      </c>
      <c r="N40" s="960"/>
      <c r="O40" s="960"/>
      <c r="P40" s="960"/>
      <c r="Q40" s="124" t="s">
        <v>2093</v>
      </c>
      <c r="R40" s="127" t="s">
        <v>2093</v>
      </c>
      <c r="S40" s="960"/>
      <c r="T40" s="439" cm="1" t="str">
        <f t="array" ref="T40:T40">T39</f>
        <v>false</v>
      </c>
      <c r="U40" s="960"/>
      <c r="V40" s="960"/>
      <c r="W40" s="960"/>
      <c r="X40" s="1482"/>
      <c r="Y40" s="960"/>
      <c r="Z40" s="1465"/>
      <c r="AA40" s="960"/>
      <c r="AB40" s="266" t="s">
        <v>1816</v>
      </c>
      <c r="AC40" s="749" t="s">
        <v>1817</v>
      </c>
      <c r="AD40" s="267" t="s">
        <v>784</v>
      </c>
      <c r="AE40" s="1280"/>
      <c r="AF40" s="1280"/>
      <c r="AG40" s="1280"/>
      <c r="AH40" s="926">
        <f>AG40-AF40</f>
        <v>0</v>
      </c>
      <c r="AI40" s="4750"/>
      <c r="AJ40" s="4743"/>
      <c r="AK40" s="925"/>
      <c r="AL40" s="925"/>
      <c r="AM40" s="925"/>
      <c r="AN40" s="925"/>
      <c r="AO40" s="925"/>
      <c r="AP40" s="925"/>
      <c r="AQ40" s="925"/>
      <c r="AR40" s="925"/>
      <c r="AS40" s="925"/>
      <c r="AT40" s="925"/>
      <c r="AU40" s="925"/>
      <c r="AV40" s="925"/>
      <c r="AW40" s="925"/>
      <c r="AX40" s="925"/>
      <c r="AY40" s="925"/>
      <c r="AZ40" s="925"/>
      <c r="BA40" s="925"/>
      <c r="BB40" s="925"/>
      <c r="BC40" s="925"/>
      <c r="BD40" s="925"/>
      <c r="BE40" s="925"/>
      <c r="BF40" s="925"/>
      <c r="BG40" s="925"/>
      <c r="BH40" s="925"/>
      <c r="BI40" s="925"/>
      <c r="BJ40" s="925"/>
      <c r="BK40" s="925"/>
      <c r="BL40" s="925"/>
      <c r="BM40" s="925"/>
      <c r="BN40" s="1278"/>
      <c r="BO40" s="1278"/>
      <c r="BP40" s="1278"/>
      <c r="BQ40" s="960"/>
      <c r="BR40" s="960"/>
      <c r="BS40" s="1046" t="s">
        <v>1642</v>
      </c>
      <c r="BT40" s="1048"/>
      <c r="BU40" s="1048"/>
      <c r="BV40" s="962"/>
      <c r="BW40" s="962"/>
    </row>
    <row customHeight="1" ht="21.9375" hidden="1">
      <c r="A41" s="960"/>
      <c r="B41" s="961"/>
      <c r="C41" s="960"/>
      <c r="D41" s="960"/>
      <c r="E41" s="683">
        <v>22.5</v>
      </c>
      <c r="F41" s="50" cm="1" t="str">
        <f t="array" ref="F41:F41">OFFSET(E41,-1,1)</f>
        <v>0</v>
      </c>
      <c r="G41" s="960"/>
      <c r="H41" s="345"/>
      <c r="I41" s="345" t="s">
        <v>1818</v>
      </c>
      <c r="J41" s="960"/>
      <c r="K41" s="345" t="s">
        <v>1818</v>
      </c>
      <c r="L41" s="963" t="s">
        <v>1631</v>
      </c>
      <c r="M41" s="73" t="s">
        <v>1635</v>
      </c>
      <c r="N41" s="960"/>
      <c r="O41" s="960"/>
      <c r="P41" s="960"/>
      <c r="Q41" s="124" t="s">
        <v>2093</v>
      </c>
      <c r="R41" s="127" t="s">
        <v>2093</v>
      </c>
      <c r="S41" s="960"/>
      <c r="T41" s="439" cm="1" t="str">
        <f t="array" ref="T41:T41">T40</f>
        <v>false</v>
      </c>
      <c r="U41" s="960"/>
      <c r="V41" s="960"/>
      <c r="W41" s="960"/>
      <c r="X41" s="1482"/>
      <c r="Y41" s="960"/>
      <c r="Z41" s="1465"/>
      <c r="AA41" s="960"/>
      <c r="AB41" s="266" t="s">
        <v>1819</v>
      </c>
      <c r="AC41" s="749" t="s">
        <v>1820</v>
      </c>
      <c r="AD41" s="267" t="s">
        <v>784</v>
      </c>
      <c r="AE41" s="1280"/>
      <c r="AF41" s="1280"/>
      <c r="AG41" s="1280"/>
      <c r="AH41" s="926">
        <f>AG41-AF41</f>
        <v>0</v>
      </c>
      <c r="AI41" s="4750"/>
      <c r="AJ41" s="4743"/>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5"/>
      <c r="BI41" s="925"/>
      <c r="BJ41" s="925"/>
      <c r="BK41" s="925"/>
      <c r="BL41" s="925"/>
      <c r="BM41" s="925"/>
      <c r="BN41" s="1278"/>
      <c r="BO41" s="1278"/>
      <c r="BP41" s="1278"/>
      <c r="BQ41" s="960"/>
      <c r="BR41" s="960"/>
      <c r="BS41" s="1048" t="s">
        <v>1821</v>
      </c>
      <c r="BT41" s="1048"/>
      <c r="BU41" s="1048"/>
      <c r="BV41" s="962"/>
      <c r="BW41" s="962"/>
    </row>
    <row customHeight="1" ht="21.9375" hidden="1">
      <c r="A42" s="960"/>
      <c r="B42" s="961"/>
      <c r="C42" s="960"/>
      <c r="D42" s="960"/>
      <c r="E42" s="683">
        <v>22.5</v>
      </c>
      <c r="F42" s="50" cm="1" t="str">
        <f t="array" ref="F42:F42">OFFSET(E42,-1,1)</f>
        <v>0</v>
      </c>
      <c r="G42" s="960"/>
      <c r="H42" s="345"/>
      <c r="I42" s="345" t="s">
        <v>1822</v>
      </c>
      <c r="J42" s="960"/>
      <c r="K42" s="345" t="s">
        <v>1822</v>
      </c>
      <c r="L42" s="960"/>
      <c r="M42" s="960"/>
      <c r="N42" s="960"/>
      <c r="O42" s="960"/>
      <c r="P42" s="960"/>
      <c r="Q42" s="124" t="s">
        <v>2093</v>
      </c>
      <c r="R42" s="127" t="s">
        <v>2093</v>
      </c>
      <c r="S42" s="960"/>
      <c r="T42" s="439" cm="1" t="str">
        <f t="array" ref="T42:T42">T41</f>
        <v>false</v>
      </c>
      <c r="U42" s="960"/>
      <c r="V42" s="960"/>
      <c r="W42" s="960"/>
      <c r="X42" s="1482"/>
      <c r="Y42" s="960"/>
      <c r="Z42" s="1465"/>
      <c r="AA42" s="960"/>
      <c r="AB42" s="266" t="s">
        <v>1823</v>
      </c>
      <c r="AC42" s="750" t="s">
        <v>1824</v>
      </c>
      <c r="AD42" s="267" t="s">
        <v>784</v>
      </c>
      <c r="AE42" s="1280"/>
      <c r="AF42" s="1280"/>
      <c r="AG42" s="1280"/>
      <c r="AH42" s="926">
        <f>AG42-AF42</f>
        <v>0</v>
      </c>
      <c r="AI42" s="4750"/>
      <c r="AJ42" s="4743"/>
      <c r="AK42" s="925"/>
      <c r="AL42" s="925"/>
      <c r="AM42" s="925"/>
      <c r="AN42" s="925"/>
      <c r="AO42" s="925"/>
      <c r="AP42" s="925"/>
      <c r="AQ42" s="925"/>
      <c r="AR42" s="925"/>
      <c r="AS42" s="925"/>
      <c r="AT42" s="925"/>
      <c r="AU42" s="925"/>
      <c r="AV42" s="925"/>
      <c r="AW42" s="925"/>
      <c r="AX42" s="925"/>
      <c r="AY42" s="925"/>
      <c r="AZ42" s="925"/>
      <c r="BA42" s="925"/>
      <c r="BB42" s="925"/>
      <c r="BC42" s="925"/>
      <c r="BD42" s="925"/>
      <c r="BE42" s="925"/>
      <c r="BF42" s="925"/>
      <c r="BG42" s="925"/>
      <c r="BH42" s="925"/>
      <c r="BI42" s="925"/>
      <c r="BJ42" s="925"/>
      <c r="BK42" s="925"/>
      <c r="BL42" s="925"/>
      <c r="BM42" s="925"/>
      <c r="BN42" s="1278"/>
      <c r="BO42" s="1278"/>
      <c r="BP42" s="1278"/>
      <c r="BQ42" s="960"/>
      <c r="BR42" s="960"/>
      <c r="BS42" s="1048" t="s">
        <v>1825</v>
      </c>
      <c r="BT42" s="1048"/>
      <c r="BU42" s="1048"/>
      <c r="BV42" s="962"/>
      <c r="BW42" s="962"/>
    </row>
    <row customHeight="1" ht="21.9375" hidden="1">
      <c r="A43" s="960"/>
      <c r="B43" s="961"/>
      <c r="C43" s="960"/>
      <c r="D43" s="960"/>
      <c r="E43" s="683">
        <v>22.5</v>
      </c>
      <c r="F43" s="50" cm="1" t="str">
        <f t="array" ref="F43:F43">OFFSET(E43,-1,1)</f>
        <v>0</v>
      </c>
      <c r="G43" s="960"/>
      <c r="H43" s="345"/>
      <c r="I43" s="345" t="s">
        <v>1826</v>
      </c>
      <c r="J43" s="960"/>
      <c r="K43" s="345" t="s">
        <v>1826</v>
      </c>
      <c r="L43" s="963"/>
      <c r="M43" s="960"/>
      <c r="N43" s="960"/>
      <c r="O43" s="960"/>
      <c r="P43" s="960"/>
      <c r="Q43" s="124" t="s">
        <v>2093</v>
      </c>
      <c r="R43" s="127" t="s">
        <v>2093</v>
      </c>
      <c r="S43" s="960"/>
      <c r="T43" s="439" cm="1" t="str">
        <f t="array" ref="T43:T43">T42</f>
        <v>false</v>
      </c>
      <c r="U43" s="960"/>
      <c r="V43" s="960"/>
      <c r="W43" s="960"/>
      <c r="X43" s="1482"/>
      <c r="Y43" s="960"/>
      <c r="Z43" s="1465"/>
      <c r="AA43" s="960"/>
      <c r="AB43" s="266" t="s">
        <v>1827</v>
      </c>
      <c r="AC43" s="750" t="s">
        <v>1828</v>
      </c>
      <c r="AD43" s="267" t="s">
        <v>784</v>
      </c>
      <c r="AE43" s="1280"/>
      <c r="AF43" s="1280"/>
      <c r="AG43" s="1280"/>
      <c r="AH43" s="926">
        <f>AG43-AF43</f>
        <v>0</v>
      </c>
      <c r="AI43" s="4750"/>
      <c r="AJ43" s="4743"/>
      <c r="AK43" s="925"/>
      <c r="AL43" s="925"/>
      <c r="AM43" s="925"/>
      <c r="AN43" s="925"/>
      <c r="AO43" s="925"/>
      <c r="AP43" s="925"/>
      <c r="AQ43" s="925"/>
      <c r="AR43" s="925"/>
      <c r="AS43" s="925"/>
      <c r="AT43" s="925"/>
      <c r="AU43" s="925"/>
      <c r="AV43" s="925"/>
      <c r="AW43" s="925"/>
      <c r="AX43" s="925"/>
      <c r="AY43" s="925"/>
      <c r="AZ43" s="925"/>
      <c r="BA43" s="925"/>
      <c r="BB43" s="925"/>
      <c r="BC43" s="925"/>
      <c r="BD43" s="925"/>
      <c r="BE43" s="925"/>
      <c r="BF43" s="925"/>
      <c r="BG43" s="925"/>
      <c r="BH43" s="925"/>
      <c r="BI43" s="925"/>
      <c r="BJ43" s="925"/>
      <c r="BK43" s="925"/>
      <c r="BL43" s="925"/>
      <c r="BM43" s="925"/>
      <c r="BN43" s="1278"/>
      <c r="BO43" s="1278"/>
      <c r="BP43" s="1278"/>
      <c r="BQ43" s="960"/>
      <c r="BR43" s="960"/>
      <c r="BS43" s="1048" t="s">
        <v>1829</v>
      </c>
      <c r="BT43" s="1048"/>
      <c r="BU43" s="1048"/>
      <c r="BV43" s="962"/>
      <c r="BW43" s="962"/>
    </row>
    <row customHeight="1" ht="43.875" hidden="1">
      <c r="A44" s="960"/>
      <c r="B44" s="961"/>
      <c r="C44" s="960"/>
      <c r="D44" s="960"/>
      <c r="E44" s="683">
        <v>45</v>
      </c>
      <c r="F44" s="50" cm="1" t="str">
        <f t="array" ref="F44:F44">OFFSET(E44,-1,1)</f>
        <v>0</v>
      </c>
      <c r="G44" s="960"/>
      <c r="H44" s="345"/>
      <c r="I44" s="345" t="s">
        <v>1830</v>
      </c>
      <c r="J44" s="960"/>
      <c r="K44" s="345" t="s">
        <v>1830</v>
      </c>
      <c r="L44" s="963" t="s">
        <v>1631</v>
      </c>
      <c r="M44" s="73" t="s">
        <v>1643</v>
      </c>
      <c r="N44" s="960"/>
      <c r="O44" s="960"/>
      <c r="P44" s="960"/>
      <c r="Q44" s="124" t="s">
        <v>2093</v>
      </c>
      <c r="R44" s="127" t="s">
        <v>2093</v>
      </c>
      <c r="S44" s="960"/>
      <c r="T44" s="439" cm="1" t="str">
        <f t="array" ref="T44:T44">T43</f>
        <v>false</v>
      </c>
      <c r="U44" s="960"/>
      <c r="V44" s="960"/>
      <c r="W44" s="960"/>
      <c r="X44" s="1482"/>
      <c r="Y44" s="960"/>
      <c r="Z44" s="1465"/>
      <c r="AA44" s="960"/>
      <c r="AB44" s="266" t="s">
        <v>1831</v>
      </c>
      <c r="AC44" s="749" t="s">
        <v>1832</v>
      </c>
      <c r="AD44" s="267" t="s">
        <v>784</v>
      </c>
      <c r="AE44" s="1280"/>
      <c r="AF44" s="1280"/>
      <c r="AG44" s="1280"/>
      <c r="AH44" s="926">
        <f>AG44-AF44</f>
        <v>0</v>
      </c>
      <c r="AI44" s="4750"/>
      <c r="AJ44" s="4743"/>
      <c r="AK44" s="925"/>
      <c r="AL44" s="925"/>
      <c r="AM44" s="925"/>
      <c r="AN44" s="925"/>
      <c r="AO44" s="925"/>
      <c r="AP44" s="925"/>
      <c r="AQ44" s="925"/>
      <c r="AR44" s="925"/>
      <c r="AS44" s="925"/>
      <c r="AT44" s="925"/>
      <c r="AU44" s="925"/>
      <c r="AV44" s="925"/>
      <c r="AW44" s="925"/>
      <c r="AX44" s="925"/>
      <c r="AY44" s="925"/>
      <c r="AZ44" s="925"/>
      <c r="BA44" s="925"/>
      <c r="BB44" s="925"/>
      <c r="BC44" s="925"/>
      <c r="BD44" s="925"/>
      <c r="BE44" s="925"/>
      <c r="BF44" s="925"/>
      <c r="BG44" s="925"/>
      <c r="BH44" s="925"/>
      <c r="BI44" s="925"/>
      <c r="BJ44" s="925"/>
      <c r="BK44" s="925"/>
      <c r="BL44" s="925"/>
      <c r="BM44" s="925"/>
      <c r="BN44" s="1278"/>
      <c r="BO44" s="1278"/>
      <c r="BP44" s="1278"/>
      <c r="BQ44" s="960"/>
      <c r="BR44" s="960"/>
      <c r="BS44" s="1048" t="s">
        <v>1646</v>
      </c>
      <c r="BT44" s="1048"/>
      <c r="BU44" s="1048"/>
      <c r="BV44" s="962"/>
      <c r="BW44" s="962"/>
    </row>
    <row customHeight="1" ht="14.625" hidden="1">
      <c r="A45" s="960"/>
      <c r="B45" s="961"/>
      <c r="C45" s="960"/>
      <c r="D45" s="960"/>
      <c r="E45" s="683">
        <v>15</v>
      </c>
      <c r="F45" s="50" cm="1" t="str">
        <f t="array" ref="F45:F45">OFFSET(E45,-1,1)</f>
        <v>0</v>
      </c>
      <c r="G45" s="960"/>
      <c r="H45" s="345"/>
      <c r="I45" s="345" t="s">
        <v>1833</v>
      </c>
      <c r="J45" s="960"/>
      <c r="K45" s="345" t="s">
        <v>1833</v>
      </c>
      <c r="L45" s="963" t="s">
        <v>1631</v>
      </c>
      <c r="M45" s="73" t="s">
        <v>1647</v>
      </c>
      <c r="N45" s="960"/>
      <c r="O45" s="960"/>
      <c r="P45" s="960"/>
      <c r="Q45" s="124" t="s">
        <v>2093</v>
      </c>
      <c r="R45" s="127" t="s">
        <v>2093</v>
      </c>
      <c r="S45" s="960"/>
      <c r="T45" s="439" cm="1" t="str">
        <f t="array" ref="T45:T45">T44</f>
        <v>false</v>
      </c>
      <c r="U45" s="960"/>
      <c r="V45" s="960"/>
      <c r="W45" s="960"/>
      <c r="X45" s="1482"/>
      <c r="Y45" s="960"/>
      <c r="Z45" s="1465"/>
      <c r="AA45" s="960"/>
      <c r="AB45" s="266" t="s">
        <v>1834</v>
      </c>
      <c r="AC45" s="749" t="s">
        <v>1649</v>
      </c>
      <c r="AD45" s="267" t="s">
        <v>784</v>
      </c>
      <c r="AE45" s="1280"/>
      <c r="AF45" s="1280"/>
      <c r="AG45" s="1280"/>
      <c r="AH45" s="926">
        <f>AG45-AF45</f>
        <v>0</v>
      </c>
      <c r="AI45" s="4750"/>
      <c r="AJ45" s="4743"/>
      <c r="AK45" s="925"/>
      <c r="AL45" s="925"/>
      <c r="AM45" s="925"/>
      <c r="AN45" s="925"/>
      <c r="AO45" s="925"/>
      <c r="AP45" s="925"/>
      <c r="AQ45" s="925"/>
      <c r="AR45" s="925"/>
      <c r="AS45" s="925"/>
      <c r="AT45" s="925"/>
      <c r="AU45" s="925"/>
      <c r="AV45" s="925"/>
      <c r="AW45" s="925"/>
      <c r="AX45" s="925"/>
      <c r="AY45" s="925"/>
      <c r="AZ45" s="925"/>
      <c r="BA45" s="925"/>
      <c r="BB45" s="925"/>
      <c r="BC45" s="925"/>
      <c r="BD45" s="925"/>
      <c r="BE45" s="925"/>
      <c r="BF45" s="925"/>
      <c r="BG45" s="925"/>
      <c r="BH45" s="925"/>
      <c r="BI45" s="925"/>
      <c r="BJ45" s="925"/>
      <c r="BK45" s="925"/>
      <c r="BL45" s="925"/>
      <c r="BM45" s="925"/>
      <c r="BN45" s="1278"/>
      <c r="BO45" s="1278"/>
      <c r="BP45" s="1278"/>
      <c r="BQ45" s="960"/>
      <c r="BR45" s="960"/>
      <c r="BS45" s="1048" t="s">
        <v>1650</v>
      </c>
      <c r="BT45" s="1048"/>
      <c r="BU45" s="1048"/>
      <c r="BV45" s="962"/>
      <c r="BW45" s="962"/>
    </row>
    <row customHeight="1" ht="14.625" hidden="1">
      <c r="A46" s="960"/>
      <c r="B46" s="961"/>
      <c r="C46" s="960"/>
      <c r="D46" s="960"/>
      <c r="E46" s="683">
        <v>15</v>
      </c>
      <c r="F46" s="50" cm="1" t="str">
        <f t="array" ref="F46:F46">OFFSET(E46,-1,1)</f>
        <v>0</v>
      </c>
      <c r="G46" s="960"/>
      <c r="H46" s="345"/>
      <c r="I46" s="345" t="s">
        <v>1835</v>
      </c>
      <c r="J46" s="960"/>
      <c r="K46" s="345" t="s">
        <v>1835</v>
      </c>
      <c r="L46" s="963"/>
      <c r="M46" s="73"/>
      <c r="N46" s="960"/>
      <c r="O46" s="960"/>
      <c r="P46" s="960"/>
      <c r="Q46" s="124" t="s">
        <v>2093</v>
      </c>
      <c r="R46" s="127" t="s">
        <v>2093</v>
      </c>
      <c r="S46" s="960"/>
      <c r="T46" s="439" cm="1" t="str">
        <f t="array" ref="T46:T46">T45</f>
        <v>false</v>
      </c>
      <c r="U46" s="960"/>
      <c r="V46" s="960"/>
      <c r="W46" s="960"/>
      <c r="X46" s="1482"/>
      <c r="Y46" s="960"/>
      <c r="Z46" s="1465"/>
      <c r="AA46" s="960"/>
      <c r="AB46" s="266" t="s">
        <v>1836</v>
      </c>
      <c r="AC46" s="749" t="s">
        <v>1837</v>
      </c>
      <c r="AD46" s="267" t="s">
        <v>784</v>
      </c>
      <c r="AE46" s="1280"/>
      <c r="AF46" s="1280"/>
      <c r="AG46" s="1280"/>
      <c r="AH46" s="926">
        <f>AG46-AF46</f>
        <v>0</v>
      </c>
      <c r="AI46" s="4750"/>
      <c r="AJ46" s="1392"/>
      <c r="AK46" s="925"/>
      <c r="AL46" s="925"/>
      <c r="AM46" s="925"/>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1278"/>
      <c r="BO46" s="1278"/>
      <c r="BP46" s="1278"/>
      <c r="BQ46" s="960"/>
      <c r="BR46" s="960"/>
      <c r="BS46" s="1048" t="s">
        <v>1634</v>
      </c>
      <c r="BT46" s="1048"/>
      <c r="BU46" s="1048"/>
      <c r="BV46" s="962"/>
      <c r="BW46" s="962"/>
    </row>
    <row s="680" customFormat="1" customHeight="1" ht="20.475" hidden="1">
      <c r="A47" s="680"/>
      <c r="B47" s="408"/>
      <c r="C47" s="680"/>
      <c r="D47" s="680"/>
      <c r="E47" s="687">
        <v>21</v>
      </c>
      <c r="F47" s="50" cm="1" t="str">
        <f t="array" ref="F47:F47">OFFSET(E47,-1,1)</f>
        <v>0</v>
      </c>
      <c r="G47" s="680"/>
      <c r="H47" s="345"/>
      <c r="I47" s="345" t="s">
        <v>448</v>
      </c>
      <c r="J47" s="680"/>
      <c r="K47" s="345" t="s">
        <v>448</v>
      </c>
      <c r="L47" s="968"/>
      <c r="M47" s="75"/>
      <c r="N47" s="680"/>
      <c r="O47" s="680"/>
      <c r="P47" s="680"/>
      <c r="Q47" s="124" t="s">
        <v>2093</v>
      </c>
      <c r="R47" s="127" t="s">
        <v>2093</v>
      </c>
      <c r="S47" s="680"/>
      <c r="T47" s="439" cm="1" t="str">
        <f t="array" ref="T47:T47">T46</f>
        <v>false</v>
      </c>
      <c r="U47" s="680"/>
      <c r="V47" s="680"/>
      <c r="W47" s="680"/>
      <c r="X47" s="1482"/>
      <c r="Y47" s="680"/>
      <c r="Z47" s="1465"/>
      <c r="AA47" s="680"/>
      <c r="AB47" s="185" t="s">
        <v>851</v>
      </c>
      <c r="AC47" s="328" t="s">
        <v>1654</v>
      </c>
      <c r="AD47" s="178" t="s">
        <v>784</v>
      </c>
      <c r="AE47" s="751">
        <f>AE48+AE49+AE50</f>
        <v>0</v>
      </c>
      <c r="AF47" s="751">
        <f>AF48+AF49+AF50</f>
        <v>0</v>
      </c>
      <c r="AG47" s="751">
        <f>AG48+AG49+AG50</f>
        <v>0</v>
      </c>
      <c r="AH47" s="742">
        <f>AG47-AF47</f>
        <v>0</v>
      </c>
      <c r="AI47" s="4756">
        <f>AI48+AI49+AI50</f>
        <v>0</v>
      </c>
      <c r="AJ47" s="4743"/>
      <c r="AK47" s="745"/>
      <c r="AL47" s="745"/>
      <c r="AM47" s="745"/>
      <c r="AN47" s="745"/>
      <c r="AO47" s="745"/>
      <c r="AP47" s="745"/>
      <c r="AQ47" s="745"/>
      <c r="AR47" s="745"/>
      <c r="AS47" s="745"/>
      <c r="AT47" s="745"/>
      <c r="AU47" s="745"/>
      <c r="AV47" s="745"/>
      <c r="AW47" s="745"/>
      <c r="AX47" s="745"/>
      <c r="AY47" s="745"/>
      <c r="AZ47" s="745"/>
      <c r="BA47" s="745"/>
      <c r="BB47" s="745"/>
      <c r="BC47" s="745"/>
      <c r="BD47" s="745"/>
      <c r="BE47" s="745"/>
      <c r="BF47" s="745"/>
      <c r="BG47" s="745"/>
      <c r="BH47" s="745"/>
      <c r="BI47" s="745"/>
      <c r="BJ47" s="745"/>
      <c r="BK47" s="745"/>
      <c r="BL47" s="745"/>
      <c r="BM47" s="745"/>
      <c r="BN47" s="1274"/>
      <c r="BO47" s="1274"/>
      <c r="BP47" s="1274"/>
      <c r="BQ47" s="680"/>
      <c r="BR47" s="680"/>
      <c r="BS47" s="1047" t="s">
        <v>1655</v>
      </c>
      <c r="BT47" s="1054"/>
      <c r="BU47" s="1054"/>
      <c r="BV47" s="687"/>
      <c r="BW47" s="687"/>
    </row>
    <row customHeight="1" ht="21.9375" hidden="1">
      <c r="A48" s="960"/>
      <c r="B48" s="961"/>
      <c r="C48" s="960"/>
      <c r="D48" s="960"/>
      <c r="E48" s="683">
        <v>22.5</v>
      </c>
      <c r="F48" s="50" cm="1" t="str">
        <f t="array" ref="F48:F48">OFFSET(E48,-1,1)</f>
        <v>0</v>
      </c>
      <c r="G48" s="960"/>
      <c r="H48" s="345"/>
      <c r="I48" s="345" t="s">
        <v>1232</v>
      </c>
      <c r="J48" s="960"/>
      <c r="K48" s="345" t="s">
        <v>1232</v>
      </c>
      <c r="L48" s="963"/>
      <c r="M48" s="73"/>
      <c r="N48" s="960"/>
      <c r="O48" s="960"/>
      <c r="P48" s="960"/>
      <c r="Q48" s="124" t="s">
        <v>2093</v>
      </c>
      <c r="R48" s="127" t="s">
        <v>2093</v>
      </c>
      <c r="S48" s="960"/>
      <c r="T48" s="439" cm="1" t="str">
        <f t="array" ref="T48:T48">T47</f>
        <v>false</v>
      </c>
      <c r="U48" s="960"/>
      <c r="V48" s="960"/>
      <c r="W48" s="960"/>
      <c r="X48" s="1482"/>
      <c r="Y48" s="960"/>
      <c r="Z48" s="1465"/>
      <c r="AA48" s="960"/>
      <c r="AB48" s="266" t="s">
        <v>1233</v>
      </c>
      <c r="AC48" s="746" t="s">
        <v>1838</v>
      </c>
      <c r="AD48" s="267" t="s">
        <v>784</v>
      </c>
      <c r="AE48" s="1280"/>
      <c r="AF48" s="1280"/>
      <c r="AG48" s="1280"/>
      <c r="AH48" s="926">
        <f>AG48-AF48</f>
        <v>0</v>
      </c>
      <c r="AI48" s="4750"/>
      <c r="AJ48" s="4743"/>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1278"/>
      <c r="BO48" s="1278"/>
      <c r="BP48" s="1278"/>
      <c r="BQ48" s="960"/>
      <c r="BR48" s="960"/>
      <c r="BS48" s="1046" t="s">
        <v>1657</v>
      </c>
      <c r="BT48" s="1048"/>
      <c r="BU48" s="1048"/>
      <c r="BV48" s="962"/>
      <c r="BW48" s="962"/>
    </row>
    <row customHeight="1" ht="21.9375" hidden="1">
      <c r="A49" s="960"/>
      <c r="B49" s="961"/>
      <c r="C49" s="960"/>
      <c r="D49" s="960"/>
      <c r="E49" s="683">
        <v>22.5</v>
      </c>
      <c r="F49" s="50" cm="1" t="str">
        <f t="array" ref="F49:F49">OFFSET(E49,-1,1)</f>
        <v>0</v>
      </c>
      <c r="G49" s="960"/>
      <c r="H49" s="345"/>
      <c r="I49" s="345" t="s">
        <v>1236</v>
      </c>
      <c r="J49" s="960"/>
      <c r="K49" s="345" t="s">
        <v>1236</v>
      </c>
      <c r="L49" s="963"/>
      <c r="M49" s="73"/>
      <c r="N49" s="960"/>
      <c r="O49" s="960"/>
      <c r="P49" s="960"/>
      <c r="Q49" s="124" t="s">
        <v>2093</v>
      </c>
      <c r="R49" s="127" t="s">
        <v>2093</v>
      </c>
      <c r="S49" s="960"/>
      <c r="T49" s="439" cm="1" t="str">
        <f t="array" ref="T49:T49">T48</f>
        <v>false</v>
      </c>
      <c r="U49" s="960"/>
      <c r="V49" s="960"/>
      <c r="W49" s="960"/>
      <c r="X49" s="1482"/>
      <c r="Y49" s="960"/>
      <c r="Z49" s="1465"/>
      <c r="AA49" s="960"/>
      <c r="AB49" s="266" t="s">
        <v>1237</v>
      </c>
      <c r="AC49" s="746" t="s">
        <v>1839</v>
      </c>
      <c r="AD49" s="267" t="s">
        <v>784</v>
      </c>
      <c r="AE49" s="1280"/>
      <c r="AF49" s="1280"/>
      <c r="AG49" s="1280"/>
      <c r="AH49" s="926">
        <f>AG49-AF49</f>
        <v>0</v>
      </c>
      <c r="AI49" s="4750"/>
      <c r="AJ49" s="4743"/>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1278"/>
      <c r="BO49" s="1278"/>
      <c r="BP49" s="1278"/>
      <c r="BQ49" s="960"/>
      <c r="BR49" s="960"/>
      <c r="BS49" s="1048" t="s">
        <v>1840</v>
      </c>
      <c r="BT49" s="1048"/>
      <c r="BU49" s="1048"/>
      <c r="BV49" s="962"/>
      <c r="BW49" s="962"/>
    </row>
    <row customHeight="1" ht="21.9375" hidden="1">
      <c r="A50" s="960"/>
      <c r="B50" s="961"/>
      <c r="C50" s="960"/>
      <c r="D50" s="960"/>
      <c r="E50" s="683">
        <v>22.5</v>
      </c>
      <c r="F50" s="50" cm="1" t="str">
        <f t="array" ref="F50:F50">OFFSET(E50,-1,1)</f>
        <v>0</v>
      </c>
      <c r="G50" s="960"/>
      <c r="H50" s="345"/>
      <c r="I50" s="345" t="s">
        <v>1240</v>
      </c>
      <c r="J50" s="960"/>
      <c r="K50" s="345" t="s">
        <v>1240</v>
      </c>
      <c r="L50" s="963" t="s">
        <v>462</v>
      </c>
      <c r="M50" s="73"/>
      <c r="N50" s="960"/>
      <c r="O50" s="960"/>
      <c r="P50" s="960"/>
      <c r="Q50" s="124" t="s">
        <v>2093</v>
      </c>
      <c r="R50" s="127" t="s">
        <v>2093</v>
      </c>
      <c r="S50" s="960"/>
      <c r="T50" s="439" cm="1" t="str">
        <f t="array" ref="T50:T50">T49</f>
        <v>false</v>
      </c>
      <c r="U50" s="960"/>
      <c r="V50" s="960"/>
      <c r="W50" s="960"/>
      <c r="X50" s="1482"/>
      <c r="Y50" s="960"/>
      <c r="Z50" s="1465"/>
      <c r="AA50" s="960"/>
      <c r="AB50" s="266" t="s">
        <v>1241</v>
      </c>
      <c r="AC50" s="746" t="s">
        <v>1841</v>
      </c>
      <c r="AD50" s="267" t="s">
        <v>784</v>
      </c>
      <c r="AE50" s="1280"/>
      <c r="AF50" s="1280"/>
      <c r="AG50" s="1280"/>
      <c r="AH50" s="926">
        <f>AG50-AF50</f>
        <v>0</v>
      </c>
      <c r="AI50" s="4750"/>
      <c r="AJ50" s="4743"/>
      <c r="AK50" s="925"/>
      <c r="AL50" s="925"/>
      <c r="AM50" s="925"/>
      <c r="AN50" s="925"/>
      <c r="AO50" s="925"/>
      <c r="AP50" s="925"/>
      <c r="AQ50" s="925"/>
      <c r="AR50" s="925"/>
      <c r="AS50" s="925"/>
      <c r="AT50" s="925"/>
      <c r="AU50" s="925"/>
      <c r="AV50" s="925"/>
      <c r="AW50" s="925"/>
      <c r="AX50" s="925"/>
      <c r="AY50" s="925"/>
      <c r="AZ50" s="925"/>
      <c r="BA50" s="925"/>
      <c r="BB50" s="925"/>
      <c r="BC50" s="925"/>
      <c r="BD50" s="925"/>
      <c r="BE50" s="925"/>
      <c r="BF50" s="925"/>
      <c r="BG50" s="925"/>
      <c r="BH50" s="925"/>
      <c r="BI50" s="925"/>
      <c r="BJ50" s="925"/>
      <c r="BK50" s="925"/>
      <c r="BL50" s="925"/>
      <c r="BM50" s="925"/>
      <c r="BN50" s="1278"/>
      <c r="BO50" s="1278"/>
      <c r="BP50" s="1278"/>
      <c r="BQ50" s="960"/>
      <c r="BR50" s="960"/>
      <c r="BS50" s="1046" t="s">
        <v>1659</v>
      </c>
      <c r="BT50" s="1048"/>
      <c r="BU50" s="1048"/>
      <c r="BV50" s="962"/>
      <c r="BW50" s="962"/>
    </row>
    <row customHeight="1" ht="14.625" hidden="1">
      <c r="A51" s="960"/>
      <c r="B51" s="961"/>
      <c r="C51" s="960"/>
      <c r="D51" s="960"/>
      <c r="E51" s="683">
        <v>15</v>
      </c>
      <c r="F51" s="50" cm="1" t="str">
        <f t="array" ref="F51:F51">OFFSET(E51,-1,1)</f>
        <v>0</v>
      </c>
      <c r="G51" s="49" t="s">
        <v>1053</v>
      </c>
      <c r="H51" s="345"/>
      <c r="I51" s="345" t="s">
        <v>1842</v>
      </c>
      <c r="J51" s="960"/>
      <c r="K51" s="345" t="s">
        <v>1842</v>
      </c>
      <c r="L51" s="963" t="s">
        <v>1660</v>
      </c>
      <c r="M51" s="73"/>
      <c r="N51" s="960"/>
      <c r="O51" s="960"/>
      <c r="P51" s="960"/>
      <c r="Q51" s="124" t="s">
        <v>2093</v>
      </c>
      <c r="R51" s="127" t="s">
        <v>2093</v>
      </c>
      <c r="S51" s="960"/>
      <c r="T51" s="439" cm="1" t="str">
        <f t="array" ref="T51:T51">T50</f>
        <v>false</v>
      </c>
      <c r="U51" s="960"/>
      <c r="V51" s="960"/>
      <c r="W51" s="960"/>
      <c r="X51" s="1482"/>
      <c r="Y51" s="960"/>
      <c r="Z51" s="1465"/>
      <c r="AA51" s="960"/>
      <c r="AB51" s="266" t="s">
        <v>1843</v>
      </c>
      <c r="AC51" s="749" t="s">
        <v>1661</v>
      </c>
      <c r="AD51" s="267" t="s">
        <v>784</v>
      </c>
      <c r="AE51" s="1280"/>
      <c r="AF51" s="1280"/>
      <c r="AG51" s="1280"/>
      <c r="AH51" s="926">
        <f>AG51-AF51</f>
        <v>0</v>
      </c>
      <c r="AI51" s="4750"/>
      <c r="AJ51" s="4743"/>
      <c r="AK51" s="925"/>
      <c r="AL51" s="925"/>
      <c r="AM51" s="925"/>
      <c r="AN51" s="925"/>
      <c r="AO51" s="925"/>
      <c r="AP51" s="925"/>
      <c r="AQ51" s="925"/>
      <c r="AR51" s="925"/>
      <c r="AS51" s="925"/>
      <c r="AT51" s="925"/>
      <c r="AU51" s="925"/>
      <c r="AV51" s="925"/>
      <c r="AW51" s="925"/>
      <c r="AX51" s="925"/>
      <c r="AY51" s="925"/>
      <c r="AZ51" s="925"/>
      <c r="BA51" s="925"/>
      <c r="BB51" s="925"/>
      <c r="BC51" s="925"/>
      <c r="BD51" s="925"/>
      <c r="BE51" s="925"/>
      <c r="BF51" s="925"/>
      <c r="BG51" s="925"/>
      <c r="BH51" s="925"/>
      <c r="BI51" s="925"/>
      <c r="BJ51" s="925"/>
      <c r="BK51" s="925"/>
      <c r="BL51" s="925"/>
      <c r="BM51" s="925"/>
      <c r="BN51" s="1278"/>
      <c r="BO51" s="1281" t="str">
        <f>IF(_xlfn.IFERROR(INDEX(ФОТ!$K$26:$L$102,MATCH($F51&amp;"3komm",ФОТ!$K$26:$K$102,0),2),"")=0,"",_xlfn.IFERROR(INDEX(ФОТ!$K$26:$L$102,MATCH($F51&amp;"3komm",ФОТ!$K$26:$K$102,0),2),""))</f>
        <v/>
      </c>
      <c r="BP51" s="1278"/>
      <c r="BQ51" s="960"/>
      <c r="BR51" s="960"/>
      <c r="BS51" s="1046" t="s">
        <v>1662</v>
      </c>
      <c r="BT51" s="1048"/>
      <c r="BU51" s="1048"/>
      <c r="BV51" s="962"/>
      <c r="BW51" s="962"/>
    </row>
    <row customHeight="1" ht="21.9375" hidden="1">
      <c r="A52" s="960"/>
      <c r="B52" s="961"/>
      <c r="C52" s="960"/>
      <c r="D52" s="960"/>
      <c r="E52" s="683">
        <v>22.5</v>
      </c>
      <c r="F52" s="50" cm="1" t="str">
        <f t="array" ref="F52:F52">OFFSET(E52,-1,1)</f>
        <v>0</v>
      </c>
      <c r="G52" s="49" t="s">
        <v>1058</v>
      </c>
      <c r="H52" s="345"/>
      <c r="I52" s="345" t="s">
        <v>1844</v>
      </c>
      <c r="J52" s="960"/>
      <c r="K52" s="345" t="s">
        <v>1844</v>
      </c>
      <c r="L52" s="963" t="s">
        <v>1663</v>
      </c>
      <c r="M52" s="73"/>
      <c r="N52" s="960"/>
      <c r="O52" s="960"/>
      <c r="P52" s="960"/>
      <c r="Q52" s="124" t="s">
        <v>2093</v>
      </c>
      <c r="R52" s="127" t="s">
        <v>2093</v>
      </c>
      <c r="S52" s="960"/>
      <c r="T52" s="439" cm="1" t="str">
        <f t="array" ref="T52:T52">T51</f>
        <v>false</v>
      </c>
      <c r="U52" s="960"/>
      <c r="V52" s="960"/>
      <c r="W52" s="960"/>
      <c r="X52" s="1482"/>
      <c r="Y52" s="960"/>
      <c r="Z52" s="1465"/>
      <c r="AA52" s="960"/>
      <c r="AB52" s="266" t="s">
        <v>1845</v>
      </c>
      <c r="AC52" s="749" t="s">
        <v>1846</v>
      </c>
      <c r="AD52" s="267" t="s">
        <v>784</v>
      </c>
      <c r="AE52" s="1280">
        <f>AE51*_xlfn.SUMIFS(INDEX(Сценарии!$AE$25:$BF$109,,MATCH(AE$8,Сценарии!$AE$8:$BF$8,0)),Сценарии!$F$25:$F$109,$F52,Сценарии!$G$25:$G$109,"СВФОТ")/100</f>
        <v>0</v>
      </c>
      <c r="AF52" s="1280">
        <f>AF51*_xlfn.SUMIFS(INDEX(Сценарии!$AE$25:$BF$109,,MATCH(AF$8,Сценарии!$AE$8:$BF$8,0)),Сценарии!$F$25:$F$109,$F52,Сценарии!$G$25:$G$109,"СВФОТ")/100</f>
        <v>0</v>
      </c>
      <c r="AG52" s="1280">
        <f>AG51*_xlfn.SUMIFS(INDEX(Сценарии!$AE$25:$BF$109,,MATCH(AG$8,Сценарии!$AE$8:$BF$8,0)),Сценарии!$F$25:$F$109,$F52,Сценарии!$G$25:$G$109,"СВФОТ")/100</f>
        <v>0</v>
      </c>
      <c r="AH52" s="926">
        <f>AG52-AF52</f>
        <v>0</v>
      </c>
      <c r="AI52" s="4750">
        <f>AI51*_xlfn.SUMIFS(INDEX(Сценарии!$AE$25:$BF$109,,MATCH(AG$8,Сценарии!$AE$8:$BF$8,0)),Сценарии!$F$25:$F$109,$F52,Сценарии!$G$25:$G$109,"СВФОТ")/100</f>
        <v>0</v>
      </c>
      <c r="AJ52" s="4743"/>
      <c r="AK52" s="925"/>
      <c r="AL52" s="925"/>
      <c r="AM52" s="925"/>
      <c r="AN52" s="925"/>
      <c r="AO52" s="925"/>
      <c r="AP52" s="925"/>
      <c r="AQ52" s="925"/>
      <c r="AR52" s="925"/>
      <c r="AS52" s="925"/>
      <c r="AT52" s="925"/>
      <c r="AU52" s="925"/>
      <c r="AV52" s="925"/>
      <c r="AW52" s="925"/>
      <c r="AX52" s="925"/>
      <c r="AY52" s="925"/>
      <c r="AZ52" s="925"/>
      <c r="BA52" s="925"/>
      <c r="BB52" s="925"/>
      <c r="BC52" s="925"/>
      <c r="BD52" s="925"/>
      <c r="BE52" s="925"/>
      <c r="BF52" s="925"/>
      <c r="BG52" s="925"/>
      <c r="BH52" s="925"/>
      <c r="BI52" s="925"/>
      <c r="BJ52" s="925"/>
      <c r="BK52" s="925"/>
      <c r="BL52" s="925"/>
      <c r="BM52" s="925"/>
      <c r="BN52" s="1278"/>
      <c r="BO52" s="1281" t="str">
        <f>IF(_xlfn.IFERROR(INDEX(ФОТ!$K$26:$L$102,MATCH($F52&amp;"4komm",ФОТ!$K$26:$K$102,0),2),"")=0,"",_xlfn.IFERROR(INDEX(ФОТ!$K$26:$L$102,MATCH($F52&amp;"4komm",ФОТ!$K$26:$K$102,0),2),""))</f>
        <v/>
      </c>
      <c r="BP52" s="1278"/>
      <c r="BQ52" s="960"/>
      <c r="BR52" s="960"/>
      <c r="BS52" s="1046" t="s">
        <v>1665</v>
      </c>
      <c r="BT52" s="1048"/>
      <c r="BU52" s="1048"/>
      <c r="BV52" s="962"/>
      <c r="BW52" s="962"/>
    </row>
    <row s="680" customFormat="1" customHeight="1" ht="20.475" hidden="1">
      <c r="A53" s="680"/>
      <c r="B53" s="408"/>
      <c r="C53" s="680"/>
      <c r="D53" s="680"/>
      <c r="E53" s="687">
        <v>21</v>
      </c>
      <c r="F53" s="50" cm="1" t="str">
        <f t="array" ref="F53:F53">OFFSET(E53,-1,1)</f>
        <v>0</v>
      </c>
      <c r="G53" s="680"/>
      <c r="H53" s="345"/>
      <c r="I53" s="345" t="s">
        <v>452</v>
      </c>
      <c r="J53" s="680"/>
      <c r="K53" s="345" t="s">
        <v>452</v>
      </c>
      <c r="L53" s="968" t="s">
        <v>327</v>
      </c>
      <c r="M53" s="75"/>
      <c r="N53" s="680"/>
      <c r="O53" s="680"/>
      <c r="P53" s="680"/>
      <c r="Q53" s="124" t="s">
        <v>2093</v>
      </c>
      <c r="R53" s="127" t="s">
        <v>2093</v>
      </c>
      <c r="S53" s="680"/>
      <c r="T53" s="439" cm="1" t="str">
        <f t="array" ref="T53:T53">T52</f>
        <v>false</v>
      </c>
      <c r="U53" s="680"/>
      <c r="V53" s="680"/>
      <c r="W53" s="680"/>
      <c r="X53" s="1482"/>
      <c r="Y53" s="680"/>
      <c r="Z53" s="1465"/>
      <c r="AA53" s="680"/>
      <c r="AB53" s="185" t="s">
        <v>854</v>
      </c>
      <c r="AC53" s="328" t="s">
        <v>1847</v>
      </c>
      <c r="AD53" s="178" t="s">
        <v>784</v>
      </c>
      <c r="AE53" s="751">
        <f>AE54+AE62+AE65+AE66+AE67+AE68+AE69</f>
        <v>0</v>
      </c>
      <c r="AF53" s="751">
        <f>AF54+AF62+AF65+AF66+AF67+AF68+AF69</f>
        <v>0</v>
      </c>
      <c r="AG53" s="751">
        <f>AG54+AG62+AG65+AG66+AG67+AG68+AG69</f>
        <v>0</v>
      </c>
      <c r="AH53" s="742">
        <f>AG53-AF53</f>
        <v>0</v>
      </c>
      <c r="AI53" s="4756">
        <f>AI54+AI62+AI65+AI66+AI67+AI68+AI69</f>
        <v>0</v>
      </c>
      <c r="AJ53" s="4743"/>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5"/>
      <c r="BH53" s="745"/>
      <c r="BI53" s="745"/>
      <c r="BJ53" s="745"/>
      <c r="BK53" s="745"/>
      <c r="BL53" s="745"/>
      <c r="BM53" s="745"/>
      <c r="BN53" s="1274"/>
      <c r="BO53" s="1274"/>
      <c r="BP53" s="1274"/>
      <c r="BQ53" s="680"/>
      <c r="BR53" s="680"/>
      <c r="BS53" s="1047" t="s">
        <v>1667</v>
      </c>
      <c r="BT53" s="1054"/>
      <c r="BU53" s="1054"/>
      <c r="BV53" s="687"/>
      <c r="BW53" s="687"/>
    </row>
    <row customHeight="1" ht="21.9375" hidden="1">
      <c r="A54" s="960"/>
      <c r="B54" s="961"/>
      <c r="C54" s="960"/>
      <c r="D54" s="960"/>
      <c r="E54" s="683">
        <v>22.5</v>
      </c>
      <c r="F54" s="50" cm="1" t="str">
        <f t="array" ref="F54:F54">OFFSET(E54,-1,1)</f>
        <v>0</v>
      </c>
      <c r="G54" s="124" t="s">
        <v>1079</v>
      </c>
      <c r="H54" s="345"/>
      <c r="I54" s="345" t="s">
        <v>1246</v>
      </c>
      <c r="J54" s="960"/>
      <c r="K54" s="345" t="s">
        <v>1246</v>
      </c>
      <c r="L54" s="963" t="s">
        <v>875</v>
      </c>
      <c r="M54" s="73"/>
      <c r="N54" s="960"/>
      <c r="O54" s="960"/>
      <c r="P54" s="960"/>
      <c r="Q54" s="124" t="s">
        <v>2093</v>
      </c>
      <c r="R54" s="127" t="s">
        <v>2093</v>
      </c>
      <c r="S54" s="960"/>
      <c r="T54" s="439" cm="1" t="str">
        <f t="array" ref="T54:T54">T53</f>
        <v>false</v>
      </c>
      <c r="U54" s="960"/>
      <c r="V54" s="960"/>
      <c r="W54" s="960"/>
      <c r="X54" s="1482"/>
      <c r="Y54" s="960"/>
      <c r="Z54" s="1465"/>
      <c r="AA54" s="960"/>
      <c r="AB54" s="266" t="s">
        <v>971</v>
      </c>
      <c r="AC54" s="746" t="s">
        <v>1848</v>
      </c>
      <c r="AD54" s="267" t="s">
        <v>784</v>
      </c>
      <c r="AE54" s="927">
        <f>SUM(AE55:AE61)</f>
        <v>0</v>
      </c>
      <c r="AF54" s="927">
        <f>SUM(AF55:AF61)</f>
        <v>0</v>
      </c>
      <c r="AG54" s="927">
        <f>SUM(AG55:AG61)</f>
        <v>0</v>
      </c>
      <c r="AH54" s="926">
        <f>AG54-AF54</f>
        <v>0</v>
      </c>
      <c r="AI54" s="4752">
        <f>SUM(AI55:AI61)</f>
        <v>0</v>
      </c>
      <c r="AJ54" s="4743"/>
      <c r="AK54" s="925"/>
      <c r="AL54" s="925"/>
      <c r="AM54" s="925"/>
      <c r="AN54" s="925"/>
      <c r="AO54" s="925"/>
      <c r="AP54" s="925"/>
      <c r="AQ54" s="925"/>
      <c r="AR54" s="925"/>
      <c r="AS54" s="925"/>
      <c r="AT54" s="925"/>
      <c r="AU54" s="925"/>
      <c r="AV54" s="925"/>
      <c r="AW54" s="925"/>
      <c r="AX54" s="925"/>
      <c r="AY54" s="925"/>
      <c r="AZ54" s="925"/>
      <c r="BA54" s="925"/>
      <c r="BB54" s="925"/>
      <c r="BC54" s="925"/>
      <c r="BD54" s="925"/>
      <c r="BE54" s="925"/>
      <c r="BF54" s="925"/>
      <c r="BG54" s="925"/>
      <c r="BH54" s="925"/>
      <c r="BI54" s="925"/>
      <c r="BJ54" s="925"/>
      <c r="BK54" s="925"/>
      <c r="BL54" s="925"/>
      <c r="BM54" s="925"/>
      <c r="BN54" s="1278"/>
      <c r="BO54" s="1281" t="str">
        <f>IF(_xlfn.IFERROR(INDEX(Административные!$K$26:$L$84,MATCH($F54&amp;"17komm",Административные!$K$26:$K$84,0),2),"")=0,"",_xlfn.IFERROR(INDEX(Административные!$K$26:$L$84,MATCH($F54&amp;"17komm",Административные!$K$26:$K$84,0),2),""))</f>
        <v/>
      </c>
      <c r="BP54" s="1278"/>
      <c r="BQ54" s="960"/>
      <c r="BR54" s="960"/>
      <c r="BS54" s="1046" t="s">
        <v>1081</v>
      </c>
      <c r="BT54" s="1048"/>
      <c r="BU54" s="1048"/>
      <c r="BV54" s="962"/>
      <c r="BW54" s="962"/>
    </row>
    <row customHeight="1" ht="14.625" hidden="1">
      <c r="A55" s="960"/>
      <c r="B55" s="961"/>
      <c r="C55" s="960"/>
      <c r="D55" s="960"/>
      <c r="E55" s="683">
        <v>15</v>
      </c>
      <c r="F55" s="50" cm="1" t="str">
        <f t="array" ref="F55:F55">OFFSET(E55,-1,1)</f>
        <v>0</v>
      </c>
      <c r="G55" s="124" t="s">
        <v>1082</v>
      </c>
      <c r="H55" s="345"/>
      <c r="I55" s="345" t="s">
        <v>1849</v>
      </c>
      <c r="J55" s="960"/>
      <c r="K55" s="345" t="s">
        <v>1849</v>
      </c>
      <c r="L55" s="963"/>
      <c r="M55" s="73"/>
      <c r="N55" s="960"/>
      <c r="O55" s="960"/>
      <c r="P55" s="960"/>
      <c r="Q55" s="124" t="s">
        <v>2093</v>
      </c>
      <c r="R55" s="127" t="s">
        <v>2093</v>
      </c>
      <c r="S55" s="960"/>
      <c r="T55" s="439" cm="1" t="str">
        <f t="array" ref="T55:T55">T54</f>
        <v>false</v>
      </c>
      <c r="U55" s="960"/>
      <c r="V55" s="960"/>
      <c r="W55" s="960"/>
      <c r="X55" s="1482"/>
      <c r="Y55" s="960"/>
      <c r="Z55" s="1465"/>
      <c r="AA55" s="960"/>
      <c r="AB55" s="266" t="s">
        <v>1850</v>
      </c>
      <c r="AC55" s="749" t="s">
        <v>1083</v>
      </c>
      <c r="AD55" s="267" t="s">
        <v>784</v>
      </c>
      <c r="AE55" s="1280"/>
      <c r="AF55" s="1280"/>
      <c r="AG55" s="1280"/>
      <c r="AH55" s="926">
        <f>AG55-AF55</f>
        <v>0</v>
      </c>
      <c r="AI55" s="4750"/>
      <c r="AJ55" s="4743"/>
      <c r="AK55" s="925"/>
      <c r="AL55" s="925"/>
      <c r="AM55" s="925"/>
      <c r="AN55" s="925"/>
      <c r="AO55" s="925"/>
      <c r="AP55" s="925"/>
      <c r="AQ55" s="925"/>
      <c r="AR55" s="925"/>
      <c r="AS55" s="925"/>
      <c r="AT55" s="925"/>
      <c r="AU55" s="925"/>
      <c r="AV55" s="925"/>
      <c r="AW55" s="925"/>
      <c r="AX55" s="925"/>
      <c r="AY55" s="925"/>
      <c r="AZ55" s="925"/>
      <c r="BA55" s="925"/>
      <c r="BB55" s="925"/>
      <c r="BC55" s="925"/>
      <c r="BD55" s="925"/>
      <c r="BE55" s="925"/>
      <c r="BF55" s="925"/>
      <c r="BG55" s="925"/>
      <c r="BH55" s="925"/>
      <c r="BI55" s="925"/>
      <c r="BJ55" s="925"/>
      <c r="BK55" s="925"/>
      <c r="BL55" s="925"/>
      <c r="BM55" s="925"/>
      <c r="BN55" s="1278"/>
      <c r="BO55" s="1281" t="str">
        <f>IF(_xlfn.IFERROR(INDEX(Административные!$K$26:$L$84,MATCH($F55&amp;"18komm",Административные!$K$26:$K$84,0),2),"")=0,"",_xlfn.IFERROR(INDEX(Административные!$K$26:$L$84,MATCH($F55&amp;"18komm",Административные!$K$26:$K$84,0),2),""))</f>
        <v/>
      </c>
      <c r="BP55" s="1278"/>
      <c r="BQ55" s="960"/>
      <c r="BR55" s="960"/>
      <c r="BS55" s="1048" t="s">
        <v>1084</v>
      </c>
      <c r="BT55" s="1048"/>
      <c r="BU55" s="1048"/>
      <c r="BV55" s="962"/>
      <c r="BW55" s="962"/>
    </row>
    <row customHeight="1" ht="14.625" hidden="1">
      <c r="A56" s="960"/>
      <c r="B56" s="961"/>
      <c r="C56" s="960"/>
      <c r="D56" s="960"/>
      <c r="E56" s="683">
        <v>15</v>
      </c>
      <c r="F56" s="50" cm="1" t="str">
        <f t="array" ref="F56:F56">OFFSET(E56,-1,1)</f>
        <v>0</v>
      </c>
      <c r="G56" s="124" t="s">
        <v>1085</v>
      </c>
      <c r="H56" s="345"/>
      <c r="I56" s="345" t="s">
        <v>1851</v>
      </c>
      <c r="J56" s="960"/>
      <c r="K56" s="345" t="s">
        <v>1851</v>
      </c>
      <c r="L56" s="963"/>
      <c r="M56" s="73"/>
      <c r="N56" s="960"/>
      <c r="O56" s="960"/>
      <c r="P56" s="960"/>
      <c r="Q56" s="124" t="s">
        <v>2093</v>
      </c>
      <c r="R56" s="127" t="s">
        <v>2093</v>
      </c>
      <c r="S56" s="960"/>
      <c r="T56" s="439" cm="1" t="str">
        <f t="array" ref="T56:T56">T55</f>
        <v>false</v>
      </c>
      <c r="U56" s="960"/>
      <c r="V56" s="960"/>
      <c r="W56" s="960"/>
      <c r="X56" s="1482"/>
      <c r="Y56" s="960"/>
      <c r="Z56" s="1465"/>
      <c r="AA56" s="960"/>
      <c r="AB56" s="266" t="s">
        <v>1852</v>
      </c>
      <c r="AC56" s="749" t="s">
        <v>1086</v>
      </c>
      <c r="AD56" s="267" t="s">
        <v>784</v>
      </c>
      <c r="AE56" s="1280"/>
      <c r="AF56" s="1280"/>
      <c r="AG56" s="1280"/>
      <c r="AH56" s="926">
        <f>AG56-AF56</f>
        <v>0</v>
      </c>
      <c r="AI56" s="4750"/>
      <c r="AJ56" s="4743"/>
      <c r="AK56" s="925"/>
      <c r="AL56" s="925"/>
      <c r="AM56" s="925"/>
      <c r="AN56" s="925"/>
      <c r="AO56" s="925"/>
      <c r="AP56" s="925"/>
      <c r="AQ56" s="925"/>
      <c r="AR56" s="925"/>
      <c r="AS56" s="925"/>
      <c r="AT56" s="925"/>
      <c r="AU56" s="925"/>
      <c r="AV56" s="925"/>
      <c r="AW56" s="925"/>
      <c r="AX56" s="925"/>
      <c r="AY56" s="925"/>
      <c r="AZ56" s="925"/>
      <c r="BA56" s="925"/>
      <c r="BB56" s="925"/>
      <c r="BC56" s="925"/>
      <c r="BD56" s="925"/>
      <c r="BE56" s="925"/>
      <c r="BF56" s="925"/>
      <c r="BG56" s="925"/>
      <c r="BH56" s="925"/>
      <c r="BI56" s="925"/>
      <c r="BJ56" s="925"/>
      <c r="BK56" s="925"/>
      <c r="BL56" s="925"/>
      <c r="BM56" s="925"/>
      <c r="BN56" s="1278"/>
      <c r="BO56" s="1281" t="str">
        <f>IF(_xlfn.IFERROR(INDEX(Административные!$K$26:$L$84,MATCH($F56&amp;"11komm",Административные!$K$26:$K$84,0),2),"")=0,"",_xlfn.IFERROR(INDEX(Административные!$K$26:$L$84,MATCH($F56&amp;"11komm",Административные!$K$26:$K$84,0),2),""))</f>
        <v/>
      </c>
      <c r="BP56" s="1278"/>
      <c r="BQ56" s="960"/>
      <c r="BR56" s="960"/>
      <c r="BS56" s="1048" t="s">
        <v>1087</v>
      </c>
      <c r="BT56" s="1048"/>
      <c r="BU56" s="1048"/>
      <c r="BV56" s="962"/>
      <c r="BW56" s="962"/>
    </row>
    <row customHeight="1" ht="14.625" hidden="1">
      <c r="A57" s="960"/>
      <c r="B57" s="961"/>
      <c r="C57" s="960"/>
      <c r="D57" s="960"/>
      <c r="E57" s="683">
        <v>15</v>
      </c>
      <c r="F57" s="50" cm="1" t="str">
        <f t="array" ref="F57:F57">OFFSET(E57,-1,1)</f>
        <v>0</v>
      </c>
      <c r="G57" s="124" t="s">
        <v>1088</v>
      </c>
      <c r="H57" s="345"/>
      <c r="I57" s="345" t="s">
        <v>1853</v>
      </c>
      <c r="J57" s="960"/>
      <c r="K57" s="345" t="s">
        <v>1853</v>
      </c>
      <c r="L57" s="963"/>
      <c r="M57" s="73"/>
      <c r="N57" s="960"/>
      <c r="O57" s="960"/>
      <c r="P57" s="960"/>
      <c r="Q57" s="124" t="s">
        <v>2093</v>
      </c>
      <c r="R57" s="127" t="s">
        <v>2093</v>
      </c>
      <c r="S57" s="960"/>
      <c r="T57" s="439" cm="1" t="str">
        <f t="array" ref="T57:T57">T56</f>
        <v>false</v>
      </c>
      <c r="U57" s="960"/>
      <c r="V57" s="960"/>
      <c r="W57" s="960"/>
      <c r="X57" s="1482"/>
      <c r="Y57" s="960"/>
      <c r="Z57" s="1465"/>
      <c r="AA57" s="960"/>
      <c r="AB57" s="266" t="s">
        <v>1854</v>
      </c>
      <c r="AC57" s="749" t="s">
        <v>1089</v>
      </c>
      <c r="AD57" s="267" t="s">
        <v>784</v>
      </c>
      <c r="AE57" s="1280"/>
      <c r="AF57" s="1280"/>
      <c r="AG57" s="1280"/>
      <c r="AH57" s="926">
        <f>AG57-AF57</f>
        <v>0</v>
      </c>
      <c r="AI57" s="4750"/>
      <c r="AJ57" s="4743"/>
      <c r="AK57" s="925"/>
      <c r="AL57" s="925"/>
      <c r="AM57" s="925"/>
      <c r="AN57" s="925"/>
      <c r="AO57" s="925"/>
      <c r="AP57" s="925"/>
      <c r="AQ57" s="925"/>
      <c r="AR57" s="925"/>
      <c r="AS57" s="925"/>
      <c r="AT57" s="925"/>
      <c r="AU57" s="925"/>
      <c r="AV57" s="925"/>
      <c r="AW57" s="925"/>
      <c r="AX57" s="925"/>
      <c r="AY57" s="925"/>
      <c r="AZ57" s="925"/>
      <c r="BA57" s="925"/>
      <c r="BB57" s="925"/>
      <c r="BC57" s="925"/>
      <c r="BD57" s="925"/>
      <c r="BE57" s="925"/>
      <c r="BF57" s="925"/>
      <c r="BG57" s="925"/>
      <c r="BH57" s="925"/>
      <c r="BI57" s="925"/>
      <c r="BJ57" s="925"/>
      <c r="BK57" s="925"/>
      <c r="BL57" s="925"/>
      <c r="BM57" s="925"/>
      <c r="BN57" s="1278"/>
      <c r="BO57" s="1281" t="str">
        <f>IF(_xlfn.IFERROR(INDEX(Административные!$K$26:$L$84,MATCH($F57&amp;"12komm",Административные!$K$26:$K$84,0),2),"")=0,"",_xlfn.IFERROR(INDEX(Административные!$K$26:$L$84,MATCH($F57&amp;"12komm",Административные!$K$26:$K$84,0),2),""))</f>
        <v/>
      </c>
      <c r="BP57" s="1278"/>
      <c r="BQ57" s="960"/>
      <c r="BR57" s="960"/>
      <c r="BS57" s="1048" t="s">
        <v>1090</v>
      </c>
      <c r="BT57" s="1048"/>
      <c r="BU57" s="1048"/>
      <c r="BV57" s="962"/>
      <c r="BW57" s="962"/>
    </row>
    <row customHeight="1" ht="14.625" hidden="1">
      <c r="A58" s="960"/>
      <c r="B58" s="961"/>
      <c r="C58" s="960"/>
      <c r="D58" s="960"/>
      <c r="E58" s="683">
        <v>15</v>
      </c>
      <c r="F58" s="50" cm="1" t="str">
        <f t="array" ref="F58:F58">OFFSET(E58,-1,1)</f>
        <v>0</v>
      </c>
      <c r="G58" s="124" t="s">
        <v>1091</v>
      </c>
      <c r="H58" s="345"/>
      <c r="I58" s="345" t="s">
        <v>1855</v>
      </c>
      <c r="J58" s="960"/>
      <c r="K58" s="345" t="s">
        <v>1855</v>
      </c>
      <c r="L58" s="963"/>
      <c r="M58" s="73"/>
      <c r="N58" s="960"/>
      <c r="O58" s="960"/>
      <c r="P58" s="960"/>
      <c r="Q58" s="124" t="s">
        <v>2093</v>
      </c>
      <c r="R58" s="127" t="s">
        <v>2093</v>
      </c>
      <c r="S58" s="960"/>
      <c r="T58" s="439" cm="1" t="str">
        <f t="array" ref="T58:T58">T57</f>
        <v>false</v>
      </c>
      <c r="U58" s="960"/>
      <c r="V58" s="960"/>
      <c r="W58" s="960"/>
      <c r="X58" s="1482"/>
      <c r="Y58" s="960"/>
      <c r="Z58" s="1465"/>
      <c r="AA58" s="960"/>
      <c r="AB58" s="266" t="s">
        <v>1856</v>
      </c>
      <c r="AC58" s="749" t="s">
        <v>1092</v>
      </c>
      <c r="AD58" s="267" t="s">
        <v>784</v>
      </c>
      <c r="AE58" s="1280"/>
      <c r="AF58" s="1280"/>
      <c r="AG58" s="1280"/>
      <c r="AH58" s="926">
        <f>AG58-AF58</f>
        <v>0</v>
      </c>
      <c r="AI58" s="4750"/>
      <c r="AJ58" s="4743"/>
      <c r="AK58" s="925"/>
      <c r="AL58" s="925"/>
      <c r="AM58" s="925"/>
      <c r="AN58" s="925"/>
      <c r="AO58" s="925"/>
      <c r="AP58" s="925"/>
      <c r="AQ58" s="925"/>
      <c r="AR58" s="925"/>
      <c r="AS58" s="925"/>
      <c r="AT58" s="925"/>
      <c r="AU58" s="925"/>
      <c r="AV58" s="925"/>
      <c r="AW58" s="925"/>
      <c r="AX58" s="925"/>
      <c r="AY58" s="925"/>
      <c r="AZ58" s="925"/>
      <c r="BA58" s="925"/>
      <c r="BB58" s="925"/>
      <c r="BC58" s="925"/>
      <c r="BD58" s="925"/>
      <c r="BE58" s="925"/>
      <c r="BF58" s="925"/>
      <c r="BG58" s="925"/>
      <c r="BH58" s="925"/>
      <c r="BI58" s="925"/>
      <c r="BJ58" s="925"/>
      <c r="BK58" s="925"/>
      <c r="BL58" s="925"/>
      <c r="BM58" s="925"/>
      <c r="BN58" s="1278"/>
      <c r="BO58" s="1281" t="str">
        <f>IF(_xlfn.IFERROR(INDEX(Административные!$K$26:$L$84,MATCH($F58&amp;"13komm",Административные!$K$26:$K$84,0),2),"")=0,"",_xlfn.IFERROR(INDEX(Административные!$K$26:$L$84,MATCH($F58&amp;"13komm",Административные!$K$26:$K$84,0),2),""))</f>
        <v/>
      </c>
      <c r="BP58" s="1278"/>
      <c r="BQ58" s="960"/>
      <c r="BR58" s="960"/>
      <c r="BS58" s="1048" t="s">
        <v>1093</v>
      </c>
      <c r="BT58" s="1048"/>
      <c r="BU58" s="1048"/>
      <c r="BV58" s="962"/>
      <c r="BW58" s="962"/>
    </row>
    <row customHeight="1" ht="14.625" hidden="1">
      <c r="A59" s="960"/>
      <c r="B59" s="961"/>
      <c r="C59" s="960"/>
      <c r="D59" s="960"/>
      <c r="E59" s="683">
        <v>15</v>
      </c>
      <c r="F59" s="50" cm="1" t="str">
        <f t="array" ref="F59:F59">OFFSET(E59,-1,1)</f>
        <v>0</v>
      </c>
      <c r="G59" s="124" t="s">
        <v>1094</v>
      </c>
      <c r="H59" s="345"/>
      <c r="I59" s="345" t="s">
        <v>1857</v>
      </c>
      <c r="J59" s="960"/>
      <c r="K59" s="345" t="s">
        <v>1857</v>
      </c>
      <c r="L59" s="963"/>
      <c r="M59" s="73"/>
      <c r="N59" s="960"/>
      <c r="O59" s="960"/>
      <c r="P59" s="960"/>
      <c r="Q59" s="124" t="s">
        <v>2093</v>
      </c>
      <c r="R59" s="127" t="s">
        <v>2093</v>
      </c>
      <c r="S59" s="960"/>
      <c r="T59" s="439" cm="1" t="str">
        <f t="array" ref="T59:T59">T58</f>
        <v>false</v>
      </c>
      <c r="U59" s="960"/>
      <c r="V59" s="960"/>
      <c r="W59" s="960"/>
      <c r="X59" s="1482"/>
      <c r="Y59" s="960"/>
      <c r="Z59" s="1465"/>
      <c r="AA59" s="960"/>
      <c r="AB59" s="266" t="s">
        <v>1858</v>
      </c>
      <c r="AC59" s="749" t="s">
        <v>1095</v>
      </c>
      <c r="AD59" s="267" t="s">
        <v>784</v>
      </c>
      <c r="AE59" s="1280"/>
      <c r="AF59" s="1280"/>
      <c r="AG59" s="1280"/>
      <c r="AH59" s="926">
        <f>AG59-AF59</f>
        <v>0</v>
      </c>
      <c r="AI59" s="4750"/>
      <c r="AJ59" s="4743"/>
      <c r="AK59" s="925"/>
      <c r="AL59" s="925"/>
      <c r="AM59" s="925"/>
      <c r="AN59" s="925"/>
      <c r="AO59" s="925"/>
      <c r="AP59" s="925"/>
      <c r="AQ59" s="925"/>
      <c r="AR59" s="925"/>
      <c r="AS59" s="925"/>
      <c r="AT59" s="925"/>
      <c r="AU59" s="925"/>
      <c r="AV59" s="925"/>
      <c r="AW59" s="925"/>
      <c r="AX59" s="925"/>
      <c r="AY59" s="925"/>
      <c r="AZ59" s="925"/>
      <c r="BA59" s="925"/>
      <c r="BB59" s="925"/>
      <c r="BC59" s="925"/>
      <c r="BD59" s="925"/>
      <c r="BE59" s="925"/>
      <c r="BF59" s="925"/>
      <c r="BG59" s="925"/>
      <c r="BH59" s="925"/>
      <c r="BI59" s="925"/>
      <c r="BJ59" s="925"/>
      <c r="BK59" s="925"/>
      <c r="BL59" s="925"/>
      <c r="BM59" s="925"/>
      <c r="BN59" s="1278"/>
      <c r="BO59" s="1281" t="str">
        <f>IF(_xlfn.IFERROR(INDEX(Административные!$K$26:$L$84,MATCH($F59&amp;"14komm",Административные!$K$26:$K$84,0),2),"")=0,"",_xlfn.IFERROR(INDEX(Административные!$K$26:$L$84,MATCH($F59&amp;"14komm",Административные!$K$26:$K$84,0),2),""))</f>
        <v/>
      </c>
      <c r="BP59" s="1278"/>
      <c r="BQ59" s="960"/>
      <c r="BR59" s="960"/>
      <c r="BS59" s="1048" t="s">
        <v>1859</v>
      </c>
      <c r="BT59" s="1048"/>
      <c r="BU59" s="1048"/>
      <c r="BV59" s="962"/>
      <c r="BW59" s="962"/>
    </row>
    <row customHeight="1" ht="14.625" hidden="1">
      <c r="A60" s="960"/>
      <c r="B60" s="961"/>
      <c r="C60" s="960"/>
      <c r="D60" s="960"/>
      <c r="E60" s="683">
        <v>15</v>
      </c>
      <c r="F60" s="50" cm="1" t="str">
        <f t="array" ref="F60:F60">OFFSET(E60,-1,1)</f>
        <v>0</v>
      </c>
      <c r="G60" s="124" t="s">
        <v>1097</v>
      </c>
      <c r="H60" s="345"/>
      <c r="I60" s="345" t="s">
        <v>1860</v>
      </c>
      <c r="J60" s="960"/>
      <c r="K60" s="345" t="s">
        <v>1860</v>
      </c>
      <c r="L60" s="963"/>
      <c r="M60" s="73"/>
      <c r="N60" s="960"/>
      <c r="O60" s="960"/>
      <c r="P60" s="960"/>
      <c r="Q60" s="124" t="s">
        <v>2093</v>
      </c>
      <c r="R60" s="127" t="s">
        <v>2093</v>
      </c>
      <c r="S60" s="960"/>
      <c r="T60" s="439" cm="1" t="str">
        <f t="array" ref="T60:T60">T59</f>
        <v>false</v>
      </c>
      <c r="U60" s="960"/>
      <c r="V60" s="960"/>
      <c r="W60" s="960"/>
      <c r="X60" s="1482"/>
      <c r="Y60" s="960"/>
      <c r="Z60" s="1465"/>
      <c r="AA60" s="960"/>
      <c r="AB60" s="266" t="s">
        <v>1861</v>
      </c>
      <c r="AC60" s="749" t="s">
        <v>1100</v>
      </c>
      <c r="AD60" s="267" t="s">
        <v>784</v>
      </c>
      <c r="AE60" s="1280"/>
      <c r="AF60" s="1280"/>
      <c r="AG60" s="1280"/>
      <c r="AH60" s="926">
        <f>AG60-AF60</f>
        <v>0</v>
      </c>
      <c r="AI60" s="4750"/>
      <c r="AJ60" s="4743"/>
      <c r="AK60" s="925"/>
      <c r="AL60" s="925"/>
      <c r="AM60" s="925"/>
      <c r="AN60" s="925"/>
      <c r="AO60" s="925"/>
      <c r="AP60" s="925"/>
      <c r="AQ60" s="925"/>
      <c r="AR60" s="925"/>
      <c r="AS60" s="925"/>
      <c r="AT60" s="925"/>
      <c r="AU60" s="925"/>
      <c r="AV60" s="925"/>
      <c r="AW60" s="925"/>
      <c r="AX60" s="925"/>
      <c r="AY60" s="925"/>
      <c r="AZ60" s="925"/>
      <c r="BA60" s="925"/>
      <c r="BB60" s="925"/>
      <c r="BC60" s="925"/>
      <c r="BD60" s="925"/>
      <c r="BE60" s="925"/>
      <c r="BF60" s="925"/>
      <c r="BG60" s="925"/>
      <c r="BH60" s="925"/>
      <c r="BI60" s="925"/>
      <c r="BJ60" s="925"/>
      <c r="BK60" s="925"/>
      <c r="BL60" s="925"/>
      <c r="BM60" s="925"/>
      <c r="BN60" s="1278"/>
      <c r="BO60" s="1281" t="str">
        <f>IF(_xlfn.IFERROR(INDEX(Административные!$K$26:$L$84,MATCH($F60&amp;"15komm",Административные!$K$26:$K$84,0),2),"")=0,"",_xlfn.IFERROR(INDEX(Административные!$K$26:$L$84,MATCH($F60&amp;"15komm",Административные!$K$26:$K$84,0),2),""))</f>
        <v/>
      </c>
      <c r="BP60" s="1278"/>
      <c r="BQ60" s="960"/>
      <c r="BR60" s="960"/>
      <c r="BS60" s="1048" t="s">
        <v>1101</v>
      </c>
      <c r="BT60" s="1048"/>
      <c r="BU60" s="1048"/>
      <c r="BV60" s="962"/>
      <c r="BW60" s="962"/>
    </row>
    <row customHeight="1" ht="14.625" hidden="1">
      <c r="A61" s="960"/>
      <c r="B61" s="961"/>
      <c r="C61" s="960"/>
      <c r="D61" s="960"/>
      <c r="E61" s="683">
        <v>15</v>
      </c>
      <c r="F61" s="50" cm="1" t="str">
        <f t="array" ref="F61:F61">OFFSET(E61,-1,1)</f>
        <v>0</v>
      </c>
      <c r="G61" s="124" t="s">
        <v>1102</v>
      </c>
      <c r="H61" s="345"/>
      <c r="I61" s="345" t="s">
        <v>1862</v>
      </c>
      <c r="J61" s="960"/>
      <c r="K61" s="345" t="s">
        <v>1862</v>
      </c>
      <c r="L61" s="963"/>
      <c r="M61" s="73"/>
      <c r="N61" s="960"/>
      <c r="O61" s="960"/>
      <c r="P61" s="960"/>
      <c r="Q61" s="124" t="s">
        <v>2093</v>
      </c>
      <c r="R61" s="127" t="s">
        <v>2093</v>
      </c>
      <c r="S61" s="960"/>
      <c r="T61" s="439" cm="1" t="str">
        <f t="array" ref="T61:T61">T60</f>
        <v>false</v>
      </c>
      <c r="U61" s="960"/>
      <c r="V61" s="960"/>
      <c r="W61" s="960"/>
      <c r="X61" s="1482"/>
      <c r="Y61" s="960"/>
      <c r="Z61" s="1465"/>
      <c r="AA61" s="960"/>
      <c r="AB61" s="266" t="s">
        <v>1863</v>
      </c>
      <c r="AC61" s="749" t="s">
        <v>1105</v>
      </c>
      <c r="AD61" s="267" t="s">
        <v>784</v>
      </c>
      <c r="AE61" s="1280"/>
      <c r="AF61" s="1280"/>
      <c r="AG61" s="1280"/>
      <c r="AH61" s="926">
        <f>AG61-AF61</f>
        <v>0</v>
      </c>
      <c r="AI61" s="4750"/>
      <c r="AJ61" s="4743"/>
      <c r="AK61" s="925"/>
      <c r="AL61" s="925"/>
      <c r="AM61" s="925"/>
      <c r="AN61" s="925"/>
      <c r="AO61" s="925"/>
      <c r="AP61" s="925"/>
      <c r="AQ61" s="925"/>
      <c r="AR61" s="925"/>
      <c r="AS61" s="925"/>
      <c r="AT61" s="925"/>
      <c r="AU61" s="925"/>
      <c r="AV61" s="925"/>
      <c r="AW61" s="925"/>
      <c r="AX61" s="925"/>
      <c r="AY61" s="925"/>
      <c r="AZ61" s="925"/>
      <c r="BA61" s="925"/>
      <c r="BB61" s="925"/>
      <c r="BC61" s="925"/>
      <c r="BD61" s="925"/>
      <c r="BE61" s="925"/>
      <c r="BF61" s="925"/>
      <c r="BG61" s="925"/>
      <c r="BH61" s="925"/>
      <c r="BI61" s="925"/>
      <c r="BJ61" s="925"/>
      <c r="BK61" s="925"/>
      <c r="BL61" s="925"/>
      <c r="BM61" s="925"/>
      <c r="BN61" s="1278"/>
      <c r="BO61" s="1281" t="str">
        <f>IF(_xlfn.IFERROR(INDEX(Административные!$K$26:$L$84,MATCH($F61&amp;"16komm",Административные!$K$26:$K$84,0),2),"")=0,"",_xlfn.IFERROR(INDEX(Административные!$K$26:$L$84,MATCH($F61&amp;"16komm",Административные!$K$26:$K$84,0),2),""))</f>
        <v/>
      </c>
      <c r="BP61" s="1278"/>
      <c r="BQ61" s="960"/>
      <c r="BR61" s="960"/>
      <c r="BS61" s="1048" t="s">
        <v>1864</v>
      </c>
      <c r="BT61" s="1048"/>
      <c r="BU61" s="1048"/>
      <c r="BV61" s="962"/>
      <c r="BW61" s="962"/>
    </row>
    <row customHeight="1" ht="21.9375" hidden="1">
      <c r="A62" s="960"/>
      <c r="B62" s="961"/>
      <c r="C62" s="960"/>
      <c r="D62" s="960"/>
      <c r="E62" s="683">
        <v>22.5</v>
      </c>
      <c r="F62" s="50" cm="1" t="str">
        <f t="array" ref="F62:F62">OFFSET(E62,-1,1)</f>
        <v>0</v>
      </c>
      <c r="G62" s="960"/>
      <c r="H62" s="345"/>
      <c r="I62" s="345" t="s">
        <v>1247</v>
      </c>
      <c r="J62" s="960"/>
      <c r="K62" s="345" t="s">
        <v>1247</v>
      </c>
      <c r="L62" s="963" t="s">
        <v>877</v>
      </c>
      <c r="M62" s="73"/>
      <c r="N62" s="960"/>
      <c r="O62" s="960"/>
      <c r="P62" s="960"/>
      <c r="Q62" s="124" t="s">
        <v>2093</v>
      </c>
      <c r="R62" s="127" t="s">
        <v>2093</v>
      </c>
      <c r="S62" s="960"/>
      <c r="T62" s="439" cm="1" t="str">
        <f t="array" ref="T62:T62">T61</f>
        <v>false</v>
      </c>
      <c r="U62" s="960"/>
      <c r="V62" s="960"/>
      <c r="W62" s="960"/>
      <c r="X62" s="1482"/>
      <c r="Y62" s="960"/>
      <c r="Z62" s="1465"/>
      <c r="AA62" s="960"/>
      <c r="AB62" s="266" t="s">
        <v>974</v>
      </c>
      <c r="AC62" s="746" t="s">
        <v>1865</v>
      </c>
      <c r="AD62" s="267" t="s">
        <v>784</v>
      </c>
      <c r="AE62" s="927">
        <f>AE63+AE64</f>
        <v>0</v>
      </c>
      <c r="AF62" s="927">
        <f>AF63+AF64</f>
        <v>0</v>
      </c>
      <c r="AG62" s="927">
        <f>AG63+AG64</f>
        <v>0</v>
      </c>
      <c r="AH62" s="926">
        <f>AG62-AF62</f>
        <v>0</v>
      </c>
      <c r="AI62" s="4752">
        <f>AI63+AI64</f>
        <v>0</v>
      </c>
      <c r="AJ62" s="4743"/>
      <c r="AK62" s="925"/>
      <c r="AL62" s="925"/>
      <c r="AM62" s="925"/>
      <c r="AN62" s="925"/>
      <c r="AO62" s="925"/>
      <c r="AP62" s="925"/>
      <c r="AQ62" s="925"/>
      <c r="AR62" s="925"/>
      <c r="AS62" s="925"/>
      <c r="AT62" s="925"/>
      <c r="AU62" s="925"/>
      <c r="AV62" s="925"/>
      <c r="AW62" s="925"/>
      <c r="AX62" s="925"/>
      <c r="AY62" s="925"/>
      <c r="AZ62" s="925"/>
      <c r="BA62" s="925"/>
      <c r="BB62" s="925"/>
      <c r="BC62" s="925"/>
      <c r="BD62" s="925"/>
      <c r="BE62" s="925"/>
      <c r="BF62" s="925"/>
      <c r="BG62" s="925"/>
      <c r="BH62" s="925"/>
      <c r="BI62" s="925"/>
      <c r="BJ62" s="925"/>
      <c r="BK62" s="925"/>
      <c r="BL62" s="925"/>
      <c r="BM62" s="925"/>
      <c r="BN62" s="1278"/>
      <c r="BO62" s="1278"/>
      <c r="BP62" s="1278"/>
      <c r="BQ62" s="960"/>
      <c r="BR62" s="960"/>
      <c r="BS62" s="1046" t="s">
        <v>1670</v>
      </c>
      <c r="BT62" s="1048"/>
      <c r="BU62" s="1048"/>
      <c r="BV62" s="962"/>
      <c r="BW62" s="962"/>
    </row>
    <row customHeight="1" ht="14.625" hidden="1">
      <c r="A63" s="960"/>
      <c r="B63" s="961"/>
      <c r="C63" s="960"/>
      <c r="D63" s="960"/>
      <c r="E63" s="683">
        <v>15</v>
      </c>
      <c r="F63" s="50" cm="1" t="str">
        <f t="array" ref="F63:F63">OFFSET(E63,-1,1)</f>
        <v>0</v>
      </c>
      <c r="G63" s="124" t="s">
        <v>1061</v>
      </c>
      <c r="H63" s="345"/>
      <c r="I63" s="345" t="s">
        <v>1866</v>
      </c>
      <c r="J63" s="960"/>
      <c r="K63" s="345" t="s">
        <v>1866</v>
      </c>
      <c r="L63" s="963" t="s">
        <v>477</v>
      </c>
      <c r="M63" s="73"/>
      <c r="N63" s="960"/>
      <c r="O63" s="960"/>
      <c r="P63" s="960"/>
      <c r="Q63" s="124" t="s">
        <v>2093</v>
      </c>
      <c r="R63" s="127" t="s">
        <v>2093</v>
      </c>
      <c r="S63" s="960"/>
      <c r="T63" s="439" cm="1" t="str">
        <f t="array" ref="T63:T63">T62</f>
        <v>false</v>
      </c>
      <c r="U63" s="960"/>
      <c r="V63" s="960"/>
      <c r="W63" s="960"/>
      <c r="X63" s="1482"/>
      <c r="Y63" s="960"/>
      <c r="Z63" s="1465"/>
      <c r="AA63" s="960"/>
      <c r="AB63" s="266" t="s">
        <v>1867</v>
      </c>
      <c r="AC63" s="749" t="s">
        <v>1671</v>
      </c>
      <c r="AD63" s="752" t="s">
        <v>784</v>
      </c>
      <c r="AE63" s="1280"/>
      <c r="AF63" s="1280"/>
      <c r="AG63" s="1280"/>
      <c r="AH63" s="926">
        <f>AG63-AF63</f>
        <v>0</v>
      </c>
      <c r="AI63" s="4750"/>
      <c r="AJ63" s="4743"/>
      <c r="AK63" s="925"/>
      <c r="AL63" s="925"/>
      <c r="AM63" s="925"/>
      <c r="AN63" s="925"/>
      <c r="AO63" s="925"/>
      <c r="AP63" s="925"/>
      <c r="AQ63" s="925"/>
      <c r="AR63" s="925"/>
      <c r="AS63" s="925"/>
      <c r="AT63" s="925"/>
      <c r="AU63" s="925"/>
      <c r="AV63" s="925"/>
      <c r="AW63" s="925"/>
      <c r="AX63" s="925"/>
      <c r="AY63" s="925"/>
      <c r="AZ63" s="925"/>
      <c r="BA63" s="925"/>
      <c r="BB63" s="925"/>
      <c r="BC63" s="925"/>
      <c r="BD63" s="925"/>
      <c r="BE63" s="925"/>
      <c r="BF63" s="925"/>
      <c r="BG63" s="925"/>
      <c r="BH63" s="925"/>
      <c r="BI63" s="925"/>
      <c r="BJ63" s="925"/>
      <c r="BK63" s="925"/>
      <c r="BL63" s="925"/>
      <c r="BM63" s="925"/>
      <c r="BN63" s="1278"/>
      <c r="BO63" s="1281" t="str">
        <f>IF(_xlfn.IFERROR(INDEX(ФОТ!$K$26:$L$102,MATCH($F63&amp;"5komm",ФОТ!$K$26:$K$102,0),2),"")=0,"",_xlfn.IFERROR(INDEX(ФОТ!$K$26:$L$102,MATCH($F63&amp;"5komm",ФОТ!$K$26:$K$102,0),2),""))</f>
        <v/>
      </c>
      <c r="BP63" s="1278"/>
      <c r="BQ63" s="960"/>
      <c r="BR63" s="960"/>
      <c r="BS63" s="1046" t="s">
        <v>1078</v>
      </c>
      <c r="BT63" s="1048"/>
      <c r="BU63" s="1048"/>
      <c r="BV63" s="962"/>
      <c r="BW63" s="962"/>
    </row>
    <row customHeight="1" ht="21.9375" hidden="1">
      <c r="A64" s="960"/>
      <c r="B64" s="961"/>
      <c r="C64" s="960"/>
      <c r="D64" s="960"/>
      <c r="E64" s="683">
        <v>22.5</v>
      </c>
      <c r="F64" s="50" cm="1" t="str">
        <f t="array" ref="F64:F64">OFFSET(E64,-1,1)</f>
        <v>0</v>
      </c>
      <c r="G64" s="124" t="s">
        <v>1066</v>
      </c>
      <c r="H64" s="345"/>
      <c r="I64" s="345" t="s">
        <v>1868</v>
      </c>
      <c r="J64" s="960"/>
      <c r="K64" s="345" t="s">
        <v>1868</v>
      </c>
      <c r="L64" s="963" t="s">
        <v>482</v>
      </c>
      <c r="M64" s="73"/>
      <c r="N64" s="960"/>
      <c r="O64" s="960"/>
      <c r="P64" s="960"/>
      <c r="Q64" s="124" t="s">
        <v>2093</v>
      </c>
      <c r="R64" s="127" t="s">
        <v>2093</v>
      </c>
      <c r="S64" s="960"/>
      <c r="T64" s="439" cm="1" t="str">
        <f t="array" ref="T64:T64">T63</f>
        <v>false</v>
      </c>
      <c r="U64" s="960"/>
      <c r="V64" s="960"/>
      <c r="W64" s="960"/>
      <c r="X64" s="1482"/>
      <c r="Y64" s="960"/>
      <c r="Z64" s="1465"/>
      <c r="AA64" s="960"/>
      <c r="AB64" s="266" t="s">
        <v>1869</v>
      </c>
      <c r="AC64" s="749" t="s">
        <v>1870</v>
      </c>
      <c r="AD64" s="267" t="s">
        <v>784</v>
      </c>
      <c r="AE64" s="1280">
        <f>AE63*_xlfn.SUMIFS(INDEX(Сценарии!$AE$25:$BF$109,,MATCH(AE$8,Сценарии!$AE$8:$BF$8,0)),Сценарии!$F$25:$F$109,$F64,Сценарии!$G$25:$G$109,"СВФОТ")/100</f>
        <v>0</v>
      </c>
      <c r="AF64" s="1280">
        <f>AF63*_xlfn.SUMIFS(INDEX(Сценарии!$AE$25:$BF$109,,MATCH(AF$8,Сценарии!$AE$8:$BF$8,0)),Сценарии!$F$25:$F$109,$F64,Сценарии!$G$25:$G$109,"СВФОТ")/100</f>
        <v>0</v>
      </c>
      <c r="AG64" s="1280">
        <f>AG63*_xlfn.SUMIFS(INDEX(Сценарии!$AE$25:$BF$109,,MATCH(AG$8,Сценарии!$AE$8:$BF$8,0)),Сценарии!$F$25:$F$109,$F64,Сценарии!$G$25:$G$109,"СВФОТ")/100</f>
        <v>0</v>
      </c>
      <c r="AH64" s="926">
        <f>AG64-AF64</f>
        <v>0</v>
      </c>
      <c r="AI64" s="4750">
        <f>AI63*_xlfn.SUMIFS(INDEX(Сценарии!$AE$25:$BF$109,,MATCH(AG$8,Сценарии!$AE$8:$BF$8,0)),Сценарии!$F$25:$F$109,$F64,Сценарии!$G$25:$G$109,"СВФОТ")/100</f>
        <v>0</v>
      </c>
      <c r="AJ64" s="4743"/>
      <c r="AK64" s="925"/>
      <c r="AL64" s="925"/>
      <c r="AM64" s="925"/>
      <c r="AN64" s="925"/>
      <c r="AO64" s="925"/>
      <c r="AP64" s="925"/>
      <c r="AQ64" s="925"/>
      <c r="AR64" s="925"/>
      <c r="AS64" s="925"/>
      <c r="AT64" s="925"/>
      <c r="AU64" s="925"/>
      <c r="AV64" s="925"/>
      <c r="AW64" s="925"/>
      <c r="AX64" s="925"/>
      <c r="AY64" s="925"/>
      <c r="AZ64" s="925"/>
      <c r="BA64" s="925"/>
      <c r="BB64" s="925"/>
      <c r="BC64" s="925"/>
      <c r="BD64" s="925"/>
      <c r="BE64" s="925"/>
      <c r="BF64" s="925"/>
      <c r="BG64" s="925"/>
      <c r="BH64" s="925"/>
      <c r="BI64" s="925"/>
      <c r="BJ64" s="925"/>
      <c r="BK64" s="925"/>
      <c r="BL64" s="925"/>
      <c r="BM64" s="925"/>
      <c r="BN64" s="1278"/>
      <c r="BO64" s="1281" t="str">
        <f>IF(_xlfn.IFERROR(INDEX(ФОТ!$K$26:$L$102,MATCH($F64&amp;"6komm",ФОТ!$K$26:$K$102,0),2),"")=0,"",_xlfn.IFERROR(INDEX(ФОТ!$K$26:$L$102,MATCH($F64&amp;"6komm",ФОТ!$K$26:$K$102,0),2),""))</f>
        <v/>
      </c>
      <c r="BP64" s="1278"/>
      <c r="BQ64" s="960"/>
      <c r="BR64" s="960"/>
      <c r="BS64" s="1046" t="s">
        <v>1673</v>
      </c>
      <c r="BT64" s="1048"/>
      <c r="BU64" s="1048"/>
      <c r="BV64" s="962"/>
      <c r="BW64" s="962"/>
    </row>
    <row customHeight="1" ht="32.90625" hidden="1">
      <c r="A65" s="960"/>
      <c r="B65" s="961"/>
      <c r="C65" s="960"/>
      <c r="D65" s="960"/>
      <c r="E65" s="683">
        <v>33.75</v>
      </c>
      <c r="F65" s="50" cm="1" t="str">
        <f t="array" ref="F65:F65">OFFSET(E65,-1,1)</f>
        <v>0</v>
      </c>
      <c r="G65" s="49" t="s">
        <v>1107</v>
      </c>
      <c r="H65" s="345"/>
      <c r="I65" s="345" t="s">
        <v>1250</v>
      </c>
      <c r="J65" s="960"/>
      <c r="K65" s="345" t="s">
        <v>1250</v>
      </c>
      <c r="L65" s="963" t="s">
        <v>879</v>
      </c>
      <c r="M65" s="73"/>
      <c r="N65" s="960"/>
      <c r="O65" s="960"/>
      <c r="P65" s="960"/>
      <c r="Q65" s="124" t="s">
        <v>2093</v>
      </c>
      <c r="R65" s="127" t="s">
        <v>2093</v>
      </c>
      <c r="S65" s="960"/>
      <c r="T65" s="439" cm="1" t="str">
        <f t="array" ref="T65:T65">T64</f>
        <v>false</v>
      </c>
      <c r="U65" s="960"/>
      <c r="V65" s="960"/>
      <c r="W65" s="960"/>
      <c r="X65" s="1482"/>
      <c r="Y65" s="960"/>
      <c r="Z65" s="1465"/>
      <c r="AA65" s="960"/>
      <c r="AB65" s="266" t="s">
        <v>1251</v>
      </c>
      <c r="AC65" s="746" t="s">
        <v>1871</v>
      </c>
      <c r="AD65" s="267" t="s">
        <v>784</v>
      </c>
      <c r="AE65" s="1280"/>
      <c r="AF65" s="1280"/>
      <c r="AG65" s="1280"/>
      <c r="AH65" s="926">
        <f>AG65-AF65</f>
        <v>0</v>
      </c>
      <c r="AI65" s="4750"/>
      <c r="AJ65" s="4743"/>
      <c r="AK65" s="925"/>
      <c r="AL65" s="925"/>
      <c r="AM65" s="925"/>
      <c r="AN65" s="925"/>
      <c r="AO65" s="925"/>
      <c r="AP65" s="925"/>
      <c r="AQ65" s="925"/>
      <c r="AR65" s="925"/>
      <c r="AS65" s="925"/>
      <c r="AT65" s="925"/>
      <c r="AU65" s="925"/>
      <c r="AV65" s="925"/>
      <c r="AW65" s="925"/>
      <c r="AX65" s="925"/>
      <c r="AY65" s="925"/>
      <c r="AZ65" s="925"/>
      <c r="BA65" s="925"/>
      <c r="BB65" s="925"/>
      <c r="BC65" s="925"/>
      <c r="BD65" s="925"/>
      <c r="BE65" s="925"/>
      <c r="BF65" s="925"/>
      <c r="BG65" s="925"/>
      <c r="BH65" s="925"/>
      <c r="BI65" s="925"/>
      <c r="BJ65" s="925"/>
      <c r="BK65" s="925"/>
      <c r="BL65" s="925"/>
      <c r="BM65" s="925"/>
      <c r="BN65" s="1278"/>
      <c r="BO65" s="1281" t="str">
        <f>IF(_xlfn.IFERROR(INDEX(Административные!$K$26:$L$84,MATCH($F65&amp;"2komm",Административные!$K$26:$K$84,0),2),"")=0,"",_xlfn.IFERROR(INDEX(Административные!$K$26:$L$84,MATCH($F65&amp;"2komm",Административные!$K$26:$K$84,0),2),""))</f>
        <v/>
      </c>
      <c r="BP65" s="1278"/>
      <c r="BQ65" s="960"/>
      <c r="BR65" s="960"/>
      <c r="BS65" s="1046" t="s">
        <v>1109</v>
      </c>
      <c r="BT65" s="1048"/>
      <c r="BU65" s="1048"/>
      <c r="BV65" s="962"/>
      <c r="BW65" s="962"/>
    </row>
    <row customHeight="1" ht="14.625" hidden="1">
      <c r="A66" s="960"/>
      <c r="B66" s="961"/>
      <c r="C66" s="960"/>
      <c r="D66" s="960"/>
      <c r="E66" s="683">
        <v>15</v>
      </c>
      <c r="F66" s="50" cm="1" t="str">
        <f t="array" ref="F66:F66">OFFSET(E66,-1,1)</f>
        <v>0</v>
      </c>
      <c r="G66" s="49" t="s">
        <v>1110</v>
      </c>
      <c r="H66" s="345"/>
      <c r="I66" s="345" t="s">
        <v>1254</v>
      </c>
      <c r="J66" s="960"/>
      <c r="K66" s="345" t="s">
        <v>1254</v>
      </c>
      <c r="L66" s="963" t="s">
        <v>881</v>
      </c>
      <c r="M66" s="73"/>
      <c r="N66" s="960"/>
      <c r="O66" s="960"/>
      <c r="P66" s="960"/>
      <c r="Q66" s="124" t="s">
        <v>2093</v>
      </c>
      <c r="R66" s="127" t="s">
        <v>2093</v>
      </c>
      <c r="S66" s="960"/>
      <c r="T66" s="439" cm="1" t="str">
        <f t="array" ref="T66:T66">T65</f>
        <v>false</v>
      </c>
      <c r="U66" s="960"/>
      <c r="V66" s="960"/>
      <c r="W66" s="960"/>
      <c r="X66" s="1482"/>
      <c r="Y66" s="960"/>
      <c r="Z66" s="1465"/>
      <c r="AA66" s="960"/>
      <c r="AB66" s="266" t="s">
        <v>1255</v>
      </c>
      <c r="AC66" s="746" t="s">
        <v>1872</v>
      </c>
      <c r="AD66" s="267" t="s">
        <v>784</v>
      </c>
      <c r="AE66" s="1280"/>
      <c r="AF66" s="1280"/>
      <c r="AG66" s="1280"/>
      <c r="AH66" s="926">
        <f>AG66-AF66</f>
        <v>0</v>
      </c>
      <c r="AI66" s="4750"/>
      <c r="AJ66" s="4743"/>
      <c r="AK66" s="925"/>
      <c r="AL66" s="925"/>
      <c r="AM66" s="925"/>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5"/>
      <c r="BJ66" s="925"/>
      <c r="BK66" s="925"/>
      <c r="BL66" s="925"/>
      <c r="BM66" s="925"/>
      <c r="BN66" s="1278"/>
      <c r="BO66" s="1281" t="str">
        <f>IF(_xlfn.IFERROR(INDEX(Административные!$K$26:$L$84,MATCH($F66&amp;"3komm",Административные!$K$26:$K$84,0),2),"")=0,"",_xlfn.IFERROR(INDEX(Административные!$K$26:$L$84,MATCH($F66&amp;"3komm",Административные!$K$26:$K$84,0),2),""))</f>
        <v/>
      </c>
      <c r="BP66" s="1278"/>
      <c r="BQ66" s="960"/>
      <c r="BR66" s="960"/>
      <c r="BS66" s="1046" t="s">
        <v>1112</v>
      </c>
      <c r="BT66" s="1048"/>
      <c r="BU66" s="1048"/>
      <c r="BV66" s="962"/>
      <c r="BW66" s="962"/>
    </row>
    <row customHeight="1" ht="14.625" hidden="1">
      <c r="A67" s="960"/>
      <c r="B67" s="961"/>
      <c r="C67" s="960"/>
      <c r="D67" s="960"/>
      <c r="E67" s="683">
        <v>15</v>
      </c>
      <c r="F67" s="50" cm="1" t="str">
        <f t="array" ref="F67:F67">OFFSET(E67,-1,1)</f>
        <v>0</v>
      </c>
      <c r="G67" s="49" t="s">
        <v>1113</v>
      </c>
      <c r="H67" s="345"/>
      <c r="I67" s="345" t="s">
        <v>1873</v>
      </c>
      <c r="J67" s="960"/>
      <c r="K67" s="345" t="s">
        <v>1873</v>
      </c>
      <c r="L67" s="963" t="s">
        <v>884</v>
      </c>
      <c r="M67" s="73"/>
      <c r="N67" s="960"/>
      <c r="O67" s="960"/>
      <c r="P67" s="960"/>
      <c r="Q67" s="124" t="s">
        <v>2093</v>
      </c>
      <c r="R67" s="127" t="s">
        <v>2093</v>
      </c>
      <c r="S67" s="960"/>
      <c r="T67" s="439" cm="1" t="str">
        <f t="array" ref="T67:T67">T66</f>
        <v>false</v>
      </c>
      <c r="U67" s="960"/>
      <c r="V67" s="960"/>
      <c r="W67" s="960"/>
      <c r="X67" s="1482"/>
      <c r="Y67" s="960"/>
      <c r="Z67" s="1465"/>
      <c r="AA67" s="960"/>
      <c r="AB67" s="266" t="s">
        <v>1874</v>
      </c>
      <c r="AC67" s="746" t="s">
        <v>1875</v>
      </c>
      <c r="AD67" s="267" t="s">
        <v>784</v>
      </c>
      <c r="AE67" s="1280"/>
      <c r="AF67" s="1280"/>
      <c r="AG67" s="1280"/>
      <c r="AH67" s="926">
        <f>AG67-AF67</f>
        <v>0</v>
      </c>
      <c r="AI67" s="4750"/>
      <c r="AJ67" s="4743"/>
      <c r="AK67" s="925"/>
      <c r="AL67" s="925"/>
      <c r="AM67" s="925"/>
      <c r="AN67" s="925"/>
      <c r="AO67" s="925"/>
      <c r="AP67" s="925"/>
      <c r="AQ67" s="925"/>
      <c r="AR67" s="925"/>
      <c r="AS67" s="925"/>
      <c r="AT67" s="925"/>
      <c r="AU67" s="925"/>
      <c r="AV67" s="925"/>
      <c r="AW67" s="925"/>
      <c r="AX67" s="925"/>
      <c r="AY67" s="925"/>
      <c r="AZ67" s="925"/>
      <c r="BA67" s="925"/>
      <c r="BB67" s="925"/>
      <c r="BC67" s="925"/>
      <c r="BD67" s="925"/>
      <c r="BE67" s="925"/>
      <c r="BF67" s="925"/>
      <c r="BG67" s="925"/>
      <c r="BH67" s="925"/>
      <c r="BI67" s="925"/>
      <c r="BJ67" s="925"/>
      <c r="BK67" s="925"/>
      <c r="BL67" s="925"/>
      <c r="BM67" s="925"/>
      <c r="BN67" s="1278"/>
      <c r="BO67" s="1281" t="str">
        <f>IF(_xlfn.IFERROR(INDEX(Административные!$K$26:$L$84,MATCH($F67&amp;"4komm",Административные!$K$26:$K$84,0),2),"")=0,"",_xlfn.IFERROR(INDEX(Административные!$K$26:$L$84,MATCH($F67&amp;"4komm",Административные!$K$26:$K$84,0),2),""))</f>
        <v/>
      </c>
      <c r="BP67" s="1278"/>
      <c r="BQ67" s="960"/>
      <c r="BR67" s="960"/>
      <c r="BS67" s="1046" t="s">
        <v>1115</v>
      </c>
      <c r="BT67" s="1048"/>
      <c r="BU67" s="1048"/>
      <c r="BV67" s="962"/>
      <c r="BW67" s="962"/>
    </row>
    <row customHeight="1" ht="14.625" hidden="1">
      <c r="A68" s="960"/>
      <c r="B68" s="961"/>
      <c r="C68" s="960"/>
      <c r="D68" s="960"/>
      <c r="E68" s="683">
        <v>15</v>
      </c>
      <c r="F68" s="50" cm="1" t="str">
        <f t="array" ref="F68:F68">OFFSET(E68,-1,1)</f>
        <v>0</v>
      </c>
      <c r="G68" s="49" t="s">
        <v>1116</v>
      </c>
      <c r="H68" s="345"/>
      <c r="I68" s="345" t="s">
        <v>1876</v>
      </c>
      <c r="J68" s="960"/>
      <c r="K68" s="345" t="s">
        <v>1876</v>
      </c>
      <c r="L68" s="963" t="s">
        <v>1098</v>
      </c>
      <c r="M68" s="73"/>
      <c r="N68" s="960"/>
      <c r="O68" s="960"/>
      <c r="P68" s="960"/>
      <c r="Q68" s="124" t="s">
        <v>2093</v>
      </c>
      <c r="R68" s="127" t="s">
        <v>2093</v>
      </c>
      <c r="S68" s="960"/>
      <c r="T68" s="439" cm="1" t="str">
        <f t="array" ref="T68:T68">T67</f>
        <v>false</v>
      </c>
      <c r="U68" s="960"/>
      <c r="V68" s="960"/>
      <c r="W68" s="960"/>
      <c r="X68" s="1482"/>
      <c r="Y68" s="960"/>
      <c r="Z68" s="1465"/>
      <c r="AA68" s="960"/>
      <c r="AB68" s="266" t="s">
        <v>1877</v>
      </c>
      <c r="AC68" s="746" t="s">
        <v>1878</v>
      </c>
      <c r="AD68" s="267" t="s">
        <v>784</v>
      </c>
      <c r="AE68" s="1280"/>
      <c r="AF68" s="1280"/>
      <c r="AG68" s="1280"/>
      <c r="AH68" s="926">
        <f>AG68-AF68</f>
        <v>0</v>
      </c>
      <c r="AI68" s="4750"/>
      <c r="AJ68" s="4743"/>
      <c r="AK68" s="925"/>
      <c r="AL68" s="925"/>
      <c r="AM68" s="925"/>
      <c r="AN68" s="925"/>
      <c r="AO68" s="925"/>
      <c r="AP68" s="925"/>
      <c r="AQ68" s="925"/>
      <c r="AR68" s="925"/>
      <c r="AS68" s="925"/>
      <c r="AT68" s="925"/>
      <c r="AU68" s="925"/>
      <c r="AV68" s="925"/>
      <c r="AW68" s="925"/>
      <c r="AX68" s="925"/>
      <c r="AY68" s="925"/>
      <c r="AZ68" s="925"/>
      <c r="BA68" s="925"/>
      <c r="BB68" s="925"/>
      <c r="BC68" s="925"/>
      <c r="BD68" s="925"/>
      <c r="BE68" s="925"/>
      <c r="BF68" s="925"/>
      <c r="BG68" s="925"/>
      <c r="BH68" s="925"/>
      <c r="BI68" s="925"/>
      <c r="BJ68" s="925"/>
      <c r="BK68" s="925"/>
      <c r="BL68" s="925"/>
      <c r="BM68" s="925"/>
      <c r="BN68" s="1278"/>
      <c r="BO68" s="1281" t="str">
        <f>IF(_xlfn.IFERROR(INDEX(Административные!$K$26:$L$84,MATCH($F68&amp;"5komm",Административные!$K$26:$K$84,0),2),"")=0,"",_xlfn.IFERROR(INDEX(Административные!$K$26:$L$84,MATCH($F68&amp;"5komm",Административные!$K$26:$K$84,0),2),""))</f>
        <v/>
      </c>
      <c r="BP68" s="1278"/>
      <c r="BQ68" s="960"/>
      <c r="BR68" s="960"/>
      <c r="BS68" s="1046" t="s">
        <v>1675</v>
      </c>
      <c r="BT68" s="1048"/>
      <c r="BU68" s="1048"/>
      <c r="BV68" s="962"/>
      <c r="BW68" s="962"/>
    </row>
    <row customHeight="1" ht="14.625" hidden="1">
      <c r="A69" s="960"/>
      <c r="B69" s="961"/>
      <c r="C69" s="960"/>
      <c r="D69" s="960"/>
      <c r="E69" s="683">
        <v>15</v>
      </c>
      <c r="F69" s="50" cm="1" t="str">
        <f t="array" ref="F69:F69">OFFSET(E69,-1,1)</f>
        <v>0</v>
      </c>
      <c r="G69" s="49" t="s">
        <v>1119</v>
      </c>
      <c r="H69" s="345"/>
      <c r="I69" s="345" t="s">
        <v>1879</v>
      </c>
      <c r="J69" s="960"/>
      <c r="K69" s="345" t="s">
        <v>1879</v>
      </c>
      <c r="L69" s="963" t="s">
        <v>1103</v>
      </c>
      <c r="M69" s="73"/>
      <c r="N69" s="960"/>
      <c r="O69" s="960"/>
      <c r="P69" s="960"/>
      <c r="Q69" s="124" t="s">
        <v>2093</v>
      </c>
      <c r="R69" s="127" t="s">
        <v>2093</v>
      </c>
      <c r="S69" s="960"/>
      <c r="T69" s="439" cm="1" t="str">
        <f t="array" ref="T69:T69">T68</f>
        <v>false</v>
      </c>
      <c r="U69" s="960"/>
      <c r="V69" s="960"/>
      <c r="W69" s="960"/>
      <c r="X69" s="1482"/>
      <c r="Y69" s="960"/>
      <c r="Z69" s="1465"/>
      <c r="AA69" s="960"/>
      <c r="AB69" s="266" t="s">
        <v>1880</v>
      </c>
      <c r="AC69" s="746" t="s">
        <v>1881</v>
      </c>
      <c r="AD69" s="267" t="s">
        <v>784</v>
      </c>
      <c r="AE69" s="926">
        <f>SUM(AE70:AE72)</f>
        <v>0</v>
      </c>
      <c r="AF69" s="926">
        <f>SUM(AF70:AF72)</f>
        <v>0</v>
      </c>
      <c r="AG69" s="926">
        <f>SUM(AG70:AG72)</f>
        <v>0</v>
      </c>
      <c r="AH69" s="926">
        <f>AG69-AF69</f>
        <v>0</v>
      </c>
      <c r="AI69" s="4748">
        <f>SUM(AI70:AI72)</f>
        <v>0</v>
      </c>
      <c r="AJ69" s="4743"/>
      <c r="AK69" s="925"/>
      <c r="AL69" s="925"/>
      <c r="AM69" s="925"/>
      <c r="AN69" s="925"/>
      <c r="AO69" s="925"/>
      <c r="AP69" s="925"/>
      <c r="AQ69" s="925"/>
      <c r="AR69" s="925"/>
      <c r="AS69" s="925"/>
      <c r="AT69" s="925"/>
      <c r="AU69" s="925"/>
      <c r="AV69" s="925"/>
      <c r="AW69" s="925"/>
      <c r="AX69" s="925"/>
      <c r="AY69" s="925"/>
      <c r="AZ69" s="925"/>
      <c r="BA69" s="925"/>
      <c r="BB69" s="925"/>
      <c r="BC69" s="925"/>
      <c r="BD69" s="925"/>
      <c r="BE69" s="925"/>
      <c r="BF69" s="925"/>
      <c r="BG69" s="925"/>
      <c r="BH69" s="925"/>
      <c r="BI69" s="925"/>
      <c r="BJ69" s="925"/>
      <c r="BK69" s="925"/>
      <c r="BL69" s="925"/>
      <c r="BM69" s="925"/>
      <c r="BN69" s="1278"/>
      <c r="BO69" s="1281" t="str">
        <f>IF(_xlfn.IFERROR(INDEX(Административные!$K$26:$L$84,MATCH($F69&amp;"6komm",Административные!$K$26:$K$84,0),2),"")=0,"",_xlfn.IFERROR(INDEX(Административные!$K$26:$L$84,MATCH($F69&amp;"6komm",Административные!$K$26:$K$84,0),2),""))</f>
        <v/>
      </c>
      <c r="BP69" s="1278"/>
      <c r="BQ69" s="960"/>
      <c r="BR69" s="960"/>
      <c r="BS69" s="1046" t="s">
        <v>1677</v>
      </c>
      <c r="BT69" s="1048"/>
      <c r="BU69" s="1048"/>
      <c r="BV69" s="962"/>
      <c r="BW69" s="962"/>
    </row>
    <row customHeight="1" ht="14.625" hidden="1">
      <c r="A70" s="960"/>
      <c r="B70" s="961"/>
      <c r="C70" s="960"/>
      <c r="D70" s="960"/>
      <c r="E70" s="683">
        <v>15</v>
      </c>
      <c r="F70" s="50" cm="1" t="str">
        <f t="array" ref="F70:F70">OFFSET(E70,-1,1)</f>
        <v>0</v>
      </c>
      <c r="G70" s="49" t="s">
        <v>1121</v>
      </c>
      <c r="H70" s="345"/>
      <c r="I70" s="345" t="s">
        <v>1882</v>
      </c>
      <c r="J70" s="960"/>
      <c r="K70" s="345" t="s">
        <v>1882</v>
      </c>
      <c r="L70" s="963" t="s">
        <v>1678</v>
      </c>
      <c r="M70" s="73"/>
      <c r="N70" s="960"/>
      <c r="O70" s="960"/>
      <c r="P70" s="960"/>
      <c r="Q70" s="124" t="s">
        <v>2093</v>
      </c>
      <c r="R70" s="127" t="s">
        <v>2093</v>
      </c>
      <c r="S70" s="960"/>
      <c r="T70" s="439" cm="1" t="str">
        <f t="array" ref="T70:T70">T69</f>
        <v>false</v>
      </c>
      <c r="U70" s="960"/>
      <c r="V70" s="960"/>
      <c r="W70" s="960"/>
      <c r="X70" s="1482"/>
      <c r="Y70" s="960"/>
      <c r="Z70" s="1465"/>
      <c r="AA70" s="960"/>
      <c r="AB70" s="266" t="s">
        <v>1883</v>
      </c>
      <c r="AC70" s="749" t="s">
        <v>1680</v>
      </c>
      <c r="AD70" s="267" t="s">
        <v>784</v>
      </c>
      <c r="AE70" s="1280"/>
      <c r="AF70" s="1280"/>
      <c r="AG70" s="1280"/>
      <c r="AH70" s="926">
        <f>AG70-AF70</f>
        <v>0</v>
      </c>
      <c r="AI70" s="4750"/>
      <c r="AJ70" s="4743"/>
      <c r="AK70" s="925"/>
      <c r="AL70" s="925"/>
      <c r="AM70" s="925"/>
      <c r="AN70" s="925"/>
      <c r="AO70" s="925"/>
      <c r="AP70" s="925"/>
      <c r="AQ70" s="925"/>
      <c r="AR70" s="925"/>
      <c r="AS70" s="925"/>
      <c r="AT70" s="925"/>
      <c r="AU70" s="925"/>
      <c r="AV70" s="925"/>
      <c r="AW70" s="925"/>
      <c r="AX70" s="925"/>
      <c r="AY70" s="925"/>
      <c r="AZ70" s="925"/>
      <c r="BA70" s="925"/>
      <c r="BB70" s="925"/>
      <c r="BC70" s="925"/>
      <c r="BD70" s="925"/>
      <c r="BE70" s="925"/>
      <c r="BF70" s="925"/>
      <c r="BG70" s="925"/>
      <c r="BH70" s="925"/>
      <c r="BI70" s="925"/>
      <c r="BJ70" s="925"/>
      <c r="BK70" s="925"/>
      <c r="BL70" s="925"/>
      <c r="BM70" s="925"/>
      <c r="BN70" s="1278"/>
      <c r="BO70" s="1281" t="str">
        <f>IF(_xlfn.IFERROR(INDEX(Административные!$K$26:$L$84,MATCH($F70&amp;"7komm",Административные!$K$26:$K$84,0),2),"")=0,"",_xlfn.IFERROR(INDEX(Административные!$K$26:$L$84,MATCH($F70&amp;"7komm",Административные!$K$26:$K$84,0),2),""))</f>
        <v/>
      </c>
      <c r="BP70" s="1278"/>
      <c r="BQ70" s="960"/>
      <c r="BR70" s="960"/>
      <c r="BS70" s="1046" t="s">
        <v>1681</v>
      </c>
      <c r="BT70" s="1048"/>
      <c r="BU70" s="1048"/>
      <c r="BV70" s="962"/>
      <c r="BW70" s="962"/>
    </row>
    <row customHeight="1" ht="14.625" hidden="1">
      <c r="A71" s="960"/>
      <c r="B71" s="961"/>
      <c r="C71" s="960"/>
      <c r="D71" s="960"/>
      <c r="E71" s="683">
        <v>15</v>
      </c>
      <c r="F71" s="50" cm="1" t="str">
        <f t="array" ref="F71:F71">OFFSET(E71,-1,1)</f>
        <v>0</v>
      </c>
      <c r="G71" s="49" t="s">
        <v>1124</v>
      </c>
      <c r="H71" s="345"/>
      <c r="I71" s="345" t="s">
        <v>1884</v>
      </c>
      <c r="J71" s="960"/>
      <c r="K71" s="345" t="s">
        <v>1884</v>
      </c>
      <c r="L71" s="963" t="s">
        <v>1682</v>
      </c>
      <c r="M71" s="73"/>
      <c r="N71" s="960"/>
      <c r="O71" s="960"/>
      <c r="P71" s="960"/>
      <c r="Q71" s="124" t="s">
        <v>2093</v>
      </c>
      <c r="R71" s="127" t="s">
        <v>2093</v>
      </c>
      <c r="S71" s="960"/>
      <c r="T71" s="439" cm="1" t="str">
        <f t="array" ref="T71:T71">T70</f>
        <v>false</v>
      </c>
      <c r="U71" s="960"/>
      <c r="V71" s="960"/>
      <c r="W71" s="960"/>
      <c r="X71" s="1482"/>
      <c r="Y71" s="960"/>
      <c r="Z71" s="1465"/>
      <c r="AA71" s="960"/>
      <c r="AB71" s="266" t="s">
        <v>1885</v>
      </c>
      <c r="AC71" s="749" t="s">
        <v>1125</v>
      </c>
      <c r="AD71" s="267" t="s">
        <v>784</v>
      </c>
      <c r="AE71" s="1280"/>
      <c r="AF71" s="1280"/>
      <c r="AG71" s="1280"/>
      <c r="AH71" s="926">
        <f>AG71-AF71</f>
        <v>0</v>
      </c>
      <c r="AI71" s="4750"/>
      <c r="AJ71" s="4743"/>
      <c r="AK71" s="925"/>
      <c r="AL71" s="925"/>
      <c r="AM71" s="925"/>
      <c r="AN71" s="925"/>
      <c r="AO71" s="925"/>
      <c r="AP71" s="925"/>
      <c r="AQ71" s="925"/>
      <c r="AR71" s="925"/>
      <c r="AS71" s="925"/>
      <c r="AT71" s="925"/>
      <c r="AU71" s="925"/>
      <c r="AV71" s="925"/>
      <c r="AW71" s="925"/>
      <c r="AX71" s="925"/>
      <c r="AY71" s="925"/>
      <c r="AZ71" s="925"/>
      <c r="BA71" s="925"/>
      <c r="BB71" s="925"/>
      <c r="BC71" s="925"/>
      <c r="BD71" s="925"/>
      <c r="BE71" s="925"/>
      <c r="BF71" s="925"/>
      <c r="BG71" s="925"/>
      <c r="BH71" s="925"/>
      <c r="BI71" s="925"/>
      <c r="BJ71" s="925"/>
      <c r="BK71" s="925"/>
      <c r="BL71" s="925"/>
      <c r="BM71" s="925"/>
      <c r="BN71" s="1278"/>
      <c r="BO71" s="1281" t="str">
        <f>IF(_xlfn.IFERROR(INDEX(Административные!$K$26:$L$84,MATCH($F71&amp;"8komm",Административные!$K$26:$K$84,0),2),"")=0,"",_xlfn.IFERROR(INDEX(Административные!$K$26:$L$84,MATCH($F71&amp;"8komm",Административные!$K$26:$K$84,0),2),""))</f>
        <v/>
      </c>
      <c r="BP71" s="1278"/>
      <c r="BQ71" s="960"/>
      <c r="BR71" s="960"/>
      <c r="BS71" s="1046" t="s">
        <v>1684</v>
      </c>
      <c r="BT71" s="1048"/>
      <c r="BU71" s="1048"/>
      <c r="BV71" s="962"/>
      <c r="BW71" s="962"/>
    </row>
    <row customHeight="1" ht="14.625" hidden="1">
      <c r="A72" s="960"/>
      <c r="B72" s="961"/>
      <c r="C72" s="960"/>
      <c r="D72" s="960"/>
      <c r="E72" s="683">
        <v>15</v>
      </c>
      <c r="F72" s="50" cm="1" t="str">
        <f t="array" ref="F72:F72">OFFSET(E72,-1,1)</f>
        <v>0</v>
      </c>
      <c r="G72" s="124" t="s">
        <v>1127</v>
      </c>
      <c r="H72" s="345"/>
      <c r="I72" s="345" t="s">
        <v>1886</v>
      </c>
      <c r="J72" s="960"/>
      <c r="K72" s="345" t="s">
        <v>1886</v>
      </c>
      <c r="L72" s="963" t="s">
        <v>1685</v>
      </c>
      <c r="M72" s="73"/>
      <c r="N72" s="960"/>
      <c r="O72" s="960"/>
      <c r="P72" s="960"/>
      <c r="Q72" s="124" t="s">
        <v>2093</v>
      </c>
      <c r="R72" s="127" t="s">
        <v>2093</v>
      </c>
      <c r="S72" s="960"/>
      <c r="T72" s="439" cm="1" t="str">
        <f t="array" ref="T72:T72">T71</f>
        <v>false</v>
      </c>
      <c r="U72" s="960"/>
      <c r="V72" s="960"/>
      <c r="W72" s="960"/>
      <c r="X72" s="1482"/>
      <c r="Y72" s="960"/>
      <c r="Z72" s="1465"/>
      <c r="AA72" s="960"/>
      <c r="AB72" s="266" t="s">
        <v>1887</v>
      </c>
      <c r="AC72" s="749" t="s">
        <v>1128</v>
      </c>
      <c r="AD72" s="267" t="s">
        <v>784</v>
      </c>
      <c r="AE72" s="1280"/>
      <c r="AF72" s="1280"/>
      <c r="AG72" s="1280"/>
      <c r="AH72" s="926">
        <f>AG72-AF72</f>
        <v>0</v>
      </c>
      <c r="AI72" s="4750"/>
      <c r="AJ72" s="1392"/>
      <c r="AK72" s="925"/>
      <c r="AL72" s="925"/>
      <c r="AM72" s="925"/>
      <c r="AN72" s="925"/>
      <c r="AO72" s="925"/>
      <c r="AP72" s="925"/>
      <c r="AQ72" s="925"/>
      <c r="AR72" s="925"/>
      <c r="AS72" s="925"/>
      <c r="AT72" s="925"/>
      <c r="AU72" s="925"/>
      <c r="AV72" s="925"/>
      <c r="AW72" s="925"/>
      <c r="AX72" s="925"/>
      <c r="AY72" s="925"/>
      <c r="AZ72" s="925"/>
      <c r="BA72" s="925"/>
      <c r="BB72" s="925"/>
      <c r="BC72" s="925"/>
      <c r="BD72" s="925"/>
      <c r="BE72" s="925"/>
      <c r="BF72" s="925"/>
      <c r="BG72" s="925"/>
      <c r="BH72" s="925"/>
      <c r="BI72" s="925"/>
      <c r="BJ72" s="925"/>
      <c r="BK72" s="925"/>
      <c r="BL72" s="925"/>
      <c r="BM72" s="925"/>
      <c r="BN72" s="1278"/>
      <c r="BO72" s="1281" t="str">
        <f>IF(_xlfn.IFERROR(INDEX(Административные!$K$26:$L$84,MATCH($F72&amp;"9komm",Административные!$K$26:$K$84,0),2),"")=0,"",_xlfn.IFERROR(INDEX(Административные!$K$26:$L$84,MATCH($F72&amp;"9komm",Административные!$K$26:$K$84,0),2),""))</f>
        <v/>
      </c>
      <c r="BP72" s="1278"/>
      <c r="BQ72" s="960"/>
      <c r="BR72" s="960"/>
      <c r="BS72" s="1046" t="s">
        <v>1687</v>
      </c>
      <c r="BT72" s="1048"/>
      <c r="BU72" s="1048"/>
      <c r="BV72" s="962"/>
      <c r="BW72" s="962"/>
    </row>
    <row customHeight="1" ht="21.9375" hidden="1">
      <c r="A73" s="960"/>
      <c r="B73" s="405">
        <f>STATUS_GO="да"</f>
        <v>0</v>
      </c>
      <c r="C73" s="960"/>
      <c r="D73" s="960"/>
      <c r="E73" s="683">
        <v>22.5</v>
      </c>
      <c r="F73" s="50" cm="1" t="str">
        <f t="array" ref="F73:F73">OFFSET(E73,-1,1)</f>
        <v>0</v>
      </c>
      <c r="G73" s="960"/>
      <c r="H73" s="345"/>
      <c r="I73" s="345" t="s">
        <v>857</v>
      </c>
      <c r="J73" s="960"/>
      <c r="K73" s="345" t="s">
        <v>857</v>
      </c>
      <c r="L73" s="963" t="s">
        <v>329</v>
      </c>
      <c r="M73" s="73"/>
      <c r="N73" s="960"/>
      <c r="O73" s="960"/>
      <c r="P73" s="960"/>
      <c r="Q73" s="124" t="s">
        <v>2093</v>
      </c>
      <c r="R73" s="127" t="s">
        <v>2093</v>
      </c>
      <c r="S73" s="960"/>
      <c r="T73" s="439" cm="1" t="str">
        <f t="array" ref="T73:T73">T72</f>
        <v>false</v>
      </c>
      <c r="U73" s="960"/>
      <c r="V73" s="960"/>
      <c r="W73" s="960"/>
      <c r="X73" s="1482"/>
      <c r="Y73" s="960"/>
      <c r="Z73" s="1465"/>
      <c r="AA73" s="960"/>
      <c r="AB73" s="266" t="s">
        <v>858</v>
      </c>
      <c r="AC73" s="743" t="s">
        <v>1888</v>
      </c>
      <c r="AD73" s="267" t="s">
        <v>784</v>
      </c>
      <c r="AE73" s="1280"/>
      <c r="AF73" s="1280"/>
      <c r="AG73" s="1280"/>
      <c r="AH73" s="926">
        <f>AG73-AF73</f>
        <v>0</v>
      </c>
      <c r="AI73" s="4750"/>
      <c r="AJ73" s="4743"/>
      <c r="AK73" s="925"/>
      <c r="AL73" s="925"/>
      <c r="AM73" s="925"/>
      <c r="AN73" s="925"/>
      <c r="AO73" s="925"/>
      <c r="AP73" s="925"/>
      <c r="AQ73" s="925"/>
      <c r="AR73" s="925"/>
      <c r="AS73" s="925"/>
      <c r="AT73" s="925"/>
      <c r="AU73" s="925"/>
      <c r="AV73" s="925"/>
      <c r="AW73" s="925"/>
      <c r="AX73" s="925"/>
      <c r="AY73" s="925"/>
      <c r="AZ73" s="925"/>
      <c r="BA73" s="925"/>
      <c r="BB73" s="925"/>
      <c r="BC73" s="925"/>
      <c r="BD73" s="925"/>
      <c r="BE73" s="925"/>
      <c r="BF73" s="925"/>
      <c r="BG73" s="925"/>
      <c r="BH73" s="925"/>
      <c r="BI73" s="925"/>
      <c r="BJ73" s="925"/>
      <c r="BK73" s="925"/>
      <c r="BL73" s="925"/>
      <c r="BM73" s="925"/>
      <c r="BN73" s="1278"/>
      <c r="BO73" s="1278"/>
      <c r="BP73" s="1278"/>
      <c r="BQ73" s="960"/>
      <c r="BR73" s="960"/>
      <c r="BS73" s="1047" t="s">
        <v>1689</v>
      </c>
      <c r="BT73" s="1048"/>
      <c r="BU73" s="1048"/>
      <c r="BV73" s="962"/>
      <c r="BW73" s="962"/>
    </row>
    <row customHeight="1" ht="14.625" hidden="1">
      <c r="A74" s="960"/>
      <c r="B74" s="961"/>
      <c r="C74" s="960"/>
      <c r="D74" s="960"/>
      <c r="E74" s="683">
        <v>15</v>
      </c>
      <c r="F74" s="50" cm="1" t="str">
        <f t="array" ref="F74:F74">OFFSET(E74,-1,1)</f>
        <v>0</v>
      </c>
      <c r="G74" s="960"/>
      <c r="H74" s="345"/>
      <c r="I74" s="345" t="s">
        <v>1627</v>
      </c>
      <c r="J74" s="960"/>
      <c r="K74" s="345" t="s">
        <v>1627</v>
      </c>
      <c r="L74" s="963"/>
      <c r="M74" s="73"/>
      <c r="N74" s="960"/>
      <c r="O74" s="960"/>
      <c r="P74" s="960"/>
      <c r="Q74" s="124" t="s">
        <v>2093</v>
      </c>
      <c r="R74" s="127" t="s">
        <v>2093</v>
      </c>
      <c r="S74" s="960"/>
      <c r="T74" s="439" cm="1" t="str">
        <f t="array" ref="T74:T74">T73</f>
        <v>false</v>
      </c>
      <c r="U74" s="960"/>
      <c r="V74" s="960"/>
      <c r="W74" s="960"/>
      <c r="X74" s="1482"/>
      <c r="Y74" s="960"/>
      <c r="Z74" s="1465"/>
      <c r="AA74" s="960"/>
      <c r="AB74" s="266" t="s">
        <v>1628</v>
      </c>
      <c r="AC74" s="743" t="s">
        <v>1889</v>
      </c>
      <c r="AD74" s="267" t="s">
        <v>784</v>
      </c>
      <c r="AE74" s="1280"/>
      <c r="AF74" s="1280"/>
      <c r="AG74" s="1280"/>
      <c r="AH74" s="926">
        <f>AG74-AF74</f>
        <v>0</v>
      </c>
      <c r="AI74" s="4750"/>
      <c r="AJ74" s="4743"/>
      <c r="AK74" s="925"/>
      <c r="AL74" s="925"/>
      <c r="AM74" s="925"/>
      <c r="AN74" s="925"/>
      <c r="AO74" s="925"/>
      <c r="AP74" s="925"/>
      <c r="AQ74" s="925"/>
      <c r="AR74" s="925"/>
      <c r="AS74" s="925"/>
      <c r="AT74" s="925"/>
      <c r="AU74" s="925"/>
      <c r="AV74" s="925"/>
      <c r="AW74" s="925"/>
      <c r="AX74" s="925"/>
      <c r="AY74" s="925"/>
      <c r="AZ74" s="925"/>
      <c r="BA74" s="925"/>
      <c r="BB74" s="925"/>
      <c r="BC74" s="925"/>
      <c r="BD74" s="925"/>
      <c r="BE74" s="925"/>
      <c r="BF74" s="925"/>
      <c r="BG74" s="925"/>
      <c r="BH74" s="925"/>
      <c r="BI74" s="925"/>
      <c r="BJ74" s="925"/>
      <c r="BK74" s="925"/>
      <c r="BL74" s="925"/>
      <c r="BM74" s="925"/>
      <c r="BN74" s="1278"/>
      <c r="BO74" s="1278"/>
      <c r="BP74" s="1278"/>
      <c r="BQ74" s="960"/>
      <c r="BR74" s="960"/>
      <c r="BS74" s="1048" t="s">
        <v>1890</v>
      </c>
      <c r="BT74" s="1048"/>
      <c r="BU74" s="1048"/>
      <c r="BV74" s="962"/>
      <c r="BW74" s="962"/>
    </row>
    <row s="680" customFormat="1" customHeight="1" ht="20.475" hidden="1">
      <c r="A75" s="680"/>
      <c r="B75" s="408"/>
      <c r="C75" s="680"/>
      <c r="D75" s="680"/>
      <c r="E75" s="687">
        <v>21</v>
      </c>
      <c r="F75" s="50" cm="1" t="str">
        <f t="array" ref="F75:F75">OFFSET(E75,-1,1)</f>
        <v>0</v>
      </c>
      <c r="G75" s="680"/>
      <c r="H75" s="345"/>
      <c r="I75" s="345" t="s">
        <v>1631</v>
      </c>
      <c r="J75" s="680"/>
      <c r="K75" s="345" t="s">
        <v>1631</v>
      </c>
      <c r="L75" s="968"/>
      <c r="M75" s="75"/>
      <c r="N75" s="680"/>
      <c r="O75" s="680"/>
      <c r="P75" s="680"/>
      <c r="Q75" s="124" t="s">
        <v>2093</v>
      </c>
      <c r="R75" s="127" t="s">
        <v>2093</v>
      </c>
      <c r="S75" s="680"/>
      <c r="T75" s="439" cm="1" t="str">
        <f t="array" ref="T75:T75">T74</f>
        <v>false</v>
      </c>
      <c r="U75" s="680"/>
      <c r="V75" s="680"/>
      <c r="W75" s="680"/>
      <c r="X75" s="1482"/>
      <c r="Y75" s="680"/>
      <c r="Z75" s="1465"/>
      <c r="AA75" s="680"/>
      <c r="AB75" s="185" t="s">
        <v>1632</v>
      </c>
      <c r="AC75" s="328" t="s">
        <v>1891</v>
      </c>
      <c r="AD75" s="178" t="s">
        <v>784</v>
      </c>
      <c r="AE75" s="751">
        <f>SUM(AE76:AE77)</f>
        <v>0</v>
      </c>
      <c r="AF75" s="751">
        <f>SUM(AF76:AF77)</f>
        <v>0</v>
      </c>
      <c r="AG75" s="751">
        <f>SUM(AG76:AG77)</f>
        <v>0</v>
      </c>
      <c r="AH75" s="742">
        <f>AG75-AF75</f>
        <v>0</v>
      </c>
      <c r="AI75" s="4756">
        <f>SUM(AI76:AI77)</f>
        <v>0</v>
      </c>
      <c r="AJ75" s="4743"/>
      <c r="AK75" s="745"/>
      <c r="AL75" s="745"/>
      <c r="AM75" s="745"/>
      <c r="AN75" s="745"/>
      <c r="AO75" s="745"/>
      <c r="AP75" s="745"/>
      <c r="AQ75" s="745"/>
      <c r="AR75" s="745"/>
      <c r="AS75" s="745"/>
      <c r="AT75" s="925"/>
      <c r="AU75" s="925"/>
      <c r="AV75" s="745"/>
      <c r="AW75" s="745"/>
      <c r="AX75" s="745"/>
      <c r="AY75" s="745"/>
      <c r="AZ75" s="745"/>
      <c r="BA75" s="745"/>
      <c r="BB75" s="745"/>
      <c r="BC75" s="745"/>
      <c r="BD75" s="745"/>
      <c r="BE75" s="745"/>
      <c r="BF75" s="745"/>
      <c r="BG75" s="745"/>
      <c r="BH75" s="745"/>
      <c r="BI75" s="745"/>
      <c r="BJ75" s="745"/>
      <c r="BK75" s="745"/>
      <c r="BL75" s="745"/>
      <c r="BM75" s="745"/>
      <c r="BN75" s="1274"/>
      <c r="BO75" s="1274"/>
      <c r="BP75" s="1274"/>
      <c r="BQ75" s="680"/>
      <c r="BR75" s="680"/>
      <c r="BS75" s="1054" t="s">
        <v>1892</v>
      </c>
      <c r="BT75" s="1054"/>
      <c r="BU75" s="1054"/>
      <c r="BV75" s="687"/>
      <c r="BW75" s="687"/>
    </row>
    <row customHeight="1" ht="14.625" hidden="1">
      <c r="A76" s="960"/>
      <c r="B76" s="961"/>
      <c r="C76" s="960"/>
      <c r="D76" s="960"/>
      <c r="E76" s="683">
        <v>15</v>
      </c>
      <c r="F76" s="50" cm="1" t="str">
        <f t="array" ref="F76:F76">OFFSET(E76,-1,1)</f>
        <v>0</v>
      </c>
      <c r="G76" s="960"/>
      <c r="H76" s="960"/>
      <c r="I76" s="345" t="s">
        <v>1631</v>
      </c>
      <c r="J76" s="124" cm="1" t="str">
        <f t="array" ref="J76:J76">AC76</f>
        <v>0</v>
      </c>
      <c r="K76" s="345" t="s">
        <v>1631</v>
      </c>
      <c r="L76" s="963"/>
      <c r="M76" s="73"/>
      <c r="N76" s="960"/>
      <c r="O76" s="960"/>
      <c r="P76" s="960"/>
      <c r="Q76" s="124" t="s">
        <v>2093</v>
      </c>
      <c r="R76" s="127" t="s">
        <v>2093</v>
      </c>
      <c r="S76" s="960"/>
      <c r="T76" s="439">
        <f>AND(F76&gt;0,Y76&gt;0)</f>
        <v>0</v>
      </c>
      <c r="U76" s="960"/>
      <c r="V76" s="960"/>
      <c r="W76" s="124" t="s">
        <v>173</v>
      </c>
      <c r="X76" s="1482"/>
      <c r="Y76" s="124">
        <v>0</v>
      </c>
      <c r="Z76" s="1465"/>
      <c r="AA76" s="393" t="s">
        <v>174</v>
      </c>
      <c r="AB76" s="267" t="str">
        <f>"1.7."&amp;Y76</f>
        <v>1.7.0</v>
      </c>
      <c r="AC76" s="1270"/>
      <c r="AD76" s="267" t="s">
        <v>784</v>
      </c>
      <c r="AE76" s="1282"/>
      <c r="AF76" s="1282"/>
      <c r="AG76" s="1282"/>
      <c r="AH76" s="226">
        <f>AG76-AF76</f>
        <v>0</v>
      </c>
      <c r="AI76" s="4758"/>
      <c r="AJ76" s="4759"/>
      <c r="AK76" s="928"/>
      <c r="AL76" s="928"/>
      <c r="AM76" s="928"/>
      <c r="AN76" s="928"/>
      <c r="AO76" s="928"/>
      <c r="AP76" s="928"/>
      <c r="AQ76" s="928"/>
      <c r="AR76" s="928"/>
      <c r="AS76" s="928"/>
      <c r="AT76" s="925"/>
      <c r="AU76" s="928"/>
      <c r="AV76" s="928"/>
      <c r="AW76" s="928"/>
      <c r="AX76" s="928"/>
      <c r="AY76" s="928"/>
      <c r="AZ76" s="928"/>
      <c r="BA76" s="928"/>
      <c r="BB76" s="928"/>
      <c r="BC76" s="928"/>
      <c r="BD76" s="745"/>
      <c r="BE76" s="928"/>
      <c r="BF76" s="928"/>
      <c r="BG76" s="928"/>
      <c r="BH76" s="928"/>
      <c r="BI76" s="928"/>
      <c r="BJ76" s="928"/>
      <c r="BK76" s="928"/>
      <c r="BL76" s="928"/>
      <c r="BM76" s="928"/>
      <c r="BN76" s="1283"/>
      <c r="BO76" s="1283"/>
      <c r="BP76" s="1283"/>
      <c r="BQ76" s="960"/>
      <c r="BR76" s="960"/>
      <c r="BS76" s="1048" t="s">
        <v>1892</v>
      </c>
      <c r="BT76" s="1048" t="s">
        <v>1893</v>
      </c>
      <c r="BU76" s="1048" cm="1" t="str">
        <f t="array" ref="BU76:BU76">AC76</f>
        <v>0</v>
      </c>
      <c r="BV76" s="962"/>
      <c r="BW76" s="683" t="b">
        <v>1</v>
      </c>
    </row>
    <row customHeight="1" ht="14.625" hidden="1">
      <c r="A77" s="960"/>
      <c r="B77" s="961"/>
      <c r="C77" s="960"/>
      <c r="D77" s="960"/>
      <c r="E77" s="683">
        <v>15</v>
      </c>
      <c r="F77" s="50" cm="1" t="str">
        <f t="array" ref="F77:F77">OFFSET(E77,-1,1)</f>
        <v>0</v>
      </c>
      <c r="G77" s="331"/>
      <c r="H77" s="960"/>
      <c r="I77" s="960"/>
      <c r="J77" s="124" t="s">
        <v>1894</v>
      </c>
      <c r="K77" s="960"/>
      <c r="L77" s="963"/>
      <c r="M77" s="73"/>
      <c r="N77" s="960"/>
      <c r="O77" s="960"/>
      <c r="P77" s="960"/>
      <c r="Q77" s="960"/>
      <c r="R77" s="960"/>
      <c r="S77" s="960"/>
      <c r="T77" s="439">
        <f>F77&gt;0</f>
        <v>0</v>
      </c>
      <c r="U77" s="960"/>
      <c r="V77" s="960"/>
      <c r="W77" s="682" t="s">
        <v>2094</v>
      </c>
      <c r="X77" s="1482"/>
      <c r="Y77" s="960"/>
      <c r="Z77" s="1465"/>
      <c r="AA77" s="960"/>
      <c r="AB77" s="756"/>
      <c r="AC77" s="227" t="s">
        <v>177</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1893</v>
      </c>
      <c r="BW77" s="962"/>
    </row>
    <row s="680" customFormat="1" customHeight="1" ht="20.475" hidden="1">
      <c r="A78" s="680"/>
      <c r="B78" s="408"/>
      <c r="C78" s="680"/>
      <c r="D78" s="680"/>
      <c r="E78" s="687">
        <v>21</v>
      </c>
      <c r="F78" s="50" cm="1" t="str">
        <f t="array" ref="F78:F78">OFFSET(E78,-1,1)</f>
        <v>0</v>
      </c>
      <c r="G78" s="680"/>
      <c r="H78" s="124"/>
      <c r="I78" s="124" t="s">
        <v>326</v>
      </c>
      <c r="J78" s="680"/>
      <c r="K78" s="124" t="s">
        <v>326</v>
      </c>
      <c r="L78" s="968"/>
      <c r="M78" s="75"/>
      <c r="N78" s="680"/>
      <c r="O78" s="680"/>
      <c r="P78" s="680"/>
      <c r="Q78" s="680"/>
      <c r="R78" s="680"/>
      <c r="S78" s="680"/>
      <c r="T78" s="439" cm="1" t="str">
        <f t="array" ref="T78:T78">T77</f>
        <v>false</v>
      </c>
      <c r="U78" s="680"/>
      <c r="V78" s="680"/>
      <c r="W78" s="680"/>
      <c r="X78" s="1482"/>
      <c r="Y78" s="680"/>
      <c r="Z78" s="1465"/>
      <c r="AA78" s="680"/>
      <c r="AB78" s="214" t="s">
        <v>283</v>
      </c>
      <c r="AC78" s="179" t="s">
        <v>1895</v>
      </c>
      <c r="AD78" s="201" t="s">
        <v>784</v>
      </c>
      <c r="AE78" s="180">
        <f>AE79+AE91+AE92++AE103+AE104+AE105+AE107+AE108+AE109+AE110+AE113</f>
        <v>0</v>
      </c>
      <c r="AF78" s="180">
        <f>AF79+AF91+AF92++AF103+AF104+AF105+AF107+AF108+AF109+AF110+AF113</f>
        <v>0</v>
      </c>
      <c r="AG78" s="180">
        <f>AG79+AG91+AG92++AG103+AG104+AG105+AG107+AG108+AG109+AG110+AG113</f>
        <v>0</v>
      </c>
      <c r="AH78" s="742">
        <f>AG78-AF78</f>
        <v>0</v>
      </c>
      <c r="AI78" s="751">
        <f>AI79+AI91+AI92++AI103+AI104+AI105+AI107+AI108+AI109+AI110+AI113</f>
        <v>0</v>
      </c>
      <c r="AJ78" s="751">
        <f>AJ79+AJ91+AJ92++AJ103+AJ104+AJ105+AJ107+AJ108+AJ109+AJ110+AJ113</f>
        <v>0</v>
      </c>
      <c r="AK78" s="751">
        <f>AK79+AK91+AK92++AK103+AK104+AK105+AK107+AK108+AK109+AK110+AK113</f>
        <v>0</v>
      </c>
      <c r="AL78" s="751">
        <f>AL79+AL91+AL92++AL103+AL104+AL105+AL107+AL108+AL109+AL110+AL113</f>
        <v>0</v>
      </c>
      <c r="AM78" s="751">
        <f>AM79+AM91+AM92++AM103+AM104+AM105+AM107+AM108+AM109+AM110+AM113</f>
        <v>0</v>
      </c>
      <c r="AN78" s="751">
        <f>AN79+AN91+AN92++AN103+AN104+AN105+AN107+AN108+AN109+AN110+AN113</f>
        <v>0</v>
      </c>
      <c r="AO78" s="751">
        <f>AO79+AO91+AO92++AO103+AO104+AO105+AO107+AO108+AO109+AO110+AO113</f>
        <v>0</v>
      </c>
      <c r="AP78" s="751">
        <f>AP79+AP91+AP92++AP103+AP104+AP105+AP107+AP108+AP109+AP110+AP113</f>
        <v>0</v>
      </c>
      <c r="AQ78" s="751">
        <f>AQ79+AQ91+AQ92++AQ103+AQ104+AQ105+AQ107+AQ108+AQ109+AQ110+AQ113</f>
        <v>0</v>
      </c>
      <c r="AR78" s="751">
        <f>AR79+AR91+AR92++AR103+AR104+AR105+AR107+AR108+AR109+AR110+AR113</f>
        <v>0</v>
      </c>
      <c r="AS78" s="751">
        <f>AS79+AS91+AS92++AS103+AS104+AS105+AS107+AS108+AS109+AS110+AS113</f>
        <v>0</v>
      </c>
      <c r="AT78" s="751">
        <f>AT79+AT91+AT92++AT103+AT104+AT105+AT107+AT108+AT109+AT110+AT113</f>
        <v>0</v>
      </c>
      <c r="AU78" s="751">
        <f>AU79+AU91+AU92++AU103+AU104+AU105+AU107+AU108+AU109+AU110+AU113</f>
        <v>0</v>
      </c>
      <c r="AV78" s="751">
        <f>AV79+AV91+AV92++AV103+AV104+AV105+AV107+AV108+AV109+AV110+AV113</f>
        <v>0</v>
      </c>
      <c r="AW78" s="751">
        <f>AW79+AW91+AW92++AW103+AW104+AW105+AW107+AW108+AW109+AW110+AW113</f>
        <v>0</v>
      </c>
      <c r="AX78" s="751">
        <f>AX79+AX91+AX92++AX103+AX104+AX105+AX107+AX108+AX109+AX110+AX113</f>
        <v>0</v>
      </c>
      <c r="AY78" s="751">
        <f>AY79+AY91+AY92++AY103+AY104+AY105+AY107+AY108+AY109+AY110+AY113</f>
        <v>0</v>
      </c>
      <c r="AZ78" s="751">
        <f>AZ79+AZ91+AZ92++AZ103+AZ104+AZ105+AZ107+AZ108+AZ109+AZ110+AZ113</f>
        <v>0</v>
      </c>
      <c r="BA78" s="751">
        <f>BA79+BA91+BA92++BA103+BA104+BA105+BA107+BA108+BA109+BA110+BA113</f>
        <v>0</v>
      </c>
      <c r="BB78" s="751">
        <f>BB79+BB91+BB92++BB103+BB104+BB105+BB107+BB108+BB109+BB110+BB113</f>
        <v>0</v>
      </c>
      <c r="BC78" s="751">
        <f>BC79+BC91+BC92++BC103+BC104+BC105+BC107+BC108+BC109+BC110+BC113</f>
        <v>0</v>
      </c>
      <c r="BD78" s="742">
        <f>IF(AI78=0,0,(AT78-AI78)/AI78*100)</f>
        <v>0</v>
      </c>
      <c r="BE78" s="742">
        <f>IF(AT78=0,0,(AU78-AT78)/AT78*100)</f>
        <v>0</v>
      </c>
      <c r="BF78" s="742">
        <f>IF(AU78=0,0,(AV78-AU78)/AU78*100)</f>
        <v>0</v>
      </c>
      <c r="BG78" s="742">
        <f>IF(AV78=0,0,(AW78-AV78)/AV78*100)</f>
        <v>0</v>
      </c>
      <c r="BH78" s="742">
        <f>IF(AW78=0,0,(AX78-AW78)/AW78*100)</f>
        <v>0</v>
      </c>
      <c r="BI78" s="742">
        <f>IF(AX78=0,0,(AY78-AX78)/AX78*100)</f>
        <v>0</v>
      </c>
      <c r="BJ78" s="742">
        <f>IF(AY78=0,0,(AZ78-AY78)/AY78*100)</f>
        <v>0</v>
      </c>
      <c r="BK78" s="742">
        <f>IF(AZ78=0,0,(BA78-AZ78)/AZ78*100)</f>
        <v>0</v>
      </c>
      <c r="BL78" s="742">
        <f>IF(BA78=0,0,(BB78-BA78)/BA78*100)</f>
        <v>0</v>
      </c>
      <c r="BM78" s="742">
        <f>IF(BB78=0,0,(BC78-BB78)/BB78*100)</f>
        <v>0</v>
      </c>
      <c r="BN78" s="1283"/>
      <c r="BO78" s="1283"/>
      <c r="BP78" s="1283"/>
      <c r="BQ78" s="126"/>
      <c r="BR78" s="680"/>
      <c r="BS78" s="1054" t="s">
        <v>1896</v>
      </c>
      <c r="BT78" s="1054"/>
      <c r="BU78" s="1054"/>
      <c r="BV78" s="687"/>
      <c r="BW78" s="687"/>
    </row>
    <row s="680" customFormat="1" customHeight="1" ht="21.9375" hidden="1">
      <c r="A79" s="680"/>
      <c r="B79" s="408"/>
      <c r="C79" s="680"/>
      <c r="D79" s="680"/>
      <c r="E79" s="687">
        <v>22.5</v>
      </c>
      <c r="F79" s="50" cm="1" t="str">
        <f t="array" ref="F79:F79">OFFSET(E79,-1,1)</f>
        <v>0</v>
      </c>
      <c r="G79" s="680"/>
      <c r="H79" s="124"/>
      <c r="I79" s="124" t="s">
        <v>459</v>
      </c>
      <c r="J79" s="680"/>
      <c r="K79" s="124" t="s">
        <v>459</v>
      </c>
      <c r="L79" s="968" t="s">
        <v>445</v>
      </c>
      <c r="M79" s="75"/>
      <c r="N79" s="680"/>
      <c r="O79" s="680"/>
      <c r="P79" s="680"/>
      <c r="Q79" s="680"/>
      <c r="R79" s="680"/>
      <c r="S79" s="680"/>
      <c r="T79" s="439" cm="1" t="str">
        <f t="array" ref="T79:T79">T78</f>
        <v>false</v>
      </c>
      <c r="U79" s="680"/>
      <c r="V79" s="680"/>
      <c r="W79" s="680"/>
      <c r="X79" s="1482"/>
      <c r="Y79" s="680"/>
      <c r="Z79" s="1465"/>
      <c r="AA79" s="680"/>
      <c r="AB79" s="185" t="s">
        <v>515</v>
      </c>
      <c r="AC79" s="328" t="s">
        <v>1897</v>
      </c>
      <c r="AD79" s="178" t="s">
        <v>784</v>
      </c>
      <c r="AE79" s="180">
        <f>SUM(AE80:AE90)</f>
        <v>0</v>
      </c>
      <c r="AF79" s="180">
        <f>SUM(AF80:AF90)</f>
        <v>0</v>
      </c>
      <c r="AG79" s="180">
        <f>SUM(AG80:AG90)</f>
        <v>0</v>
      </c>
      <c r="AH79" s="742">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42">
        <f>IF(AI79=0,0,(AT79-AI79)/AI79*100)</f>
        <v>0</v>
      </c>
      <c r="BE79" s="742">
        <f>IF(AT79=0,0,(AU79-AT79)/AT79*100)</f>
        <v>0</v>
      </c>
      <c r="BF79" s="742">
        <f>IF(AU79=0,0,(AV79-AU79)/AU79*100)</f>
        <v>0</v>
      </c>
      <c r="BG79" s="742">
        <f>IF(AV79=0,0,(AW79-AV79)/AV79*100)</f>
        <v>0</v>
      </c>
      <c r="BH79" s="742">
        <f>IF(AW79=0,0,(AX79-AW79)/AW79*100)</f>
        <v>0</v>
      </c>
      <c r="BI79" s="742">
        <f>IF(AX79=0,0,(AY79-AX79)/AX79*100)</f>
        <v>0</v>
      </c>
      <c r="BJ79" s="742">
        <f>IF(AY79=0,0,(AZ79-AY79)/AY79*100)</f>
        <v>0</v>
      </c>
      <c r="BK79" s="742">
        <f>IF(AZ79=0,0,(BA79-AZ79)/AZ79*100)</f>
        <v>0</v>
      </c>
      <c r="BL79" s="742">
        <f>IF(BA79=0,0,(BB79-BA79)/BA79*100)</f>
        <v>0</v>
      </c>
      <c r="BM79" s="742">
        <f>IF(BB79=0,0,(BC79-BB79)/BB79*100)</f>
        <v>0</v>
      </c>
      <c r="BN79" s="1267"/>
      <c r="BO79" s="1267"/>
      <c r="BP79" s="1267"/>
      <c r="BQ79" s="680"/>
      <c r="BR79" s="680"/>
      <c r="BS79" s="1054" t="s">
        <v>1619</v>
      </c>
      <c r="BT79" s="1054"/>
      <c r="BU79" s="1054"/>
      <c r="BV79" s="687"/>
      <c r="BW79" s="687"/>
    </row>
    <row customHeight="1" ht="14.625" hidden="1">
      <c r="A80" s="960"/>
      <c r="B80" s="961"/>
      <c r="C80" s="960"/>
      <c r="D80" s="960"/>
      <c r="E80" s="683">
        <v>15</v>
      </c>
      <c r="F80" s="50" cm="1" t="str">
        <f t="array" ref="F80:F80">OFFSET(E80,-1,1)</f>
        <v>0</v>
      </c>
      <c r="G80" s="124" t="s">
        <v>1028</v>
      </c>
      <c r="H80" s="960"/>
      <c r="I80" s="124" t="s">
        <v>1445</v>
      </c>
      <c r="J80" s="960"/>
      <c r="K80" s="124" t="s">
        <v>1445</v>
      </c>
      <c r="L80" s="963" t="s">
        <v>1222</v>
      </c>
      <c r="M80" s="73"/>
      <c r="N80" s="960"/>
      <c r="O80" s="960"/>
      <c r="P80" s="960"/>
      <c r="Q80" s="960"/>
      <c r="R80" s="960"/>
      <c r="S80" s="960"/>
      <c r="T80" s="439" cm="1" t="str">
        <f t="array" ref="T80:T80">T79</f>
        <v>false</v>
      </c>
      <c r="U80" s="960"/>
      <c r="V80" s="960"/>
      <c r="W80" s="960"/>
      <c r="X80" s="1482"/>
      <c r="Y80" s="960"/>
      <c r="Z80" s="1465"/>
      <c r="AA80" s="960"/>
      <c r="AB80" s="266" t="s">
        <v>467</v>
      </c>
      <c r="AC80" s="746" t="s">
        <v>1898</v>
      </c>
      <c r="AD80" s="267" t="s">
        <v>784</v>
      </c>
      <c r="AE80" s="226">
        <f>_xlfn.SUMIFS(Покупка!AE$25:AE$117,Покупка!$F$25:$F$117,$F80,Покупка!$AC$25:$AC$117,$G80)</f>
        <v>0</v>
      </c>
      <c r="AF80" s="226">
        <f>_xlfn.SUMIFS(Покупка!AF$25:AF$117,Покупка!$F$25:$F$117,$F80,Покупка!$AC$25:$AC$117,$G80)</f>
        <v>0</v>
      </c>
      <c r="AG80" s="226">
        <f>_xlfn.SUMIFS(Покупка!AG$25:AG$117,Покупка!$F$25:$F$117,$F80,Покупка!$AC$25:$AC$117,$G80)</f>
        <v>0</v>
      </c>
      <c r="AH80" s="926">
        <f>AG80-AF80</f>
        <v>0</v>
      </c>
      <c r="AI80" s="926">
        <f>_xlfn.SUMIFS(Покупка!AH$25:AH$117,Покупка!$F$25:$F$117,$F80,Покупка!$AC$25:$AC$117,$G80)</f>
        <v>0</v>
      </c>
      <c r="AJ80" s="926">
        <f>_xlfn.SUMIFS(Покупка!AI$25:AI$117,Покупка!$F$25:$F$117,$F80,Покупка!$AC$25:$AC$117,$G80)</f>
        <v>0</v>
      </c>
      <c r="AK80" s="926">
        <f>_xlfn.SUMIFS(Покупка!AJ$25:AJ$117,Покупка!$F$25:$F$117,$F80,Покупка!$AC$25:$AC$117,$G80)</f>
        <v>0</v>
      </c>
      <c r="AL80" s="926">
        <f>_xlfn.SUMIFS(Покупка!AK$25:AK$117,Покупка!$F$25:$F$117,$F80,Покупка!$AC$25:$AC$117,$G80)</f>
        <v>0</v>
      </c>
      <c r="AM80" s="926">
        <f>_xlfn.SUMIFS(Покупка!AL$25:AL$117,Покупка!$F$25:$F$117,$F80,Покупка!$AC$25:$AC$117,$G80)</f>
        <v>0</v>
      </c>
      <c r="AN80" s="926">
        <f>_xlfn.SUMIFS(Покупка!AM$25:AM$117,Покупка!$F$25:$F$117,$F80,Покупка!$AC$25:$AC$117,$G80)</f>
        <v>0</v>
      </c>
      <c r="AO80" s="926">
        <f>_xlfn.SUMIFS(Покупка!AN$25:AN$117,Покупка!$F$25:$F$117,$F80,Покупка!$AC$25:$AC$117,$G80)</f>
        <v>0</v>
      </c>
      <c r="AP80" s="926">
        <f>_xlfn.SUMIFS(Покупка!AO$25:AO$117,Покупка!$F$25:$F$117,$F80,Покупка!$AC$25:$AC$117,$G80)</f>
        <v>0</v>
      </c>
      <c r="AQ80" s="926">
        <f>_xlfn.SUMIFS(Покупка!AP$25:AP$117,Покупка!$F$25:$F$117,$F80,Покупка!$AC$25:$AC$117,$G80)</f>
        <v>0</v>
      </c>
      <c r="AR80" s="926">
        <f>_xlfn.SUMIFS(Покупка!AQ$25:AQ$117,Покупка!$F$25:$F$117,$F80,Покупка!$AC$25:$AC$117,$G80)</f>
        <v>0</v>
      </c>
      <c r="AS80" s="926">
        <f>_xlfn.SUMIFS(Покупка!AR$25:AR$117,Покупка!$F$25:$F$117,$F80,Покупка!$AC$25:$AC$117,$G80)</f>
        <v>0</v>
      </c>
      <c r="AT80" s="926">
        <f>_xlfn.SUMIFS(Покупка!AS$25:AS$117,Покупка!$F$25:$F$117,$F80,Покупка!$AC$25:$AC$117,$G80)</f>
        <v>0</v>
      </c>
      <c r="AU80" s="926">
        <f>_xlfn.SUMIFS(Покупка!AT$25:AT$117,Покупка!$F$25:$F$117,$F80,Покупка!$AC$25:$AC$117,$G80)</f>
        <v>0</v>
      </c>
      <c r="AV80" s="926">
        <f>_xlfn.SUMIFS(Покупка!AU$25:AU$117,Покупка!$F$25:$F$117,$F80,Покупка!$AC$25:$AC$117,$G80)</f>
        <v>0</v>
      </c>
      <c r="AW80" s="926">
        <f>_xlfn.SUMIFS(Покупка!AV$25:AV$117,Покупка!$F$25:$F$117,$F80,Покупка!$AC$25:$AC$117,$G80)</f>
        <v>0</v>
      </c>
      <c r="AX80" s="926">
        <f>_xlfn.SUMIFS(Покупка!AW$25:AW$117,Покупка!$F$25:$F$117,$F80,Покупка!$AC$25:$AC$117,$G80)</f>
        <v>0</v>
      </c>
      <c r="AY80" s="926">
        <f>_xlfn.SUMIFS(Покупка!AX$25:AX$117,Покупка!$F$25:$F$117,$F80,Покупка!$AC$25:$AC$117,$G80)</f>
        <v>0</v>
      </c>
      <c r="AZ80" s="926">
        <f>_xlfn.SUMIFS(Покупка!AY$25:AY$117,Покупка!$F$25:$F$117,$F80,Покупка!$AC$25:$AC$117,$G80)</f>
        <v>0</v>
      </c>
      <c r="BA80" s="926">
        <f>_xlfn.SUMIFS(Покупка!AZ$25:AZ$117,Покупка!$F$25:$F$117,$F80,Покупка!$AC$25:$AC$117,$G80)</f>
        <v>0</v>
      </c>
      <c r="BB80" s="926">
        <f>_xlfn.SUMIFS(Покупка!BA$25:BA$117,Покупка!$F$25:$F$117,$F80,Покупка!$AC$25:$AC$117,$G80)</f>
        <v>0</v>
      </c>
      <c r="BC80" s="926">
        <f>_xlfn.SUMIFS(Покупка!BB$25:BB$117,Покупка!$F$25:$F$117,$F80,Покупка!$AC$25:$AC$117,$G80)</f>
        <v>0</v>
      </c>
      <c r="BD80" s="926">
        <f>IF(AI80=0,0,(AT80-AI80)/AI80*100)</f>
        <v>0</v>
      </c>
      <c r="BE80" s="926">
        <f>IF(AT80=0,0,(AU80-AT80)/AT80*100)</f>
        <v>0</v>
      </c>
      <c r="BF80" s="926">
        <f>IF(AU80=0,0,(AV80-AU80)/AU80*100)</f>
        <v>0</v>
      </c>
      <c r="BG80" s="926">
        <f>IF(AV80=0,0,(AW80-AV80)/AV80*100)</f>
        <v>0</v>
      </c>
      <c r="BH80" s="926">
        <f>IF(AW80=0,0,(AX80-AW80)/AW80*100)</f>
        <v>0</v>
      </c>
      <c r="BI80" s="926">
        <f>IF(AX80=0,0,(AY80-AX80)/AX80*100)</f>
        <v>0</v>
      </c>
      <c r="BJ80" s="926">
        <f>IF(AY80=0,0,(AZ80-AY80)/AY80*100)</f>
        <v>0</v>
      </c>
      <c r="BK80" s="926">
        <f>IF(AZ80=0,0,(BA80-AZ80)/AZ80*100)</f>
        <v>0</v>
      </c>
      <c r="BL80" s="926">
        <f>IF(BA80=0,0,(BB80-BA80)/BA80*100)</f>
        <v>0</v>
      </c>
      <c r="BM80" s="926">
        <f>IF(BB80=0,0,(BC80-BB80)/BB80*100)</f>
        <v>0</v>
      </c>
      <c r="BN80" s="1283"/>
      <c r="BO80" s="1281" t="str">
        <f>IF(_xlfn.IFERROR(INDEX(Покупка!$K$26:$L$117,MATCH($F80&amp;"6komm",Покупка!$K$26:$K$117,0),2),"")=0,"",_xlfn.IFERROR(INDEX(Покупка!$K$26:$L$117,MATCH($F80&amp;"6komm",Покупка!$K$26:$K$117,0),2),""))</f>
        <v/>
      </c>
      <c r="BP80" s="1283"/>
      <c r="BQ80" s="960"/>
      <c r="BR80" s="960"/>
      <c r="BS80" s="1048" t="s">
        <v>1029</v>
      </c>
      <c r="BT80" s="1048"/>
      <c r="BU80" s="1048"/>
      <c r="BV80" s="962"/>
      <c r="BW80" s="962"/>
    </row>
    <row customHeight="1" ht="14.625" hidden="1">
      <c r="A81" s="960"/>
      <c r="B81" s="62"/>
      <c r="C81" s="73"/>
      <c r="D81" s="73"/>
      <c r="E81" s="600">
        <v>15</v>
      </c>
      <c r="F81" s="50" cm="1" t="str">
        <f t="array" ref="F81:F81">OFFSET(E81,-1,1)</f>
        <v>0</v>
      </c>
      <c r="G81" s="73" t="s">
        <v>1030</v>
      </c>
      <c r="H81" s="73"/>
      <c r="I81" s="73" t="s">
        <v>1449</v>
      </c>
      <c r="J81" s="73"/>
      <c r="K81" s="73" t="s">
        <v>1449</v>
      </c>
      <c r="L81" s="963" t="s">
        <v>1226</v>
      </c>
      <c r="M81" s="73"/>
      <c r="N81" s="73"/>
      <c r="O81" s="73"/>
      <c r="P81" s="73"/>
      <c r="Q81" s="73"/>
      <c r="R81" s="73"/>
      <c r="S81" s="73"/>
      <c r="T81" s="439" cm="1" t="str">
        <f t="array" ref="T81:T81">T80</f>
        <v>false</v>
      </c>
      <c r="U81" s="73"/>
      <c r="V81" s="73"/>
      <c r="W81" s="960"/>
      <c r="X81" s="1482"/>
      <c r="Y81" s="960"/>
      <c r="Z81" s="1465"/>
      <c r="AA81" s="960"/>
      <c r="AB81" s="266" t="s">
        <v>1899</v>
      </c>
      <c r="AC81" s="746" t="s">
        <v>1900</v>
      </c>
      <c r="AD81" s="267" t="s">
        <v>784</v>
      </c>
      <c r="AE81" s="226">
        <f>_xlfn.SUMIFS(Покупка!AE$25:AE$117,Покупка!$F$25:$F$117,$F81,Покупка!$AC$25:$AC$117,$G81)</f>
        <v>0</v>
      </c>
      <c r="AF81" s="226">
        <f>_xlfn.SUMIFS(Покупка!AF$25:AF$117,Покупка!$F$25:$F$117,$F81,Покупка!$AC$25:$AC$117,$G81)</f>
        <v>0</v>
      </c>
      <c r="AG81" s="226">
        <f>_xlfn.SUMIFS(Покупка!AG$25:AG$117,Покупка!$F$25:$F$117,$F81,Покупка!$AC$25:$AC$117,$G81)</f>
        <v>0</v>
      </c>
      <c r="AH81" s="926">
        <f>AG81-AF81</f>
        <v>0</v>
      </c>
      <c r="AI81" s="926">
        <f>_xlfn.SUMIFS(Покупка!AH$25:AH$117,Покупка!$F$25:$F$117,$F81,Покупка!$AC$25:$AC$117,$G81)</f>
        <v>0</v>
      </c>
      <c r="AJ81" s="926">
        <f>_xlfn.SUMIFS(Покупка!AI$25:AI$117,Покупка!$F$25:$F$117,$F81,Покупка!$AC$25:$AC$117,$G81)</f>
        <v>0</v>
      </c>
      <c r="AK81" s="926">
        <f>_xlfn.SUMIFS(Покупка!AJ$25:AJ$117,Покупка!$F$25:$F$117,$F81,Покупка!$AC$25:$AC$117,$G81)</f>
        <v>0</v>
      </c>
      <c r="AL81" s="926">
        <f>_xlfn.SUMIFS(Покупка!AK$25:AK$117,Покупка!$F$25:$F$117,$F81,Покупка!$AC$25:$AC$117,$G81)</f>
        <v>0</v>
      </c>
      <c r="AM81" s="926">
        <f>_xlfn.SUMIFS(Покупка!AL$25:AL$117,Покупка!$F$25:$F$117,$F81,Покупка!$AC$25:$AC$117,$G81)</f>
        <v>0</v>
      </c>
      <c r="AN81" s="926">
        <f>_xlfn.SUMIFS(Покупка!AM$25:AM$117,Покупка!$F$25:$F$117,$F81,Покупка!$AC$25:$AC$117,$G81)</f>
        <v>0</v>
      </c>
      <c r="AO81" s="926">
        <f>_xlfn.SUMIFS(Покупка!AN$25:AN$117,Покупка!$F$25:$F$117,$F81,Покупка!$AC$25:$AC$117,$G81)</f>
        <v>0</v>
      </c>
      <c r="AP81" s="926">
        <f>_xlfn.SUMIFS(Покупка!AO$25:AO$117,Покупка!$F$25:$F$117,$F81,Покупка!$AC$25:$AC$117,$G81)</f>
        <v>0</v>
      </c>
      <c r="AQ81" s="926">
        <f>_xlfn.SUMIFS(Покупка!AP$25:AP$117,Покупка!$F$25:$F$117,$F81,Покупка!$AC$25:$AC$117,$G81)</f>
        <v>0</v>
      </c>
      <c r="AR81" s="926">
        <f>_xlfn.SUMIFS(Покупка!AQ$25:AQ$117,Покупка!$F$25:$F$117,$F81,Покупка!$AC$25:$AC$117,$G81)</f>
        <v>0</v>
      </c>
      <c r="AS81" s="926">
        <f>_xlfn.SUMIFS(Покупка!AR$25:AR$117,Покупка!$F$25:$F$117,$F81,Покупка!$AC$25:$AC$117,$G81)</f>
        <v>0</v>
      </c>
      <c r="AT81" s="926">
        <f>_xlfn.SUMIFS(Покупка!AS$25:AS$117,Покупка!$F$25:$F$117,$F81,Покупка!$AC$25:$AC$117,$G81)</f>
        <v>0</v>
      </c>
      <c r="AU81" s="926">
        <f>_xlfn.SUMIFS(Покупка!AT$25:AT$117,Покупка!$F$25:$F$117,$F81,Покупка!$AC$25:$AC$117,$G81)</f>
        <v>0</v>
      </c>
      <c r="AV81" s="926">
        <f>_xlfn.SUMIFS(Покупка!AU$25:AU$117,Покупка!$F$25:$F$117,$F81,Покупка!$AC$25:$AC$117,$G81)</f>
        <v>0</v>
      </c>
      <c r="AW81" s="926">
        <f>_xlfn.SUMIFS(Покупка!AV$25:AV$117,Покупка!$F$25:$F$117,$F81,Покупка!$AC$25:$AC$117,$G81)</f>
        <v>0</v>
      </c>
      <c r="AX81" s="926">
        <f>_xlfn.SUMIFS(Покупка!AW$25:AW$117,Покупка!$F$25:$F$117,$F81,Покупка!$AC$25:$AC$117,$G81)</f>
        <v>0</v>
      </c>
      <c r="AY81" s="926">
        <f>_xlfn.SUMIFS(Покупка!AX$25:AX$117,Покупка!$F$25:$F$117,$F81,Покупка!$AC$25:$AC$117,$G81)</f>
        <v>0</v>
      </c>
      <c r="AZ81" s="926">
        <f>_xlfn.SUMIFS(Покупка!AY$25:AY$117,Покупка!$F$25:$F$117,$F81,Покупка!$AC$25:$AC$117,$G81)</f>
        <v>0</v>
      </c>
      <c r="BA81" s="926">
        <f>_xlfn.SUMIFS(Покупка!AZ$25:AZ$117,Покупка!$F$25:$F$117,$F81,Покупка!$AC$25:$AC$117,$G81)</f>
        <v>0</v>
      </c>
      <c r="BB81" s="926">
        <f>_xlfn.SUMIFS(Покупка!BA$25:BA$117,Покупка!$F$25:$F$117,$F81,Покупка!$AC$25:$AC$117,$G81)</f>
        <v>0</v>
      </c>
      <c r="BC81" s="926">
        <f>_xlfn.SUMIFS(Покупка!BB$25:BB$117,Покупка!$F$25:$F$117,$F81,Покупка!$AC$25:$AC$117,$G81)</f>
        <v>0</v>
      </c>
      <c r="BD81" s="926">
        <f>IF(AI81=0,0,(AT81-AI81)/AI81*100)</f>
        <v>0</v>
      </c>
      <c r="BE81" s="926">
        <f>IF(AT81=0,0,(AU81-AT81)/AT81*100)</f>
        <v>0</v>
      </c>
      <c r="BF81" s="926">
        <f>IF(AU81=0,0,(AV81-AU81)/AU81*100)</f>
        <v>0</v>
      </c>
      <c r="BG81" s="926">
        <f>IF(AV81=0,0,(AW81-AV81)/AV81*100)</f>
        <v>0</v>
      </c>
      <c r="BH81" s="926">
        <f>IF(AW81=0,0,(AX81-AW81)/AW81*100)</f>
        <v>0</v>
      </c>
      <c r="BI81" s="926">
        <f>IF(AX81=0,0,(AY81-AX81)/AX81*100)</f>
        <v>0</v>
      </c>
      <c r="BJ81" s="926">
        <f>IF(AY81=0,0,(AZ81-AY81)/AY81*100)</f>
        <v>0</v>
      </c>
      <c r="BK81" s="926">
        <f>IF(AZ81=0,0,(BA81-AZ81)/AZ81*100)</f>
        <v>0</v>
      </c>
      <c r="BL81" s="926">
        <f>IF(BA81=0,0,(BB81-BA81)/BA81*100)</f>
        <v>0</v>
      </c>
      <c r="BM81" s="926">
        <f>IF(BB81=0,0,(BC81-BB81)/BB81*100)</f>
        <v>0</v>
      </c>
      <c r="BN81" s="1283"/>
      <c r="BO81" s="1281" t="str">
        <f>IF(_xlfn.IFERROR(INDEX(Покупка!$K$26:$L$117,MATCH($F81&amp;"7komm",Покупка!$K$26:$K$117,0),2),"")=0,"",_xlfn.IFERROR(INDEX(Покупка!$K$26:$L$117,MATCH($F81&amp;"7komm",Покупка!$K$26:$K$117,0),2),""))</f>
        <v/>
      </c>
      <c r="BP81" s="1283"/>
      <c r="BQ81" s="960"/>
      <c r="BR81" s="960"/>
      <c r="BS81" s="1048" t="s">
        <v>1031</v>
      </c>
      <c r="BT81" s="1048"/>
      <c r="BU81" s="1048"/>
      <c r="BV81" s="962"/>
      <c r="BW81" s="962"/>
    </row>
    <row customHeight="1" ht="14.625" hidden="1">
      <c r="A82" s="960"/>
      <c r="B82" s="62"/>
      <c r="C82" s="73"/>
      <c r="D82" s="73"/>
      <c r="E82" s="600">
        <v>15</v>
      </c>
      <c r="F82" s="50" cm="1" t="str">
        <f t="array" ref="F82:F82">OFFSET(E82,-1,1)</f>
        <v>0</v>
      </c>
      <c r="G82" s="73" t="s">
        <v>1005</v>
      </c>
      <c r="H82" s="73"/>
      <c r="I82" s="73" t="s">
        <v>1531</v>
      </c>
      <c r="J82" s="73"/>
      <c r="K82" s="73" t="s">
        <v>1531</v>
      </c>
      <c r="L82" s="963" t="s">
        <v>1394</v>
      </c>
      <c r="M82" s="73"/>
      <c r="N82" s="73"/>
      <c r="O82" s="73"/>
      <c r="P82" s="73"/>
      <c r="Q82" s="73"/>
      <c r="R82" s="73"/>
      <c r="S82" s="73"/>
      <c r="T82" s="439" cm="1" t="str">
        <f t="array" ref="T82:T82">T81</f>
        <v>false</v>
      </c>
      <c r="U82" s="73"/>
      <c r="V82" s="73"/>
      <c r="W82" s="960"/>
      <c r="X82" s="1482"/>
      <c r="Y82" s="960"/>
      <c r="Z82" s="1465"/>
      <c r="AA82" s="960"/>
      <c r="AB82" s="266" t="s">
        <v>1901</v>
      </c>
      <c r="AC82" s="746" t="s">
        <v>1902</v>
      </c>
      <c r="AD82" s="267" t="s">
        <v>784</v>
      </c>
      <c r="AE82" s="226">
        <f>_xlfn.SUMIFS(Покупка!AE$25:AE$117,Покупка!$F$25:$F$117,$F82,Покупка!$AC$25:$AC$117,$G82)</f>
        <v>0</v>
      </c>
      <c r="AF82" s="226">
        <f>_xlfn.SUMIFS(Покупка!AF$25:AF$117,Покупка!$F$25:$F$117,$F82,Покупка!$AC$25:$AC$117,$G82)</f>
        <v>0</v>
      </c>
      <c r="AG82" s="226">
        <f>_xlfn.SUMIFS(Покупка!AG$25:AG$117,Покупка!$F$25:$F$117,$F82,Покупка!$AC$25:$AC$117,$G82)</f>
        <v>0</v>
      </c>
      <c r="AH82" s="926">
        <f>AG82-AF82</f>
        <v>0</v>
      </c>
      <c r="AI82" s="926">
        <f>_xlfn.SUMIFS(Покупка!AH$25:AH$117,Покупка!$F$25:$F$117,$F82,Покупка!$AC$25:$AC$117,$G82)</f>
        <v>0</v>
      </c>
      <c r="AJ82" s="926">
        <f>_xlfn.SUMIFS(Покупка!AI$25:AI$117,Покупка!$F$25:$F$117,$F82,Покупка!$AC$25:$AC$117,$G82)</f>
        <v>0</v>
      </c>
      <c r="AK82" s="926">
        <f>_xlfn.SUMIFS(Покупка!AJ$25:AJ$117,Покупка!$F$25:$F$117,$F82,Покупка!$AC$25:$AC$117,$G82)</f>
        <v>0</v>
      </c>
      <c r="AL82" s="926">
        <f>_xlfn.SUMIFS(Покупка!AK$25:AK$117,Покупка!$F$25:$F$117,$F82,Покупка!$AC$25:$AC$117,$G82)</f>
        <v>0</v>
      </c>
      <c r="AM82" s="926">
        <f>_xlfn.SUMIFS(Покупка!AL$25:AL$117,Покупка!$F$25:$F$117,$F82,Покупка!$AC$25:$AC$117,$G82)</f>
        <v>0</v>
      </c>
      <c r="AN82" s="926">
        <f>_xlfn.SUMIFS(Покупка!AM$25:AM$117,Покупка!$F$25:$F$117,$F82,Покупка!$AC$25:$AC$117,$G82)</f>
        <v>0</v>
      </c>
      <c r="AO82" s="926">
        <f>_xlfn.SUMIFS(Покупка!AN$25:AN$117,Покупка!$F$25:$F$117,$F82,Покупка!$AC$25:$AC$117,$G82)</f>
        <v>0</v>
      </c>
      <c r="AP82" s="926">
        <f>_xlfn.SUMIFS(Покупка!AO$25:AO$117,Покупка!$F$25:$F$117,$F82,Покупка!$AC$25:$AC$117,$G82)</f>
        <v>0</v>
      </c>
      <c r="AQ82" s="926">
        <f>_xlfn.SUMIFS(Покупка!AP$25:AP$117,Покупка!$F$25:$F$117,$F82,Покупка!$AC$25:$AC$117,$G82)</f>
        <v>0</v>
      </c>
      <c r="AR82" s="926">
        <f>_xlfn.SUMIFS(Покупка!AQ$25:AQ$117,Покупка!$F$25:$F$117,$F82,Покупка!$AC$25:$AC$117,$G82)</f>
        <v>0</v>
      </c>
      <c r="AS82" s="926">
        <f>_xlfn.SUMIFS(Покупка!AR$25:AR$117,Покупка!$F$25:$F$117,$F82,Покупка!$AC$25:$AC$117,$G82)</f>
        <v>0</v>
      </c>
      <c r="AT82" s="926">
        <f>_xlfn.SUMIFS(Покупка!AS$25:AS$117,Покупка!$F$25:$F$117,$F82,Покупка!$AC$25:$AC$117,$G82)</f>
        <v>0</v>
      </c>
      <c r="AU82" s="926">
        <f>_xlfn.SUMIFS(Покупка!AT$25:AT$117,Покупка!$F$25:$F$117,$F82,Покупка!$AC$25:$AC$117,$G82)</f>
        <v>0</v>
      </c>
      <c r="AV82" s="926">
        <f>_xlfn.SUMIFS(Покупка!AU$25:AU$117,Покупка!$F$25:$F$117,$F82,Покупка!$AC$25:$AC$117,$G82)</f>
        <v>0</v>
      </c>
      <c r="AW82" s="926">
        <f>_xlfn.SUMIFS(Покупка!AV$25:AV$117,Покупка!$F$25:$F$117,$F82,Покупка!$AC$25:$AC$117,$G82)</f>
        <v>0</v>
      </c>
      <c r="AX82" s="926">
        <f>_xlfn.SUMIFS(Покупка!AW$25:AW$117,Покупка!$F$25:$F$117,$F82,Покупка!$AC$25:$AC$117,$G82)</f>
        <v>0</v>
      </c>
      <c r="AY82" s="926">
        <f>_xlfn.SUMIFS(Покупка!AX$25:AX$117,Покупка!$F$25:$F$117,$F82,Покупка!$AC$25:$AC$117,$G82)</f>
        <v>0</v>
      </c>
      <c r="AZ82" s="926">
        <f>_xlfn.SUMIFS(Покупка!AY$25:AY$117,Покупка!$F$25:$F$117,$F82,Покупка!$AC$25:$AC$117,$G82)</f>
        <v>0</v>
      </c>
      <c r="BA82" s="926">
        <f>_xlfn.SUMIFS(Покупка!AZ$25:AZ$117,Покупка!$F$25:$F$117,$F82,Покупка!$AC$25:$AC$117,$G82)</f>
        <v>0</v>
      </c>
      <c r="BB82" s="926">
        <f>_xlfn.SUMIFS(Покупка!BA$25:BA$117,Покупка!$F$25:$F$117,$F82,Покупка!$AC$25:$AC$117,$G82)</f>
        <v>0</v>
      </c>
      <c r="BC82" s="926">
        <f>_xlfn.SUMIFS(Покупка!BB$25:BB$117,Покупка!$F$25:$F$117,$F82,Покупка!$AC$25:$AC$117,$G82)</f>
        <v>0</v>
      </c>
      <c r="BD82" s="926">
        <f>IF(AI82=0,0,(AT82-AI82)/AI82*100)</f>
        <v>0</v>
      </c>
      <c r="BE82" s="926">
        <f>IF(AT82=0,0,(AU82-AT82)/AT82*100)</f>
        <v>0</v>
      </c>
      <c r="BF82" s="926">
        <f>IF(AU82=0,0,(AV82-AU82)/AU82*100)</f>
        <v>0</v>
      </c>
      <c r="BG82" s="926">
        <f>IF(AV82=0,0,(AW82-AV82)/AV82*100)</f>
        <v>0</v>
      </c>
      <c r="BH82" s="926">
        <f>IF(AW82=0,0,(AX82-AW82)/AW82*100)</f>
        <v>0</v>
      </c>
      <c r="BI82" s="926">
        <f>IF(AX82=0,0,(AY82-AX82)/AX82*100)</f>
        <v>0</v>
      </c>
      <c r="BJ82" s="926">
        <f>IF(AY82=0,0,(AZ82-AY82)/AY82*100)</f>
        <v>0</v>
      </c>
      <c r="BK82" s="926">
        <f>IF(AZ82=0,0,(BA82-AZ82)/AZ82*100)</f>
        <v>0</v>
      </c>
      <c r="BL82" s="926">
        <f>IF(BA82=0,0,(BB82-BA82)/BA82*100)</f>
        <v>0</v>
      </c>
      <c r="BM82" s="926">
        <f>IF(BB82=0,0,(BC82-BB82)/BB82*100)</f>
        <v>0</v>
      </c>
      <c r="BN82" s="1283"/>
      <c r="BO82" s="1281" t="str">
        <f>IF(_xlfn.IFERROR(INDEX(Покупка!$K$26:$L$117,MATCH($F82&amp;"2komm",Покупка!$K$26:$K$117,0),2),"")=0,"",_xlfn.IFERROR(INDEX(Покупка!$K$26:$L$117,MATCH($F82&amp;"2komm",Покупка!$K$26:$K$117,0),2),""))</f>
        <v/>
      </c>
      <c r="BP82" s="1283"/>
      <c r="BQ82" s="960"/>
      <c r="BR82" s="960"/>
      <c r="BS82" s="1048" t="s">
        <v>1903</v>
      </c>
      <c r="BT82" s="1048"/>
      <c r="BU82" s="1048"/>
      <c r="BV82" s="962"/>
      <c r="BW82" s="962"/>
    </row>
    <row customHeight="1" ht="14.625" hidden="1">
      <c r="A83" s="960"/>
      <c r="B83" s="62"/>
      <c r="C83" s="73"/>
      <c r="D83" s="73"/>
      <c r="E83" s="600">
        <v>15</v>
      </c>
      <c r="F83" s="50" cm="1" t="str">
        <f t="array" ref="F83:F83">OFFSET(E83,-1,1)</f>
        <v>0</v>
      </c>
      <c r="G83" s="73" t="s">
        <v>996</v>
      </c>
      <c r="H83" s="73"/>
      <c r="I83" s="73" t="s">
        <v>1533</v>
      </c>
      <c r="J83" s="73"/>
      <c r="K83" s="73" t="s">
        <v>1533</v>
      </c>
      <c r="L83" s="963" t="s">
        <v>1389</v>
      </c>
      <c r="M83" s="73"/>
      <c r="N83" s="73"/>
      <c r="O83" s="73"/>
      <c r="P83" s="73"/>
      <c r="Q83" s="73"/>
      <c r="R83" s="73"/>
      <c r="S83" s="73"/>
      <c r="T83" s="439" cm="1" t="str">
        <f t="array" ref="T83:T83">T82</f>
        <v>false</v>
      </c>
      <c r="U83" s="73"/>
      <c r="V83" s="73"/>
      <c r="W83" s="960"/>
      <c r="X83" s="1482"/>
      <c r="Y83" s="960"/>
      <c r="Z83" s="1465"/>
      <c r="AA83" s="960"/>
      <c r="AB83" s="266" t="s">
        <v>1904</v>
      </c>
      <c r="AC83" s="746" t="s">
        <v>1905</v>
      </c>
      <c r="AD83" s="267" t="s">
        <v>784</v>
      </c>
      <c r="AE83" s="226">
        <f>_xlfn.SUMIFS(Покупка!AE$25:AE$117,Покупка!$F$25:$F$117,$F83,Покупка!$AC$25:$AC$117,$G83)</f>
        <v>0</v>
      </c>
      <c r="AF83" s="226">
        <f>_xlfn.SUMIFS(Покупка!AF$25:AF$117,Покупка!$F$25:$F$117,$F83,Покупка!$AC$25:$AC$117,$G83)</f>
        <v>0</v>
      </c>
      <c r="AG83" s="226">
        <f>_xlfn.SUMIFS(Покупка!AG$25:AG$117,Покупка!$F$25:$F$117,$F83,Покупка!$AC$25:$AC$117,$G83)</f>
        <v>0</v>
      </c>
      <c r="AH83" s="926">
        <f>AG83-AF83</f>
        <v>0</v>
      </c>
      <c r="AI83" s="926">
        <f>_xlfn.SUMIFS(Покупка!AH$25:AH$117,Покупка!$F$25:$F$117,$F83,Покупка!$AC$25:$AC$117,$G83)</f>
        <v>0</v>
      </c>
      <c r="AJ83" s="926">
        <f>_xlfn.SUMIFS(Покупка!AI$25:AI$117,Покупка!$F$25:$F$117,$F83,Покупка!$AC$25:$AC$117,$G83)</f>
        <v>0</v>
      </c>
      <c r="AK83" s="926">
        <f>_xlfn.SUMIFS(Покупка!AJ$25:AJ$117,Покупка!$F$25:$F$117,$F83,Покупка!$AC$25:$AC$117,$G83)</f>
        <v>0</v>
      </c>
      <c r="AL83" s="926">
        <f>_xlfn.SUMIFS(Покупка!AK$25:AK$117,Покупка!$F$25:$F$117,$F83,Покупка!$AC$25:$AC$117,$G83)</f>
        <v>0</v>
      </c>
      <c r="AM83" s="926">
        <f>_xlfn.SUMIFS(Покупка!AL$25:AL$117,Покупка!$F$25:$F$117,$F83,Покупка!$AC$25:$AC$117,$G83)</f>
        <v>0</v>
      </c>
      <c r="AN83" s="926">
        <f>_xlfn.SUMIFS(Покупка!AM$25:AM$117,Покупка!$F$25:$F$117,$F83,Покупка!$AC$25:$AC$117,$G83)</f>
        <v>0</v>
      </c>
      <c r="AO83" s="926">
        <f>_xlfn.SUMIFS(Покупка!AN$25:AN$117,Покупка!$F$25:$F$117,$F83,Покупка!$AC$25:$AC$117,$G83)</f>
        <v>0</v>
      </c>
      <c r="AP83" s="926">
        <f>_xlfn.SUMIFS(Покупка!AO$25:AO$117,Покупка!$F$25:$F$117,$F83,Покупка!$AC$25:$AC$117,$G83)</f>
        <v>0</v>
      </c>
      <c r="AQ83" s="926">
        <f>_xlfn.SUMIFS(Покупка!AP$25:AP$117,Покупка!$F$25:$F$117,$F83,Покупка!$AC$25:$AC$117,$G83)</f>
        <v>0</v>
      </c>
      <c r="AR83" s="926">
        <f>_xlfn.SUMIFS(Покупка!AQ$25:AQ$117,Покупка!$F$25:$F$117,$F83,Покупка!$AC$25:$AC$117,$G83)</f>
        <v>0</v>
      </c>
      <c r="AS83" s="926">
        <f>_xlfn.SUMIFS(Покупка!AR$25:AR$117,Покупка!$F$25:$F$117,$F83,Покупка!$AC$25:$AC$117,$G83)</f>
        <v>0</v>
      </c>
      <c r="AT83" s="926">
        <f>_xlfn.SUMIFS(Покупка!AS$25:AS$117,Покупка!$F$25:$F$117,$F83,Покупка!$AC$25:$AC$117,$G83)</f>
        <v>0</v>
      </c>
      <c r="AU83" s="926">
        <f>_xlfn.SUMIFS(Покупка!AT$25:AT$117,Покупка!$F$25:$F$117,$F83,Покупка!$AC$25:$AC$117,$G83)</f>
        <v>0</v>
      </c>
      <c r="AV83" s="926">
        <f>_xlfn.SUMIFS(Покупка!AU$25:AU$117,Покупка!$F$25:$F$117,$F83,Покупка!$AC$25:$AC$117,$G83)</f>
        <v>0</v>
      </c>
      <c r="AW83" s="926">
        <f>_xlfn.SUMIFS(Покупка!AV$25:AV$117,Покупка!$F$25:$F$117,$F83,Покупка!$AC$25:$AC$117,$G83)</f>
        <v>0</v>
      </c>
      <c r="AX83" s="926">
        <f>_xlfn.SUMIFS(Покупка!AW$25:AW$117,Покупка!$F$25:$F$117,$F83,Покупка!$AC$25:$AC$117,$G83)</f>
        <v>0</v>
      </c>
      <c r="AY83" s="926">
        <f>_xlfn.SUMIFS(Покупка!AX$25:AX$117,Покупка!$F$25:$F$117,$F83,Покупка!$AC$25:$AC$117,$G83)</f>
        <v>0</v>
      </c>
      <c r="AZ83" s="926">
        <f>_xlfn.SUMIFS(Покупка!AY$25:AY$117,Покупка!$F$25:$F$117,$F83,Покупка!$AC$25:$AC$117,$G83)</f>
        <v>0</v>
      </c>
      <c r="BA83" s="926">
        <f>_xlfn.SUMIFS(Покупка!AZ$25:AZ$117,Покупка!$F$25:$F$117,$F83,Покупка!$AC$25:$AC$117,$G83)</f>
        <v>0</v>
      </c>
      <c r="BB83" s="926">
        <f>_xlfn.SUMIFS(Покупка!BA$25:BA$117,Покупка!$F$25:$F$117,$F83,Покупка!$AC$25:$AC$117,$G83)</f>
        <v>0</v>
      </c>
      <c r="BC83" s="926">
        <f>_xlfn.SUMIFS(Покупка!BB$25:BB$117,Покупка!$F$25:$F$117,$F83,Покупка!$AC$25:$AC$117,$G83)</f>
        <v>0</v>
      </c>
      <c r="BD83" s="926">
        <f>IF(AI83=0,0,(AT83-AI83)/AI83*100)</f>
        <v>0</v>
      </c>
      <c r="BE83" s="926">
        <f>IF(AT83=0,0,(AU83-AT83)/AT83*100)</f>
        <v>0</v>
      </c>
      <c r="BF83" s="926">
        <f>IF(AU83=0,0,(AV83-AU83)/AU83*100)</f>
        <v>0</v>
      </c>
      <c r="BG83" s="926">
        <f>IF(AV83=0,0,(AW83-AV83)/AV83*100)</f>
        <v>0</v>
      </c>
      <c r="BH83" s="926">
        <f>IF(AW83=0,0,(AX83-AW83)/AW83*100)</f>
        <v>0</v>
      </c>
      <c r="BI83" s="926">
        <f>IF(AX83=0,0,(AY83-AX83)/AX83*100)</f>
        <v>0</v>
      </c>
      <c r="BJ83" s="926">
        <f>IF(AY83=0,0,(AZ83-AY83)/AY83*100)</f>
        <v>0</v>
      </c>
      <c r="BK83" s="926">
        <f>IF(AZ83=0,0,(BA83-AZ83)/AZ83*100)</f>
        <v>0</v>
      </c>
      <c r="BL83" s="926">
        <f>IF(BA83=0,0,(BB83-BA83)/BA83*100)</f>
        <v>0</v>
      </c>
      <c r="BM83" s="926">
        <f>IF(BB83=0,0,(BC83-BB83)/BB83*100)</f>
        <v>0</v>
      </c>
      <c r="BN83" s="1283"/>
      <c r="BO83" s="1281" t="str">
        <f>IF(_xlfn.IFERROR(INDEX(Покупка!$K$26:$L$117,MATCH($F83&amp;"1komm",Покупка!$K$26:$K$117,0),2),"")=0,"",_xlfn.IFERROR(INDEX(Покупка!$K$26:$L$117,MATCH($F83&amp;"1komm",Покупка!$K$26:$K$117,0),2),""))</f>
        <v/>
      </c>
      <c r="BP83" s="1283"/>
      <c r="BQ83" s="960"/>
      <c r="BR83" s="960"/>
      <c r="BS83" s="1048" t="s">
        <v>1906</v>
      </c>
      <c r="BT83" s="1048"/>
      <c r="BU83" s="1048"/>
      <c r="BV83" s="962"/>
      <c r="BW83" s="962"/>
    </row>
    <row customHeight="1" ht="14.625" hidden="1">
      <c r="A84" s="960"/>
      <c r="B84" s="62"/>
      <c r="C84" s="73"/>
      <c r="D84" s="73"/>
      <c r="E84" s="600">
        <v>15</v>
      </c>
      <c r="F84" s="50" cm="1" t="str">
        <f t="array" ref="F84:F84">OFFSET(E84,-1,1)</f>
        <v>0</v>
      </c>
      <c r="G84" s="73" t="s">
        <v>1032</v>
      </c>
      <c r="H84" s="73"/>
      <c r="I84" s="73" t="s">
        <v>1536</v>
      </c>
      <c r="J84" s="73"/>
      <c r="K84" s="73" t="s">
        <v>1536</v>
      </c>
      <c r="L84" s="963"/>
      <c r="M84" s="73"/>
      <c r="N84" s="73"/>
      <c r="O84" s="73"/>
      <c r="P84" s="73"/>
      <c r="Q84" s="73"/>
      <c r="R84" s="73"/>
      <c r="S84" s="73"/>
      <c r="T84" s="439" cm="1" t="str">
        <f t="array" ref="T84:T84">T83</f>
        <v>false</v>
      </c>
      <c r="U84" s="73"/>
      <c r="V84" s="73"/>
      <c r="W84" s="960"/>
      <c r="X84" s="1482"/>
      <c r="Y84" s="960"/>
      <c r="Z84" s="1465"/>
      <c r="AA84" s="960"/>
      <c r="AB84" s="266" t="s">
        <v>1907</v>
      </c>
      <c r="AC84" s="746" t="s">
        <v>1908</v>
      </c>
      <c r="AD84" s="267" t="s">
        <v>784</v>
      </c>
      <c r="AE84" s="226">
        <f>_xlfn.SUMIFS(Покупка!AE$25:AE$117,Покупка!$F$25:$F$117,$F84,Покупка!$AC$25:$AC$117,$G84)</f>
        <v>0</v>
      </c>
      <c r="AF84" s="226">
        <f>_xlfn.SUMIFS(Покупка!AF$25:AF$117,Покупка!$F$25:$F$117,$F84,Покупка!$AC$25:$AC$117,$G84)</f>
        <v>0</v>
      </c>
      <c r="AG84" s="226">
        <f>_xlfn.SUMIFS(Покупка!AG$25:AG$117,Покупка!$F$25:$F$117,$F84,Покупка!$AC$25:$AC$117,$G84)</f>
        <v>0</v>
      </c>
      <c r="AH84" s="926">
        <f>AG84-AF84</f>
        <v>0</v>
      </c>
      <c r="AI84" s="926">
        <f>_xlfn.SUMIFS(Покупка!AH$25:AH$117,Покупка!$F$25:$F$117,$F84,Покупка!$AC$25:$AC$117,$G84)</f>
        <v>0</v>
      </c>
      <c r="AJ84" s="926">
        <f>_xlfn.SUMIFS(Покупка!AI$25:AI$117,Покупка!$F$25:$F$117,$F84,Покупка!$AC$25:$AC$117,$G84)</f>
        <v>0</v>
      </c>
      <c r="AK84" s="926">
        <f>_xlfn.SUMIFS(Покупка!AJ$25:AJ$117,Покупка!$F$25:$F$117,$F84,Покупка!$AC$25:$AC$117,$G84)</f>
        <v>0</v>
      </c>
      <c r="AL84" s="926">
        <f>_xlfn.SUMIFS(Покупка!AK$25:AK$117,Покупка!$F$25:$F$117,$F84,Покупка!$AC$25:$AC$117,$G84)</f>
        <v>0</v>
      </c>
      <c r="AM84" s="926">
        <f>_xlfn.SUMIFS(Покупка!AL$25:AL$117,Покупка!$F$25:$F$117,$F84,Покупка!$AC$25:$AC$117,$G84)</f>
        <v>0</v>
      </c>
      <c r="AN84" s="926">
        <f>_xlfn.SUMIFS(Покупка!AM$25:AM$117,Покупка!$F$25:$F$117,$F84,Покупка!$AC$25:$AC$117,$G84)</f>
        <v>0</v>
      </c>
      <c r="AO84" s="926">
        <f>_xlfn.SUMIFS(Покупка!AN$25:AN$117,Покупка!$F$25:$F$117,$F84,Покупка!$AC$25:$AC$117,$G84)</f>
        <v>0</v>
      </c>
      <c r="AP84" s="926">
        <f>_xlfn.SUMIFS(Покупка!AO$25:AO$117,Покупка!$F$25:$F$117,$F84,Покупка!$AC$25:$AC$117,$G84)</f>
        <v>0</v>
      </c>
      <c r="AQ84" s="926">
        <f>_xlfn.SUMIFS(Покупка!AP$25:AP$117,Покупка!$F$25:$F$117,$F84,Покупка!$AC$25:$AC$117,$G84)</f>
        <v>0</v>
      </c>
      <c r="AR84" s="926">
        <f>_xlfn.SUMIFS(Покупка!AQ$25:AQ$117,Покупка!$F$25:$F$117,$F84,Покупка!$AC$25:$AC$117,$G84)</f>
        <v>0</v>
      </c>
      <c r="AS84" s="926">
        <f>_xlfn.SUMIFS(Покупка!AR$25:AR$117,Покупка!$F$25:$F$117,$F84,Покупка!$AC$25:$AC$117,$G84)</f>
        <v>0</v>
      </c>
      <c r="AT84" s="926">
        <f>_xlfn.SUMIFS(Покупка!AS$25:AS$117,Покупка!$F$25:$F$117,$F84,Покупка!$AC$25:$AC$117,$G84)</f>
        <v>0</v>
      </c>
      <c r="AU84" s="926">
        <f>_xlfn.SUMIFS(Покупка!AT$25:AT$117,Покупка!$F$25:$F$117,$F84,Покупка!$AC$25:$AC$117,$G84)</f>
        <v>0</v>
      </c>
      <c r="AV84" s="926">
        <f>_xlfn.SUMIFS(Покупка!AU$25:AU$117,Покупка!$F$25:$F$117,$F84,Покупка!$AC$25:$AC$117,$G84)</f>
        <v>0</v>
      </c>
      <c r="AW84" s="926">
        <f>_xlfn.SUMIFS(Покупка!AV$25:AV$117,Покупка!$F$25:$F$117,$F84,Покупка!$AC$25:$AC$117,$G84)</f>
        <v>0</v>
      </c>
      <c r="AX84" s="926">
        <f>_xlfn.SUMIFS(Покупка!AW$25:AW$117,Покупка!$F$25:$F$117,$F84,Покупка!$AC$25:$AC$117,$G84)</f>
        <v>0</v>
      </c>
      <c r="AY84" s="926">
        <f>_xlfn.SUMIFS(Покупка!AX$25:AX$117,Покупка!$F$25:$F$117,$F84,Покупка!$AC$25:$AC$117,$G84)</f>
        <v>0</v>
      </c>
      <c r="AZ84" s="926">
        <f>_xlfn.SUMIFS(Покупка!AY$25:AY$117,Покупка!$F$25:$F$117,$F84,Покупка!$AC$25:$AC$117,$G84)</f>
        <v>0</v>
      </c>
      <c r="BA84" s="926">
        <f>_xlfn.SUMIFS(Покупка!AZ$25:AZ$117,Покупка!$F$25:$F$117,$F84,Покупка!$AC$25:$AC$117,$G84)</f>
        <v>0</v>
      </c>
      <c r="BB84" s="926">
        <f>_xlfn.SUMIFS(Покупка!BA$25:BA$117,Покупка!$F$25:$F$117,$F84,Покупка!$AC$25:$AC$117,$G84)</f>
        <v>0</v>
      </c>
      <c r="BC84" s="926">
        <f>_xlfn.SUMIFS(Покупка!BB$25:BB$117,Покупка!$F$25:$F$117,$F84,Покупка!$AC$25:$AC$117,$G84)</f>
        <v>0</v>
      </c>
      <c r="BD84" s="926">
        <f>IF(AI84=0,0,(AT84-AI84)/AI84*100)</f>
        <v>0</v>
      </c>
      <c r="BE84" s="926">
        <f>IF(AT84=0,0,(AU84-AT84)/AT84*100)</f>
        <v>0</v>
      </c>
      <c r="BF84" s="926">
        <f>IF(AU84=0,0,(AV84-AU84)/AU84*100)</f>
        <v>0</v>
      </c>
      <c r="BG84" s="926">
        <f>IF(AV84=0,0,(AW84-AV84)/AV84*100)</f>
        <v>0</v>
      </c>
      <c r="BH84" s="926">
        <f>IF(AW84=0,0,(AX84-AW84)/AW84*100)</f>
        <v>0</v>
      </c>
      <c r="BI84" s="926">
        <f>IF(AX84=0,0,(AY84-AX84)/AX84*100)</f>
        <v>0</v>
      </c>
      <c r="BJ84" s="926">
        <f>IF(AY84=0,0,(AZ84-AY84)/AY84*100)</f>
        <v>0</v>
      </c>
      <c r="BK84" s="926">
        <f>IF(AZ84=0,0,(BA84-AZ84)/AZ84*100)</f>
        <v>0</v>
      </c>
      <c r="BL84" s="926">
        <f>IF(BA84=0,0,(BB84-BA84)/BA84*100)</f>
        <v>0</v>
      </c>
      <c r="BM84" s="926">
        <f>IF(BB84=0,0,(BC84-BB84)/BB84*100)</f>
        <v>0</v>
      </c>
      <c r="BN84" s="1283"/>
      <c r="BO84" s="1281" t="str">
        <f>IF(_xlfn.IFERROR(INDEX(Покупка!$K$26:$L$117,MATCH($F84&amp;"8komm",Покупка!$K$26:$K$117,0),2),"")=0,"",_xlfn.IFERROR(INDEX(Покупка!$K$26:$L$117,MATCH($F84&amp;"8komm",Покупка!$K$26:$K$117,0),2),""))</f>
        <v/>
      </c>
      <c r="BP84" s="1283"/>
      <c r="BQ84" s="960"/>
      <c r="BR84" s="960"/>
      <c r="BS84" s="1048" t="s">
        <v>1033</v>
      </c>
      <c r="BT84" s="1048"/>
      <c r="BU84" s="1048"/>
      <c r="BV84" s="962"/>
      <c r="BW84" s="962"/>
    </row>
    <row customHeight="1" ht="14.625" hidden="1">
      <c r="A85" s="960"/>
      <c r="B85" s="62"/>
      <c r="C85" s="73"/>
      <c r="D85" s="73"/>
      <c r="E85" s="600">
        <v>15</v>
      </c>
      <c r="F85" s="50" cm="1" t="str">
        <f t="array" ref="F85:F85">OFFSET(E85,-1,1)</f>
        <v>0</v>
      </c>
      <c r="G85" s="73"/>
      <c r="H85" s="73"/>
      <c r="I85" s="73" t="s">
        <v>1909</v>
      </c>
      <c r="J85" s="73"/>
      <c r="K85" s="73" t="s">
        <v>1909</v>
      </c>
      <c r="L85" s="963"/>
      <c r="M85" s="73"/>
      <c r="N85" s="73"/>
      <c r="O85" s="73"/>
      <c r="P85" s="73"/>
      <c r="Q85" s="73"/>
      <c r="R85" s="73"/>
      <c r="S85" s="73"/>
      <c r="T85" s="439" cm="1" t="str">
        <f t="array" ref="T85:T85">T84</f>
        <v>false</v>
      </c>
      <c r="U85" s="73"/>
      <c r="V85" s="73"/>
      <c r="W85" s="960"/>
      <c r="X85" s="1482"/>
      <c r="Y85" s="960"/>
      <c r="Z85" s="1465"/>
      <c r="AA85" s="960"/>
      <c r="AB85" s="266" t="s">
        <v>1910</v>
      </c>
      <c r="AC85" s="746" t="s">
        <v>1911</v>
      </c>
      <c r="AD85" s="267" t="s">
        <v>784</v>
      </c>
      <c r="AE85" s="1282"/>
      <c r="AF85" s="1282"/>
      <c r="AG85" s="1282"/>
      <c r="AH85" s="926">
        <f>AG85-AF85</f>
        <v>0</v>
      </c>
      <c r="AI85" s="1280"/>
      <c r="AJ85" s="4765"/>
      <c r="AK85" s="1280"/>
      <c r="AL85" s="1280"/>
      <c r="AM85" s="1280"/>
      <c r="AN85" s="1280"/>
      <c r="AO85" s="1280"/>
      <c r="AP85" s="1280"/>
      <c r="AQ85" s="1280"/>
      <c r="AR85" s="1280"/>
      <c r="AS85" s="1280"/>
      <c r="AT85" s="4765"/>
      <c r="AU85" s="1280"/>
      <c r="AV85" s="1280"/>
      <c r="AW85" s="1280"/>
      <c r="AX85" s="1280"/>
      <c r="AY85" s="1280"/>
      <c r="AZ85" s="1280"/>
      <c r="BA85" s="1280"/>
      <c r="BB85" s="1280"/>
      <c r="BC85" s="1280"/>
      <c r="BD85" s="926">
        <f>IF(AI85=0,0,(AT85-AI85)/AI85*100)</f>
        <v>0</v>
      </c>
      <c r="BE85" s="926">
        <f>IF(AT85=0,0,(AU85-AT85)/AT85*100)</f>
        <v>0</v>
      </c>
      <c r="BF85" s="926">
        <f>IF(AU85=0,0,(AV85-AU85)/AU85*100)</f>
        <v>0</v>
      </c>
      <c r="BG85" s="926">
        <f>IF(AV85=0,0,(AW85-AV85)/AV85*100)</f>
        <v>0</v>
      </c>
      <c r="BH85" s="926">
        <f>IF(AW85=0,0,(AX85-AW85)/AW85*100)</f>
        <v>0</v>
      </c>
      <c r="BI85" s="926">
        <f>IF(AX85=0,0,(AY85-AX85)/AX85*100)</f>
        <v>0</v>
      </c>
      <c r="BJ85" s="926">
        <f>IF(AY85=0,0,(AZ85-AY85)/AY85*100)</f>
        <v>0</v>
      </c>
      <c r="BK85" s="926">
        <f>IF(AZ85=0,0,(BA85-AZ85)/AZ85*100)</f>
        <v>0</v>
      </c>
      <c r="BL85" s="926">
        <f>IF(BA85=0,0,(BB85-BA85)/BA85*100)</f>
        <v>0</v>
      </c>
      <c r="BM85" s="926">
        <f>IF(BB85=0,0,(BC85-BB85)/BB85*100)</f>
        <v>0</v>
      </c>
      <c r="BN85" s="1283"/>
      <c r="BO85" s="1283"/>
      <c r="BP85" s="1283"/>
      <c r="BQ85" s="960"/>
      <c r="BR85" s="960"/>
      <c r="BS85" s="1048" t="s">
        <v>1912</v>
      </c>
      <c r="BT85" s="1048"/>
      <c r="BU85" s="1048"/>
      <c r="BV85" s="962"/>
      <c r="BW85" s="962"/>
    </row>
    <row customHeight="1" ht="14.625" hidden="1">
      <c r="A86" s="960"/>
      <c r="B86" s="62"/>
      <c r="C86" s="73"/>
      <c r="D86" s="73"/>
      <c r="E86" s="600">
        <v>15</v>
      </c>
      <c r="F86" s="50" cm="1" t="str">
        <f t="array" ref="F86:F86">OFFSET(E86,-1,1)</f>
        <v>0</v>
      </c>
      <c r="G86" s="73"/>
      <c r="H86" s="73"/>
      <c r="I86" s="73" t="s">
        <v>1913</v>
      </c>
      <c r="J86" s="73"/>
      <c r="K86" s="73" t="s">
        <v>1913</v>
      </c>
      <c r="L86" s="963"/>
      <c r="M86" s="73"/>
      <c r="N86" s="73"/>
      <c r="O86" s="73"/>
      <c r="P86" s="73"/>
      <c r="Q86" s="73"/>
      <c r="R86" s="73"/>
      <c r="S86" s="73"/>
      <c r="T86" s="439" cm="1" t="str">
        <f t="array" ref="T86:T86">T85</f>
        <v>false</v>
      </c>
      <c r="U86" s="73"/>
      <c r="V86" s="73"/>
      <c r="W86" s="960"/>
      <c r="X86" s="1482"/>
      <c r="Y86" s="960"/>
      <c r="Z86" s="1465"/>
      <c r="AA86" s="960"/>
      <c r="AB86" s="266" t="s">
        <v>1914</v>
      </c>
      <c r="AC86" s="746" t="s">
        <v>1915</v>
      </c>
      <c r="AD86" s="267" t="s">
        <v>784</v>
      </c>
      <c r="AE86" s="1282"/>
      <c r="AF86" s="1282"/>
      <c r="AG86" s="1282"/>
      <c r="AH86" s="926">
        <f>AG86-AF86</f>
        <v>0</v>
      </c>
      <c r="AI86" s="1280"/>
      <c r="AJ86" s="4765"/>
      <c r="AK86" s="1280"/>
      <c r="AL86" s="1280"/>
      <c r="AM86" s="1280"/>
      <c r="AN86" s="1280"/>
      <c r="AO86" s="1280"/>
      <c r="AP86" s="1280"/>
      <c r="AQ86" s="1280"/>
      <c r="AR86" s="1280"/>
      <c r="AS86" s="1280"/>
      <c r="AT86" s="4765"/>
      <c r="AU86" s="1280"/>
      <c r="AV86" s="1280"/>
      <c r="AW86" s="1280"/>
      <c r="AX86" s="1280"/>
      <c r="AY86" s="1280"/>
      <c r="AZ86" s="1280"/>
      <c r="BA86" s="1280"/>
      <c r="BB86" s="1280"/>
      <c r="BC86" s="1280"/>
      <c r="BD86" s="926">
        <f>IF(AI86=0,0,(AT86-AI86)/AI86*100)</f>
        <v>0</v>
      </c>
      <c r="BE86" s="926">
        <f>IF(AT86=0,0,(AU86-AT86)/AT86*100)</f>
        <v>0</v>
      </c>
      <c r="BF86" s="926">
        <f>IF(AU86=0,0,(AV86-AU86)/AU86*100)</f>
        <v>0</v>
      </c>
      <c r="BG86" s="926">
        <f>IF(AV86=0,0,(AW86-AV86)/AV86*100)</f>
        <v>0</v>
      </c>
      <c r="BH86" s="926">
        <f>IF(AW86=0,0,(AX86-AW86)/AW86*100)</f>
        <v>0</v>
      </c>
      <c r="BI86" s="926">
        <f>IF(AX86=0,0,(AY86-AX86)/AX86*100)</f>
        <v>0</v>
      </c>
      <c r="BJ86" s="926">
        <f>IF(AY86=0,0,(AZ86-AY86)/AY86*100)</f>
        <v>0</v>
      </c>
      <c r="BK86" s="926">
        <f>IF(AZ86=0,0,(BA86-AZ86)/AZ86*100)</f>
        <v>0</v>
      </c>
      <c r="BL86" s="926">
        <f>IF(BA86=0,0,(BB86-BA86)/BA86*100)</f>
        <v>0</v>
      </c>
      <c r="BM86" s="926">
        <f>IF(BB86=0,0,(BC86-BB86)/BB86*100)</f>
        <v>0</v>
      </c>
      <c r="BN86" s="1283"/>
      <c r="BO86" s="1283"/>
      <c r="BP86" s="1283"/>
      <c r="BQ86" s="960"/>
      <c r="BR86" s="960"/>
      <c r="BS86" s="1048" t="s">
        <v>1916</v>
      </c>
      <c r="BT86" s="1048"/>
      <c r="BU86" s="1048"/>
      <c r="BV86" s="962"/>
      <c r="BW86" s="962"/>
    </row>
    <row customHeight="1" ht="14.625" hidden="1">
      <c r="A87" s="960"/>
      <c r="B87" s="62"/>
      <c r="C87" s="73"/>
      <c r="D87" s="73"/>
      <c r="E87" s="600">
        <v>15</v>
      </c>
      <c r="F87" s="50" cm="1" t="str">
        <f t="array" ref="F87:F87">OFFSET(E87,-1,1)</f>
        <v>0</v>
      </c>
      <c r="G87" s="73" t="s">
        <v>1010</v>
      </c>
      <c r="H87" s="73"/>
      <c r="I87" s="73" t="s">
        <v>1917</v>
      </c>
      <c r="J87" s="73"/>
      <c r="K87" s="73" t="s">
        <v>1917</v>
      </c>
      <c r="L87" s="963" t="s">
        <v>1403</v>
      </c>
      <c r="M87" s="73"/>
      <c r="N87" s="73"/>
      <c r="O87" s="73"/>
      <c r="P87" s="73"/>
      <c r="Q87" s="73"/>
      <c r="R87" s="73"/>
      <c r="S87" s="73"/>
      <c r="T87" s="439" cm="1" t="str">
        <f t="array" ref="T87:T87">T86</f>
        <v>false</v>
      </c>
      <c r="U87" s="73"/>
      <c r="V87" s="73"/>
      <c r="W87" s="960"/>
      <c r="X87" s="1482"/>
      <c r="Y87" s="960"/>
      <c r="Z87" s="1465"/>
      <c r="AA87" s="960"/>
      <c r="AB87" s="266" t="s">
        <v>1918</v>
      </c>
      <c r="AC87" s="746" t="s">
        <v>1919</v>
      </c>
      <c r="AD87" s="267" t="s">
        <v>784</v>
      </c>
      <c r="AE87" s="226">
        <f>_xlfn.SUMIFS(Покупка!AE$25:AE$117,Покупка!$F$25:$F$117,$F87,Покупка!$AC$25:$AC$117,$G87)</f>
        <v>0</v>
      </c>
      <c r="AF87" s="226">
        <f>_xlfn.SUMIFS(Покупка!AF$25:AF$117,Покупка!$F$25:$F$117,$F87,Покупка!$AC$25:$AC$117,$G87)</f>
        <v>0</v>
      </c>
      <c r="AG87" s="226">
        <f>_xlfn.SUMIFS(Покупка!AG$25:AG$117,Покупка!$F$25:$F$117,$F87,Покупка!$AC$25:$AC$117,$G87)</f>
        <v>0</v>
      </c>
      <c r="AH87" s="926">
        <f>AG87-AF87</f>
        <v>0</v>
      </c>
      <c r="AI87" s="926">
        <f>_xlfn.SUMIFS(Покупка!AH$25:AH$117,Покупка!$F$25:$F$117,$F87,Покупка!$AC$25:$AC$117,$G87)</f>
        <v>0</v>
      </c>
      <c r="AJ87" s="926">
        <f>_xlfn.SUMIFS(Покупка!AI$25:AI$117,Покупка!$F$25:$F$117,$F87,Покупка!$AC$25:$AC$117,$G87)</f>
        <v>0</v>
      </c>
      <c r="AK87" s="926">
        <f>_xlfn.SUMIFS(Покупка!AJ$25:AJ$117,Покупка!$F$25:$F$117,$F87,Покупка!$AC$25:$AC$117,$G87)</f>
        <v>0</v>
      </c>
      <c r="AL87" s="926">
        <f>_xlfn.SUMIFS(Покупка!AK$25:AK$117,Покупка!$F$25:$F$117,$F87,Покупка!$AC$25:$AC$117,$G87)</f>
        <v>0</v>
      </c>
      <c r="AM87" s="926">
        <f>_xlfn.SUMIFS(Покупка!AL$25:AL$117,Покупка!$F$25:$F$117,$F87,Покупка!$AC$25:$AC$117,$G87)</f>
        <v>0</v>
      </c>
      <c r="AN87" s="926">
        <f>_xlfn.SUMIFS(Покупка!AM$25:AM$117,Покупка!$F$25:$F$117,$F87,Покупка!$AC$25:$AC$117,$G87)</f>
        <v>0</v>
      </c>
      <c r="AO87" s="926">
        <f>_xlfn.SUMIFS(Покупка!AN$25:AN$117,Покупка!$F$25:$F$117,$F87,Покупка!$AC$25:$AC$117,$G87)</f>
        <v>0</v>
      </c>
      <c r="AP87" s="926">
        <f>_xlfn.SUMIFS(Покупка!AO$25:AO$117,Покупка!$F$25:$F$117,$F87,Покупка!$AC$25:$AC$117,$G87)</f>
        <v>0</v>
      </c>
      <c r="AQ87" s="926">
        <f>_xlfn.SUMIFS(Покупка!AP$25:AP$117,Покупка!$F$25:$F$117,$F87,Покупка!$AC$25:$AC$117,$G87)</f>
        <v>0</v>
      </c>
      <c r="AR87" s="926">
        <f>_xlfn.SUMIFS(Покупка!AQ$25:AQ$117,Покупка!$F$25:$F$117,$F87,Покупка!$AC$25:$AC$117,$G87)</f>
        <v>0</v>
      </c>
      <c r="AS87" s="926">
        <f>_xlfn.SUMIFS(Покупка!AR$25:AR$117,Покупка!$F$25:$F$117,$F87,Покупка!$AC$25:$AC$117,$G87)</f>
        <v>0</v>
      </c>
      <c r="AT87" s="926">
        <f>_xlfn.SUMIFS(Покупка!AS$25:AS$117,Покупка!$F$25:$F$117,$F87,Покупка!$AC$25:$AC$117,$G87)</f>
        <v>0</v>
      </c>
      <c r="AU87" s="926">
        <f>_xlfn.SUMIFS(Покупка!AT$25:AT$117,Покупка!$F$25:$F$117,$F87,Покупка!$AC$25:$AC$117,$G87)</f>
        <v>0</v>
      </c>
      <c r="AV87" s="926">
        <f>_xlfn.SUMIFS(Покупка!AU$25:AU$117,Покупка!$F$25:$F$117,$F87,Покупка!$AC$25:$AC$117,$G87)</f>
        <v>0</v>
      </c>
      <c r="AW87" s="926">
        <f>_xlfn.SUMIFS(Покупка!AV$25:AV$117,Покупка!$F$25:$F$117,$F87,Покупка!$AC$25:$AC$117,$G87)</f>
        <v>0</v>
      </c>
      <c r="AX87" s="926">
        <f>_xlfn.SUMIFS(Покупка!AW$25:AW$117,Покупка!$F$25:$F$117,$F87,Покупка!$AC$25:$AC$117,$G87)</f>
        <v>0</v>
      </c>
      <c r="AY87" s="926">
        <f>_xlfn.SUMIFS(Покупка!AX$25:AX$117,Покупка!$F$25:$F$117,$F87,Покупка!$AC$25:$AC$117,$G87)</f>
        <v>0</v>
      </c>
      <c r="AZ87" s="926">
        <f>_xlfn.SUMIFS(Покупка!AY$25:AY$117,Покупка!$F$25:$F$117,$F87,Покупка!$AC$25:$AC$117,$G87)</f>
        <v>0</v>
      </c>
      <c r="BA87" s="926">
        <f>_xlfn.SUMIFS(Покупка!AZ$25:AZ$117,Покупка!$F$25:$F$117,$F87,Покупка!$AC$25:$AC$117,$G87)</f>
        <v>0</v>
      </c>
      <c r="BB87" s="926">
        <f>_xlfn.SUMIFS(Покупка!BA$25:BA$117,Покупка!$F$25:$F$117,$F87,Покупка!$AC$25:$AC$117,$G87)</f>
        <v>0</v>
      </c>
      <c r="BC87" s="926">
        <f>_xlfn.SUMIFS(Покупка!BB$25:BB$117,Покупка!$F$25:$F$117,$F87,Покупка!$AC$25:$AC$117,$G87)</f>
        <v>0</v>
      </c>
      <c r="BD87" s="926">
        <f>IF(AI87=0,0,(AT87-AI87)/AI87*100)</f>
        <v>0</v>
      </c>
      <c r="BE87" s="926">
        <f>IF(AT87=0,0,(AU87-AT87)/AT87*100)</f>
        <v>0</v>
      </c>
      <c r="BF87" s="926">
        <f>IF(AU87=0,0,(AV87-AU87)/AU87*100)</f>
        <v>0</v>
      </c>
      <c r="BG87" s="926">
        <f>IF(AV87=0,0,(AW87-AV87)/AV87*100)</f>
        <v>0</v>
      </c>
      <c r="BH87" s="926">
        <f>IF(AW87=0,0,(AX87-AW87)/AW87*100)</f>
        <v>0</v>
      </c>
      <c r="BI87" s="926">
        <f>IF(AX87=0,0,(AY87-AX87)/AX87*100)</f>
        <v>0</v>
      </c>
      <c r="BJ87" s="926">
        <f>IF(AY87=0,0,(AZ87-AY87)/AY87*100)</f>
        <v>0</v>
      </c>
      <c r="BK87" s="926">
        <f>IF(AZ87=0,0,(BA87-AZ87)/AZ87*100)</f>
        <v>0</v>
      </c>
      <c r="BL87" s="926">
        <f>IF(BA87=0,0,(BB87-BA87)/BA87*100)</f>
        <v>0</v>
      </c>
      <c r="BM87" s="926">
        <f>IF(BB87=0,0,(BC87-BB87)/BB87*100)</f>
        <v>0</v>
      </c>
      <c r="BN87" s="1283"/>
      <c r="BO87" s="1281" t="str">
        <f>IF(_xlfn.IFERROR(INDEX(Покупка!$K$26:$L$117,MATCH($F87&amp;"3komm",Покупка!$K$26:$K$117,0),2),"")=0,"",_xlfn.IFERROR(INDEX(Покупка!$K$26:$L$117,MATCH($F87&amp;"3komm",Покупка!$K$26:$K$117,0),2),""))</f>
        <v/>
      </c>
      <c r="BP87" s="1283"/>
      <c r="BQ87" s="960"/>
      <c r="BR87" s="960"/>
      <c r="BS87" s="1048" t="s">
        <v>1611</v>
      </c>
      <c r="BT87" s="1048"/>
      <c r="BU87" s="1048"/>
      <c r="BV87" s="962"/>
      <c r="BW87" s="962"/>
    </row>
    <row customHeight="1" ht="14.625" hidden="1">
      <c r="A88" s="960"/>
      <c r="B88" s="62"/>
      <c r="C88" s="73"/>
      <c r="D88" s="73"/>
      <c r="E88" s="600">
        <v>15</v>
      </c>
      <c r="F88" s="50" cm="1" t="str">
        <f t="array" ref="F88:F88">OFFSET(E88,-1,1)</f>
        <v>0</v>
      </c>
      <c r="G88" s="73" t="s">
        <v>1016</v>
      </c>
      <c r="H88" s="73"/>
      <c r="I88" s="73" t="s">
        <v>1920</v>
      </c>
      <c r="J88" s="73"/>
      <c r="K88" s="73" t="s">
        <v>1920</v>
      </c>
      <c r="L88" s="963" t="s">
        <v>1408</v>
      </c>
      <c r="M88" s="73"/>
      <c r="N88" s="73"/>
      <c r="O88" s="73"/>
      <c r="P88" s="73"/>
      <c r="Q88" s="73"/>
      <c r="R88" s="73"/>
      <c r="S88" s="73"/>
      <c r="T88" s="439" cm="1" t="str">
        <f t="array" ref="T88:T88">T87</f>
        <v>false</v>
      </c>
      <c r="U88" s="73"/>
      <c r="V88" s="73"/>
      <c r="W88" s="960"/>
      <c r="X88" s="1482"/>
      <c r="Y88" s="960"/>
      <c r="Z88" s="1465"/>
      <c r="AA88" s="960"/>
      <c r="AB88" s="266" t="s">
        <v>1921</v>
      </c>
      <c r="AC88" s="746" t="s">
        <v>1922</v>
      </c>
      <c r="AD88" s="267" t="s">
        <v>784</v>
      </c>
      <c r="AE88" s="226">
        <f>_xlfn.SUMIFS(Покупка!AE$25:AE$117,Покупка!$F$25:$F$117,$F88,Покупка!$AC$25:$AC$117,$G88)</f>
        <v>0</v>
      </c>
      <c r="AF88" s="226">
        <f>_xlfn.SUMIFS(Покупка!AF$25:AF$117,Покупка!$F$25:$F$117,$F88,Покупка!$AC$25:$AC$117,$G88)</f>
        <v>0</v>
      </c>
      <c r="AG88" s="226">
        <f>_xlfn.SUMIFS(Покупка!AG$25:AG$117,Покупка!$F$25:$F$117,$F88,Покупка!$AC$25:$AC$117,$G88)</f>
        <v>0</v>
      </c>
      <c r="AH88" s="926">
        <f>AG88-AF88</f>
        <v>0</v>
      </c>
      <c r="AI88" s="926">
        <f>_xlfn.SUMIFS(Покупка!AH$25:AH$117,Покупка!$F$25:$F$117,$F88,Покупка!$AC$25:$AC$117,$G88)</f>
        <v>0</v>
      </c>
      <c r="AJ88" s="926">
        <f>_xlfn.SUMIFS(Покупка!AI$25:AI$117,Покупка!$F$25:$F$117,$F88,Покупка!$AC$25:$AC$117,$G88)</f>
        <v>0</v>
      </c>
      <c r="AK88" s="926">
        <f>_xlfn.SUMIFS(Покупка!AJ$25:AJ$117,Покупка!$F$25:$F$117,$F88,Покупка!$AC$25:$AC$117,$G88)</f>
        <v>0</v>
      </c>
      <c r="AL88" s="926">
        <f>_xlfn.SUMIFS(Покупка!AK$25:AK$117,Покупка!$F$25:$F$117,$F88,Покупка!$AC$25:$AC$117,$G88)</f>
        <v>0</v>
      </c>
      <c r="AM88" s="926">
        <f>_xlfn.SUMIFS(Покупка!AL$25:AL$117,Покупка!$F$25:$F$117,$F88,Покупка!$AC$25:$AC$117,$G88)</f>
        <v>0</v>
      </c>
      <c r="AN88" s="926">
        <f>_xlfn.SUMIFS(Покупка!AM$25:AM$117,Покупка!$F$25:$F$117,$F88,Покупка!$AC$25:$AC$117,$G88)</f>
        <v>0</v>
      </c>
      <c r="AO88" s="926">
        <f>_xlfn.SUMIFS(Покупка!AN$25:AN$117,Покупка!$F$25:$F$117,$F88,Покупка!$AC$25:$AC$117,$G88)</f>
        <v>0</v>
      </c>
      <c r="AP88" s="926">
        <f>_xlfn.SUMIFS(Покупка!AO$25:AO$117,Покупка!$F$25:$F$117,$F88,Покупка!$AC$25:$AC$117,$G88)</f>
        <v>0</v>
      </c>
      <c r="AQ88" s="926">
        <f>_xlfn.SUMIFS(Покупка!AP$25:AP$117,Покупка!$F$25:$F$117,$F88,Покупка!$AC$25:$AC$117,$G88)</f>
        <v>0</v>
      </c>
      <c r="AR88" s="926">
        <f>_xlfn.SUMIFS(Покупка!AQ$25:AQ$117,Покупка!$F$25:$F$117,$F88,Покупка!$AC$25:$AC$117,$G88)</f>
        <v>0</v>
      </c>
      <c r="AS88" s="926">
        <f>_xlfn.SUMIFS(Покупка!AR$25:AR$117,Покупка!$F$25:$F$117,$F88,Покупка!$AC$25:$AC$117,$G88)</f>
        <v>0</v>
      </c>
      <c r="AT88" s="926">
        <f>_xlfn.SUMIFS(Покупка!AS$25:AS$117,Покупка!$F$25:$F$117,$F88,Покупка!$AC$25:$AC$117,$G88)</f>
        <v>0</v>
      </c>
      <c r="AU88" s="926">
        <f>_xlfn.SUMIFS(Покупка!AT$25:AT$117,Покупка!$F$25:$F$117,$F88,Покупка!$AC$25:$AC$117,$G88)</f>
        <v>0</v>
      </c>
      <c r="AV88" s="926">
        <f>_xlfn.SUMIFS(Покупка!AU$25:AU$117,Покупка!$F$25:$F$117,$F88,Покупка!$AC$25:$AC$117,$G88)</f>
        <v>0</v>
      </c>
      <c r="AW88" s="926">
        <f>_xlfn.SUMIFS(Покупка!AV$25:AV$117,Покупка!$F$25:$F$117,$F88,Покупка!$AC$25:$AC$117,$G88)</f>
        <v>0</v>
      </c>
      <c r="AX88" s="926">
        <f>_xlfn.SUMIFS(Покупка!AW$25:AW$117,Покупка!$F$25:$F$117,$F88,Покупка!$AC$25:$AC$117,$G88)</f>
        <v>0</v>
      </c>
      <c r="AY88" s="926">
        <f>_xlfn.SUMIFS(Покупка!AX$25:AX$117,Покупка!$F$25:$F$117,$F88,Покупка!$AC$25:$AC$117,$G88)</f>
        <v>0</v>
      </c>
      <c r="AZ88" s="926">
        <f>_xlfn.SUMIFS(Покупка!AY$25:AY$117,Покупка!$F$25:$F$117,$F88,Покупка!$AC$25:$AC$117,$G88)</f>
        <v>0</v>
      </c>
      <c r="BA88" s="926">
        <f>_xlfn.SUMIFS(Покупка!AZ$25:AZ$117,Покупка!$F$25:$F$117,$F88,Покупка!$AC$25:$AC$117,$G88)</f>
        <v>0</v>
      </c>
      <c r="BB88" s="926">
        <f>_xlfn.SUMIFS(Покупка!BA$25:BA$117,Покупка!$F$25:$F$117,$F88,Покупка!$AC$25:$AC$117,$G88)</f>
        <v>0</v>
      </c>
      <c r="BC88" s="926">
        <f>_xlfn.SUMIFS(Покупка!BB$25:BB$117,Покупка!$F$25:$F$117,$F88,Покупка!$AC$25:$AC$117,$G88)</f>
        <v>0</v>
      </c>
      <c r="BD88" s="926">
        <f>IF(AI88=0,0,(AT88-AI88)/AI88*100)</f>
        <v>0</v>
      </c>
      <c r="BE88" s="926">
        <f>IF(AT88=0,0,(AU88-AT88)/AT88*100)</f>
        <v>0</v>
      </c>
      <c r="BF88" s="926">
        <f>IF(AU88=0,0,(AV88-AU88)/AU88*100)</f>
        <v>0</v>
      </c>
      <c r="BG88" s="926">
        <f>IF(AV88=0,0,(AW88-AV88)/AV88*100)</f>
        <v>0</v>
      </c>
      <c r="BH88" s="926">
        <f>IF(AW88=0,0,(AX88-AW88)/AW88*100)</f>
        <v>0</v>
      </c>
      <c r="BI88" s="926">
        <f>IF(AX88=0,0,(AY88-AX88)/AX88*100)</f>
        <v>0</v>
      </c>
      <c r="BJ88" s="926">
        <f>IF(AY88=0,0,(AZ88-AY88)/AY88*100)</f>
        <v>0</v>
      </c>
      <c r="BK88" s="926">
        <f>IF(AZ88=0,0,(BA88-AZ88)/AZ88*100)</f>
        <v>0</v>
      </c>
      <c r="BL88" s="926">
        <f>IF(BA88=0,0,(BB88-BA88)/BA88*100)</f>
        <v>0</v>
      </c>
      <c r="BM88" s="926">
        <f>IF(BB88=0,0,(BC88-BB88)/BB88*100)</f>
        <v>0</v>
      </c>
      <c r="BN88" s="1283"/>
      <c r="BO88" s="1281" t="str">
        <f>IF(_xlfn.IFERROR(INDEX(Покупка!$K$26:$L$117,MATCH($F88&amp;"4komm",Покупка!$K$26:$K$117,0),2),"")=0,"",_xlfn.IFERROR(INDEX(Покупка!$K$26:$L$117,MATCH($F87&amp;"3komm",Покупка!$K$26:$K$117,0),2),""))</f>
        <v/>
      </c>
      <c r="BP88" s="1283"/>
      <c r="BQ88" s="960"/>
      <c r="BR88" s="960"/>
      <c r="BS88" s="1048" t="s">
        <v>1614</v>
      </c>
      <c r="BT88" s="1048"/>
      <c r="BU88" s="1048"/>
      <c r="BV88" s="962"/>
      <c r="BW88" s="962"/>
    </row>
    <row customHeight="1" ht="14.625" hidden="1">
      <c r="A89" s="960"/>
      <c r="B89" s="62"/>
      <c r="C89" s="73"/>
      <c r="D89" s="73"/>
      <c r="E89" s="600">
        <v>15</v>
      </c>
      <c r="F89" s="50" cm="1" t="str">
        <f t="array" ref="F89:F89">OFFSET(E89,-1,1)</f>
        <v>0</v>
      </c>
      <c r="G89" s="73" t="s">
        <v>1022</v>
      </c>
      <c r="H89" s="73"/>
      <c r="I89" s="73" t="s">
        <v>1923</v>
      </c>
      <c r="J89" s="73"/>
      <c r="K89" s="73" t="s">
        <v>1923</v>
      </c>
      <c r="L89" s="963" t="s">
        <v>1418</v>
      </c>
      <c r="M89" s="73"/>
      <c r="N89" s="73"/>
      <c r="O89" s="73"/>
      <c r="P89" s="73"/>
      <c r="Q89" s="73"/>
      <c r="R89" s="73"/>
      <c r="S89" s="73"/>
      <c r="T89" s="439" cm="1" t="str">
        <f t="array" ref="T89:T89">T88</f>
        <v>false</v>
      </c>
      <c r="U89" s="73"/>
      <c r="V89" s="73"/>
      <c r="W89" s="960"/>
      <c r="X89" s="1482"/>
      <c r="Y89" s="960"/>
      <c r="Z89" s="1465"/>
      <c r="AA89" s="960"/>
      <c r="AB89" s="266" t="s">
        <v>1924</v>
      </c>
      <c r="AC89" s="746" t="s">
        <v>1925</v>
      </c>
      <c r="AD89" s="267" t="s">
        <v>784</v>
      </c>
      <c r="AE89" s="226">
        <f>_xlfn.SUMIFS(Покупка!AE$25:AE$117,Покупка!$F$25:$F$117,$F89,Покупка!$AC$25:$AC$117,$G89)</f>
        <v>0</v>
      </c>
      <c r="AF89" s="226">
        <f>_xlfn.SUMIFS(Покупка!AF$25:AF$117,Покупка!$F$25:$F$117,$F89,Покупка!$AC$25:$AC$117,$G89)</f>
        <v>0</v>
      </c>
      <c r="AG89" s="226">
        <f>_xlfn.SUMIFS(Покупка!AG$25:AG$117,Покупка!$F$25:$F$117,$F89,Покупка!$AC$25:$AC$117,$G89)</f>
        <v>0</v>
      </c>
      <c r="AH89" s="926">
        <f>AG89-AF89</f>
        <v>0</v>
      </c>
      <c r="AI89" s="926">
        <f>_xlfn.SUMIFS(Покупка!AH$25:AH$117,Покупка!$F$25:$F$117,$F89,Покупка!$AC$25:$AC$117,$G89)</f>
        <v>0</v>
      </c>
      <c r="AJ89" s="926">
        <f>_xlfn.SUMIFS(Покупка!AI$25:AI$117,Покупка!$F$25:$F$117,$F89,Покупка!$AC$25:$AC$117,$G89)</f>
        <v>0</v>
      </c>
      <c r="AK89" s="926">
        <f>_xlfn.SUMIFS(Покупка!AJ$25:AJ$117,Покупка!$F$25:$F$117,$F89,Покупка!$AC$25:$AC$117,$G89)</f>
        <v>0</v>
      </c>
      <c r="AL89" s="926">
        <f>_xlfn.SUMIFS(Покупка!AK$25:AK$117,Покупка!$F$25:$F$117,$F89,Покупка!$AC$25:$AC$117,$G89)</f>
        <v>0</v>
      </c>
      <c r="AM89" s="926">
        <f>_xlfn.SUMIFS(Покупка!AL$25:AL$117,Покупка!$F$25:$F$117,$F89,Покупка!$AC$25:$AC$117,$G89)</f>
        <v>0</v>
      </c>
      <c r="AN89" s="926">
        <f>_xlfn.SUMIFS(Покупка!AM$25:AM$117,Покупка!$F$25:$F$117,$F89,Покупка!$AC$25:$AC$117,$G89)</f>
        <v>0</v>
      </c>
      <c r="AO89" s="926">
        <f>_xlfn.SUMIFS(Покупка!AN$25:AN$117,Покупка!$F$25:$F$117,$F89,Покупка!$AC$25:$AC$117,$G89)</f>
        <v>0</v>
      </c>
      <c r="AP89" s="926">
        <f>_xlfn.SUMIFS(Покупка!AO$25:AO$117,Покупка!$F$25:$F$117,$F89,Покупка!$AC$25:$AC$117,$G89)</f>
        <v>0</v>
      </c>
      <c r="AQ89" s="926">
        <f>_xlfn.SUMIFS(Покупка!AP$25:AP$117,Покупка!$F$25:$F$117,$F89,Покупка!$AC$25:$AC$117,$G89)</f>
        <v>0</v>
      </c>
      <c r="AR89" s="926">
        <f>_xlfn.SUMIFS(Покупка!AQ$25:AQ$117,Покупка!$F$25:$F$117,$F89,Покупка!$AC$25:$AC$117,$G89)</f>
        <v>0</v>
      </c>
      <c r="AS89" s="926">
        <f>_xlfn.SUMIFS(Покупка!AR$25:AR$117,Покупка!$F$25:$F$117,$F89,Покупка!$AC$25:$AC$117,$G89)</f>
        <v>0</v>
      </c>
      <c r="AT89" s="926">
        <f>_xlfn.SUMIFS(Покупка!AS$25:AS$117,Покупка!$F$25:$F$117,$F89,Покупка!$AC$25:$AC$117,$G89)</f>
        <v>0</v>
      </c>
      <c r="AU89" s="926">
        <f>_xlfn.SUMIFS(Покупка!AT$25:AT$117,Покупка!$F$25:$F$117,$F89,Покупка!$AC$25:$AC$117,$G89)</f>
        <v>0</v>
      </c>
      <c r="AV89" s="926">
        <f>_xlfn.SUMIFS(Покупка!AU$25:AU$117,Покупка!$F$25:$F$117,$F89,Покупка!$AC$25:$AC$117,$G89)</f>
        <v>0</v>
      </c>
      <c r="AW89" s="926">
        <f>_xlfn.SUMIFS(Покупка!AV$25:AV$117,Покупка!$F$25:$F$117,$F89,Покупка!$AC$25:$AC$117,$G89)</f>
        <v>0</v>
      </c>
      <c r="AX89" s="926">
        <f>_xlfn.SUMIFS(Покупка!AW$25:AW$117,Покупка!$F$25:$F$117,$F89,Покупка!$AC$25:$AC$117,$G89)</f>
        <v>0</v>
      </c>
      <c r="AY89" s="926">
        <f>_xlfn.SUMIFS(Покупка!AX$25:AX$117,Покупка!$F$25:$F$117,$F89,Покупка!$AC$25:$AC$117,$G89)</f>
        <v>0</v>
      </c>
      <c r="AZ89" s="926">
        <f>_xlfn.SUMIFS(Покупка!AY$25:AY$117,Покупка!$F$25:$F$117,$F89,Покупка!$AC$25:$AC$117,$G89)</f>
        <v>0</v>
      </c>
      <c r="BA89" s="926">
        <f>_xlfn.SUMIFS(Покупка!AZ$25:AZ$117,Покупка!$F$25:$F$117,$F89,Покупка!$AC$25:$AC$117,$G89)</f>
        <v>0</v>
      </c>
      <c r="BB89" s="926">
        <f>_xlfn.SUMIFS(Покупка!BA$25:BA$117,Покупка!$F$25:$F$117,$F89,Покупка!$AC$25:$AC$117,$G89)</f>
        <v>0</v>
      </c>
      <c r="BC89" s="926">
        <f>_xlfn.SUMIFS(Покупка!BB$25:BB$117,Покупка!$F$25:$F$117,$F89,Покупка!$AC$25:$AC$117,$G89)</f>
        <v>0</v>
      </c>
      <c r="BD89" s="926">
        <f>IF(AI89=0,0,(AT89-AI89)/AI89*100)</f>
        <v>0</v>
      </c>
      <c r="BE89" s="926">
        <f>IF(AT89=0,0,(AU89-AT89)/AT89*100)</f>
        <v>0</v>
      </c>
      <c r="BF89" s="926">
        <f>IF(AU89=0,0,(AV89-AU89)/AU89*100)</f>
        <v>0</v>
      </c>
      <c r="BG89" s="926">
        <f>IF(AV89=0,0,(AW89-AV89)/AV89*100)</f>
        <v>0</v>
      </c>
      <c r="BH89" s="926">
        <f>IF(AW89=0,0,(AX89-AW89)/AW89*100)</f>
        <v>0</v>
      </c>
      <c r="BI89" s="926">
        <f>IF(AX89=0,0,(AY89-AX89)/AX89*100)</f>
        <v>0</v>
      </c>
      <c r="BJ89" s="926">
        <f>IF(AY89=0,0,(AZ89-AY89)/AY89*100)</f>
        <v>0</v>
      </c>
      <c r="BK89" s="926">
        <f>IF(AZ89=0,0,(BA89-AZ89)/AZ89*100)</f>
        <v>0</v>
      </c>
      <c r="BL89" s="926">
        <f>IF(BA89=0,0,(BB89-BA89)/BA89*100)</f>
        <v>0</v>
      </c>
      <c r="BM89" s="926">
        <f>IF(BB89=0,0,(BC89-BB89)/BB89*100)</f>
        <v>0</v>
      </c>
      <c r="BN89" s="1283"/>
      <c r="BO89" s="1281" t="str">
        <f>IF(_xlfn.IFERROR(INDEX(Покупка!$K$26:$L$117,MATCH($F89&amp;"5komm",Покупка!$K$26:$K$117,0),2),"")=0,"",_xlfn.IFERROR(INDEX(Покупка!$K$26:$L$117,MATCH($F89&amp;"5komm",Покупка!$K$26:$K$117,0),2),""))</f>
        <v/>
      </c>
      <c r="BP89" s="1283"/>
      <c r="BQ89" s="960"/>
      <c r="BR89" s="960"/>
      <c r="BS89" s="1048" t="s">
        <v>1617</v>
      </c>
      <c r="BT89" s="1048"/>
      <c r="BU89" s="1048"/>
      <c r="BV89" s="962"/>
      <c r="BW89" s="962"/>
    </row>
    <row s="1260" customFormat="1" customHeight="1" ht="14.625" hidden="1">
      <c r="A90" s="1260"/>
      <c r="B90" s="62"/>
      <c r="C90" s="73"/>
      <c r="D90" s="73"/>
      <c r="E90" s="600">
        <v>15</v>
      </c>
      <c r="F90" s="50" cm="1" t="str">
        <f t="array" ref="F90:F90">OFFSET(E90,-1,1)</f>
        <v>0</v>
      </c>
      <c r="G90" s="73" t="s">
        <v>1034</v>
      </c>
      <c r="H90" s="73"/>
      <c r="I90" s="73"/>
      <c r="J90" s="73"/>
      <c r="K90" s="73"/>
      <c r="L90" s="963" t="s">
        <v>1385</v>
      </c>
      <c r="M90" s="73"/>
      <c r="N90" s="73"/>
      <c r="O90" s="73"/>
      <c r="P90" s="73"/>
      <c r="Q90" s="73"/>
      <c r="R90" s="73"/>
      <c r="S90" s="73"/>
      <c r="T90" s="439" cm="1" t="str">
        <f t="array" ref="T90:T90">T89</f>
        <v>false</v>
      </c>
      <c r="U90" s="73"/>
      <c r="V90" s="73"/>
      <c r="W90" s="1260"/>
      <c r="X90" s="1482"/>
      <c r="Y90" s="1260"/>
      <c r="Z90" s="1465"/>
      <c r="AA90" s="1260"/>
      <c r="AB90" s="266" t="s">
        <v>1926</v>
      </c>
      <c r="AC90" s="746" t="s">
        <v>1927</v>
      </c>
      <c r="AD90" s="267" t="s">
        <v>784</v>
      </c>
      <c r="AE90" s="226">
        <f>_xlfn.SUMIFS(Покупка!AE$25:AE$117,Покупка!$F$25:$F$117,$F90,Покупка!$AC$25:$AC$117,$G90)</f>
        <v>0</v>
      </c>
      <c r="AF90" s="226">
        <f>_xlfn.SUMIFS(Покупка!AF$25:AF$117,Покупка!$F$25:$F$117,$F90,Покупка!$AC$25:$AC$117,$G90)</f>
        <v>0</v>
      </c>
      <c r="AG90" s="226">
        <f>_xlfn.SUMIFS(Покупка!AG$25:AG$117,Покупка!$F$25:$F$117,$F90,Покупка!$AC$25:$AC$117,$G90)</f>
        <v>0</v>
      </c>
      <c r="AH90" s="926">
        <f>AG90-AF90</f>
        <v>0</v>
      </c>
      <c r="AI90" s="926">
        <f>_xlfn.SUMIFS(Покупка!AH$25:AH$117,Покупка!$F$25:$F$117,$F90,Покупка!$AC$25:$AC$117,$G90)</f>
        <v>0</v>
      </c>
      <c r="AJ90" s="1101">
        <f>_xlfn.SUMIFS(Покупка!AI$25:AI$117,Покупка!$F$25:$F$117,$F90,Покупка!$AC$25:$AC$117,$G90)</f>
        <v>0</v>
      </c>
      <c r="AK90" s="1101">
        <f>_xlfn.SUMIFS(Покупка!AJ$25:AJ$117,Покупка!$F$25:$F$117,$F90,Покупка!$AC$25:$AC$117,$G90)</f>
        <v>0</v>
      </c>
      <c r="AL90" s="1101">
        <f>_xlfn.SUMIFS(Покупка!AK$25:AK$117,Покупка!$F$25:$F$117,$F90,Покупка!$AC$25:$AC$117,$G90)</f>
        <v>0</v>
      </c>
      <c r="AM90" s="1101">
        <f>_xlfn.SUMIFS(Покупка!AL$25:AL$117,Покупка!$F$25:$F$117,$F90,Покупка!$AC$25:$AC$117,$G90)</f>
        <v>0</v>
      </c>
      <c r="AN90" s="1101">
        <f>_xlfn.SUMIFS(Покупка!AM$25:AM$117,Покупка!$F$25:$F$117,$F90,Покупка!$AC$25:$AC$117,$G90)</f>
        <v>0</v>
      </c>
      <c r="AO90" s="1101">
        <f>_xlfn.SUMIFS(Покупка!AN$25:AN$117,Покупка!$F$25:$F$117,$F90,Покупка!$AC$25:$AC$117,$G90)</f>
        <v>0</v>
      </c>
      <c r="AP90" s="1101">
        <f>_xlfn.SUMIFS(Покупка!AO$25:AO$117,Покупка!$F$25:$F$117,$F90,Покупка!$AC$25:$AC$117,$G90)</f>
        <v>0</v>
      </c>
      <c r="AQ90" s="1101">
        <f>_xlfn.SUMIFS(Покупка!AP$25:AP$117,Покупка!$F$25:$F$117,$F90,Покупка!$AC$25:$AC$117,$G90)</f>
        <v>0</v>
      </c>
      <c r="AR90" s="1101">
        <f>_xlfn.SUMIFS(Покупка!AQ$25:AQ$117,Покупка!$F$25:$F$117,$F90,Покупка!$AC$25:$AC$117,$G90)</f>
        <v>0</v>
      </c>
      <c r="AS90" s="1101">
        <f>_xlfn.SUMIFS(Покупка!AR$25:AR$117,Покупка!$F$25:$F$117,$F90,Покупка!$AC$25:$AC$117,$G90)</f>
        <v>0</v>
      </c>
      <c r="AT90" s="1101">
        <f>_xlfn.SUMIFS(Покупка!AS$25:AS$117,Покупка!$F$25:$F$117,$F90,Покупка!$AC$25:$AC$117,$G90)</f>
        <v>0</v>
      </c>
      <c r="AU90" s="1101">
        <f>_xlfn.SUMIFS(Покупка!AT$25:AT$117,Покупка!$F$25:$F$117,$F90,Покупка!$AC$25:$AC$117,$G90)</f>
        <v>0</v>
      </c>
      <c r="AV90" s="1101">
        <f>_xlfn.SUMIFS(Покупка!AU$25:AU$117,Покупка!$F$25:$F$117,$F90,Покупка!$AC$25:$AC$117,$G90)</f>
        <v>0</v>
      </c>
      <c r="AW90" s="1101">
        <f>_xlfn.SUMIFS(Покупка!AV$25:AV$117,Покупка!$F$25:$F$117,$F90,Покупка!$AC$25:$AC$117,$G90)</f>
        <v>0</v>
      </c>
      <c r="AX90" s="1101">
        <f>_xlfn.SUMIFS(Покупка!AW$25:AW$117,Покупка!$F$25:$F$117,$F90,Покупка!$AC$25:$AC$117,$G90)</f>
        <v>0</v>
      </c>
      <c r="AY90" s="1101">
        <f>_xlfn.SUMIFS(Покупка!AX$25:AX$117,Покупка!$F$25:$F$117,$F90,Покупка!$AC$25:$AC$117,$G90)</f>
        <v>0</v>
      </c>
      <c r="AZ90" s="1101">
        <f>_xlfn.SUMIFS(Покупка!AY$25:AY$117,Покупка!$F$25:$F$117,$F90,Покупка!$AC$25:$AC$117,$G90)</f>
        <v>0</v>
      </c>
      <c r="BA90" s="1101">
        <f>_xlfn.SUMIFS(Покупка!AZ$25:AZ$117,Покупка!$F$25:$F$117,$F90,Покупка!$AC$25:$AC$117,$G90)</f>
        <v>0</v>
      </c>
      <c r="BB90" s="1101">
        <f>_xlfn.SUMIFS(Покупка!BA$25:BA$117,Покупка!$F$25:$F$117,$F90,Покупка!$AC$25:$AC$117,$G90)</f>
        <v>0</v>
      </c>
      <c r="BC90" s="1101">
        <f>_xlfn.SUMIFS(Покупка!BB$25:BB$117,Покупка!$F$25:$F$117,$F90,Покупка!$AC$25:$AC$117,$G90)</f>
        <v>0</v>
      </c>
      <c r="BD90" s="926">
        <f>IF(AI90=0,0,(AT90-AI90)/AI90*100)</f>
        <v>0</v>
      </c>
      <c r="BE90" s="926">
        <f>IF(AT90=0,0,(AU90-AT90)/AT90*100)</f>
        <v>0</v>
      </c>
      <c r="BF90" s="926">
        <f>IF(AU90=0,0,(AV90-AU90)/AU90*100)</f>
        <v>0</v>
      </c>
      <c r="BG90" s="926">
        <f>IF(AV90=0,0,(AW90-AV90)/AV90*100)</f>
        <v>0</v>
      </c>
      <c r="BH90" s="926">
        <f>IF(AW90=0,0,(AX90-AW90)/AW90*100)</f>
        <v>0</v>
      </c>
      <c r="BI90" s="926">
        <f>IF(AX90=0,0,(AY90-AX90)/AX90*100)</f>
        <v>0</v>
      </c>
      <c r="BJ90" s="926">
        <f>IF(AY90=0,0,(AZ90-AY90)/AY90*100)</f>
        <v>0</v>
      </c>
      <c r="BK90" s="926">
        <f>IF(AZ90=0,0,(BA90-AZ90)/AZ90*100)</f>
        <v>0</v>
      </c>
      <c r="BL90" s="926">
        <f>IF(BA90=0,0,(BB90-BA90)/BA90*100)</f>
        <v>0</v>
      </c>
      <c r="BM90" s="926">
        <f>IF(BB90=0,0,(BC90-BB90)/BB90*100)</f>
        <v>0</v>
      </c>
      <c r="BN90" s="1283"/>
      <c r="BO90" s="1281" t="str">
        <f>IF(_xlfn.IFERROR(INDEX(Покупка!$K$26:$L$117,MATCH($F90&amp;"9komm",Покупка!$K$26:$K$117,0),2),"")=0,"",_xlfn.IFERROR(INDEX(Покупка!$K$26:$L$117,MATCH($F90&amp;"9komm",Покупка!$K$26:$K$117,0),2),""))</f>
        <v/>
      </c>
      <c r="BP90" s="1283"/>
      <c r="BQ90" s="1260"/>
      <c r="BR90" s="1260"/>
      <c r="BS90" s="1048" t="s">
        <v>1035</v>
      </c>
      <c r="BT90" s="1048"/>
      <c r="BU90" s="1048"/>
      <c r="BV90" s="683"/>
      <c r="BW90" s="683"/>
    </row>
    <row customHeight="1" ht="14.625" hidden="1">
      <c r="A91" s="960"/>
      <c r="B91" s="62"/>
      <c r="C91" s="73"/>
      <c r="D91" s="73"/>
      <c r="E91" s="600">
        <v>15</v>
      </c>
      <c r="F91" s="50" cm="1" t="str">
        <f t="array" ref="F91:F91">OFFSET(E91,-1,1)</f>
        <v>0</v>
      </c>
      <c r="G91" s="73"/>
      <c r="H91" s="73"/>
      <c r="I91" s="73" t="s">
        <v>462</v>
      </c>
      <c r="J91" s="73"/>
      <c r="K91" s="73" t="s">
        <v>462</v>
      </c>
      <c r="L91" s="963"/>
      <c r="M91" s="73"/>
      <c r="N91" s="73"/>
      <c r="O91" s="73"/>
      <c r="P91" s="73"/>
      <c r="Q91" s="73"/>
      <c r="R91" s="73"/>
      <c r="S91" s="73"/>
      <c r="T91" s="439" cm="1" t="str">
        <f t="array" ref="T91:T91">T90</f>
        <v>false</v>
      </c>
      <c r="U91" s="73"/>
      <c r="V91" s="73"/>
      <c r="W91" s="960"/>
      <c r="X91" s="1482"/>
      <c r="Y91" s="960"/>
      <c r="Z91" s="1465"/>
      <c r="AA91" s="960"/>
      <c r="AB91" s="266" t="s">
        <v>519</v>
      </c>
      <c r="AC91" s="743" t="s">
        <v>1928</v>
      </c>
      <c r="AD91" s="760" t="s">
        <v>784</v>
      </c>
      <c r="AE91" s="226">
        <f>_xlfn.SUMIFS('Сырье и материалы'!AE$25:AE$39,'Сырье и материалы'!$F$25:$F$39,$F91,'Сырье и материалы'!$AC$25:$AC$39,"Всего по тарифу")</f>
        <v>0</v>
      </c>
      <c r="AF91" s="226">
        <f>_xlfn.SUMIFS('Сырье и материалы'!AF$25:AF$39,'Сырье и материалы'!$F$25:$F$39,$F91,'Сырье и материалы'!$AC$25:$AC$39,"Всего по тарифу")</f>
        <v>0</v>
      </c>
      <c r="AG91" s="226">
        <f>_xlfn.SUMIFS('Сырье и материалы'!AG$25:AG$39,'Сырье и материалы'!$F$25:$F$39,$F91,'Сырье и материалы'!$AC$25:$AC$39,"Всего по тарифу")</f>
        <v>0</v>
      </c>
      <c r="AH91" s="926">
        <f>AG91-AF91</f>
        <v>0</v>
      </c>
      <c r="AI91" s="926">
        <f>_xlfn.SUMIFS('Сырье и материалы'!AH$25:AH$39,'Сырье и материалы'!$F$25:$F$39,$F91,'Сырье и материалы'!$AC$25:$AC$39,"Всего по тарифу")</f>
        <v>0</v>
      </c>
      <c r="AJ91" s="926">
        <f>_xlfn.SUMIFS('Сырье и материалы'!AI$25:AI$39,'Сырье и материалы'!$F$25:$F$39,$F91,'Сырье и материалы'!$AC$25:$AC$39,"Всего по тарифу")</f>
        <v>0</v>
      </c>
      <c r="AK91" s="926">
        <f>_xlfn.SUMIFS('Сырье и материалы'!AJ$25:AJ$39,'Сырье и материалы'!$F$25:$F$39,$F91,'Сырье и материалы'!$AC$25:$AC$39,"Всего по тарифу")</f>
        <v>0</v>
      </c>
      <c r="AL91" s="926">
        <f>_xlfn.SUMIFS('Сырье и материалы'!AK$25:AK$39,'Сырье и материалы'!$F$25:$F$39,$F91,'Сырье и материалы'!$AC$25:$AC$39,"Всего по тарифу")</f>
        <v>0</v>
      </c>
      <c r="AM91" s="926">
        <f>_xlfn.SUMIFS('Сырье и материалы'!AL$25:AL$39,'Сырье и материалы'!$F$25:$F$39,$F91,'Сырье и материалы'!$AC$25:$AC$39,"Всего по тарифу")</f>
        <v>0</v>
      </c>
      <c r="AN91" s="926">
        <f>_xlfn.SUMIFS('Сырье и материалы'!AM$25:AM$39,'Сырье и материалы'!$F$25:$F$39,$F91,'Сырье и материалы'!$AC$25:$AC$39,"Всего по тарифу")</f>
        <v>0</v>
      </c>
      <c r="AO91" s="926">
        <f>_xlfn.SUMIFS('Сырье и материалы'!AN$25:AN$39,'Сырье и материалы'!$F$25:$F$39,$F91,'Сырье и материалы'!$AC$25:$AC$39,"Всего по тарифу")</f>
        <v>0</v>
      </c>
      <c r="AP91" s="926">
        <f>_xlfn.SUMIFS('Сырье и материалы'!AO$25:AO$39,'Сырье и материалы'!$F$25:$F$39,$F91,'Сырье и материалы'!$AC$25:$AC$39,"Всего по тарифу")</f>
        <v>0</v>
      </c>
      <c r="AQ91" s="926">
        <f>_xlfn.SUMIFS('Сырье и материалы'!AP$25:AP$39,'Сырье и материалы'!$F$25:$F$39,$F91,'Сырье и материалы'!$AC$25:$AC$39,"Всего по тарифу")</f>
        <v>0</v>
      </c>
      <c r="AR91" s="926">
        <f>_xlfn.SUMIFS('Сырье и материалы'!AQ$25:AQ$39,'Сырье и материалы'!$F$25:$F$39,$F91,'Сырье и материалы'!$AC$25:$AC$39,"Всего по тарифу")</f>
        <v>0</v>
      </c>
      <c r="AS91" s="926">
        <f>_xlfn.SUMIFS('Сырье и материалы'!AR$25:AR$39,'Сырье и материалы'!$F$25:$F$39,$F91,'Сырье и материалы'!$AC$25:$AC$39,"Всего по тарифу")</f>
        <v>0</v>
      </c>
      <c r="AT91" s="926">
        <f>_xlfn.SUMIFS('Сырье и материалы'!AS$25:AS$39,'Сырье и материалы'!$F$25:$F$39,$F91,'Сырье и материалы'!$AC$25:$AC$39,"Всего по тарифу")</f>
        <v>0</v>
      </c>
      <c r="AU91" s="926">
        <f>_xlfn.SUMIFS('Сырье и материалы'!AT$25:AT$39,'Сырье и материалы'!$F$25:$F$39,$F91,'Сырье и материалы'!$AC$25:$AC$39,"Всего по тарифу")</f>
        <v>0</v>
      </c>
      <c r="AV91" s="926">
        <f>_xlfn.SUMIFS('Сырье и материалы'!AU$25:AU$39,'Сырье и материалы'!$F$25:$F$39,$F91,'Сырье и материалы'!$AC$25:$AC$39,"Всего по тарифу")</f>
        <v>0</v>
      </c>
      <c r="AW91" s="926">
        <f>_xlfn.SUMIFS('Сырье и материалы'!AV$25:AV$39,'Сырье и материалы'!$F$25:$F$39,$F91,'Сырье и материалы'!$AC$25:$AC$39,"Всего по тарифу")</f>
        <v>0</v>
      </c>
      <c r="AX91" s="926">
        <f>_xlfn.SUMIFS('Сырье и материалы'!AW$25:AW$39,'Сырье и материалы'!$F$25:$F$39,$F91,'Сырье и материалы'!$AC$25:$AC$39,"Всего по тарифу")</f>
        <v>0</v>
      </c>
      <c r="AY91" s="926">
        <f>_xlfn.SUMIFS('Сырье и материалы'!AX$25:AX$39,'Сырье и материалы'!$F$25:$F$39,$F91,'Сырье и материалы'!$AC$25:$AC$39,"Всего по тарифу")</f>
        <v>0</v>
      </c>
      <c r="AZ91" s="926">
        <f>_xlfn.SUMIFS('Сырье и материалы'!AY$25:AY$39,'Сырье и материалы'!$F$25:$F$39,$F91,'Сырье и материалы'!$AC$25:$AC$39,"Всего по тарифу")</f>
        <v>0</v>
      </c>
      <c r="BA91" s="926">
        <f>_xlfn.SUMIFS('Сырье и материалы'!AZ$25:AZ$39,'Сырье и материалы'!$F$25:$F$39,$F91,'Сырье и материалы'!$AC$25:$AC$39,"Всего по тарифу")</f>
        <v>0</v>
      </c>
      <c r="BB91" s="926">
        <f>_xlfn.SUMIFS('Сырье и материалы'!BA$25:BA$39,'Сырье и материалы'!$F$25:$F$39,$F91,'Сырье и материалы'!$AC$25:$AC$39,"Всего по тарифу")</f>
        <v>0</v>
      </c>
      <c r="BC91" s="926">
        <f>_xlfn.SUMIFS('Сырье и материалы'!BB$25:BB$39,'Сырье и материалы'!$F$25:$F$39,$F91,'Сырье и материалы'!$AC$25:$AC$39,"Всего по тарифу")</f>
        <v>0</v>
      </c>
      <c r="BD91" s="926">
        <f>IF(AI91=0,0,(AT91-AI91)/AI91*100)</f>
        <v>0</v>
      </c>
      <c r="BE91" s="926">
        <f>IF(AT91=0,0,(AU91-AT91)/AT91*100)</f>
        <v>0</v>
      </c>
      <c r="BF91" s="926">
        <f>IF(AU91=0,0,(AV91-AU91)/AU91*100)</f>
        <v>0</v>
      </c>
      <c r="BG91" s="926">
        <f>IF(AV91=0,0,(AW91-AV91)/AV91*100)</f>
        <v>0</v>
      </c>
      <c r="BH91" s="926">
        <f>IF(AW91=0,0,(AX91-AW91)/AW91*100)</f>
        <v>0</v>
      </c>
      <c r="BI91" s="926">
        <f>IF(AX91=0,0,(AY91-AX91)/AX91*100)</f>
        <v>0</v>
      </c>
      <c r="BJ91" s="926">
        <f>IF(AY91=0,0,(AZ91-AY91)/AY91*100)</f>
        <v>0</v>
      </c>
      <c r="BK91" s="926">
        <f>IF(AZ91=0,0,(BA91-AZ91)/AZ91*100)</f>
        <v>0</v>
      </c>
      <c r="BL91" s="926">
        <f>IF(BA91=0,0,(BB91-BA91)/BA91*100)</f>
        <v>0</v>
      </c>
      <c r="BM91" s="926">
        <f>IF(BB91=0,0,(BC91-BB91)/BB91*100)</f>
        <v>0</v>
      </c>
      <c r="BN91" s="1283"/>
      <c r="BO91" s="1281" t="str">
        <f>IF(_xlfn.IFERROR(INDEX('Сырье и материалы'!$K$26:$L$39,MATCH($F91&amp;"komm",'Сырье и материалы'!$K$26:$K$39,0),2),"")=0,"",_xlfn.IFERROR(INDEX('Сырье и материалы'!$K$26:$L$39,MATCH($F91&amp;"komm",'Сырье и материалы'!$K$26:$K$39,0),2),""))</f>
        <v/>
      </c>
      <c r="BP91" s="1283"/>
      <c r="BQ91" s="960"/>
      <c r="BR91" s="960"/>
      <c r="BS91" s="1048" t="s">
        <v>1590</v>
      </c>
      <c r="BT91" s="1048"/>
      <c r="BU91" s="1048"/>
      <c r="BV91" s="962"/>
      <c r="BW91" s="962"/>
    </row>
    <row s="680" customFormat="1" customHeight="1" ht="20.475" hidden="1">
      <c r="A92" s="680"/>
      <c r="B92" s="77"/>
      <c r="C92" s="75"/>
      <c r="D92" s="75"/>
      <c r="E92" s="807">
        <v>21</v>
      </c>
      <c r="F92" s="50" cm="1" t="str">
        <f t="array" ref="F92:F92">OFFSET(E92,-1,1)</f>
        <v>0</v>
      </c>
      <c r="G92" s="75"/>
      <c r="H92" s="73"/>
      <c r="I92" s="73" t="s">
        <v>865</v>
      </c>
      <c r="J92" s="75"/>
      <c r="K92" s="73" t="s">
        <v>865</v>
      </c>
      <c r="L92" s="968" t="s">
        <v>495</v>
      </c>
      <c r="M92" s="75"/>
      <c r="N92" s="75"/>
      <c r="O92" s="75"/>
      <c r="P92" s="75"/>
      <c r="Q92" s="75"/>
      <c r="R92" s="75"/>
      <c r="S92" s="75"/>
      <c r="T92" s="439" cm="1" t="str">
        <f t="array" ref="T92:T92">T91</f>
        <v>false</v>
      </c>
      <c r="U92" s="75"/>
      <c r="V92" s="75"/>
      <c r="W92" s="680"/>
      <c r="X92" s="1482"/>
      <c r="Y92" s="680"/>
      <c r="Z92" s="1465"/>
      <c r="AA92" s="680"/>
      <c r="AB92" s="185" t="s">
        <v>523</v>
      </c>
      <c r="AC92" s="328" t="s">
        <v>1929</v>
      </c>
      <c r="AD92" s="178" t="s">
        <v>784</v>
      </c>
      <c r="AE92" s="759">
        <f>SUM(AE93:AE102)</f>
        <v>0</v>
      </c>
      <c r="AF92" s="759">
        <f>SUM(AF93:AF102)</f>
        <v>0</v>
      </c>
      <c r="AG92" s="759">
        <f>SUM(AG93:AG102)</f>
        <v>0</v>
      </c>
      <c r="AH92" s="742">
        <f>AG92-AF92</f>
        <v>0</v>
      </c>
      <c r="AI92" s="742">
        <f>SUM(AI93:AI102)</f>
        <v>0</v>
      </c>
      <c r="AJ92" s="751">
        <f>SUM(AJ93:AJ102)</f>
        <v>0</v>
      </c>
      <c r="AK92" s="742">
        <f>SUM(AK93:AK102)</f>
        <v>0</v>
      </c>
      <c r="AL92" s="742">
        <f>SUM(AL93:AL102)</f>
        <v>0</v>
      </c>
      <c r="AM92" s="742">
        <f>SUM(AM93:AM102)</f>
        <v>0</v>
      </c>
      <c r="AN92" s="742">
        <f>SUM(AN93:AN102)</f>
        <v>0</v>
      </c>
      <c r="AO92" s="742">
        <f>SUM(AO93:AO102)</f>
        <v>0</v>
      </c>
      <c r="AP92" s="742">
        <f>SUM(AP93:AP102)</f>
        <v>0</v>
      </c>
      <c r="AQ92" s="742">
        <f>SUM(AQ93:AQ102)</f>
        <v>0</v>
      </c>
      <c r="AR92" s="742">
        <f>SUM(AR93:AR102)</f>
        <v>0</v>
      </c>
      <c r="AS92" s="742">
        <f>SUM(AS93:AS102)</f>
        <v>0</v>
      </c>
      <c r="AT92" s="751">
        <f>SUM(AT93:AT102)</f>
        <v>0</v>
      </c>
      <c r="AU92" s="742">
        <f>SUM(AU93:AU102)</f>
        <v>0</v>
      </c>
      <c r="AV92" s="742">
        <f>SUM(AV93:AV102)</f>
        <v>0</v>
      </c>
      <c r="AW92" s="742">
        <f>SUM(AW93:AW102)</f>
        <v>0</v>
      </c>
      <c r="AX92" s="742">
        <f>SUM(AX93:AX102)</f>
        <v>0</v>
      </c>
      <c r="AY92" s="742">
        <f>SUM(AY93:AY102)</f>
        <v>0</v>
      </c>
      <c r="AZ92" s="742">
        <f>SUM(AZ93:AZ102)</f>
        <v>0</v>
      </c>
      <c r="BA92" s="742">
        <f>SUM(BA93:BA102)</f>
        <v>0</v>
      </c>
      <c r="BB92" s="742">
        <f>SUM(BB93:BB102)</f>
        <v>0</v>
      </c>
      <c r="BC92" s="742">
        <f>SUM(BC93:BC102)</f>
        <v>0</v>
      </c>
      <c r="BD92" s="742">
        <f>IF(AI92=0,0,(AT92-AI92)/AI92*100)</f>
        <v>0</v>
      </c>
      <c r="BE92" s="742">
        <f>IF(AT92=0,0,(AU92-AT92)/AT92*100)</f>
        <v>0</v>
      </c>
      <c r="BF92" s="742">
        <f>IF(AU92=0,0,(AV92-AU92)/AU92*100)</f>
        <v>0</v>
      </c>
      <c r="BG92" s="742">
        <f>IF(AV92=0,0,(AW92-AV92)/AV92*100)</f>
        <v>0</v>
      </c>
      <c r="BH92" s="742">
        <f>IF(AW92=0,0,(AX92-AW92)/AW92*100)</f>
        <v>0</v>
      </c>
      <c r="BI92" s="742">
        <f>IF(AX92=0,0,(AY92-AX92)/AX92*100)</f>
        <v>0</v>
      </c>
      <c r="BJ92" s="742">
        <f>IF(AY92=0,0,(AZ92-AY92)/AY92*100)</f>
        <v>0</v>
      </c>
      <c r="BK92" s="742">
        <f>IF(AZ92=0,0,(BA92-AZ92)/AZ92*100)</f>
        <v>0</v>
      </c>
      <c r="BL92" s="742">
        <f>IF(BA92=0,0,(BB92-BA92)/BA92*100)</f>
        <v>0</v>
      </c>
      <c r="BM92" s="742">
        <f>IF(BB92=0,0,(BC92-BB92)/BB92*100)</f>
        <v>0</v>
      </c>
      <c r="BN92" s="1267"/>
      <c r="BO92" s="1281" t="str">
        <f>IF(_xlfn.IFERROR(INDEX(Налоги!$K$26:$L$69,MATCH($F92&amp;"komm",Налоги!$K$26:$K$69,0),2),"")=0,"",_xlfn.IFERROR(INDEX(Налоги!$K$26:$L$69,MATCH($F92&amp;"komm",Налоги!$K$26:$K$69,0),2),""))</f>
        <v/>
      </c>
      <c r="BP92" s="1267"/>
      <c r="BQ92" s="680"/>
      <c r="BR92" s="680"/>
      <c r="BS92" s="1054" t="s">
        <v>1151</v>
      </c>
      <c r="BT92" s="1054"/>
      <c r="BU92" s="1054"/>
      <c r="BV92" s="687"/>
      <c r="BW92" s="687"/>
    </row>
    <row customHeight="1" ht="14.625" hidden="1">
      <c r="A93" s="960"/>
      <c r="B93" s="62"/>
      <c r="C93" s="73"/>
      <c r="D93" s="73"/>
      <c r="E93" s="600">
        <v>15</v>
      </c>
      <c r="F93" s="50" cm="1" t="str">
        <f t="array" ref="F93:F93">OFFSET(E93,-1,1)</f>
        <v>0</v>
      </c>
      <c r="G93" s="904">
        <v>7</v>
      </c>
      <c r="H93" s="73"/>
      <c r="I93" s="73" t="s">
        <v>1930</v>
      </c>
      <c r="J93" s="73"/>
      <c r="K93" s="73" t="s">
        <v>1930</v>
      </c>
      <c r="L93" s="963"/>
      <c r="M93" s="73"/>
      <c r="N93" s="73"/>
      <c r="O93" s="73"/>
      <c r="P93" s="73"/>
      <c r="Q93" s="73"/>
      <c r="R93" s="73"/>
      <c r="S93" s="73"/>
      <c r="T93" s="439" cm="1" t="str">
        <f t="array" ref="T93:T93">T92</f>
        <v>false</v>
      </c>
      <c r="U93" s="73"/>
      <c r="V93" s="73"/>
      <c r="W93" s="960"/>
      <c r="X93" s="1482"/>
      <c r="Y93" s="960"/>
      <c r="Z93" s="1465"/>
      <c r="AA93" s="960"/>
      <c r="AB93" s="266" t="s">
        <v>478</v>
      </c>
      <c r="AC93" s="746" t="s">
        <v>1165</v>
      </c>
      <c r="AD93" s="267" t="s">
        <v>784</v>
      </c>
      <c r="AE93" s="226">
        <f>_xlfn.SUMIFS(Налоги!AE$25:AE$69,Налоги!$F$25:$F$69,$F93,Налоги!$AB$25:$AB$69,$G93)</f>
        <v>0</v>
      </c>
      <c r="AF93" s="226">
        <f>_xlfn.SUMIFS(Налоги!AF$25:AF$69,Налоги!$F$25:$F$69,$F93,Налоги!$AB$25:$AB$69,$G93)</f>
        <v>0</v>
      </c>
      <c r="AG93" s="226">
        <f>_xlfn.SUMIFS(Налоги!AG$25:AG$69,Налоги!$F$25:$F$69,$F93,Налоги!$AB$25:$AB$69,$G93)</f>
        <v>0</v>
      </c>
      <c r="AH93" s="926">
        <f>AG93-AF93</f>
        <v>0</v>
      </c>
      <c r="AI93" s="926">
        <f>_xlfn.SUMIFS(Налоги!AH$25:AH$69,Налоги!$F$25:$F$69,$F93,Налоги!$AB$25:$AB$69,$G93)</f>
        <v>0</v>
      </c>
      <c r="AJ93" s="926">
        <f>_xlfn.SUMIFS(Налоги!AI$25:AI$69,Налоги!$F$25:$F$69,$F93,Налоги!$AB$25:$AB$69,$G93)</f>
        <v>0</v>
      </c>
      <c r="AK93" s="926">
        <f>_xlfn.SUMIFS(Налоги!AJ$25:AJ$69,Налоги!$F$25:$F$69,$F93,Налоги!$AB$25:$AB$69,$G93)</f>
        <v>0</v>
      </c>
      <c r="AL93" s="926">
        <f>_xlfn.SUMIFS(Налоги!AK$25:AK$69,Налоги!$F$25:$F$69,$F93,Налоги!$AB$25:$AB$69,$G93)</f>
        <v>0</v>
      </c>
      <c r="AM93" s="926">
        <f>_xlfn.SUMIFS(Налоги!AL$25:AL$69,Налоги!$F$25:$F$69,$F93,Налоги!$AB$25:$AB$69,$G93)</f>
        <v>0</v>
      </c>
      <c r="AN93" s="926">
        <f>_xlfn.SUMIFS(Налоги!AM$25:AM$69,Налоги!$F$25:$F$69,$F93,Налоги!$AB$25:$AB$69,$G93)</f>
        <v>0</v>
      </c>
      <c r="AO93" s="926">
        <f>_xlfn.SUMIFS(Налоги!AN$25:AN$69,Налоги!$F$25:$F$69,$F93,Налоги!$AB$25:$AB$69,$G93)</f>
        <v>0</v>
      </c>
      <c r="AP93" s="926">
        <f>_xlfn.SUMIFS(Налоги!AO$25:AO$69,Налоги!$F$25:$F$69,$F93,Налоги!$AB$25:$AB$69,$G93)</f>
        <v>0</v>
      </c>
      <c r="AQ93" s="926">
        <f>_xlfn.SUMIFS(Налоги!AP$25:AP$69,Налоги!$F$25:$F$69,$F93,Налоги!$AB$25:$AB$69,$G93)</f>
        <v>0</v>
      </c>
      <c r="AR93" s="926">
        <f>_xlfn.SUMIFS(Налоги!AQ$25:AQ$69,Налоги!$F$25:$F$69,$F93,Налоги!$AB$25:$AB$69,$G93)</f>
        <v>0</v>
      </c>
      <c r="AS93" s="926">
        <f>_xlfn.SUMIFS(Налоги!AR$25:AR$69,Налоги!$F$25:$F$69,$F93,Налоги!$AB$25:$AB$69,$G93)</f>
        <v>0</v>
      </c>
      <c r="AT93" s="926">
        <f>_xlfn.SUMIFS(Налоги!AS$25:AS$69,Налоги!$F$25:$F$69,$F93,Налоги!$AB$25:$AB$69,$G93)</f>
        <v>0</v>
      </c>
      <c r="AU93" s="926">
        <f>_xlfn.SUMIFS(Налоги!AT$25:AT$69,Налоги!$F$25:$F$69,$F93,Налоги!$AB$25:$AB$69,$G93)</f>
        <v>0</v>
      </c>
      <c r="AV93" s="926">
        <f>_xlfn.SUMIFS(Налоги!AU$25:AU$69,Налоги!$F$25:$F$69,$F93,Налоги!$AB$25:$AB$69,$G93)</f>
        <v>0</v>
      </c>
      <c r="AW93" s="926">
        <f>_xlfn.SUMIFS(Налоги!AV$25:AV$69,Налоги!$F$25:$F$69,$F93,Налоги!$AB$25:$AB$69,$G93)</f>
        <v>0</v>
      </c>
      <c r="AX93" s="926">
        <f>_xlfn.SUMIFS(Налоги!AW$25:AW$69,Налоги!$F$25:$F$69,$F93,Налоги!$AB$25:$AB$69,$G93)</f>
        <v>0</v>
      </c>
      <c r="AY93" s="926">
        <f>_xlfn.SUMIFS(Налоги!AX$25:AX$69,Налоги!$F$25:$F$69,$F93,Налоги!$AB$25:$AB$69,$G93)</f>
        <v>0</v>
      </c>
      <c r="AZ93" s="926">
        <f>_xlfn.SUMIFS(Налоги!AY$25:AY$69,Налоги!$F$25:$F$69,$F93,Налоги!$AB$25:$AB$69,$G93)</f>
        <v>0</v>
      </c>
      <c r="BA93" s="926">
        <f>_xlfn.SUMIFS(Налоги!AZ$25:AZ$69,Налоги!$F$25:$F$69,$F93,Налоги!$AB$25:$AB$69,$G93)</f>
        <v>0</v>
      </c>
      <c r="BB93" s="926">
        <f>_xlfn.SUMIFS(Налоги!BA$25:BA$69,Налоги!$F$25:$F$69,$F93,Налоги!$AB$25:$AB$69,$G93)</f>
        <v>0</v>
      </c>
      <c r="BC93" s="926">
        <f>_xlfn.SUMIFS(Налоги!BB$25:BB$69,Налоги!$F$25:$F$69,$F93,Налоги!$AB$25:$AB$69,$G93)</f>
        <v>0</v>
      </c>
      <c r="BD93" s="926">
        <f>IF(AI93=0,0,(AT93-AI93)/AI93*100)</f>
        <v>0</v>
      </c>
      <c r="BE93" s="926">
        <f>IF(AT93=0,0,(AU93-AT93)/AT93*100)</f>
        <v>0</v>
      </c>
      <c r="BF93" s="926">
        <f>IF(AU93=0,0,(AV93-AU93)/AU93*100)</f>
        <v>0</v>
      </c>
      <c r="BG93" s="926">
        <f>IF(AV93=0,0,(AW93-AV93)/AV93*100)</f>
        <v>0</v>
      </c>
      <c r="BH93" s="926">
        <f>IF(AW93=0,0,(AX93-AW93)/AW93*100)</f>
        <v>0</v>
      </c>
      <c r="BI93" s="926">
        <f>IF(AX93=0,0,(AY93-AX93)/AX93*100)</f>
        <v>0</v>
      </c>
      <c r="BJ93" s="926">
        <f>IF(AY93=0,0,(AZ93-AY93)/AY93*100)</f>
        <v>0</v>
      </c>
      <c r="BK93" s="926">
        <f>IF(AZ93=0,0,(BA93-AZ93)/AZ93*100)</f>
        <v>0</v>
      </c>
      <c r="BL93" s="926">
        <f>IF(BA93=0,0,(BB93-BA93)/BA93*100)</f>
        <v>0</v>
      </c>
      <c r="BM93" s="926">
        <f>IF(BB93=0,0,(BC93-BB93)/BB93*100)</f>
        <v>0</v>
      </c>
      <c r="BN93" s="1283"/>
      <c r="BO93" s="1281" t="str">
        <f>IF(_xlfn.IFERROR(INDEX(Налоги!$K$26:$L$69,MATCH($F93&amp;"7komm",Налоги!$K$26:$K$69,0),2),"")=0,"",_xlfn.IFERROR(INDEX(Налоги!$K$26:$L$69,MATCH($F93&amp;"7komm",Налоги!$K$26:$K$69,0),2),""))</f>
        <v/>
      </c>
      <c r="BP93" s="1283"/>
      <c r="BQ93" s="960"/>
      <c r="BR93" s="960"/>
      <c r="BS93" s="1048" t="s">
        <v>1931</v>
      </c>
      <c r="BT93" s="1048"/>
      <c r="BU93" s="1048"/>
      <c r="BV93" s="962"/>
      <c r="BW93" s="962"/>
    </row>
    <row customHeight="1" ht="14.625" hidden="1">
      <c r="A94" s="960"/>
      <c r="B94" s="62"/>
      <c r="C94" s="73"/>
      <c r="D94" s="73"/>
      <c r="E94" s="600">
        <v>15</v>
      </c>
      <c r="F94" s="50" cm="1" t="str">
        <f t="array" ref="F94:F94">OFFSET(E94,-1,1)</f>
        <v>0</v>
      </c>
      <c r="G94" s="904">
        <v>6</v>
      </c>
      <c r="H94" s="73"/>
      <c r="I94" s="73" t="s">
        <v>1932</v>
      </c>
      <c r="J94" s="73"/>
      <c r="K94" s="73" t="s">
        <v>1932</v>
      </c>
      <c r="L94" s="963"/>
      <c r="M94" s="73"/>
      <c r="N94" s="73"/>
      <c r="O94" s="73"/>
      <c r="P94" s="73"/>
      <c r="Q94" s="73"/>
      <c r="R94" s="73"/>
      <c r="S94" s="73"/>
      <c r="T94" s="439" cm="1" t="str">
        <f t="array" ref="T94:T94">T93</f>
        <v>false</v>
      </c>
      <c r="U94" s="73"/>
      <c r="V94" s="73"/>
      <c r="W94" s="960"/>
      <c r="X94" s="1482"/>
      <c r="Y94" s="960"/>
      <c r="Z94" s="1465"/>
      <c r="AA94" s="960"/>
      <c r="AB94" s="266" t="s">
        <v>1375</v>
      </c>
      <c r="AC94" s="746" t="s">
        <v>1933</v>
      </c>
      <c r="AD94" s="267" t="s">
        <v>784</v>
      </c>
      <c r="AE94" s="226">
        <f>_xlfn.SUMIFS(Налоги!AE$25:AE$69,Налоги!$F$25:$F$69,$F94,Налоги!$AB$25:$AB$69,$G94)</f>
        <v>0</v>
      </c>
      <c r="AF94" s="226">
        <f>_xlfn.SUMIFS(Налоги!AF$25:AF$69,Налоги!$F$25:$F$69,$F94,Налоги!$AB$25:$AB$69,$G94)</f>
        <v>0</v>
      </c>
      <c r="AG94" s="226">
        <f>_xlfn.SUMIFS(Налоги!AG$25:AG$69,Налоги!$F$25:$F$69,$F94,Налоги!$AB$25:$AB$69,$G94)</f>
        <v>0</v>
      </c>
      <c r="AH94" s="926">
        <f>AG94-AF94</f>
        <v>0</v>
      </c>
      <c r="AI94" s="926">
        <f>_xlfn.SUMIFS(Налоги!AH$25:AH$69,Налоги!$F$25:$F$69,$F94,Налоги!$AB$25:$AB$69,$G94)</f>
        <v>0</v>
      </c>
      <c r="AJ94" s="926">
        <f>_xlfn.SUMIFS(Налоги!AI$25:AI$69,Налоги!$F$25:$F$69,$F94,Налоги!$AB$25:$AB$69,$G94)</f>
        <v>0</v>
      </c>
      <c r="AK94" s="926">
        <f>_xlfn.SUMIFS(Налоги!AJ$25:AJ$69,Налоги!$F$25:$F$69,$F94,Налоги!$AB$25:$AB$69,$G94)</f>
        <v>0</v>
      </c>
      <c r="AL94" s="926">
        <f>_xlfn.SUMIFS(Налоги!AK$25:AK$69,Налоги!$F$25:$F$69,$F94,Налоги!$AB$25:$AB$69,$G94)</f>
        <v>0</v>
      </c>
      <c r="AM94" s="926">
        <f>_xlfn.SUMIFS(Налоги!AL$25:AL$69,Налоги!$F$25:$F$69,$F94,Налоги!$AB$25:$AB$69,$G94)</f>
        <v>0</v>
      </c>
      <c r="AN94" s="926">
        <f>_xlfn.SUMIFS(Налоги!AM$25:AM$69,Налоги!$F$25:$F$69,$F94,Налоги!$AB$25:$AB$69,$G94)</f>
        <v>0</v>
      </c>
      <c r="AO94" s="926">
        <f>_xlfn.SUMIFS(Налоги!AN$25:AN$69,Налоги!$F$25:$F$69,$F94,Налоги!$AB$25:$AB$69,$G94)</f>
        <v>0</v>
      </c>
      <c r="AP94" s="926">
        <f>_xlfn.SUMIFS(Налоги!AO$25:AO$69,Налоги!$F$25:$F$69,$F94,Налоги!$AB$25:$AB$69,$G94)</f>
        <v>0</v>
      </c>
      <c r="AQ94" s="926">
        <f>_xlfn.SUMIFS(Налоги!AP$25:AP$69,Налоги!$F$25:$F$69,$F94,Налоги!$AB$25:$AB$69,$G94)</f>
        <v>0</v>
      </c>
      <c r="AR94" s="926">
        <f>_xlfn.SUMIFS(Налоги!AQ$25:AQ$69,Налоги!$F$25:$F$69,$F94,Налоги!$AB$25:$AB$69,$G94)</f>
        <v>0</v>
      </c>
      <c r="AS94" s="926">
        <f>_xlfn.SUMIFS(Налоги!AR$25:AR$69,Налоги!$F$25:$F$69,$F94,Налоги!$AB$25:$AB$69,$G94)</f>
        <v>0</v>
      </c>
      <c r="AT94" s="926">
        <f>_xlfn.SUMIFS(Налоги!AS$25:AS$69,Налоги!$F$25:$F$69,$F94,Налоги!$AB$25:$AB$69,$G94)</f>
        <v>0</v>
      </c>
      <c r="AU94" s="926">
        <f>_xlfn.SUMIFS(Налоги!AT$25:AT$69,Налоги!$F$25:$F$69,$F94,Налоги!$AB$25:$AB$69,$G94)</f>
        <v>0</v>
      </c>
      <c r="AV94" s="926">
        <f>_xlfn.SUMIFS(Налоги!AU$25:AU$69,Налоги!$F$25:$F$69,$F94,Налоги!$AB$25:$AB$69,$G94)</f>
        <v>0</v>
      </c>
      <c r="AW94" s="926">
        <f>_xlfn.SUMIFS(Налоги!AV$25:AV$69,Налоги!$F$25:$F$69,$F94,Налоги!$AB$25:$AB$69,$G94)</f>
        <v>0</v>
      </c>
      <c r="AX94" s="926">
        <f>_xlfn.SUMIFS(Налоги!AW$25:AW$69,Налоги!$F$25:$F$69,$F94,Налоги!$AB$25:$AB$69,$G94)</f>
        <v>0</v>
      </c>
      <c r="AY94" s="926">
        <f>_xlfn.SUMIFS(Налоги!AX$25:AX$69,Налоги!$F$25:$F$69,$F94,Налоги!$AB$25:$AB$69,$G94)</f>
        <v>0</v>
      </c>
      <c r="AZ94" s="926">
        <f>_xlfn.SUMIFS(Налоги!AY$25:AY$69,Налоги!$F$25:$F$69,$F94,Налоги!$AB$25:$AB$69,$G94)</f>
        <v>0</v>
      </c>
      <c r="BA94" s="926">
        <f>_xlfn.SUMIFS(Налоги!AZ$25:AZ$69,Налоги!$F$25:$F$69,$F94,Налоги!$AB$25:$AB$69,$G94)</f>
        <v>0</v>
      </c>
      <c r="BB94" s="926">
        <f>_xlfn.SUMIFS(Налоги!BA$25:BA$69,Налоги!$F$25:$F$69,$F94,Налоги!$AB$25:$AB$69,$G94)</f>
        <v>0</v>
      </c>
      <c r="BC94" s="926">
        <f>_xlfn.SUMIFS(Налоги!BB$25:BB$69,Налоги!$F$25:$F$69,$F94,Налоги!$AB$25:$AB$69,$G94)</f>
        <v>0</v>
      </c>
      <c r="BD94" s="926">
        <f>IF(AI94=0,0,(AT94-AI94)/AI94*100)</f>
        <v>0</v>
      </c>
      <c r="BE94" s="926">
        <f>IF(AT94=0,0,(AU94-AT94)/AT94*100)</f>
        <v>0</v>
      </c>
      <c r="BF94" s="926">
        <f>IF(AU94=0,0,(AV94-AU94)/AU94*100)</f>
        <v>0</v>
      </c>
      <c r="BG94" s="926">
        <f>IF(AV94=0,0,(AW94-AV94)/AV94*100)</f>
        <v>0</v>
      </c>
      <c r="BH94" s="926">
        <f>IF(AW94=0,0,(AX94-AW94)/AW94*100)</f>
        <v>0</v>
      </c>
      <c r="BI94" s="926">
        <f>IF(AX94=0,0,(AY94-AX94)/AX94*100)</f>
        <v>0</v>
      </c>
      <c r="BJ94" s="926">
        <f>IF(AY94=0,0,(AZ94-AY94)/AY94*100)</f>
        <v>0</v>
      </c>
      <c r="BK94" s="926">
        <f>IF(AZ94=0,0,(BA94-AZ94)/AZ94*100)</f>
        <v>0</v>
      </c>
      <c r="BL94" s="926">
        <f>IF(BA94=0,0,(BB94-BA94)/BA94*100)</f>
        <v>0</v>
      </c>
      <c r="BM94" s="926">
        <f>IF(BB94=0,0,(BC94-BB94)/BB94*100)</f>
        <v>0</v>
      </c>
      <c r="BN94" s="1283"/>
      <c r="BO94" s="1281" t="str">
        <f>IF(_xlfn.IFERROR(INDEX(Налоги!$K$26:$L$69,MATCH($F94&amp;"6komm",Налоги!$K$26:$K$69,0),2),"")=0,"",_xlfn.IFERROR(INDEX(Налоги!$K$26:$L$69,MATCH($F94&amp;"6komm",Налоги!$K$26:$K$69,0),2),""))</f>
        <v/>
      </c>
      <c r="BP94" s="1283"/>
      <c r="BQ94" s="960"/>
      <c r="BR94" s="960"/>
      <c r="BS94" s="1048" t="s">
        <v>1934</v>
      </c>
      <c r="BT94" s="1048"/>
      <c r="BU94" s="1048"/>
      <c r="BV94" s="962"/>
      <c r="BW94" s="962"/>
    </row>
    <row customHeight="1" ht="14.625" hidden="1">
      <c r="A95" s="960"/>
      <c r="B95" s="62"/>
      <c r="C95" s="73"/>
      <c r="D95" s="73"/>
      <c r="E95" s="600">
        <v>15</v>
      </c>
      <c r="F95" s="50" cm="1" t="str">
        <f t="array" ref="F95:F95">OFFSET(E95,-1,1)</f>
        <v>0</v>
      </c>
      <c r="G95" s="904">
        <v>2</v>
      </c>
      <c r="H95" s="73"/>
      <c r="I95" s="73" t="s">
        <v>1935</v>
      </c>
      <c r="J95" s="73"/>
      <c r="K95" s="73" t="s">
        <v>1935</v>
      </c>
      <c r="L95" s="963"/>
      <c r="M95" s="73"/>
      <c r="N95" s="73"/>
      <c r="O95" s="73"/>
      <c r="P95" s="73"/>
      <c r="Q95" s="73"/>
      <c r="R95" s="73"/>
      <c r="S95" s="73"/>
      <c r="T95" s="439" cm="1" t="str">
        <f t="array" ref="T95:T95">T94</f>
        <v>false</v>
      </c>
      <c r="U95" s="73"/>
      <c r="V95" s="73"/>
      <c r="W95" s="960"/>
      <c r="X95" s="1482"/>
      <c r="Y95" s="960"/>
      <c r="Z95" s="1465"/>
      <c r="AA95" s="960"/>
      <c r="AB95" s="266" t="s">
        <v>1380</v>
      </c>
      <c r="AC95" s="746" t="s">
        <v>1936</v>
      </c>
      <c r="AD95" s="267" t="s">
        <v>784</v>
      </c>
      <c r="AE95" s="226">
        <f>_xlfn.SUMIFS(Налоги!AE$25:AE$69,Налоги!$F$25:$F$69,$F95,Налоги!$AB$25:$AB$69,$G95)</f>
        <v>0</v>
      </c>
      <c r="AF95" s="226">
        <f>_xlfn.SUMIFS(Налоги!AF$25:AF$69,Налоги!$F$25:$F$69,$F95,Налоги!$AB$25:$AB$69,$G95)</f>
        <v>0</v>
      </c>
      <c r="AG95" s="226">
        <f>_xlfn.SUMIFS(Налоги!AG$25:AG$69,Налоги!$F$25:$F$69,$F95,Налоги!$AB$25:$AB$69,$G95)</f>
        <v>0</v>
      </c>
      <c r="AH95" s="926">
        <f>AG95-AF95</f>
        <v>0</v>
      </c>
      <c r="AI95" s="926">
        <f>_xlfn.SUMIFS(Налоги!AH$25:AH$69,Налоги!$F$25:$F$69,$F95,Налоги!$AB$25:$AB$69,$G95)</f>
        <v>0</v>
      </c>
      <c r="AJ95" s="926">
        <f>_xlfn.SUMIFS(Налоги!AI$25:AI$69,Налоги!$F$25:$F$69,$F95,Налоги!$AB$25:$AB$69,$G95)</f>
        <v>0</v>
      </c>
      <c r="AK95" s="926">
        <f>_xlfn.SUMIFS(Налоги!AJ$25:AJ$69,Налоги!$F$25:$F$69,$F95,Налоги!$AB$25:$AB$69,$G95)</f>
        <v>0</v>
      </c>
      <c r="AL95" s="926">
        <f>_xlfn.SUMIFS(Налоги!AK$25:AK$69,Налоги!$F$25:$F$69,$F95,Налоги!$AB$25:$AB$69,$G95)</f>
        <v>0</v>
      </c>
      <c r="AM95" s="926">
        <f>_xlfn.SUMIFS(Налоги!AL$25:AL$69,Налоги!$F$25:$F$69,$F95,Налоги!$AB$25:$AB$69,$G95)</f>
        <v>0</v>
      </c>
      <c r="AN95" s="926">
        <f>_xlfn.SUMIFS(Налоги!AM$25:AM$69,Налоги!$F$25:$F$69,$F95,Налоги!$AB$25:$AB$69,$G95)</f>
        <v>0</v>
      </c>
      <c r="AO95" s="926">
        <f>_xlfn.SUMIFS(Налоги!AN$25:AN$69,Налоги!$F$25:$F$69,$F95,Налоги!$AB$25:$AB$69,$G95)</f>
        <v>0</v>
      </c>
      <c r="AP95" s="926">
        <f>_xlfn.SUMIFS(Налоги!AO$25:AO$69,Налоги!$F$25:$F$69,$F95,Налоги!$AB$25:$AB$69,$G95)</f>
        <v>0</v>
      </c>
      <c r="AQ95" s="926">
        <f>_xlfn.SUMIFS(Налоги!AP$25:AP$69,Налоги!$F$25:$F$69,$F95,Налоги!$AB$25:$AB$69,$G95)</f>
        <v>0</v>
      </c>
      <c r="AR95" s="926">
        <f>_xlfn.SUMIFS(Налоги!AQ$25:AQ$69,Налоги!$F$25:$F$69,$F95,Налоги!$AB$25:$AB$69,$G95)</f>
        <v>0</v>
      </c>
      <c r="AS95" s="926">
        <f>_xlfn.SUMIFS(Налоги!AR$25:AR$69,Налоги!$F$25:$F$69,$F95,Налоги!$AB$25:$AB$69,$G95)</f>
        <v>0</v>
      </c>
      <c r="AT95" s="926">
        <f>_xlfn.SUMIFS(Налоги!AS$25:AS$69,Налоги!$F$25:$F$69,$F95,Налоги!$AB$25:$AB$69,$G95)</f>
        <v>0</v>
      </c>
      <c r="AU95" s="926">
        <f>_xlfn.SUMIFS(Налоги!AT$25:AT$69,Налоги!$F$25:$F$69,$F95,Налоги!$AB$25:$AB$69,$G95)</f>
        <v>0</v>
      </c>
      <c r="AV95" s="926">
        <f>_xlfn.SUMIFS(Налоги!AU$25:AU$69,Налоги!$F$25:$F$69,$F95,Налоги!$AB$25:$AB$69,$G95)</f>
        <v>0</v>
      </c>
      <c r="AW95" s="926">
        <f>_xlfn.SUMIFS(Налоги!AV$25:AV$69,Налоги!$F$25:$F$69,$F95,Налоги!$AB$25:$AB$69,$G95)</f>
        <v>0</v>
      </c>
      <c r="AX95" s="926">
        <f>_xlfn.SUMIFS(Налоги!AW$25:AW$69,Налоги!$F$25:$F$69,$F95,Налоги!$AB$25:$AB$69,$G95)</f>
        <v>0</v>
      </c>
      <c r="AY95" s="926">
        <f>_xlfn.SUMIFS(Налоги!AX$25:AX$69,Налоги!$F$25:$F$69,$F95,Налоги!$AB$25:$AB$69,$G95)</f>
        <v>0</v>
      </c>
      <c r="AZ95" s="926">
        <f>_xlfn.SUMIFS(Налоги!AY$25:AY$69,Налоги!$F$25:$F$69,$F95,Налоги!$AB$25:$AB$69,$G95)</f>
        <v>0</v>
      </c>
      <c r="BA95" s="926">
        <f>_xlfn.SUMIFS(Налоги!AZ$25:AZ$69,Налоги!$F$25:$F$69,$F95,Налоги!$AB$25:$AB$69,$G95)</f>
        <v>0</v>
      </c>
      <c r="BB95" s="926">
        <f>_xlfn.SUMIFS(Налоги!BA$25:BA$69,Налоги!$F$25:$F$69,$F95,Налоги!$AB$25:$AB$69,$G95)</f>
        <v>0</v>
      </c>
      <c r="BC95" s="926">
        <f>_xlfn.SUMIFS(Налоги!BB$25:BB$69,Налоги!$F$25:$F$69,$F95,Налоги!$AB$25:$AB$69,$G95)</f>
        <v>0</v>
      </c>
      <c r="BD95" s="926">
        <f>IF(AI95=0,0,(AT95-AI95)/AI95*100)</f>
        <v>0</v>
      </c>
      <c r="BE95" s="926">
        <f>IF(AT95=0,0,(AU95-AT95)/AT95*100)</f>
        <v>0</v>
      </c>
      <c r="BF95" s="926">
        <f>IF(AU95=0,0,(AV95-AU95)/AU95*100)</f>
        <v>0</v>
      </c>
      <c r="BG95" s="926">
        <f>IF(AV95=0,0,(AW95-AV95)/AV95*100)</f>
        <v>0</v>
      </c>
      <c r="BH95" s="926">
        <f>IF(AW95=0,0,(AX95-AW95)/AW95*100)</f>
        <v>0</v>
      </c>
      <c r="BI95" s="926">
        <f>IF(AX95=0,0,(AY95-AX95)/AX95*100)</f>
        <v>0</v>
      </c>
      <c r="BJ95" s="926">
        <f>IF(AY95=0,0,(AZ95-AY95)/AY95*100)</f>
        <v>0</v>
      </c>
      <c r="BK95" s="926">
        <f>IF(AZ95=0,0,(BA95-AZ95)/AZ95*100)</f>
        <v>0</v>
      </c>
      <c r="BL95" s="926">
        <f>IF(BA95=0,0,(BB95-BA95)/BA95*100)</f>
        <v>0</v>
      </c>
      <c r="BM95" s="926">
        <f>IF(BB95=0,0,(BC95-BB95)/BB95*100)</f>
        <v>0</v>
      </c>
      <c r="BN95" s="1283"/>
      <c r="BO95" s="1281" t="str">
        <f>IF(_xlfn.IFERROR(INDEX(Налоги!$K$26:$L$69,MATCH($F95&amp;"2komm",Налоги!$K$26:$K$69,0),2),"")=0,"",_xlfn.IFERROR(INDEX(Налоги!$K$26:$L$69,MATCH($F95&amp;"2komm",Налоги!$K$26:$K$69,0),2),""))</f>
        <v/>
      </c>
      <c r="BP95" s="1283"/>
      <c r="BQ95" s="960"/>
      <c r="BR95" s="960"/>
      <c r="BS95" s="1048" t="s">
        <v>1937</v>
      </c>
      <c r="BT95" s="1048"/>
      <c r="BU95" s="1048"/>
      <c r="BV95" s="962"/>
      <c r="BW95" s="962"/>
    </row>
    <row customHeight="1" ht="14.625" hidden="1">
      <c r="A96" s="960"/>
      <c r="B96" s="62"/>
      <c r="C96" s="73"/>
      <c r="D96" s="73"/>
      <c r="E96" s="600">
        <v>15</v>
      </c>
      <c r="F96" s="50" cm="1" t="str">
        <f t="array" ref="F96:F96">OFFSET(E96,-1,1)</f>
        <v>0</v>
      </c>
      <c r="G96" s="904">
        <v>4</v>
      </c>
      <c r="H96" s="73"/>
      <c r="I96" s="73" t="s">
        <v>1938</v>
      </c>
      <c r="J96" s="73"/>
      <c r="K96" s="73" t="s">
        <v>1938</v>
      </c>
      <c r="L96" s="963"/>
      <c r="M96" s="73"/>
      <c r="N96" s="73"/>
      <c r="O96" s="73"/>
      <c r="P96" s="73"/>
      <c r="Q96" s="73"/>
      <c r="R96" s="73"/>
      <c r="S96" s="73"/>
      <c r="T96" s="439" cm="1" t="str">
        <f t="array" ref="T96:T96">T95</f>
        <v>false</v>
      </c>
      <c r="U96" s="73"/>
      <c r="V96" s="73"/>
      <c r="W96" s="960"/>
      <c r="X96" s="1482"/>
      <c r="Y96" s="960"/>
      <c r="Z96" s="1465"/>
      <c r="AA96" s="960"/>
      <c r="AB96" s="266" t="s">
        <v>1939</v>
      </c>
      <c r="AC96" s="746" t="s">
        <v>1940</v>
      </c>
      <c r="AD96" s="267" t="s">
        <v>784</v>
      </c>
      <c r="AE96" s="226">
        <f>_xlfn.SUMIFS(Налоги!AE$25:AE$69,Налоги!$F$25:$F$69,$F96,Налоги!$AB$25:$AB$69,$G96)</f>
        <v>0</v>
      </c>
      <c r="AF96" s="226">
        <f>_xlfn.SUMIFS(Налоги!AF$25:AF$69,Налоги!$F$25:$F$69,$F96,Налоги!$AB$25:$AB$69,$G96)</f>
        <v>0</v>
      </c>
      <c r="AG96" s="226">
        <f>_xlfn.SUMIFS(Налоги!AG$25:AG$69,Налоги!$F$25:$F$69,$F96,Налоги!$AB$25:$AB$69,$G96)</f>
        <v>0</v>
      </c>
      <c r="AH96" s="926">
        <f>AG96-AF96</f>
        <v>0</v>
      </c>
      <c r="AI96" s="926">
        <f>_xlfn.SUMIFS(Налоги!AH$25:AH$69,Налоги!$F$25:$F$69,$F96,Налоги!$AB$25:$AB$69,$G96)</f>
        <v>0</v>
      </c>
      <c r="AJ96" s="926">
        <f>_xlfn.SUMIFS(Налоги!AI$25:AI$69,Налоги!$F$25:$F$69,$F96,Налоги!$AB$25:$AB$69,$G96)</f>
        <v>0</v>
      </c>
      <c r="AK96" s="926">
        <f>_xlfn.SUMIFS(Налоги!AJ$25:AJ$69,Налоги!$F$25:$F$69,$F96,Налоги!$AB$25:$AB$69,$G96)</f>
        <v>0</v>
      </c>
      <c r="AL96" s="926">
        <f>_xlfn.SUMIFS(Налоги!AK$25:AK$69,Налоги!$F$25:$F$69,$F96,Налоги!$AB$25:$AB$69,$G96)</f>
        <v>0</v>
      </c>
      <c r="AM96" s="926">
        <f>_xlfn.SUMIFS(Налоги!AL$25:AL$69,Налоги!$F$25:$F$69,$F96,Налоги!$AB$25:$AB$69,$G96)</f>
        <v>0</v>
      </c>
      <c r="AN96" s="926">
        <f>_xlfn.SUMIFS(Налоги!AM$25:AM$69,Налоги!$F$25:$F$69,$F96,Налоги!$AB$25:$AB$69,$G96)</f>
        <v>0</v>
      </c>
      <c r="AO96" s="926">
        <f>_xlfn.SUMIFS(Налоги!AN$25:AN$69,Налоги!$F$25:$F$69,$F96,Налоги!$AB$25:$AB$69,$G96)</f>
        <v>0</v>
      </c>
      <c r="AP96" s="926">
        <f>_xlfn.SUMIFS(Налоги!AO$25:AO$69,Налоги!$F$25:$F$69,$F96,Налоги!$AB$25:$AB$69,$G96)</f>
        <v>0</v>
      </c>
      <c r="AQ96" s="926">
        <f>_xlfn.SUMIFS(Налоги!AP$25:AP$69,Налоги!$F$25:$F$69,$F96,Налоги!$AB$25:$AB$69,$G96)</f>
        <v>0</v>
      </c>
      <c r="AR96" s="926">
        <f>_xlfn.SUMIFS(Налоги!AQ$25:AQ$69,Налоги!$F$25:$F$69,$F96,Налоги!$AB$25:$AB$69,$G96)</f>
        <v>0</v>
      </c>
      <c r="AS96" s="926">
        <f>_xlfn.SUMIFS(Налоги!AR$25:AR$69,Налоги!$F$25:$F$69,$F96,Налоги!$AB$25:$AB$69,$G96)</f>
        <v>0</v>
      </c>
      <c r="AT96" s="926">
        <f>_xlfn.SUMIFS(Налоги!AS$25:AS$69,Налоги!$F$25:$F$69,$F96,Налоги!$AB$25:$AB$69,$G96)</f>
        <v>0</v>
      </c>
      <c r="AU96" s="926">
        <f>_xlfn.SUMIFS(Налоги!AT$25:AT$69,Налоги!$F$25:$F$69,$F96,Налоги!$AB$25:$AB$69,$G96)</f>
        <v>0</v>
      </c>
      <c r="AV96" s="926">
        <f>_xlfn.SUMIFS(Налоги!AU$25:AU$69,Налоги!$F$25:$F$69,$F96,Налоги!$AB$25:$AB$69,$G96)</f>
        <v>0</v>
      </c>
      <c r="AW96" s="926">
        <f>_xlfn.SUMIFS(Налоги!AV$25:AV$69,Налоги!$F$25:$F$69,$F96,Налоги!$AB$25:$AB$69,$G96)</f>
        <v>0</v>
      </c>
      <c r="AX96" s="926">
        <f>_xlfn.SUMIFS(Налоги!AW$25:AW$69,Налоги!$F$25:$F$69,$F96,Налоги!$AB$25:$AB$69,$G96)</f>
        <v>0</v>
      </c>
      <c r="AY96" s="926">
        <f>_xlfn.SUMIFS(Налоги!AX$25:AX$69,Налоги!$F$25:$F$69,$F96,Налоги!$AB$25:$AB$69,$G96)</f>
        <v>0</v>
      </c>
      <c r="AZ96" s="926">
        <f>_xlfn.SUMIFS(Налоги!AY$25:AY$69,Налоги!$F$25:$F$69,$F96,Налоги!$AB$25:$AB$69,$G96)</f>
        <v>0</v>
      </c>
      <c r="BA96" s="926">
        <f>_xlfn.SUMIFS(Налоги!AZ$25:AZ$69,Налоги!$F$25:$F$69,$F96,Налоги!$AB$25:$AB$69,$G96)</f>
        <v>0</v>
      </c>
      <c r="BB96" s="926">
        <f>_xlfn.SUMIFS(Налоги!BA$25:BA$69,Налоги!$F$25:$F$69,$F96,Налоги!$AB$25:$AB$69,$G96)</f>
        <v>0</v>
      </c>
      <c r="BC96" s="926">
        <f>_xlfn.SUMIFS(Налоги!BB$25:BB$69,Налоги!$F$25:$F$69,$F96,Налоги!$AB$25:$AB$69,$G96)</f>
        <v>0</v>
      </c>
      <c r="BD96" s="926">
        <f>IF(AI96=0,0,(AT96-AI96)/AI96*100)</f>
        <v>0</v>
      </c>
      <c r="BE96" s="926">
        <f>IF(AT96=0,0,(AU96-AT96)/AT96*100)</f>
        <v>0</v>
      </c>
      <c r="BF96" s="926">
        <f>IF(AU96=0,0,(AV96-AU96)/AU96*100)</f>
        <v>0</v>
      </c>
      <c r="BG96" s="926">
        <f>IF(AV96=0,0,(AW96-AV96)/AV96*100)</f>
        <v>0</v>
      </c>
      <c r="BH96" s="926">
        <f>IF(AW96=0,0,(AX96-AW96)/AW96*100)</f>
        <v>0</v>
      </c>
      <c r="BI96" s="926">
        <f>IF(AX96=0,0,(AY96-AX96)/AX96*100)</f>
        <v>0</v>
      </c>
      <c r="BJ96" s="926">
        <f>IF(AY96=0,0,(AZ96-AY96)/AY96*100)</f>
        <v>0</v>
      </c>
      <c r="BK96" s="926">
        <f>IF(AZ96=0,0,(BA96-AZ96)/AZ96*100)</f>
        <v>0</v>
      </c>
      <c r="BL96" s="926">
        <f>IF(BA96=0,0,(BB96-BA96)/BA96*100)</f>
        <v>0</v>
      </c>
      <c r="BM96" s="926">
        <f>IF(BB96=0,0,(BC96-BB96)/BB96*100)</f>
        <v>0</v>
      </c>
      <c r="BN96" s="1283"/>
      <c r="BO96" s="1281" t="str">
        <f>IF(_xlfn.IFERROR(INDEX(Налоги!$K$26:$L$69,MATCH($F96&amp;"4komm",Налоги!$K$26:$K$69,0),2),"")=0,"",_xlfn.IFERROR(INDEX(Налоги!$K$26:$L$69,MATCH($F96&amp;"4komm",Налоги!$K$26:$K$69,0),2),""))</f>
        <v/>
      </c>
      <c r="BP96" s="1283"/>
      <c r="BQ96" s="960"/>
      <c r="BR96" s="960"/>
      <c r="BS96" s="1048" t="s">
        <v>1941</v>
      </c>
      <c r="BT96" s="1048"/>
      <c r="BU96" s="1048"/>
      <c r="BV96" s="962"/>
      <c r="BW96" s="962"/>
    </row>
    <row customHeight="1" ht="14.625" hidden="1">
      <c r="A97" s="960"/>
      <c r="B97" s="62"/>
      <c r="C97" s="73"/>
      <c r="D97" s="73"/>
      <c r="E97" s="600">
        <v>15</v>
      </c>
      <c r="F97" s="50" cm="1" t="str">
        <f t="array" ref="F97:F97">OFFSET(E97,-1,1)</f>
        <v>0</v>
      </c>
      <c r="G97" s="904">
        <v>5</v>
      </c>
      <c r="H97" s="73"/>
      <c r="I97" s="73" t="s">
        <v>1942</v>
      </c>
      <c r="J97" s="73"/>
      <c r="K97" s="73" t="s">
        <v>1942</v>
      </c>
      <c r="L97" s="963"/>
      <c r="M97" s="73"/>
      <c r="N97" s="73"/>
      <c r="O97" s="73"/>
      <c r="P97" s="73"/>
      <c r="Q97" s="73"/>
      <c r="R97" s="73"/>
      <c r="S97" s="73"/>
      <c r="T97" s="439" cm="1" t="str">
        <f t="array" ref="T97:T97">T96</f>
        <v>false</v>
      </c>
      <c r="U97" s="73"/>
      <c r="V97" s="73"/>
      <c r="W97" s="960"/>
      <c r="X97" s="1482"/>
      <c r="Y97" s="960"/>
      <c r="Z97" s="1465"/>
      <c r="AA97" s="960"/>
      <c r="AB97" s="266" t="s">
        <v>1943</v>
      </c>
      <c r="AC97" s="746" t="s">
        <v>1944</v>
      </c>
      <c r="AD97" s="267" t="s">
        <v>784</v>
      </c>
      <c r="AE97" s="226">
        <f>_xlfn.SUMIFS(Налоги!AE$25:AE$69,Налоги!$F$25:$F$69,$F97,Налоги!$AB$25:$AB$69,$G97)</f>
        <v>0</v>
      </c>
      <c r="AF97" s="226">
        <f>_xlfn.SUMIFS(Налоги!AF$25:AF$69,Налоги!$F$25:$F$69,$F97,Налоги!$AB$25:$AB$69,$G97)</f>
        <v>0</v>
      </c>
      <c r="AG97" s="226">
        <f>_xlfn.SUMIFS(Налоги!AG$25:AG$69,Налоги!$F$25:$F$69,$F97,Налоги!$AB$25:$AB$69,$G97)</f>
        <v>0</v>
      </c>
      <c r="AH97" s="926">
        <f>AG97-AF97</f>
        <v>0</v>
      </c>
      <c r="AI97" s="926">
        <f>_xlfn.SUMIFS(Налоги!AH$25:AH$69,Налоги!$F$25:$F$69,$F97,Налоги!$AB$25:$AB$69,$G97)</f>
        <v>0</v>
      </c>
      <c r="AJ97" s="926">
        <f>_xlfn.SUMIFS(Налоги!AI$25:AI$69,Налоги!$F$25:$F$69,$F97,Налоги!$AB$25:$AB$69,$G97)</f>
        <v>0</v>
      </c>
      <c r="AK97" s="926">
        <f>_xlfn.SUMIFS(Налоги!AJ$25:AJ$69,Налоги!$F$25:$F$69,$F97,Налоги!$AB$25:$AB$69,$G97)</f>
        <v>0</v>
      </c>
      <c r="AL97" s="926">
        <f>_xlfn.SUMIFS(Налоги!AK$25:AK$69,Налоги!$F$25:$F$69,$F97,Налоги!$AB$25:$AB$69,$G97)</f>
        <v>0</v>
      </c>
      <c r="AM97" s="926">
        <f>_xlfn.SUMIFS(Налоги!AL$25:AL$69,Налоги!$F$25:$F$69,$F97,Налоги!$AB$25:$AB$69,$G97)</f>
        <v>0</v>
      </c>
      <c r="AN97" s="926">
        <f>_xlfn.SUMIFS(Налоги!AM$25:AM$69,Налоги!$F$25:$F$69,$F97,Налоги!$AB$25:$AB$69,$G97)</f>
        <v>0</v>
      </c>
      <c r="AO97" s="926">
        <f>_xlfn.SUMIFS(Налоги!AN$25:AN$69,Налоги!$F$25:$F$69,$F97,Налоги!$AB$25:$AB$69,$G97)</f>
        <v>0</v>
      </c>
      <c r="AP97" s="926">
        <f>_xlfn.SUMIFS(Налоги!AO$25:AO$69,Налоги!$F$25:$F$69,$F97,Налоги!$AB$25:$AB$69,$G97)</f>
        <v>0</v>
      </c>
      <c r="AQ97" s="926">
        <f>_xlfn.SUMIFS(Налоги!AP$25:AP$69,Налоги!$F$25:$F$69,$F97,Налоги!$AB$25:$AB$69,$G97)</f>
        <v>0</v>
      </c>
      <c r="AR97" s="926">
        <f>_xlfn.SUMIFS(Налоги!AQ$25:AQ$69,Налоги!$F$25:$F$69,$F97,Налоги!$AB$25:$AB$69,$G97)</f>
        <v>0</v>
      </c>
      <c r="AS97" s="926">
        <f>_xlfn.SUMIFS(Налоги!AR$25:AR$69,Налоги!$F$25:$F$69,$F97,Налоги!$AB$25:$AB$69,$G97)</f>
        <v>0</v>
      </c>
      <c r="AT97" s="926">
        <f>_xlfn.SUMIFS(Налоги!AS$25:AS$69,Налоги!$F$25:$F$69,$F97,Налоги!$AB$25:$AB$69,$G97)</f>
        <v>0</v>
      </c>
      <c r="AU97" s="926">
        <f>_xlfn.SUMIFS(Налоги!AT$25:AT$69,Налоги!$F$25:$F$69,$F97,Налоги!$AB$25:$AB$69,$G97)</f>
        <v>0</v>
      </c>
      <c r="AV97" s="926">
        <f>_xlfn.SUMIFS(Налоги!AU$25:AU$69,Налоги!$F$25:$F$69,$F97,Налоги!$AB$25:$AB$69,$G97)</f>
        <v>0</v>
      </c>
      <c r="AW97" s="926">
        <f>_xlfn.SUMIFS(Налоги!AV$25:AV$69,Налоги!$F$25:$F$69,$F97,Налоги!$AB$25:$AB$69,$G97)</f>
        <v>0</v>
      </c>
      <c r="AX97" s="926">
        <f>_xlfn.SUMIFS(Налоги!AW$25:AW$69,Налоги!$F$25:$F$69,$F97,Налоги!$AB$25:$AB$69,$G97)</f>
        <v>0</v>
      </c>
      <c r="AY97" s="926">
        <f>_xlfn.SUMIFS(Налоги!AX$25:AX$69,Налоги!$F$25:$F$69,$F97,Налоги!$AB$25:$AB$69,$G97)</f>
        <v>0</v>
      </c>
      <c r="AZ97" s="926">
        <f>_xlfn.SUMIFS(Налоги!AY$25:AY$69,Налоги!$F$25:$F$69,$F97,Налоги!$AB$25:$AB$69,$G97)</f>
        <v>0</v>
      </c>
      <c r="BA97" s="926">
        <f>_xlfn.SUMIFS(Налоги!AZ$25:AZ$69,Налоги!$F$25:$F$69,$F97,Налоги!$AB$25:$AB$69,$G97)</f>
        <v>0</v>
      </c>
      <c r="BB97" s="926">
        <f>_xlfn.SUMIFS(Налоги!BA$25:BA$69,Налоги!$F$25:$F$69,$F97,Налоги!$AB$25:$AB$69,$G97)</f>
        <v>0</v>
      </c>
      <c r="BC97" s="926">
        <f>_xlfn.SUMIFS(Налоги!BB$25:BB$69,Налоги!$F$25:$F$69,$F97,Налоги!$AB$25:$AB$69,$G97)</f>
        <v>0</v>
      </c>
      <c r="BD97" s="926">
        <f>IF(AI97=0,0,(AT97-AI97)/AI97*100)</f>
        <v>0</v>
      </c>
      <c r="BE97" s="926">
        <f>IF(AT97=0,0,(AU97-AT97)/AT97*100)</f>
        <v>0</v>
      </c>
      <c r="BF97" s="926">
        <f>IF(AU97=0,0,(AV97-AU97)/AU97*100)</f>
        <v>0</v>
      </c>
      <c r="BG97" s="926">
        <f>IF(AV97=0,0,(AW97-AV97)/AV97*100)</f>
        <v>0</v>
      </c>
      <c r="BH97" s="926">
        <f>IF(AW97=0,0,(AX97-AW97)/AW97*100)</f>
        <v>0</v>
      </c>
      <c r="BI97" s="926">
        <f>IF(AX97=0,0,(AY97-AX97)/AX97*100)</f>
        <v>0</v>
      </c>
      <c r="BJ97" s="926">
        <f>IF(AY97=0,0,(AZ97-AY97)/AY97*100)</f>
        <v>0</v>
      </c>
      <c r="BK97" s="926">
        <f>IF(AZ97=0,0,(BA97-AZ97)/AZ97*100)</f>
        <v>0</v>
      </c>
      <c r="BL97" s="926">
        <f>IF(BA97=0,0,(BB97-BA97)/BA97*100)</f>
        <v>0</v>
      </c>
      <c r="BM97" s="926">
        <f>IF(BB97=0,0,(BC97-BB97)/BB97*100)</f>
        <v>0</v>
      </c>
      <c r="BN97" s="1283"/>
      <c r="BO97" s="1281" t="str">
        <f>IF(_xlfn.IFERROR(INDEX(Налоги!$K$26:$L$69,MATCH($F97&amp;"5komm",Налоги!$K$26:$K$69,0),2),"")=0,"",_xlfn.IFERROR(INDEX(Налоги!$K$26:$L$69,MATCH($F97&amp;"5komm",Налоги!$K$26:$K$69,0),2),""))</f>
        <v/>
      </c>
      <c r="BP97" s="1283"/>
      <c r="BQ97" s="960"/>
      <c r="BR97" s="960"/>
      <c r="BS97" s="1048" t="s">
        <v>1945</v>
      </c>
      <c r="BT97" s="1048"/>
      <c r="BU97" s="1048"/>
      <c r="BV97" s="962"/>
      <c r="BW97" s="962"/>
    </row>
    <row customHeight="1" ht="14.625" hidden="1">
      <c r="A98" s="960"/>
      <c r="B98" s="62"/>
      <c r="C98" s="73"/>
      <c r="D98" s="73"/>
      <c r="E98" s="600">
        <v>15</v>
      </c>
      <c r="F98" s="50" cm="1" t="str">
        <f t="array" ref="F98:F98">OFFSET(E98,-1,1)</f>
        <v>0</v>
      </c>
      <c r="G98" s="904">
        <v>1</v>
      </c>
      <c r="H98" s="73"/>
      <c r="I98" s="73" t="s">
        <v>1946</v>
      </c>
      <c r="J98" s="73"/>
      <c r="K98" s="73" t="s">
        <v>1946</v>
      </c>
      <c r="L98" s="963"/>
      <c r="M98" s="73"/>
      <c r="N98" s="73"/>
      <c r="O98" s="73"/>
      <c r="P98" s="73"/>
      <c r="Q98" s="73"/>
      <c r="R98" s="73"/>
      <c r="S98" s="73"/>
      <c r="T98" s="439" cm="1" t="str">
        <f t="array" ref="T98:T98">T97</f>
        <v>false</v>
      </c>
      <c r="U98" s="73"/>
      <c r="V98" s="73"/>
      <c r="W98" s="960"/>
      <c r="X98" s="1482"/>
      <c r="Y98" s="960"/>
      <c r="Z98" s="1465"/>
      <c r="AA98" s="960"/>
      <c r="AB98" s="266" t="s">
        <v>1947</v>
      </c>
      <c r="AC98" s="746" t="s">
        <v>1948</v>
      </c>
      <c r="AD98" s="267" t="s">
        <v>784</v>
      </c>
      <c r="AE98" s="226">
        <f>_xlfn.SUMIFS(Налоги!AE$25:AE$69,Налоги!$F$25:$F$69,$F98,Налоги!$AB$25:$AB$69,$G98)</f>
        <v>0</v>
      </c>
      <c r="AF98" s="226">
        <f>_xlfn.SUMIFS(Налоги!AF$25:AF$69,Налоги!$F$25:$F$69,$F98,Налоги!$AB$25:$AB$69,$G98)</f>
        <v>0</v>
      </c>
      <c r="AG98" s="226">
        <f>_xlfn.SUMIFS(Налоги!AG$25:AG$69,Налоги!$F$25:$F$69,$F98,Налоги!$AB$25:$AB$69,$G98)</f>
        <v>0</v>
      </c>
      <c r="AH98" s="926">
        <f>AG98-AF98</f>
        <v>0</v>
      </c>
      <c r="AI98" s="926">
        <f>_xlfn.SUMIFS(Налоги!AH$25:AH$69,Налоги!$F$25:$F$69,$F98,Налоги!$AB$25:$AB$69,$G98)</f>
        <v>0</v>
      </c>
      <c r="AJ98" s="926">
        <f>_xlfn.SUMIFS(Налоги!AI$25:AI$69,Налоги!$F$25:$F$69,$F98,Налоги!$AB$25:$AB$69,$G98)</f>
        <v>0</v>
      </c>
      <c r="AK98" s="926">
        <f>_xlfn.SUMIFS(Налоги!AJ$25:AJ$69,Налоги!$F$25:$F$69,$F98,Налоги!$AB$25:$AB$69,$G98)</f>
        <v>0</v>
      </c>
      <c r="AL98" s="926">
        <f>_xlfn.SUMIFS(Налоги!AK$25:AK$69,Налоги!$F$25:$F$69,$F98,Налоги!$AB$25:$AB$69,$G98)</f>
        <v>0</v>
      </c>
      <c r="AM98" s="926">
        <f>_xlfn.SUMIFS(Налоги!AL$25:AL$69,Налоги!$F$25:$F$69,$F98,Налоги!$AB$25:$AB$69,$G98)</f>
        <v>0</v>
      </c>
      <c r="AN98" s="926">
        <f>_xlfn.SUMIFS(Налоги!AM$25:AM$69,Налоги!$F$25:$F$69,$F98,Налоги!$AB$25:$AB$69,$G98)</f>
        <v>0</v>
      </c>
      <c r="AO98" s="926">
        <f>_xlfn.SUMIFS(Налоги!AN$25:AN$69,Налоги!$F$25:$F$69,$F98,Налоги!$AB$25:$AB$69,$G98)</f>
        <v>0</v>
      </c>
      <c r="AP98" s="926">
        <f>_xlfn.SUMIFS(Налоги!AO$25:AO$69,Налоги!$F$25:$F$69,$F98,Налоги!$AB$25:$AB$69,$G98)</f>
        <v>0</v>
      </c>
      <c r="AQ98" s="926">
        <f>_xlfn.SUMIFS(Налоги!AP$25:AP$69,Налоги!$F$25:$F$69,$F98,Налоги!$AB$25:$AB$69,$G98)</f>
        <v>0</v>
      </c>
      <c r="AR98" s="926">
        <f>_xlfn.SUMIFS(Налоги!AQ$25:AQ$69,Налоги!$F$25:$F$69,$F98,Налоги!$AB$25:$AB$69,$G98)</f>
        <v>0</v>
      </c>
      <c r="AS98" s="926">
        <f>_xlfn.SUMIFS(Налоги!AR$25:AR$69,Налоги!$F$25:$F$69,$F98,Налоги!$AB$25:$AB$69,$G98)</f>
        <v>0</v>
      </c>
      <c r="AT98" s="926">
        <f>_xlfn.SUMIFS(Налоги!AS$25:AS$69,Налоги!$F$25:$F$69,$F98,Налоги!$AB$25:$AB$69,$G98)</f>
        <v>0</v>
      </c>
      <c r="AU98" s="926">
        <f>_xlfn.SUMIFS(Налоги!AT$25:AT$69,Налоги!$F$25:$F$69,$F98,Налоги!$AB$25:$AB$69,$G98)</f>
        <v>0</v>
      </c>
      <c r="AV98" s="926">
        <f>_xlfn.SUMIFS(Налоги!AU$25:AU$69,Налоги!$F$25:$F$69,$F98,Налоги!$AB$25:$AB$69,$G98)</f>
        <v>0</v>
      </c>
      <c r="AW98" s="926">
        <f>_xlfn.SUMIFS(Налоги!AV$25:AV$69,Налоги!$F$25:$F$69,$F98,Налоги!$AB$25:$AB$69,$G98)</f>
        <v>0</v>
      </c>
      <c r="AX98" s="926">
        <f>_xlfn.SUMIFS(Налоги!AW$25:AW$69,Налоги!$F$25:$F$69,$F98,Налоги!$AB$25:$AB$69,$G98)</f>
        <v>0</v>
      </c>
      <c r="AY98" s="926">
        <f>_xlfn.SUMIFS(Налоги!AX$25:AX$69,Налоги!$F$25:$F$69,$F98,Налоги!$AB$25:$AB$69,$G98)</f>
        <v>0</v>
      </c>
      <c r="AZ98" s="926">
        <f>_xlfn.SUMIFS(Налоги!AY$25:AY$69,Налоги!$F$25:$F$69,$F98,Налоги!$AB$25:$AB$69,$G98)</f>
        <v>0</v>
      </c>
      <c r="BA98" s="926">
        <f>_xlfn.SUMIFS(Налоги!AZ$25:AZ$69,Налоги!$F$25:$F$69,$F98,Налоги!$AB$25:$AB$69,$G98)</f>
        <v>0</v>
      </c>
      <c r="BB98" s="926">
        <f>_xlfn.SUMIFS(Налоги!BA$25:BA$69,Налоги!$F$25:$F$69,$F98,Налоги!$AB$25:$AB$69,$G98)</f>
        <v>0</v>
      </c>
      <c r="BC98" s="926">
        <f>_xlfn.SUMIFS(Налоги!BB$25:BB$69,Налоги!$F$25:$F$69,$F98,Налоги!$AB$25:$AB$69,$G98)</f>
        <v>0</v>
      </c>
      <c r="BD98" s="926">
        <f>IF(AI98=0,0,(AT98-AI98)/AI98*100)</f>
        <v>0</v>
      </c>
      <c r="BE98" s="926">
        <f>IF(AT98=0,0,(AU98-AT98)/AT98*100)</f>
        <v>0</v>
      </c>
      <c r="BF98" s="926">
        <f>IF(AU98=0,0,(AV98-AU98)/AU98*100)</f>
        <v>0</v>
      </c>
      <c r="BG98" s="926">
        <f>IF(AV98=0,0,(AW98-AV98)/AV98*100)</f>
        <v>0</v>
      </c>
      <c r="BH98" s="926">
        <f>IF(AW98=0,0,(AX98-AW98)/AW98*100)</f>
        <v>0</v>
      </c>
      <c r="BI98" s="926">
        <f>IF(AX98=0,0,(AY98-AX98)/AX98*100)</f>
        <v>0</v>
      </c>
      <c r="BJ98" s="926">
        <f>IF(AY98=0,0,(AZ98-AY98)/AY98*100)</f>
        <v>0</v>
      </c>
      <c r="BK98" s="926">
        <f>IF(AZ98=0,0,(BA98-AZ98)/AZ98*100)</f>
        <v>0</v>
      </c>
      <c r="BL98" s="926">
        <f>IF(BA98=0,0,(BB98-BA98)/BA98*100)</f>
        <v>0</v>
      </c>
      <c r="BM98" s="926">
        <f>IF(BB98=0,0,(BC98-BB98)/BB98*100)</f>
        <v>0</v>
      </c>
      <c r="BN98" s="1283"/>
      <c r="BO98" s="1281" t="str">
        <f>IF(_xlfn.IFERROR(INDEX(Налоги!$K$26:$L$69,MATCH($F98&amp;"1komm",Налоги!$K$26:$K$69,0),2),"")=0,"",_xlfn.IFERROR(INDEX(Налоги!$K$26:$L$69,MATCH($F98&amp;"1komm",Налоги!$K$26:$K$69,0),2),""))</f>
        <v/>
      </c>
      <c r="BP98" s="1283"/>
      <c r="BQ98" s="960"/>
      <c r="BR98" s="960"/>
      <c r="BS98" s="1048" t="s">
        <v>1949</v>
      </c>
      <c r="BT98" s="1048"/>
      <c r="BU98" s="1048"/>
      <c r="BV98" s="962"/>
      <c r="BW98" s="962"/>
    </row>
    <row customHeight="1" ht="14.625" hidden="1">
      <c r="A99" s="960"/>
      <c r="B99" s="62"/>
      <c r="C99" s="73"/>
      <c r="D99" s="73"/>
      <c r="E99" s="600">
        <v>15</v>
      </c>
      <c r="F99" s="50" cm="1" t="str">
        <f t="array" ref="F99:F99">OFFSET(E99,-1,1)</f>
        <v>0</v>
      </c>
      <c r="G99" s="904">
        <v>3</v>
      </c>
      <c r="H99" s="73"/>
      <c r="I99" s="73" t="s">
        <v>1950</v>
      </c>
      <c r="J99" s="73"/>
      <c r="K99" s="73" t="s">
        <v>1950</v>
      </c>
      <c r="L99" s="963"/>
      <c r="M99" s="73"/>
      <c r="N99" s="73"/>
      <c r="O99" s="73"/>
      <c r="P99" s="73"/>
      <c r="Q99" s="73"/>
      <c r="R99" s="73"/>
      <c r="S99" s="73"/>
      <c r="T99" s="439" cm="1" t="str">
        <f t="array" ref="T99:T99">T98</f>
        <v>false</v>
      </c>
      <c r="U99" s="73"/>
      <c r="V99" s="73"/>
      <c r="W99" s="960"/>
      <c r="X99" s="1482"/>
      <c r="Y99" s="960"/>
      <c r="Z99" s="1465"/>
      <c r="AA99" s="960"/>
      <c r="AB99" s="266" t="s">
        <v>1951</v>
      </c>
      <c r="AC99" s="746" t="s">
        <v>1952</v>
      </c>
      <c r="AD99" s="267" t="s">
        <v>784</v>
      </c>
      <c r="AE99" s="1282">
        <f>_xlfn.SUMIFS(Налоги!AE$25:AE$69,Налоги!$F$25:$F$69,$F99,Налоги!$AB$25:$AB$69,$G99)</f>
        <v>0</v>
      </c>
      <c r="AF99" s="1282">
        <f>_xlfn.SUMIFS(Налоги!AF$25:AF$69,Налоги!$F$25:$F$69,$F99,Налоги!$AB$25:$AB$69,$G99)</f>
        <v>0</v>
      </c>
      <c r="AG99" s="1282">
        <f>_xlfn.SUMIFS(Налоги!AG$25:AG$69,Налоги!$F$25:$F$69,$F99,Налоги!$AB$25:$AB$69,$G99)</f>
        <v>0</v>
      </c>
      <c r="AH99" s="926">
        <f>AG99-AF99</f>
        <v>0</v>
      </c>
      <c r="AI99" s="1280">
        <f>_xlfn.SUMIFS(Налоги!AH$25:AH$69,Налоги!$F$25:$F$69,$F99,Налоги!$AB$25:$AB$69,$G99)</f>
        <v>0</v>
      </c>
      <c r="AJ99" s="4765">
        <f>_xlfn.SUMIFS(Налоги!AI$25:AI$69,Налоги!$F$25:$F$69,$F99,Налоги!$AB$25:$AB$69,$G99)</f>
        <v>0</v>
      </c>
      <c r="AK99" s="1280">
        <f>_xlfn.SUMIFS(Налоги!AJ$25:AJ$69,Налоги!$F$25:$F$69,$F99,Налоги!$AB$25:$AB$69,$G99)</f>
        <v>0</v>
      </c>
      <c r="AL99" s="1280">
        <f>_xlfn.SUMIFS(Налоги!AK$25:AK$69,Налоги!$F$25:$F$69,$F99,Налоги!$AB$25:$AB$69,$G99)</f>
        <v>0</v>
      </c>
      <c r="AM99" s="1280">
        <f>_xlfn.SUMIFS(Налоги!AL$25:AL$69,Налоги!$F$25:$F$69,$F99,Налоги!$AB$25:$AB$69,$G99)</f>
        <v>0</v>
      </c>
      <c r="AN99" s="1280">
        <f>_xlfn.SUMIFS(Налоги!AM$25:AM$69,Налоги!$F$25:$F$69,$F99,Налоги!$AB$25:$AB$69,$G99)</f>
        <v>0</v>
      </c>
      <c r="AO99" s="1280">
        <f>_xlfn.SUMIFS(Налоги!AN$25:AN$69,Налоги!$F$25:$F$69,$F99,Налоги!$AB$25:$AB$69,$G99)</f>
        <v>0</v>
      </c>
      <c r="AP99" s="1280">
        <f>_xlfn.SUMIFS(Налоги!AO$25:AO$69,Налоги!$F$25:$F$69,$F99,Налоги!$AB$25:$AB$69,$G99)</f>
        <v>0</v>
      </c>
      <c r="AQ99" s="1280">
        <f>_xlfn.SUMIFS(Налоги!AP$25:AP$69,Налоги!$F$25:$F$69,$F99,Налоги!$AB$25:$AB$69,$G99)</f>
        <v>0</v>
      </c>
      <c r="AR99" s="1280">
        <f>_xlfn.SUMIFS(Налоги!AQ$25:AQ$69,Налоги!$F$25:$F$69,$F99,Налоги!$AB$25:$AB$69,$G99)</f>
        <v>0</v>
      </c>
      <c r="AS99" s="1280">
        <f>_xlfn.SUMIFS(Налоги!AR$25:AR$69,Налоги!$F$25:$F$69,$F99,Налоги!$AB$25:$AB$69,$G99)</f>
        <v>0</v>
      </c>
      <c r="AT99" s="4765">
        <f>_xlfn.SUMIFS(Налоги!AS$25:AS$69,Налоги!$F$25:$F$69,$F99,Налоги!$AB$25:$AB$69,$G99)</f>
        <v>0</v>
      </c>
      <c r="AU99" s="1280">
        <f>_xlfn.SUMIFS(Налоги!AT$25:AT$69,Налоги!$F$25:$F$69,$F99,Налоги!$AB$25:$AB$69,$G99)</f>
        <v>0</v>
      </c>
      <c r="AV99" s="1280">
        <f>_xlfn.SUMIFS(Налоги!AU$25:AU$69,Налоги!$F$25:$F$69,$F99,Налоги!$AB$25:$AB$69,$G99)</f>
        <v>0</v>
      </c>
      <c r="AW99" s="1280">
        <f>_xlfn.SUMIFS(Налоги!AV$25:AV$69,Налоги!$F$25:$F$69,$F99,Налоги!$AB$25:$AB$69,$G99)</f>
        <v>0</v>
      </c>
      <c r="AX99" s="1280">
        <f>_xlfn.SUMIFS(Налоги!AW$25:AW$69,Налоги!$F$25:$F$69,$F99,Налоги!$AB$25:$AB$69,$G99)</f>
        <v>0</v>
      </c>
      <c r="AY99" s="1280">
        <f>_xlfn.SUMIFS(Налоги!AX$25:AX$69,Налоги!$F$25:$F$69,$F99,Налоги!$AB$25:$AB$69,$G99)</f>
        <v>0</v>
      </c>
      <c r="AZ99" s="1280">
        <f>_xlfn.SUMIFS(Налоги!AY$25:AY$69,Налоги!$F$25:$F$69,$F99,Налоги!$AB$25:$AB$69,$G99)</f>
        <v>0</v>
      </c>
      <c r="BA99" s="1280">
        <f>_xlfn.SUMIFS(Налоги!AZ$25:AZ$69,Налоги!$F$25:$F$69,$F99,Налоги!$AB$25:$AB$69,$G99)</f>
        <v>0</v>
      </c>
      <c r="BB99" s="1280">
        <f>_xlfn.SUMIFS(Налоги!BA$25:BA$69,Налоги!$F$25:$F$69,$F99,Налоги!$AB$25:$AB$69,$G99)</f>
        <v>0</v>
      </c>
      <c r="BC99" s="1280">
        <f>_xlfn.SUMIFS(Налоги!BB$25:BB$69,Налоги!$F$25:$F$69,$F99,Налоги!$AB$25:$AB$69,$G99)</f>
        <v>0</v>
      </c>
      <c r="BD99" s="926">
        <f>IF(AI99=0,0,(AT99-AI99)/AI99*100)</f>
        <v>0</v>
      </c>
      <c r="BE99" s="926">
        <f>IF(AT99=0,0,(AU99-AT99)/AT99*100)</f>
        <v>0</v>
      </c>
      <c r="BF99" s="926">
        <f>IF(AU99=0,0,(AV99-AU99)/AU99*100)</f>
        <v>0</v>
      </c>
      <c r="BG99" s="926">
        <f>IF(AV99=0,0,(AW99-AV99)/AV99*100)</f>
        <v>0</v>
      </c>
      <c r="BH99" s="926">
        <f>IF(AW99=0,0,(AX99-AW99)/AW99*100)</f>
        <v>0</v>
      </c>
      <c r="BI99" s="926">
        <f>IF(AX99=0,0,(AY99-AX99)/AX99*100)</f>
        <v>0</v>
      </c>
      <c r="BJ99" s="926">
        <f>IF(AY99=0,0,(AZ99-AY99)/AY99*100)</f>
        <v>0</v>
      </c>
      <c r="BK99" s="926">
        <f>IF(AZ99=0,0,(BA99-AZ99)/AZ99*100)</f>
        <v>0</v>
      </c>
      <c r="BL99" s="926">
        <f>IF(BA99=0,0,(BB99-BA99)/BA99*100)</f>
        <v>0</v>
      </c>
      <c r="BM99" s="926">
        <f>IF(BB99=0,0,(BC99-BB99)/BB99*100)</f>
        <v>0</v>
      </c>
      <c r="BN99" s="1283"/>
      <c r="BO99" s="1281" t="str">
        <f>IF(_xlfn.IFERROR(INDEX(Налоги!$K$26:$L$69,MATCH($F99&amp;"5komm",Налоги!$K$26:$K$69,0),2),"")=0,"",_xlfn.IFERROR(INDEX(Налоги!$K$26:$L$69,MATCH($F99&amp;"5komm",Налоги!$K$26:$K$69,0),2),""))</f>
        <v/>
      </c>
      <c r="BP99" s="1283"/>
      <c r="BQ99" s="960"/>
      <c r="BR99" s="960"/>
      <c r="BS99" s="1048" t="s">
        <v>1953</v>
      </c>
      <c r="BT99" s="1048"/>
      <c r="BU99" s="1048"/>
      <c r="BV99" s="962"/>
      <c r="BW99" s="962"/>
    </row>
    <row customHeight="1" ht="14.625" hidden="1">
      <c r="A100" s="960"/>
      <c r="B100" s="62"/>
      <c r="C100" s="73"/>
      <c r="D100" s="73"/>
      <c r="E100" s="600">
        <v>15</v>
      </c>
      <c r="F100" s="50" cm="1" t="str">
        <f t="array" ref="F100:F100">OFFSET(E100,-1,1)</f>
        <v>0</v>
      </c>
      <c r="G100" s="904">
        <v>8</v>
      </c>
      <c r="H100" s="73"/>
      <c r="I100" s="73" t="s">
        <v>1954</v>
      </c>
      <c r="J100" s="73"/>
      <c r="K100" s="73" t="s">
        <v>1954</v>
      </c>
      <c r="L100" s="963"/>
      <c r="M100" s="73"/>
      <c r="N100" s="73"/>
      <c r="O100" s="73"/>
      <c r="P100" s="73"/>
      <c r="Q100" s="73"/>
      <c r="R100" s="73"/>
      <c r="S100" s="73"/>
      <c r="T100" s="439" cm="1" t="str">
        <f t="array" ref="T100:T100">T99</f>
        <v>false</v>
      </c>
      <c r="U100" s="73"/>
      <c r="V100" s="73"/>
      <c r="W100" s="960"/>
      <c r="X100" s="1482"/>
      <c r="Y100" s="960"/>
      <c r="Z100" s="1465"/>
      <c r="AA100" s="960"/>
      <c r="AB100" s="266" t="s">
        <v>1955</v>
      </c>
      <c r="AC100" s="746" t="s">
        <v>1956</v>
      </c>
      <c r="AD100" s="267" t="s">
        <v>784</v>
      </c>
      <c r="AE100" s="226">
        <f>_xlfn.SUMIFS(Налоги!AE$25:AE$69,Налоги!$F$25:$F$69,$F100,Налоги!$AB$25:$AB$69,$G100)</f>
        <v>0</v>
      </c>
      <c r="AF100" s="226">
        <f>_xlfn.SUMIFS(Налоги!AF$25:AF$69,Налоги!$F$25:$F$69,$F100,Налоги!$AB$25:$AB$69,$G100)</f>
        <v>0</v>
      </c>
      <c r="AG100" s="226">
        <f>_xlfn.SUMIFS(Налоги!AG$25:AG$69,Налоги!$F$25:$F$69,$F100,Налоги!$AB$25:$AB$69,$G100)</f>
        <v>0</v>
      </c>
      <c r="AH100" s="926">
        <f>AG100-AF100</f>
        <v>0</v>
      </c>
      <c r="AI100" s="926">
        <f>_xlfn.SUMIFS(Налоги!AH$25:AH$69,Налоги!$F$25:$F$69,$F100,Налоги!$AB$25:$AB$69,$G100)</f>
        <v>0</v>
      </c>
      <c r="AJ100" s="926">
        <f>_xlfn.SUMIFS(Налоги!AI$25:AI$69,Налоги!$F$25:$F$69,$F100,Налоги!$AB$25:$AB$69,$G100)</f>
        <v>0</v>
      </c>
      <c r="AK100" s="926">
        <f>_xlfn.SUMIFS(Налоги!AJ$25:AJ$69,Налоги!$F$25:$F$69,$F100,Налоги!$AB$25:$AB$69,$G100)</f>
        <v>0</v>
      </c>
      <c r="AL100" s="926">
        <f>_xlfn.SUMIFS(Налоги!AK$25:AK$69,Налоги!$F$25:$F$69,$F100,Налоги!$AB$25:$AB$69,$G100)</f>
        <v>0</v>
      </c>
      <c r="AM100" s="926">
        <f>_xlfn.SUMIFS(Налоги!AL$25:AL$69,Налоги!$F$25:$F$69,$F100,Налоги!$AB$25:$AB$69,$G100)</f>
        <v>0</v>
      </c>
      <c r="AN100" s="926">
        <f>_xlfn.SUMIFS(Налоги!AM$25:AM$69,Налоги!$F$25:$F$69,$F100,Налоги!$AB$25:$AB$69,$G100)</f>
        <v>0</v>
      </c>
      <c r="AO100" s="926">
        <f>_xlfn.SUMIFS(Налоги!AN$25:AN$69,Налоги!$F$25:$F$69,$F100,Налоги!$AB$25:$AB$69,$G100)</f>
        <v>0</v>
      </c>
      <c r="AP100" s="926">
        <f>_xlfn.SUMIFS(Налоги!AO$25:AO$69,Налоги!$F$25:$F$69,$F100,Налоги!$AB$25:$AB$69,$G100)</f>
        <v>0</v>
      </c>
      <c r="AQ100" s="926">
        <f>_xlfn.SUMIFS(Налоги!AP$25:AP$69,Налоги!$F$25:$F$69,$F100,Налоги!$AB$25:$AB$69,$G100)</f>
        <v>0</v>
      </c>
      <c r="AR100" s="926">
        <f>_xlfn.SUMIFS(Налоги!AQ$25:AQ$69,Налоги!$F$25:$F$69,$F100,Налоги!$AB$25:$AB$69,$G100)</f>
        <v>0</v>
      </c>
      <c r="AS100" s="926">
        <f>_xlfn.SUMIFS(Налоги!AR$25:AR$69,Налоги!$F$25:$F$69,$F100,Налоги!$AB$25:$AB$69,$G100)</f>
        <v>0</v>
      </c>
      <c r="AT100" s="926">
        <f>_xlfn.SUMIFS(Налоги!AS$25:AS$69,Налоги!$F$25:$F$69,$F100,Налоги!$AB$25:$AB$69,$G100)</f>
        <v>0</v>
      </c>
      <c r="AU100" s="926">
        <f>_xlfn.SUMIFS(Налоги!AT$25:AT$69,Налоги!$F$25:$F$69,$F100,Налоги!$AB$25:$AB$69,$G100)</f>
        <v>0</v>
      </c>
      <c r="AV100" s="926">
        <f>_xlfn.SUMIFS(Налоги!AU$25:AU$69,Налоги!$F$25:$F$69,$F100,Налоги!$AB$25:$AB$69,$G100)</f>
        <v>0</v>
      </c>
      <c r="AW100" s="926">
        <f>_xlfn.SUMIFS(Налоги!AV$25:AV$69,Налоги!$F$25:$F$69,$F100,Налоги!$AB$25:$AB$69,$G100)</f>
        <v>0</v>
      </c>
      <c r="AX100" s="926">
        <f>_xlfn.SUMIFS(Налоги!AW$25:AW$69,Налоги!$F$25:$F$69,$F100,Налоги!$AB$25:$AB$69,$G100)</f>
        <v>0</v>
      </c>
      <c r="AY100" s="926">
        <f>_xlfn.SUMIFS(Налоги!AX$25:AX$69,Налоги!$F$25:$F$69,$F100,Налоги!$AB$25:$AB$69,$G100)</f>
        <v>0</v>
      </c>
      <c r="AZ100" s="926">
        <f>_xlfn.SUMIFS(Налоги!AY$25:AY$69,Налоги!$F$25:$F$69,$F100,Налоги!$AB$25:$AB$69,$G100)</f>
        <v>0</v>
      </c>
      <c r="BA100" s="926">
        <f>_xlfn.SUMIFS(Налоги!AZ$25:AZ$69,Налоги!$F$25:$F$69,$F100,Налоги!$AB$25:$AB$69,$G100)</f>
        <v>0</v>
      </c>
      <c r="BB100" s="926">
        <f>_xlfn.SUMIFS(Налоги!BA$25:BA$69,Налоги!$F$25:$F$69,$F100,Налоги!$AB$25:$AB$69,$G100)</f>
        <v>0</v>
      </c>
      <c r="BC100" s="926">
        <f>_xlfn.SUMIFS(Налоги!BB$25:BB$69,Налоги!$F$25:$F$69,$F100,Налоги!$AB$25:$AB$69,$G100)</f>
        <v>0</v>
      </c>
      <c r="BD100" s="926">
        <f>IF(AI100=0,0,(AT100-AI100)/AI100*100)</f>
        <v>0</v>
      </c>
      <c r="BE100" s="926">
        <f>IF(AT100=0,0,(AU100-AT100)/AT100*100)</f>
        <v>0</v>
      </c>
      <c r="BF100" s="926">
        <f>IF(AU100=0,0,(AV100-AU100)/AU100*100)</f>
        <v>0</v>
      </c>
      <c r="BG100" s="926">
        <f>IF(AV100=0,0,(AW100-AV100)/AV100*100)</f>
        <v>0</v>
      </c>
      <c r="BH100" s="926">
        <f>IF(AW100=0,0,(AX100-AW100)/AW100*100)</f>
        <v>0</v>
      </c>
      <c r="BI100" s="926">
        <f>IF(AX100=0,0,(AY100-AX100)/AX100*100)</f>
        <v>0</v>
      </c>
      <c r="BJ100" s="926">
        <f>IF(AY100=0,0,(AZ100-AY100)/AY100*100)</f>
        <v>0</v>
      </c>
      <c r="BK100" s="926">
        <f>IF(AZ100=0,0,(BA100-AZ100)/AZ100*100)</f>
        <v>0</v>
      </c>
      <c r="BL100" s="926">
        <f>IF(BA100=0,0,(BB100-BA100)/BA100*100)</f>
        <v>0</v>
      </c>
      <c r="BM100" s="926">
        <f>IF(BB100=0,0,(BC100-BB100)/BB100*100)</f>
        <v>0</v>
      </c>
      <c r="BN100" s="1283"/>
      <c r="BO100" s="1281" t="str">
        <f>IF(_xlfn.IFERROR(INDEX(Налоги!$K$26:$L$69,MATCH($F100&amp;"8komm",Налоги!$K$26:$K$69,0),2),"")=0,"",_xlfn.IFERROR(INDEX(Налоги!$K$26:$L$69,MATCH($F100&amp;"8komm",Налоги!$K$26:$K$69,0),2),""))</f>
        <v/>
      </c>
      <c r="BP100" s="1283"/>
      <c r="BQ100" s="960"/>
      <c r="BR100" s="960"/>
      <c r="BS100" s="1048" t="s">
        <v>1169</v>
      </c>
      <c r="BT100" s="1048"/>
      <c r="BU100" s="1048"/>
      <c r="BV100" s="962"/>
      <c r="BW100" s="962"/>
    </row>
    <row s="1260" customFormat="1" customHeight="1" ht="14.625" hidden="1">
      <c r="A101" s="1260"/>
      <c r="B101" s="62"/>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1260"/>
      <c r="X101" s="1482"/>
      <c r="Y101" s="1260"/>
      <c r="Z101" s="1465"/>
      <c r="AA101" s="1260"/>
      <c r="AB101" s="266" t="s">
        <v>1957</v>
      </c>
      <c r="AC101" s="761" t="s">
        <v>1958</v>
      </c>
      <c r="AD101" s="267" t="s">
        <v>784</v>
      </c>
      <c r="AE101" s="226">
        <f>_xlfn.SUMIFS(Налоги!AE$25:AE$69,Налоги!$F$25:$F$69,$F101,Налоги!$AB$25:$AB$69,$G101)</f>
        <v>0</v>
      </c>
      <c r="AF101" s="226">
        <f>_xlfn.SUMIFS(Налоги!AF$25:AF$69,Налоги!$F$25:$F$69,$F101,Налоги!$AB$25:$AB$69,$G101)</f>
        <v>0</v>
      </c>
      <c r="AG101" s="226">
        <f>_xlfn.SUMIFS(Налоги!AG$25:AG$69,Налоги!$F$25:$F$69,$F101,Налоги!$AB$25:$AB$69,$G101)</f>
        <v>0</v>
      </c>
      <c r="AH101" s="926">
        <f>AG101-AF101</f>
        <v>0</v>
      </c>
      <c r="AI101" s="926">
        <f>_xlfn.SUMIFS(Налоги!AH$25:AH$69,Налоги!$F$25:$F$69,$F101,Налоги!$AB$25:$AB$69,$G101)</f>
        <v>0</v>
      </c>
      <c r="AJ101" s="926">
        <f>_xlfn.SUMIFS(Налоги!AI$25:AI$69,Налоги!$F$25:$F$69,$F101,Налоги!$AB$25:$AB$69,$G101)</f>
        <v>0</v>
      </c>
      <c r="AK101" s="926">
        <f>_xlfn.SUMIFS(Налоги!AJ$25:AJ$69,Налоги!$F$25:$F$69,$F101,Налоги!$AB$25:$AB$69,$G101)</f>
        <v>0</v>
      </c>
      <c r="AL101" s="926">
        <f>_xlfn.SUMIFS(Налоги!AK$25:AK$69,Налоги!$F$25:$F$69,$F101,Налоги!$AB$25:$AB$69,$G101)</f>
        <v>0</v>
      </c>
      <c r="AM101" s="926">
        <f>_xlfn.SUMIFS(Налоги!AL$25:AL$69,Налоги!$F$25:$F$69,$F101,Налоги!$AB$25:$AB$69,$G101)</f>
        <v>0</v>
      </c>
      <c r="AN101" s="926">
        <f>_xlfn.SUMIFS(Налоги!AM$25:AM$69,Налоги!$F$25:$F$69,$F101,Налоги!$AB$25:$AB$69,$G101)</f>
        <v>0</v>
      </c>
      <c r="AO101" s="926">
        <f>_xlfn.SUMIFS(Налоги!AN$25:AN$69,Налоги!$F$25:$F$69,$F101,Налоги!$AB$25:$AB$69,$G101)</f>
        <v>0</v>
      </c>
      <c r="AP101" s="926">
        <f>_xlfn.SUMIFS(Налоги!AO$25:AO$69,Налоги!$F$25:$F$69,$F101,Налоги!$AB$25:$AB$69,$G101)</f>
        <v>0</v>
      </c>
      <c r="AQ101" s="926">
        <f>_xlfn.SUMIFS(Налоги!AP$25:AP$69,Налоги!$F$25:$F$69,$F101,Налоги!$AB$25:$AB$69,$G101)</f>
        <v>0</v>
      </c>
      <c r="AR101" s="926">
        <f>_xlfn.SUMIFS(Налоги!AQ$25:AQ$69,Налоги!$F$25:$F$69,$F101,Налоги!$AB$25:$AB$69,$G101)</f>
        <v>0</v>
      </c>
      <c r="AS101" s="926">
        <f>_xlfn.SUMIFS(Налоги!AR$25:AR$69,Налоги!$F$25:$F$69,$F101,Налоги!$AB$25:$AB$69,$G101)</f>
        <v>0</v>
      </c>
      <c r="AT101" s="926">
        <f>_xlfn.SUMIFS(Налоги!AS$25:AS$69,Налоги!$F$25:$F$69,$F101,Налоги!$AB$25:$AB$69,$G101)</f>
        <v>0</v>
      </c>
      <c r="AU101" s="926">
        <f>_xlfn.SUMIFS(Налоги!AT$25:AT$69,Налоги!$F$25:$F$69,$F101,Налоги!$AB$25:$AB$69,$G101)</f>
        <v>0</v>
      </c>
      <c r="AV101" s="926">
        <f>_xlfn.SUMIFS(Налоги!AU$25:AU$69,Налоги!$F$25:$F$69,$F101,Налоги!$AB$25:$AB$69,$G101)</f>
        <v>0</v>
      </c>
      <c r="AW101" s="926">
        <f>_xlfn.SUMIFS(Налоги!AV$25:AV$69,Налоги!$F$25:$F$69,$F101,Налоги!$AB$25:$AB$69,$G101)</f>
        <v>0</v>
      </c>
      <c r="AX101" s="926">
        <f>_xlfn.SUMIFS(Налоги!AW$25:AW$69,Налоги!$F$25:$F$69,$F101,Налоги!$AB$25:$AB$69,$G101)</f>
        <v>0</v>
      </c>
      <c r="AY101" s="926">
        <f>_xlfn.SUMIFS(Налоги!AX$25:AX$69,Налоги!$F$25:$F$69,$F101,Налоги!$AB$25:$AB$69,$G101)</f>
        <v>0</v>
      </c>
      <c r="AZ101" s="926">
        <f>_xlfn.SUMIFS(Налоги!AY$25:AY$69,Налоги!$F$25:$F$69,$F101,Налоги!$AB$25:$AB$69,$G101)</f>
        <v>0</v>
      </c>
      <c r="BA101" s="926">
        <f>_xlfn.SUMIFS(Налоги!AZ$25:AZ$69,Налоги!$F$25:$F$69,$F101,Налоги!$AB$25:$AB$69,$G101)</f>
        <v>0</v>
      </c>
      <c r="BB101" s="926">
        <f>_xlfn.SUMIFS(Налоги!BA$25:BA$69,Налоги!$F$25:$F$69,$F101,Налоги!$AB$25:$AB$69,$G101)</f>
        <v>0</v>
      </c>
      <c r="BC101" s="926">
        <f>_xlfn.SUMIFS(Налоги!BB$25:BB$69,Налоги!$F$25:$F$69,$F101,Налоги!$AB$25:$AB$69,$G101)</f>
        <v>0</v>
      </c>
      <c r="BD101" s="926">
        <f>IF(AI101=0,0,(AT101-AI101)/AI101*100)</f>
        <v>0</v>
      </c>
      <c r="BE101" s="926">
        <f>IF(AT101=0,0,(AU101-AT101)/AT101*100)</f>
        <v>0</v>
      </c>
      <c r="BF101" s="926">
        <f>IF(AU101=0,0,(AV101-AU101)/AU101*100)</f>
        <v>0</v>
      </c>
      <c r="BG101" s="926">
        <f>IF(AV101=0,0,(AW101-AV101)/AV101*100)</f>
        <v>0</v>
      </c>
      <c r="BH101" s="926">
        <f>IF(AW101=0,0,(AX101-AW101)/AW101*100)</f>
        <v>0</v>
      </c>
      <c r="BI101" s="926">
        <f>IF(AX101=0,0,(AY101-AX101)/AX101*100)</f>
        <v>0</v>
      </c>
      <c r="BJ101" s="926">
        <f>IF(AY101=0,0,(AZ101-AY101)/AY101*100)</f>
        <v>0</v>
      </c>
      <c r="BK101" s="926">
        <f>IF(AZ101=0,0,(BA101-AZ101)/AZ101*100)</f>
        <v>0</v>
      </c>
      <c r="BL101" s="926">
        <f>IF(BA101=0,0,(BB101-BA101)/BA101*100)</f>
        <v>0</v>
      </c>
      <c r="BM101" s="926">
        <f>IF(BB101=0,0,(BC101-BB101)/BB101*100)</f>
        <v>0</v>
      </c>
      <c r="BN101" s="1283"/>
      <c r="BO101" s="1281" t="str">
        <f>IF(_xlfn.IFERROR(INDEX(Налоги!$K$26:$L$69,MATCH($F101&amp;"9komm",Налоги!$K$26:$K$69,0),2),"")=0,"",_xlfn.IFERROR(INDEX(Налоги!$K$26:$L$69,MATCH($F101&amp;"9komm",Налоги!$K$26:$K$69,0),2),""))</f>
        <v/>
      </c>
      <c r="BP101" s="1283"/>
      <c r="BQ101" s="1260"/>
      <c r="BR101" s="1260"/>
      <c r="BS101" s="1055" t="s">
        <v>1959</v>
      </c>
      <c r="BT101" s="1055"/>
      <c r="BU101" s="1055"/>
      <c r="BV101" s="1056"/>
      <c r="BW101" s="1056"/>
    </row>
    <row customHeight="1" ht="14.625" hidden="1">
      <c r="A102" s="960"/>
      <c r="B102" s="62"/>
      <c r="C102" s="73"/>
      <c r="D102" s="73"/>
      <c r="E102" s="600">
        <v>15</v>
      </c>
      <c r="F102" s="50" cm="1" t="str">
        <f t="array" ref="F102:F102">OFFSET(E102,-1,1)</f>
        <v>0</v>
      </c>
      <c r="G102" s="904">
        <v>10</v>
      </c>
      <c r="H102" s="73"/>
      <c r="I102" s="73" t="s">
        <v>1960</v>
      </c>
      <c r="J102" s="73"/>
      <c r="K102" s="73" t="s">
        <v>1960</v>
      </c>
      <c r="L102" s="963"/>
      <c r="M102" s="73"/>
      <c r="N102" s="73"/>
      <c r="O102" s="73"/>
      <c r="P102" s="73"/>
      <c r="Q102" s="73"/>
      <c r="R102" s="73"/>
      <c r="S102" s="73"/>
      <c r="T102" s="439" cm="1" t="str">
        <f t="array" ref="T102:T102">T101</f>
        <v>false</v>
      </c>
      <c r="U102" s="73"/>
      <c r="V102" s="73"/>
      <c r="W102" s="960"/>
      <c r="X102" s="1482"/>
      <c r="Y102" s="960"/>
      <c r="Z102" s="1465"/>
      <c r="AA102" s="960"/>
      <c r="AB102" s="266" t="s">
        <v>1961</v>
      </c>
      <c r="AC102" s="762" t="s">
        <v>1962</v>
      </c>
      <c r="AD102" s="267" t="s">
        <v>784</v>
      </c>
      <c r="AE102" s="226">
        <f>_xlfn.SUMIFS(Налоги!AE$25:AE$69,Налоги!$F$25:$F$69,$F102,Налоги!$AB$25:$AB$69,$G102)</f>
        <v>0</v>
      </c>
      <c r="AF102" s="226">
        <f>_xlfn.SUMIFS(Налоги!AF$25:AF$69,Налоги!$F$25:$F$69,$F102,Налоги!$AB$25:$AB$69,$G102)</f>
        <v>0</v>
      </c>
      <c r="AG102" s="226">
        <f>_xlfn.SUMIFS(Налоги!AG$25:AG$69,Налоги!$F$25:$F$69,$F102,Налоги!$AB$25:$AB$69,$G102)</f>
        <v>0</v>
      </c>
      <c r="AH102" s="926">
        <f>AG102-AF102</f>
        <v>0</v>
      </c>
      <c r="AI102" s="926">
        <f>_xlfn.SUMIFS(Налоги!AH$25:AH$69,Налоги!$F$25:$F$69,$F102,Налоги!$AB$25:$AB$69,$G102)</f>
        <v>0</v>
      </c>
      <c r="AJ102" s="926">
        <f>_xlfn.SUMIFS(Налоги!AI$25:AI$69,Налоги!$F$25:$F$69,$F102,Налоги!$AB$25:$AB$69,$G102)</f>
        <v>0</v>
      </c>
      <c r="AK102" s="926">
        <f>_xlfn.SUMIFS(Налоги!AJ$25:AJ$69,Налоги!$F$25:$F$69,$F102,Налоги!$AB$25:$AB$69,$G102)</f>
        <v>0</v>
      </c>
      <c r="AL102" s="926">
        <f>_xlfn.SUMIFS(Налоги!AK$25:AK$69,Налоги!$F$25:$F$69,$F102,Налоги!$AB$25:$AB$69,$G102)</f>
        <v>0</v>
      </c>
      <c r="AM102" s="926">
        <f>_xlfn.SUMIFS(Налоги!AL$25:AL$69,Налоги!$F$25:$F$69,$F102,Налоги!$AB$25:$AB$69,$G102)</f>
        <v>0</v>
      </c>
      <c r="AN102" s="926">
        <f>_xlfn.SUMIFS(Налоги!AM$25:AM$69,Налоги!$F$25:$F$69,$F102,Налоги!$AB$25:$AB$69,$G102)</f>
        <v>0</v>
      </c>
      <c r="AO102" s="926">
        <f>_xlfn.SUMIFS(Налоги!AN$25:AN$69,Налоги!$F$25:$F$69,$F102,Налоги!$AB$25:$AB$69,$G102)</f>
        <v>0</v>
      </c>
      <c r="AP102" s="926">
        <f>_xlfn.SUMIFS(Налоги!AO$25:AO$69,Налоги!$F$25:$F$69,$F102,Налоги!$AB$25:$AB$69,$G102)</f>
        <v>0</v>
      </c>
      <c r="AQ102" s="926">
        <f>_xlfn.SUMIFS(Налоги!AP$25:AP$69,Налоги!$F$25:$F$69,$F102,Налоги!$AB$25:$AB$69,$G102)</f>
        <v>0</v>
      </c>
      <c r="AR102" s="926">
        <f>_xlfn.SUMIFS(Налоги!AQ$25:AQ$69,Налоги!$F$25:$F$69,$F102,Налоги!$AB$25:$AB$69,$G102)</f>
        <v>0</v>
      </c>
      <c r="AS102" s="926">
        <f>_xlfn.SUMIFS(Налоги!AR$25:AR$69,Налоги!$F$25:$F$69,$F102,Налоги!$AB$25:$AB$69,$G102)</f>
        <v>0</v>
      </c>
      <c r="AT102" s="926">
        <f>_xlfn.SUMIFS(Налоги!AS$25:AS$69,Налоги!$F$25:$F$69,$F102,Налоги!$AB$25:$AB$69,$G102)</f>
        <v>0</v>
      </c>
      <c r="AU102" s="926">
        <f>_xlfn.SUMIFS(Налоги!AT$25:AT$69,Налоги!$F$25:$F$69,$F102,Налоги!$AB$25:$AB$69,$G102)</f>
        <v>0</v>
      </c>
      <c r="AV102" s="926">
        <f>_xlfn.SUMIFS(Налоги!AU$25:AU$69,Налоги!$F$25:$F$69,$F102,Налоги!$AB$25:$AB$69,$G102)</f>
        <v>0</v>
      </c>
      <c r="AW102" s="926">
        <f>_xlfn.SUMIFS(Налоги!AV$25:AV$69,Налоги!$F$25:$F$69,$F102,Налоги!$AB$25:$AB$69,$G102)</f>
        <v>0</v>
      </c>
      <c r="AX102" s="926">
        <f>_xlfn.SUMIFS(Налоги!AW$25:AW$69,Налоги!$F$25:$F$69,$F102,Налоги!$AB$25:$AB$69,$G102)</f>
        <v>0</v>
      </c>
      <c r="AY102" s="926">
        <f>_xlfn.SUMIFS(Налоги!AX$25:AX$69,Налоги!$F$25:$F$69,$F102,Налоги!$AB$25:$AB$69,$G102)</f>
        <v>0</v>
      </c>
      <c r="AZ102" s="926">
        <f>_xlfn.SUMIFS(Налоги!AY$25:AY$69,Налоги!$F$25:$F$69,$F102,Налоги!$AB$25:$AB$69,$G102)</f>
        <v>0</v>
      </c>
      <c r="BA102" s="926">
        <f>_xlfn.SUMIFS(Налоги!AZ$25:AZ$69,Налоги!$F$25:$F$69,$F102,Налоги!$AB$25:$AB$69,$G102)</f>
        <v>0</v>
      </c>
      <c r="BB102" s="926">
        <f>_xlfn.SUMIFS(Налоги!BA$25:BA$69,Налоги!$F$25:$F$69,$F102,Налоги!$AB$25:$AB$69,$G102)</f>
        <v>0</v>
      </c>
      <c r="BC102" s="926">
        <f>_xlfn.SUMIFS(Налоги!BB$25:BB$69,Налоги!$F$25:$F$69,$F102,Налоги!$AB$25:$AB$69,$G102)</f>
        <v>0</v>
      </c>
      <c r="BD102" s="926">
        <f>IF(AI102=0,0,(AT102-AI102)/AI102*100)</f>
        <v>0</v>
      </c>
      <c r="BE102" s="926">
        <f>IF(AT102=0,0,(AU102-AT102)/AT102*100)</f>
        <v>0</v>
      </c>
      <c r="BF102" s="926">
        <f>IF(AU102=0,0,(AV102-AU102)/AU102*100)</f>
        <v>0</v>
      </c>
      <c r="BG102" s="926">
        <f>IF(AV102=0,0,(AW102-AV102)/AV102*100)</f>
        <v>0</v>
      </c>
      <c r="BH102" s="926">
        <f>IF(AW102=0,0,(AX102-AW102)/AW102*100)</f>
        <v>0</v>
      </c>
      <c r="BI102" s="926">
        <f>IF(AX102=0,0,(AY102-AX102)/AX102*100)</f>
        <v>0</v>
      </c>
      <c r="BJ102" s="926">
        <f>IF(AY102=0,0,(AZ102-AY102)/AY102*100)</f>
        <v>0</v>
      </c>
      <c r="BK102" s="926">
        <f>IF(AZ102=0,0,(BA102-AZ102)/AZ102*100)</f>
        <v>0</v>
      </c>
      <c r="BL102" s="926">
        <f>IF(BA102=0,0,(BB102-BA102)/BA102*100)</f>
        <v>0</v>
      </c>
      <c r="BM102" s="926">
        <f>IF(BB102=0,0,(BC102-BB102)/BB102*100)</f>
        <v>0</v>
      </c>
      <c r="BN102" s="1283"/>
      <c r="BO102" s="1281" t="str">
        <f>IF(_xlfn.IFERROR(INDEX(Налоги!$K$26:$L$69,MATCH($F102&amp;"10komm",Налоги!$K$26:$K$69,0),2),"")=0,"",_xlfn.IFERROR(INDEX(Налоги!$K$26:$L$69,MATCH($F102&amp;"10komm",Налоги!$K$26:$K$69,0),2),""))</f>
        <v/>
      </c>
      <c r="BP102" s="1283"/>
      <c r="BQ102" s="960"/>
      <c r="BR102" s="960"/>
      <c r="BS102" s="1048" t="s">
        <v>1963</v>
      </c>
      <c r="BT102" s="1048"/>
      <c r="BU102" s="1048"/>
      <c r="BV102" s="962"/>
      <c r="BW102" s="962"/>
    </row>
    <row customHeight="1" ht="65.8125" hidden="1">
      <c r="A103" s="960"/>
      <c r="B103" s="961"/>
      <c r="C103" s="960"/>
      <c r="D103" s="960"/>
      <c r="E103" s="683">
        <v>67.5</v>
      </c>
      <c r="F103" s="50" cm="1" t="str">
        <f t="array" ref="F103:F103">OFFSET(E103,-1,1)</f>
        <v>0</v>
      </c>
      <c r="G103" s="124" t="s">
        <v>1328</v>
      </c>
      <c r="H103" s="960"/>
      <c r="I103" s="124" t="s">
        <v>867</v>
      </c>
      <c r="J103" s="960"/>
      <c r="K103" s="124" t="s">
        <v>867</v>
      </c>
      <c r="L103" s="963"/>
      <c r="M103" s="73"/>
      <c r="N103" s="960"/>
      <c r="O103" s="960"/>
      <c r="P103" s="960"/>
      <c r="Q103" s="960"/>
      <c r="R103" s="960"/>
      <c r="S103" s="960"/>
      <c r="T103" s="439" cm="1" t="str">
        <f t="array" ref="T103:T103">T102</f>
        <v>false</v>
      </c>
      <c r="U103" s="960"/>
      <c r="V103" s="960"/>
      <c r="W103" s="960"/>
      <c r="X103" s="1482"/>
      <c r="Y103" s="960"/>
      <c r="Z103" s="1465"/>
      <c r="AA103" s="960"/>
      <c r="AB103" s="266" t="s">
        <v>868</v>
      </c>
      <c r="AC103" s="763" t="s">
        <v>1331</v>
      </c>
      <c r="AD103" s="267" t="s">
        <v>784</v>
      </c>
      <c r="AE103" s="1284"/>
      <c r="AF103" s="1284"/>
      <c r="AG103" s="1284"/>
      <c r="AH103" s="926">
        <f>AG103-AF103</f>
        <v>0</v>
      </c>
      <c r="AI103" s="1285"/>
      <c r="AJ103" s="4769"/>
      <c r="AK103" s="1285"/>
      <c r="AL103" s="1285"/>
      <c r="AM103" s="1285"/>
      <c r="AN103" s="1285"/>
      <c r="AO103" s="1285"/>
      <c r="AP103" s="1285"/>
      <c r="AQ103" s="1285"/>
      <c r="AR103" s="1285"/>
      <c r="AS103" s="1285"/>
      <c r="AT103" s="4769"/>
      <c r="AU103" s="1285"/>
      <c r="AV103" s="1285"/>
      <c r="AW103" s="1285"/>
      <c r="AX103" s="1285"/>
      <c r="AY103" s="1285"/>
      <c r="AZ103" s="1285"/>
      <c r="BA103" s="1285"/>
      <c r="BB103" s="1285"/>
      <c r="BC103" s="1285"/>
      <c r="BD103" s="926">
        <f>IF(AI103=0,0,(AT103-AI103)/AI103*100)</f>
        <v>0</v>
      </c>
      <c r="BE103" s="926">
        <f>IF(AT103=0,0,(AU103-AT103)/AT103*100)</f>
        <v>0</v>
      </c>
      <c r="BF103" s="926">
        <f>IF(AU103=0,0,(AV103-AU103)/AU103*100)</f>
        <v>0</v>
      </c>
      <c r="BG103" s="926">
        <f>IF(AV103=0,0,(AW103-AV103)/AV103*100)</f>
        <v>0</v>
      </c>
      <c r="BH103" s="926">
        <f>IF(AW103=0,0,(AX103-AW103)/AW103*100)</f>
        <v>0</v>
      </c>
      <c r="BI103" s="926">
        <f>IF(AX103=0,0,(AY103-AX103)/AX103*100)</f>
        <v>0</v>
      </c>
      <c r="BJ103" s="926">
        <f>IF(AY103=0,0,(AZ103-AY103)/AY103*100)</f>
        <v>0</v>
      </c>
      <c r="BK103" s="926">
        <f>IF(AZ103=0,0,(BA103-AZ103)/AZ103*100)</f>
        <v>0</v>
      </c>
      <c r="BL103" s="926">
        <f>IF(BA103=0,0,(BB103-BA103)/BA103*100)</f>
        <v>0</v>
      </c>
      <c r="BM103" s="926">
        <f>IF(BB103=0,0,(BC103-BB103)/BB103*100)</f>
        <v>0</v>
      </c>
      <c r="BN103" s="1283"/>
      <c r="BO103" s="1283"/>
      <c r="BP103" s="1283"/>
      <c r="BQ103" s="960"/>
      <c r="BR103" s="960"/>
      <c r="BS103" s="1048" t="s">
        <v>1964</v>
      </c>
      <c r="BT103" s="1048"/>
      <c r="BU103" s="1048"/>
      <c r="BV103" s="962"/>
      <c r="BW103" s="962"/>
    </row>
    <row customHeight="1" ht="14.625" hidden="1">
      <c r="A104" s="960"/>
      <c r="B104" s="961"/>
      <c r="C104" s="960"/>
      <c r="D104" s="960"/>
      <c r="E104" s="683">
        <v>15</v>
      </c>
      <c r="F104" s="50" cm="1" t="str">
        <f t="array" ref="F104:F104">OFFSET(E104,-1,1)</f>
        <v>0</v>
      </c>
      <c r="G104" s="124" t="s">
        <v>949</v>
      </c>
      <c r="H104" s="960"/>
      <c r="I104" s="124" t="s">
        <v>870</v>
      </c>
      <c r="J104" s="960"/>
      <c r="K104" s="124" t="s">
        <v>870</v>
      </c>
      <c r="L104" s="963" t="s">
        <v>491</v>
      </c>
      <c r="M104" s="73"/>
      <c r="N104" s="960"/>
      <c r="O104" s="960"/>
      <c r="P104" s="960"/>
      <c r="Q104" s="960"/>
      <c r="R104" s="960"/>
      <c r="S104" s="960"/>
      <c r="T104" s="439" cm="1" t="str">
        <f t="array" ref="T104:T104">T103</f>
        <v>false</v>
      </c>
      <c r="U104" s="960"/>
      <c r="V104" s="960"/>
      <c r="W104" s="960"/>
      <c r="X104" s="1482"/>
      <c r="Y104" s="960"/>
      <c r="Z104" s="1465"/>
      <c r="AA104" s="960"/>
      <c r="AB104" s="266" t="s">
        <v>871</v>
      </c>
      <c r="AC104" s="743" t="s">
        <v>949</v>
      </c>
      <c r="AD104" s="267" t="s">
        <v>784</v>
      </c>
      <c r="AE104" s="226">
        <f>_xlfn.SUMIFS(Аренда!AE$25:AE$57,Аренда!$F$25:$F$57,$F104,Аренда!$G$25:$G$57,"Арендная и концессионная плата, лизинговые платежи")</f>
        <v>0</v>
      </c>
      <c r="AF104" s="226">
        <f>_xlfn.SUMIFS(Аренда!AF$25:AF$57,Аренда!$F$25:$F$57,$F104,Аренда!$G$25:$G$57,"Арендная и концессионная плата, лизинговые платежи")</f>
        <v>0</v>
      </c>
      <c r="AG104" s="226">
        <f>_xlfn.SUMIFS(Аренда!AG$25:AG$57,Аренда!$F$25:$F$57,$F104,Аренда!$G$25:$G$57,"Арендная и концессионная плата, лизинговые платежи")</f>
        <v>0</v>
      </c>
      <c r="AH104" s="926">
        <f>AG104-AF104</f>
        <v>0</v>
      </c>
      <c r="AI104" s="226">
        <f>_xlfn.SUMIFS(Аренда!AH$25:AH$57,Аренда!$F$25:$F$57,$F104,Аренда!$G$25:$G$57,"Арендная и концессионная плата, лизинговые платежи")</f>
        <v>0</v>
      </c>
      <c r="AJ104" s="226">
        <f>_xlfn.SUMIFS(Аренда!AI$25:AI$57,Аренда!$F$25:$F$57,$F104,Аренда!$G$25:$G$57,"Арендная и концессионная плата, лизинговые платежи")</f>
        <v>0</v>
      </c>
      <c r="AK104" s="226">
        <f>_xlfn.SUMIFS(Аренда!AJ$25:AJ$57,Аренда!$F$25:$F$57,$F104,Аренда!$G$25:$G$57,"Арендная и концессионная плата, лизинговые платежи")</f>
        <v>0</v>
      </c>
      <c r="AL104" s="226">
        <f>_xlfn.SUMIFS(Аренда!AK$25:AK$57,Аренда!$F$25:$F$57,$F104,Аренда!$G$25:$G$57,"Арендная и концессионная плата, лизинговые платежи")</f>
        <v>0</v>
      </c>
      <c r="AM104" s="226">
        <f>_xlfn.SUMIFS(Аренда!AL$25:AL$57,Аренда!$F$25:$F$57,$F104,Аренда!$G$25:$G$57,"Арендная и концессионная плата, лизинговые платежи")</f>
        <v>0</v>
      </c>
      <c r="AN104" s="226">
        <f>_xlfn.SUMIFS(Аренда!AM$25:AM$57,Аренда!$F$25:$F$57,$F104,Аренда!$G$25:$G$57,"Арендная и концессионная плата, лизинговые платежи")</f>
        <v>0</v>
      </c>
      <c r="AO104" s="226">
        <f>_xlfn.SUMIFS(Аренда!AN$25:AN$57,Аренда!$F$25:$F$57,$F104,Аренда!$G$25:$G$57,"Арендная и концессионная плата, лизинговые платежи")</f>
        <v>0</v>
      </c>
      <c r="AP104" s="226">
        <f>_xlfn.SUMIFS(Аренда!AO$25:AO$57,Аренда!$F$25:$F$57,$F104,Аренда!$G$25:$G$57,"Арендная и концессионная плата, лизинговые платежи")</f>
        <v>0</v>
      </c>
      <c r="AQ104" s="226">
        <f>_xlfn.SUMIFS(Аренда!AP$25:AP$57,Аренда!$F$25:$F$57,$F104,Аренда!$G$25:$G$57,"Арендная и концессионная плата, лизинговые платежи")</f>
        <v>0</v>
      </c>
      <c r="AR104" s="226">
        <f>_xlfn.SUMIFS(Аренда!AQ$25:AQ$57,Аренда!$F$25:$F$57,$F104,Аренда!$G$25:$G$57,"Арендная и концессионная плата, лизинговые платежи")</f>
        <v>0</v>
      </c>
      <c r="AS104" s="226">
        <f>_xlfn.SUMIFS(Аренда!AR$25:AR$57,Аренда!$F$25:$F$57,$F104,Аренда!$G$25:$G$57,"Арендная и концессионная плата, лизинговые платежи")</f>
        <v>0</v>
      </c>
      <c r="AT104" s="226">
        <f>_xlfn.SUMIFS(Аренда!AS$25:AS$57,Аренда!$F$25:$F$57,$F104,Аренда!$G$25:$G$57,"Арендная и концессионная плата, лизинговые платежи")</f>
        <v>0</v>
      </c>
      <c r="AU104" s="226">
        <f>_xlfn.SUMIFS(Аренда!AT$25:AT$57,Аренда!$F$25:$F$57,$F104,Аренда!$G$25:$G$57,"Арендная и концессионная плата, лизинговые платежи")</f>
        <v>0</v>
      </c>
      <c r="AV104" s="226">
        <f>_xlfn.SUMIFS(Аренда!AU$25:AU$57,Аренда!$F$25:$F$57,$F104,Аренда!$G$25:$G$57,"Арендная и концессионная плата, лизинговые платежи")</f>
        <v>0</v>
      </c>
      <c r="AW104" s="226">
        <f>_xlfn.SUMIFS(Аренда!AV$25:AV$57,Аренда!$F$25:$F$57,$F104,Аренда!$G$25:$G$57,"Арендная и концессионная плата, лизинговые платежи")</f>
        <v>0</v>
      </c>
      <c r="AX104" s="226">
        <f>_xlfn.SUMIFS(Аренда!AW$25:AW$57,Аренда!$F$25:$F$57,$F104,Аренда!$G$25:$G$57,"Арендная и концессионная плата, лизинговые платежи")</f>
        <v>0</v>
      </c>
      <c r="AY104" s="226">
        <f>_xlfn.SUMIFS(Аренда!AX$25:AX$57,Аренда!$F$25:$F$57,$F104,Аренда!$G$25:$G$57,"Арендная и концессионная плата, лизинговые платежи")</f>
        <v>0</v>
      </c>
      <c r="AZ104" s="226">
        <f>_xlfn.SUMIFS(Аренда!AY$25:AY$57,Аренда!$F$25:$F$57,$F104,Аренда!$G$25:$G$57,"Арендная и концессионная плата, лизинговые платежи")</f>
        <v>0</v>
      </c>
      <c r="BA104" s="226">
        <f>_xlfn.SUMIFS(Аренда!AZ$25:AZ$57,Аренда!$F$25:$F$57,$F104,Аренда!$G$25:$G$57,"Арендная и концессионная плата, лизинговые платежи")</f>
        <v>0</v>
      </c>
      <c r="BB104" s="226">
        <f>_xlfn.SUMIFS(Аренда!BA$25:BA$57,Аренда!$F$25:$F$57,$F104,Аренда!$G$25:$G$57,"Арендная и концессионная плата, лизинговые платежи")</f>
        <v>0</v>
      </c>
      <c r="BC104" s="226">
        <f>_xlfn.SUMIFS(Аренда!BB$25:BB$57,Аренда!$F$25:$F$57,$F104,Аренда!$G$25:$G$57,"Арендная и концессионная плата, лизинговые платежи")</f>
        <v>0</v>
      </c>
      <c r="BD104" s="926">
        <f>IF(AI104=0,0,(AT104-AI104)/AI104*100)</f>
        <v>0</v>
      </c>
      <c r="BE104" s="926">
        <f>IF(AT104=0,0,(AU104-AT104)/AT104*100)</f>
        <v>0</v>
      </c>
      <c r="BF104" s="926">
        <f>IF(AU104=0,0,(AV104-AU104)/AU104*100)</f>
        <v>0</v>
      </c>
      <c r="BG104" s="926">
        <f>IF(AV104=0,0,(AW104-AV104)/AV104*100)</f>
        <v>0</v>
      </c>
      <c r="BH104" s="926">
        <f>IF(AW104=0,0,(AX104-AW104)/AW104*100)</f>
        <v>0</v>
      </c>
      <c r="BI104" s="926">
        <f>IF(AX104=0,0,(AY104-AX104)/AX104*100)</f>
        <v>0</v>
      </c>
      <c r="BJ104" s="926">
        <f>IF(AY104=0,0,(AZ104-AY104)/AY104*100)</f>
        <v>0</v>
      </c>
      <c r="BK104" s="926">
        <f>IF(AZ104=0,0,(BA104-AZ104)/AZ104*100)</f>
        <v>0</v>
      </c>
      <c r="BL104" s="926">
        <f>IF(BA104=0,0,(BB104-BA104)/BA104*100)</f>
        <v>0</v>
      </c>
      <c r="BM104" s="926">
        <f>IF(BB104=0,0,(BC104-BB104)/BB104*100)</f>
        <v>0</v>
      </c>
      <c r="BN104" s="1283"/>
      <c r="BO104" s="1286" t="str">
        <f>IF(_xlfn.IFERROR(INDEX(Аренда!$K$26:$L$57,MATCH($F104&amp;"komm",Аренда!$K$26:$K$57,0),2),"")=0,"",_xlfn.IFERROR(INDEX(Аренда!$K$26:$L$57,MATCH($F104&amp;"komm",Аренда!$K$26:$K$57,0),2),""))</f>
        <v/>
      </c>
      <c r="BP104" s="1283"/>
      <c r="BQ104" s="960"/>
      <c r="BR104" s="960"/>
      <c r="BS104" s="1048" t="s">
        <v>1965</v>
      </c>
      <c r="BT104" s="1048"/>
      <c r="BU104" s="1048"/>
      <c r="BV104" s="962"/>
      <c r="BW104" s="962"/>
    </row>
    <row customHeight="1" ht="14.625" hidden="1">
      <c r="A105" s="960"/>
      <c r="B105" s="405">
        <f>STATUS_GO="да"</f>
        <v>0</v>
      </c>
      <c r="C105" s="960"/>
      <c r="D105" s="960"/>
      <c r="E105" s="683">
        <v>15</v>
      </c>
      <c r="F105" s="50" cm="1" t="str">
        <f t="array" ref="F105:F105">OFFSET(E105,-1,1)</f>
        <v>0</v>
      </c>
      <c r="G105" s="960"/>
      <c r="H105" s="960"/>
      <c r="I105" s="124" t="s">
        <v>1966</v>
      </c>
      <c r="J105" s="960"/>
      <c r="K105" s="124" t="s">
        <v>1966</v>
      </c>
      <c r="L105" s="963"/>
      <c r="M105" s="73"/>
      <c r="N105" s="960"/>
      <c r="O105" s="960"/>
      <c r="P105" s="960"/>
      <c r="Q105" s="960"/>
      <c r="R105" s="960"/>
      <c r="S105" s="960"/>
      <c r="T105" s="439" cm="1" t="str">
        <f t="array" ref="T105:T105">T104</f>
        <v>false</v>
      </c>
      <c r="U105" s="960"/>
      <c r="V105" s="960"/>
      <c r="W105" s="960"/>
      <c r="X105" s="1482"/>
      <c r="Y105" s="960"/>
      <c r="Z105" s="1465"/>
      <c r="AA105" s="960"/>
      <c r="AB105" s="266" t="s">
        <v>1395</v>
      </c>
      <c r="AC105" s="743" t="s">
        <v>1967</v>
      </c>
      <c r="AD105" s="267" t="s">
        <v>784</v>
      </c>
      <c r="AE105" s="1282"/>
      <c r="AF105" s="1282"/>
      <c r="AG105" s="1282"/>
      <c r="AH105" s="926">
        <f>AG105-AF105</f>
        <v>0</v>
      </c>
      <c r="AI105" s="1280"/>
      <c r="AJ105" s="4765"/>
      <c r="AK105" s="1280"/>
      <c r="AL105" s="1280"/>
      <c r="AM105" s="1280"/>
      <c r="AN105" s="1280"/>
      <c r="AO105" s="1280"/>
      <c r="AP105" s="1280"/>
      <c r="AQ105" s="1280"/>
      <c r="AR105" s="1280"/>
      <c r="AS105" s="1280"/>
      <c r="AT105" s="4765"/>
      <c r="AU105" s="1280"/>
      <c r="AV105" s="1280"/>
      <c r="AW105" s="1280"/>
      <c r="AX105" s="1280"/>
      <c r="AY105" s="1280"/>
      <c r="AZ105" s="1280"/>
      <c r="BA105" s="1280"/>
      <c r="BB105" s="1280"/>
      <c r="BC105" s="1280"/>
      <c r="BD105" s="926">
        <f>IF(AI105=0,0,(AT105-AI105)/AI105*100)</f>
        <v>0</v>
      </c>
      <c r="BE105" s="926">
        <f>IF(AT105=0,0,(AU105-AT105)/AT105*100)</f>
        <v>0</v>
      </c>
      <c r="BF105" s="926">
        <f>IF(AU105=0,0,(AV105-AU105)/AU105*100)</f>
        <v>0</v>
      </c>
      <c r="BG105" s="926">
        <f>IF(AV105=0,0,(AW105-AV105)/AV105*100)</f>
        <v>0</v>
      </c>
      <c r="BH105" s="926">
        <f>IF(AW105=0,0,(AX105-AW105)/AW105*100)</f>
        <v>0</v>
      </c>
      <c r="BI105" s="926">
        <f>IF(AX105=0,0,(AY105-AX105)/AX105*100)</f>
        <v>0</v>
      </c>
      <c r="BJ105" s="926">
        <f>IF(AY105=0,0,(AZ105-AY105)/AY105*100)</f>
        <v>0</v>
      </c>
      <c r="BK105" s="926">
        <f>IF(AZ105=0,0,(BA105-AZ105)/AZ105*100)</f>
        <v>0</v>
      </c>
      <c r="BL105" s="926">
        <f>IF(BA105=0,0,(BB105-BA105)/BA105*100)</f>
        <v>0</v>
      </c>
      <c r="BM105" s="926">
        <f>IF(BB105=0,0,(BC105-BB105)/BB105*100)</f>
        <v>0</v>
      </c>
      <c r="BN105" s="1283"/>
      <c r="BO105" s="1283"/>
      <c r="BP105" s="1283"/>
      <c r="BQ105" s="960"/>
      <c r="BR105" s="960"/>
      <c r="BS105" s="1048" t="s">
        <v>1689</v>
      </c>
      <c r="BT105" s="1048"/>
      <c r="BU105" s="1048"/>
      <c r="BV105" s="962"/>
      <c r="BW105" s="962"/>
    </row>
    <row customHeight="1" ht="14.625" hidden="1">
      <c r="A106" s="960"/>
      <c r="B106" s="405">
        <f>STATUS_GO="да"</f>
        <v>0</v>
      </c>
      <c r="C106" s="960"/>
      <c r="D106" s="960"/>
      <c r="E106" s="683">
        <v>15</v>
      </c>
      <c r="F106" s="50" cm="1" t="str">
        <f t="array" ref="F106:F106">OFFSET(E106,-1,1)</f>
        <v>0</v>
      </c>
      <c r="G106" s="124" t="s">
        <v>1337</v>
      </c>
      <c r="H106" s="960"/>
      <c r="I106" s="124" t="s">
        <v>1968</v>
      </c>
      <c r="J106" s="960"/>
      <c r="K106" s="124" t="s">
        <v>1968</v>
      </c>
      <c r="L106" s="963"/>
      <c r="M106" s="73"/>
      <c r="N106" s="960"/>
      <c r="O106" s="960"/>
      <c r="P106" s="960"/>
      <c r="Q106" s="960"/>
      <c r="R106" s="960"/>
      <c r="S106" s="960"/>
      <c r="T106" s="439" cm="1" t="str">
        <f t="array" ref="T106:T106">T105</f>
        <v>false</v>
      </c>
      <c r="U106" s="960"/>
      <c r="V106" s="960"/>
      <c r="W106" s="960"/>
      <c r="X106" s="1482"/>
      <c r="Y106" s="960"/>
      <c r="Z106" s="1465"/>
      <c r="AA106" s="960"/>
      <c r="AB106" s="266" t="s">
        <v>1969</v>
      </c>
      <c r="AC106" s="746" t="s">
        <v>1337</v>
      </c>
      <c r="AD106" s="267" t="s">
        <v>784</v>
      </c>
      <c r="AE106" s="1282"/>
      <c r="AF106" s="1282"/>
      <c r="AG106" s="1282"/>
      <c r="AH106" s="926">
        <f>AG106-AF106</f>
        <v>0</v>
      </c>
      <c r="AI106" s="1280"/>
      <c r="AJ106" s="4765"/>
      <c r="AK106" s="1280"/>
      <c r="AL106" s="1280"/>
      <c r="AM106" s="1280"/>
      <c r="AN106" s="1280"/>
      <c r="AO106" s="1280"/>
      <c r="AP106" s="1280"/>
      <c r="AQ106" s="1280"/>
      <c r="AR106" s="1280"/>
      <c r="AS106" s="1280"/>
      <c r="AT106" s="4765"/>
      <c r="AU106" s="1280"/>
      <c r="AV106" s="1280"/>
      <c r="AW106" s="1280"/>
      <c r="AX106" s="1280"/>
      <c r="AY106" s="1280"/>
      <c r="AZ106" s="1280"/>
      <c r="BA106" s="1280"/>
      <c r="BB106" s="1280"/>
      <c r="BC106" s="1280"/>
      <c r="BD106" s="926">
        <f>IF(AI106=0,0,(AT106-AI106)/AI106*100)</f>
        <v>0</v>
      </c>
      <c r="BE106" s="926">
        <f>IF(AT106=0,0,(AU106-AT106)/AT106*100)</f>
        <v>0</v>
      </c>
      <c r="BF106" s="926">
        <f>IF(AU106=0,0,(AV106-AU106)/AU106*100)</f>
        <v>0</v>
      </c>
      <c r="BG106" s="926">
        <f>IF(AV106=0,0,(AW106-AV106)/AV106*100)</f>
        <v>0</v>
      </c>
      <c r="BH106" s="926">
        <f>IF(AW106=0,0,(AX106-AW106)/AW106*100)</f>
        <v>0</v>
      </c>
      <c r="BI106" s="926">
        <f>IF(AX106=0,0,(AY106-AX106)/AX106*100)</f>
        <v>0</v>
      </c>
      <c r="BJ106" s="926">
        <f>IF(AY106=0,0,(AZ106-AY106)/AY106*100)</f>
        <v>0</v>
      </c>
      <c r="BK106" s="926">
        <f>IF(AZ106=0,0,(BA106-AZ106)/AZ106*100)</f>
        <v>0</v>
      </c>
      <c r="BL106" s="926">
        <f>IF(BA106=0,0,(BB106-BA106)/BA106*100)</f>
        <v>0</v>
      </c>
      <c r="BM106" s="926">
        <f>IF(BB106=0,0,(BC106-BB106)/BB106*100)</f>
        <v>0</v>
      </c>
      <c r="BN106" s="1283"/>
      <c r="BO106" s="1286" t="str">
        <f>IF(_xlfn.IFERROR(INDEX('Сбытовые расходы ГО'!$K$26:$M$63,MATCH($F106&amp;"komm",'Сбытовые расходы ГО'!$K$26:$K$63,0),2),"")=0,"",_xlfn.IFERROR(INDEX('Сбытовые расходы ГО'!$K$26:$M$63,MATCH($F106&amp;"komm",'Сбытовые расходы ГО'!$K$26:$K$63,0),2),""))</f>
        <v/>
      </c>
      <c r="BP106" s="1283"/>
      <c r="BQ106" s="960"/>
      <c r="BR106" s="960"/>
      <c r="BS106" s="1048" t="s">
        <v>1970</v>
      </c>
      <c r="BT106" s="1048"/>
      <c r="BU106" s="1048"/>
      <c r="BV106" s="962"/>
      <c r="BW106" s="962"/>
    </row>
    <row customHeight="1" ht="14.625" hidden="1">
      <c r="A107" s="960"/>
      <c r="B107" s="961"/>
      <c r="C107" s="960"/>
      <c r="D107" s="960"/>
      <c r="E107" s="683">
        <v>15</v>
      </c>
      <c r="F107" s="50" cm="1" t="str">
        <f t="array" ref="F107:F107">OFFSET(E107,-1,1)</f>
        <v>0</v>
      </c>
      <c r="G107" s="124" t="s">
        <v>1342</v>
      </c>
      <c r="H107" s="960"/>
      <c r="I107" s="124" t="s">
        <v>1971</v>
      </c>
      <c r="J107" s="960"/>
      <c r="K107" s="124" t="s">
        <v>1971</v>
      </c>
      <c r="L107" s="963"/>
      <c r="M107" s="73"/>
      <c r="N107" s="960"/>
      <c r="O107" s="960"/>
      <c r="P107" s="960"/>
      <c r="Q107" s="960"/>
      <c r="R107" s="960"/>
      <c r="S107" s="960"/>
      <c r="T107" s="439" cm="1" t="str">
        <f t="array" ref="T107:T107">T106</f>
        <v>false</v>
      </c>
      <c r="U107" s="960"/>
      <c r="V107" s="960"/>
      <c r="W107" s="960"/>
      <c r="X107" s="1482"/>
      <c r="Y107" s="960"/>
      <c r="Z107" s="1465"/>
      <c r="AA107" s="960"/>
      <c r="AB107" s="266" t="s">
        <v>1400</v>
      </c>
      <c r="AC107" s="743" t="s">
        <v>1342</v>
      </c>
      <c r="AD107" s="267" t="s">
        <v>784</v>
      </c>
      <c r="AE107" s="1282"/>
      <c r="AF107" s="1282"/>
      <c r="AG107" s="1282"/>
      <c r="AH107" s="926">
        <f>AG107-AF107</f>
        <v>0</v>
      </c>
      <c r="AI107" s="1280"/>
      <c r="AJ107" s="4765">
        <f>_xlfn.SUMIFS(Экономия_корр!AE$25:AE$51,Экономия_корр!$F$25:$F$51,$F107,Экономия_корр!$AC$25:$AC$51,"Экономия расходов с учетом ИПЦ")</f>
        <v>0</v>
      </c>
      <c r="AK107" s="1280">
        <f>_xlfn.SUMIFS(Экономия_корр!AF$25:AF$51,Экономия_корр!$F$25:$F$51,$F107,Экономия_корр!$AC$25:$AC$51,"Экономия расходов с учетом ИПЦ")</f>
        <v>0</v>
      </c>
      <c r="AL107" s="1280">
        <f>_xlfn.SUMIFS(Экономия_корр!AG$25:AG$51,Экономия_корр!$F$25:$F$51,$F107,Экономия_корр!$AC$25:$AC$51,"Экономия расходов с учетом ИПЦ")</f>
        <v>0</v>
      </c>
      <c r="AM107" s="1280">
        <f>_xlfn.SUMIFS(Экономия_корр!AH$25:AH$51,Экономия_корр!$F$25:$F$51,$F107,Экономия_корр!$AC$25:$AC$51,"Экономия расходов с учетом ИПЦ")</f>
        <v>0</v>
      </c>
      <c r="AN107" s="1280">
        <f>_xlfn.SUMIFS(Экономия_корр!AI$25:AI$51,Экономия_корр!$F$25:$F$51,$F107,Экономия_корр!$AC$25:$AC$51,"Экономия расходов с учетом ИПЦ")</f>
        <v>0</v>
      </c>
      <c r="AO107" s="1280">
        <f>_xlfn.SUMIFS(Экономия_корр!AJ$25:AJ$51,Экономия_корр!$F$25:$F$51,$F107,Экономия_корр!$AC$25:$AC$51,"Экономия расходов с учетом ИПЦ")</f>
        <v>0</v>
      </c>
      <c r="AP107" s="1280">
        <f>_xlfn.SUMIFS(Экономия_корр!AK$25:AK$51,Экономия_корр!$F$25:$F$51,$F107,Экономия_корр!$AC$25:$AC$51,"Экономия расходов с учетом ИПЦ")</f>
        <v>0</v>
      </c>
      <c r="AQ107" s="1280">
        <f>_xlfn.SUMIFS(Экономия_корр!AL$25:AL$51,Экономия_корр!$F$25:$F$51,$F107,Экономия_корр!$AC$25:$AC$51,"Экономия расходов с учетом ИПЦ")</f>
        <v>0</v>
      </c>
      <c r="AR107" s="1280">
        <f>_xlfn.SUMIFS(Экономия_корр!AM$25:AM$51,Экономия_корр!$F$25:$F$51,$F107,Экономия_корр!$AC$25:$AC$51,"Экономия расходов с учетом ИПЦ")</f>
        <v>0</v>
      </c>
      <c r="AS107" s="1280">
        <f>_xlfn.SUMIFS(Экономия_корр!AN$25:AN$51,Экономия_корр!$F$25:$F$51,$F107,Экономия_корр!$AC$25:$AC$51,"Экономия расходов с учетом ИПЦ")</f>
        <v>0</v>
      </c>
      <c r="AT107" s="4765">
        <f>_xlfn.SUMIFS(Экономия_корр!AO$25:AO$51,Экономия_корр!$F$25:$F$51,$F107,Экономия_корр!$AC$25:$AC$51,"Экономия расходов с учетом ИПЦ")</f>
        <v>0</v>
      </c>
      <c r="AU107" s="1280">
        <f>_xlfn.SUMIFS(Экономия_корр!AP$25:AP$51,Экономия_корр!$F$25:$F$51,$F107,Экономия_корр!$AC$25:$AC$51,"Экономия расходов с учетом ИПЦ")</f>
        <v>0</v>
      </c>
      <c r="AV107" s="1280">
        <f>_xlfn.SUMIFS(Экономия_корр!AQ$25:AQ$51,Экономия_корр!$F$25:$F$51,$F107,Экономия_корр!$AC$25:$AC$51,"Экономия расходов с учетом ИПЦ")</f>
        <v>0</v>
      </c>
      <c r="AW107" s="1280">
        <f>_xlfn.SUMIFS(Экономия_корр!AR$25:AR$51,Экономия_корр!$F$25:$F$51,$F107,Экономия_корр!$AC$25:$AC$51,"Экономия расходов с учетом ИПЦ")</f>
        <v>0</v>
      </c>
      <c r="AX107" s="1280">
        <f>_xlfn.SUMIFS(Экономия_корр!AS$25:AS$51,Экономия_корр!$F$25:$F$51,$F107,Экономия_корр!$AC$25:$AC$51,"Экономия расходов с учетом ИПЦ")</f>
        <v>0</v>
      </c>
      <c r="AY107" s="1280">
        <f>_xlfn.SUMIFS(Экономия_корр!AT$25:AT$51,Экономия_корр!$F$25:$F$51,$F107,Экономия_корр!$AC$25:$AC$51,"Экономия расходов с учетом ИПЦ")</f>
        <v>0</v>
      </c>
      <c r="AZ107" s="1280">
        <f>_xlfn.SUMIFS(Экономия_корр!AU$25:AU$51,Экономия_корр!$F$25:$F$51,$F107,Экономия_корр!$AC$25:$AC$51,"Экономия расходов с учетом ИПЦ")</f>
        <v>0</v>
      </c>
      <c r="BA107" s="1280">
        <f>_xlfn.SUMIFS(Экономия_корр!AV$25:AV$51,Экономия_корр!$F$25:$F$51,$F107,Экономия_корр!$AC$25:$AC$51,"Экономия расходов с учетом ИПЦ")</f>
        <v>0</v>
      </c>
      <c r="BB107" s="1280">
        <f>_xlfn.SUMIFS(Экономия_корр!AW$25:AW$51,Экономия_корр!$F$25:$F$51,$F107,Экономия_корр!$AC$25:$AC$51,"Экономия расходов с учетом ИПЦ")</f>
        <v>0</v>
      </c>
      <c r="BC107" s="1280">
        <f>_xlfn.SUMIFS(Экономия_корр!AX$25:AX$51,Экономия_корр!$F$25:$F$51,$F107,Экономия_корр!$AC$25:$AC$51,"Экономия расходов с учетом ИПЦ")</f>
        <v>0</v>
      </c>
      <c r="BD107" s="926">
        <f>IF(AI107=0,0,(AT107-AI107)/AI107*100)</f>
        <v>0</v>
      </c>
      <c r="BE107" s="926">
        <f>IF(AT107=0,0,(AU107-AT107)/AT107*100)</f>
        <v>0</v>
      </c>
      <c r="BF107" s="926">
        <f>IF(AU107=0,0,(AV107-AU107)/AU107*100)</f>
        <v>0</v>
      </c>
      <c r="BG107" s="926">
        <f>IF(AV107=0,0,(AW107-AV107)/AV107*100)</f>
        <v>0</v>
      </c>
      <c r="BH107" s="926">
        <f>IF(AW107=0,0,(AX107-AW107)/AW107*100)</f>
        <v>0</v>
      </c>
      <c r="BI107" s="926">
        <f>IF(AX107=0,0,(AY107-AX107)/AX107*100)</f>
        <v>0</v>
      </c>
      <c r="BJ107" s="926">
        <f>IF(AY107=0,0,(AZ107-AY107)/AY107*100)</f>
        <v>0</v>
      </c>
      <c r="BK107" s="926">
        <f>IF(AZ107=0,0,(BA107-AZ107)/AZ107*100)</f>
        <v>0</v>
      </c>
      <c r="BL107" s="926">
        <f>IF(BA107=0,0,(BB107-BA107)/BA107*100)</f>
        <v>0</v>
      </c>
      <c r="BM107" s="926">
        <f>IF(BB107=0,0,(BC107-BB107)/BB107*100)</f>
        <v>0</v>
      </c>
      <c r="BN107" s="1283"/>
      <c r="BO107" s="1283"/>
      <c r="BP107" s="1283"/>
      <c r="BQ107" s="960"/>
      <c r="BR107" s="960"/>
      <c r="BS107" s="1048" t="s">
        <v>1972</v>
      </c>
      <c r="BT107" s="1048"/>
      <c r="BU107" s="1048"/>
      <c r="BV107" s="962"/>
      <c r="BW107" s="962"/>
    </row>
    <row customHeight="1" ht="14.625" hidden="1">
      <c r="A108" s="960"/>
      <c r="B108" s="961"/>
      <c r="C108" s="960"/>
      <c r="D108" s="960"/>
      <c r="E108" s="683">
        <v>15</v>
      </c>
      <c r="F108" s="50" cm="1" t="str">
        <f t="array" ref="F108:F108">OFFSET(E108,-1,1)</f>
        <v>0</v>
      </c>
      <c r="G108" s="124" t="s">
        <v>1347</v>
      </c>
      <c r="H108" s="960"/>
      <c r="I108" s="124" t="s">
        <v>1973</v>
      </c>
      <c r="J108" s="960"/>
      <c r="K108" s="124" t="s">
        <v>1973</v>
      </c>
      <c r="L108" s="963"/>
      <c r="M108" s="73"/>
      <c r="N108" s="960"/>
      <c r="O108" s="960"/>
      <c r="P108" s="960"/>
      <c r="Q108" s="960"/>
      <c r="R108" s="960"/>
      <c r="S108" s="960"/>
      <c r="T108" s="439" cm="1" t="str">
        <f t="array" ref="T108:T108">T107</f>
        <v>false</v>
      </c>
      <c r="U108" s="960"/>
      <c r="V108" s="960"/>
      <c r="W108" s="960"/>
      <c r="X108" s="1482"/>
      <c r="Y108" s="960"/>
      <c r="Z108" s="1465"/>
      <c r="AA108" s="960"/>
      <c r="AB108" s="266" t="s">
        <v>1974</v>
      </c>
      <c r="AC108" s="743" t="s">
        <v>1347</v>
      </c>
      <c r="AD108" s="267" t="s">
        <v>784</v>
      </c>
      <c r="AE108" s="1282"/>
      <c r="AF108" s="1282"/>
      <c r="AG108" s="1282"/>
      <c r="AH108" s="926">
        <f>AG108-AF108</f>
        <v>0</v>
      </c>
      <c r="AI108" s="1280"/>
      <c r="AJ108" s="4765"/>
      <c r="AK108" s="1280"/>
      <c r="AL108" s="1280"/>
      <c r="AM108" s="1280"/>
      <c r="AN108" s="1280"/>
      <c r="AO108" s="1280"/>
      <c r="AP108" s="1280"/>
      <c r="AQ108" s="1280"/>
      <c r="AR108" s="1280"/>
      <c r="AS108" s="1280"/>
      <c r="AT108" s="4765"/>
      <c r="AU108" s="1280"/>
      <c r="AV108" s="1280"/>
      <c r="AW108" s="1280"/>
      <c r="AX108" s="1280"/>
      <c r="AY108" s="1280"/>
      <c r="AZ108" s="1280"/>
      <c r="BA108" s="1280"/>
      <c r="BB108" s="1280"/>
      <c r="BC108" s="1280"/>
      <c r="BD108" s="926">
        <f>IF(AI108=0,0,(AT108-AI108)/AI108*100)</f>
        <v>0</v>
      </c>
      <c r="BE108" s="926">
        <f>IF(AT108=0,0,(AU108-AT108)/AT108*100)</f>
        <v>0</v>
      </c>
      <c r="BF108" s="926">
        <f>IF(AU108=0,0,(AV108-AU108)/AU108*100)</f>
        <v>0</v>
      </c>
      <c r="BG108" s="926">
        <f>IF(AV108=0,0,(AW108-AV108)/AV108*100)</f>
        <v>0</v>
      </c>
      <c r="BH108" s="926">
        <f>IF(AW108=0,0,(AX108-AW108)/AW108*100)</f>
        <v>0</v>
      </c>
      <c r="BI108" s="926">
        <f>IF(AX108=0,0,(AY108-AX108)/AX108*100)</f>
        <v>0</v>
      </c>
      <c r="BJ108" s="926">
        <f>IF(AY108=0,0,(AZ108-AY108)/AY108*100)</f>
        <v>0</v>
      </c>
      <c r="BK108" s="926">
        <f>IF(AZ108=0,0,(BA108-AZ108)/AZ108*100)</f>
        <v>0</v>
      </c>
      <c r="BL108" s="926">
        <f>IF(BA108=0,0,(BB108-BA108)/BA108*100)</f>
        <v>0</v>
      </c>
      <c r="BM108" s="926">
        <f>IF(BB108=0,0,(BC108-BB108)/BB108*100)</f>
        <v>0</v>
      </c>
      <c r="BN108" s="1283"/>
      <c r="BO108" s="1283"/>
      <c r="BP108" s="1283"/>
      <c r="BQ108" s="960"/>
      <c r="BR108" s="960"/>
      <c r="BS108" s="1048" t="s">
        <v>1704</v>
      </c>
      <c r="BT108" s="1048"/>
      <c r="BU108" s="1048"/>
      <c r="BV108" s="962"/>
      <c r="BW108" s="962"/>
    </row>
    <row customHeight="1" ht="14.625" hidden="1">
      <c r="A109" s="960"/>
      <c r="B109" s="961"/>
      <c r="C109" s="960"/>
      <c r="D109" s="960"/>
      <c r="E109" s="683">
        <v>15</v>
      </c>
      <c r="F109" s="50" cm="1" t="str">
        <f t="array" ref="F109:F109">OFFSET(E109,-1,1)</f>
        <v>0</v>
      </c>
      <c r="G109" s="124" t="s">
        <v>1352</v>
      </c>
      <c r="H109" s="960"/>
      <c r="I109" s="124" t="s">
        <v>1975</v>
      </c>
      <c r="J109" s="960"/>
      <c r="K109" s="124" t="s">
        <v>1975</v>
      </c>
      <c r="L109" s="963"/>
      <c r="M109" s="73"/>
      <c r="N109" s="960"/>
      <c r="O109" s="960"/>
      <c r="P109" s="960"/>
      <c r="Q109" s="960"/>
      <c r="R109" s="960"/>
      <c r="S109" s="960"/>
      <c r="T109" s="439" cm="1" t="str">
        <f t="array" ref="T109:T109">T108</f>
        <v>false</v>
      </c>
      <c r="U109" s="960"/>
      <c r="V109" s="960"/>
      <c r="W109" s="960"/>
      <c r="X109" s="1482"/>
      <c r="Y109" s="960"/>
      <c r="Z109" s="1465"/>
      <c r="AA109" s="960"/>
      <c r="AB109" s="266" t="s">
        <v>1419</v>
      </c>
      <c r="AC109" s="743" t="s">
        <v>1352</v>
      </c>
      <c r="AD109" s="267" t="s">
        <v>784</v>
      </c>
      <c r="AE109" s="1282"/>
      <c r="AF109" s="1282"/>
      <c r="AG109" s="1282"/>
      <c r="AH109" s="926">
        <f>AG109-AF109</f>
        <v>0</v>
      </c>
      <c r="AI109" s="1280"/>
      <c r="AJ109" s="4765"/>
      <c r="AK109" s="1280"/>
      <c r="AL109" s="1280"/>
      <c r="AM109" s="1280"/>
      <c r="AN109" s="1280"/>
      <c r="AO109" s="1280"/>
      <c r="AP109" s="1280"/>
      <c r="AQ109" s="1280"/>
      <c r="AR109" s="1280"/>
      <c r="AS109" s="1280"/>
      <c r="AT109" s="4765"/>
      <c r="AU109" s="1280"/>
      <c r="AV109" s="1280"/>
      <c r="AW109" s="1280"/>
      <c r="AX109" s="1280"/>
      <c r="AY109" s="1280"/>
      <c r="AZ109" s="1280"/>
      <c r="BA109" s="1280"/>
      <c r="BB109" s="1280"/>
      <c r="BC109" s="1280"/>
      <c r="BD109" s="926">
        <f>IF(AI109=0,0,(AT109-AI109)/AI109*100)</f>
        <v>0</v>
      </c>
      <c r="BE109" s="926">
        <f>IF(AT109=0,0,(AU109-AT109)/AT109*100)</f>
        <v>0</v>
      </c>
      <c r="BF109" s="926">
        <f>IF(AU109=0,0,(AV109-AU109)/AU109*100)</f>
        <v>0</v>
      </c>
      <c r="BG109" s="926">
        <f>IF(AV109=0,0,(AW109-AV109)/AV109*100)</f>
        <v>0</v>
      </c>
      <c r="BH109" s="926">
        <f>IF(AW109=0,0,(AX109-AW109)/AW109*100)</f>
        <v>0</v>
      </c>
      <c r="BI109" s="926">
        <f>IF(AX109=0,0,(AY109-AX109)/AX109*100)</f>
        <v>0</v>
      </c>
      <c r="BJ109" s="926">
        <f>IF(AY109=0,0,(AZ109-AY109)/AY109*100)</f>
        <v>0</v>
      </c>
      <c r="BK109" s="926">
        <f>IF(AZ109=0,0,(BA109-AZ109)/AZ109*100)</f>
        <v>0</v>
      </c>
      <c r="BL109" s="926">
        <f>IF(BA109=0,0,(BB109-BA109)/BA109*100)</f>
        <v>0</v>
      </c>
      <c r="BM109" s="926">
        <f>IF(BB109=0,0,(BC109-BB109)/BB109*100)</f>
        <v>0</v>
      </c>
      <c r="BN109" s="1283"/>
      <c r="BO109" s="1283"/>
      <c r="BP109" s="1283"/>
      <c r="BQ109" s="960"/>
      <c r="BR109" s="960"/>
      <c r="BS109" s="1048" t="s">
        <v>1976</v>
      </c>
      <c r="BT109" s="1048"/>
      <c r="BU109" s="1048"/>
      <c r="BV109" s="962"/>
      <c r="BW109" s="962"/>
    </row>
    <row customHeight="1" ht="14.625" hidden="1">
      <c r="A110" s="960"/>
      <c r="B110" s="961"/>
      <c r="C110" s="960"/>
      <c r="D110" s="960"/>
      <c r="E110" s="683">
        <v>15</v>
      </c>
      <c r="F110" s="50" cm="1" t="str">
        <f t="array" ref="F110:F110">OFFSET(E110,-1,1)</f>
        <v>0</v>
      </c>
      <c r="G110" s="124" t="s">
        <v>1357</v>
      </c>
      <c r="H110" s="960"/>
      <c r="I110" s="124" t="s">
        <v>1977</v>
      </c>
      <c r="J110" s="960"/>
      <c r="K110" s="124" t="s">
        <v>1977</v>
      </c>
      <c r="L110" s="963"/>
      <c r="M110" s="73"/>
      <c r="N110" s="960"/>
      <c r="O110" s="960"/>
      <c r="P110" s="960"/>
      <c r="Q110" s="960"/>
      <c r="R110" s="960"/>
      <c r="S110" s="960"/>
      <c r="T110" s="439" cm="1" t="str">
        <f t="array" ref="T110:T110">T109</f>
        <v>false</v>
      </c>
      <c r="U110" s="960"/>
      <c r="V110" s="960"/>
      <c r="W110" s="960"/>
      <c r="X110" s="1482"/>
      <c r="Y110" s="960"/>
      <c r="Z110" s="1465"/>
      <c r="AA110" s="960"/>
      <c r="AB110" s="266" t="s">
        <v>1423</v>
      </c>
      <c r="AC110" s="743" t="s">
        <v>1357</v>
      </c>
      <c r="AD110" s="267" t="s">
        <v>784</v>
      </c>
      <c r="AE110" s="320">
        <f>SUM(AE111,AE112)</f>
        <v>0</v>
      </c>
      <c r="AF110" s="226">
        <f>SUM(AF111,AF112)</f>
        <v>0</v>
      </c>
      <c r="AG110" s="226">
        <f>SUM(AG111,AG112)</f>
        <v>0</v>
      </c>
      <c r="AH110" s="926">
        <f>AG110-AF110</f>
        <v>0</v>
      </c>
      <c r="AI110" s="926">
        <f>SUM(AI111,AI112)</f>
        <v>0</v>
      </c>
      <c r="AJ110" s="927">
        <f>SUM(AJ111,AJ112)</f>
        <v>0</v>
      </c>
      <c r="AK110" s="926">
        <f>SUM(AK111,AK112)</f>
        <v>0</v>
      </c>
      <c r="AL110" s="926">
        <f>SUM(AL111,AL112)</f>
        <v>0</v>
      </c>
      <c r="AM110" s="926">
        <f>SUM(AM111,AM112)</f>
        <v>0</v>
      </c>
      <c r="AN110" s="926">
        <f>SUM(AN111,AN112)</f>
        <v>0</v>
      </c>
      <c r="AO110" s="926">
        <f>SUM(AO111,AO112)</f>
        <v>0</v>
      </c>
      <c r="AP110" s="926">
        <f>SUM(AP111,AP112)</f>
        <v>0</v>
      </c>
      <c r="AQ110" s="926">
        <f>SUM(AQ111,AQ112)</f>
        <v>0</v>
      </c>
      <c r="AR110" s="926">
        <f>SUM(AR111,AR112)</f>
        <v>0</v>
      </c>
      <c r="AS110" s="926">
        <f>SUM(AS111,AS112)</f>
        <v>0</v>
      </c>
      <c r="AT110" s="927">
        <f>SUM(AT111,AT112)</f>
        <v>0</v>
      </c>
      <c r="AU110" s="926">
        <f>SUM(AU111,AU112)</f>
        <v>0</v>
      </c>
      <c r="AV110" s="926">
        <f>SUM(AV111,AV112)</f>
        <v>0</v>
      </c>
      <c r="AW110" s="926">
        <f>SUM(AW111,AW112)</f>
        <v>0</v>
      </c>
      <c r="AX110" s="926">
        <f>SUM(AX111,AX112)</f>
        <v>0</v>
      </c>
      <c r="AY110" s="926">
        <f>SUM(AY111,AY112)</f>
        <v>0</v>
      </c>
      <c r="AZ110" s="926">
        <f>SUM(AZ111,AZ112)</f>
        <v>0</v>
      </c>
      <c r="BA110" s="926">
        <f>SUM(BA111,BA112)</f>
        <v>0</v>
      </c>
      <c r="BB110" s="926">
        <f>SUM(BB111,BB112)</f>
        <v>0</v>
      </c>
      <c r="BC110" s="926">
        <f>SUM(BC111,BC112)</f>
        <v>0</v>
      </c>
      <c r="BD110" s="926">
        <f>IF(AI110=0,0,(AT110-AI110)/AI110*100)</f>
        <v>0</v>
      </c>
      <c r="BE110" s="926">
        <f>IF(AT110=0,0,(AU110-AT110)/AT110*100)</f>
        <v>0</v>
      </c>
      <c r="BF110" s="926">
        <f>IF(AU110=0,0,(AV110-AU110)/AU110*100)</f>
        <v>0</v>
      </c>
      <c r="BG110" s="926">
        <f>IF(AV110=0,0,(AW110-AV110)/AV110*100)</f>
        <v>0</v>
      </c>
      <c r="BH110" s="926">
        <f>IF(AW110=0,0,(AX110-AW110)/AW110*100)</f>
        <v>0</v>
      </c>
      <c r="BI110" s="926">
        <f>IF(AX110=0,0,(AY110-AX110)/AX110*100)</f>
        <v>0</v>
      </c>
      <c r="BJ110" s="926">
        <f>IF(AY110=0,0,(AZ110-AY110)/AY110*100)</f>
        <v>0</v>
      </c>
      <c r="BK110" s="926">
        <f>IF(AZ110=0,0,(BA110-AZ110)/AZ110*100)</f>
        <v>0</v>
      </c>
      <c r="BL110" s="926">
        <f>IF(BA110=0,0,(BB110-BA110)/BA110*100)</f>
        <v>0</v>
      </c>
      <c r="BM110" s="926">
        <f>IF(BB110=0,0,(BC110-BB110)/BB110*100)</f>
        <v>0</v>
      </c>
      <c r="BN110" s="1283"/>
      <c r="BO110" s="1283"/>
      <c r="BP110" s="1283"/>
      <c r="BQ110" s="960"/>
      <c r="BR110" s="960"/>
      <c r="BS110" s="1048" t="s">
        <v>1978</v>
      </c>
      <c r="BT110" s="1048"/>
      <c r="BU110" s="1048"/>
      <c r="BV110" s="962"/>
      <c r="BW110" s="962"/>
    </row>
    <row customHeight="1" ht="14.625" hidden="1">
      <c r="A111" s="960"/>
      <c r="B111" s="961"/>
      <c r="C111" s="960"/>
      <c r="D111" s="960"/>
      <c r="E111" s="683">
        <v>15</v>
      </c>
      <c r="F111" s="50" cm="1" t="str">
        <f t="array" ref="F111:F111">OFFSET(E111,-1,1)</f>
        <v>0</v>
      </c>
      <c r="G111" s="960"/>
      <c r="H111" s="960"/>
      <c r="I111" s="124" t="s">
        <v>1979</v>
      </c>
      <c r="J111" s="960"/>
      <c r="K111" s="124" t="s">
        <v>1979</v>
      </c>
      <c r="L111" s="963"/>
      <c r="M111" s="73"/>
      <c r="N111" s="960"/>
      <c r="O111" s="960"/>
      <c r="P111" s="960"/>
      <c r="Q111" s="960"/>
      <c r="R111" s="960"/>
      <c r="S111" s="960"/>
      <c r="T111" s="439" cm="1" t="str">
        <f t="array" ref="T111:T111">T110</f>
        <v>false</v>
      </c>
      <c r="U111" s="960"/>
      <c r="V111" s="960"/>
      <c r="W111" s="960"/>
      <c r="X111" s="1482"/>
      <c r="Y111" s="960"/>
      <c r="Z111" s="1465"/>
      <c r="AA111" s="960"/>
      <c r="AB111" s="266" t="s">
        <v>1980</v>
      </c>
      <c r="AC111" s="746" t="s">
        <v>1981</v>
      </c>
      <c r="AD111" s="267" t="s">
        <v>784</v>
      </c>
      <c r="AE111" s="1282"/>
      <c r="AF111" s="1282"/>
      <c r="AG111" s="1282"/>
      <c r="AH111" s="926">
        <f>AG111-AF111</f>
        <v>0</v>
      </c>
      <c r="AI111" s="1280"/>
      <c r="AJ111" s="4765"/>
      <c r="AK111" s="1280"/>
      <c r="AL111" s="1280"/>
      <c r="AM111" s="1280"/>
      <c r="AN111" s="1280"/>
      <c r="AO111" s="1280"/>
      <c r="AP111" s="1280"/>
      <c r="AQ111" s="1280"/>
      <c r="AR111" s="1280"/>
      <c r="AS111" s="1280"/>
      <c r="AT111" s="4765"/>
      <c r="AU111" s="1280"/>
      <c r="AV111" s="1280"/>
      <c r="AW111" s="1280"/>
      <c r="AX111" s="1280"/>
      <c r="AY111" s="1280"/>
      <c r="AZ111" s="1280"/>
      <c r="BA111" s="1280"/>
      <c r="BB111" s="1280"/>
      <c r="BC111" s="1280"/>
      <c r="BD111" s="926">
        <f>IF(AI111=0,0,(AT111-AI111)/AI111*100)</f>
        <v>0</v>
      </c>
      <c r="BE111" s="926">
        <f>IF(AT111=0,0,(AU111-AT111)/AT111*100)</f>
        <v>0</v>
      </c>
      <c r="BF111" s="926">
        <f>IF(AU111=0,0,(AV111-AU111)/AU111*100)</f>
        <v>0</v>
      </c>
      <c r="BG111" s="926">
        <f>IF(AV111=0,0,(AW111-AV111)/AV111*100)</f>
        <v>0</v>
      </c>
      <c r="BH111" s="926">
        <f>IF(AW111=0,0,(AX111-AW111)/AW111*100)</f>
        <v>0</v>
      </c>
      <c r="BI111" s="926">
        <f>IF(AX111=0,0,(AY111-AX111)/AX111*100)</f>
        <v>0</v>
      </c>
      <c r="BJ111" s="926">
        <f>IF(AY111=0,0,(AZ111-AY111)/AY111*100)</f>
        <v>0</v>
      </c>
      <c r="BK111" s="926">
        <f>IF(AZ111=0,0,(BA111-AZ111)/AZ111*100)</f>
        <v>0</v>
      </c>
      <c r="BL111" s="926">
        <f>IF(BA111=0,0,(BB111-BA111)/BA111*100)</f>
        <v>0</v>
      </c>
      <c r="BM111" s="926">
        <f>IF(BB111=0,0,(BC111-BB111)/BB111*100)</f>
        <v>0</v>
      </c>
      <c r="BN111" s="1283"/>
      <c r="BO111" s="1283"/>
      <c r="BP111" s="1283"/>
      <c r="BQ111" s="960"/>
      <c r="BR111" s="960"/>
      <c r="BS111" s="1048" t="s">
        <v>1144</v>
      </c>
      <c r="BT111" s="1048"/>
      <c r="BU111" s="1048"/>
      <c r="BV111" s="962"/>
      <c r="BW111" s="962"/>
    </row>
    <row customHeight="1" ht="14.625" hidden="1">
      <c r="A112" s="960"/>
      <c r="B112" s="961"/>
      <c r="C112" s="960"/>
      <c r="D112" s="960"/>
      <c r="E112" s="683">
        <v>15</v>
      </c>
      <c r="F112" s="50" cm="1" t="str">
        <f t="array" ref="F112:F112">OFFSET(E112,-1,1)</f>
        <v>0</v>
      </c>
      <c r="G112" s="960"/>
      <c r="H112" s="960"/>
      <c r="I112" s="124" t="s">
        <v>1982</v>
      </c>
      <c r="J112" s="960"/>
      <c r="K112" s="124" t="s">
        <v>1982</v>
      </c>
      <c r="L112" s="963" t="s">
        <v>857</v>
      </c>
      <c r="M112" s="73"/>
      <c r="N112" s="960"/>
      <c r="O112" s="960"/>
      <c r="P112" s="960"/>
      <c r="Q112" s="960"/>
      <c r="R112" s="960"/>
      <c r="S112" s="960"/>
      <c r="T112" s="439" cm="1" t="str">
        <f t="array" ref="T112:T112">T111</f>
        <v>false</v>
      </c>
      <c r="U112" s="960"/>
      <c r="V112" s="960"/>
      <c r="W112" s="960"/>
      <c r="X112" s="1482"/>
      <c r="Y112" s="960"/>
      <c r="Z112" s="1465"/>
      <c r="AA112" s="960"/>
      <c r="AB112" s="266" t="s">
        <v>1983</v>
      </c>
      <c r="AC112" s="746" t="s">
        <v>1984</v>
      </c>
      <c r="AD112" s="267" t="s">
        <v>784</v>
      </c>
      <c r="AE112" s="1282"/>
      <c r="AF112" s="1282"/>
      <c r="AG112" s="1282"/>
      <c r="AH112" s="926">
        <f>AG112-AF112</f>
        <v>0</v>
      </c>
      <c r="AI112" s="1280"/>
      <c r="AJ112" s="4765"/>
      <c r="AK112" s="1280"/>
      <c r="AL112" s="1280"/>
      <c r="AM112" s="1280"/>
      <c r="AN112" s="1280"/>
      <c r="AO112" s="1280"/>
      <c r="AP112" s="1280"/>
      <c r="AQ112" s="1280"/>
      <c r="AR112" s="1280"/>
      <c r="AS112" s="1280"/>
      <c r="AT112" s="4765"/>
      <c r="AU112" s="1280"/>
      <c r="AV112" s="1280"/>
      <c r="AW112" s="1280"/>
      <c r="AX112" s="1280"/>
      <c r="AY112" s="1280"/>
      <c r="AZ112" s="1280"/>
      <c r="BA112" s="1280"/>
      <c r="BB112" s="1280"/>
      <c r="BC112" s="1280"/>
      <c r="BD112" s="926">
        <f>IF(AI112=0,0,(AT112-AI112)/AI112*100)</f>
        <v>0</v>
      </c>
      <c r="BE112" s="926">
        <f>IF(AT112=0,0,(AU112-AT112)/AT112*100)</f>
        <v>0</v>
      </c>
      <c r="BF112" s="926">
        <f>IF(AU112=0,0,(AV112-AU112)/AU112*100)</f>
        <v>0</v>
      </c>
      <c r="BG112" s="926">
        <f>IF(AV112=0,0,(AW112-AV112)/AV112*100)</f>
        <v>0</v>
      </c>
      <c r="BH112" s="926">
        <f>IF(AW112=0,0,(AX112-AW112)/AW112*100)</f>
        <v>0</v>
      </c>
      <c r="BI112" s="926">
        <f>IF(AX112=0,0,(AY112-AX112)/AX112*100)</f>
        <v>0</v>
      </c>
      <c r="BJ112" s="926">
        <f>IF(AY112=0,0,(AZ112-AY112)/AY112*100)</f>
        <v>0</v>
      </c>
      <c r="BK112" s="926">
        <f>IF(AZ112=0,0,(BA112-AZ112)/AZ112*100)</f>
        <v>0</v>
      </c>
      <c r="BL112" s="926">
        <f>IF(BA112=0,0,(BB112-BA112)/BA112*100)</f>
        <v>0</v>
      </c>
      <c r="BM112" s="926">
        <f>IF(BB112=0,0,(BC112-BB112)/BB112*100)</f>
        <v>0</v>
      </c>
      <c r="BN112" s="1283"/>
      <c r="BO112" s="1283"/>
      <c r="BP112" s="1283"/>
      <c r="BQ112" s="960"/>
      <c r="BR112" s="960"/>
      <c r="BS112" s="1048" t="s">
        <v>1985</v>
      </c>
      <c r="BT112" s="1048"/>
      <c r="BU112" s="1048"/>
      <c r="BV112" s="962"/>
      <c r="BW112" s="962"/>
    </row>
    <row customHeight="1" ht="21.9375" hidden="1">
      <c r="A113" s="960"/>
      <c r="B113" s="961"/>
      <c r="C113" s="960"/>
      <c r="D113" s="960"/>
      <c r="E113" s="683">
        <v>22.5</v>
      </c>
      <c r="F113" s="50" cm="1" t="str">
        <f t="array" ref="F113:F113">OFFSET(E113,-1,1)</f>
        <v>0</v>
      </c>
      <c r="G113" s="124" t="s">
        <v>1362</v>
      </c>
      <c r="H113" s="960"/>
      <c r="I113" s="124" t="s">
        <v>1986</v>
      </c>
      <c r="J113" s="960"/>
      <c r="K113" s="124" t="s">
        <v>1986</v>
      </c>
      <c r="L113" s="963"/>
      <c r="M113" s="73"/>
      <c r="N113" s="960"/>
      <c r="O113" s="960"/>
      <c r="P113" s="960"/>
      <c r="Q113" s="960"/>
      <c r="R113" s="960"/>
      <c r="S113" s="960"/>
      <c r="T113" s="439" cm="1" t="str">
        <f t="array" ref="T113:T113">T112</f>
        <v>false</v>
      </c>
      <c r="U113" s="960"/>
      <c r="V113" s="960"/>
      <c r="W113" s="960"/>
      <c r="X113" s="1482"/>
      <c r="Y113" s="960"/>
      <c r="Z113" s="1465"/>
      <c r="AA113" s="960"/>
      <c r="AB113" s="266" t="s">
        <v>1426</v>
      </c>
      <c r="AC113" s="743" t="s">
        <v>1987</v>
      </c>
      <c r="AD113" s="267" t="s">
        <v>784</v>
      </c>
      <c r="AE113" s="1282"/>
      <c r="AF113" s="1282"/>
      <c r="AG113" s="1282"/>
      <c r="AH113" s="926">
        <f>AG113-AF113</f>
        <v>0</v>
      </c>
      <c r="AI113" s="1280"/>
      <c r="AJ113" s="4765"/>
      <c r="AK113" s="1280"/>
      <c r="AL113" s="1280"/>
      <c r="AM113" s="1280"/>
      <c r="AN113" s="1280"/>
      <c r="AO113" s="1280"/>
      <c r="AP113" s="1280"/>
      <c r="AQ113" s="1280"/>
      <c r="AR113" s="1280"/>
      <c r="AS113" s="1280"/>
      <c r="AT113" s="4765"/>
      <c r="AU113" s="1280"/>
      <c r="AV113" s="1280"/>
      <c r="AW113" s="1280"/>
      <c r="AX113" s="1280"/>
      <c r="AY113" s="1280"/>
      <c r="AZ113" s="1280"/>
      <c r="BA113" s="1280"/>
      <c r="BB113" s="1280"/>
      <c r="BC113" s="1280"/>
      <c r="BD113" s="926">
        <f>IF(AI113=0,0,(AT113-AI113)/AI113*100)</f>
        <v>0</v>
      </c>
      <c r="BE113" s="926">
        <f>IF(AT113=0,0,(AU113-AT113)/AT113*100)</f>
        <v>0</v>
      </c>
      <c r="BF113" s="926">
        <f>IF(AU113=0,0,(AV113-AU113)/AU113*100)</f>
        <v>0</v>
      </c>
      <c r="BG113" s="926">
        <f>IF(AV113=0,0,(AW113-AV113)/AV113*100)</f>
        <v>0</v>
      </c>
      <c r="BH113" s="926">
        <f>IF(AW113=0,0,(AX113-AW113)/AW113*100)</f>
        <v>0</v>
      </c>
      <c r="BI113" s="926">
        <f>IF(AX113=0,0,(AY113-AX113)/AX113*100)</f>
        <v>0</v>
      </c>
      <c r="BJ113" s="926">
        <f>IF(AY113=0,0,(AZ113-AY113)/AY113*100)</f>
        <v>0</v>
      </c>
      <c r="BK113" s="926">
        <f>IF(AZ113=0,0,(BA113-AZ113)/AZ113*100)</f>
        <v>0</v>
      </c>
      <c r="BL113" s="926">
        <f>IF(BA113=0,0,(BB113-BA113)/BA113*100)</f>
        <v>0</v>
      </c>
      <c r="BM113" s="926">
        <f>IF(BB113=0,0,(BC113-BB113)/BB113*100)</f>
        <v>0</v>
      </c>
      <c r="BN113" s="1283"/>
      <c r="BO113" s="1283"/>
      <c r="BP113" s="1283"/>
      <c r="BQ113" s="960"/>
      <c r="BR113" s="960"/>
      <c r="BS113" s="1048" t="s">
        <v>1988</v>
      </c>
      <c r="BT113" s="1048"/>
      <c r="BU113" s="1048"/>
      <c r="BV113" s="962"/>
      <c r="BW113" s="962"/>
    </row>
    <row s="680" customFormat="1" customHeight="1" ht="20.475" hidden="1">
      <c r="A114" s="680"/>
      <c r="B114" s="408"/>
      <c r="C114" s="680"/>
      <c r="D114" s="680"/>
      <c r="E114" s="687">
        <v>21</v>
      </c>
      <c r="F114" s="50" cm="1" t="str">
        <f t="array" ref="F114:F114">OFFSET(E114,-1,1)</f>
        <v>0</v>
      </c>
      <c r="G114" s="124" t="s">
        <v>1989</v>
      </c>
      <c r="H114" s="124"/>
      <c r="I114" s="124" t="s">
        <v>327</v>
      </c>
      <c r="J114" s="680"/>
      <c r="K114" s="124" t="s">
        <v>327</v>
      </c>
      <c r="L114" s="968" t="s">
        <v>1219</v>
      </c>
      <c r="M114" s="75"/>
      <c r="N114" s="680"/>
      <c r="O114" s="680"/>
      <c r="P114" s="680"/>
      <c r="Q114" s="680"/>
      <c r="R114" s="680"/>
      <c r="S114" s="680"/>
      <c r="T114" s="439" cm="1" t="str">
        <f t="array" ref="T114:T114">T113</f>
        <v>false</v>
      </c>
      <c r="U114" s="680"/>
      <c r="V114" s="680"/>
      <c r="W114" s="680"/>
      <c r="X114" s="1482"/>
      <c r="Y114" s="680"/>
      <c r="Z114" s="1465"/>
      <c r="AA114" s="680"/>
      <c r="AB114" s="185" t="s">
        <v>323</v>
      </c>
      <c r="AC114" s="179" t="s">
        <v>1990</v>
      </c>
      <c r="AD114" s="178" t="s">
        <v>784</v>
      </c>
      <c r="AE114" s="759">
        <f>_xlfn.SUMIFS(ЭЭ!AE$25:AE$93,ЭЭ!$F$25:$F$93,$F114,ЭЭ!$AC$25:$AC$93,"Всего по тарифу")</f>
        <v>0</v>
      </c>
      <c r="AF114" s="759">
        <f>_xlfn.SUMIFS(ЭЭ!AF$25:AF$93,ЭЭ!$F$25:$F$93,$F114,ЭЭ!$AC$25:$AC$93,"Всего по тарифу")</f>
        <v>0</v>
      </c>
      <c r="AG114" s="759">
        <f>_xlfn.SUMIFS(ЭЭ!AG$25:AG$93,ЭЭ!$F$25:$F$93,$F114,ЭЭ!$AC$25:$AC$93,"Всего по тарифу")</f>
        <v>0</v>
      </c>
      <c r="AH114" s="742">
        <f>AG114-AF114</f>
        <v>0</v>
      </c>
      <c r="AI114" s="742">
        <f>_xlfn.SUMIFS(ЭЭ!AH$25:AH$93,ЭЭ!$F$25:$F$93,$F114,ЭЭ!$AC$25:$AC$93,"Всего по тарифу")</f>
        <v>0</v>
      </c>
      <c r="AJ114" s="742">
        <f>_xlfn.SUMIFS(ЭЭ!AI$25:AI$93,ЭЭ!$F$25:$F$93,$F114,ЭЭ!$AC$25:$AC$93,"Всего по тарифу")</f>
        <v>0</v>
      </c>
      <c r="AK114" s="742">
        <f>_xlfn.SUMIFS(ЭЭ!AJ$25:AJ$93,ЭЭ!$F$25:$F$93,$F114,ЭЭ!$AC$25:$AC$93,"Всего по тарифу")</f>
        <v>0</v>
      </c>
      <c r="AL114" s="742">
        <f>_xlfn.SUMIFS(ЭЭ!AK$25:AK$93,ЭЭ!$F$25:$F$93,$F114,ЭЭ!$AC$25:$AC$93,"Всего по тарифу")</f>
        <v>0</v>
      </c>
      <c r="AM114" s="742">
        <f>_xlfn.SUMIFS(ЭЭ!AL$25:AL$93,ЭЭ!$F$25:$F$93,$F114,ЭЭ!$AC$25:$AC$93,"Всего по тарифу")</f>
        <v>0</v>
      </c>
      <c r="AN114" s="742">
        <f>_xlfn.SUMIFS(ЭЭ!AM$25:AM$93,ЭЭ!$F$25:$F$93,$F114,ЭЭ!$AC$25:$AC$93,"Всего по тарифу")</f>
        <v>0</v>
      </c>
      <c r="AO114" s="742">
        <f>_xlfn.SUMIFS(ЭЭ!AN$25:AN$93,ЭЭ!$F$25:$F$93,$F114,ЭЭ!$AC$25:$AC$93,"Всего по тарифу")</f>
        <v>0</v>
      </c>
      <c r="AP114" s="742">
        <f>_xlfn.SUMIFS(ЭЭ!AO$25:AO$93,ЭЭ!$F$25:$F$93,$F114,ЭЭ!$AC$25:$AC$93,"Всего по тарифу")</f>
        <v>0</v>
      </c>
      <c r="AQ114" s="742">
        <f>_xlfn.SUMIFS(ЭЭ!AP$25:AP$93,ЭЭ!$F$25:$F$93,$F114,ЭЭ!$AC$25:$AC$93,"Всего по тарифу")</f>
        <v>0</v>
      </c>
      <c r="AR114" s="742">
        <f>_xlfn.SUMIFS(ЭЭ!AQ$25:AQ$93,ЭЭ!$F$25:$F$93,$F114,ЭЭ!$AC$25:$AC$93,"Всего по тарифу")</f>
        <v>0</v>
      </c>
      <c r="AS114" s="742">
        <f>_xlfn.SUMIFS(ЭЭ!AR$25:AR$93,ЭЭ!$F$25:$F$93,$F114,ЭЭ!$AC$25:$AC$93,"Всего по тарифу")</f>
        <v>0</v>
      </c>
      <c r="AT114" s="742">
        <f>_xlfn.SUMIFS(ЭЭ!AS$25:AS$93,ЭЭ!$F$25:$F$93,$F114,ЭЭ!$AC$25:$AC$93,"Всего по тарифу")</f>
        <v>0</v>
      </c>
      <c r="AU114" s="742">
        <f>_xlfn.SUMIFS(ЭЭ!AT$25:AT$93,ЭЭ!$F$25:$F$93,$F114,ЭЭ!$AC$25:$AC$93,"Всего по тарифу")</f>
        <v>0</v>
      </c>
      <c r="AV114" s="742">
        <f>_xlfn.SUMIFS(ЭЭ!AU$25:AU$93,ЭЭ!$F$25:$F$93,$F114,ЭЭ!$AC$25:$AC$93,"Всего по тарифу")</f>
        <v>0</v>
      </c>
      <c r="AW114" s="742">
        <f>_xlfn.SUMIFS(ЭЭ!AV$25:AV$93,ЭЭ!$F$25:$F$93,$F114,ЭЭ!$AC$25:$AC$93,"Всего по тарифу")</f>
        <v>0</v>
      </c>
      <c r="AX114" s="742">
        <f>_xlfn.SUMIFS(ЭЭ!AW$25:AW$93,ЭЭ!$F$25:$F$93,$F114,ЭЭ!$AC$25:$AC$93,"Всего по тарифу")</f>
        <v>0</v>
      </c>
      <c r="AY114" s="742">
        <f>_xlfn.SUMIFS(ЭЭ!AX$25:AX$93,ЭЭ!$F$25:$F$93,$F114,ЭЭ!$AC$25:$AC$93,"Всего по тарифу")</f>
        <v>0</v>
      </c>
      <c r="AZ114" s="742">
        <f>_xlfn.SUMIFS(ЭЭ!AY$25:AY$93,ЭЭ!$F$25:$F$93,$F114,ЭЭ!$AC$25:$AC$93,"Всего по тарифу")</f>
        <v>0</v>
      </c>
      <c r="BA114" s="742">
        <f>_xlfn.SUMIFS(ЭЭ!AZ$25:AZ$93,ЭЭ!$F$25:$F$93,$F114,ЭЭ!$AC$25:$AC$93,"Всего по тарифу")</f>
        <v>0</v>
      </c>
      <c r="BB114" s="742">
        <f>_xlfn.SUMIFS(ЭЭ!BA$25:BA$93,ЭЭ!$F$25:$F$93,$F114,ЭЭ!$AC$25:$AC$93,"Всего по тарифу")</f>
        <v>0</v>
      </c>
      <c r="BC114" s="742">
        <f>_xlfn.SUMIFS(ЭЭ!BB$25:BB$93,ЭЭ!$F$25:$F$93,$F114,ЭЭ!$AC$25:$AC$93,"Всего по тарифу")</f>
        <v>0</v>
      </c>
      <c r="BD114" s="742">
        <f>IF(AI114=0,0,(AT114-AI114)/AI114*100)</f>
        <v>0</v>
      </c>
      <c r="BE114" s="742">
        <f>IF(AT114=0,0,(AU114-AT114)/AT114*100)</f>
        <v>0</v>
      </c>
      <c r="BF114" s="742">
        <f>IF(AU114=0,0,(AV114-AU114)/AU114*100)</f>
        <v>0</v>
      </c>
      <c r="BG114" s="742">
        <f>IF(AV114=0,0,(AW114-AV114)/AV114*100)</f>
        <v>0</v>
      </c>
      <c r="BH114" s="742">
        <f>IF(AW114=0,0,(AX114-AW114)/AW114*100)</f>
        <v>0</v>
      </c>
      <c r="BI114" s="742">
        <f>IF(AX114=0,0,(AY114-AX114)/AX114*100)</f>
        <v>0</v>
      </c>
      <c r="BJ114" s="742">
        <f>IF(AY114=0,0,(AZ114-AY114)/AY114*100)</f>
        <v>0</v>
      </c>
      <c r="BK114" s="742">
        <f>IF(AZ114=0,0,(BA114-AZ114)/AZ114*100)</f>
        <v>0</v>
      </c>
      <c r="BL114" s="742">
        <f>IF(BA114=0,0,(BB114-BA114)/BA114*100)</f>
        <v>0</v>
      </c>
      <c r="BM114" s="742">
        <f>IF(BB114=0,0,(BC114-BB114)/BB114*100)</f>
        <v>0</v>
      </c>
      <c r="BN114" s="1283"/>
      <c r="BO114" s="1286" t="str">
        <f>IF(_xlfn.IFERROR(INDEX(ЭЭ!$K$26:$L$93,MATCH($F114&amp;"komm",ЭЭ!$K$26:$K$93,0),2),"")=0,"",_xlfn.IFERROR(INDEX(ЭЭ!$K$26:$L$93,MATCH($F114&amp;"komm",ЭЭ!$K$26:$K$93,0),2),""))</f>
        <v/>
      </c>
      <c r="BP114" s="1283"/>
      <c r="BQ114" s="680"/>
      <c r="BR114" s="680"/>
      <c r="BS114" s="1054" t="s">
        <v>1598</v>
      </c>
      <c r="BT114" s="1054"/>
      <c r="BU114" s="1054"/>
      <c r="BV114" s="687"/>
      <c r="BW114" s="687"/>
    </row>
    <row s="680" customFormat="1" customHeight="1" ht="21.9375" hidden="1">
      <c r="A115" s="680"/>
      <c r="B115" s="128">
        <f>method_reg="Метод индексации"</f>
        <v>1</v>
      </c>
      <c r="C115" s="680"/>
      <c r="D115" s="680"/>
      <c r="E115" s="687">
        <v>22.5</v>
      </c>
      <c r="F115" s="50" cm="1" t="str">
        <f t="array" ref="F115:F115">OFFSET(E115,-1,1)</f>
        <v>0</v>
      </c>
      <c r="G115" s="124" t="s">
        <v>1384</v>
      </c>
      <c r="H115" s="124"/>
      <c r="I115" s="124" t="s">
        <v>329</v>
      </c>
      <c r="J115" s="680"/>
      <c r="K115" s="124" t="s">
        <v>329</v>
      </c>
      <c r="L115" s="968" t="s">
        <v>328</v>
      </c>
      <c r="M115" s="75"/>
      <c r="N115" s="680"/>
      <c r="O115" s="680"/>
      <c r="P115" s="680"/>
      <c r="Q115" s="680"/>
      <c r="R115" s="680"/>
      <c r="S115" s="680"/>
      <c r="T115" s="439" cm="1" t="str">
        <f t="array" ref="T115:T115">T114</f>
        <v>false</v>
      </c>
      <c r="U115" s="680"/>
      <c r="V115" s="680"/>
      <c r="W115" s="680"/>
      <c r="X115" s="1482"/>
      <c r="Y115" s="680"/>
      <c r="Z115" s="1465"/>
      <c r="AA115" s="680"/>
      <c r="AB115" s="185" t="s">
        <v>536</v>
      </c>
      <c r="AC115" s="179" t="s">
        <v>1991</v>
      </c>
      <c r="AD115" s="178" t="s">
        <v>784</v>
      </c>
      <c r="AE115" s="759">
        <f>_xlfn.SUMIFS(Амортизация!AE$25:AE$174,Амортизация!$F$25:$F$174,$F115,Амортизация!$AC$25:$AC$174,"Сумма амортизационных отчислений")</f>
        <v>0</v>
      </c>
      <c r="AF115" s="759">
        <f>_xlfn.SUMIFS(Амортизация!AF$25:AF$174,Амортизация!$F$25:$F$174,$F115,Амортизация!$AC$25:$AC$174,"Сумма амортизационных отчислений")</f>
        <v>0</v>
      </c>
      <c r="AG115" s="759">
        <f>_xlfn.SUMIFS(Амортизация!AG$25:AG$174,Амортизация!$F$25:$F$174,$F115,Амортизация!$AC$25:$AC$174,"Сумма амортизационных отчислений")</f>
        <v>0</v>
      </c>
      <c r="AH115" s="742">
        <f>AG115-AF115</f>
        <v>0</v>
      </c>
      <c r="AI115" s="742">
        <f>_xlfn.SUMIFS(Амортизация!AH$25:AH$174,Амортизация!$F$25:$F$174,$F115,Амортизация!$AC$25:$AC$174,"Сумма амортизационных отчислений")</f>
        <v>0</v>
      </c>
      <c r="AJ115" s="742">
        <f>_xlfn.SUMIFS(Амортизация!AI$25:AI$174,Амортизация!$F$25:$F$174,$F115,Амортизация!$AC$25:$AC$174,"Сумма амортизационных отчислений")</f>
        <v>0</v>
      </c>
      <c r="AK115" s="742">
        <f>_xlfn.SUMIFS(Амортизация!AJ$25:AJ$174,Амортизация!$F$25:$F$174,$F115,Амортизация!$AC$25:$AC$174,"Сумма амортизационных отчислений")</f>
        <v>0</v>
      </c>
      <c r="AL115" s="742">
        <f>_xlfn.SUMIFS(Амортизация!AK$25:AK$174,Амортизация!$F$25:$F$174,$F115,Амортизация!$AC$25:$AC$174,"Сумма амортизационных отчислений")</f>
        <v>0</v>
      </c>
      <c r="AM115" s="742">
        <f>_xlfn.SUMIFS(Амортизация!AL$25:AL$174,Амортизация!$F$25:$F$174,$F115,Амортизация!$AC$25:$AC$174,"Сумма амортизационных отчислений")</f>
        <v>0</v>
      </c>
      <c r="AN115" s="742">
        <f>_xlfn.SUMIFS(Амортизация!AM$25:AM$174,Амортизация!$F$25:$F$174,$F115,Амортизация!$AC$25:$AC$174,"Сумма амортизационных отчислений")</f>
        <v>0</v>
      </c>
      <c r="AO115" s="742">
        <f>_xlfn.SUMIFS(Амортизация!AN$25:AN$174,Амортизация!$F$25:$F$174,$F115,Амортизация!$AC$25:$AC$174,"Сумма амортизационных отчислений")</f>
        <v>0</v>
      </c>
      <c r="AP115" s="742">
        <f>_xlfn.SUMIFS(Амортизация!AO$25:AO$174,Амортизация!$F$25:$F$174,$F115,Амортизация!$AC$25:$AC$174,"Сумма амортизационных отчислений")</f>
        <v>0</v>
      </c>
      <c r="AQ115" s="742">
        <f>_xlfn.SUMIFS(Амортизация!AP$25:AP$174,Амортизация!$F$25:$F$174,$F115,Амортизация!$AC$25:$AC$174,"Сумма амортизационных отчислений")</f>
        <v>0</v>
      </c>
      <c r="AR115" s="742">
        <f>_xlfn.SUMIFS(Амортизация!AQ$25:AQ$174,Амортизация!$F$25:$F$174,$F115,Амортизация!$AC$25:$AC$174,"Сумма амортизационных отчислений")</f>
        <v>0</v>
      </c>
      <c r="AS115" s="742">
        <f>_xlfn.SUMIFS(Амортизация!AR$25:AR$174,Амортизация!$F$25:$F$174,$F115,Амортизация!$AC$25:$AC$174,"Сумма амортизационных отчислений")</f>
        <v>0</v>
      </c>
      <c r="AT115" s="742">
        <f>_xlfn.SUMIFS(Амортизация!AS$25:AS$174,Амортизация!$F$25:$F$174,$F115,Амортизация!$AC$25:$AC$174,"Сумма амортизационных отчислений")</f>
        <v>0</v>
      </c>
      <c r="AU115" s="742">
        <f>_xlfn.SUMIFS(Амортизация!AT$25:AT$174,Амортизация!$F$25:$F$174,$F115,Амортизация!$AC$25:$AC$174,"Сумма амортизационных отчислений")</f>
        <v>0</v>
      </c>
      <c r="AV115" s="742">
        <f>_xlfn.SUMIFS(Амортизация!AU$25:AU$174,Амортизация!$F$25:$F$174,$F115,Амортизация!$AC$25:$AC$174,"Сумма амортизационных отчислений")</f>
        <v>0</v>
      </c>
      <c r="AW115" s="742">
        <f>_xlfn.SUMIFS(Амортизация!AV$25:AV$174,Амортизация!$F$25:$F$174,$F115,Амортизация!$AC$25:$AC$174,"Сумма амортизационных отчислений")</f>
        <v>0</v>
      </c>
      <c r="AX115" s="742">
        <f>_xlfn.SUMIFS(Амортизация!AW$25:AW$174,Амортизация!$F$25:$F$174,$F115,Амортизация!$AC$25:$AC$174,"Сумма амортизационных отчислений")</f>
        <v>0</v>
      </c>
      <c r="AY115" s="742">
        <f>_xlfn.SUMIFS(Амортизация!AX$25:AX$174,Амортизация!$F$25:$F$174,$F115,Амортизация!$AC$25:$AC$174,"Сумма амортизационных отчислений")</f>
        <v>0</v>
      </c>
      <c r="AZ115" s="742">
        <f>_xlfn.SUMIFS(Амортизация!AY$25:AY$174,Амортизация!$F$25:$F$174,$F115,Амортизация!$AC$25:$AC$174,"Сумма амортизационных отчислений")</f>
        <v>0</v>
      </c>
      <c r="BA115" s="742">
        <f>_xlfn.SUMIFS(Амортизация!AZ$25:AZ$174,Амортизация!$F$25:$F$174,$F115,Амортизация!$AC$25:$AC$174,"Сумма амортизационных отчислений")</f>
        <v>0</v>
      </c>
      <c r="BB115" s="742">
        <f>_xlfn.SUMIFS(Амортизация!BA$25:BA$174,Амортизация!$F$25:$F$174,$F115,Амортизация!$AC$25:$AC$174,"Сумма амортизационных отчислений")</f>
        <v>0</v>
      </c>
      <c r="BC115" s="742">
        <f>_xlfn.SUMIFS(Амортизация!BB$25:BB$174,Амортизация!$F$25:$F$174,$F115,Амортизация!$AC$25:$AC$174,"Сумма амортизационных отчислений")</f>
        <v>0</v>
      </c>
      <c r="BD115" s="742">
        <f>IF(AI115=0,0,(AT115-AI115)/AI115*100)</f>
        <v>0</v>
      </c>
      <c r="BE115" s="742">
        <f>IF(AT115=0,0,(AU115-AT115)/AT115*100)</f>
        <v>0</v>
      </c>
      <c r="BF115" s="742">
        <f>IF(AU115=0,0,(AV115-AU115)/AU115*100)</f>
        <v>0</v>
      </c>
      <c r="BG115" s="742">
        <f>IF(AV115=0,0,(AW115-AV115)/AV115*100)</f>
        <v>0</v>
      </c>
      <c r="BH115" s="742">
        <f>IF(AW115=0,0,(AX115-AW115)/AW115*100)</f>
        <v>0</v>
      </c>
      <c r="BI115" s="742">
        <f>IF(AX115=0,0,(AY115-AX115)/AX115*100)</f>
        <v>0</v>
      </c>
      <c r="BJ115" s="742">
        <f>IF(AY115=0,0,(AZ115-AY115)/AY115*100)</f>
        <v>0</v>
      </c>
      <c r="BK115" s="742">
        <f>IF(AZ115=0,0,(BA115-AZ115)/AZ115*100)</f>
        <v>0</v>
      </c>
      <c r="BL115" s="742">
        <f>IF(BA115=0,0,(BB115-BA115)/BA115*100)</f>
        <v>0</v>
      </c>
      <c r="BM115" s="742">
        <f>IF(BB115=0,0,(BC115-BB115)/BB115*100)</f>
        <v>0</v>
      </c>
      <c r="BN115" s="1283"/>
      <c r="BO115" s="1281" t="str">
        <f>IF(_xlfn.IFERROR(INDEX(Амортизация!$K$26:$L$174,MATCH($F115&amp;"komm",Амортизация!$K$26:$K$174,0),2),"")=0,"",_xlfn.IFERROR(INDEX(Амортизация!$K$26:$L$174,MATCH($F115&amp;"komm",Амортизация!$K$26:$K$174,0),2),""))</f>
        <v/>
      </c>
      <c r="BP115" s="1283"/>
      <c r="BQ115" s="680"/>
      <c r="BR115" s="680"/>
      <c r="BS115" s="1054" t="s">
        <v>1123</v>
      </c>
      <c r="BT115" s="1054"/>
      <c r="BU115" s="1054"/>
      <c r="BV115" s="687"/>
      <c r="BW115" s="687"/>
    </row>
    <row customHeight="1" ht="14.625" hidden="1">
      <c r="A116" s="960"/>
      <c r="B116" s="405" cm="1" t="str">
        <f t="array" ref="B116:B116">B115</f>
        <v>true</v>
      </c>
      <c r="C116" s="960"/>
      <c r="D116" s="960"/>
      <c r="E116" s="683">
        <v>15</v>
      </c>
      <c r="F116" s="50" cm="1" t="str">
        <f t="array" ref="F116:F116">OFFSET(E116,-1,1)</f>
        <v>0</v>
      </c>
      <c r="G116" s="960"/>
      <c r="H116" s="960"/>
      <c r="I116" s="124" t="s">
        <v>514</v>
      </c>
      <c r="J116" s="960"/>
      <c r="K116" s="124" t="s">
        <v>514</v>
      </c>
      <c r="L116" s="963" t="s">
        <v>528</v>
      </c>
      <c r="M116" s="73"/>
      <c r="N116" s="960"/>
      <c r="O116" s="960"/>
      <c r="P116" s="960"/>
      <c r="Q116" s="960"/>
      <c r="R116" s="960"/>
      <c r="S116" s="960"/>
      <c r="T116" s="439" cm="1" t="str">
        <f t="array" ref="T116:T116">T115</f>
        <v>false</v>
      </c>
      <c r="U116" s="960"/>
      <c r="V116" s="960"/>
      <c r="W116" s="960"/>
      <c r="X116" s="1482"/>
      <c r="Y116" s="960"/>
      <c r="Z116" s="1465"/>
      <c r="AA116" s="960"/>
      <c r="AB116" s="266" t="s">
        <v>652</v>
      </c>
      <c r="AC116" s="743" t="s">
        <v>1691</v>
      </c>
      <c r="AD116" s="267" t="s">
        <v>784</v>
      </c>
      <c r="AE116" s="1282">
        <f>_xlfn.SUMIFS('ИП + источники'!AF$27:AF$116,'ИП + источники'!$F$27:$F$116,$F116,'ИП + источники'!$AC$27:$AC$116,"Амортизационные отчисления")+_xlfn.SUMIFS('ИП + источники'!AF$27:AF$116,'ИП + источники'!$F$27:$F$116,$F116,'ИП + источники'!$AC$27:$AC$116,"погашение займов и кредитов из амортизации")</f>
        <v>0</v>
      </c>
      <c r="AF116" s="1282">
        <f>_xlfn.SUMIFS('ИП + источники'!AG$27:AG$116,'ИП + источники'!$F$27:$F$116,$F116,'ИП + источники'!$AC$27:$AC$116,"Амортизационные отчисления")+_xlfn.SUMIFS('ИП + источники'!AG$27:AG$116,'ИП + источники'!$F$27:$F$116,$F116,'ИП + источники'!$AC$27:$AC$116,"погашение займов и кредитов из амортизации")</f>
        <v>0</v>
      </c>
      <c r="AG116" s="1282">
        <f>_xlfn.SUMIFS('ИП + источники'!AH$27:AH$116,'ИП + источники'!$F$27:$F$116,$F116,'ИП + источники'!$AC$27:$AC$116,"Амортизационные отчисления")+_xlfn.SUMIFS('ИП + источники'!AH$27:AH$116,'ИП + источники'!$F$27:$F$116,$F116,'ИП + источники'!$AC$27:$AC$116,"погашение займов и кредитов из амортизации")</f>
        <v>0</v>
      </c>
      <c r="AH116" s="926">
        <f>AG116-AF116</f>
        <v>0</v>
      </c>
      <c r="AI116" s="1280">
        <f>_xlfn.SUMIFS('ИП + источники'!AJ$27:AJ$116,'ИП + источники'!$F$27:$F$116,$F116,'ИП + источники'!$AC$27:$AC$116,"Амортизационные отчисления")+_xlfn.SUMIFS('ИП + источники'!AJ$27:AJ$116,'ИП + источники'!$F$27:$F$116,$F116,'ИП + источники'!$AC$27:$AC$116,"погашение займов и кредитов из амортизации")</f>
        <v>0</v>
      </c>
      <c r="AJ116" s="4765">
        <f>_xlfn.SUMIFS('ИП + источники'!AK$27:AK$116,'ИП + источники'!$F$27:$F$116,$F116,'ИП + источники'!$AC$27:$AC$116,"Амортизационные отчисления")+_xlfn.SUMIFS('ИП + источники'!AK$27:AK$116,'ИП + источники'!$F$27:$F$116,$F116,'ИП + источники'!$AC$27:$AC$116,"погашение займов и кредитов из амортизации")</f>
        <v>0</v>
      </c>
      <c r="AK116" s="1280">
        <f>_xlfn.SUMIFS('ИП + источники'!AL$27:AL$116,'ИП + источники'!$F$27:$F$116,$F116,'ИП + источники'!$AC$27:$AC$116,"Амортизационные отчисления")+_xlfn.SUMIFS('ИП + источники'!AL$27:AL$116,'ИП + источники'!$F$27:$F$116,$F116,'ИП + источники'!$AC$27:$AC$116,"погашение займов и кредитов из амортизации")</f>
        <v>0</v>
      </c>
      <c r="AL116" s="1280">
        <f>_xlfn.SUMIFS('ИП + источники'!AM$27:AM$116,'ИП + источники'!$F$27:$F$116,$F116,'ИП + источники'!$AC$27:$AC$116,"Амортизационные отчисления")+_xlfn.SUMIFS('ИП + источники'!AM$27:AM$116,'ИП + источники'!$F$27:$F$116,$F116,'ИП + источники'!$AC$27:$AC$116,"погашение займов и кредитов из амортизации")</f>
        <v>0</v>
      </c>
      <c r="AM116" s="1280">
        <f>_xlfn.SUMIFS('ИП + источники'!AN$27:AN$116,'ИП + источники'!$F$27:$F$116,$F116,'ИП + источники'!$AC$27:$AC$116,"Амортизационные отчисления")+_xlfn.SUMIFS('ИП + источники'!AN$27:AN$116,'ИП + источники'!$F$27:$F$116,$F116,'ИП + источники'!$AC$27:$AC$116,"погашение займов и кредитов из амортизации")</f>
        <v>0</v>
      </c>
      <c r="AN116" s="1280">
        <f>_xlfn.SUMIFS('ИП + источники'!AO$27:AO$116,'ИП + источники'!$F$27:$F$116,$F116,'ИП + источники'!$AC$27:$AC$116,"Амортизационные отчисления")+_xlfn.SUMIFS('ИП + источники'!AO$27:AO$116,'ИП + источники'!$F$27:$F$116,$F116,'ИП + источники'!$AC$27:$AC$116,"погашение займов и кредитов из амортизации")</f>
        <v>0</v>
      </c>
      <c r="AO116" s="1280">
        <f>_xlfn.SUMIFS('ИП + источники'!AP$27:AP$116,'ИП + источники'!$F$27:$F$116,$F116,'ИП + источники'!$AC$27:$AC$116,"Амортизационные отчисления")+_xlfn.SUMIFS('ИП + источники'!AP$27:AP$116,'ИП + источники'!$F$27:$F$116,$F116,'ИП + источники'!$AC$27:$AC$116,"погашение займов и кредитов из амортизации")</f>
        <v>0</v>
      </c>
      <c r="AP116" s="1280">
        <f>_xlfn.SUMIFS('ИП + источники'!AQ$27:AQ$116,'ИП + источники'!$F$27:$F$116,$F116,'ИП + источники'!$AC$27:$AC$116,"Амортизационные отчисления")+_xlfn.SUMIFS('ИП + источники'!AQ$27:AQ$116,'ИП + источники'!$F$27:$F$116,$F116,'ИП + источники'!$AC$27:$AC$116,"погашение займов и кредитов из амортизации")</f>
        <v>0</v>
      </c>
      <c r="AQ116" s="1280">
        <f>_xlfn.SUMIFS('ИП + источники'!AR$27:AR$116,'ИП + источники'!$F$27:$F$116,$F116,'ИП + источники'!$AC$27:$AC$116,"Амортизационные отчисления")+_xlfn.SUMIFS('ИП + источники'!AR$27:AR$116,'ИП + источники'!$F$27:$F$116,$F116,'ИП + источники'!$AC$27:$AC$116,"погашение займов и кредитов из амортизации")</f>
        <v>0</v>
      </c>
      <c r="AR116" s="1280">
        <f>_xlfn.SUMIFS('ИП + источники'!AS$27:AS$116,'ИП + источники'!$F$27:$F$116,$F116,'ИП + источники'!$AC$27:$AC$116,"Амортизационные отчисления")+_xlfn.SUMIFS('ИП + источники'!AS$27:AS$116,'ИП + источники'!$F$27:$F$116,$F116,'ИП + источники'!$AC$27:$AC$116,"погашение займов и кредитов из амортизации")</f>
        <v>0</v>
      </c>
      <c r="AS116" s="1280">
        <f>_xlfn.SUMIFS('ИП + источники'!AT$27:AT$116,'ИП + источники'!$F$27:$F$116,$F116,'ИП + источники'!$AC$27:$AC$116,"Амортизационные отчисления")+_xlfn.SUMIFS('ИП + источники'!AT$27:AT$116,'ИП + источники'!$F$27:$F$116,$F116,'ИП + источники'!$AC$27:$AC$116,"погашение займов и кредитов из амортизации")</f>
        <v>0</v>
      </c>
      <c r="AT116" s="4765">
        <f>_xlfn.SUMIFS('ИП + источники'!AU$27:AU$116,'ИП + источники'!$F$27:$F$116,$F116,'ИП + источники'!$AC$27:$AC$116,"Амортизационные отчисления")+_xlfn.SUMIFS('ИП + источники'!AU$27:AU$116,'ИП + источники'!$F$27:$F$116,$F116,'ИП + источники'!$AC$27:$AC$116,"погашение займов и кредитов из амортизации")</f>
        <v>0</v>
      </c>
      <c r="AU116" s="1280">
        <f>_xlfn.SUMIFS('ИП + источники'!AV$27:AV$116,'ИП + источники'!$F$27:$F$116,$F116,'ИП + источники'!$AC$27:$AC$116,"Амортизационные отчисления")+_xlfn.SUMIFS('ИП + источники'!AV$27:AV$116,'ИП + источники'!$F$27:$F$116,$F116,'ИП + источники'!$AC$27:$AC$116,"погашение займов и кредитов из амортизации")</f>
        <v>0</v>
      </c>
      <c r="AV116" s="1280">
        <f>_xlfn.SUMIFS('ИП + источники'!AW$27:AW$116,'ИП + источники'!$F$27:$F$116,$F116,'ИП + источники'!$AC$27:$AC$116,"Амортизационные отчисления")+_xlfn.SUMIFS('ИП + источники'!AW$27:AW$116,'ИП + источники'!$F$27:$F$116,$F116,'ИП + источники'!$AC$27:$AC$116,"погашение займов и кредитов из амортизации")</f>
        <v>0</v>
      </c>
      <c r="AW116" s="1280">
        <f>_xlfn.SUMIFS('ИП + источники'!AX$27:AX$116,'ИП + источники'!$F$27:$F$116,$F116,'ИП + источники'!$AC$27:$AC$116,"Амортизационные отчисления")+_xlfn.SUMIFS('ИП + источники'!AX$27:AX$116,'ИП + источники'!$F$27:$F$116,$F116,'ИП + источники'!$AC$27:$AC$116,"погашение займов и кредитов из амортизации")</f>
        <v>0</v>
      </c>
      <c r="AX116" s="1280">
        <f>_xlfn.SUMIFS('ИП + источники'!AY$27:AY$116,'ИП + источники'!$F$27:$F$116,$F116,'ИП + источники'!$AC$27:$AC$116,"Амортизационные отчисления")+_xlfn.SUMIFS('ИП + источники'!AY$27:AY$116,'ИП + источники'!$F$27:$F$116,$F116,'ИП + источники'!$AC$27:$AC$116,"погашение займов и кредитов из амортизации")</f>
        <v>0</v>
      </c>
      <c r="AY116" s="1280">
        <f>_xlfn.SUMIFS('ИП + источники'!AZ$27:AZ$116,'ИП + источники'!$F$27:$F$116,$F116,'ИП + источники'!$AC$27:$AC$116,"Амортизационные отчисления")+_xlfn.SUMIFS('ИП + источники'!AZ$27:AZ$116,'ИП + источники'!$F$27:$F$116,$F116,'ИП + источники'!$AC$27:$AC$116,"погашение займов и кредитов из амортизации")</f>
        <v>0</v>
      </c>
      <c r="AZ116" s="1280">
        <f>_xlfn.SUMIFS('ИП + источники'!BA$27:BA$116,'ИП + источники'!$F$27:$F$116,$F116,'ИП + источники'!$AC$27:$AC$116,"Амортизационные отчисления")+_xlfn.SUMIFS('ИП + источники'!BA$27:BA$116,'ИП + источники'!$F$27:$F$116,$F116,'ИП + источники'!$AC$27:$AC$116,"погашение займов и кредитов из амортизации")</f>
        <v>0</v>
      </c>
      <c r="BA116" s="1280">
        <f>_xlfn.SUMIFS('ИП + источники'!BB$27:BB$116,'ИП + источники'!$F$27:$F$116,$F116,'ИП + источники'!$AC$27:$AC$116,"Амортизационные отчисления")+_xlfn.SUMIFS('ИП + источники'!BB$27:BB$116,'ИП + источники'!$F$27:$F$116,$F116,'ИП + источники'!$AC$27:$AC$116,"погашение займов и кредитов из амортизации")</f>
        <v>0</v>
      </c>
      <c r="BB116" s="1280">
        <f>_xlfn.SUMIFS('ИП + источники'!BC$27:BC$116,'ИП + источники'!$F$27:$F$116,$F116,'ИП + источники'!$AC$27:$AC$116,"Амортизационные отчисления")+_xlfn.SUMIFS('ИП + источники'!BC$27:BC$116,'ИП + источники'!$F$27:$F$116,$F116,'ИП + источники'!$AC$27:$AC$116,"погашение займов и кредитов из амортизации")</f>
        <v>0</v>
      </c>
      <c r="BC116" s="1280">
        <f>_xlfn.SUMIFS('ИП + источники'!BD$27:BD$116,'ИП + источники'!$F$27:$F$116,$F116,'ИП + источники'!$AC$27:$AC$116,"Амортизационные отчисления")+_xlfn.SUMIFS('ИП + источники'!BD$27:BD$116,'ИП + источники'!$F$27:$F$116,$F116,'ИП + источники'!$AC$27:$AC$116,"погашение займов и кредитов из амортизации")</f>
        <v>0</v>
      </c>
      <c r="BD116" s="926">
        <f>IF(AI116=0,0,(AT116-AI116)/AI116*100)</f>
        <v>0</v>
      </c>
      <c r="BE116" s="926">
        <f>IF(AT116=0,0,(AU116-AT116)/AT116*100)</f>
        <v>0</v>
      </c>
      <c r="BF116" s="926">
        <f>IF(AU116=0,0,(AV116-AU116)/AU116*100)</f>
        <v>0</v>
      </c>
      <c r="BG116" s="926">
        <f>IF(AV116=0,0,(AW116-AV116)/AV116*100)</f>
        <v>0</v>
      </c>
      <c r="BH116" s="926">
        <f>IF(AW116=0,0,(AX116-AW116)/AW116*100)</f>
        <v>0</v>
      </c>
      <c r="BI116" s="926">
        <f>IF(AX116=0,0,(AY116-AX116)/AX116*100)</f>
        <v>0</v>
      </c>
      <c r="BJ116" s="926">
        <f>IF(AY116=0,0,(AZ116-AY116)/AY116*100)</f>
        <v>0</v>
      </c>
      <c r="BK116" s="926">
        <f>IF(AZ116=0,0,(BA116-AZ116)/AZ116*100)</f>
        <v>0</v>
      </c>
      <c r="BL116" s="926">
        <f>IF(BA116=0,0,(BB116-BA116)/BA116*100)</f>
        <v>0</v>
      </c>
      <c r="BM116" s="926">
        <f>IF(BB116=0,0,(BC116-BB116)/BB116*100)</f>
        <v>0</v>
      </c>
      <c r="BN116" s="1283"/>
      <c r="BO116" s="1283"/>
      <c r="BP116" s="1283"/>
      <c r="BQ116" s="960"/>
      <c r="BR116" s="960"/>
      <c r="BS116" s="1048" t="s">
        <v>1692</v>
      </c>
      <c r="BT116" s="1048"/>
      <c r="BU116" s="1048"/>
      <c r="BV116" s="962"/>
      <c r="BW116" s="962"/>
    </row>
    <row s="680" customFormat="1" customHeight="1" ht="20.475" hidden="1">
      <c r="A117" s="680"/>
      <c r="B117" s="405" cm="1" t="str">
        <f t="array" ref="B117:B117">B116</f>
        <v>true</v>
      </c>
      <c r="C117" s="680"/>
      <c r="D117" s="680"/>
      <c r="E117" s="687">
        <v>21</v>
      </c>
      <c r="F117" s="50" cm="1" t="str">
        <f t="array" ref="F117:F117">OFFSET(E117,-1,1)</f>
        <v>0</v>
      </c>
      <c r="G117" s="124" t="s">
        <v>1388</v>
      </c>
      <c r="H117" s="124"/>
      <c r="I117" s="124" t="s">
        <v>328</v>
      </c>
      <c r="J117" s="680"/>
      <c r="K117" s="124" t="s">
        <v>328</v>
      </c>
      <c r="L117" s="968" t="s">
        <v>541</v>
      </c>
      <c r="M117" s="75"/>
      <c r="N117" s="680"/>
      <c r="O117" s="680"/>
      <c r="P117" s="680"/>
      <c r="Q117" s="680"/>
      <c r="R117" s="680"/>
      <c r="S117" s="680"/>
      <c r="T117" s="439" cm="1" t="str">
        <f t="array" ref="T117:T117">T116</f>
        <v>false</v>
      </c>
      <c r="U117" s="680"/>
      <c r="V117" s="680"/>
      <c r="W117" s="680"/>
      <c r="X117" s="1482"/>
      <c r="Y117" s="680"/>
      <c r="Z117" s="1465"/>
      <c r="AA117" s="680"/>
      <c r="AB117" s="185" t="s">
        <v>492</v>
      </c>
      <c r="AC117" s="179" t="s">
        <v>1388</v>
      </c>
      <c r="AD117" s="201" t="s">
        <v>784</v>
      </c>
      <c r="AE117" s="180">
        <f>AE118+AE119+AE120+AE121</f>
        <v>0</v>
      </c>
      <c r="AF117" s="180">
        <f>AF118+AF119+AF120+AF121</f>
        <v>0</v>
      </c>
      <c r="AG117" s="180">
        <f>AG118+AG119+AG120+AG121</f>
        <v>0</v>
      </c>
      <c r="AH117" s="751">
        <f>AG117-AF117</f>
        <v>0</v>
      </c>
      <c r="AI117" s="751">
        <f>AI118+AI119+AI120+AI121</f>
        <v>0</v>
      </c>
      <c r="AJ117" s="751">
        <f>AJ118+AJ119+AJ120+AJ121</f>
        <v>0</v>
      </c>
      <c r="AK117" s="751">
        <f>AK118+AK119+AK120+AK121</f>
        <v>0</v>
      </c>
      <c r="AL117" s="751">
        <f>AL118+AL119+AL120+AL121</f>
        <v>0</v>
      </c>
      <c r="AM117" s="751">
        <f>AM118+AM119+AM120+AM121</f>
        <v>0</v>
      </c>
      <c r="AN117" s="751">
        <f>AN118+AN119+AN120+AN121</f>
        <v>0</v>
      </c>
      <c r="AO117" s="751">
        <f>AO118+AO119+AO120+AO121</f>
        <v>0</v>
      </c>
      <c r="AP117" s="751">
        <f>AP118+AP119+AP120+AP121</f>
        <v>0</v>
      </c>
      <c r="AQ117" s="751">
        <f>AQ118+AQ119+AQ120+AQ121</f>
        <v>0</v>
      </c>
      <c r="AR117" s="751">
        <f>AR118+AR119+AR120+AR121</f>
        <v>0</v>
      </c>
      <c r="AS117" s="751">
        <f>AS118+AS119+AS120+AS121</f>
        <v>0</v>
      </c>
      <c r="AT117" s="751">
        <f>AT118+AT119+AT120+AT121</f>
        <v>0</v>
      </c>
      <c r="AU117" s="751">
        <f>AU118+AU119+AU120+AU121</f>
        <v>0</v>
      </c>
      <c r="AV117" s="751">
        <f>AV118+AV119+AV120+AV121</f>
        <v>0</v>
      </c>
      <c r="AW117" s="751">
        <f>AW118+AW119+AW120+AW121</f>
        <v>0</v>
      </c>
      <c r="AX117" s="751">
        <f>AX118+AX119+AX120+AX121</f>
        <v>0</v>
      </c>
      <c r="AY117" s="751">
        <f>AY118+AY119+AY120+AY121</f>
        <v>0</v>
      </c>
      <c r="AZ117" s="751">
        <f>AZ118+AZ119+AZ120+AZ121</f>
        <v>0</v>
      </c>
      <c r="BA117" s="751">
        <f>BA118+BA119+BA120+BA121</f>
        <v>0</v>
      </c>
      <c r="BB117" s="751">
        <f>BB118+BB119+BB120+BB121</f>
        <v>0</v>
      </c>
      <c r="BC117" s="751">
        <f>BC118+BC119+BC120+BC121</f>
        <v>0</v>
      </c>
      <c r="BD117" s="742">
        <f>IF(AI117=0,0,(AT117-AI117)/AI117*100)</f>
        <v>0</v>
      </c>
      <c r="BE117" s="742">
        <f>IF(AT117=0,0,(AU117-AT117)/AT117*100)</f>
        <v>0</v>
      </c>
      <c r="BF117" s="742">
        <f>IF(AU117=0,0,(AV117-AU117)/AU117*100)</f>
        <v>0</v>
      </c>
      <c r="BG117" s="742">
        <f>IF(AV117=0,0,(AW117-AV117)/AV117*100)</f>
        <v>0</v>
      </c>
      <c r="BH117" s="742">
        <f>IF(AW117=0,0,(AX117-AW117)/AW117*100)</f>
        <v>0</v>
      </c>
      <c r="BI117" s="742">
        <f>IF(AX117=0,0,(AY117-AX117)/AX117*100)</f>
        <v>0</v>
      </c>
      <c r="BJ117" s="742">
        <f>IF(AY117=0,0,(AZ117-AY117)/AY117*100)</f>
        <v>0</v>
      </c>
      <c r="BK117" s="742">
        <f>IF(AZ117=0,0,(BA117-AZ117)/AZ117*100)</f>
        <v>0</v>
      </c>
      <c r="BL117" s="742">
        <f>IF(BA117=0,0,(BB117-BA117)/BA117*100)</f>
        <v>0</v>
      </c>
      <c r="BM117" s="742">
        <f>IF(BB117=0,0,(BC117-BB117)/BB117*100)</f>
        <v>0</v>
      </c>
      <c r="BN117" s="1283"/>
      <c r="BO117" s="1283"/>
      <c r="BP117" s="1283"/>
      <c r="BQ117" s="680"/>
      <c r="BR117" s="680"/>
      <c r="BS117" s="1047" t="s">
        <v>1392</v>
      </c>
      <c r="BT117" s="1054"/>
      <c r="BU117" s="1054"/>
      <c r="BV117" s="687"/>
      <c r="BW117" s="687"/>
    </row>
    <row customHeight="1" ht="14.625" hidden="1">
      <c r="A118" s="960"/>
      <c r="B118" s="405" cm="1" t="str">
        <f t="array" ref="B118:B118">B117</f>
        <v>true</v>
      </c>
      <c r="C118" s="960"/>
      <c r="D118" s="960"/>
      <c r="E118" s="683">
        <v>15</v>
      </c>
      <c r="F118" s="50" cm="1" t="str">
        <f t="array" ref="F118:F118">OFFSET(E118,-1,1)</f>
        <v>0</v>
      </c>
      <c r="G118" s="960"/>
      <c r="H118" s="960"/>
      <c r="I118" s="124" t="s">
        <v>528</v>
      </c>
      <c r="J118" s="960"/>
      <c r="K118" s="124" t="s">
        <v>528</v>
      </c>
      <c r="L118" s="963"/>
      <c r="M118" s="73"/>
      <c r="N118" s="960"/>
      <c r="O118" s="960"/>
      <c r="P118" s="960"/>
      <c r="Q118" s="960"/>
      <c r="R118" s="960"/>
      <c r="S118" s="960"/>
      <c r="T118" s="439" cm="1" t="str">
        <f t="array" ref="T118:T118">T117</f>
        <v>false</v>
      </c>
      <c r="U118" s="960"/>
      <c r="V118" s="960"/>
      <c r="W118" s="960"/>
      <c r="X118" s="1482"/>
      <c r="Y118" s="960"/>
      <c r="Z118" s="1465"/>
      <c r="AA118" s="960"/>
      <c r="AB118" s="266" t="s">
        <v>659</v>
      </c>
      <c r="AC118" s="743" t="s">
        <v>1992</v>
      </c>
      <c r="AD118" s="267" t="s">
        <v>784</v>
      </c>
      <c r="AE118" s="1282">
        <f>_xlfn.SUMIFS('ИП + источники'!AF$27:AF$116,'ИП + источники'!$F$27:$F$116,$F118,'ИП + источники'!$AC$27:$AC$116,"погашение займов и кредитов из нормативной прибыли")</f>
        <v>0</v>
      </c>
      <c r="AF118" s="1282">
        <f>_xlfn.SUMIFS('ИП + источники'!AG$27:AG$116,'ИП + источники'!$F$27:$F$116,$F118,'ИП + источники'!$AC$27:$AC$116,"погашение займов и кредитов из нормативной прибыли")</f>
        <v>0</v>
      </c>
      <c r="AG118" s="1282">
        <f>_xlfn.SUMIFS('ИП + источники'!AH$27:AH$116,'ИП + источники'!$F$27:$F$116,$F118,'ИП + источники'!$AC$27:$AC$116,"погашение займов и кредитов из нормативной прибыли")</f>
        <v>0</v>
      </c>
      <c r="AH118" s="926">
        <f>AG118-AF118</f>
        <v>0</v>
      </c>
      <c r="AI118" s="1280">
        <f>_xlfn.SUMIFS('ИП + источники'!AJ$27:AJ$116,'ИП + источники'!$F$27:$F$116,$F118,'ИП + источники'!$AC$27:$AC$116,"погашение займов и кредитов из нормативной прибыли")</f>
        <v>0</v>
      </c>
      <c r="AJ118" s="4765">
        <f>_xlfn.SUMIFS('ИП + источники'!AK$27:AK$116,'ИП + источники'!$F$27:$F$116,$F118,'ИП + источники'!$AC$27:$AC$116,"погашение займов и кредитов из нормативной прибыли")</f>
        <v>0</v>
      </c>
      <c r="AK118" s="1280">
        <f>_xlfn.SUMIFS('ИП + источники'!AL$27:AL$116,'ИП + источники'!$F$27:$F$116,$F118,'ИП + источники'!$AC$27:$AC$116,"погашение займов и кредитов из нормативной прибыли")</f>
        <v>0</v>
      </c>
      <c r="AL118" s="1280">
        <f>_xlfn.SUMIFS('ИП + источники'!AM$27:AM$116,'ИП + источники'!$F$27:$F$116,$F118,'ИП + источники'!$AC$27:$AC$116,"погашение займов и кредитов из нормативной прибыли")</f>
        <v>0</v>
      </c>
      <c r="AM118" s="1280">
        <f>_xlfn.SUMIFS('ИП + источники'!AN$27:AN$116,'ИП + источники'!$F$27:$F$116,$F118,'ИП + источники'!$AC$27:$AC$116,"погашение займов и кредитов из нормативной прибыли")</f>
        <v>0</v>
      </c>
      <c r="AN118" s="1280">
        <f>_xlfn.SUMIFS('ИП + источники'!AO$27:AO$116,'ИП + источники'!$F$27:$F$116,$F118,'ИП + источники'!$AC$27:$AC$116,"погашение займов и кредитов из нормативной прибыли")</f>
        <v>0</v>
      </c>
      <c r="AO118" s="1280">
        <f>_xlfn.SUMIFS('ИП + источники'!AP$27:AP$116,'ИП + источники'!$F$27:$F$116,$F118,'ИП + источники'!$AC$27:$AC$116,"погашение займов и кредитов из нормативной прибыли")</f>
        <v>0</v>
      </c>
      <c r="AP118" s="1280">
        <f>_xlfn.SUMIFS('ИП + источники'!AQ$27:AQ$116,'ИП + источники'!$F$27:$F$116,$F118,'ИП + источники'!$AC$27:$AC$116,"погашение займов и кредитов из нормативной прибыли")</f>
        <v>0</v>
      </c>
      <c r="AQ118" s="1280">
        <f>_xlfn.SUMIFS('ИП + источники'!AR$27:AR$116,'ИП + источники'!$F$27:$F$116,$F118,'ИП + источники'!$AC$27:$AC$116,"погашение займов и кредитов из нормативной прибыли")</f>
        <v>0</v>
      </c>
      <c r="AR118" s="1280">
        <f>_xlfn.SUMIFS('ИП + источники'!AS$27:AS$116,'ИП + источники'!$F$27:$F$116,$F118,'ИП + источники'!$AC$27:$AC$116,"погашение займов и кредитов из нормативной прибыли")</f>
        <v>0</v>
      </c>
      <c r="AS118" s="1280">
        <f>_xlfn.SUMIFS('ИП + источники'!AT$27:AT$116,'ИП + источники'!$F$27:$F$116,$F118,'ИП + источники'!$AC$27:$AC$116,"погашение займов и кредитов из нормативной прибыли")</f>
        <v>0</v>
      </c>
      <c r="AT118" s="4765">
        <f>_xlfn.SUMIFS('ИП + источники'!AU$27:AU$116,'ИП + источники'!$F$27:$F$116,$F118,'ИП + источники'!$AC$27:$AC$116,"погашение займов и кредитов из нормативной прибыли")</f>
        <v>0</v>
      </c>
      <c r="AU118" s="1280">
        <f>_xlfn.SUMIFS('ИП + источники'!AV$27:AV$116,'ИП + источники'!$F$27:$F$116,$F118,'ИП + источники'!$AC$27:$AC$116,"погашение займов и кредитов из нормативной прибыли")</f>
        <v>0</v>
      </c>
      <c r="AV118" s="1280">
        <f>_xlfn.SUMIFS('ИП + источники'!AW$27:AW$116,'ИП + источники'!$F$27:$F$116,$F118,'ИП + источники'!$AC$27:$AC$116,"погашение займов и кредитов из нормативной прибыли")</f>
        <v>0</v>
      </c>
      <c r="AW118" s="1280">
        <f>_xlfn.SUMIFS('ИП + источники'!AX$27:AX$116,'ИП + источники'!$F$27:$F$116,$F118,'ИП + источники'!$AC$27:$AC$116,"погашение займов и кредитов из нормативной прибыли")</f>
        <v>0</v>
      </c>
      <c r="AX118" s="1280">
        <f>_xlfn.SUMIFS('ИП + источники'!AY$27:AY$116,'ИП + источники'!$F$27:$F$116,$F118,'ИП + источники'!$AC$27:$AC$116,"погашение займов и кредитов из нормативной прибыли")</f>
        <v>0</v>
      </c>
      <c r="AY118" s="1280">
        <f>_xlfn.SUMIFS('ИП + источники'!AZ$27:AZ$116,'ИП + источники'!$F$27:$F$116,$F118,'ИП + источники'!$AC$27:$AC$116,"погашение займов и кредитов из нормативной прибыли")</f>
        <v>0</v>
      </c>
      <c r="AZ118" s="1280">
        <f>_xlfn.SUMIFS('ИП + источники'!BA$27:BA$116,'ИП + источники'!$F$27:$F$116,$F118,'ИП + источники'!$AC$27:$AC$116,"погашение займов и кредитов из нормативной прибыли")</f>
        <v>0</v>
      </c>
      <c r="BA118" s="1280">
        <f>_xlfn.SUMIFS('ИП + источники'!BB$27:BB$116,'ИП + источники'!$F$27:$F$116,$F118,'ИП + источники'!$AC$27:$AC$116,"погашение займов и кредитов из нормативной прибыли")</f>
        <v>0</v>
      </c>
      <c r="BB118" s="1280">
        <f>_xlfn.SUMIFS('ИП + источники'!BC$27:BC$116,'ИП + источники'!$F$27:$F$116,$F118,'ИП + источники'!$AC$27:$AC$116,"погашение займов и кредитов из нормативной прибыли")</f>
        <v>0</v>
      </c>
      <c r="BC118" s="1280">
        <f>_xlfn.SUMIFS('ИП + источники'!BD$27:BD$116,'ИП + источники'!$F$27:$F$116,$F118,'ИП + источники'!$AC$27:$AC$116,"погашение займов и кредитов из нормативной прибыли")</f>
        <v>0</v>
      </c>
      <c r="BD118" s="926">
        <f>IF(AI118=0,0,(AT118-AI118)/AI118*100)</f>
        <v>0</v>
      </c>
      <c r="BE118" s="926">
        <f>IF(AT118=0,0,(AU118-AT118)/AT118*100)</f>
        <v>0</v>
      </c>
      <c r="BF118" s="926">
        <f>IF(AU118=0,0,(AV118-AU118)/AU118*100)</f>
        <v>0</v>
      </c>
      <c r="BG118" s="926">
        <f>IF(AV118=0,0,(AW118-AV118)/AV118*100)</f>
        <v>0</v>
      </c>
      <c r="BH118" s="926">
        <f>IF(AW118=0,0,(AX118-AW118)/AW118*100)</f>
        <v>0</v>
      </c>
      <c r="BI118" s="926">
        <f>IF(AX118=0,0,(AY118-AX118)/AX118*100)</f>
        <v>0</v>
      </c>
      <c r="BJ118" s="926">
        <f>IF(AY118=0,0,(AZ118-AY118)/AY118*100)</f>
        <v>0</v>
      </c>
      <c r="BK118" s="926">
        <f>IF(AZ118=0,0,(BA118-AZ118)/AZ118*100)</f>
        <v>0</v>
      </c>
      <c r="BL118" s="926">
        <f>IF(BA118=0,0,(BB118-BA118)/BA118*100)</f>
        <v>0</v>
      </c>
      <c r="BM118" s="926">
        <f>IF(BB118=0,0,(BC118-BB118)/BB118*100)</f>
        <v>0</v>
      </c>
      <c r="BN118" s="1283"/>
      <c r="BO118" s="1281" t="str">
        <f>IF(_xlfn.IFERROR(INDEX('ИП + источники'!$K$28:$L$116,MATCH($F118&amp;"2komm",'ИП + источники'!$K$28:$K$116,0),2),"")=0,"",_xlfn.IFERROR(INDEX('ИП + источники'!$K$28:$L$116,MATCH($F118&amp;"2komm",'ИП + источники'!$K$28:$K$116,0),2),""))</f>
        <v/>
      </c>
      <c r="BP118" s="1283"/>
      <c r="BQ118" s="960"/>
      <c r="BR118" s="960"/>
      <c r="BS118" s="1048" t="s">
        <v>1993</v>
      </c>
      <c r="BT118" s="1048"/>
      <c r="BU118" s="1048"/>
      <c r="BV118" s="962"/>
      <c r="BW118" s="962"/>
    </row>
    <row customHeight="1" ht="14.625" hidden="1">
      <c r="A119" s="960"/>
      <c r="B119" s="405" cm="1" t="str">
        <f t="array" ref="B119:B119">B118</f>
        <v>true</v>
      </c>
      <c r="C119" s="960"/>
      <c r="D119" s="960"/>
      <c r="E119" s="683">
        <v>15</v>
      </c>
      <c r="F119" s="50" cm="1" t="str">
        <f t="array" ref="F119:F119">OFFSET(E119,-1,1)</f>
        <v>0</v>
      </c>
      <c r="G119" s="960"/>
      <c r="H119" s="960"/>
      <c r="I119" s="124" t="s">
        <v>532</v>
      </c>
      <c r="J119" s="960"/>
      <c r="K119" s="124" t="s">
        <v>532</v>
      </c>
      <c r="L119" s="963"/>
      <c r="M119" s="73"/>
      <c r="N119" s="960"/>
      <c r="O119" s="960"/>
      <c r="P119" s="960"/>
      <c r="Q119" s="960"/>
      <c r="R119" s="960"/>
      <c r="S119" s="960"/>
      <c r="T119" s="439" cm="1" t="str">
        <f t="array" ref="T119:T119">T118</f>
        <v>false</v>
      </c>
      <c r="U119" s="960"/>
      <c r="V119" s="960"/>
      <c r="W119" s="960"/>
      <c r="X119" s="1482"/>
      <c r="Y119" s="960"/>
      <c r="Z119" s="1465"/>
      <c r="AA119" s="960"/>
      <c r="AB119" s="266" t="s">
        <v>662</v>
      </c>
      <c r="AC119" s="743" t="s">
        <v>1994</v>
      </c>
      <c r="AD119" s="267" t="s">
        <v>784</v>
      </c>
      <c r="AE119" s="1282">
        <f>_xlfn.SUMIFS('ИП + источники'!AF$27:AF$116,'ИП + источники'!$F$27:$F$116,$F119,'ИП + источники'!$AC$27:$AC$116,"уплата процентов по кредитам из нормативной прибыли")</f>
        <v>0</v>
      </c>
      <c r="AF119" s="1282">
        <f>_xlfn.SUMIFS('ИП + источники'!AG$27:AG$116,'ИП + источники'!$F$27:$F$116,$F119,'ИП + источники'!$AC$27:$AC$116,"уплата процентов по кредитам из нормативной прибыли")</f>
        <v>0</v>
      </c>
      <c r="AG119" s="1282">
        <f>_xlfn.SUMIFS('ИП + источники'!AH$27:AH$116,'ИП + источники'!$F$27:$F$116,$F119,'ИП + источники'!$AC$27:$AC$116,"уплата процентов по кредитам из нормативной прибыли")</f>
        <v>0</v>
      </c>
      <c r="AH119" s="926">
        <f>AG119-AF119</f>
        <v>0</v>
      </c>
      <c r="AI119" s="1280">
        <f>_xlfn.SUMIFS('ИП + источники'!AJ$27:AJ$116,'ИП + источники'!$F$27:$F$116,$F119,'ИП + источники'!$AC$27:$AC$116,"уплата процентов по кредитам из нормативной прибыли")</f>
        <v>0</v>
      </c>
      <c r="AJ119" s="4765">
        <f>_xlfn.SUMIFS('ИП + источники'!AK$27:AK$116,'ИП + источники'!$F$27:$F$116,$F119,'ИП + источники'!$AC$27:$AC$116,"уплата процентов по кредитам из нормативной прибыли")</f>
        <v>0</v>
      </c>
      <c r="AK119" s="1280">
        <f>_xlfn.SUMIFS('ИП + источники'!AL$27:AL$116,'ИП + источники'!$F$27:$F$116,$F119,'ИП + источники'!$AC$27:$AC$116,"уплата процентов по кредитам из нормативной прибыли")</f>
        <v>0</v>
      </c>
      <c r="AL119" s="1280">
        <f>_xlfn.SUMIFS('ИП + источники'!AM$27:AM$116,'ИП + источники'!$F$27:$F$116,$F119,'ИП + источники'!$AC$27:$AC$116,"уплата процентов по кредитам из нормативной прибыли")</f>
        <v>0</v>
      </c>
      <c r="AM119" s="1280">
        <f>_xlfn.SUMIFS('ИП + источники'!AN$27:AN$116,'ИП + источники'!$F$27:$F$116,$F119,'ИП + источники'!$AC$27:$AC$116,"уплата процентов по кредитам из нормативной прибыли")</f>
        <v>0</v>
      </c>
      <c r="AN119" s="1280">
        <f>_xlfn.SUMIFS('ИП + источники'!AO$27:AO$116,'ИП + источники'!$F$27:$F$116,$F119,'ИП + источники'!$AC$27:$AC$116,"уплата процентов по кредитам из нормативной прибыли")</f>
        <v>0</v>
      </c>
      <c r="AO119" s="1280">
        <f>_xlfn.SUMIFS('ИП + источники'!AP$27:AP$116,'ИП + источники'!$F$27:$F$116,$F119,'ИП + источники'!$AC$27:$AC$116,"уплата процентов по кредитам из нормативной прибыли")</f>
        <v>0</v>
      </c>
      <c r="AP119" s="1280">
        <f>_xlfn.SUMIFS('ИП + источники'!AQ$27:AQ$116,'ИП + источники'!$F$27:$F$116,$F119,'ИП + источники'!$AC$27:$AC$116,"уплата процентов по кредитам из нормативной прибыли")</f>
        <v>0</v>
      </c>
      <c r="AQ119" s="1280">
        <f>_xlfn.SUMIFS('ИП + источники'!AR$27:AR$116,'ИП + источники'!$F$27:$F$116,$F119,'ИП + источники'!$AC$27:$AC$116,"уплата процентов по кредитам из нормативной прибыли")</f>
        <v>0</v>
      </c>
      <c r="AR119" s="1280">
        <f>_xlfn.SUMIFS('ИП + источники'!AS$27:AS$116,'ИП + источники'!$F$27:$F$116,$F119,'ИП + источники'!$AC$27:$AC$116,"уплата процентов по кредитам из нормативной прибыли")</f>
        <v>0</v>
      </c>
      <c r="AS119" s="1280">
        <f>_xlfn.SUMIFS('ИП + источники'!AT$27:AT$116,'ИП + источники'!$F$27:$F$116,$F119,'ИП + источники'!$AC$27:$AC$116,"уплата процентов по кредитам из нормативной прибыли")</f>
        <v>0</v>
      </c>
      <c r="AT119" s="4765">
        <f>_xlfn.SUMIFS('ИП + источники'!AU$27:AU$116,'ИП + источники'!$F$27:$F$116,$F119,'ИП + источники'!$AC$27:$AC$116,"уплата процентов по кредитам из нормативной прибыли")</f>
        <v>0</v>
      </c>
      <c r="AU119" s="1280">
        <f>_xlfn.SUMIFS('ИП + источники'!AV$27:AV$116,'ИП + источники'!$F$27:$F$116,$F119,'ИП + источники'!$AC$27:$AC$116,"уплата процентов по кредитам из нормативной прибыли")</f>
        <v>0</v>
      </c>
      <c r="AV119" s="1280">
        <f>_xlfn.SUMIFS('ИП + источники'!AW$27:AW$116,'ИП + источники'!$F$27:$F$116,$F119,'ИП + источники'!$AC$27:$AC$116,"уплата процентов по кредитам из нормативной прибыли")</f>
        <v>0</v>
      </c>
      <c r="AW119" s="1280">
        <f>_xlfn.SUMIFS('ИП + источники'!AX$27:AX$116,'ИП + источники'!$F$27:$F$116,$F119,'ИП + источники'!$AC$27:$AC$116,"уплата процентов по кредитам из нормативной прибыли")</f>
        <v>0</v>
      </c>
      <c r="AX119" s="1280">
        <f>_xlfn.SUMIFS('ИП + источники'!AY$27:AY$116,'ИП + источники'!$F$27:$F$116,$F119,'ИП + источники'!$AC$27:$AC$116,"уплата процентов по кредитам из нормативной прибыли")</f>
        <v>0</v>
      </c>
      <c r="AY119" s="1280">
        <f>_xlfn.SUMIFS('ИП + источники'!AZ$27:AZ$116,'ИП + источники'!$F$27:$F$116,$F119,'ИП + источники'!$AC$27:$AC$116,"уплата процентов по кредитам из нормативной прибыли")</f>
        <v>0</v>
      </c>
      <c r="AZ119" s="1280">
        <f>_xlfn.SUMIFS('ИП + источники'!BA$27:BA$116,'ИП + источники'!$F$27:$F$116,$F119,'ИП + источники'!$AC$27:$AC$116,"уплата процентов по кредитам из нормативной прибыли")</f>
        <v>0</v>
      </c>
      <c r="BA119" s="1280">
        <f>_xlfn.SUMIFS('ИП + источники'!BB$27:BB$116,'ИП + источники'!$F$27:$F$116,$F119,'ИП + источники'!$AC$27:$AC$116,"уплата процентов по кредитам из нормативной прибыли")</f>
        <v>0</v>
      </c>
      <c r="BB119" s="1280">
        <f>_xlfn.SUMIFS('ИП + источники'!BC$27:BC$116,'ИП + источники'!$F$27:$F$116,$F119,'ИП + источники'!$AC$27:$AC$116,"уплата процентов по кредитам из нормативной прибыли")</f>
        <v>0</v>
      </c>
      <c r="BC119" s="1280">
        <f>_xlfn.SUMIFS('ИП + источники'!BD$27:BD$116,'ИП + источники'!$F$27:$F$116,$F119,'ИП + источники'!$AC$27:$AC$116,"уплата процентов по кредитам из нормативной прибыли")</f>
        <v>0</v>
      </c>
      <c r="BD119" s="926">
        <f>IF(AI119=0,0,(AT119-AI119)/AI119*100)</f>
        <v>0</v>
      </c>
      <c r="BE119" s="926">
        <f>IF(AT119=0,0,(AU119-AT119)/AT119*100)</f>
        <v>0</v>
      </c>
      <c r="BF119" s="926">
        <f>IF(AU119=0,0,(AV119-AU119)/AU119*100)</f>
        <v>0</v>
      </c>
      <c r="BG119" s="926">
        <f>IF(AV119=0,0,(AW119-AV119)/AV119*100)</f>
        <v>0</v>
      </c>
      <c r="BH119" s="926">
        <f>IF(AW119=0,0,(AX119-AW119)/AW119*100)</f>
        <v>0</v>
      </c>
      <c r="BI119" s="926">
        <f>IF(AX119=0,0,(AY119-AX119)/AX119*100)</f>
        <v>0</v>
      </c>
      <c r="BJ119" s="926">
        <f>IF(AY119=0,0,(AZ119-AY119)/AY119*100)</f>
        <v>0</v>
      </c>
      <c r="BK119" s="926">
        <f>IF(AZ119=0,0,(BA119-AZ119)/AZ119*100)</f>
        <v>0</v>
      </c>
      <c r="BL119" s="926">
        <f>IF(BA119=0,0,(BB119-BA119)/BA119*100)</f>
        <v>0</v>
      </c>
      <c r="BM119" s="926">
        <f>IF(BB119=0,0,(BC119-BB119)/BB119*100)</f>
        <v>0</v>
      </c>
      <c r="BN119" s="1283"/>
      <c r="BO119" s="1281" t="str">
        <f>IF(_xlfn.IFERROR(INDEX('ИП + источники'!$K$28:$L$116,MATCH($F119&amp;"3komm",'ИП + источники'!$K$28:$K$116,0),2),"")=0,"",_xlfn.IFERROR(INDEX('ИП + источники'!$K$28:$L$116,MATCH($F119&amp;"3komm",'ИП + источники'!$K$28:$K$116,0),2),""))</f>
        <v/>
      </c>
      <c r="BP119" s="1283"/>
      <c r="BQ119" s="960"/>
      <c r="BR119" s="960"/>
      <c r="BS119" s="1048" t="s">
        <v>1995</v>
      </c>
      <c r="BT119" s="1048"/>
      <c r="BU119" s="1048"/>
      <c r="BV119" s="962"/>
      <c r="BW119" s="962"/>
    </row>
    <row customHeight="1" ht="14.625" hidden="1">
      <c r="A120" s="960"/>
      <c r="B120" s="405" cm="1" t="str">
        <f t="array" ref="B120:B120">B119</f>
        <v>true</v>
      </c>
      <c r="C120" s="960"/>
      <c r="D120" s="960"/>
      <c r="E120" s="683">
        <v>15</v>
      </c>
      <c r="F120" s="50" cm="1" t="str">
        <f t="array" ref="F120:F120">OFFSET(E120,-1,1)</f>
        <v>0</v>
      </c>
      <c r="G120" s="960"/>
      <c r="H120" s="960"/>
      <c r="I120" s="124" t="s">
        <v>749</v>
      </c>
      <c r="J120" s="960"/>
      <c r="K120" s="124" t="s">
        <v>749</v>
      </c>
      <c r="L120" s="963" t="s">
        <v>548</v>
      </c>
      <c r="M120" s="73"/>
      <c r="N120" s="960"/>
      <c r="O120" s="960"/>
      <c r="P120" s="960"/>
      <c r="Q120" s="960"/>
      <c r="R120" s="960"/>
      <c r="S120" s="960"/>
      <c r="T120" s="439" cm="1" t="str">
        <f t="array" ref="T120:T120">T119</f>
        <v>false</v>
      </c>
      <c r="U120" s="960"/>
      <c r="V120" s="960"/>
      <c r="W120" s="960"/>
      <c r="X120" s="1482"/>
      <c r="Y120" s="960"/>
      <c r="Z120" s="1465"/>
      <c r="AA120" s="960"/>
      <c r="AB120" s="266" t="s">
        <v>900</v>
      </c>
      <c r="AC120" s="743" t="s">
        <v>1996</v>
      </c>
      <c r="AD120" s="267" t="s">
        <v>784</v>
      </c>
      <c r="AE120" s="1282">
        <f>_xlfn.SUMIFS('ИП + источники'!AF$27:AF$116,'ИП + источники'!$F$27:$F$116,$F120,'ИП + источники'!$AC$27:$AC$116,"Прибыль на капвложения")</f>
        <v>0</v>
      </c>
      <c r="AF120" s="1282">
        <f>_xlfn.SUMIFS('ИП + источники'!AG$27:AG$116,'ИП + источники'!$F$27:$F$116,$F120,'ИП + источники'!$AC$27:$AC$116,"Прибыль на капвложения")</f>
        <v>0</v>
      </c>
      <c r="AG120" s="1282">
        <f>_xlfn.SUMIFS('ИП + источники'!AH$27:AH$116,'ИП + источники'!$F$27:$F$116,$F120,'ИП + источники'!$AC$27:$AC$116,"Прибыль на капвложения")</f>
        <v>0</v>
      </c>
      <c r="AH120" s="926">
        <f>AG120-AF120</f>
        <v>0</v>
      </c>
      <c r="AI120" s="1280">
        <f>_xlfn.SUMIFS('ИП + источники'!AJ$27:AJ$116,'ИП + источники'!$F$27:$F$116,$F120,'ИП + источники'!$AC$27:$AC$116,"Прибыль на капвложения")</f>
        <v>0</v>
      </c>
      <c r="AJ120" s="4765">
        <f>_xlfn.SUMIFS('ИП + источники'!AK$27:AK$116,'ИП + источники'!$F$27:$F$116,$F120,'ИП + источники'!$AC$27:$AC$116,"Прибыль на капвложения")</f>
        <v>0</v>
      </c>
      <c r="AK120" s="1280">
        <f>_xlfn.SUMIFS('ИП + источники'!AL$27:AL$116,'ИП + источники'!$F$27:$F$116,$F120,'ИП + источники'!$AC$27:$AC$116,"Прибыль на капвложения")</f>
        <v>0</v>
      </c>
      <c r="AL120" s="1280">
        <f>_xlfn.SUMIFS('ИП + источники'!AM$27:AM$116,'ИП + источники'!$F$27:$F$116,$F120,'ИП + источники'!$AC$27:$AC$116,"Прибыль на капвложения")</f>
        <v>0</v>
      </c>
      <c r="AM120" s="1280">
        <f>_xlfn.SUMIFS('ИП + источники'!AN$27:AN$116,'ИП + источники'!$F$27:$F$116,$F120,'ИП + источники'!$AC$27:$AC$116,"Прибыль на капвложения")</f>
        <v>0</v>
      </c>
      <c r="AN120" s="1280">
        <f>_xlfn.SUMIFS('ИП + источники'!AO$27:AO$116,'ИП + источники'!$F$27:$F$116,$F120,'ИП + источники'!$AC$27:$AC$116,"Прибыль на капвложения")</f>
        <v>0</v>
      </c>
      <c r="AO120" s="1280">
        <f>_xlfn.SUMIFS('ИП + источники'!AP$27:AP$116,'ИП + источники'!$F$27:$F$116,$F120,'ИП + источники'!$AC$27:$AC$116,"Прибыль на капвложения")</f>
        <v>0</v>
      </c>
      <c r="AP120" s="1280">
        <f>_xlfn.SUMIFS('ИП + источники'!AQ$27:AQ$116,'ИП + источники'!$F$27:$F$116,$F120,'ИП + источники'!$AC$27:$AC$116,"Прибыль на капвложения")</f>
        <v>0</v>
      </c>
      <c r="AQ120" s="1280">
        <f>_xlfn.SUMIFS('ИП + источники'!AR$27:AR$116,'ИП + источники'!$F$27:$F$116,$F120,'ИП + источники'!$AC$27:$AC$116,"Прибыль на капвложения")</f>
        <v>0</v>
      </c>
      <c r="AR120" s="1280">
        <f>_xlfn.SUMIFS('ИП + источники'!AS$27:AS$116,'ИП + источники'!$F$27:$F$116,$F120,'ИП + источники'!$AC$27:$AC$116,"Прибыль на капвложения")</f>
        <v>0</v>
      </c>
      <c r="AS120" s="1280">
        <f>_xlfn.SUMIFS('ИП + источники'!AT$27:AT$116,'ИП + источники'!$F$27:$F$116,$F120,'ИП + источники'!$AC$27:$AC$116,"Прибыль на капвложения")</f>
        <v>0</v>
      </c>
      <c r="AT120" s="4765">
        <f>_xlfn.SUMIFS('ИП + источники'!AU$27:AU$116,'ИП + источники'!$F$27:$F$116,$F120,'ИП + источники'!$AC$27:$AC$116,"Прибыль на капвложения")</f>
        <v>0</v>
      </c>
      <c r="AU120" s="1280">
        <f>_xlfn.SUMIFS('ИП + источники'!AV$27:AV$116,'ИП + источники'!$F$27:$F$116,$F120,'ИП + источники'!$AC$27:$AC$116,"Прибыль на капвложения")</f>
        <v>0</v>
      </c>
      <c r="AV120" s="1280">
        <f>_xlfn.SUMIFS('ИП + источники'!AW$27:AW$116,'ИП + источники'!$F$27:$F$116,$F120,'ИП + источники'!$AC$27:$AC$116,"Прибыль на капвложения")</f>
        <v>0</v>
      </c>
      <c r="AW120" s="1280">
        <f>_xlfn.SUMIFS('ИП + источники'!AX$27:AX$116,'ИП + источники'!$F$27:$F$116,$F120,'ИП + источники'!$AC$27:$AC$116,"Прибыль на капвложения")</f>
        <v>0</v>
      </c>
      <c r="AX120" s="1280">
        <f>_xlfn.SUMIFS('ИП + источники'!AY$27:AY$116,'ИП + источники'!$F$27:$F$116,$F120,'ИП + источники'!$AC$27:$AC$116,"Прибыль на капвложения")</f>
        <v>0</v>
      </c>
      <c r="AY120" s="1280">
        <f>_xlfn.SUMIFS('ИП + источники'!AZ$27:AZ$116,'ИП + источники'!$F$27:$F$116,$F120,'ИП + источники'!$AC$27:$AC$116,"Прибыль на капвложения")</f>
        <v>0</v>
      </c>
      <c r="AZ120" s="1280">
        <f>_xlfn.SUMIFS('ИП + источники'!BA$27:BA$116,'ИП + источники'!$F$27:$F$116,$F120,'ИП + источники'!$AC$27:$AC$116,"Прибыль на капвложения")</f>
        <v>0</v>
      </c>
      <c r="BA120" s="1280">
        <f>_xlfn.SUMIFS('ИП + источники'!BB$27:BB$116,'ИП + источники'!$F$27:$F$116,$F120,'ИП + источники'!$AC$27:$AC$116,"Прибыль на капвложения")</f>
        <v>0</v>
      </c>
      <c r="BB120" s="1280">
        <f>_xlfn.SUMIFS('ИП + источники'!BC$27:BC$116,'ИП + источники'!$F$27:$F$116,$F120,'ИП + источники'!$AC$27:$AC$116,"Прибыль на капвложения")</f>
        <v>0</v>
      </c>
      <c r="BC120" s="1280">
        <f>_xlfn.SUMIFS('ИП + источники'!BD$27:BD$116,'ИП + источники'!$F$27:$F$116,$F120,'ИП + источники'!$AC$27:$AC$116,"Прибыль на капвложения")</f>
        <v>0</v>
      </c>
      <c r="BD120" s="926">
        <f>IF(AI120=0,0,(AT120-AI120)/AI120*100)</f>
        <v>0</v>
      </c>
      <c r="BE120" s="926">
        <f>IF(AT120=0,0,(AU120-AT120)/AT120*100)</f>
        <v>0</v>
      </c>
      <c r="BF120" s="926">
        <f>IF(AU120=0,0,(AV120-AU120)/AU120*100)</f>
        <v>0</v>
      </c>
      <c r="BG120" s="926">
        <f>IF(AV120=0,0,(AW120-AV120)/AV120*100)</f>
        <v>0</v>
      </c>
      <c r="BH120" s="926">
        <f>IF(AW120=0,0,(AX120-AW120)/AW120*100)</f>
        <v>0</v>
      </c>
      <c r="BI120" s="926">
        <f>IF(AX120=0,0,(AY120-AX120)/AX120*100)</f>
        <v>0</v>
      </c>
      <c r="BJ120" s="926">
        <f>IF(AY120=0,0,(AZ120-AY120)/AY120*100)</f>
        <v>0</v>
      </c>
      <c r="BK120" s="926">
        <f>IF(AZ120=0,0,(BA120-AZ120)/AZ120*100)</f>
        <v>0</v>
      </c>
      <c r="BL120" s="926">
        <f>IF(BA120=0,0,(BB120-BA120)/BA120*100)</f>
        <v>0</v>
      </c>
      <c r="BM120" s="926">
        <f>IF(BB120=0,0,(BC120-BB120)/BB120*100)</f>
        <v>0</v>
      </c>
      <c r="BN120" s="1283"/>
      <c r="BO120" s="1281" t="str">
        <f>IF(_xlfn.IFERROR(INDEX('ИП + источники'!$K$28:$L$116,MATCH($F120&amp;"1komm",'ИП + источники'!$K$28:$K$116,0),2),"")=0,"",_xlfn.IFERROR(INDEX('ИП + источники'!$K$28:$L$116,MATCH($F120&amp;"1komm",'ИП + источники'!$K$28:$K$116,0),2),""))</f>
        <v/>
      </c>
      <c r="BP120" s="1283"/>
      <c r="BQ120" s="960"/>
      <c r="BR120" s="960"/>
      <c r="BS120" s="1048" t="s">
        <v>1699</v>
      </c>
      <c r="BT120" s="1048"/>
      <c r="BU120" s="1048"/>
      <c r="BV120" s="962"/>
      <c r="BW120" s="962"/>
    </row>
    <row customHeight="1" ht="21.9375" hidden="1">
      <c r="A121" s="960"/>
      <c r="B121" s="405" cm="1" t="str">
        <f t="array" ref="B121:B121">B120</f>
        <v>true</v>
      </c>
      <c r="C121" s="960"/>
      <c r="D121" s="960"/>
      <c r="E121" s="683">
        <v>22.5</v>
      </c>
      <c r="F121" s="50" cm="1" t="str">
        <f t="array" ref="F121:F121">OFFSET(E121,-1,1)</f>
        <v>0</v>
      </c>
      <c r="G121" s="124" t="s">
        <v>1997</v>
      </c>
      <c r="H121" s="960"/>
      <c r="I121" s="124" t="s">
        <v>902</v>
      </c>
      <c r="J121" s="960"/>
      <c r="K121" s="124" t="s">
        <v>902</v>
      </c>
      <c r="L121" s="963" t="s">
        <v>552</v>
      </c>
      <c r="M121" s="73"/>
      <c r="N121" s="960"/>
      <c r="O121" s="960"/>
      <c r="P121" s="960"/>
      <c r="Q121" s="960"/>
      <c r="R121" s="960"/>
      <c r="S121" s="960"/>
      <c r="T121" s="439" cm="1" t="str">
        <f t="array" ref="T121:T121">T120</f>
        <v>false</v>
      </c>
      <c r="U121" s="960"/>
      <c r="V121" s="960"/>
      <c r="W121" s="960"/>
      <c r="X121" s="1482"/>
      <c r="Y121" s="960"/>
      <c r="Z121" s="1465"/>
      <c r="AA121" s="960"/>
      <c r="AB121" s="266" t="s">
        <v>903</v>
      </c>
      <c r="AC121" s="743" t="s">
        <v>1998</v>
      </c>
      <c r="AD121" s="267" t="s">
        <v>784</v>
      </c>
      <c r="AE121" s="1282"/>
      <c r="AF121" s="1282"/>
      <c r="AG121" s="1282"/>
      <c r="AH121" s="926">
        <f>AG121-AF121</f>
        <v>0</v>
      </c>
      <c r="AI121" s="1280"/>
      <c r="AJ121" s="4765"/>
      <c r="AK121" s="1280"/>
      <c r="AL121" s="1280"/>
      <c r="AM121" s="1280"/>
      <c r="AN121" s="1280"/>
      <c r="AO121" s="1280"/>
      <c r="AP121" s="1280"/>
      <c r="AQ121" s="1280"/>
      <c r="AR121" s="1280"/>
      <c r="AS121" s="1280"/>
      <c r="AT121" s="4765"/>
      <c r="AU121" s="1280"/>
      <c r="AV121" s="1280"/>
      <c r="AW121" s="1280"/>
      <c r="AX121" s="1280"/>
      <c r="AY121" s="1280"/>
      <c r="AZ121" s="1280"/>
      <c r="BA121" s="1280"/>
      <c r="BB121" s="1280"/>
      <c r="BC121" s="1280"/>
      <c r="BD121" s="926">
        <f>IF(AI121=0,0,(AT121-AI121)/AI121*100)</f>
        <v>0</v>
      </c>
      <c r="BE121" s="926">
        <f>IF(AT121=0,0,(AU121-AT121)/AT121*100)</f>
        <v>0</v>
      </c>
      <c r="BF121" s="926">
        <f>IF(AU121=0,0,(AV121-AU121)/AU121*100)</f>
        <v>0</v>
      </c>
      <c r="BG121" s="926">
        <f>IF(AV121=0,0,(AW121-AV121)/AV121*100)</f>
        <v>0</v>
      </c>
      <c r="BH121" s="926">
        <f>IF(AW121=0,0,(AX121-AW121)/AW121*100)</f>
        <v>0</v>
      </c>
      <c r="BI121" s="926">
        <f>IF(AX121=0,0,(AY121-AX121)/AX121*100)</f>
        <v>0</v>
      </c>
      <c r="BJ121" s="926">
        <f>IF(AY121=0,0,(AZ121-AY121)/AY121*100)</f>
        <v>0</v>
      </c>
      <c r="BK121" s="926">
        <f>IF(AZ121=0,0,(BA121-AZ121)/AZ121*100)</f>
        <v>0</v>
      </c>
      <c r="BL121" s="926">
        <f>IF(BA121=0,0,(BB121-BA121)/BA121*100)</f>
        <v>0</v>
      </c>
      <c r="BM121" s="926">
        <f>IF(BB121=0,0,(BC121-BB121)/BB121*100)</f>
        <v>0</v>
      </c>
      <c r="BN121" s="1283"/>
      <c r="BO121" s="1283"/>
      <c r="BP121" s="1283"/>
      <c r="BQ121" s="960"/>
      <c r="BR121" s="960"/>
      <c r="BS121" s="1048" t="s">
        <v>1999</v>
      </c>
      <c r="BT121" s="1048"/>
      <c r="BU121" s="1048"/>
      <c r="BV121" s="962"/>
      <c r="BW121" s="962"/>
    </row>
    <row customHeight="1" ht="14.625" hidden="1">
      <c r="A122" s="960"/>
      <c r="B122" s="405">
        <f>AND(method_reg="Метод индексации",STATUS_GO="да")</f>
        <v>0</v>
      </c>
      <c r="C122" s="960"/>
      <c r="D122" s="960"/>
      <c r="E122" s="683">
        <v>15</v>
      </c>
      <c r="F122" s="50" cm="1" t="str">
        <f t="array" ref="F122:F122">OFFSET(E122,-1,1)</f>
        <v>0</v>
      </c>
      <c r="G122" s="124" t="s">
        <v>1702</v>
      </c>
      <c r="H122" s="960"/>
      <c r="I122" s="124" t="s">
        <v>491</v>
      </c>
      <c r="J122" s="960"/>
      <c r="K122" s="124" t="s">
        <v>491</v>
      </c>
      <c r="L122" s="963" t="s">
        <v>556</v>
      </c>
      <c r="M122" s="73"/>
      <c r="N122" s="960"/>
      <c r="O122" s="960"/>
      <c r="P122" s="960"/>
      <c r="Q122" s="960"/>
      <c r="R122" s="960"/>
      <c r="S122" s="960"/>
      <c r="T122" s="439" cm="1" t="str">
        <f t="array" ref="T122:T122">T121</f>
        <v>false</v>
      </c>
      <c r="U122" s="960"/>
      <c r="V122" s="960"/>
      <c r="W122" s="960"/>
      <c r="X122" s="1482"/>
      <c r="Y122" s="960"/>
      <c r="Z122" s="1465"/>
      <c r="AA122" s="960"/>
      <c r="AB122" s="266" t="s">
        <v>496</v>
      </c>
      <c r="AC122" s="425" t="s">
        <v>1702</v>
      </c>
      <c r="AD122" s="267" t="s">
        <v>784</v>
      </c>
      <c r="AE122" s="1282"/>
      <c r="AF122" s="1282"/>
      <c r="AG122" s="1282"/>
      <c r="AH122" s="926">
        <f>AG122-AF122</f>
        <v>0</v>
      </c>
      <c r="AI122" s="1280"/>
      <c r="AJ122" s="4765"/>
      <c r="AK122" s="1280"/>
      <c r="AL122" s="1280"/>
      <c r="AM122" s="1280"/>
      <c r="AN122" s="1280"/>
      <c r="AO122" s="1280"/>
      <c r="AP122" s="1280"/>
      <c r="AQ122" s="1280"/>
      <c r="AR122" s="1280"/>
      <c r="AS122" s="1280"/>
      <c r="AT122" s="4765"/>
      <c r="AU122" s="1280"/>
      <c r="AV122" s="1280"/>
      <c r="AW122" s="1280"/>
      <c r="AX122" s="1280"/>
      <c r="AY122" s="1280"/>
      <c r="AZ122" s="1280"/>
      <c r="BA122" s="1280"/>
      <c r="BB122" s="1280"/>
      <c r="BC122" s="1280"/>
      <c r="BD122" s="926">
        <f>IF(AI122=0,0,(AT122-AI122)/AI122*100)</f>
        <v>0</v>
      </c>
      <c r="BE122" s="926">
        <f>IF(AT122=0,0,(AU122-AT122)/AT122*100)</f>
        <v>0</v>
      </c>
      <c r="BF122" s="926">
        <f>IF(AU122=0,0,(AV122-AU122)/AU122*100)</f>
        <v>0</v>
      </c>
      <c r="BG122" s="926">
        <f>IF(AV122=0,0,(AW122-AV122)/AV122*100)</f>
        <v>0</v>
      </c>
      <c r="BH122" s="926">
        <f>IF(AW122=0,0,(AX122-AW122)/AW122*100)</f>
        <v>0</v>
      </c>
      <c r="BI122" s="926">
        <f>IF(AX122=0,0,(AY122-AX122)/AX122*100)</f>
        <v>0</v>
      </c>
      <c r="BJ122" s="926">
        <f>IF(AY122=0,0,(AZ122-AY122)/AY122*100)</f>
        <v>0</v>
      </c>
      <c r="BK122" s="926">
        <f>IF(AZ122=0,0,(BA122-AZ122)/AZ122*100)</f>
        <v>0</v>
      </c>
      <c r="BL122" s="926">
        <f>IF(BA122=0,0,(BB122-BA122)/BA122*100)</f>
        <v>0</v>
      </c>
      <c r="BM122" s="926">
        <f>IF(BB122=0,0,(BC122-BB122)/BB122*100)</f>
        <v>0</v>
      </c>
      <c r="BN122" s="1283"/>
      <c r="BO122" s="1283"/>
      <c r="BP122" s="1283"/>
      <c r="BQ122" s="960"/>
      <c r="BR122" s="960"/>
      <c r="BS122" s="1048" t="s">
        <v>1703</v>
      </c>
      <c r="BT122" s="1048"/>
      <c r="BU122" s="1048"/>
      <c r="BV122" s="962"/>
      <c r="BW122" s="962"/>
    </row>
    <row customHeight="1" ht="14.625" hidden="1">
      <c r="A123" s="960"/>
      <c r="B123" s="958">
        <f>method_reg="Метод обеспечения доходности инвестированного капитала"</f>
        <v>0</v>
      </c>
      <c r="C123" s="960"/>
      <c r="D123" s="960"/>
      <c r="E123" s="683">
        <v>15</v>
      </c>
      <c r="F123" s="50" cm="1" t="str">
        <f t="array" ref="F123:F123">OFFSET(E123,-1,1)</f>
        <v>0</v>
      </c>
      <c r="G123" s="960"/>
      <c r="H123" s="960"/>
      <c r="I123" s="960"/>
      <c r="J123" s="960"/>
      <c r="K123" s="73" t="s">
        <v>329</v>
      </c>
      <c r="L123" s="963"/>
      <c r="M123" s="73"/>
      <c r="N123" s="960"/>
      <c r="O123" s="960"/>
      <c r="P123" s="960"/>
      <c r="Q123" s="960"/>
      <c r="R123" s="960"/>
      <c r="S123" s="960"/>
      <c r="T123" s="439" cm="1" t="str">
        <f t="array" ref="T123:T123">T122</f>
        <v>false</v>
      </c>
      <c r="U123" s="960"/>
      <c r="V123" s="960"/>
      <c r="W123" s="960"/>
      <c r="X123" s="1482"/>
      <c r="Y123" s="960"/>
      <c r="Z123" s="1465"/>
      <c r="AA123" s="960"/>
      <c r="AB123" s="773" t="s">
        <v>536</v>
      </c>
      <c r="AC123" s="774" t="s">
        <v>2000</v>
      </c>
      <c r="AD123" s="775" t="s">
        <v>784</v>
      </c>
      <c r="AE123" s="1273"/>
      <c r="AF123" s="1273"/>
      <c r="AG123" s="1273"/>
      <c r="AH123" s="742">
        <f>AG123-AF123</f>
        <v>0</v>
      </c>
      <c r="AI123" s="1273"/>
      <c r="AJ123" s="4595"/>
      <c r="AK123" s="1273"/>
      <c r="AL123" s="1273"/>
      <c r="AM123" s="1273"/>
      <c r="AN123" s="1273"/>
      <c r="AO123" s="1273"/>
      <c r="AP123" s="1273"/>
      <c r="AQ123" s="1273"/>
      <c r="AR123" s="1273"/>
      <c r="AS123" s="1273"/>
      <c r="AT123" s="4595"/>
      <c r="AU123" s="1273"/>
      <c r="AV123" s="1273"/>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2001</v>
      </c>
      <c r="BT123" s="1048"/>
      <c r="BU123" s="1048"/>
      <c r="BV123" s="962"/>
      <c r="BW123" s="962"/>
    </row>
    <row customHeight="1" ht="14.625" hidden="1">
      <c r="A124" s="960"/>
      <c r="B124" s="958" cm="1" t="str">
        <f t="array" ref="B124:B124">B123</f>
        <v>false</v>
      </c>
      <c r="C124" s="960"/>
      <c r="D124" s="960"/>
      <c r="E124" s="683">
        <v>15</v>
      </c>
      <c r="F124" s="50" cm="1" t="str">
        <f t="array" ref="F124:F124">OFFSET(E124,-1,1)</f>
        <v>0</v>
      </c>
      <c r="G124" s="960"/>
      <c r="H124" s="960"/>
      <c r="I124" s="960"/>
      <c r="J124" s="960"/>
      <c r="K124" s="73" t="s">
        <v>514</v>
      </c>
      <c r="L124" s="963"/>
      <c r="M124" s="73"/>
      <c r="N124" s="960"/>
      <c r="O124" s="960"/>
      <c r="P124" s="960"/>
      <c r="Q124" s="960"/>
      <c r="R124" s="960"/>
      <c r="S124" s="960"/>
      <c r="T124" s="439" cm="1" t="str">
        <f t="array" ref="T124:T124">T123</f>
        <v>false</v>
      </c>
      <c r="U124" s="960"/>
      <c r="V124" s="960"/>
      <c r="W124" s="960"/>
      <c r="X124" s="1482"/>
      <c r="Y124" s="960"/>
      <c r="Z124" s="1465"/>
      <c r="AA124" s="960"/>
      <c r="AB124" s="776" t="s">
        <v>652</v>
      </c>
      <c r="AC124" s="777" t="s">
        <v>2002</v>
      </c>
      <c r="AD124" s="778" t="s">
        <v>784</v>
      </c>
      <c r="AE124" s="1280"/>
      <c r="AF124" s="1280"/>
      <c r="AG124" s="1280"/>
      <c r="AH124" s="925"/>
      <c r="AI124" s="1280"/>
      <c r="AJ124" s="4765"/>
      <c r="AK124" s="1280"/>
      <c r="AL124" s="1280"/>
      <c r="AM124" s="1280"/>
      <c r="AN124" s="1280"/>
      <c r="AO124" s="1280"/>
      <c r="AP124" s="1280"/>
      <c r="AQ124" s="1280"/>
      <c r="AR124" s="1280"/>
      <c r="AS124" s="1280"/>
      <c r="AT124" s="4765"/>
      <c r="AU124" s="1280"/>
      <c r="AV124" s="1280"/>
      <c r="AW124" s="1280"/>
      <c r="AX124" s="1280"/>
      <c r="AY124" s="1280"/>
      <c r="AZ124" s="1280"/>
      <c r="BA124" s="1280"/>
      <c r="BB124" s="1280"/>
      <c r="BC124" s="1280"/>
      <c r="BD124" s="925"/>
      <c r="BE124" s="925"/>
      <c r="BF124" s="925"/>
      <c r="BG124" s="925"/>
      <c r="BH124" s="925"/>
      <c r="BI124" s="925"/>
      <c r="BJ124" s="925"/>
      <c r="BK124" s="925"/>
      <c r="BL124" s="925"/>
      <c r="BM124" s="925"/>
      <c r="BN124" s="1278"/>
      <c r="BO124" s="1278"/>
      <c r="BP124" s="1278"/>
      <c r="BQ124" s="960"/>
      <c r="BR124" s="960"/>
      <c r="BS124" s="1048" t="s">
        <v>2003</v>
      </c>
      <c r="BT124" s="1048"/>
      <c r="BU124" s="1048"/>
      <c r="BV124" s="962"/>
      <c r="BW124" s="962"/>
    </row>
    <row customHeight="1" ht="14.625" hidden="1">
      <c r="A125" s="960"/>
      <c r="B125" s="958" cm="1" t="str">
        <f t="array" ref="B125:B125">B124</f>
        <v>false</v>
      </c>
      <c r="C125" s="960"/>
      <c r="D125" s="960"/>
      <c r="E125" s="683">
        <v>15</v>
      </c>
      <c r="F125" s="50" cm="1" t="str">
        <f t="array" ref="F125:F125">OFFSET(E125,-1,1)</f>
        <v>0</v>
      </c>
      <c r="G125" s="960"/>
      <c r="H125" s="960"/>
      <c r="I125" s="960"/>
      <c r="J125" s="960"/>
      <c r="K125" s="73" t="s">
        <v>518</v>
      </c>
      <c r="L125" s="963"/>
      <c r="M125" s="73"/>
      <c r="N125" s="960"/>
      <c r="O125" s="960"/>
      <c r="P125" s="960"/>
      <c r="Q125" s="960"/>
      <c r="R125" s="960"/>
      <c r="S125" s="960"/>
      <c r="T125" s="439" cm="1" t="str">
        <f t="array" ref="T125:T125">T124</f>
        <v>false</v>
      </c>
      <c r="U125" s="960"/>
      <c r="V125" s="960"/>
      <c r="W125" s="960"/>
      <c r="X125" s="1482"/>
      <c r="Y125" s="960"/>
      <c r="Z125" s="1465"/>
      <c r="AA125" s="960"/>
      <c r="AB125" s="776" t="s">
        <v>655</v>
      </c>
      <c r="AC125" s="777" t="s">
        <v>2004</v>
      </c>
      <c r="AD125" s="778" t="s">
        <v>2005</v>
      </c>
      <c r="AE125" s="1280"/>
      <c r="AF125" s="1280"/>
      <c r="AG125" s="1280"/>
      <c r="AH125" s="925"/>
      <c r="AI125" s="1280"/>
      <c r="AJ125" s="4765"/>
      <c r="AK125" s="1280"/>
      <c r="AL125" s="1280"/>
      <c r="AM125" s="1280"/>
      <c r="AN125" s="1280"/>
      <c r="AO125" s="1280"/>
      <c r="AP125" s="1280"/>
      <c r="AQ125" s="1280"/>
      <c r="AR125" s="1280"/>
      <c r="AS125" s="1280"/>
      <c r="AT125" s="4765"/>
      <c r="AU125" s="1280"/>
      <c r="AV125" s="1280"/>
      <c r="AW125" s="1280"/>
      <c r="AX125" s="1280"/>
      <c r="AY125" s="1280"/>
      <c r="AZ125" s="1280"/>
      <c r="BA125" s="1280"/>
      <c r="BB125" s="1280"/>
      <c r="BC125" s="1280"/>
      <c r="BD125" s="925"/>
      <c r="BE125" s="925"/>
      <c r="BF125" s="925"/>
      <c r="BG125" s="925"/>
      <c r="BH125" s="925"/>
      <c r="BI125" s="925"/>
      <c r="BJ125" s="925"/>
      <c r="BK125" s="925"/>
      <c r="BL125" s="925"/>
      <c r="BM125" s="925"/>
      <c r="BN125" s="1278"/>
      <c r="BO125" s="1278"/>
      <c r="BP125" s="1278"/>
      <c r="BQ125" s="960"/>
      <c r="BR125" s="960"/>
      <c r="BS125" s="1048" t="s">
        <v>2006</v>
      </c>
      <c r="BT125" s="1048"/>
      <c r="BU125" s="1048"/>
      <c r="BV125" s="962"/>
      <c r="BW125" s="962"/>
    </row>
    <row customHeight="1" ht="14.625" hidden="1">
      <c r="A126" s="960"/>
      <c r="B126" s="958" cm="1" t="str">
        <f t="array" ref="B126:B126">B125</f>
        <v>false</v>
      </c>
      <c r="C126" s="960"/>
      <c r="D126" s="960"/>
      <c r="E126" s="683">
        <v>15</v>
      </c>
      <c r="F126" s="50" cm="1" t="str">
        <f t="array" ref="F126:F126">OFFSET(E126,-1,1)</f>
        <v>0</v>
      </c>
      <c r="G126" s="960"/>
      <c r="H126" s="960"/>
      <c r="I126" s="960"/>
      <c r="J126" s="960"/>
      <c r="K126" s="73" t="s">
        <v>328</v>
      </c>
      <c r="L126" s="963"/>
      <c r="M126" s="73"/>
      <c r="N126" s="960"/>
      <c r="O126" s="960"/>
      <c r="P126" s="960"/>
      <c r="Q126" s="960"/>
      <c r="R126" s="960"/>
      <c r="S126" s="960"/>
      <c r="T126" s="439" cm="1" t="str">
        <f t="array" ref="T126:T126">T125</f>
        <v>false</v>
      </c>
      <c r="U126" s="960"/>
      <c r="V126" s="960"/>
      <c r="W126" s="960"/>
      <c r="X126" s="1482"/>
      <c r="Y126" s="960"/>
      <c r="Z126" s="1465"/>
      <c r="AA126" s="960"/>
      <c r="AB126" s="773" t="s">
        <v>492</v>
      </c>
      <c r="AC126" s="774" t="s">
        <v>2007</v>
      </c>
      <c r="AD126" s="775" t="s">
        <v>784</v>
      </c>
      <c r="AE126" s="1273"/>
      <c r="AF126" s="1273"/>
      <c r="AG126" s="1273"/>
      <c r="AH126" s="742">
        <f>AG126-AF126</f>
        <v>0</v>
      </c>
      <c r="AI126" s="1273"/>
      <c r="AJ126" s="4595"/>
      <c r="AK126" s="1273"/>
      <c r="AL126" s="1273"/>
      <c r="AM126" s="1273"/>
      <c r="AN126" s="1273"/>
      <c r="AO126" s="1273"/>
      <c r="AP126" s="1273"/>
      <c r="AQ126" s="1273"/>
      <c r="AR126" s="1273"/>
      <c r="AS126" s="1273"/>
      <c r="AT126" s="4595"/>
      <c r="AU126" s="1273"/>
      <c r="AV126" s="1273"/>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2008</v>
      </c>
      <c r="BT126" s="1048"/>
      <c r="BU126" s="1048"/>
      <c r="BV126" s="962"/>
      <c r="BW126" s="962"/>
    </row>
    <row customHeight="1" ht="14.625" hidden="1">
      <c r="A127" s="960"/>
      <c r="B127" s="958" cm="1" t="str">
        <f t="array" ref="B127:B127">B126</f>
        <v>false</v>
      </c>
      <c r="C127" s="960"/>
      <c r="D127" s="960"/>
      <c r="E127" s="683">
        <v>15</v>
      </c>
      <c r="F127" s="50" cm="1" t="str">
        <f t="array" ref="F127:F127">OFFSET(E127,-1,1)</f>
        <v>0</v>
      </c>
      <c r="G127" s="960"/>
      <c r="H127" s="960"/>
      <c r="I127" s="960"/>
      <c r="J127" s="960"/>
      <c r="K127" s="73" t="s">
        <v>528</v>
      </c>
      <c r="L127" s="963"/>
      <c r="M127" s="73"/>
      <c r="N127" s="960"/>
      <c r="O127" s="960"/>
      <c r="P127" s="960"/>
      <c r="Q127" s="960"/>
      <c r="R127" s="960"/>
      <c r="S127" s="960"/>
      <c r="T127" s="439" cm="1" t="str">
        <f t="array" ref="T127:T127">T126</f>
        <v>false</v>
      </c>
      <c r="U127" s="960"/>
      <c r="V127" s="960"/>
      <c r="W127" s="960"/>
      <c r="X127" s="1482"/>
      <c r="Y127" s="960"/>
      <c r="Z127" s="1465"/>
      <c r="AA127" s="960"/>
      <c r="AB127" s="776" t="s">
        <v>659</v>
      </c>
      <c r="AC127" s="777" t="s">
        <v>2009</v>
      </c>
      <c r="AD127" s="778" t="s">
        <v>784</v>
      </c>
      <c r="AE127" s="1280"/>
      <c r="AF127" s="1280"/>
      <c r="AG127" s="1280"/>
      <c r="AH127" s="925"/>
      <c r="AI127" s="1280"/>
      <c r="AJ127" s="4765"/>
      <c r="AK127" s="1280"/>
      <c r="AL127" s="1280"/>
      <c r="AM127" s="1280"/>
      <c r="AN127" s="1280"/>
      <c r="AO127" s="1280"/>
      <c r="AP127" s="1280"/>
      <c r="AQ127" s="1280"/>
      <c r="AR127" s="1280"/>
      <c r="AS127" s="1280"/>
      <c r="AT127" s="4765"/>
      <c r="AU127" s="1280"/>
      <c r="AV127" s="1280"/>
      <c r="AW127" s="1280"/>
      <c r="AX127" s="1280"/>
      <c r="AY127" s="1280"/>
      <c r="AZ127" s="1280"/>
      <c r="BA127" s="1280"/>
      <c r="BB127" s="1280"/>
      <c r="BC127" s="1280"/>
      <c r="BD127" s="925"/>
      <c r="BE127" s="925"/>
      <c r="BF127" s="925"/>
      <c r="BG127" s="925"/>
      <c r="BH127" s="925"/>
      <c r="BI127" s="925"/>
      <c r="BJ127" s="925"/>
      <c r="BK127" s="925"/>
      <c r="BL127" s="925"/>
      <c r="BM127" s="925"/>
      <c r="BN127" s="1278"/>
      <c r="BO127" s="1278"/>
      <c r="BP127" s="1278"/>
      <c r="BQ127" s="960"/>
      <c r="BR127" s="960"/>
      <c r="BS127" s="1048" t="s">
        <v>2010</v>
      </c>
      <c r="BT127" s="1048"/>
      <c r="BU127" s="1048"/>
      <c r="BV127" s="962"/>
      <c r="BW127" s="962"/>
    </row>
    <row customHeight="1" ht="14.625" hidden="1">
      <c r="A128" s="960"/>
      <c r="B128" s="958" cm="1" t="str">
        <f t="array" ref="B128:B128">B127</f>
        <v>false</v>
      </c>
      <c r="C128" s="960"/>
      <c r="D128" s="960"/>
      <c r="E128" s="683">
        <v>15</v>
      </c>
      <c r="F128" s="50" cm="1" t="str">
        <f t="array" ref="F128:F128">OFFSET(E128,-1,1)</f>
        <v>0</v>
      </c>
      <c r="G128" s="960"/>
      <c r="H128" s="960"/>
      <c r="I128" s="960"/>
      <c r="J128" s="960"/>
      <c r="K128" s="73" t="s">
        <v>532</v>
      </c>
      <c r="L128" s="963"/>
      <c r="M128" s="73"/>
      <c r="N128" s="960"/>
      <c r="O128" s="960"/>
      <c r="P128" s="960"/>
      <c r="Q128" s="960"/>
      <c r="R128" s="960"/>
      <c r="S128" s="960"/>
      <c r="T128" s="439" cm="1" t="str">
        <f t="array" ref="T128:T128">T127</f>
        <v>false</v>
      </c>
      <c r="U128" s="960"/>
      <c r="V128" s="960"/>
      <c r="W128" s="960"/>
      <c r="X128" s="1482"/>
      <c r="Y128" s="960"/>
      <c r="Z128" s="1465"/>
      <c r="AA128" s="960"/>
      <c r="AB128" s="776" t="s">
        <v>662</v>
      </c>
      <c r="AC128" s="777" t="s">
        <v>2011</v>
      </c>
      <c r="AD128" s="778" t="s">
        <v>437</v>
      </c>
      <c r="AE128" s="1280"/>
      <c r="AF128" s="1280"/>
      <c r="AG128" s="1280"/>
      <c r="AH128" s="925"/>
      <c r="AI128" s="1280"/>
      <c r="AJ128" s="4765"/>
      <c r="AK128" s="1280"/>
      <c r="AL128" s="1280"/>
      <c r="AM128" s="1280"/>
      <c r="AN128" s="1280"/>
      <c r="AO128" s="1280"/>
      <c r="AP128" s="1280"/>
      <c r="AQ128" s="1280"/>
      <c r="AR128" s="1280"/>
      <c r="AS128" s="1280"/>
      <c r="AT128" s="4765"/>
      <c r="AU128" s="1280"/>
      <c r="AV128" s="1280"/>
      <c r="AW128" s="1280"/>
      <c r="AX128" s="1280"/>
      <c r="AY128" s="1280"/>
      <c r="AZ128" s="1280"/>
      <c r="BA128" s="1280"/>
      <c r="BB128" s="1280"/>
      <c r="BC128" s="1280"/>
      <c r="BD128" s="925"/>
      <c r="BE128" s="925"/>
      <c r="BF128" s="925"/>
      <c r="BG128" s="925"/>
      <c r="BH128" s="925"/>
      <c r="BI128" s="925"/>
      <c r="BJ128" s="925"/>
      <c r="BK128" s="925"/>
      <c r="BL128" s="925"/>
      <c r="BM128" s="925"/>
      <c r="BN128" s="1278"/>
      <c r="BO128" s="1278"/>
      <c r="BP128" s="1278"/>
      <c r="BQ128" s="960"/>
      <c r="BR128" s="960"/>
      <c r="BS128" s="1048" t="s">
        <v>2012</v>
      </c>
      <c r="BT128" s="1048"/>
      <c r="BU128" s="1048"/>
      <c r="BV128" s="962"/>
      <c r="BW128" s="962"/>
    </row>
    <row customHeight="1" ht="14.625" hidden="1">
      <c r="A129" s="960"/>
      <c r="B129" s="958" cm="1" t="str">
        <f t="array" ref="B129:B129">B128</f>
        <v>false</v>
      </c>
      <c r="C129" s="960"/>
      <c r="D129" s="960"/>
      <c r="E129" s="683">
        <v>15</v>
      </c>
      <c r="F129" s="50" cm="1" t="str">
        <f t="array" ref="F129:F129">OFFSET(E129,-1,1)</f>
        <v>0</v>
      </c>
      <c r="G129" s="960"/>
      <c r="H129" s="960"/>
      <c r="I129" s="960"/>
      <c r="J129" s="960"/>
      <c r="K129" s="73" t="s">
        <v>749</v>
      </c>
      <c r="L129" s="963"/>
      <c r="M129" s="73"/>
      <c r="N129" s="960"/>
      <c r="O129" s="960"/>
      <c r="P129" s="960"/>
      <c r="Q129" s="960"/>
      <c r="R129" s="960"/>
      <c r="S129" s="960"/>
      <c r="T129" s="439" cm="1" t="str">
        <f t="array" ref="T129:T129">T128</f>
        <v>false</v>
      </c>
      <c r="U129" s="960"/>
      <c r="V129" s="960"/>
      <c r="W129" s="960"/>
      <c r="X129" s="1482"/>
      <c r="Y129" s="960"/>
      <c r="Z129" s="1465"/>
      <c r="AA129" s="960"/>
      <c r="AB129" s="776" t="s">
        <v>900</v>
      </c>
      <c r="AC129" s="777" t="s">
        <v>2013</v>
      </c>
      <c r="AD129" s="778" t="s">
        <v>784</v>
      </c>
      <c r="AE129" s="1280"/>
      <c r="AF129" s="1280"/>
      <c r="AG129" s="1280"/>
      <c r="AH129" s="925"/>
      <c r="AI129" s="1280"/>
      <c r="AJ129" s="4765"/>
      <c r="AK129" s="1280"/>
      <c r="AL129" s="1280"/>
      <c r="AM129" s="1280"/>
      <c r="AN129" s="1280"/>
      <c r="AO129" s="1280"/>
      <c r="AP129" s="1280"/>
      <c r="AQ129" s="1280"/>
      <c r="AR129" s="1280"/>
      <c r="AS129" s="1280"/>
      <c r="AT129" s="4765"/>
      <c r="AU129" s="1280"/>
      <c r="AV129" s="1280"/>
      <c r="AW129" s="1280"/>
      <c r="AX129" s="1280"/>
      <c r="AY129" s="1280"/>
      <c r="AZ129" s="1280"/>
      <c r="BA129" s="1280"/>
      <c r="BB129" s="1280"/>
      <c r="BC129" s="1280"/>
      <c r="BD129" s="925"/>
      <c r="BE129" s="925"/>
      <c r="BF129" s="925"/>
      <c r="BG129" s="925"/>
      <c r="BH129" s="925"/>
      <c r="BI129" s="925"/>
      <c r="BJ129" s="925"/>
      <c r="BK129" s="925"/>
      <c r="BL129" s="925"/>
      <c r="BM129" s="925"/>
      <c r="BN129" s="1278"/>
      <c r="BO129" s="1278"/>
      <c r="BP129" s="1278"/>
      <c r="BQ129" s="960"/>
      <c r="BR129" s="960"/>
      <c r="BS129" s="1048" t="s">
        <v>2014</v>
      </c>
      <c r="BT129" s="1048"/>
      <c r="BU129" s="1048"/>
      <c r="BV129" s="962"/>
      <c r="BW129" s="962"/>
    </row>
    <row customHeight="1" ht="14.625" hidden="1">
      <c r="A130" s="960"/>
      <c r="B130" s="958" cm="1" t="str">
        <f t="array" ref="B130:B130">B129</f>
        <v>false</v>
      </c>
      <c r="C130" s="960"/>
      <c r="D130" s="960"/>
      <c r="E130" s="683">
        <v>15</v>
      </c>
      <c r="F130" s="50" cm="1" t="str">
        <f t="array" ref="F130:F130">OFFSET(E130,-1,1)</f>
        <v>0</v>
      </c>
      <c r="G130" s="960"/>
      <c r="H130" s="960"/>
      <c r="I130" s="960"/>
      <c r="J130" s="960"/>
      <c r="K130" s="73" t="s">
        <v>902</v>
      </c>
      <c r="L130" s="963"/>
      <c r="M130" s="73"/>
      <c r="N130" s="960"/>
      <c r="O130" s="960"/>
      <c r="P130" s="960"/>
      <c r="Q130" s="960"/>
      <c r="R130" s="960"/>
      <c r="S130" s="960"/>
      <c r="T130" s="439" cm="1" t="str">
        <f t="array" ref="T130:T130">T129</f>
        <v>false</v>
      </c>
      <c r="U130" s="960"/>
      <c r="V130" s="960"/>
      <c r="W130" s="960"/>
      <c r="X130" s="1482"/>
      <c r="Y130" s="960"/>
      <c r="Z130" s="1465"/>
      <c r="AA130" s="960"/>
      <c r="AB130" s="776" t="s">
        <v>903</v>
      </c>
      <c r="AC130" s="777" t="s">
        <v>2015</v>
      </c>
      <c r="AD130" s="778" t="s">
        <v>784</v>
      </c>
      <c r="AE130" s="1280"/>
      <c r="AF130" s="1280"/>
      <c r="AG130" s="1280"/>
      <c r="AH130" s="925"/>
      <c r="AI130" s="1280"/>
      <c r="AJ130" s="4765"/>
      <c r="AK130" s="1280"/>
      <c r="AL130" s="1280"/>
      <c r="AM130" s="1280"/>
      <c r="AN130" s="1280"/>
      <c r="AO130" s="1280"/>
      <c r="AP130" s="1280"/>
      <c r="AQ130" s="1280"/>
      <c r="AR130" s="1280"/>
      <c r="AS130" s="1280"/>
      <c r="AT130" s="4765"/>
      <c r="AU130" s="1280"/>
      <c r="AV130" s="1280"/>
      <c r="AW130" s="1280"/>
      <c r="AX130" s="1280"/>
      <c r="AY130" s="1280"/>
      <c r="AZ130" s="1280"/>
      <c r="BA130" s="1280"/>
      <c r="BB130" s="1280"/>
      <c r="BC130" s="1280"/>
      <c r="BD130" s="925"/>
      <c r="BE130" s="925"/>
      <c r="BF130" s="925"/>
      <c r="BG130" s="925"/>
      <c r="BH130" s="925"/>
      <c r="BI130" s="925"/>
      <c r="BJ130" s="925"/>
      <c r="BK130" s="925"/>
      <c r="BL130" s="925"/>
      <c r="BM130" s="925"/>
      <c r="BN130" s="1278"/>
      <c r="BO130" s="1278"/>
      <c r="BP130" s="1278"/>
      <c r="BQ130" s="960"/>
      <c r="BR130" s="960"/>
      <c r="BS130" s="1048" t="s">
        <v>2016</v>
      </c>
      <c r="BT130" s="1048"/>
      <c r="BU130" s="1048"/>
      <c r="BV130" s="962"/>
      <c r="BW130" s="962"/>
    </row>
    <row customHeight="1" ht="14.625" hidden="1">
      <c r="A131" s="960"/>
      <c r="B131" s="958" cm="1" t="str">
        <f t="array" ref="B131:B131">B130</f>
        <v>false</v>
      </c>
      <c r="C131" s="960"/>
      <c r="D131" s="960"/>
      <c r="E131" s="683">
        <v>15</v>
      </c>
      <c r="F131" s="50" cm="1" t="str">
        <f t="array" ref="F131:F131">OFFSET(E131,-1,1)</f>
        <v>0</v>
      </c>
      <c r="G131" s="960"/>
      <c r="H131" s="960"/>
      <c r="I131" s="960"/>
      <c r="J131" s="960"/>
      <c r="K131" s="73" t="s">
        <v>2017</v>
      </c>
      <c r="L131" s="963"/>
      <c r="M131" s="73"/>
      <c r="N131" s="960"/>
      <c r="O131" s="960"/>
      <c r="P131" s="960"/>
      <c r="Q131" s="960"/>
      <c r="R131" s="960"/>
      <c r="S131" s="960"/>
      <c r="T131" s="439" cm="1" t="str">
        <f t="array" ref="T131:T131">T130</f>
        <v>false</v>
      </c>
      <c r="U131" s="960"/>
      <c r="V131" s="960"/>
      <c r="W131" s="960"/>
      <c r="X131" s="1482"/>
      <c r="Y131" s="960"/>
      <c r="Z131" s="1465"/>
      <c r="AA131" s="960"/>
      <c r="AB131" s="776" t="s">
        <v>2018</v>
      </c>
      <c r="AC131" s="779" t="s">
        <v>2019</v>
      </c>
      <c r="AD131" s="778" t="s">
        <v>437</v>
      </c>
      <c r="AE131" s="1280"/>
      <c r="AF131" s="1280"/>
      <c r="AG131" s="1280"/>
      <c r="AH131" s="925"/>
      <c r="AI131" s="1280"/>
      <c r="AJ131" s="4765"/>
      <c r="AK131" s="1280"/>
      <c r="AL131" s="1280"/>
      <c r="AM131" s="1280"/>
      <c r="AN131" s="1280"/>
      <c r="AO131" s="1280"/>
      <c r="AP131" s="1280"/>
      <c r="AQ131" s="1280"/>
      <c r="AR131" s="1280"/>
      <c r="AS131" s="1280"/>
      <c r="AT131" s="4765"/>
      <c r="AU131" s="1280"/>
      <c r="AV131" s="1280"/>
      <c r="AW131" s="1280"/>
      <c r="AX131" s="1280"/>
      <c r="AY131" s="1280"/>
      <c r="AZ131" s="1280"/>
      <c r="BA131" s="1280"/>
      <c r="BB131" s="1280"/>
      <c r="BC131" s="1280"/>
      <c r="BD131" s="925"/>
      <c r="BE131" s="925"/>
      <c r="BF131" s="925"/>
      <c r="BG131" s="925"/>
      <c r="BH131" s="925"/>
      <c r="BI131" s="925"/>
      <c r="BJ131" s="925"/>
      <c r="BK131" s="925"/>
      <c r="BL131" s="925"/>
      <c r="BM131" s="925"/>
      <c r="BN131" s="1278"/>
      <c r="BO131" s="1278"/>
      <c r="BP131" s="1278"/>
      <c r="BQ131" s="960"/>
      <c r="BR131" s="960"/>
      <c r="BS131" s="1048" t="s">
        <v>2020</v>
      </c>
      <c r="BT131" s="1048"/>
      <c r="BU131" s="1048"/>
      <c r="BV131" s="962"/>
      <c r="BW131" s="962"/>
    </row>
    <row customHeight="1" ht="14.625" hidden="1">
      <c r="A132" s="960"/>
      <c r="B132" s="958" cm="1" t="str">
        <f t="array" ref="B132:B132">B131</f>
        <v>false</v>
      </c>
      <c r="C132" s="960"/>
      <c r="D132" s="960"/>
      <c r="E132" s="683">
        <v>15</v>
      </c>
      <c r="F132" s="50" cm="1" t="str">
        <f t="array" ref="F132:F132">OFFSET(E132,-1,1)</f>
        <v>0</v>
      </c>
      <c r="G132" s="960"/>
      <c r="H132" s="960"/>
      <c r="I132" s="960"/>
      <c r="J132" s="960"/>
      <c r="K132" s="73" t="s">
        <v>905</v>
      </c>
      <c r="L132" s="963"/>
      <c r="M132" s="73"/>
      <c r="N132" s="960"/>
      <c r="O132" s="960"/>
      <c r="P132" s="960"/>
      <c r="Q132" s="960"/>
      <c r="R132" s="960"/>
      <c r="S132" s="960"/>
      <c r="T132" s="439" cm="1" t="str">
        <f t="array" ref="T132:T132">T131</f>
        <v>false</v>
      </c>
      <c r="U132" s="960"/>
      <c r="V132" s="960"/>
      <c r="W132" s="960"/>
      <c r="X132" s="1482"/>
      <c r="Y132" s="960"/>
      <c r="Z132" s="1465"/>
      <c r="AA132" s="960"/>
      <c r="AB132" s="776" t="s">
        <v>906</v>
      </c>
      <c r="AC132" s="777" t="s">
        <v>2021</v>
      </c>
      <c r="AD132" s="778" t="s">
        <v>437</v>
      </c>
      <c r="AE132" s="1280"/>
      <c r="AF132" s="1280"/>
      <c r="AG132" s="1280"/>
      <c r="AH132" s="925"/>
      <c r="AI132" s="1280"/>
      <c r="AJ132" s="4765"/>
      <c r="AK132" s="1280"/>
      <c r="AL132" s="1280"/>
      <c r="AM132" s="1280"/>
      <c r="AN132" s="1280"/>
      <c r="AO132" s="1280"/>
      <c r="AP132" s="1280"/>
      <c r="AQ132" s="1280"/>
      <c r="AR132" s="1280"/>
      <c r="AS132" s="1280"/>
      <c r="AT132" s="4765"/>
      <c r="AU132" s="1280"/>
      <c r="AV132" s="1280"/>
      <c r="AW132" s="1280"/>
      <c r="AX132" s="1280"/>
      <c r="AY132" s="1280"/>
      <c r="AZ132" s="1280"/>
      <c r="BA132" s="1280"/>
      <c r="BB132" s="1280"/>
      <c r="BC132" s="1280"/>
      <c r="BD132" s="925"/>
      <c r="BE132" s="925"/>
      <c r="BF132" s="925"/>
      <c r="BG132" s="925"/>
      <c r="BH132" s="925"/>
      <c r="BI132" s="925"/>
      <c r="BJ132" s="925"/>
      <c r="BK132" s="925"/>
      <c r="BL132" s="925"/>
      <c r="BM132" s="925"/>
      <c r="BN132" s="1278"/>
      <c r="BO132" s="1278"/>
      <c r="BP132" s="1278"/>
      <c r="BQ132" s="960"/>
      <c r="BR132" s="960"/>
      <c r="BS132" s="1048" t="s">
        <v>2022</v>
      </c>
      <c r="BT132" s="1048"/>
      <c r="BU132" s="1048"/>
      <c r="BV132" s="962"/>
      <c r="BW132" s="962"/>
    </row>
    <row customHeight="1" ht="14.625" hidden="1">
      <c r="A133" s="960"/>
      <c r="B133" s="958" cm="1" t="str">
        <f t="array" ref="B133:B133">B132</f>
        <v>false</v>
      </c>
      <c r="C133" s="960"/>
      <c r="D133" s="960"/>
      <c r="E133" s="683">
        <v>15</v>
      </c>
      <c r="F133" s="50" cm="1" t="str">
        <f t="array" ref="F133:F133">OFFSET(E133,-1,1)</f>
        <v>0</v>
      </c>
      <c r="G133" s="960"/>
      <c r="H133" s="960"/>
      <c r="I133" s="960"/>
      <c r="J133" s="960"/>
      <c r="K133" s="73" t="s">
        <v>2023</v>
      </c>
      <c r="L133" s="963"/>
      <c r="M133" s="73"/>
      <c r="N133" s="960"/>
      <c r="O133" s="960"/>
      <c r="P133" s="960"/>
      <c r="Q133" s="960"/>
      <c r="R133" s="960"/>
      <c r="S133" s="960"/>
      <c r="T133" s="439" cm="1" t="str">
        <f t="array" ref="T133:T133">T132</f>
        <v>false</v>
      </c>
      <c r="U133" s="960"/>
      <c r="V133" s="960"/>
      <c r="W133" s="960"/>
      <c r="X133" s="1482"/>
      <c r="Y133" s="960"/>
      <c r="Z133" s="1465"/>
      <c r="AA133" s="960"/>
      <c r="AB133" s="776" t="s">
        <v>2024</v>
      </c>
      <c r="AC133" s="779" t="s">
        <v>2025</v>
      </c>
      <c r="AD133" s="778" t="s">
        <v>437</v>
      </c>
      <c r="AE133" s="1280"/>
      <c r="AF133" s="1280"/>
      <c r="AG133" s="1280"/>
      <c r="AH133" s="925"/>
      <c r="AI133" s="1280"/>
      <c r="AJ133" s="4765"/>
      <c r="AK133" s="1280"/>
      <c r="AL133" s="1280"/>
      <c r="AM133" s="1280"/>
      <c r="AN133" s="1280"/>
      <c r="AO133" s="1280"/>
      <c r="AP133" s="1280"/>
      <c r="AQ133" s="1280"/>
      <c r="AR133" s="1280"/>
      <c r="AS133" s="1280"/>
      <c r="AT133" s="4765"/>
      <c r="AU133" s="1280"/>
      <c r="AV133" s="1280"/>
      <c r="AW133" s="1280"/>
      <c r="AX133" s="1280"/>
      <c r="AY133" s="1280"/>
      <c r="AZ133" s="1280"/>
      <c r="BA133" s="1280"/>
      <c r="BB133" s="1280"/>
      <c r="BC133" s="1280"/>
      <c r="BD133" s="925"/>
      <c r="BE133" s="925"/>
      <c r="BF133" s="925"/>
      <c r="BG133" s="925"/>
      <c r="BH133" s="925"/>
      <c r="BI133" s="925"/>
      <c r="BJ133" s="925"/>
      <c r="BK133" s="925"/>
      <c r="BL133" s="925"/>
      <c r="BM133" s="925"/>
      <c r="BN133" s="1278"/>
      <c r="BO133" s="1278"/>
      <c r="BP133" s="1278"/>
      <c r="BQ133" s="960"/>
      <c r="BR133" s="960"/>
      <c r="BS133" s="1048" t="s">
        <v>2026</v>
      </c>
      <c r="BT133" s="1048"/>
      <c r="BU133" s="1048"/>
      <c r="BV133" s="962"/>
      <c r="BW133" s="962"/>
    </row>
    <row customHeight="1" ht="14.625" hidden="1">
      <c r="A134" s="960"/>
      <c r="B134" s="958" cm="1" t="str">
        <f t="array" ref="B134:B134">B133</f>
        <v>false</v>
      </c>
      <c r="C134" s="960"/>
      <c r="D134" s="960"/>
      <c r="E134" s="683">
        <v>15</v>
      </c>
      <c r="F134" s="50" cm="1" t="str">
        <f t="array" ref="F134:F134">OFFSET(E134,-1,1)</f>
        <v>0</v>
      </c>
      <c r="G134" s="960"/>
      <c r="H134" s="960"/>
      <c r="I134" s="960"/>
      <c r="J134" s="960"/>
      <c r="K134" s="73" t="s">
        <v>2027</v>
      </c>
      <c r="L134" s="963"/>
      <c r="M134" s="73"/>
      <c r="N134" s="960"/>
      <c r="O134" s="960"/>
      <c r="P134" s="960"/>
      <c r="Q134" s="960"/>
      <c r="R134" s="960"/>
      <c r="S134" s="960"/>
      <c r="T134" s="439" cm="1" t="str">
        <f t="array" ref="T134:T134">T133</f>
        <v>false</v>
      </c>
      <c r="U134" s="960"/>
      <c r="V134" s="960"/>
      <c r="W134" s="960"/>
      <c r="X134" s="1482"/>
      <c r="Y134" s="960"/>
      <c r="Z134" s="1465"/>
      <c r="AA134" s="960"/>
      <c r="AB134" s="776" t="s">
        <v>2028</v>
      </c>
      <c r="AC134" s="779" t="s">
        <v>2029</v>
      </c>
      <c r="AD134" s="778" t="s">
        <v>437</v>
      </c>
      <c r="AE134" s="1280"/>
      <c r="AF134" s="1280"/>
      <c r="AG134" s="1280"/>
      <c r="AH134" s="925"/>
      <c r="AI134" s="1280"/>
      <c r="AJ134" s="4765"/>
      <c r="AK134" s="1280"/>
      <c r="AL134" s="1280"/>
      <c r="AM134" s="1280"/>
      <c r="AN134" s="1280"/>
      <c r="AO134" s="1280"/>
      <c r="AP134" s="1280"/>
      <c r="AQ134" s="1280"/>
      <c r="AR134" s="1280"/>
      <c r="AS134" s="1280"/>
      <c r="AT134" s="4765"/>
      <c r="AU134" s="1280"/>
      <c r="AV134" s="1280"/>
      <c r="AW134" s="1280"/>
      <c r="AX134" s="1280"/>
      <c r="AY134" s="1280"/>
      <c r="AZ134" s="1280"/>
      <c r="BA134" s="1280"/>
      <c r="BB134" s="1280"/>
      <c r="BC134" s="1280"/>
      <c r="BD134" s="925"/>
      <c r="BE134" s="925"/>
      <c r="BF134" s="925"/>
      <c r="BG134" s="925"/>
      <c r="BH134" s="925"/>
      <c r="BI134" s="925"/>
      <c r="BJ134" s="925"/>
      <c r="BK134" s="925"/>
      <c r="BL134" s="925"/>
      <c r="BM134" s="925"/>
      <c r="BN134" s="1278"/>
      <c r="BO134" s="1278"/>
      <c r="BP134" s="1278"/>
      <c r="BQ134" s="960"/>
      <c r="BR134" s="960"/>
      <c r="BS134" s="1048" t="s">
        <v>2030</v>
      </c>
      <c r="BT134" s="1048"/>
      <c r="BU134" s="1048"/>
      <c r="BV134" s="962"/>
      <c r="BW134" s="962"/>
    </row>
    <row s="680" customFormat="1" customHeight="1" ht="20.475" hidden="1">
      <c r="A135" s="680"/>
      <c r="B135" s="408"/>
      <c r="C135" s="680"/>
      <c r="D135" s="75" t="str">
        <f>IF(B134,"6","7")</f>
        <v>7</v>
      </c>
      <c r="E135" s="687">
        <v>21</v>
      </c>
      <c r="F135" s="50" cm="1" t="str">
        <f t="array" ref="F135:F135">OFFSET(E135,-1,1)</f>
        <v>0</v>
      </c>
      <c r="G135" s="124" t="s">
        <v>2031</v>
      </c>
      <c r="H135" s="124"/>
      <c r="I135" s="347" t="s">
        <v>2032</v>
      </c>
      <c r="J135" s="680"/>
      <c r="K135" s="347" t="s">
        <v>2032</v>
      </c>
      <c r="L135" s="968"/>
      <c r="M135" s="75"/>
      <c r="N135" s="680"/>
      <c r="O135" s="680"/>
      <c r="P135" s="680"/>
      <c r="Q135" s="680"/>
      <c r="R135" s="680"/>
      <c r="S135" s="680"/>
      <c r="T135" s="439" cm="1" t="str">
        <f t="array" ref="T135:T135">T134</f>
        <v>false</v>
      </c>
      <c r="U135" s="680"/>
      <c r="V135" s="680"/>
      <c r="W135" s="680"/>
      <c r="X135" s="1482"/>
      <c r="Y135" s="680"/>
      <c r="Z135" s="1465"/>
      <c r="AA135" s="680"/>
      <c r="AB135" s="178" cm="1" t="str">
        <f t="array" ref="AB135:AB135">D135</f>
        <v>7</v>
      </c>
      <c r="AC135" s="186" t="s">
        <v>1473</v>
      </c>
      <c r="AD135" s="178" t="s">
        <v>784</v>
      </c>
      <c r="AE135" s="1264"/>
      <c r="AF135" s="1264"/>
      <c r="AG135" s="1264"/>
      <c r="AH135" s="742">
        <f>AG135-AF135</f>
        <v>0</v>
      </c>
      <c r="AI135" s="1273"/>
      <c r="AJ135" s="4765">
        <f>_xlfn.SUMIFS('Корректировка НВВ'!$AF$25:$AF$180,'Корректировка НВВ'!$F$25:$F$180,$F135,'Корректировка НВВ'!$I$25:$I$180,$G135)</f>
        <v>0</v>
      </c>
      <c r="AK135" s="1273"/>
      <c r="AL135" s="1273"/>
      <c r="AM135" s="1273"/>
      <c r="AN135" s="1273"/>
      <c r="AO135" s="1273"/>
      <c r="AP135" s="1273"/>
      <c r="AQ135" s="1273"/>
      <c r="AR135" s="1273"/>
      <c r="AS135" s="1273"/>
      <c r="AT135" s="4765">
        <f>_xlfn.SUMIFS('Корректировка НВВ'!$AG$25:$AG$180,'Корректировка НВВ'!$F$25:$F$180,$F135,'Корректировка НВВ'!$I$25:$I$180,$G135)</f>
        <v>0</v>
      </c>
      <c r="AU135" s="1273"/>
      <c r="AV135" s="1273"/>
      <c r="AW135" s="1273"/>
      <c r="AX135" s="1273"/>
      <c r="AY135" s="1273"/>
      <c r="AZ135" s="1273"/>
      <c r="BA135" s="1273"/>
      <c r="BB135" s="1273"/>
      <c r="BC135" s="1273"/>
      <c r="BD135" s="742">
        <f>IF(AI135=0,0,(AT135-AI135)/AI135*100)</f>
        <v>0</v>
      </c>
      <c r="BE135" s="742">
        <f>IF(AT135=0,0,(AU135-AT135)/AT135*100)</f>
        <v>0</v>
      </c>
      <c r="BF135" s="742">
        <f>IF(AU135=0,0,(AV135-AU135)/AU135*100)</f>
        <v>0</v>
      </c>
      <c r="BG135" s="742">
        <f>IF(AV135=0,0,(AW135-AV135)/AV135*100)</f>
        <v>0</v>
      </c>
      <c r="BH135" s="742">
        <f>IF(AW135=0,0,(AX135-AW135)/AW135*100)</f>
        <v>0</v>
      </c>
      <c r="BI135" s="742">
        <f>IF(AX135=0,0,(AY135-AX135)/AX135*100)</f>
        <v>0</v>
      </c>
      <c r="BJ135" s="742">
        <f>IF(AY135=0,0,(AZ135-AY135)/AY135*100)</f>
        <v>0</v>
      </c>
      <c r="BK135" s="742">
        <f>IF(AZ135=0,0,(BA135-AZ135)/AZ135*100)</f>
        <v>0</v>
      </c>
      <c r="BL135" s="742">
        <f>IF(BA135=0,0,(BB135-BA135)/BA135*100)</f>
        <v>0</v>
      </c>
      <c r="BM135" s="742">
        <f>IF(BB135=0,0,(BC135-BB135)/BB135*100)</f>
        <v>0</v>
      </c>
      <c r="BN135" s="1267"/>
      <c r="BO135" s="1281" t="str">
        <f>IF(_xlfn.IFERROR(INDEX('Корректировка НВВ'!$K$26:$L$180,MATCH($F135&amp;"11komm",'Корректировка НВВ'!$K$26:$K$180,0),2),"")=0,"",_xlfn.IFERROR(INDEX('Корректировка НВВ'!$K$26:$L$180,MATCH($F135&amp;"11komm",'Корректировка НВВ'!$K$26:$K$180,0),2),""))</f>
        <v/>
      </c>
      <c r="BP135" s="1267"/>
      <c r="BQ135" s="680"/>
      <c r="BR135" s="680"/>
      <c r="BS135" s="1054" t="s">
        <v>2033</v>
      </c>
      <c r="BT135" s="1054"/>
      <c r="BU135" s="1054"/>
      <c r="BV135" s="687"/>
      <c r="BW135" s="687"/>
    </row>
    <row customHeight="1" ht="14.625" hidden="1">
      <c r="A136" s="960"/>
      <c r="B136" s="961"/>
      <c r="C136" s="960"/>
      <c r="D136" s="73" cm="1" t="str">
        <f t="array" ref="D136:D136">D135</f>
        <v>7</v>
      </c>
      <c r="E136" s="683">
        <v>15</v>
      </c>
      <c r="F136" s="50" cm="1" t="str">
        <f t="array" ref="F136:F136">OFFSET(E136,-1,1)</f>
        <v>0</v>
      </c>
      <c r="G136" s="960"/>
      <c r="H136" s="960"/>
      <c r="I136" s="960"/>
      <c r="J136" s="960"/>
      <c r="K136" s="960"/>
      <c r="L136" s="963"/>
      <c r="M136" s="73"/>
      <c r="N136" s="960"/>
      <c r="O136" s="960"/>
      <c r="P136" s="960"/>
      <c r="Q136" s="960"/>
      <c r="R136" s="960"/>
      <c r="S136" s="960"/>
      <c r="T136" s="439" cm="1" t="str">
        <f t="array" ref="T136:T136">T135</f>
        <v>false</v>
      </c>
      <c r="U136" s="960"/>
      <c r="V136" s="960"/>
      <c r="W136" s="960"/>
      <c r="X136" s="1482"/>
      <c r="Y136" s="960"/>
      <c r="Z136" s="1465"/>
      <c r="AA136" s="960"/>
      <c r="AB136" s="267"/>
      <c r="AC136" s="425" t="s">
        <v>2034</v>
      </c>
      <c r="AD136" s="267"/>
      <c r="AE136" s="928"/>
      <c r="AF136" s="928"/>
      <c r="AG136" s="928"/>
      <c r="AH136" s="925"/>
      <c r="AI136" s="925"/>
      <c r="AJ136" s="925"/>
      <c r="AK136" s="925"/>
      <c r="AL136" s="925"/>
      <c r="AM136" s="925"/>
      <c r="AN136" s="925"/>
      <c r="AO136" s="925"/>
      <c r="AP136" s="925"/>
      <c r="AQ136" s="925"/>
      <c r="AR136" s="925"/>
      <c r="AS136" s="925"/>
      <c r="AT136" s="925"/>
      <c r="AU136" s="925"/>
      <c r="AV136" s="925"/>
      <c r="AW136" s="925"/>
      <c r="AX136" s="925"/>
      <c r="AY136" s="925"/>
      <c r="AZ136" s="925"/>
      <c r="BA136" s="925"/>
      <c r="BB136" s="925"/>
      <c r="BC136" s="925"/>
      <c r="BD136" s="925"/>
      <c r="BE136" s="925"/>
      <c r="BF136" s="925"/>
      <c r="BG136" s="925"/>
      <c r="BH136" s="925"/>
      <c r="BI136" s="925"/>
      <c r="BJ136" s="925"/>
      <c r="BK136" s="925"/>
      <c r="BL136" s="925"/>
      <c r="BM136" s="925"/>
      <c r="BN136" s="501"/>
      <c r="BO136" s="501"/>
      <c r="BP136" s="501"/>
      <c r="BQ136" s="960"/>
      <c r="BR136" s="960"/>
      <c r="BS136" s="1048"/>
      <c r="BT136" s="1048"/>
      <c r="BU136" s="1048"/>
      <c r="BV136" s="962"/>
      <c r="BW136" s="962"/>
    </row>
    <row customHeight="1" ht="21.9375" hidden="1">
      <c r="A137" s="960"/>
      <c r="B137" s="961"/>
      <c r="C137" s="960"/>
      <c r="D137" s="73" cm="1" t="str">
        <f t="array" ref="D137:D137">D136</f>
        <v>7</v>
      </c>
      <c r="E137" s="683">
        <v>22.5</v>
      </c>
      <c r="F137" s="50" cm="1" t="str">
        <f t="array" ref="F137:F137">OFFSET(E137,-1,1)</f>
        <v>0</v>
      </c>
      <c r="G137" s="124" t="s">
        <v>368</v>
      </c>
      <c r="H137" s="960"/>
      <c r="I137" s="124" t="s">
        <v>495</v>
      </c>
      <c r="J137" s="960"/>
      <c r="K137" s="124" t="s">
        <v>495</v>
      </c>
      <c r="L137" s="963"/>
      <c r="M137" s="73"/>
      <c r="N137" s="960"/>
      <c r="O137" s="960"/>
      <c r="P137" s="960"/>
      <c r="Q137" s="960"/>
      <c r="R137" s="960"/>
      <c r="S137" s="960"/>
      <c r="T137" s="439" cm="1" t="str">
        <f t="array" ref="T137:T137">T136</f>
        <v>false</v>
      </c>
      <c r="U137" s="960"/>
      <c r="V137" s="960"/>
      <c r="W137" s="960"/>
      <c r="X137" s="1482"/>
      <c r="Y137" s="960"/>
      <c r="Z137" s="1465"/>
      <c r="AA137" s="960"/>
      <c r="AB137" s="267" t="str">
        <f>D137&amp;".1"</f>
        <v>7.1</v>
      </c>
      <c r="AC137" s="743" t="s">
        <v>2035</v>
      </c>
      <c r="AD137" s="267" t="s">
        <v>784</v>
      </c>
      <c r="AE137" s="1282"/>
      <c r="AF137" s="1282"/>
      <c r="AG137" s="1282"/>
      <c r="AH137" s="926">
        <f>AG137-AF137</f>
        <v>0</v>
      </c>
      <c r="AI137" s="1280"/>
      <c r="AJ137" s="4765">
        <f>_xlfn.SUMIFS('Корректировка НВВ'!$AF$25:$AF$180,'Корректировка НВВ'!$F$25:$F$180,$F137,'Корректировка НВВ'!$I$25:$I$180,$G137)</f>
        <v>0</v>
      </c>
      <c r="AK137" s="1280"/>
      <c r="AL137" s="1280"/>
      <c r="AM137" s="1280"/>
      <c r="AN137" s="1280"/>
      <c r="AO137" s="1280"/>
      <c r="AP137" s="1280"/>
      <c r="AQ137" s="1280"/>
      <c r="AR137" s="1280"/>
      <c r="AS137" s="1280"/>
      <c r="AT137" s="4765">
        <f>_xlfn.SUMIFS('Корректировка НВВ'!$AG$25:$AG$180,'Корректировка НВВ'!$F$25:$F$180,$F137,'Корректировка НВВ'!$I$25:$I$180,$G137)</f>
        <v>0</v>
      </c>
      <c r="AU137" s="1280"/>
      <c r="AV137" s="1280"/>
      <c r="AW137" s="1280"/>
      <c r="AX137" s="1280"/>
      <c r="AY137" s="1280"/>
      <c r="AZ137" s="1280"/>
      <c r="BA137" s="1280"/>
      <c r="BB137" s="1280"/>
      <c r="BC137" s="1280"/>
      <c r="BD137" s="925"/>
      <c r="BE137" s="925"/>
      <c r="BF137" s="925"/>
      <c r="BG137" s="925"/>
      <c r="BH137" s="925"/>
      <c r="BI137" s="925"/>
      <c r="BJ137" s="925"/>
      <c r="BK137" s="925"/>
      <c r="BL137" s="925"/>
      <c r="BM137" s="925"/>
      <c r="BN137" s="1283"/>
      <c r="BO137" s="1281" t="str">
        <f>IF(_xlfn.IFERROR(INDEX('Корректировка НВВ'!$K$26:$L$180,MATCH($F137&amp;"1komm",'Корректировка НВВ'!$K$26:$K$180,0),2),"")=0,"",_xlfn.IFERROR(INDEX('Корректировка НВВ'!$K$26:$L$180,MATCH($F137&amp;"1komm",'Корректировка НВВ'!$K$26:$K$180,0),2),""))</f>
        <v/>
      </c>
      <c r="BP137" s="1283"/>
      <c r="BQ137" s="960"/>
      <c r="BR137" s="960"/>
      <c r="BS137" s="1048" t="s">
        <v>2036</v>
      </c>
      <c r="BT137" s="1048"/>
      <c r="BU137" s="1048"/>
      <c r="BV137" s="962"/>
      <c r="BW137" s="962"/>
    </row>
    <row customHeight="1" ht="98.71875" hidden="1">
      <c r="A138" s="960"/>
      <c r="B138" s="961"/>
      <c r="C138" s="960"/>
      <c r="D138" s="73" cm="1" t="str">
        <f t="array" ref="D138:D138">D137</f>
        <v>7</v>
      </c>
      <c r="E138" s="683">
        <v>101.25</v>
      </c>
      <c r="F138" s="50" cm="1" t="str">
        <f t="array" ref="F138:F138">OFFSET(E138,-1,1)</f>
        <v>0</v>
      </c>
      <c r="G138" s="124" t="s">
        <v>2037</v>
      </c>
      <c r="H138" s="960"/>
      <c r="I138" s="124" t="s">
        <v>541</v>
      </c>
      <c r="J138" s="960"/>
      <c r="K138" s="124" t="s">
        <v>541</v>
      </c>
      <c r="L138" s="963"/>
      <c r="M138" s="73"/>
      <c r="N138" s="960"/>
      <c r="O138" s="960"/>
      <c r="P138" s="960"/>
      <c r="Q138" s="960"/>
      <c r="R138" s="960"/>
      <c r="S138" s="960"/>
      <c r="T138" s="439" cm="1" t="str">
        <f t="array" ref="T138:T138">T137</f>
        <v>false</v>
      </c>
      <c r="U138" s="960"/>
      <c r="V138" s="960"/>
      <c r="W138" s="960"/>
      <c r="X138" s="1482"/>
      <c r="Y138" s="960"/>
      <c r="Z138" s="1465"/>
      <c r="AA138" s="960"/>
      <c r="AB138" s="267" t="str">
        <f>D138&amp;".2"</f>
        <v>7.2</v>
      </c>
      <c r="AC138" s="743" t="s">
        <v>2038</v>
      </c>
      <c r="AD138" s="267" t="s">
        <v>784</v>
      </c>
      <c r="AE138" s="1282"/>
      <c r="AF138" s="1282"/>
      <c r="AG138" s="1282"/>
      <c r="AH138" s="926">
        <f>AG138-AF138</f>
        <v>0</v>
      </c>
      <c r="AI138" s="1280"/>
      <c r="AJ138" s="4765">
        <f>_xlfn.SUMIFS('Корректировка НВВ'!$AF$25:$AF$180,'Корректировка НВВ'!$F$25:$F$180,$F138,'Корректировка НВВ'!$I$25:$I$180,$G138)</f>
        <v>0</v>
      </c>
      <c r="AK138" s="1280"/>
      <c r="AL138" s="1280"/>
      <c r="AM138" s="1280"/>
      <c r="AN138" s="1280"/>
      <c r="AO138" s="1280"/>
      <c r="AP138" s="1280"/>
      <c r="AQ138" s="1280"/>
      <c r="AR138" s="1280"/>
      <c r="AS138" s="1280"/>
      <c r="AT138" s="4765">
        <f>_xlfn.SUMIFS('Корректировка НВВ'!$AG$25:$AG$180,'Корректировка НВВ'!$F$25:$F$180,$F138,'Корректировка НВВ'!$I$25:$I$180,$G138)</f>
        <v>0</v>
      </c>
      <c r="AU138" s="1280"/>
      <c r="AV138" s="1280"/>
      <c r="AW138" s="1280"/>
      <c r="AX138" s="1280"/>
      <c r="AY138" s="1280"/>
      <c r="AZ138" s="1280"/>
      <c r="BA138" s="1280"/>
      <c r="BB138" s="1280"/>
      <c r="BC138" s="1280"/>
      <c r="BD138" s="925"/>
      <c r="BE138" s="925"/>
      <c r="BF138" s="925"/>
      <c r="BG138" s="925"/>
      <c r="BH138" s="925"/>
      <c r="BI138" s="925"/>
      <c r="BJ138" s="925"/>
      <c r="BK138" s="925"/>
      <c r="BL138" s="925"/>
      <c r="BM138" s="925"/>
      <c r="BN138" s="1283"/>
      <c r="BO138" s="1281" t="str">
        <f>IF(_xlfn.IFERROR(INDEX('Корректировка НВВ'!$K$26:$L$180,MATCH($F138&amp;"2komm",'Корректировка НВВ'!$K$26:$K$180,0),2),"")=0,"",_xlfn.IFERROR(INDEX('Корректировка НВВ'!$K$26:$L$180,MATCH($F138&amp;"2komm",'Корректировка НВВ'!$K$26:$K$180,0),2),""))</f>
        <v/>
      </c>
      <c r="BP138" s="1283"/>
      <c r="BQ138" s="960"/>
      <c r="BR138" s="960"/>
      <c r="BS138" s="1048" t="s">
        <v>2039</v>
      </c>
      <c r="BT138" s="1048"/>
      <c r="BU138" s="1048"/>
      <c r="BV138" s="962"/>
      <c r="BW138" s="962"/>
    </row>
    <row customHeight="1" ht="43.875" hidden="1">
      <c r="A139" s="960"/>
      <c r="B139" s="961"/>
      <c r="C139" s="960"/>
      <c r="D139" s="73" cm="1" t="str">
        <f t="array" ref="D139:D139">D138</f>
        <v>7</v>
      </c>
      <c r="E139" s="683">
        <v>45</v>
      </c>
      <c r="F139" s="50" cm="1" t="str">
        <f t="array" ref="F139:F139">OFFSET(E139,-1,1)</f>
        <v>0</v>
      </c>
      <c r="G139" s="960"/>
      <c r="H139" s="960"/>
      <c r="I139" s="124" t="s">
        <v>556</v>
      </c>
      <c r="J139" s="960"/>
      <c r="K139" s="124" t="s">
        <v>556</v>
      </c>
      <c r="L139" s="963"/>
      <c r="M139" s="73"/>
      <c r="N139" s="960"/>
      <c r="O139" s="960"/>
      <c r="P139" s="960"/>
      <c r="Q139" s="960"/>
      <c r="R139" s="960"/>
      <c r="S139" s="960"/>
      <c r="T139" s="439" cm="1" t="str">
        <f t="array" ref="T139:T139">T138</f>
        <v>false</v>
      </c>
      <c r="U139" s="960"/>
      <c r="V139" s="960"/>
      <c r="W139" s="960"/>
      <c r="X139" s="1482"/>
      <c r="Y139" s="960"/>
      <c r="Z139" s="1465"/>
      <c r="AA139" s="960"/>
      <c r="AB139" s="267" t="str">
        <f>D139&amp;".3"</f>
        <v>7.3</v>
      </c>
      <c r="AC139" s="743" t="s">
        <v>2040</v>
      </c>
      <c r="AD139" s="267" t="s">
        <v>784</v>
      </c>
      <c r="AE139" s="1282"/>
      <c r="AF139" s="1282"/>
      <c r="AG139" s="1282"/>
      <c r="AH139" s="926">
        <f>AG139-AF139</f>
        <v>0</v>
      </c>
      <c r="AI139" s="1280"/>
      <c r="AJ139" s="4765">
        <f>_xlfn.SUMIFS('Корректировка НВВ'!$AF$25:$AF$180,'Корректировка НВВ'!$F$25:$F$180,$F139,'Корректировка НВВ'!$I$25:$I$180,"L1")+_xlfn.SUMIFS('Корректировка НВВ'!$AF$25:$AF$180,'Корректировка НВВ'!$F$25:$F$180,$F139,'Корректировка НВВ'!$I$25:$I$180,"L2")</f>
        <v>0</v>
      </c>
      <c r="AK139" s="1280"/>
      <c r="AL139" s="1280"/>
      <c r="AM139" s="1280"/>
      <c r="AN139" s="1280"/>
      <c r="AO139" s="1280"/>
      <c r="AP139" s="1280"/>
      <c r="AQ139" s="1280"/>
      <c r="AR139" s="1280"/>
      <c r="AS139" s="1280"/>
      <c r="AT139" s="4765">
        <f>_xlfn.SUMIFS('Корректировка НВВ'!$AG$25:$AG$180,'Корректировка НВВ'!$F$25:$F$180,$F139,'Корректировка НВВ'!$I$25:$I$180,"L1")+_xlfn.SUMIFS('Корректировка НВВ'!$AF$25:$AF$180,'Корректировка НВВ'!$F$25:$F$180,$F139,'Корректировка НВВ'!$I$25:$I$180,"L2")</f>
        <v>0</v>
      </c>
      <c r="AU139" s="1280"/>
      <c r="AV139" s="1280"/>
      <c r="AW139" s="1280"/>
      <c r="AX139" s="1280"/>
      <c r="AY139" s="1280"/>
      <c r="AZ139" s="1280"/>
      <c r="BA139" s="1280"/>
      <c r="BB139" s="1280"/>
      <c r="BC139" s="1280"/>
      <c r="BD139" s="925"/>
      <c r="BE139" s="925"/>
      <c r="BF139" s="925"/>
      <c r="BG139" s="925"/>
      <c r="BH139" s="925"/>
      <c r="BI139" s="925"/>
      <c r="BJ139" s="925"/>
      <c r="BK139" s="925"/>
      <c r="BL139" s="925"/>
      <c r="BM139" s="925"/>
      <c r="BN139" s="1283"/>
      <c r="BO139" s="1281"/>
      <c r="BP139" s="1283"/>
      <c r="BQ139" s="960"/>
      <c r="BR139" s="960"/>
      <c r="BS139" s="1048" t="s">
        <v>2041</v>
      </c>
      <c r="BT139" s="1048"/>
      <c r="BU139" s="1048"/>
      <c r="BV139" s="962"/>
      <c r="BW139" s="962"/>
    </row>
    <row customHeight="1" ht="87.75" hidden="1">
      <c r="A140" s="960"/>
      <c r="B140" s="418">
        <f>S27="Водоотведение"</f>
        <v>0</v>
      </c>
      <c r="C140" s="960"/>
      <c r="D140" s="73" cm="1" t="str">
        <f t="array" ref="D140:D140">D139</f>
        <v>7</v>
      </c>
      <c r="E140" s="683">
        <v>90</v>
      </c>
      <c r="F140" s="50" cm="1" t="str">
        <f t="array" ref="F140:F140">OFFSET(E140,-1,1)</f>
        <v>0</v>
      </c>
      <c r="G140" s="124" t="s">
        <v>2042</v>
      </c>
      <c r="H140" s="49"/>
      <c r="I140" s="124" t="s">
        <v>725</v>
      </c>
      <c r="J140" s="960"/>
      <c r="K140" s="124" t="s">
        <v>725</v>
      </c>
      <c r="L140" s="963" t="s">
        <v>722</v>
      </c>
      <c r="M140" s="73"/>
      <c r="N140" s="960"/>
      <c r="O140" s="960"/>
      <c r="P140" s="960"/>
      <c r="Q140" s="960"/>
      <c r="R140" s="960"/>
      <c r="S140" s="960"/>
      <c r="T140" s="439" cm="1" t="str">
        <f t="array" ref="T140:T140">T139</f>
        <v>false</v>
      </c>
      <c r="U140" s="960"/>
      <c r="V140" s="960"/>
      <c r="W140" s="960"/>
      <c r="X140" s="1482"/>
      <c r="Y140" s="960"/>
      <c r="Z140" s="1465"/>
      <c r="AA140" s="960"/>
      <c r="AB140" s="267" t="str">
        <f>D140&amp;".4"</f>
        <v>7.4</v>
      </c>
      <c r="AC140" s="743" t="s">
        <v>1705</v>
      </c>
      <c r="AD140" s="747" t="s">
        <v>784</v>
      </c>
      <c r="AE140" s="1282"/>
      <c r="AF140" s="1282"/>
      <c r="AG140" s="1282"/>
      <c r="AH140" s="926">
        <f>AG140-AF140</f>
        <v>0</v>
      </c>
      <c r="AI140" s="1280"/>
      <c r="AJ140" s="4765">
        <f>_xlfn.SUMIFS('Корректировка НВВ'!$AF$25:$AF$180,'Корректировка НВВ'!$F$25:$F$180,$F140,'Корректировка НВВ'!$I$25:$I$180,$G140)</f>
        <v>0</v>
      </c>
      <c r="AK140" s="1280"/>
      <c r="AL140" s="1280"/>
      <c r="AM140" s="1280"/>
      <c r="AN140" s="1280"/>
      <c r="AO140" s="1280"/>
      <c r="AP140" s="1280"/>
      <c r="AQ140" s="1280"/>
      <c r="AR140" s="1280"/>
      <c r="AS140" s="1280"/>
      <c r="AT140" s="4765">
        <f>_xlfn.SUMIFS('Корректировка НВВ'!$AG$25:$AG$180,'Корректировка НВВ'!$F$25:$F$180,$F140,'Корректировка НВВ'!$I$25:$I$180,$G140)</f>
        <v>0</v>
      </c>
      <c r="AU140" s="1280"/>
      <c r="AV140" s="1280"/>
      <c r="AW140" s="1280"/>
      <c r="AX140" s="1280"/>
      <c r="AY140" s="1280"/>
      <c r="AZ140" s="1280"/>
      <c r="BA140" s="1280"/>
      <c r="BB140" s="1280"/>
      <c r="BC140" s="1280"/>
      <c r="BD140" s="925"/>
      <c r="BE140" s="925"/>
      <c r="BF140" s="925"/>
      <c r="BG140" s="925"/>
      <c r="BH140" s="925"/>
      <c r="BI140" s="925"/>
      <c r="BJ140" s="925"/>
      <c r="BK140" s="925"/>
      <c r="BL140" s="925"/>
      <c r="BM140" s="925"/>
      <c r="BN140" s="1283"/>
      <c r="BO140" s="1281" t="str">
        <f>IF(_xlfn.IFERROR(INDEX('Корректировка НВВ'!$K$26:$L$180,MATCH($F140&amp;"3komm",'Корректировка НВВ'!$K$26:$K$180,0),2),"")=0,"",_xlfn.IFERROR(INDEX('Корректировка НВВ'!$K$26:$L$180,MATCH($F140&amp;"3komm",'Корректировка НВВ'!$K$26:$K$180,0),2),""))</f>
        <v/>
      </c>
      <c r="BP140" s="1283"/>
      <c r="BQ140" s="960"/>
      <c r="BR140" s="960"/>
      <c r="BS140" s="1048" t="s">
        <v>1249</v>
      </c>
      <c r="BT140" s="1048"/>
      <c r="BU140" s="1048"/>
      <c r="BV140" s="962"/>
      <c r="BW140" s="962"/>
    </row>
    <row customHeight="1" ht="54.84375" hidden="1">
      <c r="A141" s="960"/>
      <c r="B141" s="418" cm="1" t="str">
        <f t="array" ref="B141:B141">B140</f>
        <v>false</v>
      </c>
      <c r="C141" s="960"/>
      <c r="D141" s="73" cm="1" t="str">
        <f t="array" ref="D141:D141">D140</f>
        <v>7</v>
      </c>
      <c r="E141" s="683">
        <v>56.25</v>
      </c>
      <c r="F141" s="50" cm="1" t="str">
        <f t="array" ref="F141:F141">OFFSET(E141,-1,1)</f>
        <v>0</v>
      </c>
      <c r="G141" s="124" t="s">
        <v>2043</v>
      </c>
      <c r="H141" s="49"/>
      <c r="I141" s="124" t="s">
        <v>762</v>
      </c>
      <c r="J141" s="960"/>
      <c r="K141" s="124" t="s">
        <v>762</v>
      </c>
      <c r="L141" s="963" t="s">
        <v>725</v>
      </c>
      <c r="M141" s="73"/>
      <c r="N141" s="960"/>
      <c r="O141" s="960"/>
      <c r="P141" s="960"/>
      <c r="Q141" s="960"/>
      <c r="R141" s="960"/>
      <c r="S141" s="960"/>
      <c r="T141" s="439" cm="1" t="str">
        <f t="array" ref="T141:T141">T140</f>
        <v>false</v>
      </c>
      <c r="U141" s="960"/>
      <c r="V141" s="960"/>
      <c r="W141" s="960"/>
      <c r="X141" s="1482"/>
      <c r="Y141" s="960"/>
      <c r="Z141" s="1465"/>
      <c r="AA141" s="960"/>
      <c r="AB141" s="267" t="str">
        <f>D141&amp;".5"</f>
        <v>7.5</v>
      </c>
      <c r="AC141" s="743" t="s">
        <v>1707</v>
      </c>
      <c r="AD141" s="747" t="s">
        <v>784</v>
      </c>
      <c r="AE141" s="1282"/>
      <c r="AF141" s="1282"/>
      <c r="AG141" s="1282"/>
      <c r="AH141" s="926">
        <f>AG141-AF141</f>
        <v>0</v>
      </c>
      <c r="AI141" s="1280"/>
      <c r="AJ141" s="4765">
        <f>_xlfn.SUMIFS('Корректировка НВВ'!$AF$25:$AF$180,'Корректировка НВВ'!$F$25:$F$180,$F141,'Корректировка НВВ'!$I$25:$I$180,$G141)</f>
        <v>0</v>
      </c>
      <c r="AK141" s="1280"/>
      <c r="AL141" s="1280"/>
      <c r="AM141" s="1280"/>
      <c r="AN141" s="1280"/>
      <c r="AO141" s="1280"/>
      <c r="AP141" s="1280"/>
      <c r="AQ141" s="1280"/>
      <c r="AR141" s="1280"/>
      <c r="AS141" s="1280"/>
      <c r="AT141" s="4765">
        <f>_xlfn.SUMIFS('Корректировка НВВ'!$AG$25:$AG$180,'Корректировка НВВ'!$F$25:$F$180,$F141,'Корректировка НВВ'!$I$25:$I$180,$G141)</f>
        <v>0</v>
      </c>
      <c r="AU141" s="1280"/>
      <c r="AV141" s="1280"/>
      <c r="AW141" s="1280"/>
      <c r="AX141" s="1280"/>
      <c r="AY141" s="1280"/>
      <c r="AZ141" s="1280"/>
      <c r="BA141" s="1280"/>
      <c r="BB141" s="1280"/>
      <c r="BC141" s="1280"/>
      <c r="BD141" s="925"/>
      <c r="BE141" s="925"/>
      <c r="BF141" s="925"/>
      <c r="BG141" s="925"/>
      <c r="BH141" s="925"/>
      <c r="BI141" s="925"/>
      <c r="BJ141" s="925"/>
      <c r="BK141" s="925"/>
      <c r="BL141" s="925"/>
      <c r="BM141" s="925"/>
      <c r="BN141" s="1283"/>
      <c r="BO141" s="1281" t="str">
        <f>IF(_xlfn.IFERROR(INDEX('Корректировка НВВ'!$K$26:$L$180,MATCH($F141&amp;"4komm",'Корректировка НВВ'!$K$26:$K$180,0),2),"")=0,"",_xlfn.IFERROR(INDEX('Корректировка НВВ'!$K$26:$L$180,MATCH($F141&amp;"4komm",'Корректировка НВВ'!$K$26:$K$180,0),2),""))</f>
        <v/>
      </c>
      <c r="BP141" s="1283"/>
      <c r="BQ141" s="960"/>
      <c r="BR141" s="960"/>
      <c r="BS141" s="1048" t="s">
        <v>1253</v>
      </c>
      <c r="BT141" s="1048"/>
      <c r="BU141" s="1048"/>
      <c r="BV141" s="962"/>
      <c r="BW141" s="962"/>
    </row>
    <row customHeight="1" ht="14.625" hidden="1">
      <c r="A142" s="960"/>
      <c r="B142" s="961"/>
      <c r="C142" s="960"/>
      <c r="D142" s="73" cm="1" t="str">
        <f t="array" ref="D142:D142">D141</f>
        <v>7</v>
      </c>
      <c r="E142" s="683">
        <v>15</v>
      </c>
      <c r="F142" s="50" cm="1" t="str">
        <f t="array" ref="F142:F142">OFFSET(E142,-1,1)</f>
        <v>0</v>
      </c>
      <c r="G142" s="124" t="s">
        <v>2044</v>
      </c>
      <c r="H142" s="960"/>
      <c r="I142" s="124" t="s">
        <v>763</v>
      </c>
      <c r="J142" s="960"/>
      <c r="K142" s="124" t="s">
        <v>763</v>
      </c>
      <c r="L142" s="963" t="s">
        <v>762</v>
      </c>
      <c r="M142" s="73"/>
      <c r="N142" s="960"/>
      <c r="O142" s="960"/>
      <c r="P142" s="960"/>
      <c r="Q142" s="960"/>
      <c r="R142" s="960"/>
      <c r="S142" s="960"/>
      <c r="T142" s="439" cm="1" t="str">
        <f t="array" ref="T142:T142">T141</f>
        <v>false</v>
      </c>
      <c r="U142" s="960"/>
      <c r="V142" s="960"/>
      <c r="W142" s="960"/>
      <c r="X142" s="1482"/>
      <c r="Y142" s="960"/>
      <c r="Z142" s="1465"/>
      <c r="AA142" s="960"/>
      <c r="AB142" s="267" t="str">
        <f>IF(B141,D142&amp;".6",D142&amp;".4")</f>
        <v>7.4</v>
      </c>
      <c r="AC142" s="743" t="s">
        <v>1466</v>
      </c>
      <c r="AD142" s="267" t="s">
        <v>784</v>
      </c>
      <c r="AE142" s="1282"/>
      <c r="AF142" s="1282"/>
      <c r="AG142" s="1282"/>
      <c r="AH142" s="926">
        <f>AG142-AF142</f>
        <v>0</v>
      </c>
      <c r="AI142" s="1280"/>
      <c r="AJ142" s="4765">
        <f>_xlfn.SUMIFS('Корректировка НВВ'!$AF$25:$AF$180,'Корректировка НВВ'!$F$25:$F$180,$F142,'Корректировка НВВ'!$I$25:$I$180,$G142)</f>
        <v>0</v>
      </c>
      <c r="AK142" s="1280"/>
      <c r="AL142" s="1280"/>
      <c r="AM142" s="1280"/>
      <c r="AN142" s="1280"/>
      <c r="AO142" s="1280"/>
      <c r="AP142" s="1280"/>
      <c r="AQ142" s="1280"/>
      <c r="AR142" s="1280"/>
      <c r="AS142" s="1280"/>
      <c r="AT142" s="4765">
        <f>_xlfn.SUMIFS('Корректировка НВВ'!$AG$25:$AG$180,'Корректировка НВВ'!$F$25:$F$180,$F142,'Корректировка НВВ'!$I$25:$I$180,$G142)</f>
        <v>0</v>
      </c>
      <c r="AU142" s="1280"/>
      <c r="AV142" s="1280"/>
      <c r="AW142" s="1280"/>
      <c r="AX142" s="1280"/>
      <c r="AY142" s="1280"/>
      <c r="AZ142" s="1280"/>
      <c r="BA142" s="1280"/>
      <c r="BB142" s="1280"/>
      <c r="BC142" s="1280"/>
      <c r="BD142" s="925"/>
      <c r="BE142" s="925"/>
      <c r="BF142" s="925"/>
      <c r="BG142" s="925"/>
      <c r="BH142" s="925"/>
      <c r="BI142" s="925"/>
      <c r="BJ142" s="925"/>
      <c r="BK142" s="925"/>
      <c r="BL142" s="925"/>
      <c r="BM142" s="925"/>
      <c r="BN142" s="1283"/>
      <c r="BO142" s="1281" t="str">
        <f>IF(_xlfn.IFERROR(INDEX('Корректировка НВВ'!$K$26:$L$180,MATCH($F142&amp;"5komm",'Корректировка НВВ'!$K$26:$K$180,0),2),"")=0,"",_xlfn.IFERROR(INDEX('Корректировка НВВ'!$K$26:$L$180,MATCH($F142&amp;"5komm",'Корректировка НВВ'!$K$26:$K$180,0),2),""))</f>
        <v/>
      </c>
      <c r="BP142" s="1283"/>
      <c r="BQ142" s="960"/>
      <c r="BR142" s="960"/>
      <c r="BS142" s="1048" t="s">
        <v>2045</v>
      </c>
      <c r="BT142" s="1048"/>
      <c r="BU142" s="1048"/>
      <c r="BV142" s="962"/>
      <c r="BW142" s="962"/>
    </row>
    <row customHeight="1" ht="14.625" hidden="1">
      <c r="A143" s="960"/>
      <c r="B143" s="961"/>
      <c r="C143" s="960"/>
      <c r="D143" s="73" cm="1" t="str">
        <f t="array" ref="D143:D143">D142</f>
        <v>7</v>
      </c>
      <c r="E143" s="683">
        <v>15</v>
      </c>
      <c r="F143" s="50" cm="1" t="str">
        <f t="array" ref="F143:F143">OFFSET(E143,-1,1)</f>
        <v>0</v>
      </c>
      <c r="G143" s="124" t="s">
        <v>2046</v>
      </c>
      <c r="H143" s="960"/>
      <c r="I143" s="124" t="s">
        <v>1717</v>
      </c>
      <c r="J143" s="960"/>
      <c r="K143" s="124" t="s">
        <v>1717</v>
      </c>
      <c r="L143" s="963" t="s">
        <v>763</v>
      </c>
      <c r="M143" s="73"/>
      <c r="N143" s="960"/>
      <c r="O143" s="960"/>
      <c r="P143" s="960"/>
      <c r="Q143" s="960"/>
      <c r="R143" s="960"/>
      <c r="S143" s="960"/>
      <c r="T143" s="439" cm="1" t="str">
        <f t="array" ref="T143:T143">T142</f>
        <v>false</v>
      </c>
      <c r="U143" s="960"/>
      <c r="V143" s="960"/>
      <c r="W143" s="960"/>
      <c r="X143" s="1482"/>
      <c r="Y143" s="960"/>
      <c r="Z143" s="1465"/>
      <c r="AA143" s="960"/>
      <c r="AB143" s="267" t="str">
        <f>IF(B141,D142&amp;".7",D142&amp;".5")</f>
        <v>7.5</v>
      </c>
      <c r="AC143" s="743" t="s">
        <v>1428</v>
      </c>
      <c r="AD143" s="267" t="s">
        <v>784</v>
      </c>
      <c r="AE143" s="1282">
        <f>AE144+AE145</f>
        <v>0</v>
      </c>
      <c r="AF143" s="1282">
        <f>AF144+AF145</f>
        <v>0</v>
      </c>
      <c r="AG143" s="1282">
        <f>AG144+AG145</f>
        <v>0</v>
      </c>
      <c r="AH143" s="926">
        <f>AG143-AF143</f>
        <v>0</v>
      </c>
      <c r="AI143" s="1280">
        <f>AI144+AI145</f>
        <v>0</v>
      </c>
      <c r="AJ143" s="4765">
        <f>_xlfn.SUMIFS('Корректировка НВВ'!$AF$25:$AF$180,'Корректировка НВВ'!$F$25:$F$180,$F143,'Корректировка НВВ'!$I$25:$I$180,$G143)</f>
        <v>0</v>
      </c>
      <c r="AK143" s="1280">
        <f>AK144+AK145</f>
        <v>0</v>
      </c>
      <c r="AL143" s="1280">
        <f>AL144+AL145</f>
        <v>0</v>
      </c>
      <c r="AM143" s="1280">
        <f>AM144+AM145</f>
        <v>0</v>
      </c>
      <c r="AN143" s="1280">
        <f>AN144+AN145</f>
        <v>0</v>
      </c>
      <c r="AO143" s="1280">
        <f>AO144+AO145</f>
        <v>0</v>
      </c>
      <c r="AP143" s="1280">
        <f>AP144+AP145</f>
        <v>0</v>
      </c>
      <c r="AQ143" s="1280">
        <f>AQ144+AQ145</f>
        <v>0</v>
      </c>
      <c r="AR143" s="1280">
        <f>AR144+AR145</f>
        <v>0</v>
      </c>
      <c r="AS143" s="1280">
        <f>AS144+AS145</f>
        <v>0</v>
      </c>
      <c r="AT143" s="4765">
        <f>_xlfn.SUMIFS('Корректировка НВВ'!$AG$25:$AG$180,'Корректировка НВВ'!$F$25:$F$180,$F143,'Корректировка НВВ'!$I$25:$I$180,$G143)</f>
        <v>0</v>
      </c>
      <c r="AU143" s="1280">
        <f>AU144+AU145</f>
        <v>0</v>
      </c>
      <c r="AV143" s="1280">
        <f>AV144+AV145</f>
        <v>0</v>
      </c>
      <c r="AW143" s="1280">
        <f>AW144+AW145</f>
        <v>0</v>
      </c>
      <c r="AX143" s="1280">
        <f>AX144+AX145</f>
        <v>0</v>
      </c>
      <c r="AY143" s="1280">
        <f>AY144+AY145</f>
        <v>0</v>
      </c>
      <c r="AZ143" s="1280">
        <f>AZ144+AZ145</f>
        <v>0</v>
      </c>
      <c r="BA143" s="1280">
        <f>BA144+BA145</f>
        <v>0</v>
      </c>
      <c r="BB143" s="1280">
        <f>BB144+BB145</f>
        <v>0</v>
      </c>
      <c r="BC143" s="1280">
        <f>BC144+BC145</f>
        <v>0</v>
      </c>
      <c r="BD143" s="926">
        <f>IF(AI143=0,0,(AT143-AI143)/AI143*100)</f>
        <v>0</v>
      </c>
      <c r="BE143" s="926">
        <f>IF(AT143=0,0,(AU143-AT143)/AT143*100)</f>
        <v>0</v>
      </c>
      <c r="BF143" s="926">
        <f>IF(AU143=0,0,(AV143-AU143)/AU143*100)</f>
        <v>0</v>
      </c>
      <c r="BG143" s="926">
        <f>IF(AV143=0,0,(AW143-AV143)/AV143*100)</f>
        <v>0</v>
      </c>
      <c r="BH143" s="926">
        <f>IF(AW143=0,0,(AX143-AW143)/AW143*100)</f>
        <v>0</v>
      </c>
      <c r="BI143" s="926">
        <f>IF(AX143=0,0,(AY143-AX143)/AX143*100)</f>
        <v>0</v>
      </c>
      <c r="BJ143" s="926">
        <f>IF(AY143=0,0,(AZ143-AY143)/AY143*100)</f>
        <v>0</v>
      </c>
      <c r="BK143" s="926">
        <f>IF(AZ143=0,0,(BA143-AZ143)/AZ143*100)</f>
        <v>0</v>
      </c>
      <c r="BL143" s="926">
        <f>IF(BA143=0,0,(BB143-BA143)/BA143*100)</f>
        <v>0</v>
      </c>
      <c r="BM143" s="926">
        <f>IF(BB143=0,0,(BC143-BB143)/BB143*100)</f>
        <v>0</v>
      </c>
      <c r="BN143" s="1283"/>
      <c r="BO143" s="1281" t="str">
        <f>IF(_xlfn.IFERROR(INDEX('Корректировка НВВ'!$K$26:$L$180,MATCH($F143&amp;"6komm",'Корректировка НВВ'!$K$26:$K$180,0),2),"")=0,"",_xlfn.IFERROR(INDEX('Корректировка НВВ'!$K$26:$L$180,MATCH($F143&amp;"6komm",'Корректировка НВВ'!$K$26:$K$180,0),2),""))</f>
        <v/>
      </c>
      <c r="BP143" s="1283"/>
      <c r="BQ143" s="960"/>
      <c r="BR143" s="960"/>
      <c r="BS143" s="1048" t="s">
        <v>1430</v>
      </c>
      <c r="BT143" s="1048"/>
      <c r="BU143" s="1048"/>
      <c r="BV143" s="962"/>
      <c r="BW143" s="962"/>
    </row>
    <row customHeight="1" ht="21.9375" hidden="1">
      <c r="A144" s="960"/>
      <c r="B144" s="961"/>
      <c r="C144" s="960"/>
      <c r="D144" s="73" cm="1" t="str">
        <f t="array" ref="D144:D144">D143</f>
        <v>7</v>
      </c>
      <c r="E144" s="683">
        <v>22.5</v>
      </c>
      <c r="F144" s="50" cm="1" t="str">
        <f t="array" ref="F144:F144">OFFSET(E144,-1,1)</f>
        <v>0</v>
      </c>
      <c r="G144" s="124" t="s">
        <v>2047</v>
      </c>
      <c r="H144" s="960"/>
      <c r="I144" s="124" t="s">
        <v>2048</v>
      </c>
      <c r="J144" s="960"/>
      <c r="K144" s="124" t="s">
        <v>2048</v>
      </c>
      <c r="L144" s="963" t="s">
        <v>1712</v>
      </c>
      <c r="M144" s="73"/>
      <c r="N144" s="960"/>
      <c r="O144" s="960"/>
      <c r="P144" s="960"/>
      <c r="Q144" s="960"/>
      <c r="R144" s="960"/>
      <c r="S144" s="960"/>
      <c r="T144" s="439" cm="1" t="str">
        <f t="array" ref="T144:T144">T143</f>
        <v>false</v>
      </c>
      <c r="U144" s="960"/>
      <c r="V144" s="960"/>
      <c r="W144" s="960"/>
      <c r="X144" s="1482"/>
      <c r="Y144" s="960"/>
      <c r="Z144" s="1465"/>
      <c r="AA144" s="960"/>
      <c r="AB144" s="267" t="str">
        <f>AB143&amp;".1"</f>
        <v>7.5.1</v>
      </c>
      <c r="AC144" s="762" t="s">
        <v>1431</v>
      </c>
      <c r="AD144" s="267" t="s">
        <v>784</v>
      </c>
      <c r="AE144" s="1282"/>
      <c r="AF144" s="1282"/>
      <c r="AG144" s="1282"/>
      <c r="AH144" s="926">
        <f>AG144-AF144</f>
        <v>0</v>
      </c>
      <c r="AI144" s="1280"/>
      <c r="AJ144" s="4765">
        <f>_xlfn.SUMIFS('Корректировка НВВ'!$AF$25:$AF$180,'Корректировка НВВ'!$F$25:$F$180,$F144,'Корректировка НВВ'!$I$25:$I$180,$G144)</f>
        <v>0</v>
      </c>
      <c r="AK144" s="1280"/>
      <c r="AL144" s="1280"/>
      <c r="AM144" s="1280"/>
      <c r="AN144" s="1280"/>
      <c r="AO144" s="1280"/>
      <c r="AP144" s="1280"/>
      <c r="AQ144" s="1280"/>
      <c r="AR144" s="1280"/>
      <c r="AS144" s="1280"/>
      <c r="AT144" s="4765">
        <f>_xlfn.SUMIFS('Корректировка НВВ'!$AG$25:$AG$180,'Корректировка НВВ'!$F$25:$F$180,$F144,'Корректировка НВВ'!$I$25:$I$180,$G144)</f>
        <v>0</v>
      </c>
      <c r="AU144" s="1280"/>
      <c r="AV144" s="1280"/>
      <c r="AW144" s="1280"/>
      <c r="AX144" s="1280"/>
      <c r="AY144" s="1280"/>
      <c r="AZ144" s="1280"/>
      <c r="BA144" s="1280"/>
      <c r="BB144" s="1280"/>
      <c r="BC144" s="1280"/>
      <c r="BD144" s="925"/>
      <c r="BE144" s="925"/>
      <c r="BF144" s="925"/>
      <c r="BG144" s="925"/>
      <c r="BH144" s="925"/>
      <c r="BI144" s="925"/>
      <c r="BJ144" s="925"/>
      <c r="BK144" s="925"/>
      <c r="BL144" s="925"/>
      <c r="BM144" s="925"/>
      <c r="BN144" s="1283"/>
      <c r="BO144" s="1281" t="str">
        <f>IF(_xlfn.IFERROR(INDEX('Корректировка НВВ'!$K$26:$L$180,MATCH($F144&amp;"7komm",'Корректировка НВВ'!$K$26:$K$180,0),2),"")=0,"",_xlfn.IFERROR(INDEX('Корректировка НВВ'!$K$26:$L$180,MATCH($F144&amp;"7komm",'Корректировка НВВ'!$K$26:$K$180,0),2),""))</f>
        <v/>
      </c>
      <c r="BP144" s="1283"/>
      <c r="BQ144" s="960"/>
      <c r="BR144" s="960"/>
      <c r="BS144" s="1048" t="s">
        <v>1432</v>
      </c>
      <c r="BT144" s="1048"/>
      <c r="BU144" s="1048"/>
      <c r="BV144" s="962"/>
      <c r="BW144" s="962"/>
    </row>
    <row customHeight="1" ht="21.9375" hidden="1">
      <c r="A145" s="960"/>
      <c r="B145" s="961"/>
      <c r="C145" s="960"/>
      <c r="D145" s="73" cm="1" t="str">
        <f t="array" ref="D145:D145">D144</f>
        <v>7</v>
      </c>
      <c r="E145" s="683">
        <v>22.5</v>
      </c>
      <c r="F145" s="50" cm="1" t="str">
        <f t="array" ref="F145:F145">OFFSET(E145,-1,1)</f>
        <v>0</v>
      </c>
      <c r="G145" s="124" t="s">
        <v>2049</v>
      </c>
      <c r="H145" s="960"/>
      <c r="I145" s="124" t="s">
        <v>2050</v>
      </c>
      <c r="J145" s="960"/>
      <c r="K145" s="124" t="s">
        <v>2050</v>
      </c>
      <c r="L145" s="963" t="s">
        <v>1714</v>
      </c>
      <c r="M145" s="73"/>
      <c r="N145" s="960"/>
      <c r="O145" s="960"/>
      <c r="P145" s="960"/>
      <c r="Q145" s="960"/>
      <c r="R145" s="960"/>
      <c r="S145" s="960"/>
      <c r="T145" s="439" cm="1" t="str">
        <f t="array" ref="T145:T145">T144</f>
        <v>false</v>
      </c>
      <c r="U145" s="960"/>
      <c r="V145" s="960"/>
      <c r="W145" s="960"/>
      <c r="X145" s="1482"/>
      <c r="Y145" s="960"/>
      <c r="Z145" s="1465"/>
      <c r="AA145" s="960"/>
      <c r="AB145" s="267" t="str">
        <f>AB143&amp;".2"</f>
        <v>7.5.2</v>
      </c>
      <c r="AC145" s="762" t="s">
        <v>1433</v>
      </c>
      <c r="AD145" s="267" t="s">
        <v>784</v>
      </c>
      <c r="AE145" s="1282"/>
      <c r="AF145" s="1282"/>
      <c r="AG145" s="1282"/>
      <c r="AH145" s="926">
        <f>AG145-AF145</f>
        <v>0</v>
      </c>
      <c r="AI145" s="1280"/>
      <c r="AJ145" s="4765">
        <f>_xlfn.SUMIFS('Корректировка НВВ'!$AF$25:$AF$180,'Корректировка НВВ'!$F$25:$F$180,$F145,'Корректировка НВВ'!$I$25:$I$180,$G145)</f>
        <v>0</v>
      </c>
      <c r="AK145" s="1280"/>
      <c r="AL145" s="1280"/>
      <c r="AM145" s="1280"/>
      <c r="AN145" s="1280"/>
      <c r="AO145" s="1280"/>
      <c r="AP145" s="1280"/>
      <c r="AQ145" s="1280"/>
      <c r="AR145" s="1280"/>
      <c r="AS145" s="1280"/>
      <c r="AT145" s="4765">
        <f>_xlfn.SUMIFS('Корректировка НВВ'!$AG$25:$AG$180,'Корректировка НВВ'!$F$25:$F$180,$F145,'Корректировка НВВ'!$I$25:$I$180,$G145)</f>
        <v>0</v>
      </c>
      <c r="AU145" s="1280"/>
      <c r="AV145" s="1280"/>
      <c r="AW145" s="1280"/>
      <c r="AX145" s="1280"/>
      <c r="AY145" s="1280"/>
      <c r="AZ145" s="1280"/>
      <c r="BA145" s="1280"/>
      <c r="BB145" s="1280"/>
      <c r="BC145" s="1280"/>
      <c r="BD145" s="925"/>
      <c r="BE145" s="925"/>
      <c r="BF145" s="925"/>
      <c r="BG145" s="925"/>
      <c r="BH145" s="925"/>
      <c r="BI145" s="925"/>
      <c r="BJ145" s="925"/>
      <c r="BK145" s="925"/>
      <c r="BL145" s="925"/>
      <c r="BM145" s="925"/>
      <c r="BN145" s="1283"/>
      <c r="BO145" s="1281" t="str">
        <f>IF(_xlfn.IFERROR(INDEX('Корректировка НВВ'!$K$26:$L$180,MATCH($F145&amp;"8komm",'Корректировка НВВ'!$K$26:$K$180,0),2),"")=0,"",_xlfn.IFERROR(INDEX('Корректировка НВВ'!$K$26:$L$180,MATCH($F145&amp;"8komm",'Корректировка НВВ'!$K$26:$K$180,0),2),""))</f>
        <v/>
      </c>
      <c r="BP145" s="1283"/>
      <c r="BQ145" s="960"/>
      <c r="BR145" s="960"/>
      <c r="BS145" s="1048" t="s">
        <v>1434</v>
      </c>
      <c r="BT145" s="1048"/>
      <c r="BU145" s="1048"/>
      <c r="BV145" s="962"/>
      <c r="BW145" s="962"/>
    </row>
    <row customHeight="1" ht="14.625" hidden="1">
      <c r="A146" s="960"/>
      <c r="B146" s="961"/>
      <c r="C146" s="960"/>
      <c r="D146" s="73" cm="1" t="str">
        <f t="array" ref="D146:D146">D145</f>
        <v>7</v>
      </c>
      <c r="E146" s="683">
        <v>15</v>
      </c>
      <c r="F146" s="50" cm="1" t="str">
        <f t="array" ref="F146:F146">OFFSET(E146,-1,1)</f>
        <v>0</v>
      </c>
      <c r="G146" s="124" t="s">
        <v>312</v>
      </c>
      <c r="H146" s="960"/>
      <c r="I146" s="124" t="s">
        <v>1718</v>
      </c>
      <c r="J146" s="960"/>
      <c r="K146" s="124" t="s">
        <v>1718</v>
      </c>
      <c r="L146" s="963" t="s">
        <v>1717</v>
      </c>
      <c r="M146" s="73"/>
      <c r="N146" s="960"/>
      <c r="O146" s="960"/>
      <c r="P146" s="960"/>
      <c r="Q146" s="960"/>
      <c r="R146" s="960"/>
      <c r="S146" s="960"/>
      <c r="T146" s="439" cm="1" t="str">
        <f t="array" ref="T146:T146">T145</f>
        <v>false</v>
      </c>
      <c r="U146" s="960"/>
      <c r="V146" s="960"/>
      <c r="W146" s="960"/>
      <c r="X146" s="1482"/>
      <c r="Y146" s="960"/>
      <c r="Z146" s="1465"/>
      <c r="AA146" s="960"/>
      <c r="AB146" s="267" t="str">
        <f>IF(B141,D142&amp;".8",D142&amp;".6")</f>
        <v>7.6</v>
      </c>
      <c r="AC146" s="763" t="s">
        <v>1435</v>
      </c>
      <c r="AD146" s="267" t="s">
        <v>784</v>
      </c>
      <c r="AE146" s="1282"/>
      <c r="AF146" s="1282"/>
      <c r="AG146" s="1282"/>
      <c r="AH146" s="926">
        <f>AG146-AF146</f>
        <v>0</v>
      </c>
      <c r="AI146" s="1280"/>
      <c r="AJ146" s="4765">
        <f>_xlfn.SUMIFS('Корректировка НВВ'!$AF$25:$AF$180,'Корректировка НВВ'!$F$25:$F$180,$F146,'Корректировка НВВ'!$I$25:$I$180,$G146)</f>
        <v>0</v>
      </c>
      <c r="AK146" s="1280"/>
      <c r="AL146" s="1280"/>
      <c r="AM146" s="1280"/>
      <c r="AN146" s="1280"/>
      <c r="AO146" s="1280"/>
      <c r="AP146" s="1280"/>
      <c r="AQ146" s="1280"/>
      <c r="AR146" s="1280"/>
      <c r="AS146" s="1280"/>
      <c r="AT146" s="4765">
        <f>_xlfn.SUMIFS('Корректировка НВВ'!$AG$25:$AG$180,'Корректировка НВВ'!$F$25:$F$180,$F146,'Корректировка НВВ'!$I$25:$I$180,$G146)</f>
        <v>0</v>
      </c>
      <c r="AU146" s="1280"/>
      <c r="AV146" s="1280"/>
      <c r="AW146" s="1280"/>
      <c r="AX146" s="1280"/>
      <c r="AY146" s="1280"/>
      <c r="AZ146" s="1280"/>
      <c r="BA146" s="1280"/>
      <c r="BB146" s="1280"/>
      <c r="BC146" s="1280"/>
      <c r="BD146" s="925"/>
      <c r="BE146" s="925"/>
      <c r="BF146" s="925"/>
      <c r="BG146" s="925"/>
      <c r="BH146" s="925"/>
      <c r="BI146" s="925"/>
      <c r="BJ146" s="925"/>
      <c r="BK146" s="925"/>
      <c r="BL146" s="925"/>
      <c r="BM146" s="925"/>
      <c r="BN146" s="1283"/>
      <c r="BO146" s="1281" t="str">
        <f>IF(_xlfn.IFERROR(INDEX('Корректировка НВВ'!$K$26:$L$180,MATCH($F146&amp;"9komm",'Корректировка НВВ'!$K$26:$K$180,0),2),"")=0,"",_xlfn.IFERROR(INDEX('Корректировка НВВ'!$K$26:$L$180,MATCH($F146&amp;"9komm",'Корректировка НВВ'!$K$26:$K$180,0),2),""))</f>
        <v/>
      </c>
      <c r="BP146" s="1283"/>
      <c r="BQ146" s="960"/>
      <c r="BR146" s="960"/>
      <c r="BS146" s="1048" t="s">
        <v>2051</v>
      </c>
      <c r="BT146" s="1048"/>
      <c r="BU146" s="1048"/>
      <c r="BV146" s="962"/>
      <c r="BW146" s="962"/>
    </row>
    <row customHeight="1" ht="14.625" hidden="1">
      <c r="A147" s="960"/>
      <c r="B147" s="961"/>
      <c r="C147" s="960"/>
      <c r="D147" s="73" cm="1" t="str">
        <f t="array" ref="D147:D147">D146</f>
        <v>7</v>
      </c>
      <c r="E147" s="683">
        <v>15</v>
      </c>
      <c r="F147" s="50" cm="1" t="str">
        <f t="array" ref="F147:F147">OFFSET(E147,-1,1)</f>
        <v>0</v>
      </c>
      <c r="G147" s="124" t="s">
        <v>2052</v>
      </c>
      <c r="H147" s="960"/>
      <c r="I147" s="124" t="s">
        <v>1720</v>
      </c>
      <c r="J147" s="960"/>
      <c r="K147" s="124" t="s">
        <v>1720</v>
      </c>
      <c r="L147" s="963" t="s">
        <v>1718</v>
      </c>
      <c r="M147" s="73"/>
      <c r="N147" s="960"/>
      <c r="O147" s="960"/>
      <c r="P147" s="960"/>
      <c r="Q147" s="960"/>
      <c r="R147" s="960"/>
      <c r="S147" s="960"/>
      <c r="T147" s="439" cm="1" t="str">
        <f t="array" ref="T147:T147">T146</f>
        <v>false</v>
      </c>
      <c r="U147" s="960"/>
      <c r="V147" s="960"/>
      <c r="W147" s="960"/>
      <c r="X147" s="1482"/>
      <c r="Y147" s="960"/>
      <c r="Z147" s="1465"/>
      <c r="AA147" s="960"/>
      <c r="AB147" s="267" t="str">
        <f>IF(B141,D142&amp;".9",D142&amp;".7")</f>
        <v>7.7</v>
      </c>
      <c r="AC147" s="763" t="s">
        <v>1437</v>
      </c>
      <c r="AD147" s="267" t="s">
        <v>784</v>
      </c>
      <c r="AE147" s="1282"/>
      <c r="AF147" s="1282"/>
      <c r="AG147" s="1282"/>
      <c r="AH147" s="926">
        <f>AG147-AF147</f>
        <v>0</v>
      </c>
      <c r="AI147" s="1280"/>
      <c r="AJ147" s="4765">
        <f>_xlfn.SUMIFS('Корректировка НВВ'!$AF$25:$AF$180,'Корректировка НВВ'!$F$25:$F$180,$F147,'Корректировка НВВ'!$I$25:$I$180,$G147)</f>
        <v>0</v>
      </c>
      <c r="AK147" s="1280"/>
      <c r="AL147" s="1280"/>
      <c r="AM147" s="1280"/>
      <c r="AN147" s="1280"/>
      <c r="AO147" s="1280"/>
      <c r="AP147" s="1280"/>
      <c r="AQ147" s="1280"/>
      <c r="AR147" s="1280"/>
      <c r="AS147" s="1280"/>
      <c r="AT147" s="4765">
        <f>_xlfn.SUMIFS('Корректировка НВВ'!$AG$25:$AG$180,'Корректировка НВВ'!$F$25:$F$180,$F147,'Корректировка НВВ'!$I$25:$I$180,$G147)</f>
        <v>0</v>
      </c>
      <c r="AU147" s="1280"/>
      <c r="AV147" s="1280"/>
      <c r="AW147" s="1280"/>
      <c r="AX147" s="1280"/>
      <c r="AY147" s="1280"/>
      <c r="AZ147" s="1280"/>
      <c r="BA147" s="1280"/>
      <c r="BB147" s="1280"/>
      <c r="BC147" s="1280"/>
      <c r="BD147" s="925"/>
      <c r="BE147" s="925"/>
      <c r="BF147" s="925"/>
      <c r="BG147" s="925"/>
      <c r="BH147" s="925"/>
      <c r="BI147" s="925"/>
      <c r="BJ147" s="925"/>
      <c r="BK147" s="925"/>
      <c r="BL147" s="925"/>
      <c r="BM147" s="925"/>
      <c r="BN147" s="1283"/>
      <c r="BO147" s="1281" t="str">
        <f>IF(_xlfn.IFERROR(INDEX('Корректировка НВВ'!$K$26:$L$180,MATCH($F147&amp;"10komm",'Корректировка НВВ'!$K$26:$K$180,0),2),"")=0,"",_xlfn.IFERROR(INDEX('Корректировка НВВ'!$K$26:$L$180,MATCH($F147&amp;"10komm",'Корректировка НВВ'!$K$26:$K$180,0),2),""))</f>
        <v/>
      </c>
      <c r="BP147" s="1283"/>
      <c r="BQ147" s="960"/>
      <c r="BR147" s="960"/>
      <c r="BS147" s="1048" t="s">
        <v>1438</v>
      </c>
      <c r="BT147" s="1048"/>
      <c r="BU147" s="1048"/>
      <c r="BV147" s="962"/>
      <c r="BW147" s="962"/>
    </row>
    <row s="680" customFormat="1" customHeight="1" ht="20.475" hidden="1">
      <c r="A148" s="680"/>
      <c r="B148" s="408"/>
      <c r="C148" s="680"/>
      <c r="D148" s="75">
        <f>D147+1</f>
        <v>8</v>
      </c>
      <c r="E148" s="687">
        <v>21</v>
      </c>
      <c r="F148" s="50" cm="1" t="str">
        <f t="array" ref="F148:F148">OFFSET(E148,-1,1)</f>
        <v>0</v>
      </c>
      <c r="G148" s="680"/>
      <c r="H148" s="680"/>
      <c r="I148" s="128" t="s">
        <v>564</v>
      </c>
      <c r="J148" s="680"/>
      <c r="K148" s="128" t="s">
        <v>564</v>
      </c>
      <c r="L148" s="968"/>
      <c r="M148" s="75"/>
      <c r="N148" s="680"/>
      <c r="O148" s="680"/>
      <c r="P148" s="680"/>
      <c r="Q148" s="680"/>
      <c r="R148" s="680"/>
      <c r="S148" s="680"/>
      <c r="T148" s="439" cm="1" t="str">
        <f t="array" ref="T148:T148">T147</f>
        <v>false</v>
      </c>
      <c r="U148" s="680"/>
      <c r="V148" s="680"/>
      <c r="W148" s="680"/>
      <c r="X148" s="1482"/>
      <c r="Y148" s="680"/>
      <c r="Z148" s="1465"/>
      <c r="AA148" s="680"/>
      <c r="AB148" s="178" cm="1" t="str">
        <f t="array" ref="AB148:AB148">D148</f>
        <v>8</v>
      </c>
      <c r="AC148" s="179" t="s">
        <v>2053</v>
      </c>
      <c r="AD148" s="178" t="s">
        <v>784</v>
      </c>
      <c r="AE148" s="1264"/>
      <c r="AF148" s="1264"/>
      <c r="AG148" s="1264"/>
      <c r="AH148" s="742">
        <f>AG148-AF148</f>
        <v>0</v>
      </c>
      <c r="AI148" s="1273"/>
      <c r="AJ148" s="4595"/>
      <c r="AK148" s="1273"/>
      <c r="AL148" s="1273"/>
      <c r="AM148" s="1273"/>
      <c r="AN148" s="1273"/>
      <c r="AO148" s="1273"/>
      <c r="AP148" s="1273"/>
      <c r="AQ148" s="1273"/>
      <c r="AR148" s="1273"/>
      <c r="AS148" s="1273"/>
      <c r="AT148" s="4595"/>
      <c r="AU148" s="1273"/>
      <c r="AV148" s="1273"/>
      <c r="AW148" s="1273"/>
      <c r="AX148" s="1273"/>
      <c r="AY148" s="1273"/>
      <c r="AZ148" s="1273"/>
      <c r="BA148" s="1273"/>
      <c r="BB148" s="1273"/>
      <c r="BC148" s="1273"/>
      <c r="BD148" s="745"/>
      <c r="BE148" s="745"/>
      <c r="BF148" s="745"/>
      <c r="BG148" s="745"/>
      <c r="BH148" s="745"/>
      <c r="BI148" s="745"/>
      <c r="BJ148" s="745"/>
      <c r="BK148" s="745"/>
      <c r="BL148" s="745"/>
      <c r="BM148" s="745"/>
      <c r="BN148" s="1267"/>
      <c r="BO148" s="1267"/>
      <c r="BP148" s="1267"/>
      <c r="BQ148" s="680"/>
      <c r="BR148" s="680"/>
      <c r="BS148" s="1054" t="s">
        <v>2054</v>
      </c>
      <c r="BT148" s="1054"/>
      <c r="BU148" s="1054"/>
      <c r="BV148" s="687"/>
      <c r="BW148" s="687"/>
    </row>
    <row customHeight="1" ht="14.625" hidden="1">
      <c r="A149" s="960"/>
      <c r="B149" s="961"/>
      <c r="C149" s="960"/>
      <c r="D149" s="75" cm="1" t="str">
        <f t="array" ref="D149:D149">D148</f>
        <v>8</v>
      </c>
      <c r="E149" s="683">
        <v>15</v>
      </c>
      <c r="F149" s="50" cm="1" t="str">
        <f t="array" ref="F149:F149">OFFSET(E149,-1,1)</f>
        <v>0</v>
      </c>
      <c r="G149" s="960"/>
      <c r="H149" s="960"/>
      <c r="I149" s="124" t="s">
        <v>568</v>
      </c>
      <c r="J149" s="960"/>
      <c r="K149" s="124" t="s">
        <v>568</v>
      </c>
      <c r="L149" s="963"/>
      <c r="M149" s="73"/>
      <c r="N149" s="960"/>
      <c r="O149" s="960"/>
      <c r="P149" s="960"/>
      <c r="Q149" s="960"/>
      <c r="R149" s="960"/>
      <c r="S149" s="960"/>
      <c r="T149" s="439" cm="1" t="str">
        <f t="array" ref="T149:T149">T148</f>
        <v>false</v>
      </c>
      <c r="U149" s="960"/>
      <c r="V149" s="960"/>
      <c r="W149" s="960"/>
      <c r="X149" s="1482"/>
      <c r="Y149" s="960"/>
      <c r="Z149" s="1465"/>
      <c r="AA149" s="960"/>
      <c r="AB149" s="267" t="str">
        <f>D149&amp;".1"</f>
        <v>8.1</v>
      </c>
      <c r="AC149" s="743" t="s">
        <v>2055</v>
      </c>
      <c r="AD149" s="267" t="s">
        <v>437</v>
      </c>
      <c r="AE149" s="226">
        <f>IF(AE150=0,0,AE148/(AE150+AE135)*100)</f>
        <v>0</v>
      </c>
      <c r="AF149" s="226">
        <f>IF(AF150=0,0,AF148/(AF150+AF135)*100)</f>
        <v>0</v>
      </c>
      <c r="AG149" s="226">
        <f>IF(AG150=0,0,AG148/(AG150+AG135)*100)</f>
        <v>0</v>
      </c>
      <c r="AH149" s="926">
        <f>AG149-AF149</f>
        <v>0</v>
      </c>
      <c r="AI149" s="926">
        <f>IF(AI150=0,0,AI148/(AI150+AI135)*100)</f>
        <v>0</v>
      </c>
      <c r="AJ149" s="926">
        <f>IF(AJ150=0,0,AJ148/(AJ150+AJ135)*100)</f>
        <v>0</v>
      </c>
      <c r="AK149" s="926">
        <f>IF(AK150=0,0,AK148/(AK150+AK135)*100)</f>
        <v>0</v>
      </c>
      <c r="AL149" s="926">
        <f>IF(AL150=0,0,AL148/(AL150+AL135)*100)</f>
        <v>0</v>
      </c>
      <c r="AM149" s="926">
        <f>IF(AM150=0,0,AM148/(AM150+AM135)*100)</f>
        <v>0</v>
      </c>
      <c r="AN149" s="926">
        <f>IF(AN150=0,0,AN148/(AN150+AN135)*100)</f>
        <v>0</v>
      </c>
      <c r="AO149" s="926">
        <f>IF(AO150=0,0,AO148/(AO150+AO135)*100)</f>
        <v>0</v>
      </c>
      <c r="AP149" s="926">
        <f>IF(AP150=0,0,AP148/(AP150+AP135)*100)</f>
        <v>0</v>
      </c>
      <c r="AQ149" s="926">
        <f>IF(AQ150=0,0,AQ148/(AQ150+AQ135)*100)</f>
        <v>0</v>
      </c>
      <c r="AR149" s="926">
        <f>IF(AR150=0,0,AR148/(AR150+AR135)*100)</f>
        <v>0</v>
      </c>
      <c r="AS149" s="926">
        <f>IF(AS150=0,0,AS148/(AS150+AS135)*100)</f>
        <v>0</v>
      </c>
      <c r="AT149" s="926">
        <f>IF(AT150=0,0,AT148/(AT150+AT135)*100)</f>
        <v>0</v>
      </c>
      <c r="AU149" s="926">
        <f>IF(AU150=0,0,AU148/(AU150+AU135)*100)</f>
        <v>0</v>
      </c>
      <c r="AV149" s="926">
        <f>IF(AV150=0,0,AV148/(AV150+AV135)*100)</f>
        <v>0</v>
      </c>
      <c r="AW149" s="926">
        <f>IF(AW150=0,0,AW148/(AW150+AW135)*100)</f>
        <v>0</v>
      </c>
      <c r="AX149" s="926">
        <f>IF(AX150=0,0,AX148/(AX150+AX135)*100)</f>
        <v>0</v>
      </c>
      <c r="AY149" s="926">
        <f>IF(AY150=0,0,AY148/(AY150+AY135)*100)</f>
        <v>0</v>
      </c>
      <c r="AZ149" s="926">
        <f>IF(AZ150=0,0,AZ148/(AZ150+AZ135)*100)</f>
        <v>0</v>
      </c>
      <c r="BA149" s="926">
        <f>IF(BA150=0,0,BA148/(BA150+BA135)*100)</f>
        <v>0</v>
      </c>
      <c r="BB149" s="926">
        <f>IF(BB150=0,0,BB148/(BB150+BB135)*100)</f>
        <v>0</v>
      </c>
      <c r="BC149" s="926">
        <f>IF(BC150=0,0,BC148/(BC150+BC135)*100)</f>
        <v>0</v>
      </c>
      <c r="BD149" s="925"/>
      <c r="BE149" s="925"/>
      <c r="BF149" s="925"/>
      <c r="BG149" s="925"/>
      <c r="BH149" s="925"/>
      <c r="BI149" s="925"/>
      <c r="BJ149" s="925"/>
      <c r="BK149" s="925"/>
      <c r="BL149" s="925"/>
      <c r="BM149" s="925"/>
      <c r="BN149" s="1283"/>
      <c r="BO149" s="1283"/>
      <c r="BP149" s="1283"/>
      <c r="BQ149" s="960"/>
      <c r="BR149" s="960"/>
      <c r="BS149" s="1048" t="s">
        <v>2056</v>
      </c>
      <c r="BT149" s="1048"/>
      <c r="BU149" s="1048"/>
      <c r="BV149" s="962"/>
      <c r="BW149" s="962"/>
    </row>
    <row s="680" customFormat="1" customHeight="1" ht="20.475" hidden="1">
      <c r="A150" s="680"/>
      <c r="B150" s="408"/>
      <c r="C150" s="680"/>
      <c r="D150" s="75">
        <f>D149+1</f>
        <v>9</v>
      </c>
      <c r="E150" s="687">
        <v>21</v>
      </c>
      <c r="F150" s="50" cm="1" t="str">
        <f t="array" ref="F150:F150">OFFSET(E150,-1,1)</f>
        <v>0</v>
      </c>
      <c r="G150" s="680"/>
      <c r="H150" s="124"/>
      <c r="I150" s="124" t="s">
        <v>722</v>
      </c>
      <c r="J150" s="680"/>
      <c r="K150" s="124" t="s">
        <v>722</v>
      </c>
      <c r="L150" s="968" t="s">
        <v>1720</v>
      </c>
      <c r="M150" s="75"/>
      <c r="N150" s="680"/>
      <c r="O150" s="680"/>
      <c r="P150" s="680"/>
      <c r="Q150" s="680"/>
      <c r="R150" s="680"/>
      <c r="S150" s="680"/>
      <c r="T150" s="439" cm="1" t="str">
        <f t="array" ref="T150:T150">T149</f>
        <v>false</v>
      </c>
      <c r="U150" s="680"/>
      <c r="V150" s="680"/>
      <c r="W150" s="680"/>
      <c r="X150" s="1482"/>
      <c r="Y150" s="680"/>
      <c r="Z150" s="1465"/>
      <c r="AA150" s="680"/>
      <c r="AB150" s="178" cm="1" t="str">
        <f t="array" ref="AB150:AB150">D150</f>
        <v>9</v>
      </c>
      <c r="AC150" s="179" t="s">
        <v>1722</v>
      </c>
      <c r="AD150" s="201" t="s">
        <v>784</v>
      </c>
      <c r="AE150" s="180">
        <f>AE28+AE78+AE114+AE115+AE117+AE122+AE123+AE126</f>
        <v>0</v>
      </c>
      <c r="AF150" s="180">
        <f>AF28+AF78+AF114+AF115+AF117+AF122+AF123+AF126</f>
        <v>0</v>
      </c>
      <c r="AG150" s="180">
        <f>AG28+AG78+AG114+AG115+AG117+AG122+AG123+AG126</f>
        <v>0</v>
      </c>
      <c r="AH150" s="742">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42">
        <f>IF(AI150=0,0,(AT150-AI150)/AI150*100)</f>
        <v>0</v>
      </c>
      <c r="BE150" s="742">
        <f>IF(AT150=0,0,(AU150-AT150)/AT150*100)</f>
        <v>0</v>
      </c>
      <c r="BF150" s="742">
        <f>IF(AU150=0,0,(AV150-AU150)/AU150*100)</f>
        <v>0</v>
      </c>
      <c r="BG150" s="742">
        <f>IF(AV150=0,0,(AW150-AV150)/AV150*100)</f>
        <v>0</v>
      </c>
      <c r="BH150" s="742">
        <f>IF(AW150=0,0,(AX150-AW150)/AW150*100)</f>
        <v>0</v>
      </c>
      <c r="BI150" s="742">
        <f>IF(AX150=0,0,(AY150-AX150)/AX150*100)</f>
        <v>0</v>
      </c>
      <c r="BJ150" s="742">
        <f>IF(AY150=0,0,(AZ150-AY150)/AY150*100)</f>
        <v>0</v>
      </c>
      <c r="BK150" s="742">
        <f>IF(AZ150=0,0,(BA150-AZ150)/AZ150*100)</f>
        <v>0</v>
      </c>
      <c r="BL150" s="742">
        <f>IF(BA150=0,0,(BB150-BA150)/BA150*100)</f>
        <v>0</v>
      </c>
      <c r="BM150" s="742">
        <f>IF(BB150=0,0,(BC150-BB150)/BB150*100)</f>
        <v>0</v>
      </c>
      <c r="BN150" s="1283"/>
      <c r="BO150" s="1283"/>
      <c r="BP150" s="1283"/>
      <c r="BQ150" s="680"/>
      <c r="BR150" s="680"/>
      <c r="BS150" s="1054" t="s">
        <v>1723</v>
      </c>
      <c r="BT150" s="1054"/>
      <c r="BU150" s="1054"/>
      <c r="BV150" s="687"/>
      <c r="BW150" s="687"/>
    </row>
    <row s="680" customFormat="1" customHeight="1" ht="20.475" hidden="1">
      <c r="A151" s="680"/>
      <c r="B151" s="408"/>
      <c r="C151" s="680"/>
      <c r="D151" s="75">
        <f>D150+1</f>
        <v>10</v>
      </c>
      <c r="E151" s="687">
        <v>21</v>
      </c>
      <c r="F151" s="50" cm="1" t="str">
        <f t="array" ref="F151:F151">OFFSET(E151,-1,1)</f>
        <v>0</v>
      </c>
      <c r="G151" s="680"/>
      <c r="H151" s="124"/>
      <c r="I151" s="124" t="s">
        <v>1732</v>
      </c>
      <c r="J151" s="680"/>
      <c r="K151" s="124" t="s">
        <v>1732</v>
      </c>
      <c r="L151" s="968"/>
      <c r="M151" s="75"/>
      <c r="N151" s="680"/>
      <c r="O151" s="680"/>
      <c r="P151" s="680"/>
      <c r="Q151" s="680"/>
      <c r="R151" s="680"/>
      <c r="S151" s="680"/>
      <c r="T151" s="439" cm="1" t="str">
        <f t="array" ref="T151:T151">T150</f>
        <v>false</v>
      </c>
      <c r="U151" s="680"/>
      <c r="V151" s="680"/>
      <c r="W151" s="680"/>
      <c r="X151" s="1482"/>
      <c r="Y151" s="680"/>
      <c r="Z151" s="1465"/>
      <c r="AA151" s="680"/>
      <c r="AB151" s="178" cm="1" t="str">
        <f t="array" ref="AB151:AB151">D151</f>
        <v>10</v>
      </c>
      <c r="AC151" s="179" t="s">
        <v>2057</v>
      </c>
      <c r="AD151" s="178" t="s">
        <v>784</v>
      </c>
      <c r="AE151" s="180">
        <f>AE150+AE135+AE148</f>
        <v>0</v>
      </c>
      <c r="AF151" s="180">
        <f>AF150+AF135+AF148</f>
        <v>0</v>
      </c>
      <c r="AG151" s="180">
        <f>AG150+AG135+AG148</f>
        <v>0</v>
      </c>
      <c r="AH151" s="751">
        <f>AH150+AH135+AH148</f>
        <v>0</v>
      </c>
      <c r="AI151" s="751">
        <f>AI150+AI135+AI148</f>
        <v>0</v>
      </c>
      <c r="AJ151" s="751">
        <f>AJ150+AJ135+AJ148</f>
        <v>0</v>
      </c>
      <c r="AK151" s="751">
        <f>AK150+AK135+AK148</f>
        <v>0</v>
      </c>
      <c r="AL151" s="751">
        <f>AL150+AL135+AL148</f>
        <v>0</v>
      </c>
      <c r="AM151" s="751">
        <f>AM150+AM135+AM148</f>
        <v>0</v>
      </c>
      <c r="AN151" s="751">
        <f>AN150+AN135+AN148</f>
        <v>0</v>
      </c>
      <c r="AO151" s="751">
        <f>AO150+AO135+AO148</f>
        <v>0</v>
      </c>
      <c r="AP151" s="751">
        <f>AP150+AP135+AP148</f>
        <v>0</v>
      </c>
      <c r="AQ151" s="751">
        <f>AQ150+AQ135+AQ148</f>
        <v>0</v>
      </c>
      <c r="AR151" s="751">
        <f>AR150+AR135+AR148</f>
        <v>0</v>
      </c>
      <c r="AS151" s="751">
        <f>AS150+AS135+AS148</f>
        <v>0</v>
      </c>
      <c r="AT151" s="751">
        <f>AT150+AT135+AT148</f>
        <v>0</v>
      </c>
      <c r="AU151" s="751">
        <f>AU150+AU135+AU148</f>
        <v>0</v>
      </c>
      <c r="AV151" s="751">
        <f>AV150+AV135+AV148</f>
        <v>0</v>
      </c>
      <c r="AW151" s="751">
        <f>AW150+AW135+AW148</f>
        <v>0</v>
      </c>
      <c r="AX151" s="751">
        <f>AX150+AX135+AX148</f>
        <v>0</v>
      </c>
      <c r="AY151" s="751">
        <f>AY150+AY135+AY148</f>
        <v>0</v>
      </c>
      <c r="AZ151" s="751">
        <f>AZ150+AZ135+AZ148</f>
        <v>0</v>
      </c>
      <c r="BA151" s="751">
        <f>BA150+BA135+BA148</f>
        <v>0</v>
      </c>
      <c r="BB151" s="751">
        <f>BB150+BB135+BB148</f>
        <v>0</v>
      </c>
      <c r="BC151" s="751">
        <f>BC150+BC135+BC148</f>
        <v>0</v>
      </c>
      <c r="BD151" s="742">
        <f>IF(AI151=0,0,(AT151-AI151)/AI151*100)</f>
        <v>0</v>
      </c>
      <c r="BE151" s="742">
        <f>IF(AT151=0,0,(AU151-AT151)/AT151*100)</f>
        <v>0</v>
      </c>
      <c r="BF151" s="742">
        <f>IF(AU151=0,0,(AV151-AU151)/AU151*100)</f>
        <v>0</v>
      </c>
      <c r="BG151" s="742">
        <f>IF(AV151=0,0,(AW151-AV151)/AV151*100)</f>
        <v>0</v>
      </c>
      <c r="BH151" s="742">
        <f>IF(AW151=0,0,(AX151-AW151)/AW151*100)</f>
        <v>0</v>
      </c>
      <c r="BI151" s="742">
        <f>IF(AX151=0,0,(AY151-AX151)/AX151*100)</f>
        <v>0</v>
      </c>
      <c r="BJ151" s="742">
        <f>IF(AY151=0,0,(AZ151-AY151)/AY151*100)</f>
        <v>0</v>
      </c>
      <c r="BK151" s="742">
        <f>IF(AZ151=0,0,(BA151-AZ151)/AZ151*100)</f>
        <v>0</v>
      </c>
      <c r="BL151" s="742">
        <f>IF(BA151=0,0,(BB151-BA151)/BA151*100)</f>
        <v>0</v>
      </c>
      <c r="BM151" s="742">
        <f>IF(BB151=0,0,(BC151-BB151)/BB151*100)</f>
        <v>0</v>
      </c>
      <c r="BN151" s="1283"/>
      <c r="BO151" s="1283"/>
      <c r="BP151" s="1283"/>
      <c r="BQ151" s="680"/>
      <c r="BR151" s="680"/>
      <c r="BS151" s="1054" t="s">
        <v>2058</v>
      </c>
      <c r="BT151" s="1054"/>
      <c r="BU151" s="1054"/>
      <c r="BV151" s="687"/>
      <c r="BW151" s="687"/>
    </row>
    <row customHeight="1" ht="14.625" hidden="1">
      <c r="A152" s="960"/>
      <c r="B152" s="418">
        <f>A27="двухставочный"</f>
        <v>0</v>
      </c>
      <c r="C152" s="960"/>
      <c r="D152" s="73" cm="1" t="str">
        <f t="array" ref="D152:D152">D151</f>
        <v>10</v>
      </c>
      <c r="E152" s="683">
        <v>15</v>
      </c>
      <c r="F152" s="50" cm="1" t="str">
        <f t="array" ref="F152:F152">OFFSET(E152,-1,1)</f>
        <v>0</v>
      </c>
      <c r="G152" s="960"/>
      <c r="H152" s="49"/>
      <c r="I152" s="346" t="s">
        <v>1736</v>
      </c>
      <c r="J152" s="960"/>
      <c r="K152" s="346" t="s">
        <v>1736</v>
      </c>
      <c r="L152" s="963" t="s">
        <v>1724</v>
      </c>
      <c r="M152" s="73"/>
      <c r="N152" s="960"/>
      <c r="O152" s="960"/>
      <c r="P152" s="960"/>
      <c r="Q152" s="960"/>
      <c r="R152" s="960"/>
      <c r="S152" s="960"/>
      <c r="T152" s="439" cm="1" t="str">
        <f t="array" ref="T152:T152">T151</f>
        <v>false</v>
      </c>
      <c r="U152" s="960"/>
      <c r="V152" s="960"/>
      <c r="W152" s="960"/>
      <c r="X152" s="1482"/>
      <c r="Y152" s="960"/>
      <c r="Z152" s="1465"/>
      <c r="AA152" s="960"/>
      <c r="AB152" s="267" t="str">
        <f>D152&amp;".1"</f>
        <v>10.1</v>
      </c>
      <c r="AC152" s="763" t="s">
        <v>1726</v>
      </c>
      <c r="AD152" s="267" t="s">
        <v>784</v>
      </c>
      <c r="AE152" s="1282"/>
      <c r="AF152" s="1282"/>
      <c r="AG152" s="1282"/>
      <c r="AH152" s="926">
        <f>AG152-AF152</f>
        <v>0</v>
      </c>
      <c r="AI152" s="1280"/>
      <c r="AJ152" s="4765"/>
      <c r="AK152" s="1280"/>
      <c r="AL152" s="1280"/>
      <c r="AM152" s="1280"/>
      <c r="AN152" s="1280"/>
      <c r="AO152" s="1280"/>
      <c r="AP152" s="1280"/>
      <c r="AQ152" s="1280"/>
      <c r="AR152" s="1280"/>
      <c r="AS152" s="1280"/>
      <c r="AT152" s="4765"/>
      <c r="AU152" s="1280"/>
      <c r="AV152" s="1280"/>
      <c r="AW152" s="1280"/>
      <c r="AX152" s="1280"/>
      <c r="AY152" s="1280"/>
      <c r="AZ152" s="1280"/>
      <c r="BA152" s="1280"/>
      <c r="BB152" s="1280"/>
      <c r="BC152" s="1280"/>
      <c r="BD152" s="925"/>
      <c r="BE152" s="925"/>
      <c r="BF152" s="925"/>
      <c r="BG152" s="925"/>
      <c r="BH152" s="925"/>
      <c r="BI152" s="925"/>
      <c r="BJ152" s="925"/>
      <c r="BK152" s="925"/>
      <c r="BL152" s="925"/>
      <c r="BM152" s="925"/>
      <c r="BN152" s="1283"/>
      <c r="BO152" s="1283"/>
      <c r="BP152" s="1283"/>
      <c r="BQ152" s="960"/>
      <c r="BR152" s="960"/>
      <c r="BS152" s="1046" t="s">
        <v>1727</v>
      </c>
      <c r="BT152" s="1048"/>
      <c r="BU152" s="1048"/>
      <c r="BV152" s="962"/>
      <c r="BW152" s="962"/>
    </row>
    <row customHeight="1" ht="14.625" hidden="1">
      <c r="A153" s="960"/>
      <c r="B153" s="418">
        <f>A27="двухставочный"</f>
        <v>0</v>
      </c>
      <c r="C153" s="960"/>
      <c r="D153" s="73" cm="1" t="str">
        <f t="array" ref="D153:D153">D152</f>
        <v>10</v>
      </c>
      <c r="E153" s="683">
        <v>15</v>
      </c>
      <c r="F153" s="50" cm="1" t="str">
        <f t="array" ref="F153:F153">OFFSET(E153,-1,1)</f>
        <v>0</v>
      </c>
      <c r="G153" s="960"/>
      <c r="H153" s="49"/>
      <c r="I153" s="346" t="s">
        <v>1740</v>
      </c>
      <c r="J153" s="960"/>
      <c r="K153" s="346" t="s">
        <v>1740</v>
      </c>
      <c r="L153" s="963" t="s">
        <v>1728</v>
      </c>
      <c r="M153" s="73"/>
      <c r="N153" s="960"/>
      <c r="O153" s="960"/>
      <c r="P153" s="960"/>
      <c r="Q153" s="960"/>
      <c r="R153" s="960"/>
      <c r="S153" s="960"/>
      <c r="T153" s="439" cm="1" t="str">
        <f t="array" ref="T153:T153">T152</f>
        <v>false</v>
      </c>
      <c r="U153" s="960"/>
      <c r="V153" s="960"/>
      <c r="W153" s="960"/>
      <c r="X153" s="1482"/>
      <c r="Y153" s="960"/>
      <c r="Z153" s="1465"/>
      <c r="AA153" s="960"/>
      <c r="AB153" s="267" t="str">
        <f>D153&amp;".2"</f>
        <v>10.2</v>
      </c>
      <c r="AC153" s="763" t="s">
        <v>1730</v>
      </c>
      <c r="AD153" s="267" t="s">
        <v>784</v>
      </c>
      <c r="AE153" s="1282"/>
      <c r="AF153" s="1282"/>
      <c r="AG153" s="1282"/>
      <c r="AH153" s="926">
        <f>AG153-AF153</f>
        <v>0</v>
      </c>
      <c r="AI153" s="1280"/>
      <c r="AJ153" s="4765"/>
      <c r="AK153" s="1280"/>
      <c r="AL153" s="1280"/>
      <c r="AM153" s="1280"/>
      <c r="AN153" s="1280"/>
      <c r="AO153" s="1280"/>
      <c r="AP153" s="1280"/>
      <c r="AQ153" s="1280"/>
      <c r="AR153" s="1280"/>
      <c r="AS153" s="1280"/>
      <c r="AT153" s="4765"/>
      <c r="AU153" s="1280"/>
      <c r="AV153" s="1280"/>
      <c r="AW153" s="1280"/>
      <c r="AX153" s="1280"/>
      <c r="AY153" s="1280"/>
      <c r="AZ153" s="1280"/>
      <c r="BA153" s="1280"/>
      <c r="BB153" s="1280"/>
      <c r="BC153" s="1280"/>
      <c r="BD153" s="925"/>
      <c r="BE153" s="925"/>
      <c r="BF153" s="925"/>
      <c r="BG153" s="925"/>
      <c r="BH153" s="925"/>
      <c r="BI153" s="925"/>
      <c r="BJ153" s="925"/>
      <c r="BK153" s="925"/>
      <c r="BL153" s="925"/>
      <c r="BM153" s="925"/>
      <c r="BN153" s="1283"/>
      <c r="BO153" s="1283"/>
      <c r="BP153" s="1283"/>
      <c r="BQ153" s="960"/>
      <c r="BR153" s="960"/>
      <c r="BS153" s="1046" t="s">
        <v>1731</v>
      </c>
      <c r="BT153" s="1048"/>
      <c r="BU153" s="1048"/>
      <c r="BV153" s="962"/>
      <c r="BW153" s="962"/>
    </row>
    <row s="680" customFormat="1" customHeight="1" ht="20.475" hidden="1">
      <c r="A154" s="680"/>
      <c r="B154" s="408"/>
      <c r="C154" s="680"/>
      <c r="D154" s="75">
        <f>D153+1</f>
        <v>11</v>
      </c>
      <c r="E154" s="687">
        <v>21</v>
      </c>
      <c r="F154" s="50" cm="1" t="str">
        <f t="array" ref="F154:F154">OFFSET(E154,-1,1)</f>
        <v>0</v>
      </c>
      <c r="G154" s="124" t="s">
        <v>1503</v>
      </c>
      <c r="H154" s="124"/>
      <c r="I154" s="124" t="s">
        <v>1760</v>
      </c>
      <c r="J154" s="680"/>
      <c r="K154" s="124" t="s">
        <v>1760</v>
      </c>
      <c r="L154" s="968" t="s">
        <v>1732</v>
      </c>
      <c r="M154" s="75"/>
      <c r="N154" s="680"/>
      <c r="O154" s="680"/>
      <c r="P154" s="680"/>
      <c r="Q154" s="680"/>
      <c r="R154" s="680"/>
      <c r="S154" s="680"/>
      <c r="T154" s="439" cm="1" t="str">
        <f t="array" ref="T154:T154">T153</f>
        <v>false</v>
      </c>
      <c r="U154" s="680"/>
      <c r="V154" s="680"/>
      <c r="W154" s="680"/>
      <c r="X154" s="1482"/>
      <c r="Y154" s="680"/>
      <c r="Z154" s="1465"/>
      <c r="AA154" s="680"/>
      <c r="AB154" s="178" cm="1" t="str">
        <f t="array" ref="AB154:AB154">D154</f>
        <v>11</v>
      </c>
      <c r="AC154" s="179" t="s">
        <v>1734</v>
      </c>
      <c r="AD154" s="178" t="s">
        <v>512</v>
      </c>
      <c r="AE154" s="766">
        <f>_xlfn.SUMIFS(Баланс!AE$26:AE$300,Баланс!$F$26:$F$300,$F154,Баланс!$G$26:$G$300,"ПО")</f>
        <v>0</v>
      </c>
      <c r="AF154" s="766">
        <f>_xlfn.SUMIFS(Баланс!AF$26:AF$300,Баланс!$F$26:$F$300,$F154,Баланс!$G$26:$G$300,"ПО")</f>
        <v>0</v>
      </c>
      <c r="AG154" s="766">
        <f>_xlfn.SUMIFS(Баланс!AG$26:AG$300,Баланс!$F$26:$F$300,$F154,Баланс!$G$26:$G$300,"ПО")</f>
        <v>0</v>
      </c>
      <c r="AH154" s="767">
        <f>AG154-AF154</f>
        <v>0</v>
      </c>
      <c r="AI154" s="767">
        <f>_xlfn.SUMIFS(Баланс!AH$26:AH$300,Баланс!$F$26:$F$300,$F154,Баланс!$G$26:$G$300,"ПО")</f>
        <v>0</v>
      </c>
      <c r="AJ154" s="767">
        <f>_xlfn.SUMIFS(Баланс!AI$26:AI$300,Баланс!$F$26:$F$300,$F154,Баланс!$G$26:$G$300,"ПО")</f>
        <v>0</v>
      </c>
      <c r="AK154" s="767">
        <f>_xlfn.SUMIFS(Баланс!AJ$26:AJ$300,Баланс!$F$26:$F$300,$F154,Баланс!$G$26:$G$300,"ПО")</f>
        <v>0</v>
      </c>
      <c r="AL154" s="767">
        <f>_xlfn.SUMIFS(Баланс!AK$26:AK$300,Баланс!$F$26:$F$300,$F154,Баланс!$G$26:$G$300,"ПО")</f>
        <v>0</v>
      </c>
      <c r="AM154" s="767">
        <f>_xlfn.SUMIFS(Баланс!AL$26:AL$300,Баланс!$F$26:$F$300,$F154,Баланс!$G$26:$G$300,"ПО")</f>
        <v>0</v>
      </c>
      <c r="AN154" s="767">
        <f>_xlfn.SUMIFS(Баланс!AM$26:AM$300,Баланс!$F$26:$F$300,$F154,Баланс!$G$26:$G$300,"ПО")</f>
        <v>0</v>
      </c>
      <c r="AO154" s="767">
        <f>_xlfn.SUMIFS(Баланс!AN$26:AN$300,Баланс!$F$26:$F$300,$F154,Баланс!$G$26:$G$300,"ПО")</f>
        <v>0</v>
      </c>
      <c r="AP154" s="767">
        <f>_xlfn.SUMIFS(Баланс!AO$26:AO$300,Баланс!$F$26:$F$300,$F154,Баланс!$G$26:$G$300,"ПО")</f>
        <v>0</v>
      </c>
      <c r="AQ154" s="767">
        <f>_xlfn.SUMIFS(Баланс!AP$26:AP$300,Баланс!$F$26:$F$300,$F154,Баланс!$G$26:$G$300,"ПО")</f>
        <v>0</v>
      </c>
      <c r="AR154" s="767">
        <f>_xlfn.SUMIFS(Баланс!AQ$26:AQ$300,Баланс!$F$26:$F$300,$F154,Баланс!$G$26:$G$300,"ПО")</f>
        <v>0</v>
      </c>
      <c r="AS154" s="767">
        <f>_xlfn.SUMIFS(Баланс!AR$26:AR$300,Баланс!$F$26:$F$300,$F154,Баланс!$G$26:$G$300,"ПО")</f>
        <v>0</v>
      </c>
      <c r="AT154" s="767">
        <f>_xlfn.SUMIFS(Баланс!AS$26:AS$300,Баланс!$F$26:$F$300,$F154,Баланс!$G$26:$G$300,"ПО")</f>
        <v>0</v>
      </c>
      <c r="AU154" s="767">
        <f>_xlfn.SUMIFS(Баланс!AT$26:AT$300,Баланс!$F$26:$F$300,$F154,Баланс!$G$26:$G$300,"ПО")</f>
        <v>0</v>
      </c>
      <c r="AV154" s="767">
        <f>_xlfn.SUMIFS(Баланс!AU$26:AU$300,Баланс!$F$26:$F$300,$F154,Баланс!$G$26:$G$300,"ПО")</f>
        <v>0</v>
      </c>
      <c r="AW154" s="767">
        <f>_xlfn.SUMIFS(Баланс!AV$26:AV$300,Баланс!$F$26:$F$300,$F154,Баланс!$G$26:$G$300,"ПО")</f>
        <v>0</v>
      </c>
      <c r="AX154" s="767">
        <f>_xlfn.SUMIFS(Баланс!AW$26:AW$300,Баланс!$F$26:$F$300,$F154,Баланс!$G$26:$G$300,"ПО")</f>
        <v>0</v>
      </c>
      <c r="AY154" s="767">
        <f>_xlfn.SUMIFS(Баланс!AX$26:AX$300,Баланс!$F$26:$F$300,$F154,Баланс!$G$26:$G$300,"ПО")</f>
        <v>0</v>
      </c>
      <c r="AZ154" s="767">
        <f>_xlfn.SUMIFS(Баланс!AY$26:AY$300,Баланс!$F$26:$F$300,$F154,Баланс!$G$26:$G$300,"ПО")</f>
        <v>0</v>
      </c>
      <c r="BA154" s="767">
        <f>_xlfn.SUMIFS(Баланс!AZ$26:AZ$300,Баланс!$F$26:$F$300,$F154,Баланс!$G$26:$G$300,"ПО")</f>
        <v>0</v>
      </c>
      <c r="BB154" s="767">
        <f>_xlfn.SUMIFS(Баланс!BA$26:BA$300,Баланс!$F$26:$F$300,$F154,Баланс!$G$26:$G$300,"ПО")</f>
        <v>0</v>
      </c>
      <c r="BC154" s="767">
        <f>_xlfn.SUMIFS(Баланс!BB$26:BB$300,Баланс!$F$26:$F$300,$F154,Баланс!$G$26:$G$300,"ПО")</f>
        <v>0</v>
      </c>
      <c r="BD154" s="745"/>
      <c r="BE154" s="745"/>
      <c r="BF154" s="745"/>
      <c r="BG154" s="745"/>
      <c r="BH154" s="745"/>
      <c r="BI154" s="745"/>
      <c r="BJ154" s="745"/>
      <c r="BK154" s="745"/>
      <c r="BL154" s="745"/>
      <c r="BM154" s="745"/>
      <c r="BN154" s="1283"/>
      <c r="BO154" s="1283"/>
      <c r="BP154" s="1283"/>
      <c r="BQ154" s="680"/>
      <c r="BR154" s="680"/>
      <c r="BS154" s="1047" t="s">
        <v>1735</v>
      </c>
      <c r="BT154" s="1054"/>
      <c r="BU154" s="1054"/>
      <c r="BV154" s="687"/>
      <c r="BW154" s="687"/>
    </row>
    <row customHeight="1" ht="14.625" hidden="1">
      <c r="A155" s="960"/>
      <c r="B155" s="961"/>
      <c r="C155" s="960"/>
      <c r="D155" s="73" cm="1" t="str">
        <f t="array" ref="D155:D155">D154</f>
        <v>11</v>
      </c>
      <c r="E155" s="683">
        <v>15</v>
      </c>
      <c r="F155" s="50" cm="1" t="str">
        <f t="array" ref="F155:F155">OFFSET(E155,-1,1)</f>
        <v>0</v>
      </c>
      <c r="G155" s="124" t="s">
        <v>1530</v>
      </c>
      <c r="H155" s="960"/>
      <c r="I155" s="124" t="s">
        <v>2059</v>
      </c>
      <c r="J155" s="960"/>
      <c r="K155" s="124" t="s">
        <v>2059</v>
      </c>
      <c r="L155" s="963" t="s">
        <v>1736</v>
      </c>
      <c r="M155" s="73"/>
      <c r="N155" s="960"/>
      <c r="O155" s="960"/>
      <c r="P155" s="960"/>
      <c r="Q155" s="960"/>
      <c r="R155" s="960"/>
      <c r="S155" s="960"/>
      <c r="T155" s="439" cm="1" t="str">
        <f t="array" ref="T155:T155">T154</f>
        <v>false</v>
      </c>
      <c r="U155" s="960"/>
      <c r="V155" s="960"/>
      <c r="W155" s="960"/>
      <c r="X155" s="1482"/>
      <c r="Y155" s="960"/>
      <c r="Z155" s="1465"/>
      <c r="AA155" s="960"/>
      <c r="AB155" s="267" t="str">
        <f>D155&amp;".1"</f>
        <v>11.1</v>
      </c>
      <c r="AC155" s="1096" t="s">
        <v>1738</v>
      </c>
      <c r="AD155" s="267" t="s">
        <v>512</v>
      </c>
      <c r="AE155" s="1287">
        <f>AE154/2</f>
        <v>0</v>
      </c>
      <c r="AF155" s="1287">
        <f>AF154/2</f>
        <v>0</v>
      </c>
      <c r="AG155" s="1287">
        <f>AG154/2</f>
        <v>0</v>
      </c>
      <c r="AH155" s="924">
        <f>AG155-AF155</f>
        <v>0</v>
      </c>
      <c r="AI155" s="1288">
        <f>AI154/2</f>
        <v>0</v>
      </c>
      <c r="AJ155" s="4776">
        <f>IF(god=2026,AJ154/12*9,AJ154/2)</f>
        <v>0</v>
      </c>
      <c r="AK155" s="1287">
        <f>IF(god=2025,AK154/12*9,AK154/2)</f>
        <v>0</v>
      </c>
      <c r="AL155" s="1288">
        <f>AL154/2</f>
        <v>0</v>
      </c>
      <c r="AM155" s="1288">
        <f>AM154/2</f>
        <v>0</v>
      </c>
      <c r="AN155" s="1288">
        <f>AN154/2</f>
        <v>0</v>
      </c>
      <c r="AO155" s="1288">
        <f>AO154/2</f>
        <v>0</v>
      </c>
      <c r="AP155" s="1288">
        <f>AP154/2</f>
        <v>0</v>
      </c>
      <c r="AQ155" s="1288">
        <f>AQ154/2</f>
        <v>0</v>
      </c>
      <c r="AR155" s="1288">
        <f>AR154/2</f>
        <v>0</v>
      </c>
      <c r="AS155" s="1288">
        <f>AS154/2</f>
        <v>0</v>
      </c>
      <c r="AT155" s="4611">
        <f>AT154/2</f>
        <v>0</v>
      </c>
      <c r="AU155" s="1288">
        <f>AU154/2</f>
        <v>0</v>
      </c>
      <c r="AV155" s="1288">
        <f>AV154/2</f>
        <v>0</v>
      </c>
      <c r="AW155" s="1288">
        <f>AW154/2</f>
        <v>0</v>
      </c>
      <c r="AX155" s="1288">
        <f>AX154/2</f>
        <v>0</v>
      </c>
      <c r="AY155" s="1288">
        <f>AY154/2</f>
        <v>0</v>
      </c>
      <c r="AZ155" s="1288">
        <f>AZ154/2</f>
        <v>0</v>
      </c>
      <c r="BA155" s="1288">
        <f>BA154/2</f>
        <v>0</v>
      </c>
      <c r="BB155" s="1288">
        <f>BB154/2</f>
        <v>0</v>
      </c>
      <c r="BC155" s="1288">
        <f>BC154/2</f>
        <v>0</v>
      </c>
      <c r="BD155" s="925"/>
      <c r="BE155" s="925"/>
      <c r="BF155" s="925"/>
      <c r="BG155" s="925"/>
      <c r="BH155" s="925"/>
      <c r="BI155" s="925"/>
      <c r="BJ155" s="925"/>
      <c r="BK155" s="925"/>
      <c r="BL155" s="925"/>
      <c r="BM155" s="925"/>
      <c r="BN155" s="1283"/>
      <c r="BO155" s="1283"/>
      <c r="BP155" s="1283"/>
      <c r="BQ155" s="960"/>
      <c r="BR155" s="960"/>
      <c r="BS155" s="1046" t="s">
        <v>1739</v>
      </c>
      <c r="BT155" s="1048"/>
      <c r="BU155" s="1048"/>
      <c r="BV155" s="962"/>
      <c r="BW155" s="962"/>
    </row>
    <row customHeight="1" ht="14.625" hidden="1">
      <c r="A156" s="960"/>
      <c r="B156" s="961"/>
      <c r="C156" s="960"/>
      <c r="D156" s="73" cm="1" t="str">
        <f t="array" ref="D156:D156">D155</f>
        <v>11</v>
      </c>
      <c r="E156" s="683">
        <v>15</v>
      </c>
      <c r="F156" s="50" cm="1" t="str">
        <f t="array" ref="F156:F156">OFFSET(E156,-1,1)</f>
        <v>0</v>
      </c>
      <c r="G156" s="124" t="s">
        <v>1491</v>
      </c>
      <c r="H156" s="960"/>
      <c r="I156" s="124" t="s">
        <v>2060</v>
      </c>
      <c r="J156" s="960"/>
      <c r="K156" s="124" t="s">
        <v>2060</v>
      </c>
      <c r="L156" s="963" t="s">
        <v>1740</v>
      </c>
      <c r="M156" s="73"/>
      <c r="N156" s="960"/>
      <c r="O156" s="960"/>
      <c r="P156" s="960"/>
      <c r="Q156" s="960"/>
      <c r="R156" s="960"/>
      <c r="S156" s="960"/>
      <c r="T156" s="439" cm="1" t="str">
        <f t="array" ref="T156:T156">T155</f>
        <v>false</v>
      </c>
      <c r="U156" s="960"/>
      <c r="V156" s="960"/>
      <c r="W156" s="960"/>
      <c r="X156" s="1482"/>
      <c r="Y156" s="960"/>
      <c r="Z156" s="1465"/>
      <c r="AA156" s="960"/>
      <c r="AB156" s="267" t="str">
        <f>D156&amp;".2"</f>
        <v>11.2</v>
      </c>
      <c r="AC156" s="1096" t="s">
        <v>1742</v>
      </c>
      <c r="AD156" s="267" t="s">
        <v>1494</v>
      </c>
      <c r="AE156" s="1282"/>
      <c r="AF156" s="1282"/>
      <c r="AG156" s="1282"/>
      <c r="AH156" s="926">
        <f>AG156-AF156</f>
        <v>0</v>
      </c>
      <c r="AI156" s="1289"/>
      <c r="AJ156" s="4614"/>
      <c r="AK156" s="1289"/>
      <c r="AL156" s="1289"/>
      <c r="AM156" s="1289"/>
      <c r="AN156" s="1289"/>
      <c r="AO156" s="1289"/>
      <c r="AP156" s="1289"/>
      <c r="AQ156" s="1289"/>
      <c r="AR156" s="1289"/>
      <c r="AS156" s="1289"/>
      <c r="AT156" s="4614"/>
      <c r="AU156" s="1289" cm="1" t="str">
        <f t="array" ref="AU156:AU156">AT158</f>
        <v>0</v>
      </c>
      <c r="AV156" s="1289" cm="1" t="str">
        <f t="array" ref="AV156:AV156">AU158</f>
        <v>0</v>
      </c>
      <c r="AW156" s="1289" cm="1" t="str">
        <f t="array" ref="AW156:AW156">AV158</f>
        <v>0</v>
      </c>
      <c r="AX156" s="1289" cm="1" t="str">
        <f t="array" ref="AX156:AX156">AW158</f>
        <v>0</v>
      </c>
      <c r="AY156" s="1289" cm="1" t="str">
        <f t="array" ref="AY156:AY156">AX158</f>
        <v>0</v>
      </c>
      <c r="AZ156" s="1289" cm="1" t="str">
        <f t="array" ref="AZ156:AZ156">AY158</f>
        <v>0</v>
      </c>
      <c r="BA156" s="1289" cm="1" t="str">
        <f t="array" ref="BA156:BA156">AZ158</f>
        <v>0</v>
      </c>
      <c r="BB156" s="1289" cm="1" t="str">
        <f t="array" ref="BB156:BB156">BA158</f>
        <v>0</v>
      </c>
      <c r="BC156" s="1289" cm="1" t="str">
        <f t="array" ref="BC156:BC156">BB158</f>
        <v>0</v>
      </c>
      <c r="BD156" s="925"/>
      <c r="BE156" s="925"/>
      <c r="BF156" s="925"/>
      <c r="BG156" s="925"/>
      <c r="BH156" s="925"/>
      <c r="BI156" s="925"/>
      <c r="BJ156" s="925"/>
      <c r="BK156" s="925"/>
      <c r="BL156" s="925"/>
      <c r="BM156" s="925"/>
      <c r="BN156" s="1283"/>
      <c r="BO156" s="1283"/>
      <c r="BP156" s="1283"/>
      <c r="BQ156" s="960"/>
      <c r="BR156" s="960"/>
      <c r="BS156" s="1046" t="s">
        <v>1743</v>
      </c>
      <c r="BT156" s="1048"/>
      <c r="BU156" s="1048"/>
      <c r="BV156" s="962"/>
      <c r="BW156" s="962"/>
    </row>
    <row customHeight="1" ht="14.625" hidden="1">
      <c r="A157" s="960"/>
      <c r="B157" s="961"/>
      <c r="C157" s="960"/>
      <c r="D157" s="73" cm="1" t="str">
        <f t="array" ref="D157:D157">D156</f>
        <v>11</v>
      </c>
      <c r="E157" s="683">
        <v>15</v>
      </c>
      <c r="F157" s="50" cm="1" t="str">
        <f t="array" ref="F157:F157">OFFSET(E157,-1,1)</f>
        <v>0</v>
      </c>
      <c r="G157" s="124" t="s">
        <v>1543</v>
      </c>
      <c r="H157" s="960"/>
      <c r="I157" s="124" t="s">
        <v>2061</v>
      </c>
      <c r="J157" s="960"/>
      <c r="K157" s="124" t="s">
        <v>2061</v>
      </c>
      <c r="L157" s="963" t="s">
        <v>1744</v>
      </c>
      <c r="M157" s="73"/>
      <c r="N157" s="960"/>
      <c r="O157" s="960"/>
      <c r="P157" s="960"/>
      <c r="Q157" s="960"/>
      <c r="R157" s="960"/>
      <c r="S157" s="960"/>
      <c r="T157" s="439" cm="1" t="str">
        <f t="array" ref="T157:T157">T156</f>
        <v>false</v>
      </c>
      <c r="U157" s="960"/>
      <c r="V157" s="960"/>
      <c r="W157" s="960"/>
      <c r="X157" s="1482"/>
      <c r="Y157" s="960"/>
      <c r="Z157" s="1465"/>
      <c r="AA157" s="960"/>
      <c r="AB157" s="267" t="str">
        <f>D157&amp;".3"</f>
        <v>11.3</v>
      </c>
      <c r="AC157" s="1096" t="s">
        <v>2062</v>
      </c>
      <c r="AD157" s="267" t="s">
        <v>512</v>
      </c>
      <c r="AE157" s="929">
        <f>AE154-AE155</f>
        <v>0</v>
      </c>
      <c r="AF157" s="929">
        <f>AF154-AF155</f>
        <v>0</v>
      </c>
      <c r="AG157" s="929">
        <f>AG154-AG155</f>
        <v>0</v>
      </c>
      <c r="AH157" s="924">
        <f>AG157-AF157</f>
        <v>0</v>
      </c>
      <c r="AI157" s="806">
        <f>AI154-AI155</f>
        <v>0</v>
      </c>
      <c r="AJ157" s="806">
        <f>AJ154-AJ155</f>
        <v>0</v>
      </c>
      <c r="AK157" s="806">
        <f>AK154-AK155</f>
        <v>0</v>
      </c>
      <c r="AL157" s="806">
        <f>AL154-AL155</f>
        <v>0</v>
      </c>
      <c r="AM157" s="806">
        <f>AM154-AM155</f>
        <v>0</v>
      </c>
      <c r="AN157" s="806">
        <f>AN154-AN155</f>
        <v>0</v>
      </c>
      <c r="AO157" s="806">
        <f>AO154-AO155</f>
        <v>0</v>
      </c>
      <c r="AP157" s="806">
        <f>AP154-AP155</f>
        <v>0</v>
      </c>
      <c r="AQ157" s="806">
        <f>AQ154-AQ155</f>
        <v>0</v>
      </c>
      <c r="AR157" s="806">
        <f>AR154-AR155</f>
        <v>0</v>
      </c>
      <c r="AS157" s="806">
        <f>AS154-AS155</f>
        <v>0</v>
      </c>
      <c r="AT157" s="806">
        <f>AT154-AT155</f>
        <v>0</v>
      </c>
      <c r="AU157" s="806">
        <f>AU154-AU155</f>
        <v>0</v>
      </c>
      <c r="AV157" s="806">
        <f>AV154-AV155</f>
        <v>0</v>
      </c>
      <c r="AW157" s="806">
        <f>AW154-AW155</f>
        <v>0</v>
      </c>
      <c r="AX157" s="806">
        <f>AX154-AX155</f>
        <v>0</v>
      </c>
      <c r="AY157" s="806">
        <f>AY154-AY155</f>
        <v>0</v>
      </c>
      <c r="AZ157" s="806">
        <f>AZ154-AZ155</f>
        <v>0</v>
      </c>
      <c r="BA157" s="806">
        <f>BA154-BA155</f>
        <v>0</v>
      </c>
      <c r="BB157" s="806">
        <f>BB154-BB155</f>
        <v>0</v>
      </c>
      <c r="BC157" s="806">
        <f>BC154-BC155</f>
        <v>0</v>
      </c>
      <c r="BD157" s="925"/>
      <c r="BE157" s="925"/>
      <c r="BF157" s="925"/>
      <c r="BG157" s="925"/>
      <c r="BH157" s="925"/>
      <c r="BI157" s="925"/>
      <c r="BJ157" s="925"/>
      <c r="BK157" s="925"/>
      <c r="BL157" s="925"/>
      <c r="BM157" s="925"/>
      <c r="BN157" s="1283"/>
      <c r="BO157" s="1283"/>
      <c r="BP157" s="1283"/>
      <c r="BQ157" s="960"/>
      <c r="BR157" s="960"/>
      <c r="BS157" s="1046" t="s">
        <v>1747</v>
      </c>
      <c r="BT157" s="1048"/>
      <c r="BU157" s="1048"/>
      <c r="BV157" s="962"/>
      <c r="BW157" s="962"/>
    </row>
    <row customHeight="1" ht="14.625" hidden="1">
      <c r="A158" s="960"/>
      <c r="B158" s="961"/>
      <c r="C158" s="960"/>
      <c r="D158" s="73" cm="1" t="str">
        <f t="array" ref="D158:D158">D157</f>
        <v>11</v>
      </c>
      <c r="E158" s="683">
        <v>15</v>
      </c>
      <c r="F158" s="50" cm="1" t="str">
        <f t="array" ref="F158:F158">OFFSET(E158,-1,1)</f>
        <v>0</v>
      </c>
      <c r="G158" s="124" t="s">
        <v>1496</v>
      </c>
      <c r="H158" s="960"/>
      <c r="I158" s="124" t="s">
        <v>2063</v>
      </c>
      <c r="J158" s="960"/>
      <c r="K158" s="124" t="s">
        <v>2063</v>
      </c>
      <c r="L158" s="963" t="s">
        <v>1748</v>
      </c>
      <c r="M158" s="73"/>
      <c r="N158" s="960"/>
      <c r="O158" s="960"/>
      <c r="P158" s="960"/>
      <c r="Q158" s="960"/>
      <c r="R158" s="960"/>
      <c r="S158" s="960"/>
      <c r="T158" s="439" cm="1" t="str">
        <f t="array" ref="T158:T158">T157</f>
        <v>false</v>
      </c>
      <c r="U158" s="960"/>
      <c r="V158" s="960"/>
      <c r="W158" s="960"/>
      <c r="X158" s="1482"/>
      <c r="Y158" s="960"/>
      <c r="Z158" s="1465"/>
      <c r="AA158" s="960"/>
      <c r="AB158" s="267" t="str">
        <f>D158&amp;".4"</f>
        <v>11.4</v>
      </c>
      <c r="AC158" s="1096" t="s">
        <v>1750</v>
      </c>
      <c r="AD158" s="267" t="s">
        <v>1494</v>
      </c>
      <c r="AE158" s="1282">
        <f>IF(AE157=0,0,(AE151-AE155*AE156)/AE157)</f>
        <v>0</v>
      </c>
      <c r="AF158" s="1282">
        <f>IF(AF157=0,0,(AF151-AF155*AF156)/AF157)</f>
        <v>0</v>
      </c>
      <c r="AG158" s="1282">
        <f>IF(AG157=0,0,(AG151-AG155*AG156)/AG157)</f>
        <v>0</v>
      </c>
      <c r="AH158" s="926">
        <f>AG158-AF158</f>
        <v>0</v>
      </c>
      <c r="AI158" s="1289">
        <f>IF(AI157=0,0,(AI151-AI155*AI156)/AI157)</f>
        <v>0</v>
      </c>
      <c r="AJ158" s="4614">
        <f>IF(AJ157=0,0,(AJ151-AJ155*AJ156)/AJ157)</f>
        <v>0</v>
      </c>
      <c r="AK158" s="1289">
        <f>IF(AK157=0,0,(AK151-AK155*AK156)/AK157)</f>
        <v>0</v>
      </c>
      <c r="AL158" s="1289">
        <f>IF(AL157=0,0,(AL151-AL155*AL156)/AL157)</f>
        <v>0</v>
      </c>
      <c r="AM158" s="1289">
        <f>IF(AM157=0,0,(AM151-AM155*AM156)/AM157)</f>
        <v>0</v>
      </c>
      <c r="AN158" s="1289">
        <f>IF(AN157=0,0,(AN151-AN155*AN156)/AN157)</f>
        <v>0</v>
      </c>
      <c r="AO158" s="1289">
        <f>IF(AO157=0,0,(AO151-AO155*AO156)/AO157)</f>
        <v>0</v>
      </c>
      <c r="AP158" s="1289">
        <f>IF(AP157=0,0,(AP151-AP155*AP156)/AP157)</f>
        <v>0</v>
      </c>
      <c r="AQ158" s="1289">
        <f>IF(AQ157=0,0,(AQ151-AQ155*AQ156)/AQ157)</f>
        <v>0</v>
      </c>
      <c r="AR158" s="1289">
        <f>IF(AR157=0,0,(AR151-AR155*AR156)/AR157)</f>
        <v>0</v>
      </c>
      <c r="AS158" s="1289">
        <f>IF(AS157=0,0,(AS151-AS155*AS156)/AS157)</f>
        <v>0</v>
      </c>
      <c r="AT158" s="4614">
        <f>IF(AT157=0,0,(AT151-AT155*AT156)/AT157)</f>
        <v>0</v>
      </c>
      <c r="AU158" s="1289">
        <f>IF(AU157=0,0,(AU151-AU155*AU156)/AU157)</f>
        <v>0</v>
      </c>
      <c r="AV158" s="1289">
        <f>IF(AV157=0,0,(AV151-AV155*AV156)/AV157)</f>
        <v>0</v>
      </c>
      <c r="AW158" s="1289">
        <f>IF(AW157=0,0,(AW151-AW155*AW156)/AW157)</f>
        <v>0</v>
      </c>
      <c r="AX158" s="1289">
        <f>IF(AX157=0,0,(AX151-AX155*AX156)/AX157)</f>
        <v>0</v>
      </c>
      <c r="AY158" s="1289">
        <f>IF(AY157=0,0,(AY151-AY155*AY156)/AY157)</f>
        <v>0</v>
      </c>
      <c r="AZ158" s="1289">
        <f>IF(AZ157=0,0,(AZ151-AZ155*AZ156)/AZ157)</f>
        <v>0</v>
      </c>
      <c r="BA158" s="1289">
        <f>IF(BA157=0,0,(BA151-BA155*BA156)/BA157)</f>
        <v>0</v>
      </c>
      <c r="BB158" s="1289">
        <f>IF(BB157=0,0,(BB151-BB155*BB156)/BB157)</f>
        <v>0</v>
      </c>
      <c r="BC158" s="1289">
        <f>IF(BC157=0,0,(BC151-BC155*BC156)/BC157)</f>
        <v>0</v>
      </c>
      <c r="BD158" s="925"/>
      <c r="BE158" s="925"/>
      <c r="BF158" s="925"/>
      <c r="BG158" s="925"/>
      <c r="BH158" s="925"/>
      <c r="BI158" s="925"/>
      <c r="BJ158" s="925"/>
      <c r="BK158" s="925"/>
      <c r="BL158" s="925"/>
      <c r="BM158" s="925"/>
      <c r="BN158" s="1283"/>
      <c r="BO158" s="1283"/>
      <c r="BP158" s="1283"/>
      <c r="BQ158" s="960"/>
      <c r="BR158" s="960"/>
      <c r="BS158" s="1046" t="s">
        <v>1751</v>
      </c>
      <c r="BT158" s="1048"/>
      <c r="BU158" s="1048"/>
      <c r="BV158" s="962"/>
      <c r="BW158" s="962"/>
    </row>
    <row customHeight="1" ht="14.625" hidden="1">
      <c r="A159" s="960"/>
      <c r="B159" s="961"/>
      <c r="C159" s="960"/>
      <c r="D159" s="73" cm="1" t="str">
        <f t="array" ref="D159:D159">D158</f>
        <v>11</v>
      </c>
      <c r="E159" s="683">
        <v>15</v>
      </c>
      <c r="F159" s="50" cm="1" t="str">
        <f t="array" ref="F159:F159">OFFSET(E159,-1,1)</f>
        <v>0</v>
      </c>
      <c r="G159" s="960"/>
      <c r="H159" s="960"/>
      <c r="I159" s="124" t="s">
        <v>2064</v>
      </c>
      <c r="J159" s="960"/>
      <c r="K159" s="124" t="s">
        <v>2064</v>
      </c>
      <c r="L159" s="963" t="s">
        <v>1752</v>
      </c>
      <c r="M159" s="73"/>
      <c r="N159" s="960"/>
      <c r="O159" s="960"/>
      <c r="P159" s="960"/>
      <c r="Q159" s="960"/>
      <c r="R159" s="960"/>
      <c r="S159" s="960"/>
      <c r="T159" s="439" cm="1" t="str">
        <f t="array" ref="T159:T159">T158</f>
        <v>false</v>
      </c>
      <c r="U159" s="960"/>
      <c r="V159" s="960"/>
      <c r="W159" s="960"/>
      <c r="X159" s="1482"/>
      <c r="Y159" s="960"/>
      <c r="Z159" s="1465"/>
      <c r="AA159" s="960"/>
      <c r="AB159" s="267" t="str">
        <f>D159&amp;".5"</f>
        <v>11.5</v>
      </c>
      <c r="AC159" s="1096" t="s">
        <v>1754</v>
      </c>
      <c r="AD159" s="267" t="s">
        <v>437</v>
      </c>
      <c r="AE159" s="226">
        <f>IF(AE156=0,0,AE158/AE156*100)</f>
        <v>0</v>
      </c>
      <c r="AF159" s="226">
        <f>IF(AF156=0,0,AF158/AF156*100)</f>
        <v>0</v>
      </c>
      <c r="AG159" s="226">
        <f>IF(AG156=0,0,AG158/AG156*100)</f>
        <v>0</v>
      </c>
      <c r="AH159" s="925"/>
      <c r="AI159" s="783">
        <f>IF(AI156=0,0,AI158/AI156*100)</f>
        <v>0</v>
      </c>
      <c r="AJ159" s="783">
        <f>IF(AJ156=0,0,AJ158/AJ156*100)</f>
        <v>0</v>
      </c>
      <c r="AK159" s="783">
        <f>IF(AK156=0,0,AK158/AK156*100)</f>
        <v>0</v>
      </c>
      <c r="AL159" s="783">
        <f>IF(AL156=0,0,AL158/AL156*100)</f>
        <v>0</v>
      </c>
      <c r="AM159" s="783">
        <f>IF(AM156=0,0,AM158/AM156*100)</f>
        <v>0</v>
      </c>
      <c r="AN159" s="783">
        <f>IF(AN156=0,0,AN158/AN156*100)</f>
        <v>0</v>
      </c>
      <c r="AO159" s="783">
        <f>IF(AO156=0,0,AO158/AO156*100)</f>
        <v>0</v>
      </c>
      <c r="AP159" s="783">
        <f>IF(AP156=0,0,AP158/AP156*100)</f>
        <v>0</v>
      </c>
      <c r="AQ159" s="783">
        <f>IF(AQ156=0,0,AQ158/AQ156*100)</f>
        <v>0</v>
      </c>
      <c r="AR159" s="783">
        <f>IF(AR156=0,0,AR158/AR156*100)</f>
        <v>0</v>
      </c>
      <c r="AS159" s="783">
        <f>IF(AS156=0,0,AS158/AS156*100)</f>
        <v>0</v>
      </c>
      <c r="AT159" s="783">
        <f>IF(AT156=0,0,AT158/AT156*100)</f>
        <v>0</v>
      </c>
      <c r="AU159" s="783">
        <f>IF(AU156=0,0,AU158/AU156*100)</f>
        <v>0</v>
      </c>
      <c r="AV159" s="783">
        <f>IF(AV156=0,0,AV158/AV156*100)</f>
        <v>0</v>
      </c>
      <c r="AW159" s="783">
        <f>IF(AW156=0,0,AW158/AW156*100)</f>
        <v>0</v>
      </c>
      <c r="AX159" s="783">
        <f>IF(AX156=0,0,AX158/AX156*100)</f>
        <v>0</v>
      </c>
      <c r="AY159" s="783">
        <f>IF(AY156=0,0,AY158/AY156*100)</f>
        <v>0</v>
      </c>
      <c r="AZ159" s="783">
        <f>IF(AZ156=0,0,AZ158/AZ156*100)</f>
        <v>0</v>
      </c>
      <c r="BA159" s="783">
        <f>IF(BA156=0,0,BA158/BA156*100)</f>
        <v>0</v>
      </c>
      <c r="BB159" s="783">
        <f>IF(BB156=0,0,BB158/BB156*100)</f>
        <v>0</v>
      </c>
      <c r="BC159" s="783">
        <f>IF(BC156=0,0,BC158/BC156*100)</f>
        <v>0</v>
      </c>
      <c r="BD159" s="925"/>
      <c r="BE159" s="925"/>
      <c r="BF159" s="925"/>
      <c r="BG159" s="925"/>
      <c r="BH159" s="925"/>
      <c r="BI159" s="925"/>
      <c r="BJ159" s="925"/>
      <c r="BK159" s="925"/>
      <c r="BL159" s="925"/>
      <c r="BM159" s="925"/>
      <c r="BN159" s="1283"/>
      <c r="BO159" s="1283"/>
      <c r="BP159" s="1283"/>
      <c r="BQ159" s="960"/>
      <c r="BR159" s="960"/>
      <c r="BS159" s="1046" t="s">
        <v>1755</v>
      </c>
      <c r="BT159" s="1048"/>
      <c r="BU159" s="1048"/>
      <c r="BV159" s="962"/>
      <c r="BW159" s="962"/>
    </row>
    <row customHeight="1" ht="14.625" hidden="1">
      <c r="A160" s="960"/>
      <c r="B160" s="961"/>
      <c r="C160" s="960"/>
      <c r="D160" s="73" cm="1" t="str">
        <f t="array" ref="D160:D160">D159</f>
        <v>11</v>
      </c>
      <c r="E160" s="683">
        <v>15</v>
      </c>
      <c r="F160" s="50" cm="1" t="str">
        <f t="array" ref="F160:F160">OFFSET(E160,-1,1)</f>
        <v>0</v>
      </c>
      <c r="G160" s="960"/>
      <c r="H160" s="960"/>
      <c r="I160" s="124" t="s">
        <v>2065</v>
      </c>
      <c r="J160" s="960"/>
      <c r="K160" s="124" t="s">
        <v>2065</v>
      </c>
      <c r="L160" s="963" t="s">
        <v>1756</v>
      </c>
      <c r="M160" s="73"/>
      <c r="N160" s="960"/>
      <c r="O160" s="960"/>
      <c r="P160" s="960"/>
      <c r="Q160" s="960"/>
      <c r="R160" s="960"/>
      <c r="S160" s="960"/>
      <c r="T160" s="439" cm="1" t="str">
        <f t="array" ref="T160:T160">T159</f>
        <v>false</v>
      </c>
      <c r="U160" s="960"/>
      <c r="V160" s="960"/>
      <c r="W160" s="960"/>
      <c r="X160" s="1482"/>
      <c r="Y160" s="960"/>
      <c r="Z160" s="1465"/>
      <c r="AA160" s="960"/>
      <c r="AB160" s="267" t="str">
        <f>D160&amp;".6"</f>
        <v>11.6</v>
      </c>
      <c r="AC160" s="1096" t="s">
        <v>1758</v>
      </c>
      <c r="AD160" s="267" t="s">
        <v>1494</v>
      </c>
      <c r="AE160" s="1282">
        <f>IF(AE154=0,0,AE151/AE154)</f>
        <v>0</v>
      </c>
      <c r="AF160" s="1282">
        <f>IF(AF154=0,0,AF151/AF154)</f>
        <v>0</v>
      </c>
      <c r="AG160" s="1282">
        <f>IF(AG154=0,0,AG151/AG154)</f>
        <v>0</v>
      </c>
      <c r="AH160" s="926">
        <f>AG160-AF160</f>
        <v>0</v>
      </c>
      <c r="AI160" s="1289">
        <f>IF(AI154=0,0,AI151/AI154)</f>
        <v>0</v>
      </c>
      <c r="AJ160" s="4614">
        <f>IF(AJ154=0,0,AJ151/AJ154)</f>
        <v>0</v>
      </c>
      <c r="AK160" s="1289">
        <f>IF(AK154=0,0,AK151/AK154)</f>
        <v>0</v>
      </c>
      <c r="AL160" s="1289">
        <f>IF(AL154=0,0,AL151/AL154)</f>
        <v>0</v>
      </c>
      <c r="AM160" s="1289">
        <f>IF(AM154=0,0,AM151/AM154)</f>
        <v>0</v>
      </c>
      <c r="AN160" s="1289">
        <f>IF(AN154=0,0,AN151/AN154)</f>
        <v>0</v>
      </c>
      <c r="AO160" s="1289">
        <f>IF(AO154=0,0,AO151/AO154)</f>
        <v>0</v>
      </c>
      <c r="AP160" s="1289">
        <f>IF(AP154=0,0,AP151/AP154)</f>
        <v>0</v>
      </c>
      <c r="AQ160" s="1289">
        <f>IF(AQ154=0,0,AQ151/AQ154)</f>
        <v>0</v>
      </c>
      <c r="AR160" s="1289">
        <f>IF(AR154=0,0,AR151/AR154)</f>
        <v>0</v>
      </c>
      <c r="AS160" s="1289">
        <f>IF(AS154=0,0,AS151/AS154)</f>
        <v>0</v>
      </c>
      <c r="AT160" s="4614">
        <f>IF(AT154=0,0,AT151/AT154)</f>
        <v>0</v>
      </c>
      <c r="AU160" s="1289">
        <f>IF(AU154=0,0,AU151/AU154)</f>
        <v>0</v>
      </c>
      <c r="AV160" s="1289">
        <f>IF(AV154=0,0,AV151/AV154)</f>
        <v>0</v>
      </c>
      <c r="AW160" s="1289">
        <f>IF(AW154=0,0,AW151/AW154)</f>
        <v>0</v>
      </c>
      <c r="AX160" s="1289">
        <f>IF(AX154=0,0,AX151/AX154)</f>
        <v>0</v>
      </c>
      <c r="AY160" s="1289">
        <f>IF(AY154=0,0,AY151/AY154)</f>
        <v>0</v>
      </c>
      <c r="AZ160" s="1289">
        <f>IF(AZ154=0,0,AZ151/AZ154)</f>
        <v>0</v>
      </c>
      <c r="BA160" s="1289">
        <f>IF(BA154=0,0,BA151/BA154)</f>
        <v>0</v>
      </c>
      <c r="BB160" s="1289">
        <f>IF(BB154=0,0,BB151/BB154)</f>
        <v>0</v>
      </c>
      <c r="BC160" s="1289">
        <f>IF(BC154=0,0,BC151/BC154)</f>
        <v>0</v>
      </c>
      <c r="BD160" s="925"/>
      <c r="BE160" s="925"/>
      <c r="BF160" s="925"/>
      <c r="BG160" s="925"/>
      <c r="BH160" s="925"/>
      <c r="BI160" s="925"/>
      <c r="BJ160" s="925"/>
      <c r="BK160" s="925"/>
      <c r="BL160" s="925"/>
      <c r="BM160" s="925"/>
      <c r="BN160" s="1283"/>
      <c r="BO160" s="1283"/>
      <c r="BP160" s="1283"/>
      <c r="BQ160" s="960"/>
      <c r="BR160" s="960"/>
      <c r="BS160" s="1046" t="s">
        <v>1759</v>
      </c>
      <c r="BT160" s="1048"/>
      <c r="BU160" s="1048"/>
      <c r="BV160" s="962"/>
      <c r="BW160" s="962"/>
    </row>
    <row s="680" customFormat="1" customHeight="1" ht="20.475" hidden="1">
      <c r="A161" s="680"/>
      <c r="B161" s="408"/>
      <c r="C161" s="680"/>
      <c r="D161" s="75">
        <f>D160+1</f>
        <v>12</v>
      </c>
      <c r="E161" s="687">
        <v>21</v>
      </c>
      <c r="F161" s="50" cm="1" t="str">
        <f t="array" ref="F161:F161">OFFSET(E161,-1,1)</f>
        <v>0</v>
      </c>
      <c r="G161" s="680"/>
      <c r="H161" s="124"/>
      <c r="I161" s="124" t="s">
        <v>1764</v>
      </c>
      <c r="J161" s="680"/>
      <c r="K161" s="124" t="s">
        <v>1764</v>
      </c>
      <c r="L161" s="968" t="s">
        <v>1760</v>
      </c>
      <c r="M161" s="75"/>
      <c r="N161" s="680"/>
      <c r="O161" s="680"/>
      <c r="P161" s="680"/>
      <c r="Q161" s="680"/>
      <c r="R161" s="680"/>
      <c r="S161" s="680"/>
      <c r="T161" s="439" cm="1" t="str">
        <f t="array" ref="T161:T161">T160</f>
        <v>false</v>
      </c>
      <c r="U161" s="680"/>
      <c r="V161" s="680"/>
      <c r="W161" s="680"/>
      <c r="X161" s="1482"/>
      <c r="Y161" s="680"/>
      <c r="Z161" s="1465"/>
      <c r="AA161" s="680"/>
      <c r="AB161" s="178" cm="1" t="str">
        <f t="array" ref="AB161:AB161">D161</f>
        <v>12</v>
      </c>
      <c r="AC161" s="179" t="s">
        <v>1762</v>
      </c>
      <c r="AD161" s="178" t="s">
        <v>784</v>
      </c>
      <c r="AE161" s="1277">
        <f>IF(AE154=0,0,AE151/AE154*AE162)</f>
        <v>0</v>
      </c>
      <c r="AF161" s="1277">
        <f>IF(AF154=0,0,AF151/AF154*AF162)</f>
        <v>0</v>
      </c>
      <c r="AG161" s="1277">
        <f>IF(AG154=0,0,AG151/AG154*AG162)</f>
        <v>0</v>
      </c>
      <c r="AH161" s="751">
        <f>AH163*AH164+AH165*AH166</f>
        <v>0</v>
      </c>
      <c r="AI161" s="1290">
        <f>IF(AI154=0,0,AI151/AI154*AI162)</f>
        <v>0</v>
      </c>
      <c r="AJ161" s="4779">
        <f>IF(AJ154=0,0,AJ151/AJ154*AJ162)</f>
        <v>0</v>
      </c>
      <c r="AK161" s="1290">
        <f>IF(AK154=0,0,AK151/AK154*AK162)</f>
        <v>0</v>
      </c>
      <c r="AL161" s="1290">
        <f>IF(AL154=0,0,AL151/AL154*AL162)</f>
        <v>0</v>
      </c>
      <c r="AM161" s="1290">
        <f>IF(AM154=0,0,AM151/AM154*AM162)</f>
        <v>0</v>
      </c>
      <c r="AN161" s="1290">
        <f>IF(AN154=0,0,AN151/AN154*AN162)</f>
        <v>0</v>
      </c>
      <c r="AO161" s="1290">
        <f>IF(AO154=0,0,AO151/AO154*AO162)</f>
        <v>0</v>
      </c>
      <c r="AP161" s="1290">
        <f>IF(AP154=0,0,AP151/AP154*AP162)</f>
        <v>0</v>
      </c>
      <c r="AQ161" s="1290">
        <f>IF(AQ154=0,0,AQ151/AQ154*AQ162)</f>
        <v>0</v>
      </c>
      <c r="AR161" s="1290">
        <f>IF(AR154=0,0,AR151/AR154*AR162)</f>
        <v>0</v>
      </c>
      <c r="AS161" s="1290">
        <f>IF(AS154=0,0,AS151/AS154*AS162)</f>
        <v>0</v>
      </c>
      <c r="AT161" s="4779">
        <f>IF(AT154=0,0,AT151/AT154*AT162)</f>
        <v>0</v>
      </c>
      <c r="AU161" s="1290">
        <f>IF(AU154=0,0,AU151/AU154*AU162)</f>
        <v>0</v>
      </c>
      <c r="AV161" s="1290">
        <f>IF(AV154=0,0,AV151/AV154*AV162)</f>
        <v>0</v>
      </c>
      <c r="AW161" s="1290">
        <f>IF(AW154=0,0,AW151/AW154*AW162)</f>
        <v>0</v>
      </c>
      <c r="AX161" s="1290">
        <f>IF(AX154=0,0,AX151/AX154*AX162)</f>
        <v>0</v>
      </c>
      <c r="AY161" s="1290">
        <f>IF(AY154=0,0,AY151/AY154*AY162)</f>
        <v>0</v>
      </c>
      <c r="AZ161" s="1290">
        <f>IF(AZ154=0,0,AZ151/AZ154*AZ162)</f>
        <v>0</v>
      </c>
      <c r="BA161" s="1290">
        <f>IF(BA154=0,0,BA151/BA154*BA162)</f>
        <v>0</v>
      </c>
      <c r="BB161" s="1290">
        <f>IF(BB154=0,0,BB151/BB154*BB162)</f>
        <v>0</v>
      </c>
      <c r="BC161" s="1290">
        <f>IF(BC154=0,0,BC151/BC154*BC162)</f>
        <v>0</v>
      </c>
      <c r="BD161" s="742">
        <f>IF(AI161=0,0,(AT161-AI161)/AI161*100)</f>
        <v>0</v>
      </c>
      <c r="BE161" s="742">
        <f>IF(AT161=0,0,(AU161-AT161)/AT161*100)</f>
        <v>0</v>
      </c>
      <c r="BF161" s="742">
        <f>IF(AU161=0,0,(AV161-AU161)/AU161*100)</f>
        <v>0</v>
      </c>
      <c r="BG161" s="742">
        <f>IF(AV161=0,0,(AW161-AV161)/AV161*100)</f>
        <v>0</v>
      </c>
      <c r="BH161" s="742">
        <f>IF(AW161=0,0,(AX161-AW161)/AW161*100)</f>
        <v>0</v>
      </c>
      <c r="BI161" s="742">
        <f>IF(AX161=0,0,(AY161-AX161)/AX161*100)</f>
        <v>0</v>
      </c>
      <c r="BJ161" s="742">
        <f>IF(AY161=0,0,(AZ161-AY161)/AY161*100)</f>
        <v>0</v>
      </c>
      <c r="BK161" s="742">
        <f>IF(AZ161=0,0,(BA161-AZ161)/AZ161*100)</f>
        <v>0</v>
      </c>
      <c r="BL161" s="742">
        <f>IF(BA161=0,0,(BB161-BA161)/BA161*100)</f>
        <v>0</v>
      </c>
      <c r="BM161" s="742">
        <f>IF(BB161=0,0,(BC161-BB161)/BB161*100)</f>
        <v>0</v>
      </c>
      <c r="BN161" s="1283"/>
      <c r="BO161" s="1283"/>
      <c r="BP161" s="1283"/>
      <c r="BQ161" s="680"/>
      <c r="BR161" s="680"/>
      <c r="BS161" s="1047" t="s">
        <v>1763</v>
      </c>
      <c r="BT161" s="1054"/>
      <c r="BU161" s="1054"/>
      <c r="BV161" s="687"/>
      <c r="BW161" s="687"/>
    </row>
    <row s="680" customFormat="1" customHeight="1" ht="20.475" hidden="1">
      <c r="A162" s="680"/>
      <c r="B162" s="408"/>
      <c r="C162" s="680"/>
      <c r="D162" s="75">
        <f>D161+1</f>
        <v>13</v>
      </c>
      <c r="E162" s="687">
        <v>21</v>
      </c>
      <c r="F162" s="50" cm="1" t="str">
        <f t="array" ref="F162:F162">OFFSET(E162,-1,1)</f>
        <v>0</v>
      </c>
      <c r="G162" s="124" t="s">
        <v>1516</v>
      </c>
      <c r="H162" s="124"/>
      <c r="I162" s="124" t="s">
        <v>2066</v>
      </c>
      <c r="J162" s="680"/>
      <c r="K162" s="124" t="s">
        <v>2066</v>
      </c>
      <c r="L162" s="968" t="s">
        <v>1764</v>
      </c>
      <c r="M162" s="75"/>
      <c r="N162" s="680"/>
      <c r="O162" s="680"/>
      <c r="P162" s="680"/>
      <c r="Q162" s="680"/>
      <c r="R162" s="680"/>
      <c r="S162" s="680"/>
      <c r="T162" s="439" cm="1" t="str">
        <f t="array" ref="T162:T162">T161</f>
        <v>false</v>
      </c>
      <c r="U162" s="680"/>
      <c r="V162" s="680"/>
      <c r="W162" s="680"/>
      <c r="X162" s="1482"/>
      <c r="Y162" s="680"/>
      <c r="Z162" s="1465"/>
      <c r="AA162" s="680"/>
      <c r="AB162" s="178" cm="1" t="str">
        <f t="array" ref="AB162:AB162">D162</f>
        <v>13</v>
      </c>
      <c r="AC162" s="179" t="s">
        <v>1766</v>
      </c>
      <c r="AD162" s="178" t="s">
        <v>512</v>
      </c>
      <c r="AE162" s="766">
        <f>_xlfn.SUMIFS(Баланс!AE$26:AE$300,Баланс!$F$26:$F$300,$F162,Баланс!$G$26:$G$300,"население")</f>
        <v>0</v>
      </c>
      <c r="AF162" s="766">
        <f>_xlfn.SUMIFS(Баланс!AF$26:AF$300,Баланс!$F$26:$F$300,$F162,Баланс!$G$26:$G$300,"население")</f>
        <v>0</v>
      </c>
      <c r="AG162" s="766">
        <f>_xlfn.SUMIFS(Баланс!AG$26:AG$300,Баланс!$F$26:$F$300,$F162,Баланс!$G$26:$G$300,"население")</f>
        <v>0</v>
      </c>
      <c r="AH162" s="767">
        <f>AG162-AF162</f>
        <v>0</v>
      </c>
      <c r="AI162" s="767">
        <f>_xlfn.SUMIFS(Баланс!AH$26:AH$300,Баланс!$F$26:$F$300,$F162,Баланс!$G$26:$G$300,"население")</f>
        <v>0</v>
      </c>
      <c r="AJ162" s="767">
        <f>_xlfn.SUMIFS(Баланс!AI$26:AI$300,Баланс!$F$26:$F$300,$F162,Баланс!$G$26:$G$300,"население")</f>
        <v>0</v>
      </c>
      <c r="AK162" s="767">
        <f>_xlfn.SUMIFS(Баланс!AJ$26:AJ$300,Баланс!$F$26:$F$300,$F162,Баланс!$G$26:$G$300,"население")</f>
        <v>0</v>
      </c>
      <c r="AL162" s="767">
        <f>_xlfn.SUMIFS(Баланс!AK$26:AK$300,Баланс!$F$26:$F$300,$F162,Баланс!$G$26:$G$300,"население")</f>
        <v>0</v>
      </c>
      <c r="AM162" s="767">
        <f>_xlfn.SUMIFS(Баланс!AL$26:AL$300,Баланс!$F$26:$F$300,$F162,Баланс!$G$26:$G$300,"население")</f>
        <v>0</v>
      </c>
      <c r="AN162" s="767">
        <f>_xlfn.SUMIFS(Баланс!AM$26:AM$300,Баланс!$F$26:$F$300,$F162,Баланс!$G$26:$G$300,"население")</f>
        <v>0</v>
      </c>
      <c r="AO162" s="767">
        <f>_xlfn.SUMIFS(Баланс!AN$26:AN$300,Баланс!$F$26:$F$300,$F162,Баланс!$G$26:$G$300,"население")</f>
        <v>0</v>
      </c>
      <c r="AP162" s="767">
        <f>_xlfn.SUMIFS(Баланс!AO$26:AO$300,Баланс!$F$26:$F$300,$F162,Баланс!$G$26:$G$300,"население")</f>
        <v>0</v>
      </c>
      <c r="AQ162" s="767">
        <f>_xlfn.SUMIFS(Баланс!AP$26:AP$300,Баланс!$F$26:$F$300,$F162,Баланс!$G$26:$G$300,"население")</f>
        <v>0</v>
      </c>
      <c r="AR162" s="767">
        <f>_xlfn.SUMIFS(Баланс!AQ$26:AQ$300,Баланс!$F$26:$F$300,$F162,Баланс!$G$26:$G$300,"население")</f>
        <v>0</v>
      </c>
      <c r="AS162" s="767">
        <f>_xlfn.SUMIFS(Баланс!AR$26:AR$300,Баланс!$F$26:$F$300,$F162,Баланс!$G$26:$G$300,"население")</f>
        <v>0</v>
      </c>
      <c r="AT162" s="767">
        <f>_xlfn.SUMIFS(Баланс!AS$26:AS$300,Баланс!$F$26:$F$300,$F162,Баланс!$G$26:$G$300,"население")</f>
        <v>0</v>
      </c>
      <c r="AU162" s="767">
        <f>_xlfn.SUMIFS(Баланс!AT$26:AT$300,Баланс!$F$26:$F$300,$F162,Баланс!$G$26:$G$300,"население")</f>
        <v>0</v>
      </c>
      <c r="AV162" s="767">
        <f>_xlfn.SUMIFS(Баланс!AU$26:AU$300,Баланс!$F$26:$F$300,$F162,Баланс!$G$26:$G$300,"население")</f>
        <v>0</v>
      </c>
      <c r="AW162" s="767">
        <f>_xlfn.SUMIFS(Баланс!AV$26:AV$300,Баланс!$F$26:$F$300,$F162,Баланс!$G$26:$G$300,"население")</f>
        <v>0</v>
      </c>
      <c r="AX162" s="767">
        <f>_xlfn.SUMIFS(Баланс!AW$26:AW$300,Баланс!$F$26:$F$300,$F162,Баланс!$G$26:$G$300,"население")</f>
        <v>0</v>
      </c>
      <c r="AY162" s="767">
        <f>_xlfn.SUMIFS(Баланс!AX$26:AX$300,Баланс!$F$26:$F$300,$F162,Баланс!$G$26:$G$300,"население")</f>
        <v>0</v>
      </c>
      <c r="AZ162" s="767">
        <f>_xlfn.SUMIFS(Баланс!AY$26:AY$300,Баланс!$F$26:$F$300,$F162,Баланс!$G$26:$G$300,"население")</f>
        <v>0</v>
      </c>
      <c r="BA162" s="767">
        <f>_xlfn.SUMIFS(Баланс!AZ$26:AZ$300,Баланс!$F$26:$F$300,$F162,Баланс!$G$26:$G$300,"население")</f>
        <v>0</v>
      </c>
      <c r="BB162" s="767">
        <f>_xlfn.SUMIFS(Баланс!BA$26:BA$300,Баланс!$F$26:$F$300,$F162,Баланс!$G$26:$G$300,"население")</f>
        <v>0</v>
      </c>
      <c r="BC162" s="767">
        <f>_xlfn.SUMIFS(Баланс!BB$26:BB$300,Баланс!$F$26:$F$300,$F162,Баланс!$G$26:$G$300,"население")</f>
        <v>0</v>
      </c>
      <c r="BD162" s="745"/>
      <c r="BE162" s="745"/>
      <c r="BF162" s="745"/>
      <c r="BG162" s="745"/>
      <c r="BH162" s="745"/>
      <c r="BI162" s="745"/>
      <c r="BJ162" s="745"/>
      <c r="BK162" s="745"/>
      <c r="BL162" s="745"/>
      <c r="BM162" s="745"/>
      <c r="BN162" s="1283"/>
      <c r="BO162" s="1283"/>
      <c r="BP162" s="1283"/>
      <c r="BQ162" s="680"/>
      <c r="BR162" s="680"/>
      <c r="BS162" s="1047" t="s">
        <v>1767</v>
      </c>
      <c r="BT162" s="1054"/>
      <c r="BU162" s="1054"/>
      <c r="BV162" s="687"/>
      <c r="BW162" s="687"/>
    </row>
    <row customHeight="1" ht="14.625" hidden="1">
      <c r="A163" s="960"/>
      <c r="B163" s="961"/>
      <c r="C163" s="960"/>
      <c r="D163" s="73" cm="1" t="str">
        <f t="array" ref="D163:D163">D162</f>
        <v>13</v>
      </c>
      <c r="E163" s="683">
        <v>15</v>
      </c>
      <c r="F163" s="50" cm="1" t="str">
        <f t="array" ref="F163:F163">OFFSET(E163,-1,1)</f>
        <v>0</v>
      </c>
      <c r="G163" s="124" t="s">
        <v>1550</v>
      </c>
      <c r="H163" s="960"/>
      <c r="I163" s="124" t="s">
        <v>2067</v>
      </c>
      <c r="J163" s="960"/>
      <c r="K163" s="124" t="s">
        <v>2067</v>
      </c>
      <c r="L163" s="963" t="s">
        <v>1768</v>
      </c>
      <c r="M163" s="73"/>
      <c r="N163" s="960"/>
      <c r="O163" s="960"/>
      <c r="P163" s="960"/>
      <c r="Q163" s="960"/>
      <c r="R163" s="960"/>
      <c r="S163" s="960"/>
      <c r="T163" s="439" cm="1" t="str">
        <f t="array" ref="T163:T163">T162</f>
        <v>false</v>
      </c>
      <c r="U163" s="960"/>
      <c r="V163" s="960"/>
      <c r="W163" s="960"/>
      <c r="X163" s="1482"/>
      <c r="Y163" s="960"/>
      <c r="Z163" s="1465"/>
      <c r="AA163" s="960"/>
      <c r="AB163" s="267" t="str">
        <f>D163&amp;".1"</f>
        <v>13.1</v>
      </c>
      <c r="AC163" s="1096" t="s">
        <v>1770</v>
      </c>
      <c r="AD163" s="267" t="s">
        <v>512</v>
      </c>
      <c r="AE163" s="1287">
        <f>AE162/2</f>
        <v>0</v>
      </c>
      <c r="AF163" s="1287">
        <f>AF162/2</f>
        <v>0</v>
      </c>
      <c r="AG163" s="1287">
        <f>AG162/2</f>
        <v>0</v>
      </c>
      <c r="AH163" s="924">
        <f>AG163-AF163</f>
        <v>0</v>
      </c>
      <c r="AI163" s="1288">
        <f>AI162/2</f>
        <v>0</v>
      </c>
      <c r="AJ163" s="4776">
        <f>IF(god=2026,AJ162/12*9,AJ162/2)</f>
        <v>0</v>
      </c>
      <c r="AK163" s="1287">
        <f>IF(god=2025,AK162/12*9,AK162/2)</f>
        <v>0</v>
      </c>
      <c r="AL163" s="1288">
        <f>AL162/2</f>
        <v>0</v>
      </c>
      <c r="AM163" s="1288">
        <f>AM162/2</f>
        <v>0</v>
      </c>
      <c r="AN163" s="1288">
        <f>AN162/2</f>
        <v>0</v>
      </c>
      <c r="AO163" s="1288">
        <f>AO162/2</f>
        <v>0</v>
      </c>
      <c r="AP163" s="1288">
        <f>AP162/2</f>
        <v>0</v>
      </c>
      <c r="AQ163" s="1288">
        <f>AQ162/2</f>
        <v>0</v>
      </c>
      <c r="AR163" s="1288">
        <f>AR162/2</f>
        <v>0</v>
      </c>
      <c r="AS163" s="1288">
        <f>AS162/2</f>
        <v>0</v>
      </c>
      <c r="AT163" s="4611">
        <f>IF(god=2026,AT162/12*9,AT162/2)</f>
        <v>0</v>
      </c>
      <c r="AU163" s="1288">
        <f>IF(god=2025,AU162/12*9,AU162/2)</f>
        <v>0</v>
      </c>
      <c r="AV163" s="1288">
        <f>AV162/2</f>
        <v>0</v>
      </c>
      <c r="AW163" s="1288">
        <f>AW162/2</f>
        <v>0</v>
      </c>
      <c r="AX163" s="1288">
        <f>AX162/2</f>
        <v>0</v>
      </c>
      <c r="AY163" s="1288">
        <f>AY162/2</f>
        <v>0</v>
      </c>
      <c r="AZ163" s="1288">
        <f>AZ162/2</f>
        <v>0</v>
      </c>
      <c r="BA163" s="1288">
        <f>BA162/2</f>
        <v>0</v>
      </c>
      <c r="BB163" s="1288">
        <f>BB162/2</f>
        <v>0</v>
      </c>
      <c r="BC163" s="1288">
        <f>BC162/2</f>
        <v>0</v>
      </c>
      <c r="BD163" s="925"/>
      <c r="BE163" s="925"/>
      <c r="BF163" s="925"/>
      <c r="BG163" s="925"/>
      <c r="BH163" s="925"/>
      <c r="BI163" s="925"/>
      <c r="BJ163" s="925"/>
      <c r="BK163" s="925"/>
      <c r="BL163" s="925"/>
      <c r="BM163" s="925"/>
      <c r="BN163" s="1283"/>
      <c r="BO163" s="1283"/>
      <c r="BP163" s="1283"/>
      <c r="BQ163" s="960"/>
      <c r="BR163" s="960"/>
      <c r="BS163" s="1046" t="s">
        <v>1771</v>
      </c>
      <c r="BT163" s="1048"/>
      <c r="BU163" s="1048"/>
      <c r="BV163" s="962"/>
      <c r="BW163" s="962"/>
    </row>
    <row customHeight="1" ht="14.625" hidden="1">
      <c r="A164" s="960"/>
      <c r="B164" s="961"/>
      <c r="C164" s="960"/>
      <c r="D164" s="73" cm="1" t="str">
        <f t="array" ref="D164:D164">D163</f>
        <v>13</v>
      </c>
      <c r="E164" s="683">
        <v>15</v>
      </c>
      <c r="F164" s="50" cm="1" t="str">
        <f t="array" ref="F164:F164">OFFSET(E164,-1,1)</f>
        <v>0</v>
      </c>
      <c r="G164" s="124" t="s">
        <v>1506</v>
      </c>
      <c r="H164" s="960"/>
      <c r="I164" s="124" t="s">
        <v>2068</v>
      </c>
      <c r="J164" s="960"/>
      <c r="K164" s="124" t="s">
        <v>2068</v>
      </c>
      <c r="L164" s="963" t="s">
        <v>1772</v>
      </c>
      <c r="M164" s="73"/>
      <c r="N164" s="960"/>
      <c r="O164" s="960"/>
      <c r="P164" s="960"/>
      <c r="Q164" s="960"/>
      <c r="R164" s="960"/>
      <c r="S164" s="960"/>
      <c r="T164" s="439" cm="1" t="str">
        <f t="array" ref="T164:T164">T163</f>
        <v>false</v>
      </c>
      <c r="U164" s="960"/>
      <c r="V164" s="960"/>
      <c r="W164" s="960"/>
      <c r="X164" s="1482"/>
      <c r="Y164" s="960"/>
      <c r="Z164" s="1465"/>
      <c r="AA164" s="960"/>
      <c r="AB164" s="267" t="str">
        <f>D164&amp;".2"</f>
        <v>13.2</v>
      </c>
      <c r="AC164" s="1096" t="s">
        <v>1774</v>
      </c>
      <c r="AD164" s="267" t="s">
        <v>1494</v>
      </c>
      <c r="AE164" s="1289">
        <f>IF(AE162=0,0,AE156*(1+Сценарии!AE$26/100))</f>
        <v>0</v>
      </c>
      <c r="AF164" s="1289">
        <f>IF(AF162=0,0,AF156*(1+Сценарии!AF$26/100))</f>
        <v>0</v>
      </c>
      <c r="AG164" s="1289">
        <f>IF(AG162=0,0,AG156*(1+Сценарии!AG$26/100))</f>
        <v>0</v>
      </c>
      <c r="AH164" s="926">
        <f>AG164-AF164</f>
        <v>0</v>
      </c>
      <c r="AI164" s="1289">
        <f>IF(AI162=0,0,AI156*(1+Сценарии!AI$26/100))</f>
        <v>0</v>
      </c>
      <c r="AJ164" s="4614">
        <f>IF(AJ162=0,0,AJ156*(1+Сценарии!AJ$26/100))</f>
        <v>0</v>
      </c>
      <c r="AK164" s="1289">
        <f>IF(AK162=0,0,AK156*(1+Сценарии!AO$26/100))</f>
        <v>0</v>
      </c>
      <c r="AL164" s="1289">
        <f>IF(AL162=0,0,AL156*(1+Сценарии!AP$26/100))</f>
        <v>0</v>
      </c>
      <c r="AM164" s="1289">
        <f>IF(AM162=0,0,AM156*(1+Сценарии!AQ$26/100))</f>
        <v>0</v>
      </c>
      <c r="AN164" s="1289">
        <f>IF(AN162=0,0,AN156*(1+Сценарии!AR$26/100))</f>
        <v>0</v>
      </c>
      <c r="AO164" s="1289">
        <f>IF(AO162=0,0,AO156*(1+Сценарии!AS$26/100))</f>
        <v>0</v>
      </c>
      <c r="AP164" s="1289">
        <f>IF(AP162=0,0,AP156*(1+Сценарии!AT$26/100))</f>
        <v>0</v>
      </c>
      <c r="AQ164" s="1289">
        <f>IF(AQ162=0,0,AQ156*(1+Сценарии!AU$26/100))</f>
        <v>0</v>
      </c>
      <c r="AR164" s="1289">
        <f>IF(AR162=0,0,AR156*(1+Сценарии!AV$26/100))</f>
        <v>0</v>
      </c>
      <c r="AS164" s="1289">
        <f>IF(AS162=0,0,AS156*(1+Сценарии!AW$26/100))</f>
        <v>0</v>
      </c>
      <c r="AT164" s="4614">
        <f>IF(AT162=0,0,AT156*(1+Сценарии!AK$26/100))</f>
        <v>0</v>
      </c>
      <c r="AU164" s="1289">
        <f>IF(AU162=0,0,AU156*(1+Сценарии!AX$26/100))</f>
        <v>0</v>
      </c>
      <c r="AV164" s="1289">
        <f>IF(AV162=0,0,AV156*(1+Сценарии!AY$26/100))</f>
        <v>0</v>
      </c>
      <c r="AW164" s="1289">
        <f>IF(AW162=0,0,AW156*(1+Сценарии!AZ$26/100))</f>
        <v>0</v>
      </c>
      <c r="AX164" s="1289">
        <f>IF(AX162=0,0,AX156*(1+Сценарии!BA$26/100))</f>
        <v>0</v>
      </c>
      <c r="AY164" s="1289">
        <f>IF(AY162=0,0,AY156*(1+Сценарии!BB$26/100))</f>
        <v>0</v>
      </c>
      <c r="AZ164" s="1289">
        <f>IF(AZ162=0,0,AZ156*(1+Сценарии!BC$26/100))</f>
        <v>0</v>
      </c>
      <c r="BA164" s="1289">
        <f>IF(BA162=0,0,BA156*(1+Сценарии!BD$26/100))</f>
        <v>0</v>
      </c>
      <c r="BB164" s="1289">
        <f>IF(BB162=0,0,BB156*(1+Сценарии!BE$26/100))</f>
        <v>0</v>
      </c>
      <c r="BC164" s="1289">
        <f>IF(BC162=0,0,BC156*(1+Сценарии!BF$26/100))</f>
        <v>0</v>
      </c>
      <c r="BD164" s="925"/>
      <c r="BE164" s="925"/>
      <c r="BF164" s="925"/>
      <c r="BG164" s="925"/>
      <c r="BH164" s="925"/>
      <c r="BI164" s="925"/>
      <c r="BJ164" s="925"/>
      <c r="BK164" s="925"/>
      <c r="BL164" s="925"/>
      <c r="BM164" s="925"/>
      <c r="BN164" s="1283"/>
      <c r="BO164" s="1283"/>
      <c r="BP164" s="1283"/>
      <c r="BQ164" s="960"/>
      <c r="BR164" s="960"/>
      <c r="BS164" s="1046" t="s">
        <v>1775</v>
      </c>
      <c r="BT164" s="1048"/>
      <c r="BU164" s="1048"/>
      <c r="BV164" s="962"/>
      <c r="BW164" s="962"/>
    </row>
    <row customHeight="1" ht="14.625" hidden="1">
      <c r="A165" s="960"/>
      <c r="B165" s="62"/>
      <c r="C165" s="73"/>
      <c r="D165" s="73" cm="1" t="str">
        <f t="array" ref="D165:D165">D164</f>
        <v>13</v>
      </c>
      <c r="E165" s="600">
        <v>15</v>
      </c>
      <c r="F165" s="50" cm="1" t="str">
        <f t="array" ref="F165:F165">OFFSET(E165,-1,1)</f>
        <v>0</v>
      </c>
      <c r="G165" s="73" t="s">
        <v>1557</v>
      </c>
      <c r="H165" s="73"/>
      <c r="I165" s="73" t="s">
        <v>2069</v>
      </c>
      <c r="J165" s="73"/>
      <c r="K165" s="73" t="s">
        <v>2069</v>
      </c>
      <c r="L165" s="963" t="s">
        <v>1776</v>
      </c>
      <c r="M165" s="73"/>
      <c r="N165" s="73"/>
      <c r="O165" s="73"/>
      <c r="P165" s="73"/>
      <c r="Q165" s="73"/>
      <c r="R165" s="73"/>
      <c r="S165" s="73"/>
      <c r="T165" s="439" cm="1" t="str">
        <f t="array" ref="T165:T165">T164</f>
        <v>false</v>
      </c>
      <c r="U165" s="73"/>
      <c r="V165" s="73"/>
      <c r="W165" s="73"/>
      <c r="X165" s="1482"/>
      <c r="Y165" s="960"/>
      <c r="Z165" s="1465"/>
      <c r="AA165" s="960"/>
      <c r="AB165" s="267" t="str">
        <f>D165&amp;".3"</f>
        <v>13.3</v>
      </c>
      <c r="AC165" s="1096" t="s">
        <v>1746</v>
      </c>
      <c r="AD165" s="267" t="s">
        <v>512</v>
      </c>
      <c r="AE165" s="929">
        <f>AE162-AE163</f>
        <v>0</v>
      </c>
      <c r="AF165" s="929">
        <f>AF162-AF163</f>
        <v>0</v>
      </c>
      <c r="AG165" s="929">
        <f>AG162-AG163</f>
        <v>0</v>
      </c>
      <c r="AH165" s="924">
        <f>AG165-AF165</f>
        <v>0</v>
      </c>
      <c r="AI165" s="806">
        <f>AI162-AI163</f>
        <v>0</v>
      </c>
      <c r="AJ165" s="806">
        <f>AJ162-AJ163</f>
        <v>0</v>
      </c>
      <c r="AK165" s="806">
        <f>AK162-AK163</f>
        <v>0</v>
      </c>
      <c r="AL165" s="806">
        <f>AL162-AL163</f>
        <v>0</v>
      </c>
      <c r="AM165" s="806">
        <f>AM162-AM163</f>
        <v>0</v>
      </c>
      <c r="AN165" s="806">
        <f>AN162-AN163</f>
        <v>0</v>
      </c>
      <c r="AO165" s="806">
        <f>AO162-AO163</f>
        <v>0</v>
      </c>
      <c r="AP165" s="806">
        <f>AP162-AP163</f>
        <v>0</v>
      </c>
      <c r="AQ165" s="806">
        <f>AQ162-AQ163</f>
        <v>0</v>
      </c>
      <c r="AR165" s="806">
        <f>AR162-AR163</f>
        <v>0</v>
      </c>
      <c r="AS165" s="806">
        <f>AS162-AS163</f>
        <v>0</v>
      </c>
      <c r="AT165" s="806">
        <f>AT162-AT163</f>
        <v>0</v>
      </c>
      <c r="AU165" s="806">
        <f>AU162-AU163</f>
        <v>0</v>
      </c>
      <c r="AV165" s="806">
        <f>AV162-AV163</f>
        <v>0</v>
      </c>
      <c r="AW165" s="806">
        <f>AW162-AW163</f>
        <v>0</v>
      </c>
      <c r="AX165" s="806">
        <f>AX162-AX163</f>
        <v>0</v>
      </c>
      <c r="AY165" s="806">
        <f>AY162-AY163</f>
        <v>0</v>
      </c>
      <c r="AZ165" s="806">
        <f>AZ162-AZ163</f>
        <v>0</v>
      </c>
      <c r="BA165" s="806">
        <f>BA162-BA163</f>
        <v>0</v>
      </c>
      <c r="BB165" s="806">
        <f>BB162-BB163</f>
        <v>0</v>
      </c>
      <c r="BC165" s="806">
        <f>BC162-BC163</f>
        <v>0</v>
      </c>
      <c r="BD165" s="925"/>
      <c r="BE165" s="925"/>
      <c r="BF165" s="925"/>
      <c r="BG165" s="925"/>
      <c r="BH165" s="925"/>
      <c r="BI165" s="925"/>
      <c r="BJ165" s="925"/>
      <c r="BK165" s="925"/>
      <c r="BL165" s="925"/>
      <c r="BM165" s="925"/>
      <c r="BN165" s="1283"/>
      <c r="BO165" s="1283"/>
      <c r="BP165" s="1283"/>
      <c r="BQ165" s="960"/>
      <c r="BR165" s="960"/>
      <c r="BS165" s="1046" t="s">
        <v>1778</v>
      </c>
      <c r="BT165" s="1048"/>
      <c r="BU165" s="1048"/>
      <c r="BV165" s="962"/>
      <c r="BW165" s="962"/>
    </row>
    <row customHeight="1" ht="14.625" hidden="1">
      <c r="A166" s="960"/>
      <c r="B166" s="62"/>
      <c r="C166" s="73"/>
      <c r="D166" s="73" cm="1" t="str">
        <f t="array" ref="D166:D166">D165</f>
        <v>13</v>
      </c>
      <c r="E166" s="600">
        <v>15</v>
      </c>
      <c r="F166" s="50" cm="1" t="str">
        <f t="array" ref="F166:F166">OFFSET(E166,-1,1)</f>
        <v>0</v>
      </c>
      <c r="G166" s="73" t="s">
        <v>1510</v>
      </c>
      <c r="H166" s="73"/>
      <c r="I166" s="73" t="s">
        <v>2070</v>
      </c>
      <c r="J166" s="73"/>
      <c r="K166" s="73" t="s">
        <v>2070</v>
      </c>
      <c r="L166" s="963" t="s">
        <v>1779</v>
      </c>
      <c r="M166" s="73"/>
      <c r="N166" s="73"/>
      <c r="O166" s="73"/>
      <c r="P166" s="73"/>
      <c r="Q166" s="73"/>
      <c r="R166" s="73"/>
      <c r="S166" s="73"/>
      <c r="T166" s="439" cm="1" t="str">
        <f t="array" ref="T166:T166">T165</f>
        <v>false</v>
      </c>
      <c r="U166" s="73"/>
      <c r="V166" s="73"/>
      <c r="W166" s="73"/>
      <c r="X166" s="1482"/>
      <c r="Y166" s="960"/>
      <c r="Z166" s="1465"/>
      <c r="AA166" s="960"/>
      <c r="AB166" s="267" t="str">
        <f>D166&amp;".4"</f>
        <v>13.4</v>
      </c>
      <c r="AC166" s="1096" t="s">
        <v>1750</v>
      </c>
      <c r="AD166" s="267" t="s">
        <v>1494</v>
      </c>
      <c r="AE166" s="1289">
        <f>IF(AE162=0,0,AE158*(1+Сценарии!AE$26/100))</f>
        <v>0</v>
      </c>
      <c r="AF166" s="1289">
        <f>IF(AF162=0,0,AF158*(1+Сценарии!AF$26/100))</f>
        <v>0</v>
      </c>
      <c r="AG166" s="1289">
        <f>IF(AG162=0,0,AG158*(1+Сценарии!AG$26/100))</f>
        <v>0</v>
      </c>
      <c r="AH166" s="926">
        <f>AG166-AF166</f>
        <v>0</v>
      </c>
      <c r="AI166" s="1289">
        <f>IF(AI162=0,0,AI158*(1+Сценарии!AI$26/100))</f>
        <v>0</v>
      </c>
      <c r="AJ166" s="4614">
        <f>IF(AJ162=0,0,AJ158*(1+Сценарии!AJ$26/100))</f>
        <v>0</v>
      </c>
      <c r="AK166" s="1289">
        <f>IF(AK162=0,0,AK158*(1+Сценарии!AO$26/100))</f>
        <v>0</v>
      </c>
      <c r="AL166" s="1289">
        <f>IF(AL162=0,0,AL158*(1+Сценарии!AP$26/100))</f>
        <v>0</v>
      </c>
      <c r="AM166" s="1289">
        <f>IF(AM162=0,0,AM158*(1+Сценарии!AQ$26/100))</f>
        <v>0</v>
      </c>
      <c r="AN166" s="1289">
        <f>IF(AN162=0,0,AN158*(1+Сценарии!AR$26/100))</f>
        <v>0</v>
      </c>
      <c r="AO166" s="1289">
        <f>IF(AO162=0,0,AO158*(1+Сценарии!AS$26/100))</f>
        <v>0</v>
      </c>
      <c r="AP166" s="1289">
        <f>IF(AP162=0,0,AP158*(1+Сценарии!AT$26/100))</f>
        <v>0</v>
      </c>
      <c r="AQ166" s="1289">
        <f>IF(AQ162=0,0,AQ158*(1+Сценарии!AU$26/100))</f>
        <v>0</v>
      </c>
      <c r="AR166" s="1289">
        <f>IF(AR162=0,0,AR158*(1+Сценарии!AV$26/100))</f>
        <v>0</v>
      </c>
      <c r="AS166" s="1289">
        <f>IF(AS162=0,0,AS158*(1+Сценарии!AW$26/100))</f>
        <v>0</v>
      </c>
      <c r="AT166" s="4614">
        <f>IF(AT162=0,0,AT158*(1+Сценарии!AK$26/100))</f>
        <v>0</v>
      </c>
      <c r="AU166" s="1289">
        <f>IF(AU162=0,0,AU158*(1+Сценарии!AX$26/100))</f>
        <v>0</v>
      </c>
      <c r="AV166" s="1289">
        <f>IF(AV162=0,0,AV158*(1+Сценарии!AY$26/100))</f>
        <v>0</v>
      </c>
      <c r="AW166" s="1289">
        <f>IF(AW162=0,0,AW158*(1+Сценарии!AZ$26/100))</f>
        <v>0</v>
      </c>
      <c r="AX166" s="1289">
        <f>IF(AX162=0,0,AX158*(1+Сценарии!BA$26/100))</f>
        <v>0</v>
      </c>
      <c r="AY166" s="1289">
        <f>IF(AY162=0,0,AY158*(1+Сценарии!BB$26/100))</f>
        <v>0</v>
      </c>
      <c r="AZ166" s="1289">
        <f>IF(AZ162=0,0,AZ158*(1+Сценарии!BC$26/100))</f>
        <v>0</v>
      </c>
      <c r="BA166" s="1289">
        <f>IF(BA162=0,0,BA158*(1+Сценарии!BD$26/100))</f>
        <v>0</v>
      </c>
      <c r="BB166" s="1289">
        <f>IF(BB162=0,0,BB158*(1+Сценарии!BE$26/100))</f>
        <v>0</v>
      </c>
      <c r="BC166" s="1289">
        <f>IF(BC162=0,0,BC158*(1+Сценарии!BF$26/100))</f>
        <v>0</v>
      </c>
      <c r="BD166" s="925"/>
      <c r="BE166" s="925"/>
      <c r="BF166" s="925"/>
      <c r="BG166" s="925"/>
      <c r="BH166" s="925"/>
      <c r="BI166" s="925"/>
      <c r="BJ166" s="925"/>
      <c r="BK166" s="925"/>
      <c r="BL166" s="925"/>
      <c r="BM166" s="925"/>
      <c r="BN166" s="1283"/>
      <c r="BO166" s="1283"/>
      <c r="BP166" s="1283"/>
      <c r="BQ166" s="960"/>
      <c r="BR166" s="960"/>
      <c r="BS166" s="1046" t="s">
        <v>1782</v>
      </c>
      <c r="BT166" s="1048"/>
      <c r="BU166" s="1048"/>
      <c r="BV166" s="962"/>
      <c r="BW166" s="962"/>
    </row>
    <row customHeight="1" ht="14.625" hidden="1">
      <c r="A167" s="960"/>
      <c r="B167" s="62"/>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482"/>
      <c r="Y167" s="960"/>
      <c r="Z167" s="1465"/>
      <c r="AA167" s="960"/>
      <c r="AB167" s="178" cm="1" t="str">
        <f t="array" ref="AB167:AB167">D167</f>
        <v>14</v>
      </c>
      <c r="AC167" s="179" t="s">
        <v>1784</v>
      </c>
      <c r="AD167" s="178" t="s">
        <v>784</v>
      </c>
      <c r="AE167" s="1282"/>
      <c r="AF167" s="1282"/>
      <c r="AG167" s="1282"/>
      <c r="AH167" s="926"/>
      <c r="AI167" s="1289"/>
      <c r="AJ167" s="4614"/>
      <c r="AK167" s="1289"/>
      <c r="AL167" s="1289"/>
      <c r="AM167" s="1289"/>
      <c r="AN167" s="1289"/>
      <c r="AO167" s="1289"/>
      <c r="AP167" s="1289"/>
      <c r="AQ167" s="1289"/>
      <c r="AR167" s="1289"/>
      <c r="AS167" s="1289"/>
      <c r="AT167" s="4614"/>
      <c r="AU167" s="1289"/>
      <c r="AV167" s="1289"/>
      <c r="AW167" s="1289"/>
      <c r="AX167" s="1289"/>
      <c r="AY167" s="1289"/>
      <c r="AZ167" s="1289"/>
      <c r="BA167" s="1289"/>
      <c r="BB167" s="1289"/>
      <c r="BC167" s="1289"/>
      <c r="BD167" s="925"/>
      <c r="BE167" s="925"/>
      <c r="BF167" s="925"/>
      <c r="BG167" s="925"/>
      <c r="BH167" s="925"/>
      <c r="BI167" s="925"/>
      <c r="BJ167" s="925"/>
      <c r="BK167" s="925"/>
      <c r="BL167" s="925"/>
      <c r="BM167" s="925"/>
      <c r="BN167" s="1283"/>
      <c r="BO167" s="1283"/>
      <c r="BP167" s="1283"/>
      <c r="BQ167" s="960"/>
      <c r="BR167" s="960"/>
      <c r="BS167" s="1046" t="s">
        <v>1785</v>
      </c>
      <c r="BT167" s="1048"/>
      <c r="BU167" s="1048"/>
      <c r="BV167" s="962"/>
      <c r="BW167" s="962"/>
    </row>
    <row customHeight="1" ht="57.768750000000004" hidden="1">
      <c r="A168" s="960"/>
      <c r="B168" s="62"/>
      <c r="C168" s="73"/>
      <c r="D168" s="73" cm="1" t="str">
        <f t="array" ref="D168:D168">D167</f>
        <v>14</v>
      </c>
      <c r="E168" s="600">
        <v>59.25</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482"/>
      <c r="Y168" s="960"/>
      <c r="Z168" s="1465"/>
      <c r="AA168" s="960"/>
      <c r="AB168" s="267" t="str">
        <f>D168&amp;".1"</f>
        <v>14.1</v>
      </c>
      <c r="AC168" s="743" t="s">
        <v>1787</v>
      </c>
      <c r="AD168" s="267" t="s">
        <v>784</v>
      </c>
      <c r="AE168" s="1282"/>
      <c r="AF168" s="1282"/>
      <c r="AG168" s="1282"/>
      <c r="AH168" s="926">
        <f>AG168-AF168</f>
        <v>0</v>
      </c>
      <c r="AI168" s="1289"/>
      <c r="AJ168" s="4614"/>
      <c r="AK168" s="1289"/>
      <c r="AL168" s="1289"/>
      <c r="AM168" s="1289"/>
      <c r="AN168" s="1289"/>
      <c r="AO168" s="1289"/>
      <c r="AP168" s="1289"/>
      <c r="AQ168" s="1289"/>
      <c r="AR168" s="1289"/>
      <c r="AS168" s="1289"/>
      <c r="AT168" s="4614"/>
      <c r="AU168" s="1289"/>
      <c r="AV168" s="1289"/>
      <c r="AW168" s="1289"/>
      <c r="AX168" s="1289"/>
      <c r="AY168" s="1289"/>
      <c r="AZ168" s="1289"/>
      <c r="BA168" s="1289"/>
      <c r="BB168" s="1289"/>
      <c r="BC168" s="1289"/>
      <c r="BD168" s="925"/>
      <c r="BE168" s="925"/>
      <c r="BF168" s="925"/>
      <c r="BG168" s="925"/>
      <c r="BH168" s="925"/>
      <c r="BI168" s="925"/>
      <c r="BJ168" s="925"/>
      <c r="BK168" s="925"/>
      <c r="BL168" s="925"/>
      <c r="BM168" s="925"/>
      <c r="BN168" s="1283"/>
      <c r="BO168" s="1283"/>
      <c r="BP168" s="1283"/>
      <c r="BQ168" s="960"/>
      <c r="BR168" s="960"/>
      <c r="BS168" s="1046" t="s">
        <v>1788</v>
      </c>
      <c r="BT168" s="1055"/>
      <c r="BU168" s="1055"/>
      <c r="BV168" s="1056"/>
      <c r="BW168" s="1056"/>
    </row>
    <row customHeight="1" ht="33.345000000000006" hidden="1">
      <c r="A169" s="960"/>
      <c r="B169" s="62"/>
      <c r="C169" s="73"/>
      <c r="D169" s="73" cm="1" t="str">
        <f t="array" ref="D169:D169">D168</f>
        <v>14</v>
      </c>
      <c r="E169" s="600">
        <v>34.2</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482"/>
      <c r="Y169" s="960"/>
      <c r="Z169" s="1465"/>
      <c r="AA169" s="960"/>
      <c r="AB169" s="267" t="str">
        <f>D169&amp;".2"</f>
        <v>14.2</v>
      </c>
      <c r="AC169" s="743" t="s">
        <v>1790</v>
      </c>
      <c r="AD169" s="267" t="s">
        <v>784</v>
      </c>
      <c r="AE169" s="1282"/>
      <c r="AF169" s="1282"/>
      <c r="AG169" s="1282"/>
      <c r="AH169" s="926">
        <f>AG169-AF169</f>
        <v>0</v>
      </c>
      <c r="AI169" s="1289"/>
      <c r="AJ169" s="4614"/>
      <c r="AK169" s="1289"/>
      <c r="AL169" s="1289"/>
      <c r="AM169" s="1289"/>
      <c r="AN169" s="1289"/>
      <c r="AO169" s="1289"/>
      <c r="AP169" s="1289"/>
      <c r="AQ169" s="1289"/>
      <c r="AR169" s="1289"/>
      <c r="AS169" s="1289"/>
      <c r="AT169" s="4614"/>
      <c r="AU169" s="1289"/>
      <c r="AV169" s="1289"/>
      <c r="AW169" s="1289"/>
      <c r="AX169" s="1289"/>
      <c r="AY169" s="1289"/>
      <c r="AZ169" s="1289"/>
      <c r="BA169" s="1289"/>
      <c r="BB169" s="1289"/>
      <c r="BC169" s="1289"/>
      <c r="BD169" s="925"/>
      <c r="BE169" s="925"/>
      <c r="BF169" s="925"/>
      <c r="BG169" s="925"/>
      <c r="BH169" s="925"/>
      <c r="BI169" s="925"/>
      <c r="BJ169" s="925"/>
      <c r="BK169" s="925"/>
      <c r="BL169" s="925"/>
      <c r="BM169" s="925"/>
      <c r="BN169" s="1283"/>
      <c r="BO169" s="1283"/>
      <c r="BP169" s="1283"/>
      <c r="BQ169" s="960"/>
      <c r="BR169" s="960"/>
      <c r="BS169" s="1046" t="s">
        <v>1791</v>
      </c>
      <c r="BT169" s="1055"/>
      <c r="BU169" s="1055"/>
      <c r="BV169" s="1056"/>
      <c r="BW169" s="1056"/>
    </row>
    <row customHeight="1" ht="33.345000000000006" hidden="1">
      <c r="A170" s="472"/>
      <c r="B170" s="734"/>
      <c r="C170" s="73"/>
      <c r="D170" s="73" cm="1" t="str">
        <f t="array" ref="D170:D170">D169</f>
        <v>14</v>
      </c>
      <c r="E170" s="600">
        <v>34.2</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482"/>
      <c r="Y170" s="472"/>
      <c r="Z170" s="1465"/>
      <c r="AA170" s="472"/>
      <c r="AB170" s="267" t="str">
        <f>D170&amp;".3"</f>
        <v>14.3</v>
      </c>
      <c r="AC170" s="743" t="s">
        <v>2071</v>
      </c>
      <c r="AD170" s="267" t="s">
        <v>784</v>
      </c>
      <c r="AE170" s="928"/>
      <c r="AF170" s="1282"/>
      <c r="AG170" s="1282"/>
      <c r="AH170" s="226">
        <f>AG170-AF170</f>
        <v>0</v>
      </c>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1283"/>
      <c r="BO170" s="1283"/>
      <c r="BP170" s="1283"/>
      <c r="BQ170" s="960"/>
      <c r="BR170" s="960"/>
      <c r="BS170" s="1055" t="s">
        <v>2072</v>
      </c>
      <c r="BT170" s="1055"/>
      <c r="BU170" s="1055"/>
      <c r="BV170" s="1056"/>
      <c r="BW170" s="1056"/>
    </row>
    <row s="4780" customFormat="1" customHeight="1" ht="14.25">
      <c r="A171" s="1153"/>
      <c r="B171" s="401"/>
      <c r="C171" s="1153"/>
      <c r="D171" s="1153"/>
      <c r="E171" s="597">
        <v>15</v>
      </c>
      <c r="F171" s="64" cm="1" t="str">
        <f t="array" ref="F171:F171">X171</f>
        <v>1</v>
      </c>
      <c r="G171" s="64" cm="1" t="str">
        <f t="array" ref="G171:G171">INDEX('Общие сведения'!$AK$179:$AK$222,MATCH($X171,'Общие сведения'!$Z$179:$Z$222,0))</f>
        <v>одноставочный</v>
      </c>
      <c r="H171" s="1153"/>
      <c r="I171" s="64"/>
      <c r="J171" s="1153"/>
      <c r="K171" s="1153"/>
      <c r="L171" s="965"/>
      <c r="M171" s="399"/>
      <c r="N171" s="1153"/>
      <c r="O171" s="1153"/>
      <c r="P171" s="1153"/>
      <c r="Q171" s="1153"/>
      <c r="R171" s="1153"/>
      <c r="S171" s="88" cm="1" t="str">
        <f t="array" ref="S171:S171">INDEX('Общие сведения'!$AE$179:$AE$222,MATCH($X171,'Общие сведения'!$Z$179:$Z$222,0))</f>
        <v>Водоснабжение</v>
      </c>
      <c r="T171" s="439">
        <f>X171&gt;0</f>
        <v>1</v>
      </c>
      <c r="U171" s="1153"/>
      <c r="V171" s="88" cm="1" t="str">
        <f t="array" ref="V171:V171">'Калькуляция (МИ)'!$AB$171</f>
        <v>Тариф 1 (Водоснабжение) - тариф на техническую воду (Оказание услуг на территории: Прокопьевский муниципальный округ (ОКТМО: 32522000) - п Калачево)</v>
      </c>
      <c r="W171" s="1153"/>
      <c r="X171" s="1482" t="s">
        <v>272</v>
      </c>
      <c r="Y171" s="1153"/>
      <c r="Z171" s="1465"/>
      <c r="AA171" s="1153"/>
      <c r="AB171" s="348" cm="1" t="str">
        <f t="array" ref="AB171:AB171">'Калькуляция (МИ)'!$AB$171</f>
        <v>Тариф 1 (Водоснабжение) - тариф на техническую воду (Оказание услуг на территории: Прокопьевский муниципальный округ (ОКТМО: 32522000) - п Калачево)</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4781" customFormat="1" customHeight="1" ht="201.75">
      <c r="A172" s="127"/>
      <c r="B172" s="407"/>
      <c r="C172" s="127"/>
      <c r="D172" s="127"/>
      <c r="E172" s="685">
        <v>21</v>
      </c>
      <c r="F172" s="50" cm="1" t="str">
        <f t="array" ref="F172:F172">OFFSET(E172,-1,1)</f>
        <v>1</v>
      </c>
      <c r="G172" s="127"/>
      <c r="H172" s="344"/>
      <c r="I172" s="344" t="s">
        <v>325</v>
      </c>
      <c r="J172" s="127"/>
      <c r="K172" s="344" t="s">
        <v>325</v>
      </c>
      <c r="L172" s="966"/>
      <c r="M172" s="837"/>
      <c r="N172" s="127"/>
      <c r="O172" s="127"/>
      <c r="P172" s="127"/>
      <c r="Q172" s="127"/>
      <c r="R172" s="127" t="s">
        <v>2093</v>
      </c>
      <c r="S172" s="127"/>
      <c r="T172" s="439" cm="1" t="str">
        <f t="array" ref="T172:T172">T171</f>
        <v>true</v>
      </c>
      <c r="U172" s="127"/>
      <c r="V172" s="127"/>
      <c r="W172" s="127"/>
      <c r="X172" s="1482"/>
      <c r="Y172" s="127"/>
      <c r="Z172" s="1465"/>
      <c r="AA172" s="127"/>
      <c r="AB172" s="214" t="s">
        <v>272</v>
      </c>
      <c r="AC172" s="179" t="s">
        <v>1798</v>
      </c>
      <c r="AD172" s="201" t="s">
        <v>784</v>
      </c>
      <c r="AE172" s="742">
        <f>SUM(AE174,AE191,AE197,AE217,AE218,AE219)</f>
        <v>4906.3013040497</v>
      </c>
      <c r="AF172" s="742">
        <f>SUM(AF174,AF191,AF197,AF217,AF218,AF219)</f>
        <v>17151.4518927443</v>
      </c>
      <c r="AG172" s="742">
        <f>SUM(AG174,AG191,AG197,AG217,AG218,AG219)</f>
        <v>0</v>
      </c>
      <c r="AH172" s="742">
        <f>AG172-AF172</f>
        <v>-17151.4518927443</v>
      </c>
      <c r="AI172" s="4595">
        <v>5061.2422992316</v>
      </c>
      <c r="AJ172" s="4595">
        <v>5288.9982026971</v>
      </c>
      <c r="AK172" s="1273">
        <f>AJ172*AK173</f>
        <v>5288.9982026971</v>
      </c>
      <c r="AL172" s="1273">
        <f>AK172*AL173</f>
        <v>5288.9982026971</v>
      </c>
      <c r="AM172" s="4595">
        <f>AL172*AM173</f>
        <v>5288.9982026971</v>
      </c>
      <c r="AN172" s="4595">
        <f>AM172*AN173</f>
        <v>5288.9982026971</v>
      </c>
      <c r="AO172" s="4595">
        <f>AN172*AO173</f>
        <v>5288.9982026971</v>
      </c>
      <c r="AP172" s="4595">
        <f>AO172*AP173</f>
        <v>5288.9982026971</v>
      </c>
      <c r="AQ172" s="4595">
        <f>AP172*AQ173</f>
        <v>5288.9982026971</v>
      </c>
      <c r="AR172" s="4595">
        <f>AQ172*AR173</f>
        <v>5288.9982026971</v>
      </c>
      <c r="AS172" s="4595">
        <f>AR172*AS173</f>
        <v>5288.9982026971</v>
      </c>
      <c r="AT172" s="4595">
        <v>5306.3339775919</v>
      </c>
      <c r="AU172" s="1273">
        <f>AT172*AU173</f>
        <v>5306.3339775919</v>
      </c>
      <c r="AV172" s="1273">
        <f>AU172*AV173</f>
        <v>5306.3339775919</v>
      </c>
      <c r="AW172" s="4595">
        <f>AV172*AW173</f>
        <v>5306.3339775919</v>
      </c>
      <c r="AX172" s="4595">
        <f>AW172*AX173</f>
        <v>5306.3339775919</v>
      </c>
      <c r="AY172" s="4595">
        <f>AX172*AY173</f>
        <v>5306.3339775919</v>
      </c>
      <c r="AZ172" s="4595">
        <f>AY172*AZ173</f>
        <v>5306.3339775919</v>
      </c>
      <c r="BA172" s="4595">
        <f>AZ172*BA173</f>
        <v>5306.3339775919</v>
      </c>
      <c r="BB172" s="4595">
        <f>BA172*BB173</f>
        <v>5306.3339775919</v>
      </c>
      <c r="BC172" s="4595">
        <f>BB172*BC173</f>
        <v>5306.3339775919</v>
      </c>
      <c r="BD172" s="742">
        <f>IF(AI172=0,0,(AT172-AI172)/AI172*100)</f>
        <v>4.84252015355026</v>
      </c>
      <c r="BE172" s="742">
        <f>IF(AT172=0,0,(AU172-AT172)/AT172*100)</f>
        <v>0</v>
      </c>
      <c r="BF172" s="742">
        <f>IF(AU172=0,0,(AV172-AU172)/AU172*100)</f>
        <v>0</v>
      </c>
      <c r="BG172" s="742">
        <f>IF(AV172=0,0,(AW172-AV172)/AV172*100)</f>
        <v>0</v>
      </c>
      <c r="BH172" s="742">
        <f>IF(AW172=0,0,(AX172-AW172)/AW172*100)</f>
        <v>0</v>
      </c>
      <c r="BI172" s="742">
        <f>IF(AX172=0,0,(AY172-AX172)/AX172*100)</f>
        <v>0</v>
      </c>
      <c r="BJ172" s="742">
        <f>IF(AY172=0,0,(AZ172-AY172)/AY172*100)</f>
        <v>0</v>
      </c>
      <c r="BK172" s="742">
        <f>IF(AZ172=0,0,(BA172-AZ172)/AZ172*100)</f>
        <v>0</v>
      </c>
      <c r="BL172" s="742">
        <f>IF(BA172=0,0,(BB172-BA172)/BA172*100)</f>
        <v>0</v>
      </c>
      <c r="BM172" s="742">
        <f>IF(BB172=0,0,(BC172-BB172)/BB172*100)</f>
        <v>0</v>
      </c>
      <c r="BN172" s="4782" t="s">
        <v>2073</v>
      </c>
      <c r="BO172" s="4782" t="s">
        <v>2074</v>
      </c>
      <c r="BP172" s="4782" t="s">
        <v>2075</v>
      </c>
      <c r="BQ172" s="126"/>
      <c r="BR172" s="127"/>
      <c r="BS172" s="1052" t="s">
        <v>504</v>
      </c>
      <c r="BT172" s="1052"/>
      <c r="BU172" s="1052"/>
      <c r="BV172" s="685"/>
      <c r="BW172" s="685"/>
    </row>
    <row s="1621" customFormat="1" customHeight="1" ht="14.625">
      <c r="A173" s="960"/>
      <c r="B173" s="961"/>
      <c r="C173" s="960"/>
      <c r="D173" s="960"/>
      <c r="E173" s="683">
        <v>15</v>
      </c>
      <c r="F173" s="50" cm="1" t="str">
        <f t="array" ref="F173:F173">OFFSET(E173,-1,1)</f>
        <v>1</v>
      </c>
      <c r="G173" s="960"/>
      <c r="H173" s="345"/>
      <c r="I173" s="345" t="s">
        <v>441</v>
      </c>
      <c r="J173" s="960"/>
      <c r="K173" s="345" t="s">
        <v>441</v>
      </c>
      <c r="L173" s="963"/>
      <c r="M173" s="73"/>
      <c r="N173" s="960"/>
      <c r="O173" s="960"/>
      <c r="P173" s="960"/>
      <c r="Q173" s="960"/>
      <c r="R173" s="127" t="s">
        <v>2093</v>
      </c>
      <c r="S173" s="960"/>
      <c r="T173" s="439" cm="1" t="str">
        <f t="array" ref="T173:T173">T172</f>
        <v>true</v>
      </c>
      <c r="U173" s="960"/>
      <c r="V173" s="960"/>
      <c r="W173" s="960"/>
      <c r="X173" s="1482"/>
      <c r="Y173" s="960"/>
      <c r="Z173" s="1465"/>
      <c r="AA173" s="960"/>
      <c r="AB173" s="266" t="s">
        <v>845</v>
      </c>
      <c r="AC173" s="743" t="s">
        <v>1799</v>
      </c>
      <c r="AD173" s="267"/>
      <c r="AE173" s="4743"/>
      <c r="AF173" s="4743"/>
      <c r="AG173" s="4743"/>
      <c r="AH173" s="924">
        <f>AG173-AF173</f>
        <v>0</v>
      </c>
      <c r="AI173" s="4743">
        <v>1.03158</v>
      </c>
      <c r="AJ173" s="4743">
        <v>1.045</v>
      </c>
      <c r="AK173" s="1279">
        <f>_xlfn.SUMIFS(INDEX(Сценарии!$AE$25:$BF$109,,MATCH(AK$8,Сценарии!$AE$8:$BF$8,0)),Сценарии!$F$25:$F$109,$F173,Сценарии!$G$25:$G$109,"ИОР")</f>
        <v>1</v>
      </c>
      <c r="AL173" s="1279">
        <f>_xlfn.SUMIFS(INDEX(Сценарии!$AE$25:$BF$109,,MATCH(AL$8,Сценарии!$AE$8:$BF$8,0)),Сценарии!$F$25:$F$109,$F173,Сценарии!$G$25:$G$109,"ИОР")</f>
        <v>1</v>
      </c>
      <c r="AM173" s="4743">
        <f>_xlfn.SUMIFS(INDEX(Сценарии!$AE$25:$BF$109,,MATCH(AM$8,Сценарии!$AE$8:$BF$8,0)),Сценарии!$F$25:$F$109,$F173,Сценарии!$G$25:$G$109,"ИОР")</f>
        <v>1</v>
      </c>
      <c r="AN173" s="4743">
        <f>_xlfn.SUMIFS(INDEX(Сценарии!$AE$25:$BF$109,,MATCH(AN$8,Сценарии!$AE$8:$BF$8,0)),Сценарии!$F$25:$F$109,$F173,Сценарии!$G$25:$G$109,"ИОР")</f>
        <v>1</v>
      </c>
      <c r="AO173" s="4743">
        <f>_xlfn.SUMIFS(INDEX(Сценарии!$AE$25:$BF$109,,MATCH(AO$8,Сценарии!$AE$8:$BF$8,0)),Сценарии!$F$25:$F$109,$F173,Сценарии!$G$25:$G$109,"ИОР")</f>
        <v>1</v>
      </c>
      <c r="AP173" s="4743">
        <f>_xlfn.SUMIFS(INDEX(Сценарии!$AE$25:$BF$109,,MATCH(AP$8,Сценарии!$AE$8:$BF$8,0)),Сценарии!$F$25:$F$109,$F173,Сценарии!$G$25:$G$109,"ИОР")</f>
        <v>1</v>
      </c>
      <c r="AQ173" s="4743">
        <f>_xlfn.SUMIFS(INDEX(Сценарии!$AE$25:$BF$109,,MATCH(AQ$8,Сценарии!$AE$8:$BF$8,0)),Сценарии!$F$25:$F$109,$F173,Сценарии!$G$25:$G$109,"ИОР")</f>
        <v>1</v>
      </c>
      <c r="AR173" s="4743">
        <f>_xlfn.SUMIFS(INDEX(Сценарии!$AE$25:$BF$109,,MATCH(AR$8,Сценарии!$AE$8:$BF$8,0)),Сценарии!$F$25:$F$109,$F173,Сценарии!$G$25:$G$109,"ИОР")</f>
        <v>1</v>
      </c>
      <c r="AS173" s="4743">
        <f>_xlfn.SUMIFS(INDEX(Сценарии!$AE$25:$BF$109,,MATCH(AS$8,Сценарии!$AE$8:$BF$8,0)),Сценарии!$F$25:$F$109,$F173,Сценарии!$G$25:$G$109,"ИОР")</f>
        <v>1</v>
      </c>
      <c r="AT173" s="4743">
        <v>1.03257</v>
      </c>
      <c r="AU173" s="1279">
        <f>_xlfn.SUMIFS(INDEX(Сценарии!$AE$25:$BF$109,,MATCH(AU$8,Сценарии!$AE$8:$BF$8,0)),Сценарии!$F$25:$F$109,$F173,Сценарии!$G$25:$G$109,"ИОР")</f>
        <v>1</v>
      </c>
      <c r="AV173" s="1279">
        <f>_xlfn.SUMIFS(INDEX(Сценарии!$AE$25:$BF$109,,MATCH(AV$8,Сценарии!$AE$8:$BF$8,0)),Сценарии!$F$25:$F$109,$F173,Сценарии!$G$25:$G$109,"ИОР")</f>
        <v>1</v>
      </c>
      <c r="AW173" s="4743">
        <f>_xlfn.SUMIFS(INDEX(Сценарии!$AE$25:$BF$109,,MATCH(AW$8,Сценарии!$AE$8:$BF$8,0)),Сценарии!$F$25:$F$109,$F173,Сценарии!$G$25:$G$109,"ИОР")</f>
        <v>1</v>
      </c>
      <c r="AX173" s="4743">
        <f>_xlfn.SUMIFS(INDEX(Сценарии!$AE$25:$BF$109,,MATCH(AX$8,Сценарии!$AE$8:$BF$8,0)),Сценарии!$F$25:$F$109,$F173,Сценарии!$G$25:$G$109,"ИОР")</f>
        <v>1</v>
      </c>
      <c r="AY173" s="4743">
        <f>_xlfn.SUMIFS(INDEX(Сценарии!$AE$25:$BF$109,,MATCH(AY$8,Сценарии!$AE$8:$BF$8,0)),Сценарии!$F$25:$F$109,$F173,Сценарии!$G$25:$G$109,"ИОР")</f>
        <v>1</v>
      </c>
      <c r="AZ173" s="4743">
        <f>_xlfn.SUMIFS(INDEX(Сценарии!$AE$25:$BF$109,,MATCH(AZ$8,Сценарии!$AE$8:$BF$8,0)),Сценарии!$F$25:$F$109,$F173,Сценарии!$G$25:$G$109,"ИОР")</f>
        <v>1</v>
      </c>
      <c r="BA173" s="4743">
        <f>_xlfn.SUMIFS(INDEX(Сценарии!$AE$25:$BF$109,,MATCH(BA$8,Сценарии!$AE$8:$BF$8,0)),Сценарии!$F$25:$F$109,$F173,Сценарии!$G$25:$G$109,"ИОР")</f>
        <v>1</v>
      </c>
      <c r="BB173" s="4743">
        <f>_xlfn.SUMIFS(INDEX(Сценарии!$AE$25:$BF$109,,MATCH(BB$8,Сценарии!$AE$8:$BF$8,0)),Сценарии!$F$25:$F$109,$F173,Сценарии!$G$25:$G$109,"ИОР")</f>
        <v>1</v>
      </c>
      <c r="BC173" s="4743">
        <f>_xlfn.SUMIFS(INDEX(Сценарии!$AE$25:$BF$109,,MATCH(BC$8,Сценарии!$AE$8:$BF$8,0)),Сценарии!$F$25:$F$109,$F173,Сценарии!$G$25:$G$109,"ИОР")</f>
        <v>1</v>
      </c>
      <c r="BD173" s="925"/>
      <c r="BE173" s="925"/>
      <c r="BF173" s="925"/>
      <c r="BG173" s="925"/>
      <c r="BH173" s="925"/>
      <c r="BI173" s="925"/>
      <c r="BJ173" s="925"/>
      <c r="BK173" s="925"/>
      <c r="BL173" s="925"/>
      <c r="BM173" s="925"/>
      <c r="BN173" s="4782"/>
      <c r="BO173" s="4782"/>
      <c r="BP173" s="4782"/>
      <c r="BQ173" s="960"/>
      <c r="BR173" s="960"/>
      <c r="BS173" s="1048" t="s">
        <v>1800</v>
      </c>
      <c r="BT173" s="1048"/>
      <c r="BU173" s="1048"/>
      <c r="BV173" s="962"/>
      <c r="BW173" s="962"/>
    </row>
    <row s="407" customFormat="1" customHeight="1" ht="20.25">
      <c r="A174" s="126"/>
      <c r="B174" s="407"/>
      <c r="C174" s="126"/>
      <c r="D174" s="126"/>
      <c r="E174" s="686">
        <v>21</v>
      </c>
      <c r="F174" s="50" cm="1" t="str">
        <f t="array" ref="F174:F174">OFFSET(E174,-1,1)</f>
        <v>1</v>
      </c>
      <c r="G174" s="126"/>
      <c r="H174" s="344"/>
      <c r="I174" s="344" t="s">
        <v>445</v>
      </c>
      <c r="J174" s="126"/>
      <c r="K174" s="344" t="s">
        <v>445</v>
      </c>
      <c r="L174" s="967" t="s">
        <v>325</v>
      </c>
      <c r="M174" s="840"/>
      <c r="N174" s="126"/>
      <c r="O174" s="126"/>
      <c r="P174" s="126"/>
      <c r="Q174" s="124" t="s">
        <v>2093</v>
      </c>
      <c r="R174" s="127" t="s">
        <v>2093</v>
      </c>
      <c r="S174" s="126"/>
      <c r="T174" s="439" cm="1" t="str">
        <f t="array" ref="T174:T174">T173</f>
        <v>true</v>
      </c>
      <c r="U174" s="126"/>
      <c r="V174" s="126"/>
      <c r="W174" s="126"/>
      <c r="X174" s="1482"/>
      <c r="Y174" s="126"/>
      <c r="Z174" s="1465"/>
      <c r="AA174" s="126"/>
      <c r="AB174" s="214" t="s">
        <v>848</v>
      </c>
      <c r="AC174" s="328" t="s">
        <v>1586</v>
      </c>
      <c r="AD174" s="201" t="s">
        <v>784</v>
      </c>
      <c r="AE174" s="742">
        <f>SUM(AE175,AE178,AE179,AE182,AE183)</f>
        <v>3562.2567265317</v>
      </c>
      <c r="AF174" s="742">
        <f>SUM(AF175,AF178,AF179,AF182,AF183)</f>
        <v>11247.8125292752</v>
      </c>
      <c r="AG174" s="742">
        <f>SUM(AG175,AG178,AG179,AG182,AG183)</f>
        <v>0</v>
      </c>
      <c r="AH174" s="742">
        <f>AG174-AF174</f>
        <v>-11247.8125292752</v>
      </c>
      <c r="AI174" s="4745">
        <f>SUM(AI175,AI178,AI179,AI182,AI183)</f>
        <v>0</v>
      </c>
      <c r="AJ174" s="4743"/>
      <c r="AK174" s="745"/>
      <c r="AL174" s="745"/>
      <c r="AM174" s="745"/>
      <c r="AN174" s="745"/>
      <c r="AO174" s="745"/>
      <c r="AP174" s="745"/>
      <c r="AQ174" s="745"/>
      <c r="AR174" s="745"/>
      <c r="AS174" s="745"/>
      <c r="AT174" s="745"/>
      <c r="AU174" s="745"/>
      <c r="AV174" s="745"/>
      <c r="AW174" s="745"/>
      <c r="AX174" s="745"/>
      <c r="AY174" s="745"/>
      <c r="AZ174" s="745"/>
      <c r="BA174" s="745"/>
      <c r="BB174" s="745"/>
      <c r="BC174" s="745"/>
      <c r="BD174" s="745"/>
      <c r="BE174" s="745"/>
      <c r="BF174" s="745"/>
      <c r="BG174" s="745"/>
      <c r="BH174" s="745"/>
      <c r="BI174" s="745"/>
      <c r="BJ174" s="745"/>
      <c r="BK174" s="745"/>
      <c r="BL174" s="745"/>
      <c r="BM174" s="745"/>
      <c r="BN174" s="4783"/>
      <c r="BO174" s="4783"/>
      <c r="BP174" s="4783"/>
      <c r="BQ174" s="126"/>
      <c r="BR174" s="126"/>
      <c r="BS174" s="1046" t="s">
        <v>498</v>
      </c>
      <c r="BT174" s="1053"/>
      <c r="BU174" s="1053"/>
      <c r="BV174" s="686"/>
      <c r="BW174" s="686"/>
    </row>
    <row s="1621" customFormat="1" customHeight="1" ht="14.25">
      <c r="A175" s="960"/>
      <c r="B175" s="961"/>
      <c r="C175" s="960"/>
      <c r="D175" s="960"/>
      <c r="E175" s="683">
        <v>15</v>
      </c>
      <c r="F175" s="50" cm="1" t="str">
        <f t="array" ref="F175:F175">OFFSET(E175,-1,1)</f>
        <v>1</v>
      </c>
      <c r="G175" s="960"/>
      <c r="H175" s="345"/>
      <c r="I175" s="345" t="s">
        <v>1219</v>
      </c>
      <c r="J175" s="960"/>
      <c r="K175" s="345" t="s">
        <v>1219</v>
      </c>
      <c r="L175" s="963" t="s">
        <v>441</v>
      </c>
      <c r="M175" s="73"/>
      <c r="N175" s="960"/>
      <c r="O175" s="960"/>
      <c r="P175" s="960"/>
      <c r="Q175" s="124" t="s">
        <v>2093</v>
      </c>
      <c r="R175" s="127" t="s">
        <v>2093</v>
      </c>
      <c r="S175" s="960"/>
      <c r="T175" s="439" cm="1" t="str">
        <f t="array" ref="T175:T175">T174</f>
        <v>true</v>
      </c>
      <c r="U175" s="960"/>
      <c r="V175" s="960"/>
      <c r="W175" s="960"/>
      <c r="X175" s="1482"/>
      <c r="Y175" s="960"/>
      <c r="Z175" s="1465"/>
      <c r="AA175" s="960"/>
      <c r="AB175" s="266" t="s">
        <v>1220</v>
      </c>
      <c r="AC175" s="746" t="s">
        <v>1801</v>
      </c>
      <c r="AD175" s="747" t="s">
        <v>784</v>
      </c>
      <c r="AE175" s="926">
        <f>SUM(AE176,AE177)</f>
        <v>1.164</v>
      </c>
      <c r="AF175" s="926">
        <f>SUM(AF176,AF177)</f>
        <v>16.97088</v>
      </c>
      <c r="AG175" s="926">
        <f>SUM(AG176,AG177)</f>
        <v>0</v>
      </c>
      <c r="AH175" s="926">
        <f>AG175-AF175</f>
        <v>-16.97088</v>
      </c>
      <c r="AI175" s="4748">
        <f>SUM(AI176,AI177)</f>
        <v>0</v>
      </c>
      <c r="AJ175" s="4743"/>
      <c r="AK175" s="925"/>
      <c r="AL175" s="925"/>
      <c r="AM175" s="925"/>
      <c r="AN175" s="925"/>
      <c r="AO175" s="925"/>
      <c r="AP175" s="925"/>
      <c r="AQ175" s="925"/>
      <c r="AR175" s="925"/>
      <c r="AS175" s="925"/>
      <c r="AT175" s="925"/>
      <c r="AU175" s="925"/>
      <c r="AV175" s="925"/>
      <c r="AW175" s="925"/>
      <c r="AX175" s="925"/>
      <c r="AY175" s="925"/>
      <c r="AZ175" s="925"/>
      <c r="BA175" s="925"/>
      <c r="BB175" s="925"/>
      <c r="BC175" s="925"/>
      <c r="BD175" s="925"/>
      <c r="BE175" s="925"/>
      <c r="BF175" s="925"/>
      <c r="BG175" s="925"/>
      <c r="BH175" s="925"/>
      <c r="BI175" s="925"/>
      <c r="BJ175" s="925"/>
      <c r="BK175" s="925"/>
      <c r="BL175" s="925"/>
      <c r="BM175" s="925"/>
      <c r="BN175" s="4782"/>
      <c r="BO175" s="4782"/>
      <c r="BP175" s="4782"/>
      <c r="BQ175" s="76"/>
      <c r="BR175" s="960"/>
      <c r="BS175" s="1047" t="s">
        <v>1588</v>
      </c>
      <c r="BT175" s="1048"/>
      <c r="BU175" s="1048"/>
      <c r="BV175" s="962"/>
      <c r="BW175" s="962"/>
    </row>
    <row s="1621" customFormat="1" customHeight="1" ht="14.625">
      <c r="A176" s="960"/>
      <c r="B176" s="961"/>
      <c r="C176" s="960"/>
      <c r="D176" s="960"/>
      <c r="E176" s="683">
        <v>15</v>
      </c>
      <c r="F176" s="50" cm="1" t="str">
        <f t="array" ref="F176:F176">OFFSET(E176,-1,1)</f>
        <v>1</v>
      </c>
      <c r="G176" s="960"/>
      <c r="H176" s="345"/>
      <c r="I176" s="345" t="s">
        <v>1802</v>
      </c>
      <c r="J176" s="960"/>
      <c r="K176" s="345" t="s">
        <v>1802</v>
      </c>
      <c r="L176" s="963" t="s">
        <v>958</v>
      </c>
      <c r="M176" s="73"/>
      <c r="N176" s="960"/>
      <c r="O176" s="960"/>
      <c r="P176" s="960"/>
      <c r="Q176" s="124" t="s">
        <v>2093</v>
      </c>
      <c r="R176" s="127" t="s">
        <v>2093</v>
      </c>
      <c r="S176" s="960"/>
      <c r="T176" s="439" cm="1" t="str">
        <f t="array" ref="T176:T176">T175</f>
        <v>true</v>
      </c>
      <c r="U176" s="960"/>
      <c r="V176" s="960"/>
      <c r="W176" s="960"/>
      <c r="X176" s="1482"/>
      <c r="Y176" s="960"/>
      <c r="Z176" s="1465"/>
      <c r="AA176" s="960"/>
      <c r="AB176" s="266" t="s">
        <v>1803</v>
      </c>
      <c r="AC176" s="749" t="s">
        <v>1591</v>
      </c>
      <c r="AD176" s="747" t="s">
        <v>784</v>
      </c>
      <c r="AE176" s="4765">
        <v>1.164</v>
      </c>
      <c r="AF176" s="4765">
        <v>16.97088</v>
      </c>
      <c r="AG176" s="4765"/>
      <c r="AH176" s="926">
        <f>AG176-AF176</f>
        <v>-16.97088</v>
      </c>
      <c r="AI176" s="4750"/>
      <c r="AJ176" s="4743"/>
      <c r="AK176" s="925"/>
      <c r="AL176" s="925"/>
      <c r="AM176" s="925"/>
      <c r="AN176" s="925"/>
      <c r="AO176" s="925"/>
      <c r="AP176" s="925"/>
      <c r="AQ176" s="925"/>
      <c r="AR176" s="925"/>
      <c r="AS176" s="925"/>
      <c r="AT176" s="925"/>
      <c r="AU176" s="925"/>
      <c r="AV176" s="925"/>
      <c r="AW176" s="925"/>
      <c r="AX176" s="925"/>
      <c r="AY176" s="925"/>
      <c r="AZ176" s="925"/>
      <c r="BA176" s="925"/>
      <c r="BB176" s="925"/>
      <c r="BC176" s="925"/>
      <c r="BD176" s="925"/>
      <c r="BE176" s="925"/>
      <c r="BF176" s="925"/>
      <c r="BG176" s="925"/>
      <c r="BH176" s="925"/>
      <c r="BI176" s="925"/>
      <c r="BJ176" s="925"/>
      <c r="BK176" s="925"/>
      <c r="BL176" s="925"/>
      <c r="BM176" s="925"/>
      <c r="BN176" s="4782"/>
      <c r="BO176" s="4782"/>
      <c r="BP176" s="4782"/>
      <c r="BQ176" s="960"/>
      <c r="BR176" s="960"/>
      <c r="BS176" s="1046" t="s">
        <v>1592</v>
      </c>
      <c r="BT176" s="1048"/>
      <c r="BU176" s="1048"/>
      <c r="BV176" s="962"/>
      <c r="BW176" s="962"/>
    </row>
    <row s="1621" customFormat="1" customHeight="1" ht="14.25">
      <c r="A177" s="960"/>
      <c r="B177" s="961"/>
      <c r="C177" s="960"/>
      <c r="D177" s="960"/>
      <c r="E177" s="683">
        <v>15</v>
      </c>
      <c r="F177" s="50" cm="1" t="str">
        <f t="array" ref="F177:F177">OFFSET(E177,-1,1)</f>
        <v>1</v>
      </c>
      <c r="G177" s="960"/>
      <c r="H177" s="345"/>
      <c r="I177" s="345" t="s">
        <v>1804</v>
      </c>
      <c r="J177" s="960"/>
      <c r="K177" s="345" t="s">
        <v>1804</v>
      </c>
      <c r="L177" s="963" t="s">
        <v>1194</v>
      </c>
      <c r="M177" s="73"/>
      <c r="N177" s="960"/>
      <c r="O177" s="960"/>
      <c r="P177" s="960"/>
      <c r="Q177" s="124" t="s">
        <v>2093</v>
      </c>
      <c r="R177" s="127" t="s">
        <v>2093</v>
      </c>
      <c r="S177" s="960"/>
      <c r="T177" s="439" cm="1" t="str">
        <f t="array" ref="T177:T177">T176</f>
        <v>true</v>
      </c>
      <c r="U177" s="960"/>
      <c r="V177" s="960"/>
      <c r="W177" s="960"/>
      <c r="X177" s="1482"/>
      <c r="Y177" s="960"/>
      <c r="Z177" s="1465"/>
      <c r="AA177" s="960"/>
      <c r="AB177" s="266" t="s">
        <v>1805</v>
      </c>
      <c r="AC177" s="749" t="s">
        <v>1593</v>
      </c>
      <c r="AD177" s="747" t="s">
        <v>784</v>
      </c>
      <c r="AE177" s="4765"/>
      <c r="AF177" s="4765"/>
      <c r="AG177" s="4765"/>
      <c r="AH177" s="926">
        <f>AG177-AF177</f>
        <v>0</v>
      </c>
      <c r="AI177" s="4750"/>
      <c r="AJ177" s="4743"/>
      <c r="AK177" s="925"/>
      <c r="AL177" s="925"/>
      <c r="AM177" s="925"/>
      <c r="AN177" s="925"/>
      <c r="AO177" s="925"/>
      <c r="AP177" s="925"/>
      <c r="AQ177" s="925"/>
      <c r="AR177" s="925"/>
      <c r="AS177" s="925"/>
      <c r="AT177" s="925"/>
      <c r="AU177" s="925"/>
      <c r="AV177" s="925"/>
      <c r="AW177" s="925"/>
      <c r="AX177" s="925"/>
      <c r="AY177" s="925"/>
      <c r="AZ177" s="925"/>
      <c r="BA177" s="925"/>
      <c r="BB177" s="925"/>
      <c r="BC177" s="925"/>
      <c r="BD177" s="925"/>
      <c r="BE177" s="925"/>
      <c r="BF177" s="925"/>
      <c r="BG177" s="925"/>
      <c r="BH177" s="925"/>
      <c r="BI177" s="925"/>
      <c r="BJ177" s="925"/>
      <c r="BK177" s="925"/>
      <c r="BL177" s="925"/>
      <c r="BM177" s="925"/>
      <c r="BN177" s="4782"/>
      <c r="BO177" s="4782"/>
      <c r="BP177" s="4782"/>
      <c r="BQ177" s="960"/>
      <c r="BR177" s="960"/>
      <c r="BS177" s="1046" t="s">
        <v>1594</v>
      </c>
      <c r="BT177" s="1048"/>
      <c r="BU177" s="1048"/>
      <c r="BV177" s="962"/>
      <c r="BW177" s="962"/>
    </row>
    <row s="1621" customFormat="1" customHeight="1" ht="21.75">
      <c r="A178" s="960"/>
      <c r="B178" s="961"/>
      <c r="C178" s="960"/>
      <c r="D178" s="960"/>
      <c r="E178" s="683">
        <v>22.5</v>
      </c>
      <c r="F178" s="50" cm="1" t="str">
        <f t="array" ref="F178:F178">OFFSET(E178,-1,1)</f>
        <v>1</v>
      </c>
      <c r="G178" s="960"/>
      <c r="H178" s="345"/>
      <c r="I178" s="345" t="s">
        <v>1222</v>
      </c>
      <c r="J178" s="960"/>
      <c r="K178" s="345" t="s">
        <v>1222</v>
      </c>
      <c r="L178" s="963" t="s">
        <v>448</v>
      </c>
      <c r="M178" s="73"/>
      <c r="N178" s="960"/>
      <c r="O178" s="960"/>
      <c r="P178" s="960"/>
      <c r="Q178" s="124" t="s">
        <v>2093</v>
      </c>
      <c r="R178" s="127" t="s">
        <v>2093</v>
      </c>
      <c r="S178" s="960"/>
      <c r="T178" s="439" cm="1" t="str">
        <f t="array" ref="T178:T178">T177</f>
        <v>true</v>
      </c>
      <c r="U178" s="960"/>
      <c r="V178" s="960"/>
      <c r="W178" s="960"/>
      <c r="X178" s="1482"/>
      <c r="Y178" s="960"/>
      <c r="Z178" s="1465"/>
      <c r="AA178" s="960"/>
      <c r="AB178" s="266" t="s">
        <v>1223</v>
      </c>
      <c r="AC178" s="746" t="s">
        <v>1806</v>
      </c>
      <c r="AD178" s="747" t="s">
        <v>784</v>
      </c>
      <c r="AE178" s="4765"/>
      <c r="AF178" s="4765"/>
      <c r="AG178" s="4765"/>
      <c r="AH178" s="926">
        <f>AG178-AF178</f>
        <v>0</v>
      </c>
      <c r="AI178" s="4750"/>
      <c r="AJ178" s="4743"/>
      <c r="AK178" s="925"/>
      <c r="AL178" s="925"/>
      <c r="AM178" s="925"/>
      <c r="AN178" s="925"/>
      <c r="AO178" s="925"/>
      <c r="AP178" s="925"/>
      <c r="AQ178" s="925"/>
      <c r="AR178" s="925"/>
      <c r="AS178" s="925"/>
      <c r="AT178" s="925"/>
      <c r="AU178" s="925"/>
      <c r="AV178" s="925"/>
      <c r="AW178" s="925"/>
      <c r="AX178" s="925"/>
      <c r="AY178" s="925"/>
      <c r="AZ178" s="925"/>
      <c r="BA178" s="925"/>
      <c r="BB178" s="925"/>
      <c r="BC178" s="925"/>
      <c r="BD178" s="925"/>
      <c r="BE178" s="925"/>
      <c r="BF178" s="925"/>
      <c r="BG178" s="925"/>
      <c r="BH178" s="925"/>
      <c r="BI178" s="925"/>
      <c r="BJ178" s="925"/>
      <c r="BK178" s="925"/>
      <c r="BL178" s="925"/>
      <c r="BM178" s="925"/>
      <c r="BN178" s="4782"/>
      <c r="BO178" s="4782"/>
      <c r="BP178" s="4782"/>
      <c r="BQ178" s="960"/>
      <c r="BR178" s="960"/>
      <c r="BS178" s="1047" t="s">
        <v>1619</v>
      </c>
      <c r="BT178" s="1048"/>
      <c r="BU178" s="1048"/>
      <c r="BV178" s="962"/>
      <c r="BW178" s="962"/>
    </row>
    <row s="1621" customFormat="1" customHeight="1" ht="21.75">
      <c r="A179" s="960"/>
      <c r="B179" s="961"/>
      <c r="C179" s="960"/>
      <c r="D179" s="960"/>
      <c r="E179" s="683">
        <v>22.5</v>
      </c>
      <c r="F179" s="50" cm="1" t="str">
        <f t="array" ref="F179:F179">OFFSET(E179,-1,1)</f>
        <v>1</v>
      </c>
      <c r="G179" s="960"/>
      <c r="H179" s="345"/>
      <c r="I179" s="345" t="s">
        <v>1226</v>
      </c>
      <c r="J179" s="960"/>
      <c r="K179" s="345" t="s">
        <v>1226</v>
      </c>
      <c r="L179" s="963" t="s">
        <v>452</v>
      </c>
      <c r="M179" s="73"/>
      <c r="N179" s="960"/>
      <c r="O179" s="960"/>
      <c r="P179" s="960"/>
      <c r="Q179" s="124" t="s">
        <v>2093</v>
      </c>
      <c r="R179" s="127" t="s">
        <v>2093</v>
      </c>
      <c r="S179" s="960"/>
      <c r="T179" s="439" cm="1" t="str">
        <f t="array" ref="T179:T179">T178</f>
        <v>true</v>
      </c>
      <c r="U179" s="960"/>
      <c r="V179" s="960"/>
      <c r="W179" s="960"/>
      <c r="X179" s="1482"/>
      <c r="Y179" s="960"/>
      <c r="Z179" s="1465"/>
      <c r="AA179" s="960"/>
      <c r="AB179" s="266" t="s">
        <v>1227</v>
      </c>
      <c r="AC179" s="746" t="s">
        <v>1807</v>
      </c>
      <c r="AD179" s="747" t="s">
        <v>784</v>
      </c>
      <c r="AE179" s="927">
        <f>AE180+AE181</f>
        <v>2241.8844189738</v>
      </c>
      <c r="AF179" s="927">
        <f>AF180+AF181</f>
        <v>8085.9590365775</v>
      </c>
      <c r="AG179" s="927">
        <f>AG180+AG181</f>
        <v>0</v>
      </c>
      <c r="AH179" s="926">
        <f>AG179-AF179</f>
        <v>-8085.9590365775</v>
      </c>
      <c r="AI179" s="4752">
        <f>AI180+AI181</f>
        <v>0</v>
      </c>
      <c r="AJ179" s="4743"/>
      <c r="AK179" s="925"/>
      <c r="AL179" s="925"/>
      <c r="AM179" s="925"/>
      <c r="AN179" s="925"/>
      <c r="AO179" s="925"/>
      <c r="AP179" s="925"/>
      <c r="AQ179" s="925"/>
      <c r="AR179" s="925"/>
      <c r="AS179" s="925"/>
      <c r="AT179" s="925"/>
      <c r="AU179" s="925"/>
      <c r="AV179" s="925"/>
      <c r="AW179" s="925"/>
      <c r="AX179" s="925"/>
      <c r="AY179" s="925"/>
      <c r="AZ179" s="925"/>
      <c r="BA179" s="925"/>
      <c r="BB179" s="925"/>
      <c r="BC179" s="925"/>
      <c r="BD179" s="925"/>
      <c r="BE179" s="925"/>
      <c r="BF179" s="925"/>
      <c r="BG179" s="925"/>
      <c r="BH179" s="925"/>
      <c r="BI179" s="925"/>
      <c r="BJ179" s="925"/>
      <c r="BK179" s="925"/>
      <c r="BL179" s="925"/>
      <c r="BM179" s="925"/>
      <c r="BN179" s="4782"/>
      <c r="BO179" s="4782"/>
      <c r="BP179" s="4782"/>
      <c r="BQ179" s="960"/>
      <c r="BR179" s="960"/>
      <c r="BS179" s="1047" t="s">
        <v>1808</v>
      </c>
      <c r="BT179" s="1048"/>
      <c r="BU179" s="1048"/>
      <c r="BV179" s="962"/>
      <c r="BW179" s="962"/>
    </row>
    <row s="1621" customFormat="1" customHeight="1" ht="14.625">
      <c r="A180" s="960"/>
      <c r="B180" s="961"/>
      <c r="C180" s="960"/>
      <c r="D180" s="960"/>
      <c r="E180" s="683">
        <v>15</v>
      </c>
      <c r="F180" s="50" cm="1" t="str">
        <f t="array" ref="F180:F180">OFFSET(E180,-1,1)</f>
        <v>1</v>
      </c>
      <c r="G180" s="316" t="s">
        <v>1038</v>
      </c>
      <c r="H180" s="345"/>
      <c r="I180" s="345" t="s">
        <v>1370</v>
      </c>
      <c r="J180" s="960"/>
      <c r="K180" s="345" t="s">
        <v>1370</v>
      </c>
      <c r="L180" s="963" t="s">
        <v>1246</v>
      </c>
      <c r="M180" s="73"/>
      <c r="N180" s="960"/>
      <c r="O180" s="960"/>
      <c r="P180" s="960"/>
      <c r="Q180" s="124" t="s">
        <v>2093</v>
      </c>
      <c r="R180" s="127" t="s">
        <v>2093</v>
      </c>
      <c r="S180" s="960"/>
      <c r="T180" s="439" cm="1" t="str">
        <f t="array" ref="T180:T180">T179</f>
        <v>true</v>
      </c>
      <c r="U180" s="960"/>
      <c r="V180" s="960"/>
      <c r="W180" s="960"/>
      <c r="X180" s="1482"/>
      <c r="Y180" s="960"/>
      <c r="Z180" s="1465"/>
      <c r="AA180" s="960"/>
      <c r="AB180" s="266" t="s">
        <v>1809</v>
      </c>
      <c r="AC180" s="749" t="s">
        <v>1622</v>
      </c>
      <c r="AD180" s="747" t="s">
        <v>784</v>
      </c>
      <c r="AE180" s="4765">
        <v>1715.684104212</v>
      </c>
      <c r="AF180" s="4765">
        <v>6354.2350743658</v>
      </c>
      <c r="AG180" s="4765"/>
      <c r="AH180" s="926">
        <f>AG180-AF180</f>
        <v>-6354.2350743658</v>
      </c>
      <c r="AI180" s="4750"/>
      <c r="AJ180" s="4743"/>
      <c r="AK180" s="925"/>
      <c r="AL180" s="925"/>
      <c r="AM180" s="925"/>
      <c r="AN180" s="925"/>
      <c r="AO180" s="925"/>
      <c r="AP180" s="925"/>
      <c r="AQ180" s="925"/>
      <c r="AR180" s="925"/>
      <c r="AS180" s="925"/>
      <c r="AT180" s="925"/>
      <c r="AU180" s="925"/>
      <c r="AV180" s="925"/>
      <c r="AW180" s="925"/>
      <c r="AX180" s="925"/>
      <c r="AY180" s="925"/>
      <c r="AZ180" s="925"/>
      <c r="BA180" s="925"/>
      <c r="BB180" s="925"/>
      <c r="BC180" s="925"/>
      <c r="BD180" s="925"/>
      <c r="BE180" s="925"/>
      <c r="BF180" s="925"/>
      <c r="BG180" s="925"/>
      <c r="BH180" s="925"/>
      <c r="BI180" s="925"/>
      <c r="BJ180" s="925"/>
      <c r="BK180" s="925"/>
      <c r="BL180" s="925"/>
      <c r="BM180" s="925"/>
      <c r="BN180" s="4782"/>
      <c r="BO180" s="4784" t="str">
        <f>IF(_xlfn.IFERROR(INDEX(ФОТ!$K$26:$L$102,MATCH($F180&amp;"1komm",ФОТ!$K$26:$K$102,0),2),"")=0,"",_xlfn.IFERROR(INDEX(ФОТ!$K$26:$L$102,MATCH($F180&amp;"1komm",ФОТ!$K$26:$K$102,0),2),""))</f>
        <v/>
      </c>
      <c r="BP180" s="4782"/>
      <c r="BQ180" s="960"/>
      <c r="BR180" s="960"/>
      <c r="BS180" s="1046" t="s">
        <v>1623</v>
      </c>
      <c r="BT180" s="1048"/>
      <c r="BU180" s="1048"/>
      <c r="BV180" s="962"/>
      <c r="BW180" s="962"/>
    </row>
    <row s="1621" customFormat="1" customHeight="1" ht="23.25">
      <c r="A181" s="960"/>
      <c r="B181" s="961"/>
      <c r="C181" s="960"/>
      <c r="D181" s="960"/>
      <c r="E181" s="683">
        <v>22.5</v>
      </c>
      <c r="F181" s="50" cm="1" t="str">
        <f t="array" ref="F181:F181">OFFSET(E181,-1,1)</f>
        <v>1</v>
      </c>
      <c r="G181" s="316" t="s">
        <v>1050</v>
      </c>
      <c r="H181" s="345"/>
      <c r="I181" s="345" t="s">
        <v>1374</v>
      </c>
      <c r="J181" s="960"/>
      <c r="K181" s="345" t="s">
        <v>1374</v>
      </c>
      <c r="L181" s="963" t="s">
        <v>1247</v>
      </c>
      <c r="M181" s="73"/>
      <c r="N181" s="960"/>
      <c r="O181" s="960"/>
      <c r="P181" s="960"/>
      <c r="Q181" s="124" t="s">
        <v>2093</v>
      </c>
      <c r="R181" s="127" t="s">
        <v>2093</v>
      </c>
      <c r="S181" s="960"/>
      <c r="T181" s="439" cm="1" t="str">
        <f t="array" ref="T181:T181">T180</f>
        <v>true</v>
      </c>
      <c r="U181" s="960"/>
      <c r="V181" s="960"/>
      <c r="W181" s="960"/>
      <c r="X181" s="1482"/>
      <c r="Y181" s="960"/>
      <c r="Z181" s="1465"/>
      <c r="AA181" s="960"/>
      <c r="AB181" s="266" t="s">
        <v>1810</v>
      </c>
      <c r="AC181" s="749" t="s">
        <v>1811</v>
      </c>
      <c r="AD181" s="747" t="s">
        <v>784</v>
      </c>
      <c r="AE181" s="4765">
        <v>526.2003147618</v>
      </c>
      <c r="AF181" s="4765">
        <v>1731.7239622117</v>
      </c>
      <c r="AG181" s="4765">
        <f>AG180*_xlfn.SUMIFS(INDEX(Сценарии!$AE$25:$BF$109,,MATCH(AG$8,Сценарии!$AE$8:$BF$8,0)),Сценарии!$F$25:$F$109,$F181,Сценарии!$G$25:$G$109,"СВФОТ")/100</f>
        <v>0</v>
      </c>
      <c r="AH181" s="926">
        <f>AG181-AF181</f>
        <v>-1731.7239622117</v>
      </c>
      <c r="AI181" s="4750">
        <f>AI180*_xlfn.SUMIFS(INDEX(Сценарии!$AE$25:$BF$109,,MATCH(AG$8,Сценарии!$AE$8:$BF$8,0)),Сценарии!$F$25:$F$109,$F181,Сценарии!$G$25:$G$109,"СВФОТ")/100</f>
        <v>0</v>
      </c>
      <c r="AJ181" s="4743"/>
      <c r="AK181" s="925"/>
      <c r="AL181" s="925"/>
      <c r="AM181" s="925"/>
      <c r="AN181" s="925"/>
      <c r="AO181" s="925"/>
      <c r="AP181" s="925"/>
      <c r="AQ181" s="925"/>
      <c r="AR181" s="925"/>
      <c r="AS181" s="925"/>
      <c r="AT181" s="925"/>
      <c r="AU181" s="925"/>
      <c r="AV181" s="925"/>
      <c r="AW181" s="925"/>
      <c r="AX181" s="925"/>
      <c r="AY181" s="925"/>
      <c r="AZ181" s="925"/>
      <c r="BA181" s="925"/>
      <c r="BB181" s="925"/>
      <c r="BC181" s="925"/>
      <c r="BD181" s="925"/>
      <c r="BE181" s="925"/>
      <c r="BF181" s="925"/>
      <c r="BG181" s="925"/>
      <c r="BH181" s="925"/>
      <c r="BI181" s="925"/>
      <c r="BJ181" s="925"/>
      <c r="BK181" s="925"/>
      <c r="BL181" s="925"/>
      <c r="BM181" s="925"/>
      <c r="BN181" s="4782"/>
      <c r="BO181" s="4784" t="str">
        <f>IF(_xlfn.IFERROR(INDEX(ФОТ!$K$26:$L$102,MATCH($F181&amp;"2komm",ФОТ!$K$26:$K$102,0),2),"")=0,"",_xlfn.IFERROR(INDEX(ФОТ!$K$26:$L$102,MATCH($F181&amp;"2komm",ФОТ!$K$26:$K$102,0),2),""))</f>
        <v/>
      </c>
      <c r="BP181" s="4782"/>
      <c r="BQ181" s="960"/>
      <c r="BR181" s="960"/>
      <c r="BS181" s="1046" t="s">
        <v>1625</v>
      </c>
      <c r="BT181" s="1048"/>
      <c r="BU181" s="1048"/>
      <c r="BV181" s="962"/>
      <c r="BW181" s="962"/>
    </row>
    <row s="1621" customFormat="1" customHeight="1" ht="14.625">
      <c r="A182" s="960"/>
      <c r="B182" s="961"/>
      <c r="C182" s="960"/>
      <c r="D182" s="960"/>
      <c r="E182" s="683">
        <v>15</v>
      </c>
      <c r="F182" s="50" cm="1" t="str">
        <f t="array" ref="F182:F182">OFFSET(E182,-1,1)</f>
        <v>1</v>
      </c>
      <c r="G182" s="960"/>
      <c r="H182" s="345"/>
      <c r="I182" s="345" t="s">
        <v>1385</v>
      </c>
      <c r="J182" s="960"/>
      <c r="K182" s="345" t="s">
        <v>1385</v>
      </c>
      <c r="L182" s="963" t="s">
        <v>1627</v>
      </c>
      <c r="M182" s="73"/>
      <c r="N182" s="960"/>
      <c r="O182" s="960"/>
      <c r="P182" s="960"/>
      <c r="Q182" s="124" t="s">
        <v>2093</v>
      </c>
      <c r="R182" s="127" t="s">
        <v>2093</v>
      </c>
      <c r="S182" s="960"/>
      <c r="T182" s="439" cm="1" t="str">
        <f t="array" ref="T182:T182">T181</f>
        <v>true</v>
      </c>
      <c r="U182" s="960"/>
      <c r="V182" s="960"/>
      <c r="W182" s="960"/>
      <c r="X182" s="1482"/>
      <c r="Y182" s="960"/>
      <c r="Z182" s="1465"/>
      <c r="AA182" s="960"/>
      <c r="AB182" s="266" t="s">
        <v>1601</v>
      </c>
      <c r="AC182" s="746" t="s">
        <v>1812</v>
      </c>
      <c r="AD182" s="747" t="s">
        <v>784</v>
      </c>
      <c r="AE182" s="4765">
        <v>301.4731471179</v>
      </c>
      <c r="AF182" s="4765">
        <v>426.2055361038</v>
      </c>
      <c r="AG182" s="4765"/>
      <c r="AH182" s="926">
        <f>AG182-AF182</f>
        <v>-426.2055361038</v>
      </c>
      <c r="AI182" s="4750"/>
      <c r="AJ182" s="4743"/>
      <c r="AK182" s="925"/>
      <c r="AL182" s="925"/>
      <c r="AM182" s="925"/>
      <c r="AN182" s="925"/>
      <c r="AO182" s="925"/>
      <c r="AP182" s="925"/>
      <c r="AQ182" s="925"/>
      <c r="AR182" s="925"/>
      <c r="AS182" s="925"/>
      <c r="AT182" s="925"/>
      <c r="AU182" s="925"/>
      <c r="AV182" s="925"/>
      <c r="AW182" s="925"/>
      <c r="AX182" s="925"/>
      <c r="AY182" s="925"/>
      <c r="AZ182" s="925"/>
      <c r="BA182" s="925"/>
      <c r="BB182" s="925"/>
      <c r="BC182" s="925"/>
      <c r="BD182" s="925"/>
      <c r="BE182" s="925"/>
      <c r="BF182" s="925"/>
      <c r="BG182" s="925"/>
      <c r="BH182" s="925"/>
      <c r="BI182" s="925"/>
      <c r="BJ182" s="925"/>
      <c r="BK182" s="925"/>
      <c r="BL182" s="925"/>
      <c r="BM182" s="925"/>
      <c r="BN182" s="4782"/>
      <c r="BO182" s="4782"/>
      <c r="BP182" s="4782"/>
      <c r="BQ182" s="960"/>
      <c r="BR182" s="960"/>
      <c r="BS182" s="1047" t="s">
        <v>1630</v>
      </c>
      <c r="BT182" s="1048"/>
      <c r="BU182" s="1048"/>
      <c r="BV182" s="962"/>
      <c r="BW182" s="962"/>
    </row>
    <row s="1621" customFormat="1" customHeight="1" ht="14.25">
      <c r="A183" s="960"/>
      <c r="B183" s="961"/>
      <c r="C183" s="960"/>
      <c r="D183" s="960"/>
      <c r="E183" s="683">
        <v>15</v>
      </c>
      <c r="F183" s="50" cm="1" t="str">
        <f t="array" ref="F183:F183">OFFSET(E183,-1,1)</f>
        <v>1</v>
      </c>
      <c r="G183" s="960"/>
      <c r="H183" s="345"/>
      <c r="I183" s="345" t="s">
        <v>1389</v>
      </c>
      <c r="J183" s="960"/>
      <c r="K183" s="345" t="s">
        <v>1389</v>
      </c>
      <c r="L183" s="963" t="s">
        <v>1631</v>
      </c>
      <c r="M183" s="960"/>
      <c r="N183" s="960"/>
      <c r="O183" s="960"/>
      <c r="P183" s="960"/>
      <c r="Q183" s="124" t="s">
        <v>2093</v>
      </c>
      <c r="R183" s="127" t="s">
        <v>2093</v>
      </c>
      <c r="S183" s="960"/>
      <c r="T183" s="439" cm="1" t="str">
        <f t="array" ref="T183:T183">T182</f>
        <v>true</v>
      </c>
      <c r="U183" s="960"/>
      <c r="V183" s="960"/>
      <c r="W183" s="960"/>
      <c r="X183" s="1482"/>
      <c r="Y183" s="960"/>
      <c r="Z183" s="1465"/>
      <c r="AA183" s="960"/>
      <c r="AB183" s="266" t="s">
        <v>1603</v>
      </c>
      <c r="AC183" s="746" t="s">
        <v>1813</v>
      </c>
      <c r="AD183" s="267" t="s">
        <v>784</v>
      </c>
      <c r="AE183" s="927">
        <f>SUM(AE184:AE190)</f>
        <v>1017.73516044</v>
      </c>
      <c r="AF183" s="927">
        <f>SUM(AF184:AF190)</f>
        <v>2718.6770765939</v>
      </c>
      <c r="AG183" s="927">
        <f>SUM(AG184:AG190)</f>
        <v>0</v>
      </c>
      <c r="AH183" s="926">
        <f>AG183-AF183</f>
        <v>-2718.6770765939</v>
      </c>
      <c r="AI183" s="4752">
        <f>SUM(AI184:AI190)</f>
        <v>0</v>
      </c>
      <c r="AJ183" s="4743"/>
      <c r="AK183" s="925"/>
      <c r="AL183" s="925"/>
      <c r="AM183" s="925"/>
      <c r="AN183" s="925"/>
      <c r="AO183" s="925"/>
      <c r="AP183" s="925"/>
      <c r="AQ183" s="925"/>
      <c r="AR183" s="925"/>
      <c r="AS183" s="925"/>
      <c r="AT183" s="925"/>
      <c r="AU183" s="925"/>
      <c r="AV183" s="925"/>
      <c r="AW183" s="925"/>
      <c r="AX183" s="925"/>
      <c r="AY183" s="925"/>
      <c r="AZ183" s="925"/>
      <c r="BA183" s="925"/>
      <c r="BB183" s="925"/>
      <c r="BC183" s="925"/>
      <c r="BD183" s="925"/>
      <c r="BE183" s="925"/>
      <c r="BF183" s="925"/>
      <c r="BG183" s="925"/>
      <c r="BH183" s="925"/>
      <c r="BI183" s="925"/>
      <c r="BJ183" s="925"/>
      <c r="BK183" s="925"/>
      <c r="BL183" s="925"/>
      <c r="BM183" s="925"/>
      <c r="BN183" s="4782"/>
      <c r="BO183" s="4782"/>
      <c r="BP183" s="4782"/>
      <c r="BQ183" s="960"/>
      <c r="BR183" s="960"/>
      <c r="BS183" s="1047" t="s">
        <v>1814</v>
      </c>
      <c r="BT183" s="1048"/>
      <c r="BU183" s="1048"/>
      <c r="BV183" s="962"/>
      <c r="BW183" s="962"/>
    </row>
    <row s="1621" customFormat="1" customHeight="1" ht="14.25">
      <c r="A184" s="960"/>
      <c r="B184" s="961"/>
      <c r="C184" s="960"/>
      <c r="D184" s="960"/>
      <c r="E184" s="683">
        <v>15</v>
      </c>
      <c r="F184" s="50" cm="1" t="str">
        <f t="array" ref="F184:F184">OFFSET(E184,-1,1)</f>
        <v>1</v>
      </c>
      <c r="G184" s="960"/>
      <c r="H184" s="345"/>
      <c r="I184" s="345" t="s">
        <v>1815</v>
      </c>
      <c r="J184" s="960"/>
      <c r="K184" s="345" t="s">
        <v>1815</v>
      </c>
      <c r="L184" s="963" t="s">
        <v>1631</v>
      </c>
      <c r="M184" s="73" t="s">
        <v>1639</v>
      </c>
      <c r="N184" s="960"/>
      <c r="O184" s="960"/>
      <c r="P184" s="960"/>
      <c r="Q184" s="124" t="s">
        <v>2093</v>
      </c>
      <c r="R184" s="127" t="s">
        <v>2093</v>
      </c>
      <c r="S184" s="960"/>
      <c r="T184" s="439" cm="1" t="str">
        <f t="array" ref="T184:T184">T183</f>
        <v>true</v>
      </c>
      <c r="U184" s="960"/>
      <c r="V184" s="960"/>
      <c r="W184" s="960"/>
      <c r="X184" s="1482"/>
      <c r="Y184" s="960"/>
      <c r="Z184" s="1465"/>
      <c r="AA184" s="960"/>
      <c r="AB184" s="266" t="s">
        <v>1816</v>
      </c>
      <c r="AC184" s="749" t="s">
        <v>1817</v>
      </c>
      <c r="AD184" s="267" t="s">
        <v>784</v>
      </c>
      <c r="AE184" s="4765"/>
      <c r="AF184" s="4765"/>
      <c r="AG184" s="4765"/>
      <c r="AH184" s="926">
        <f>AG184-AF184</f>
        <v>0</v>
      </c>
      <c r="AI184" s="4750"/>
      <c r="AJ184" s="4743"/>
      <c r="AK184" s="925"/>
      <c r="AL184" s="925"/>
      <c r="AM184" s="925"/>
      <c r="AN184" s="925"/>
      <c r="AO184" s="925"/>
      <c r="AP184" s="925"/>
      <c r="AQ184" s="925"/>
      <c r="AR184" s="925"/>
      <c r="AS184" s="925"/>
      <c r="AT184" s="925"/>
      <c r="AU184" s="925"/>
      <c r="AV184" s="925"/>
      <c r="AW184" s="925"/>
      <c r="AX184" s="925"/>
      <c r="AY184" s="925"/>
      <c r="AZ184" s="925"/>
      <c r="BA184" s="925"/>
      <c r="BB184" s="925"/>
      <c r="BC184" s="925"/>
      <c r="BD184" s="925"/>
      <c r="BE184" s="925"/>
      <c r="BF184" s="925"/>
      <c r="BG184" s="925"/>
      <c r="BH184" s="925"/>
      <c r="BI184" s="925"/>
      <c r="BJ184" s="925"/>
      <c r="BK184" s="925"/>
      <c r="BL184" s="925"/>
      <c r="BM184" s="925"/>
      <c r="BN184" s="4782"/>
      <c r="BO184" s="4782"/>
      <c r="BP184" s="4782"/>
      <c r="BQ184" s="960"/>
      <c r="BR184" s="960"/>
      <c r="BS184" s="1046" t="s">
        <v>1642</v>
      </c>
      <c r="BT184" s="1048"/>
      <c r="BU184" s="1048"/>
      <c r="BV184" s="962"/>
      <c r="BW184" s="962"/>
    </row>
    <row s="1621" customFormat="1" customHeight="1" ht="21.75">
      <c r="A185" s="960"/>
      <c r="B185" s="961"/>
      <c r="C185" s="960"/>
      <c r="D185" s="960"/>
      <c r="E185" s="683">
        <v>22.5</v>
      </c>
      <c r="F185" s="50" cm="1" t="str">
        <f t="array" ref="F185:F185">OFFSET(E185,-1,1)</f>
        <v>1</v>
      </c>
      <c r="G185" s="960"/>
      <c r="H185" s="345"/>
      <c r="I185" s="345" t="s">
        <v>1818</v>
      </c>
      <c r="J185" s="960"/>
      <c r="K185" s="345" t="s">
        <v>1818</v>
      </c>
      <c r="L185" s="963" t="s">
        <v>1631</v>
      </c>
      <c r="M185" s="73" t="s">
        <v>1635</v>
      </c>
      <c r="N185" s="960"/>
      <c r="O185" s="960"/>
      <c r="P185" s="960"/>
      <c r="Q185" s="124" t="s">
        <v>2093</v>
      </c>
      <c r="R185" s="127" t="s">
        <v>2093</v>
      </c>
      <c r="S185" s="960"/>
      <c r="T185" s="439" cm="1" t="str">
        <f t="array" ref="T185:T185">T184</f>
        <v>true</v>
      </c>
      <c r="U185" s="960"/>
      <c r="V185" s="960"/>
      <c r="W185" s="960"/>
      <c r="X185" s="1482"/>
      <c r="Y185" s="960"/>
      <c r="Z185" s="1465"/>
      <c r="AA185" s="960"/>
      <c r="AB185" s="266" t="s">
        <v>1819</v>
      </c>
      <c r="AC185" s="749" t="s">
        <v>1820</v>
      </c>
      <c r="AD185" s="267" t="s">
        <v>784</v>
      </c>
      <c r="AE185" s="4765"/>
      <c r="AF185" s="4765"/>
      <c r="AG185" s="4765"/>
      <c r="AH185" s="926">
        <f>AG185-AF185</f>
        <v>0</v>
      </c>
      <c r="AI185" s="4750"/>
      <c r="AJ185" s="4743"/>
      <c r="AK185" s="925"/>
      <c r="AL185" s="925"/>
      <c r="AM185" s="925"/>
      <c r="AN185" s="925"/>
      <c r="AO185" s="925"/>
      <c r="AP185" s="925"/>
      <c r="AQ185" s="925"/>
      <c r="AR185" s="925"/>
      <c r="AS185" s="925"/>
      <c r="AT185" s="925"/>
      <c r="AU185" s="925"/>
      <c r="AV185" s="925"/>
      <c r="AW185" s="925"/>
      <c r="AX185" s="925"/>
      <c r="AY185" s="925"/>
      <c r="AZ185" s="925"/>
      <c r="BA185" s="925"/>
      <c r="BB185" s="925"/>
      <c r="BC185" s="925"/>
      <c r="BD185" s="925"/>
      <c r="BE185" s="925"/>
      <c r="BF185" s="925"/>
      <c r="BG185" s="925"/>
      <c r="BH185" s="925"/>
      <c r="BI185" s="925"/>
      <c r="BJ185" s="925"/>
      <c r="BK185" s="925"/>
      <c r="BL185" s="925"/>
      <c r="BM185" s="925"/>
      <c r="BN185" s="4782"/>
      <c r="BO185" s="4782"/>
      <c r="BP185" s="4782"/>
      <c r="BQ185" s="960"/>
      <c r="BR185" s="960"/>
      <c r="BS185" s="1048" t="s">
        <v>1821</v>
      </c>
      <c r="BT185" s="1048"/>
      <c r="BU185" s="1048"/>
      <c r="BV185" s="962"/>
      <c r="BW185" s="962"/>
    </row>
    <row s="1621" customFormat="1" customHeight="1" ht="21.75">
      <c r="A186" s="960"/>
      <c r="B186" s="961"/>
      <c r="C186" s="960"/>
      <c r="D186" s="960"/>
      <c r="E186" s="683">
        <v>22.5</v>
      </c>
      <c r="F186" s="50" cm="1" t="str">
        <f t="array" ref="F186:F186">OFFSET(E186,-1,1)</f>
        <v>1</v>
      </c>
      <c r="G186" s="960"/>
      <c r="H186" s="345"/>
      <c r="I186" s="345" t="s">
        <v>1822</v>
      </c>
      <c r="J186" s="960"/>
      <c r="K186" s="345" t="s">
        <v>1822</v>
      </c>
      <c r="L186" s="960"/>
      <c r="M186" s="960"/>
      <c r="N186" s="960"/>
      <c r="O186" s="960"/>
      <c r="P186" s="960"/>
      <c r="Q186" s="124" t="s">
        <v>2093</v>
      </c>
      <c r="R186" s="127" t="s">
        <v>2093</v>
      </c>
      <c r="S186" s="960"/>
      <c r="T186" s="439" cm="1" t="str">
        <f t="array" ref="T186:T186">T185</f>
        <v>true</v>
      </c>
      <c r="U186" s="960"/>
      <c r="V186" s="960"/>
      <c r="W186" s="960"/>
      <c r="X186" s="1482"/>
      <c r="Y186" s="960"/>
      <c r="Z186" s="1465"/>
      <c r="AA186" s="960"/>
      <c r="AB186" s="266" t="s">
        <v>1823</v>
      </c>
      <c r="AC186" s="750" t="s">
        <v>1824</v>
      </c>
      <c r="AD186" s="267" t="s">
        <v>784</v>
      </c>
      <c r="AE186" s="4765"/>
      <c r="AF186" s="4765"/>
      <c r="AG186" s="4765"/>
      <c r="AH186" s="926">
        <f>AG186-AF186</f>
        <v>0</v>
      </c>
      <c r="AI186" s="4750"/>
      <c r="AJ186" s="4743"/>
      <c r="AK186" s="925"/>
      <c r="AL186" s="925"/>
      <c r="AM186" s="925"/>
      <c r="AN186" s="925"/>
      <c r="AO186" s="925"/>
      <c r="AP186" s="925"/>
      <c r="AQ186" s="925"/>
      <c r="AR186" s="925"/>
      <c r="AS186" s="925"/>
      <c r="AT186" s="925"/>
      <c r="AU186" s="925"/>
      <c r="AV186" s="925"/>
      <c r="AW186" s="925"/>
      <c r="AX186" s="925"/>
      <c r="AY186" s="925"/>
      <c r="AZ186" s="925"/>
      <c r="BA186" s="925"/>
      <c r="BB186" s="925"/>
      <c r="BC186" s="925"/>
      <c r="BD186" s="925"/>
      <c r="BE186" s="925"/>
      <c r="BF186" s="925"/>
      <c r="BG186" s="925"/>
      <c r="BH186" s="925"/>
      <c r="BI186" s="925"/>
      <c r="BJ186" s="925"/>
      <c r="BK186" s="925"/>
      <c r="BL186" s="925"/>
      <c r="BM186" s="925"/>
      <c r="BN186" s="4782"/>
      <c r="BO186" s="4782"/>
      <c r="BP186" s="4782"/>
      <c r="BQ186" s="960"/>
      <c r="BR186" s="960"/>
      <c r="BS186" s="1048" t="s">
        <v>1825</v>
      </c>
      <c r="BT186" s="1048"/>
      <c r="BU186" s="1048"/>
      <c r="BV186" s="962"/>
      <c r="BW186" s="962"/>
    </row>
    <row s="1621" customFormat="1" customHeight="1" ht="21.75">
      <c r="A187" s="960"/>
      <c r="B187" s="961"/>
      <c r="C187" s="960"/>
      <c r="D187" s="960"/>
      <c r="E187" s="683">
        <v>22.5</v>
      </c>
      <c r="F187" s="50" cm="1" t="str">
        <f t="array" ref="F187:F187">OFFSET(E187,-1,1)</f>
        <v>1</v>
      </c>
      <c r="G187" s="960"/>
      <c r="H187" s="345"/>
      <c r="I187" s="345" t="s">
        <v>1826</v>
      </c>
      <c r="J187" s="960"/>
      <c r="K187" s="345" t="s">
        <v>1826</v>
      </c>
      <c r="L187" s="963"/>
      <c r="M187" s="960"/>
      <c r="N187" s="960"/>
      <c r="O187" s="960"/>
      <c r="P187" s="960"/>
      <c r="Q187" s="124" t="s">
        <v>2093</v>
      </c>
      <c r="R187" s="127" t="s">
        <v>2093</v>
      </c>
      <c r="S187" s="960"/>
      <c r="T187" s="439" cm="1" t="str">
        <f t="array" ref="T187:T187">T186</f>
        <v>true</v>
      </c>
      <c r="U187" s="960"/>
      <c r="V187" s="960"/>
      <c r="W187" s="960"/>
      <c r="X187" s="1482"/>
      <c r="Y187" s="960"/>
      <c r="Z187" s="1465"/>
      <c r="AA187" s="960"/>
      <c r="AB187" s="266" t="s">
        <v>1827</v>
      </c>
      <c r="AC187" s="750" t="s">
        <v>1828</v>
      </c>
      <c r="AD187" s="267" t="s">
        <v>784</v>
      </c>
      <c r="AE187" s="4765"/>
      <c r="AF187" s="4765"/>
      <c r="AG187" s="4765"/>
      <c r="AH187" s="926">
        <f>AG187-AF187</f>
        <v>0</v>
      </c>
      <c r="AI187" s="4750"/>
      <c r="AJ187" s="4743"/>
      <c r="AK187" s="925"/>
      <c r="AL187" s="925"/>
      <c r="AM187" s="925"/>
      <c r="AN187" s="925"/>
      <c r="AO187" s="925"/>
      <c r="AP187" s="925"/>
      <c r="AQ187" s="925"/>
      <c r="AR187" s="925"/>
      <c r="AS187" s="925"/>
      <c r="AT187" s="925"/>
      <c r="AU187" s="925"/>
      <c r="AV187" s="925"/>
      <c r="AW187" s="925"/>
      <c r="AX187" s="925"/>
      <c r="AY187" s="925"/>
      <c r="AZ187" s="925"/>
      <c r="BA187" s="925"/>
      <c r="BB187" s="925"/>
      <c r="BC187" s="925"/>
      <c r="BD187" s="925"/>
      <c r="BE187" s="925"/>
      <c r="BF187" s="925"/>
      <c r="BG187" s="925"/>
      <c r="BH187" s="925"/>
      <c r="BI187" s="925"/>
      <c r="BJ187" s="925"/>
      <c r="BK187" s="925"/>
      <c r="BL187" s="925"/>
      <c r="BM187" s="925"/>
      <c r="BN187" s="4782"/>
      <c r="BO187" s="4782"/>
      <c r="BP187" s="4782"/>
      <c r="BQ187" s="960"/>
      <c r="BR187" s="960"/>
      <c r="BS187" s="1048" t="s">
        <v>1829</v>
      </c>
      <c r="BT187" s="1048"/>
      <c r="BU187" s="1048"/>
      <c r="BV187" s="962"/>
      <c r="BW187" s="962"/>
    </row>
    <row s="1621" customFormat="1" customHeight="1" ht="43.5">
      <c r="A188" s="960"/>
      <c r="B188" s="961"/>
      <c r="C188" s="960"/>
      <c r="D188" s="960"/>
      <c r="E188" s="683">
        <v>45</v>
      </c>
      <c r="F188" s="50" cm="1" t="str">
        <f t="array" ref="F188:F188">OFFSET(E188,-1,1)</f>
        <v>1</v>
      </c>
      <c r="G188" s="960"/>
      <c r="H188" s="345"/>
      <c r="I188" s="345" t="s">
        <v>1830</v>
      </c>
      <c r="J188" s="960"/>
      <c r="K188" s="345" t="s">
        <v>1830</v>
      </c>
      <c r="L188" s="963" t="s">
        <v>1631</v>
      </c>
      <c r="M188" s="73" t="s">
        <v>1643</v>
      </c>
      <c r="N188" s="960"/>
      <c r="O188" s="960"/>
      <c r="P188" s="960"/>
      <c r="Q188" s="124" t="s">
        <v>2093</v>
      </c>
      <c r="R188" s="127" t="s">
        <v>2093</v>
      </c>
      <c r="S188" s="960"/>
      <c r="T188" s="439" cm="1" t="str">
        <f t="array" ref="T188:T188">T187</f>
        <v>true</v>
      </c>
      <c r="U188" s="960"/>
      <c r="V188" s="960"/>
      <c r="W188" s="960"/>
      <c r="X188" s="1482"/>
      <c r="Y188" s="960"/>
      <c r="Z188" s="1465"/>
      <c r="AA188" s="960"/>
      <c r="AB188" s="266" t="s">
        <v>1831</v>
      </c>
      <c r="AC188" s="749" t="s">
        <v>1832</v>
      </c>
      <c r="AD188" s="267" t="s">
        <v>784</v>
      </c>
      <c r="AE188" s="4765"/>
      <c r="AF188" s="4765"/>
      <c r="AG188" s="4765"/>
      <c r="AH188" s="926">
        <f>AG188-AF188</f>
        <v>0</v>
      </c>
      <c r="AI188" s="4750"/>
      <c r="AJ188" s="4743"/>
      <c r="AK188" s="925"/>
      <c r="AL188" s="925"/>
      <c r="AM188" s="925"/>
      <c r="AN188" s="925"/>
      <c r="AO188" s="925"/>
      <c r="AP188" s="925"/>
      <c r="AQ188" s="925"/>
      <c r="AR188" s="925"/>
      <c r="AS188" s="925"/>
      <c r="AT188" s="925"/>
      <c r="AU188" s="925"/>
      <c r="AV188" s="925"/>
      <c r="AW188" s="925"/>
      <c r="AX188" s="925"/>
      <c r="AY188" s="925"/>
      <c r="AZ188" s="925"/>
      <c r="BA188" s="925"/>
      <c r="BB188" s="925"/>
      <c r="BC188" s="925"/>
      <c r="BD188" s="925"/>
      <c r="BE188" s="925"/>
      <c r="BF188" s="925"/>
      <c r="BG188" s="925"/>
      <c r="BH188" s="925"/>
      <c r="BI188" s="925"/>
      <c r="BJ188" s="925"/>
      <c r="BK188" s="925"/>
      <c r="BL188" s="925"/>
      <c r="BM188" s="925"/>
      <c r="BN188" s="4782"/>
      <c r="BO188" s="4782"/>
      <c r="BP188" s="4782"/>
      <c r="BQ188" s="960"/>
      <c r="BR188" s="960"/>
      <c r="BS188" s="1048" t="s">
        <v>1646</v>
      </c>
      <c r="BT188" s="1048"/>
      <c r="BU188" s="1048"/>
      <c r="BV188" s="962"/>
      <c r="BW188" s="962"/>
    </row>
    <row s="1621" customFormat="1" customHeight="1" ht="14.25">
      <c r="A189" s="960"/>
      <c r="B189" s="961"/>
      <c r="C189" s="960"/>
      <c r="D189" s="960"/>
      <c r="E189" s="683">
        <v>15</v>
      </c>
      <c r="F189" s="50" cm="1" t="str">
        <f t="array" ref="F189:F189">OFFSET(E189,-1,1)</f>
        <v>1</v>
      </c>
      <c r="G189" s="960"/>
      <c r="H189" s="345"/>
      <c r="I189" s="345" t="s">
        <v>1833</v>
      </c>
      <c r="J189" s="960"/>
      <c r="K189" s="345" t="s">
        <v>1833</v>
      </c>
      <c r="L189" s="963" t="s">
        <v>1631</v>
      </c>
      <c r="M189" s="73" t="s">
        <v>1647</v>
      </c>
      <c r="N189" s="960"/>
      <c r="O189" s="960"/>
      <c r="P189" s="960"/>
      <c r="Q189" s="124" t="s">
        <v>2093</v>
      </c>
      <c r="R189" s="127" t="s">
        <v>2093</v>
      </c>
      <c r="S189" s="960"/>
      <c r="T189" s="439" cm="1" t="str">
        <f t="array" ref="T189:T189">T188</f>
        <v>true</v>
      </c>
      <c r="U189" s="960"/>
      <c r="V189" s="960"/>
      <c r="W189" s="960"/>
      <c r="X189" s="1482"/>
      <c r="Y189" s="960"/>
      <c r="Z189" s="1465"/>
      <c r="AA189" s="960"/>
      <c r="AB189" s="266" t="s">
        <v>1834</v>
      </c>
      <c r="AC189" s="749" t="s">
        <v>1649</v>
      </c>
      <c r="AD189" s="267" t="s">
        <v>784</v>
      </c>
      <c r="AE189" s="4765"/>
      <c r="AF189" s="4765"/>
      <c r="AG189" s="4765"/>
      <c r="AH189" s="926">
        <f>AG189-AF189</f>
        <v>0</v>
      </c>
      <c r="AI189" s="4750"/>
      <c r="AJ189" s="4743"/>
      <c r="AK189" s="925"/>
      <c r="AL189" s="925"/>
      <c r="AM189" s="925"/>
      <c r="AN189" s="925"/>
      <c r="AO189" s="925"/>
      <c r="AP189" s="925"/>
      <c r="AQ189" s="925"/>
      <c r="AR189" s="925"/>
      <c r="AS189" s="925"/>
      <c r="AT189" s="925"/>
      <c r="AU189" s="925"/>
      <c r="AV189" s="925"/>
      <c r="AW189" s="925"/>
      <c r="AX189" s="925"/>
      <c r="AY189" s="925"/>
      <c r="AZ189" s="925"/>
      <c r="BA189" s="925"/>
      <c r="BB189" s="925"/>
      <c r="BC189" s="925"/>
      <c r="BD189" s="925"/>
      <c r="BE189" s="925"/>
      <c r="BF189" s="925"/>
      <c r="BG189" s="925"/>
      <c r="BH189" s="925"/>
      <c r="BI189" s="925"/>
      <c r="BJ189" s="925"/>
      <c r="BK189" s="925"/>
      <c r="BL189" s="925"/>
      <c r="BM189" s="925"/>
      <c r="BN189" s="4782"/>
      <c r="BO189" s="4782"/>
      <c r="BP189" s="4782"/>
      <c r="BQ189" s="960"/>
      <c r="BR189" s="960"/>
      <c r="BS189" s="1048" t="s">
        <v>1650</v>
      </c>
      <c r="BT189" s="1048"/>
      <c r="BU189" s="1048"/>
      <c r="BV189" s="962"/>
      <c r="BW189" s="962"/>
    </row>
    <row s="1621" customFormat="1" customHeight="1" ht="14.625">
      <c r="A190" s="960"/>
      <c r="B190" s="961"/>
      <c r="C190" s="960"/>
      <c r="D190" s="960"/>
      <c r="E190" s="683">
        <v>15</v>
      </c>
      <c r="F190" s="50" cm="1" t="str">
        <f t="array" ref="F190:F190">OFFSET(E190,-1,1)</f>
        <v>1</v>
      </c>
      <c r="G190" s="960"/>
      <c r="H190" s="345"/>
      <c r="I190" s="345" t="s">
        <v>1835</v>
      </c>
      <c r="J190" s="960"/>
      <c r="K190" s="345" t="s">
        <v>1835</v>
      </c>
      <c r="L190" s="963"/>
      <c r="M190" s="73"/>
      <c r="N190" s="960"/>
      <c r="O190" s="960"/>
      <c r="P190" s="960"/>
      <c r="Q190" s="124" t="s">
        <v>2093</v>
      </c>
      <c r="R190" s="127" t="s">
        <v>2093</v>
      </c>
      <c r="S190" s="960"/>
      <c r="T190" s="439" cm="1" t="str">
        <f t="array" ref="T190:T190">T189</f>
        <v>true</v>
      </c>
      <c r="U190" s="960"/>
      <c r="V190" s="960"/>
      <c r="W190" s="960"/>
      <c r="X190" s="1482"/>
      <c r="Y190" s="960"/>
      <c r="Z190" s="1465"/>
      <c r="AA190" s="960"/>
      <c r="AB190" s="266" t="s">
        <v>1836</v>
      </c>
      <c r="AC190" s="749" t="s">
        <v>1837</v>
      </c>
      <c r="AD190" s="267" t="s">
        <v>784</v>
      </c>
      <c r="AE190" s="4765">
        <v>1017.73516044</v>
      </c>
      <c r="AF190" s="4765">
        <v>2718.6770765939</v>
      </c>
      <c r="AG190" s="4765"/>
      <c r="AH190" s="926">
        <f>AG190-AF190</f>
        <v>-2718.6770765939</v>
      </c>
      <c r="AI190" s="4750"/>
      <c r="AJ190" s="1392"/>
      <c r="AK190" s="925"/>
      <c r="AL190" s="925"/>
      <c r="AM190" s="925"/>
      <c r="AN190" s="925"/>
      <c r="AO190" s="925"/>
      <c r="AP190" s="925"/>
      <c r="AQ190" s="925"/>
      <c r="AR190" s="925"/>
      <c r="AS190" s="925"/>
      <c r="AT190" s="925"/>
      <c r="AU190" s="925"/>
      <c r="AV190" s="925"/>
      <c r="AW190" s="925"/>
      <c r="AX190" s="925"/>
      <c r="AY190" s="925"/>
      <c r="AZ190" s="925"/>
      <c r="BA190" s="925"/>
      <c r="BB190" s="925"/>
      <c r="BC190" s="925"/>
      <c r="BD190" s="925"/>
      <c r="BE190" s="925"/>
      <c r="BF190" s="925"/>
      <c r="BG190" s="925"/>
      <c r="BH190" s="925"/>
      <c r="BI190" s="925"/>
      <c r="BJ190" s="925"/>
      <c r="BK190" s="925"/>
      <c r="BL190" s="925"/>
      <c r="BM190" s="925"/>
      <c r="BN190" s="4782"/>
      <c r="BO190" s="4782"/>
      <c r="BP190" s="4782"/>
      <c r="BQ190" s="960"/>
      <c r="BR190" s="960"/>
      <c r="BS190" s="1048" t="s">
        <v>1634</v>
      </c>
      <c r="BT190" s="1048"/>
      <c r="BU190" s="1048"/>
      <c r="BV190" s="962"/>
      <c r="BW190" s="962"/>
    </row>
    <row s="4785" customFormat="1" customHeight="1" ht="20.25">
      <c r="A191" s="680"/>
      <c r="B191" s="408"/>
      <c r="C191" s="680"/>
      <c r="D191" s="680"/>
      <c r="E191" s="687">
        <v>21</v>
      </c>
      <c r="F191" s="50" cm="1" t="str">
        <f t="array" ref="F191:F191">OFFSET(E191,-1,1)</f>
        <v>1</v>
      </c>
      <c r="G191" s="680"/>
      <c r="H191" s="345"/>
      <c r="I191" s="345" t="s">
        <v>448</v>
      </c>
      <c r="J191" s="680"/>
      <c r="K191" s="345" t="s">
        <v>448</v>
      </c>
      <c r="L191" s="968"/>
      <c r="M191" s="75"/>
      <c r="N191" s="680"/>
      <c r="O191" s="680"/>
      <c r="P191" s="680"/>
      <c r="Q191" s="124" t="s">
        <v>2093</v>
      </c>
      <c r="R191" s="127" t="s">
        <v>2093</v>
      </c>
      <c r="S191" s="680"/>
      <c r="T191" s="439" cm="1" t="str">
        <f t="array" ref="T191:T191">T190</f>
        <v>true</v>
      </c>
      <c r="U191" s="680"/>
      <c r="V191" s="680"/>
      <c r="W191" s="680"/>
      <c r="X191" s="1482"/>
      <c r="Y191" s="680"/>
      <c r="Z191" s="1465"/>
      <c r="AA191" s="680"/>
      <c r="AB191" s="185" t="s">
        <v>851</v>
      </c>
      <c r="AC191" s="328" t="s">
        <v>1654</v>
      </c>
      <c r="AD191" s="178" t="s">
        <v>784</v>
      </c>
      <c r="AE191" s="751">
        <f>AE192+AE193+AE194</f>
        <v>1344.044577518</v>
      </c>
      <c r="AF191" s="751">
        <f>AF192+AF193+AF194</f>
        <v>5891.6930584321</v>
      </c>
      <c r="AG191" s="751">
        <f>AG192+AG193+AG194</f>
        <v>0</v>
      </c>
      <c r="AH191" s="742">
        <f>AG191-AF191</f>
        <v>-5891.6930584321</v>
      </c>
      <c r="AI191" s="4756">
        <f>AI192+AI193+AI194</f>
        <v>0</v>
      </c>
      <c r="AJ191" s="4743"/>
      <c r="AK191" s="745"/>
      <c r="AL191" s="745"/>
      <c r="AM191" s="745"/>
      <c r="AN191" s="745"/>
      <c r="AO191" s="745"/>
      <c r="AP191" s="745"/>
      <c r="AQ191" s="745"/>
      <c r="AR191" s="745"/>
      <c r="AS191" s="745"/>
      <c r="AT191" s="745"/>
      <c r="AU191" s="745"/>
      <c r="AV191" s="745"/>
      <c r="AW191" s="745"/>
      <c r="AX191" s="745"/>
      <c r="AY191" s="745"/>
      <c r="AZ191" s="745"/>
      <c r="BA191" s="745"/>
      <c r="BB191" s="745"/>
      <c r="BC191" s="745"/>
      <c r="BD191" s="745"/>
      <c r="BE191" s="745"/>
      <c r="BF191" s="745"/>
      <c r="BG191" s="745"/>
      <c r="BH191" s="745"/>
      <c r="BI191" s="745"/>
      <c r="BJ191" s="745"/>
      <c r="BK191" s="745"/>
      <c r="BL191" s="745"/>
      <c r="BM191" s="745"/>
      <c r="BN191" s="4783"/>
      <c r="BO191" s="4783"/>
      <c r="BP191" s="4783"/>
      <c r="BQ191" s="680"/>
      <c r="BR191" s="680"/>
      <c r="BS191" s="1047" t="s">
        <v>1655</v>
      </c>
      <c r="BT191" s="1054"/>
      <c r="BU191" s="1054"/>
      <c r="BV191" s="687"/>
      <c r="BW191" s="687"/>
    </row>
    <row s="1621" customFormat="1" customHeight="1" ht="23.25">
      <c r="A192" s="960"/>
      <c r="B192" s="961"/>
      <c r="C192" s="960"/>
      <c r="D192" s="960"/>
      <c r="E192" s="683">
        <v>22.5</v>
      </c>
      <c r="F192" s="50" cm="1" t="str">
        <f t="array" ref="F192:F192">OFFSET(E192,-1,1)</f>
        <v>1</v>
      </c>
      <c r="G192" s="960"/>
      <c r="H192" s="345"/>
      <c r="I192" s="345" t="s">
        <v>1232</v>
      </c>
      <c r="J192" s="960"/>
      <c r="K192" s="345" t="s">
        <v>1232</v>
      </c>
      <c r="L192" s="963"/>
      <c r="M192" s="73"/>
      <c r="N192" s="960"/>
      <c r="O192" s="960"/>
      <c r="P192" s="960"/>
      <c r="Q192" s="124" t="s">
        <v>2093</v>
      </c>
      <c r="R192" s="127" t="s">
        <v>2093</v>
      </c>
      <c r="S192" s="960"/>
      <c r="T192" s="439" cm="1" t="str">
        <f t="array" ref="T192:T192">T191</f>
        <v>true</v>
      </c>
      <c r="U192" s="960"/>
      <c r="V192" s="960"/>
      <c r="W192" s="960"/>
      <c r="X192" s="1482"/>
      <c r="Y192" s="960"/>
      <c r="Z192" s="1465"/>
      <c r="AA192" s="960"/>
      <c r="AB192" s="266" t="s">
        <v>1233</v>
      </c>
      <c r="AC192" s="746" t="s">
        <v>1838</v>
      </c>
      <c r="AD192" s="267" t="s">
        <v>784</v>
      </c>
      <c r="AE192" s="4765">
        <v>354.7365489079</v>
      </c>
      <c r="AF192" s="4765">
        <v>862.99291</v>
      </c>
      <c r="AG192" s="4765"/>
      <c r="AH192" s="926">
        <f>AG192-AF192</f>
        <v>-862.99291</v>
      </c>
      <c r="AI192" s="4750"/>
      <c r="AJ192" s="4743"/>
      <c r="AK192" s="925"/>
      <c r="AL192" s="925"/>
      <c r="AM192" s="925"/>
      <c r="AN192" s="925"/>
      <c r="AO192" s="925"/>
      <c r="AP192" s="925"/>
      <c r="AQ192" s="925"/>
      <c r="AR192" s="925"/>
      <c r="AS192" s="925"/>
      <c r="AT192" s="925"/>
      <c r="AU192" s="925"/>
      <c r="AV192" s="925"/>
      <c r="AW192" s="925"/>
      <c r="AX192" s="925"/>
      <c r="AY192" s="925"/>
      <c r="AZ192" s="925"/>
      <c r="BA192" s="925"/>
      <c r="BB192" s="925"/>
      <c r="BC192" s="925"/>
      <c r="BD192" s="925"/>
      <c r="BE192" s="925"/>
      <c r="BF192" s="925"/>
      <c r="BG192" s="925"/>
      <c r="BH192" s="925"/>
      <c r="BI192" s="925"/>
      <c r="BJ192" s="925"/>
      <c r="BK192" s="925"/>
      <c r="BL192" s="925"/>
      <c r="BM192" s="925"/>
      <c r="BN192" s="4782"/>
      <c r="BO192" s="4782"/>
      <c r="BP192" s="4782"/>
      <c r="BQ192" s="960"/>
      <c r="BR192" s="960"/>
      <c r="BS192" s="1046" t="s">
        <v>1657</v>
      </c>
      <c r="BT192" s="1048"/>
      <c r="BU192" s="1048"/>
      <c r="BV192" s="962"/>
      <c r="BW192" s="962"/>
    </row>
    <row s="1621" customFormat="1" customHeight="1" ht="23.25">
      <c r="A193" s="960"/>
      <c r="B193" s="961"/>
      <c r="C193" s="960"/>
      <c r="D193" s="960"/>
      <c r="E193" s="683">
        <v>22.5</v>
      </c>
      <c r="F193" s="50" cm="1" t="str">
        <f t="array" ref="F193:F193">OFFSET(E193,-1,1)</f>
        <v>1</v>
      </c>
      <c r="G193" s="960"/>
      <c r="H193" s="345"/>
      <c r="I193" s="345" t="s">
        <v>1236</v>
      </c>
      <c r="J193" s="960"/>
      <c r="K193" s="345" t="s">
        <v>1236</v>
      </c>
      <c r="L193" s="963"/>
      <c r="M193" s="73"/>
      <c r="N193" s="960"/>
      <c r="O193" s="960"/>
      <c r="P193" s="960"/>
      <c r="Q193" s="124" t="s">
        <v>2093</v>
      </c>
      <c r="R193" s="127" t="s">
        <v>2093</v>
      </c>
      <c r="S193" s="960"/>
      <c r="T193" s="439" cm="1" t="str">
        <f t="array" ref="T193:T193">T192</f>
        <v>true</v>
      </c>
      <c r="U193" s="960"/>
      <c r="V193" s="960"/>
      <c r="W193" s="960"/>
      <c r="X193" s="1482"/>
      <c r="Y193" s="960"/>
      <c r="Z193" s="1465"/>
      <c r="AA193" s="960"/>
      <c r="AB193" s="266" t="s">
        <v>1237</v>
      </c>
      <c r="AC193" s="746" t="s">
        <v>1839</v>
      </c>
      <c r="AD193" s="267" t="s">
        <v>784</v>
      </c>
      <c r="AE193" s="4765">
        <v>0</v>
      </c>
      <c r="AF193" s="4765">
        <v>1288.951</v>
      </c>
      <c r="AG193" s="4765"/>
      <c r="AH193" s="926">
        <f>AG193-AF193</f>
        <v>-1288.951</v>
      </c>
      <c r="AI193" s="4750"/>
      <c r="AJ193" s="4743"/>
      <c r="AK193" s="925"/>
      <c r="AL193" s="925"/>
      <c r="AM193" s="925"/>
      <c r="AN193" s="925"/>
      <c r="AO193" s="925"/>
      <c r="AP193" s="925"/>
      <c r="AQ193" s="925"/>
      <c r="AR193" s="925"/>
      <c r="AS193" s="925"/>
      <c r="AT193" s="925"/>
      <c r="AU193" s="925"/>
      <c r="AV193" s="925"/>
      <c r="AW193" s="925"/>
      <c r="AX193" s="925"/>
      <c r="AY193" s="925"/>
      <c r="AZ193" s="925"/>
      <c r="BA193" s="925"/>
      <c r="BB193" s="925"/>
      <c r="BC193" s="925"/>
      <c r="BD193" s="925"/>
      <c r="BE193" s="925"/>
      <c r="BF193" s="925"/>
      <c r="BG193" s="925"/>
      <c r="BH193" s="925"/>
      <c r="BI193" s="925"/>
      <c r="BJ193" s="925"/>
      <c r="BK193" s="925"/>
      <c r="BL193" s="925"/>
      <c r="BM193" s="925"/>
      <c r="BN193" s="4782"/>
      <c r="BO193" s="4782"/>
      <c r="BP193" s="4782"/>
      <c r="BQ193" s="960"/>
      <c r="BR193" s="960"/>
      <c r="BS193" s="1048" t="s">
        <v>1840</v>
      </c>
      <c r="BT193" s="1048"/>
      <c r="BU193" s="1048"/>
      <c r="BV193" s="962"/>
      <c r="BW193" s="962"/>
    </row>
    <row s="1621" customFormat="1" customHeight="1" ht="23.25">
      <c r="A194" s="960"/>
      <c r="B194" s="961"/>
      <c r="C194" s="960"/>
      <c r="D194" s="960"/>
      <c r="E194" s="683">
        <v>22.5</v>
      </c>
      <c r="F194" s="50" cm="1" t="str">
        <f t="array" ref="F194:F194">OFFSET(E194,-1,1)</f>
        <v>1</v>
      </c>
      <c r="G194" s="960"/>
      <c r="H194" s="345"/>
      <c r="I194" s="345" t="s">
        <v>1240</v>
      </c>
      <c r="J194" s="960"/>
      <c r="K194" s="345" t="s">
        <v>1240</v>
      </c>
      <c r="L194" s="963" t="s">
        <v>462</v>
      </c>
      <c r="M194" s="73"/>
      <c r="N194" s="960"/>
      <c r="O194" s="960"/>
      <c r="P194" s="960"/>
      <c r="Q194" s="124" t="s">
        <v>2093</v>
      </c>
      <c r="R194" s="127" t="s">
        <v>2093</v>
      </c>
      <c r="S194" s="960"/>
      <c r="T194" s="439" cm="1" t="str">
        <f t="array" ref="T194:T194">T193</f>
        <v>true</v>
      </c>
      <c r="U194" s="960"/>
      <c r="V194" s="960"/>
      <c r="W194" s="960"/>
      <c r="X194" s="1482"/>
      <c r="Y194" s="960"/>
      <c r="Z194" s="1465"/>
      <c r="AA194" s="960"/>
      <c r="AB194" s="266" t="s">
        <v>1241</v>
      </c>
      <c r="AC194" s="746" t="s">
        <v>1841</v>
      </c>
      <c r="AD194" s="267" t="s">
        <v>784</v>
      </c>
      <c r="AE194" s="4765">
        <v>989.3080286101</v>
      </c>
      <c r="AF194" s="4765">
        <v>3739.7491484321</v>
      </c>
      <c r="AG194" s="4765"/>
      <c r="AH194" s="926">
        <f>AG194-AF194</f>
        <v>-3739.7491484321</v>
      </c>
      <c r="AI194" s="4750"/>
      <c r="AJ194" s="4743"/>
      <c r="AK194" s="925"/>
      <c r="AL194" s="925"/>
      <c r="AM194" s="925"/>
      <c r="AN194" s="925"/>
      <c r="AO194" s="925"/>
      <c r="AP194" s="925"/>
      <c r="AQ194" s="925"/>
      <c r="AR194" s="925"/>
      <c r="AS194" s="925"/>
      <c r="AT194" s="925"/>
      <c r="AU194" s="925"/>
      <c r="AV194" s="925"/>
      <c r="AW194" s="925"/>
      <c r="AX194" s="925"/>
      <c r="AY194" s="925"/>
      <c r="AZ194" s="925"/>
      <c r="BA194" s="925"/>
      <c r="BB194" s="925"/>
      <c r="BC194" s="925"/>
      <c r="BD194" s="925"/>
      <c r="BE194" s="925"/>
      <c r="BF194" s="925"/>
      <c r="BG194" s="925"/>
      <c r="BH194" s="925"/>
      <c r="BI194" s="925"/>
      <c r="BJ194" s="925"/>
      <c r="BK194" s="925"/>
      <c r="BL194" s="925"/>
      <c r="BM194" s="925"/>
      <c r="BN194" s="4782"/>
      <c r="BO194" s="4782"/>
      <c r="BP194" s="4782"/>
      <c r="BQ194" s="960"/>
      <c r="BR194" s="960"/>
      <c r="BS194" s="1046" t="s">
        <v>1659</v>
      </c>
      <c r="BT194" s="1048"/>
      <c r="BU194" s="1048"/>
      <c r="BV194" s="962"/>
      <c r="BW194" s="962"/>
    </row>
    <row s="1621" customFormat="1" customHeight="1" ht="14.625">
      <c r="A195" s="960"/>
      <c r="B195" s="961"/>
      <c r="C195" s="960"/>
      <c r="D195" s="960"/>
      <c r="E195" s="683">
        <v>15</v>
      </c>
      <c r="F195" s="50" cm="1" t="str">
        <f t="array" ref="F195:F195">OFFSET(E195,-1,1)</f>
        <v>1</v>
      </c>
      <c r="G195" s="49" t="s">
        <v>1053</v>
      </c>
      <c r="H195" s="345"/>
      <c r="I195" s="345" t="s">
        <v>1842</v>
      </c>
      <c r="J195" s="960"/>
      <c r="K195" s="345" t="s">
        <v>1842</v>
      </c>
      <c r="L195" s="963" t="s">
        <v>1660</v>
      </c>
      <c r="M195" s="73"/>
      <c r="N195" s="960"/>
      <c r="O195" s="960"/>
      <c r="P195" s="960"/>
      <c r="Q195" s="124" t="s">
        <v>2093</v>
      </c>
      <c r="R195" s="127" t="s">
        <v>2093</v>
      </c>
      <c r="S195" s="960"/>
      <c r="T195" s="439" cm="1" t="str">
        <f t="array" ref="T195:T195">T194</f>
        <v>true</v>
      </c>
      <c r="U195" s="960"/>
      <c r="V195" s="960"/>
      <c r="W195" s="960"/>
      <c r="X195" s="1482"/>
      <c r="Y195" s="960"/>
      <c r="Z195" s="1465"/>
      <c r="AA195" s="960"/>
      <c r="AB195" s="266" t="s">
        <v>1843</v>
      </c>
      <c r="AC195" s="749" t="s">
        <v>1661</v>
      </c>
      <c r="AD195" s="267" t="s">
        <v>784</v>
      </c>
      <c r="AE195" s="4765">
        <v>757.1041774012</v>
      </c>
      <c r="AF195" s="4765">
        <v>2938.8282949248</v>
      </c>
      <c r="AG195" s="4765"/>
      <c r="AH195" s="926">
        <f>AG195-AF195</f>
        <v>-2938.8282949248</v>
      </c>
      <c r="AI195" s="4750"/>
      <c r="AJ195" s="4743"/>
      <c r="AK195" s="925"/>
      <c r="AL195" s="925"/>
      <c r="AM195" s="925"/>
      <c r="AN195" s="925"/>
      <c r="AO195" s="925"/>
      <c r="AP195" s="925"/>
      <c r="AQ195" s="925"/>
      <c r="AR195" s="925"/>
      <c r="AS195" s="925"/>
      <c r="AT195" s="925"/>
      <c r="AU195" s="925"/>
      <c r="AV195" s="925"/>
      <c r="AW195" s="925"/>
      <c r="AX195" s="925"/>
      <c r="AY195" s="925"/>
      <c r="AZ195" s="925"/>
      <c r="BA195" s="925"/>
      <c r="BB195" s="925"/>
      <c r="BC195" s="925"/>
      <c r="BD195" s="925"/>
      <c r="BE195" s="925"/>
      <c r="BF195" s="925"/>
      <c r="BG195" s="925"/>
      <c r="BH195" s="925"/>
      <c r="BI195" s="925"/>
      <c r="BJ195" s="925"/>
      <c r="BK195" s="925"/>
      <c r="BL195" s="925"/>
      <c r="BM195" s="925"/>
      <c r="BN195" s="4782"/>
      <c r="BO195" s="4784" t="str">
        <f>IF(_xlfn.IFERROR(INDEX(ФОТ!$K$26:$L$102,MATCH($F195&amp;"3komm",ФОТ!$K$26:$K$102,0),2),"")=0,"",_xlfn.IFERROR(INDEX(ФОТ!$K$26:$L$102,MATCH($F195&amp;"3komm",ФОТ!$K$26:$K$102,0),2),""))</f>
        <v/>
      </c>
      <c r="BP195" s="4782"/>
      <c r="BQ195" s="960"/>
      <c r="BR195" s="960"/>
      <c r="BS195" s="1046" t="s">
        <v>1662</v>
      </c>
      <c r="BT195" s="1048"/>
      <c r="BU195" s="1048"/>
      <c r="BV195" s="962"/>
      <c r="BW195" s="962"/>
    </row>
    <row s="1621" customFormat="1" customHeight="1" ht="21.9375">
      <c r="A196" s="960"/>
      <c r="B196" s="961"/>
      <c r="C196" s="960"/>
      <c r="D196" s="960"/>
      <c r="E196" s="683">
        <v>22.5</v>
      </c>
      <c r="F196" s="50" cm="1" t="str">
        <f t="array" ref="F196:F196">OFFSET(E196,-1,1)</f>
        <v>1</v>
      </c>
      <c r="G196" s="49" t="s">
        <v>1058</v>
      </c>
      <c r="H196" s="345"/>
      <c r="I196" s="345" t="s">
        <v>1844</v>
      </c>
      <c r="J196" s="960"/>
      <c r="K196" s="345" t="s">
        <v>1844</v>
      </c>
      <c r="L196" s="963" t="s">
        <v>1663</v>
      </c>
      <c r="M196" s="73"/>
      <c r="N196" s="960"/>
      <c r="O196" s="960"/>
      <c r="P196" s="960"/>
      <c r="Q196" s="124" t="s">
        <v>2093</v>
      </c>
      <c r="R196" s="127" t="s">
        <v>2093</v>
      </c>
      <c r="S196" s="960"/>
      <c r="T196" s="439" cm="1" t="str">
        <f t="array" ref="T196:T196">T195</f>
        <v>true</v>
      </c>
      <c r="U196" s="960"/>
      <c r="V196" s="960"/>
      <c r="W196" s="960"/>
      <c r="X196" s="1482"/>
      <c r="Y196" s="960"/>
      <c r="Z196" s="1465"/>
      <c r="AA196" s="960"/>
      <c r="AB196" s="266" t="s">
        <v>1845</v>
      </c>
      <c r="AC196" s="749" t="s">
        <v>1846</v>
      </c>
      <c r="AD196" s="267" t="s">
        <v>784</v>
      </c>
      <c r="AE196" s="4765">
        <v>232.2038512089</v>
      </c>
      <c r="AF196" s="4765">
        <v>800.9208535073</v>
      </c>
      <c r="AG196" s="4765">
        <f>AG195*_xlfn.SUMIFS(INDEX(Сценарии!$AE$25:$BF$109,,MATCH(AG$8,Сценарии!$AE$8:$BF$8,0)),Сценарии!$F$25:$F$109,$F196,Сценарии!$G$25:$G$109,"СВФОТ")/100</f>
        <v>0</v>
      </c>
      <c r="AH196" s="926">
        <f>AG196-AF196</f>
        <v>-800.9208535073</v>
      </c>
      <c r="AI196" s="4750">
        <f>AI195*_xlfn.SUMIFS(INDEX(Сценарии!$AE$25:$BF$109,,MATCH(AG$8,Сценарии!$AE$8:$BF$8,0)),Сценарии!$F$25:$F$109,$F196,Сценарии!$G$25:$G$109,"СВФОТ")/100</f>
        <v>0</v>
      </c>
      <c r="AJ196" s="4743"/>
      <c r="AK196" s="925"/>
      <c r="AL196" s="925"/>
      <c r="AM196" s="925"/>
      <c r="AN196" s="925"/>
      <c r="AO196" s="925"/>
      <c r="AP196" s="925"/>
      <c r="AQ196" s="925"/>
      <c r="AR196" s="925"/>
      <c r="AS196" s="925"/>
      <c r="AT196" s="925"/>
      <c r="AU196" s="925"/>
      <c r="AV196" s="925"/>
      <c r="AW196" s="925"/>
      <c r="AX196" s="925"/>
      <c r="AY196" s="925"/>
      <c r="AZ196" s="925"/>
      <c r="BA196" s="925"/>
      <c r="BB196" s="925"/>
      <c r="BC196" s="925"/>
      <c r="BD196" s="925"/>
      <c r="BE196" s="925"/>
      <c r="BF196" s="925"/>
      <c r="BG196" s="925"/>
      <c r="BH196" s="925"/>
      <c r="BI196" s="925"/>
      <c r="BJ196" s="925"/>
      <c r="BK196" s="925"/>
      <c r="BL196" s="925"/>
      <c r="BM196" s="925"/>
      <c r="BN196" s="4782"/>
      <c r="BO196" s="4784" t="str">
        <f>IF(_xlfn.IFERROR(INDEX(ФОТ!$K$26:$L$102,MATCH($F196&amp;"4komm",ФОТ!$K$26:$K$102,0),2),"")=0,"",_xlfn.IFERROR(INDEX(ФОТ!$K$26:$L$102,MATCH($F196&amp;"4komm",ФОТ!$K$26:$K$102,0),2),""))</f>
        <v/>
      </c>
      <c r="BP196" s="4782"/>
      <c r="BQ196" s="960"/>
      <c r="BR196" s="960"/>
      <c r="BS196" s="1046" t="s">
        <v>1665</v>
      </c>
      <c r="BT196" s="1048"/>
      <c r="BU196" s="1048"/>
      <c r="BV196" s="962"/>
      <c r="BW196" s="962"/>
    </row>
    <row s="4786" customFormat="1" customHeight="1" ht="20.25">
      <c r="A197" s="680"/>
      <c r="B197" s="408"/>
      <c r="C197" s="680"/>
      <c r="D197" s="680"/>
      <c r="E197" s="687">
        <v>21</v>
      </c>
      <c r="F197" s="50" cm="1" t="str">
        <f t="array" ref="F197:F197">OFFSET(E197,-1,1)</f>
        <v>1</v>
      </c>
      <c r="G197" s="680"/>
      <c r="H197" s="345"/>
      <c r="I197" s="345" t="s">
        <v>452</v>
      </c>
      <c r="J197" s="680"/>
      <c r="K197" s="345" t="s">
        <v>452</v>
      </c>
      <c r="L197" s="968" t="s">
        <v>327</v>
      </c>
      <c r="M197" s="75"/>
      <c r="N197" s="680"/>
      <c r="O197" s="680"/>
      <c r="P197" s="680"/>
      <c r="Q197" s="124" t="s">
        <v>2093</v>
      </c>
      <c r="R197" s="127" t="s">
        <v>2093</v>
      </c>
      <c r="S197" s="680"/>
      <c r="T197" s="439" cm="1" t="str">
        <f t="array" ref="T197:T197">T196</f>
        <v>true</v>
      </c>
      <c r="U197" s="680"/>
      <c r="V197" s="680"/>
      <c r="W197" s="680"/>
      <c r="X197" s="1482"/>
      <c r="Y197" s="680"/>
      <c r="Z197" s="1465"/>
      <c r="AA197" s="680"/>
      <c r="AB197" s="185" t="s">
        <v>854</v>
      </c>
      <c r="AC197" s="328" t="s">
        <v>1847</v>
      </c>
      <c r="AD197" s="178" t="s">
        <v>784</v>
      </c>
      <c r="AE197" s="751">
        <f>AE198+AE206+AE209+AE210+AE211+AE212+AE213</f>
        <v>0</v>
      </c>
      <c r="AF197" s="751">
        <f>AF198+AF206+AF209+AF210+AF211+AF212+AF213</f>
        <v>11.946305037</v>
      </c>
      <c r="AG197" s="751">
        <f>AG198+AG206+AG209+AG210+AG211+AG212+AG213</f>
        <v>0</v>
      </c>
      <c r="AH197" s="742">
        <f>AG197-AF197</f>
        <v>-11.946305037</v>
      </c>
      <c r="AI197" s="4756">
        <f>AI198+AI206+AI209+AI210+AI211+AI212+AI213</f>
        <v>0</v>
      </c>
      <c r="AJ197" s="4743"/>
      <c r="AK197" s="745"/>
      <c r="AL197" s="745"/>
      <c r="AM197" s="745"/>
      <c r="AN197" s="745"/>
      <c r="AO197" s="745"/>
      <c r="AP197" s="745"/>
      <c r="AQ197" s="745"/>
      <c r="AR197" s="745"/>
      <c r="AS197" s="745"/>
      <c r="AT197" s="745"/>
      <c r="AU197" s="745"/>
      <c r="AV197" s="745"/>
      <c r="AW197" s="745"/>
      <c r="AX197" s="745"/>
      <c r="AY197" s="745"/>
      <c r="AZ197" s="745"/>
      <c r="BA197" s="745"/>
      <c r="BB197" s="745"/>
      <c r="BC197" s="745"/>
      <c r="BD197" s="745"/>
      <c r="BE197" s="745"/>
      <c r="BF197" s="745"/>
      <c r="BG197" s="745"/>
      <c r="BH197" s="745"/>
      <c r="BI197" s="745"/>
      <c r="BJ197" s="745"/>
      <c r="BK197" s="745"/>
      <c r="BL197" s="745"/>
      <c r="BM197" s="745"/>
      <c r="BN197" s="4783"/>
      <c r="BO197" s="4783"/>
      <c r="BP197" s="4783"/>
      <c r="BQ197" s="680"/>
      <c r="BR197" s="680"/>
      <c r="BS197" s="1047" t="s">
        <v>1667</v>
      </c>
      <c r="BT197" s="1054"/>
      <c r="BU197" s="1054"/>
      <c r="BV197" s="687"/>
      <c r="BW197" s="687"/>
    </row>
    <row s="1621" customFormat="1" customHeight="1" ht="21.75">
      <c r="A198" s="960"/>
      <c r="B198" s="961"/>
      <c r="C198" s="960"/>
      <c r="D198" s="960"/>
      <c r="E198" s="683">
        <v>22.5</v>
      </c>
      <c r="F198" s="50" cm="1" t="str">
        <f t="array" ref="F198:F198">OFFSET(E198,-1,1)</f>
        <v>1</v>
      </c>
      <c r="G198" s="124" t="s">
        <v>1079</v>
      </c>
      <c r="H198" s="345"/>
      <c r="I198" s="345" t="s">
        <v>1246</v>
      </c>
      <c r="J198" s="960"/>
      <c r="K198" s="345" t="s">
        <v>1246</v>
      </c>
      <c r="L198" s="963" t="s">
        <v>875</v>
      </c>
      <c r="M198" s="73"/>
      <c r="N198" s="960"/>
      <c r="O198" s="960"/>
      <c r="P198" s="960"/>
      <c r="Q198" s="124" t="s">
        <v>2093</v>
      </c>
      <c r="R198" s="127" t="s">
        <v>2093</v>
      </c>
      <c r="S198" s="960"/>
      <c r="T198" s="439" cm="1" t="str">
        <f t="array" ref="T198:T198">T197</f>
        <v>true</v>
      </c>
      <c r="U198" s="960"/>
      <c r="V198" s="960"/>
      <c r="W198" s="960"/>
      <c r="X198" s="1482"/>
      <c r="Y198" s="960"/>
      <c r="Z198" s="1465"/>
      <c r="AA198" s="960"/>
      <c r="AB198" s="266" t="s">
        <v>971</v>
      </c>
      <c r="AC198" s="746" t="s">
        <v>1848</v>
      </c>
      <c r="AD198" s="267" t="s">
        <v>784</v>
      </c>
      <c r="AE198" s="927">
        <f>SUM(AE199:AE205)</f>
        <v>0</v>
      </c>
      <c r="AF198" s="927">
        <f>SUM(AF199:AF205)</f>
        <v>0</v>
      </c>
      <c r="AG198" s="927">
        <f>SUM(AG199:AG205)</f>
        <v>0</v>
      </c>
      <c r="AH198" s="926">
        <f>AG198-AF198</f>
        <v>0</v>
      </c>
      <c r="AI198" s="4752">
        <f>SUM(AI199:AI205)</f>
        <v>0</v>
      </c>
      <c r="AJ198" s="4743"/>
      <c r="AK198" s="925"/>
      <c r="AL198" s="925"/>
      <c r="AM198" s="925"/>
      <c r="AN198" s="925"/>
      <c r="AO198" s="925"/>
      <c r="AP198" s="925"/>
      <c r="AQ198" s="925"/>
      <c r="AR198" s="925"/>
      <c r="AS198" s="925"/>
      <c r="AT198" s="925"/>
      <c r="AU198" s="925"/>
      <c r="AV198" s="925"/>
      <c r="AW198" s="925"/>
      <c r="AX198" s="925"/>
      <c r="AY198" s="925"/>
      <c r="AZ198" s="925"/>
      <c r="BA198" s="925"/>
      <c r="BB198" s="925"/>
      <c r="BC198" s="925"/>
      <c r="BD198" s="925"/>
      <c r="BE198" s="925"/>
      <c r="BF198" s="925"/>
      <c r="BG198" s="925"/>
      <c r="BH198" s="925"/>
      <c r="BI198" s="925"/>
      <c r="BJ198" s="925"/>
      <c r="BK198" s="925"/>
      <c r="BL198" s="925"/>
      <c r="BM198" s="925"/>
      <c r="BN198" s="4782"/>
      <c r="BO198" s="4784" t="str">
        <f>IF(_xlfn.IFERROR(INDEX(Административные!$K$26:$L$84,MATCH($F198&amp;"17komm",Административные!$K$26:$K$84,0),2),"")=0,"",_xlfn.IFERROR(INDEX(Административные!$K$26:$L$84,MATCH($F198&amp;"17komm",Административные!$K$26:$K$84,0),2),""))</f>
        <v/>
      </c>
      <c r="BP198" s="4782"/>
      <c r="BQ198" s="960"/>
      <c r="BR198" s="960"/>
      <c r="BS198" s="1046" t="s">
        <v>1081</v>
      </c>
      <c r="BT198" s="1048"/>
      <c r="BU198" s="1048"/>
      <c r="BV198" s="962"/>
      <c r="BW198" s="962"/>
    </row>
    <row s="1621" customFormat="1" customHeight="1" ht="14.625">
      <c r="A199" s="960"/>
      <c r="B199" s="961"/>
      <c r="C199" s="960"/>
      <c r="D199" s="960"/>
      <c r="E199" s="683">
        <v>15</v>
      </c>
      <c r="F199" s="50" cm="1" t="str">
        <f t="array" ref="F199:F199">OFFSET(E199,-1,1)</f>
        <v>1</v>
      </c>
      <c r="G199" s="124" t="s">
        <v>1082</v>
      </c>
      <c r="H199" s="345"/>
      <c r="I199" s="345" t="s">
        <v>1849</v>
      </c>
      <c r="J199" s="960"/>
      <c r="K199" s="345" t="s">
        <v>1849</v>
      </c>
      <c r="L199" s="963"/>
      <c r="M199" s="73"/>
      <c r="N199" s="960"/>
      <c r="O199" s="960"/>
      <c r="P199" s="960"/>
      <c r="Q199" s="124" t="s">
        <v>2093</v>
      </c>
      <c r="R199" s="127" t="s">
        <v>2093</v>
      </c>
      <c r="S199" s="960"/>
      <c r="T199" s="439" cm="1" t="str">
        <f t="array" ref="T199:T199">T198</f>
        <v>true</v>
      </c>
      <c r="U199" s="960"/>
      <c r="V199" s="960"/>
      <c r="W199" s="960"/>
      <c r="X199" s="1482"/>
      <c r="Y199" s="960"/>
      <c r="Z199" s="1465"/>
      <c r="AA199" s="960"/>
      <c r="AB199" s="266" t="s">
        <v>1850</v>
      </c>
      <c r="AC199" s="749" t="s">
        <v>1083</v>
      </c>
      <c r="AD199" s="267" t="s">
        <v>784</v>
      </c>
      <c r="AE199" s="4765">
        <v>0</v>
      </c>
      <c r="AF199" s="4765"/>
      <c r="AG199" s="4765"/>
      <c r="AH199" s="926">
        <f>AG199-AF199</f>
        <v>0</v>
      </c>
      <c r="AI199" s="4750"/>
      <c r="AJ199" s="4743"/>
      <c r="AK199" s="925"/>
      <c r="AL199" s="925"/>
      <c r="AM199" s="925"/>
      <c r="AN199" s="925"/>
      <c r="AO199" s="925"/>
      <c r="AP199" s="925"/>
      <c r="AQ199" s="925"/>
      <c r="AR199" s="925"/>
      <c r="AS199" s="925"/>
      <c r="AT199" s="925"/>
      <c r="AU199" s="925"/>
      <c r="AV199" s="925"/>
      <c r="AW199" s="925"/>
      <c r="AX199" s="925"/>
      <c r="AY199" s="925"/>
      <c r="AZ199" s="925"/>
      <c r="BA199" s="925"/>
      <c r="BB199" s="925"/>
      <c r="BC199" s="925"/>
      <c r="BD199" s="925"/>
      <c r="BE199" s="925"/>
      <c r="BF199" s="925"/>
      <c r="BG199" s="925"/>
      <c r="BH199" s="925"/>
      <c r="BI199" s="925"/>
      <c r="BJ199" s="925"/>
      <c r="BK199" s="925"/>
      <c r="BL199" s="925"/>
      <c r="BM199" s="925"/>
      <c r="BN199" s="4782"/>
      <c r="BO199" s="4784" t="str">
        <f>IF(_xlfn.IFERROR(INDEX(Административные!$K$26:$L$84,MATCH($F199&amp;"18komm",Административные!$K$26:$K$84,0),2),"")=0,"",_xlfn.IFERROR(INDEX(Административные!$K$26:$L$84,MATCH($F199&amp;"18komm",Административные!$K$26:$K$84,0),2),""))</f>
        <v/>
      </c>
      <c r="BP199" s="4782"/>
      <c r="BQ199" s="960"/>
      <c r="BR199" s="960"/>
      <c r="BS199" s="1048" t="s">
        <v>1084</v>
      </c>
      <c r="BT199" s="1048"/>
      <c r="BU199" s="1048"/>
      <c r="BV199" s="962"/>
      <c r="BW199" s="962"/>
    </row>
    <row s="1621" customFormat="1" customHeight="1" ht="14.625">
      <c r="A200" s="960"/>
      <c r="B200" s="961"/>
      <c r="C200" s="960"/>
      <c r="D200" s="960"/>
      <c r="E200" s="683">
        <v>15</v>
      </c>
      <c r="F200" s="50" cm="1" t="str">
        <f t="array" ref="F200:F200">OFFSET(E200,-1,1)</f>
        <v>1</v>
      </c>
      <c r="G200" s="124" t="s">
        <v>1085</v>
      </c>
      <c r="H200" s="345"/>
      <c r="I200" s="345" t="s">
        <v>1851</v>
      </c>
      <c r="J200" s="960"/>
      <c r="K200" s="345" t="s">
        <v>1851</v>
      </c>
      <c r="L200" s="963"/>
      <c r="M200" s="73"/>
      <c r="N200" s="960"/>
      <c r="O200" s="960"/>
      <c r="P200" s="960"/>
      <c r="Q200" s="124" t="s">
        <v>2093</v>
      </c>
      <c r="R200" s="127" t="s">
        <v>2093</v>
      </c>
      <c r="S200" s="960"/>
      <c r="T200" s="439" cm="1" t="str">
        <f t="array" ref="T200:T200">T199</f>
        <v>true</v>
      </c>
      <c r="U200" s="960"/>
      <c r="V200" s="960"/>
      <c r="W200" s="960"/>
      <c r="X200" s="1482"/>
      <c r="Y200" s="960"/>
      <c r="Z200" s="1465"/>
      <c r="AA200" s="960"/>
      <c r="AB200" s="266" t="s">
        <v>1852</v>
      </c>
      <c r="AC200" s="749" t="s">
        <v>1086</v>
      </c>
      <c r="AD200" s="267" t="s">
        <v>784</v>
      </c>
      <c r="AE200" s="4765">
        <v>0</v>
      </c>
      <c r="AF200" s="4765"/>
      <c r="AG200" s="4765"/>
      <c r="AH200" s="926">
        <f>AG200-AF200</f>
        <v>0</v>
      </c>
      <c r="AI200" s="4750"/>
      <c r="AJ200" s="4743"/>
      <c r="AK200" s="925"/>
      <c r="AL200" s="925"/>
      <c r="AM200" s="925"/>
      <c r="AN200" s="925"/>
      <c r="AO200" s="925"/>
      <c r="AP200" s="925"/>
      <c r="AQ200" s="925"/>
      <c r="AR200" s="925"/>
      <c r="AS200" s="925"/>
      <c r="AT200" s="925"/>
      <c r="AU200" s="925"/>
      <c r="AV200" s="925"/>
      <c r="AW200" s="925"/>
      <c r="AX200" s="925"/>
      <c r="AY200" s="925"/>
      <c r="AZ200" s="925"/>
      <c r="BA200" s="925"/>
      <c r="BB200" s="925"/>
      <c r="BC200" s="925"/>
      <c r="BD200" s="925"/>
      <c r="BE200" s="925"/>
      <c r="BF200" s="925"/>
      <c r="BG200" s="925"/>
      <c r="BH200" s="925"/>
      <c r="BI200" s="925"/>
      <c r="BJ200" s="925"/>
      <c r="BK200" s="925"/>
      <c r="BL200" s="925"/>
      <c r="BM200" s="925"/>
      <c r="BN200" s="4782"/>
      <c r="BO200" s="4784" t="str">
        <f>IF(_xlfn.IFERROR(INDEX(Административные!$K$26:$L$84,MATCH($F200&amp;"11komm",Административные!$K$26:$K$84,0),2),"")=0,"",_xlfn.IFERROR(INDEX(Административные!$K$26:$L$84,MATCH($F200&amp;"11komm",Административные!$K$26:$K$84,0),2),""))</f>
        <v/>
      </c>
      <c r="BP200" s="4782"/>
      <c r="BQ200" s="960"/>
      <c r="BR200" s="960"/>
      <c r="BS200" s="1048" t="s">
        <v>1087</v>
      </c>
      <c r="BT200" s="1048"/>
      <c r="BU200" s="1048"/>
      <c r="BV200" s="962"/>
      <c r="BW200" s="962"/>
    </row>
    <row s="1621" customFormat="1" customHeight="1" ht="14.625">
      <c r="A201" s="960"/>
      <c r="B201" s="961"/>
      <c r="C201" s="960"/>
      <c r="D201" s="960"/>
      <c r="E201" s="683">
        <v>15</v>
      </c>
      <c r="F201" s="50" cm="1" t="str">
        <f t="array" ref="F201:F201">OFFSET(E201,-1,1)</f>
        <v>1</v>
      </c>
      <c r="G201" s="124" t="s">
        <v>1088</v>
      </c>
      <c r="H201" s="345"/>
      <c r="I201" s="345" t="s">
        <v>1853</v>
      </c>
      <c r="J201" s="960"/>
      <c r="K201" s="345" t="s">
        <v>1853</v>
      </c>
      <c r="L201" s="963"/>
      <c r="M201" s="73"/>
      <c r="N201" s="960"/>
      <c r="O201" s="960"/>
      <c r="P201" s="960"/>
      <c r="Q201" s="124" t="s">
        <v>2093</v>
      </c>
      <c r="R201" s="127" t="s">
        <v>2093</v>
      </c>
      <c r="S201" s="960"/>
      <c r="T201" s="439" cm="1" t="str">
        <f t="array" ref="T201:T201">T200</f>
        <v>true</v>
      </c>
      <c r="U201" s="960"/>
      <c r="V201" s="960"/>
      <c r="W201" s="960"/>
      <c r="X201" s="1482"/>
      <c r="Y201" s="960"/>
      <c r="Z201" s="1465"/>
      <c r="AA201" s="960"/>
      <c r="AB201" s="266" t="s">
        <v>1854</v>
      </c>
      <c r="AC201" s="749" t="s">
        <v>1089</v>
      </c>
      <c r="AD201" s="267" t="s">
        <v>784</v>
      </c>
      <c r="AE201" s="4765">
        <v>0</v>
      </c>
      <c r="AF201" s="4765"/>
      <c r="AG201" s="4765"/>
      <c r="AH201" s="926">
        <f>AG201-AF201</f>
        <v>0</v>
      </c>
      <c r="AI201" s="4750"/>
      <c r="AJ201" s="4743"/>
      <c r="AK201" s="925"/>
      <c r="AL201" s="925"/>
      <c r="AM201" s="925"/>
      <c r="AN201" s="925"/>
      <c r="AO201" s="925"/>
      <c r="AP201" s="925"/>
      <c r="AQ201" s="925"/>
      <c r="AR201" s="925"/>
      <c r="AS201" s="925"/>
      <c r="AT201" s="925"/>
      <c r="AU201" s="925"/>
      <c r="AV201" s="925"/>
      <c r="AW201" s="925"/>
      <c r="AX201" s="925"/>
      <c r="AY201" s="925"/>
      <c r="AZ201" s="925"/>
      <c r="BA201" s="925"/>
      <c r="BB201" s="925"/>
      <c r="BC201" s="925"/>
      <c r="BD201" s="925"/>
      <c r="BE201" s="925"/>
      <c r="BF201" s="925"/>
      <c r="BG201" s="925"/>
      <c r="BH201" s="925"/>
      <c r="BI201" s="925"/>
      <c r="BJ201" s="925"/>
      <c r="BK201" s="925"/>
      <c r="BL201" s="925"/>
      <c r="BM201" s="925"/>
      <c r="BN201" s="4782"/>
      <c r="BO201" s="4784" t="str">
        <f>IF(_xlfn.IFERROR(INDEX(Административные!$K$26:$L$84,MATCH($F201&amp;"12komm",Административные!$K$26:$K$84,0),2),"")=0,"",_xlfn.IFERROR(INDEX(Административные!$K$26:$L$84,MATCH($F201&amp;"12komm",Административные!$K$26:$K$84,0),2),""))</f>
        <v/>
      </c>
      <c r="BP201" s="4782"/>
      <c r="BQ201" s="960"/>
      <c r="BR201" s="960"/>
      <c r="BS201" s="1048" t="s">
        <v>1090</v>
      </c>
      <c r="BT201" s="1048"/>
      <c r="BU201" s="1048"/>
      <c r="BV201" s="962"/>
      <c r="BW201" s="962"/>
    </row>
    <row s="1621" customFormat="1" customHeight="1" ht="14.625">
      <c r="A202" s="960"/>
      <c r="B202" s="961"/>
      <c r="C202" s="960"/>
      <c r="D202" s="960"/>
      <c r="E202" s="683">
        <v>15</v>
      </c>
      <c r="F202" s="50" cm="1" t="str">
        <f t="array" ref="F202:F202">OFFSET(E202,-1,1)</f>
        <v>1</v>
      </c>
      <c r="G202" s="124" t="s">
        <v>1091</v>
      </c>
      <c r="H202" s="345"/>
      <c r="I202" s="345" t="s">
        <v>1855</v>
      </c>
      <c r="J202" s="960"/>
      <c r="K202" s="345" t="s">
        <v>1855</v>
      </c>
      <c r="L202" s="963"/>
      <c r="M202" s="73"/>
      <c r="N202" s="960"/>
      <c r="O202" s="960"/>
      <c r="P202" s="960"/>
      <c r="Q202" s="124" t="s">
        <v>2093</v>
      </c>
      <c r="R202" s="127" t="s">
        <v>2093</v>
      </c>
      <c r="S202" s="960"/>
      <c r="T202" s="439" cm="1" t="str">
        <f t="array" ref="T202:T202">T201</f>
        <v>true</v>
      </c>
      <c r="U202" s="960"/>
      <c r="V202" s="960"/>
      <c r="W202" s="960"/>
      <c r="X202" s="1482"/>
      <c r="Y202" s="960"/>
      <c r="Z202" s="1465"/>
      <c r="AA202" s="960"/>
      <c r="AB202" s="266" t="s">
        <v>1856</v>
      </c>
      <c r="AC202" s="749" t="s">
        <v>1092</v>
      </c>
      <c r="AD202" s="267" t="s">
        <v>784</v>
      </c>
      <c r="AE202" s="4765">
        <v>0</v>
      </c>
      <c r="AF202" s="4765"/>
      <c r="AG202" s="4765"/>
      <c r="AH202" s="926">
        <f>AG202-AF202</f>
        <v>0</v>
      </c>
      <c r="AI202" s="4750"/>
      <c r="AJ202" s="4743"/>
      <c r="AK202" s="925"/>
      <c r="AL202" s="925"/>
      <c r="AM202" s="925"/>
      <c r="AN202" s="925"/>
      <c r="AO202" s="925"/>
      <c r="AP202" s="925"/>
      <c r="AQ202" s="925"/>
      <c r="AR202" s="925"/>
      <c r="AS202" s="925"/>
      <c r="AT202" s="925"/>
      <c r="AU202" s="925"/>
      <c r="AV202" s="925"/>
      <c r="AW202" s="925"/>
      <c r="AX202" s="925"/>
      <c r="AY202" s="925"/>
      <c r="AZ202" s="925"/>
      <c r="BA202" s="925"/>
      <c r="BB202" s="925"/>
      <c r="BC202" s="925"/>
      <c r="BD202" s="925"/>
      <c r="BE202" s="925"/>
      <c r="BF202" s="925"/>
      <c r="BG202" s="925"/>
      <c r="BH202" s="925"/>
      <c r="BI202" s="925"/>
      <c r="BJ202" s="925"/>
      <c r="BK202" s="925"/>
      <c r="BL202" s="925"/>
      <c r="BM202" s="925"/>
      <c r="BN202" s="4782"/>
      <c r="BO202" s="4784" t="str">
        <f>IF(_xlfn.IFERROR(INDEX(Административные!$K$26:$L$84,MATCH($F202&amp;"13komm",Административные!$K$26:$K$84,0),2),"")=0,"",_xlfn.IFERROR(INDEX(Административные!$K$26:$L$84,MATCH($F202&amp;"13komm",Административные!$K$26:$K$84,0),2),""))</f>
        <v/>
      </c>
      <c r="BP202" s="4782"/>
      <c r="BQ202" s="960"/>
      <c r="BR202" s="960"/>
      <c r="BS202" s="1048" t="s">
        <v>1093</v>
      </c>
      <c r="BT202" s="1048"/>
      <c r="BU202" s="1048"/>
      <c r="BV202" s="962"/>
      <c r="BW202" s="962"/>
    </row>
    <row s="1621" customFormat="1" customHeight="1" ht="14.625">
      <c r="A203" s="960"/>
      <c r="B203" s="961"/>
      <c r="C203" s="960"/>
      <c r="D203" s="960"/>
      <c r="E203" s="683">
        <v>15</v>
      </c>
      <c r="F203" s="50" cm="1" t="str">
        <f t="array" ref="F203:F203">OFFSET(E203,-1,1)</f>
        <v>1</v>
      </c>
      <c r="G203" s="124" t="s">
        <v>1094</v>
      </c>
      <c r="H203" s="345"/>
      <c r="I203" s="345" t="s">
        <v>1857</v>
      </c>
      <c r="J203" s="960"/>
      <c r="K203" s="345" t="s">
        <v>1857</v>
      </c>
      <c r="L203" s="963"/>
      <c r="M203" s="73"/>
      <c r="N203" s="960"/>
      <c r="O203" s="960"/>
      <c r="P203" s="960"/>
      <c r="Q203" s="124" t="s">
        <v>2093</v>
      </c>
      <c r="R203" s="127" t="s">
        <v>2093</v>
      </c>
      <c r="S203" s="960"/>
      <c r="T203" s="439" cm="1" t="str">
        <f t="array" ref="T203:T203">T202</f>
        <v>true</v>
      </c>
      <c r="U203" s="960"/>
      <c r="V203" s="960"/>
      <c r="W203" s="960"/>
      <c r="X203" s="1482"/>
      <c r="Y203" s="960"/>
      <c r="Z203" s="1465"/>
      <c r="AA203" s="960"/>
      <c r="AB203" s="266" t="s">
        <v>1858</v>
      </c>
      <c r="AC203" s="749" t="s">
        <v>1095</v>
      </c>
      <c r="AD203" s="267" t="s">
        <v>784</v>
      </c>
      <c r="AE203" s="4765">
        <v>0</v>
      </c>
      <c r="AF203" s="4765"/>
      <c r="AG203" s="4765"/>
      <c r="AH203" s="926">
        <f>AG203-AF203</f>
        <v>0</v>
      </c>
      <c r="AI203" s="4750"/>
      <c r="AJ203" s="4743"/>
      <c r="AK203" s="925"/>
      <c r="AL203" s="925"/>
      <c r="AM203" s="925"/>
      <c r="AN203" s="925"/>
      <c r="AO203" s="925"/>
      <c r="AP203" s="925"/>
      <c r="AQ203" s="925"/>
      <c r="AR203" s="925"/>
      <c r="AS203" s="925"/>
      <c r="AT203" s="925"/>
      <c r="AU203" s="925"/>
      <c r="AV203" s="925"/>
      <c r="AW203" s="925"/>
      <c r="AX203" s="925"/>
      <c r="AY203" s="925"/>
      <c r="AZ203" s="925"/>
      <c r="BA203" s="925"/>
      <c r="BB203" s="925"/>
      <c r="BC203" s="925"/>
      <c r="BD203" s="925"/>
      <c r="BE203" s="925"/>
      <c r="BF203" s="925"/>
      <c r="BG203" s="925"/>
      <c r="BH203" s="925"/>
      <c r="BI203" s="925"/>
      <c r="BJ203" s="925"/>
      <c r="BK203" s="925"/>
      <c r="BL203" s="925"/>
      <c r="BM203" s="925"/>
      <c r="BN203" s="4782"/>
      <c r="BO203" s="4784" t="str">
        <f>IF(_xlfn.IFERROR(INDEX(Административные!$K$26:$L$84,MATCH($F203&amp;"14komm",Административные!$K$26:$K$84,0),2),"")=0,"",_xlfn.IFERROR(INDEX(Административные!$K$26:$L$84,MATCH($F203&amp;"14komm",Административные!$K$26:$K$84,0),2),""))</f>
        <v/>
      </c>
      <c r="BP203" s="4782"/>
      <c r="BQ203" s="960"/>
      <c r="BR203" s="960"/>
      <c r="BS203" s="1048" t="s">
        <v>1859</v>
      </c>
      <c r="BT203" s="1048"/>
      <c r="BU203" s="1048"/>
      <c r="BV203" s="962"/>
      <c r="BW203" s="962"/>
    </row>
    <row s="1621" customFormat="1" customHeight="1" ht="14.625">
      <c r="A204" s="960"/>
      <c r="B204" s="961"/>
      <c r="C204" s="960"/>
      <c r="D204" s="960"/>
      <c r="E204" s="683">
        <v>15</v>
      </c>
      <c r="F204" s="50" cm="1" t="str">
        <f t="array" ref="F204:F204">OFFSET(E204,-1,1)</f>
        <v>1</v>
      </c>
      <c r="G204" s="124" t="s">
        <v>1097</v>
      </c>
      <c r="H204" s="345"/>
      <c r="I204" s="345" t="s">
        <v>1860</v>
      </c>
      <c r="J204" s="960"/>
      <c r="K204" s="345" t="s">
        <v>1860</v>
      </c>
      <c r="L204" s="963"/>
      <c r="M204" s="73"/>
      <c r="N204" s="960"/>
      <c r="O204" s="960"/>
      <c r="P204" s="960"/>
      <c r="Q204" s="124" t="s">
        <v>2093</v>
      </c>
      <c r="R204" s="127" t="s">
        <v>2093</v>
      </c>
      <c r="S204" s="960"/>
      <c r="T204" s="439" cm="1" t="str">
        <f t="array" ref="T204:T204">T203</f>
        <v>true</v>
      </c>
      <c r="U204" s="960"/>
      <c r="V204" s="960"/>
      <c r="W204" s="960"/>
      <c r="X204" s="1482"/>
      <c r="Y204" s="960"/>
      <c r="Z204" s="1465"/>
      <c r="AA204" s="960"/>
      <c r="AB204" s="266" t="s">
        <v>1861</v>
      </c>
      <c r="AC204" s="749" t="s">
        <v>1100</v>
      </c>
      <c r="AD204" s="267" t="s">
        <v>784</v>
      </c>
      <c r="AE204" s="4765">
        <v>0</v>
      </c>
      <c r="AF204" s="4765"/>
      <c r="AG204" s="4765"/>
      <c r="AH204" s="926">
        <f>AG204-AF204</f>
        <v>0</v>
      </c>
      <c r="AI204" s="4750"/>
      <c r="AJ204" s="4743"/>
      <c r="AK204" s="925"/>
      <c r="AL204" s="925"/>
      <c r="AM204" s="925"/>
      <c r="AN204" s="925"/>
      <c r="AO204" s="925"/>
      <c r="AP204" s="925"/>
      <c r="AQ204" s="925"/>
      <c r="AR204" s="925"/>
      <c r="AS204" s="925"/>
      <c r="AT204" s="925"/>
      <c r="AU204" s="925"/>
      <c r="AV204" s="925"/>
      <c r="AW204" s="925"/>
      <c r="AX204" s="925"/>
      <c r="AY204" s="925"/>
      <c r="AZ204" s="925"/>
      <c r="BA204" s="925"/>
      <c r="BB204" s="925"/>
      <c r="BC204" s="925"/>
      <c r="BD204" s="925"/>
      <c r="BE204" s="925"/>
      <c r="BF204" s="925"/>
      <c r="BG204" s="925"/>
      <c r="BH204" s="925"/>
      <c r="BI204" s="925"/>
      <c r="BJ204" s="925"/>
      <c r="BK204" s="925"/>
      <c r="BL204" s="925"/>
      <c r="BM204" s="925"/>
      <c r="BN204" s="4782"/>
      <c r="BO204" s="4784" t="str">
        <f>IF(_xlfn.IFERROR(INDEX(Административные!$K$26:$L$84,MATCH($F204&amp;"15komm",Административные!$K$26:$K$84,0),2),"")=0,"",_xlfn.IFERROR(INDEX(Административные!$K$26:$L$84,MATCH($F204&amp;"15komm",Административные!$K$26:$K$84,0),2),""))</f>
        <v/>
      </c>
      <c r="BP204" s="4782"/>
      <c r="BQ204" s="960"/>
      <c r="BR204" s="960"/>
      <c r="BS204" s="1048" t="s">
        <v>1101</v>
      </c>
      <c r="BT204" s="1048"/>
      <c r="BU204" s="1048"/>
      <c r="BV204" s="962"/>
      <c r="BW204" s="962"/>
    </row>
    <row s="1621" customFormat="1" customHeight="1" ht="14.625">
      <c r="A205" s="960"/>
      <c r="B205" s="961"/>
      <c r="C205" s="960"/>
      <c r="D205" s="960"/>
      <c r="E205" s="683">
        <v>15</v>
      </c>
      <c r="F205" s="50" cm="1" t="str">
        <f t="array" ref="F205:F205">OFFSET(E205,-1,1)</f>
        <v>1</v>
      </c>
      <c r="G205" s="124" t="s">
        <v>1102</v>
      </c>
      <c r="H205" s="345"/>
      <c r="I205" s="345" t="s">
        <v>1862</v>
      </c>
      <c r="J205" s="960"/>
      <c r="K205" s="345" t="s">
        <v>1862</v>
      </c>
      <c r="L205" s="963"/>
      <c r="M205" s="73"/>
      <c r="N205" s="960"/>
      <c r="O205" s="960"/>
      <c r="P205" s="960"/>
      <c r="Q205" s="124" t="s">
        <v>2093</v>
      </c>
      <c r="R205" s="127" t="s">
        <v>2093</v>
      </c>
      <c r="S205" s="960"/>
      <c r="T205" s="439" cm="1" t="str">
        <f t="array" ref="T205:T205">T204</f>
        <v>true</v>
      </c>
      <c r="U205" s="960"/>
      <c r="V205" s="960"/>
      <c r="W205" s="960"/>
      <c r="X205" s="1482"/>
      <c r="Y205" s="960"/>
      <c r="Z205" s="1465"/>
      <c r="AA205" s="960"/>
      <c r="AB205" s="266" t="s">
        <v>1863</v>
      </c>
      <c r="AC205" s="749" t="s">
        <v>1105</v>
      </c>
      <c r="AD205" s="267" t="s">
        <v>784</v>
      </c>
      <c r="AE205" s="4765">
        <v>0</v>
      </c>
      <c r="AF205" s="4765"/>
      <c r="AG205" s="4765"/>
      <c r="AH205" s="926">
        <f>AG205-AF205</f>
        <v>0</v>
      </c>
      <c r="AI205" s="4750"/>
      <c r="AJ205" s="4743"/>
      <c r="AK205" s="925"/>
      <c r="AL205" s="925"/>
      <c r="AM205" s="925"/>
      <c r="AN205" s="925"/>
      <c r="AO205" s="925"/>
      <c r="AP205" s="925"/>
      <c r="AQ205" s="925"/>
      <c r="AR205" s="925"/>
      <c r="AS205" s="925"/>
      <c r="AT205" s="925"/>
      <c r="AU205" s="925"/>
      <c r="AV205" s="925"/>
      <c r="AW205" s="925"/>
      <c r="AX205" s="925"/>
      <c r="AY205" s="925"/>
      <c r="AZ205" s="925"/>
      <c r="BA205" s="925"/>
      <c r="BB205" s="925"/>
      <c r="BC205" s="925"/>
      <c r="BD205" s="925"/>
      <c r="BE205" s="925"/>
      <c r="BF205" s="925"/>
      <c r="BG205" s="925"/>
      <c r="BH205" s="925"/>
      <c r="BI205" s="925"/>
      <c r="BJ205" s="925"/>
      <c r="BK205" s="925"/>
      <c r="BL205" s="925"/>
      <c r="BM205" s="925"/>
      <c r="BN205" s="4782"/>
      <c r="BO205" s="4784" t="str">
        <f>IF(_xlfn.IFERROR(INDEX(Административные!$K$26:$L$84,MATCH($F205&amp;"16komm",Административные!$K$26:$K$84,0),2),"")=0,"",_xlfn.IFERROR(INDEX(Административные!$K$26:$L$84,MATCH($F205&amp;"16komm",Административные!$K$26:$K$84,0),2),""))</f>
        <v/>
      </c>
      <c r="BP205" s="4782"/>
      <c r="BQ205" s="960"/>
      <c r="BR205" s="960"/>
      <c r="BS205" s="1048" t="s">
        <v>1864</v>
      </c>
      <c r="BT205" s="1048"/>
      <c r="BU205" s="1048"/>
      <c r="BV205" s="962"/>
      <c r="BW205" s="962"/>
    </row>
    <row s="1621" customFormat="1" customHeight="1" ht="21.75">
      <c r="A206" s="960"/>
      <c r="B206" s="961"/>
      <c r="C206" s="960"/>
      <c r="D206" s="960"/>
      <c r="E206" s="683">
        <v>22.5</v>
      </c>
      <c r="F206" s="50" cm="1" t="str">
        <f t="array" ref="F206:F206">OFFSET(E206,-1,1)</f>
        <v>1</v>
      </c>
      <c r="G206" s="960"/>
      <c r="H206" s="345"/>
      <c r="I206" s="345" t="s">
        <v>1247</v>
      </c>
      <c r="J206" s="960"/>
      <c r="K206" s="345" t="s">
        <v>1247</v>
      </c>
      <c r="L206" s="963" t="s">
        <v>877</v>
      </c>
      <c r="M206" s="73"/>
      <c r="N206" s="960"/>
      <c r="O206" s="960"/>
      <c r="P206" s="960"/>
      <c r="Q206" s="124" t="s">
        <v>2093</v>
      </c>
      <c r="R206" s="127" t="s">
        <v>2093</v>
      </c>
      <c r="S206" s="960"/>
      <c r="T206" s="439" cm="1" t="str">
        <f t="array" ref="T206:T206">T205</f>
        <v>true</v>
      </c>
      <c r="U206" s="960"/>
      <c r="V206" s="960"/>
      <c r="W206" s="960"/>
      <c r="X206" s="1482"/>
      <c r="Y206" s="960"/>
      <c r="Z206" s="1465"/>
      <c r="AA206" s="960"/>
      <c r="AB206" s="266" t="s">
        <v>974</v>
      </c>
      <c r="AC206" s="746" t="s">
        <v>1865</v>
      </c>
      <c r="AD206" s="267" t="s">
        <v>784</v>
      </c>
      <c r="AE206" s="927">
        <f>AE207+AE208</f>
        <v>0</v>
      </c>
      <c r="AF206" s="927">
        <f>AF207+AF208</f>
        <v>0</v>
      </c>
      <c r="AG206" s="927">
        <f>AG207+AG208</f>
        <v>0</v>
      </c>
      <c r="AH206" s="926">
        <f>AG206-AF206</f>
        <v>0</v>
      </c>
      <c r="AI206" s="4752">
        <f>AI207+AI208</f>
        <v>0</v>
      </c>
      <c r="AJ206" s="4743"/>
      <c r="AK206" s="925"/>
      <c r="AL206" s="925"/>
      <c r="AM206" s="925"/>
      <c r="AN206" s="925"/>
      <c r="AO206" s="925"/>
      <c r="AP206" s="925"/>
      <c r="AQ206" s="925"/>
      <c r="AR206" s="925"/>
      <c r="AS206" s="925"/>
      <c r="AT206" s="925"/>
      <c r="AU206" s="925"/>
      <c r="AV206" s="925"/>
      <c r="AW206" s="925"/>
      <c r="AX206" s="925"/>
      <c r="AY206" s="925"/>
      <c r="AZ206" s="925"/>
      <c r="BA206" s="925"/>
      <c r="BB206" s="925"/>
      <c r="BC206" s="925"/>
      <c r="BD206" s="925"/>
      <c r="BE206" s="925"/>
      <c r="BF206" s="925"/>
      <c r="BG206" s="925"/>
      <c r="BH206" s="925"/>
      <c r="BI206" s="925"/>
      <c r="BJ206" s="925"/>
      <c r="BK206" s="925"/>
      <c r="BL206" s="925"/>
      <c r="BM206" s="925"/>
      <c r="BN206" s="4782"/>
      <c r="BO206" s="4782"/>
      <c r="BP206" s="4782"/>
      <c r="BQ206" s="960"/>
      <c r="BR206" s="960"/>
      <c r="BS206" s="1046" t="s">
        <v>1670</v>
      </c>
      <c r="BT206" s="1048"/>
      <c r="BU206" s="1048"/>
      <c r="BV206" s="962"/>
      <c r="BW206" s="962"/>
    </row>
    <row s="1621" customFormat="1" customHeight="1" ht="14.625">
      <c r="A207" s="960"/>
      <c r="B207" s="961"/>
      <c r="C207" s="960"/>
      <c r="D207" s="960"/>
      <c r="E207" s="683">
        <v>15</v>
      </c>
      <c r="F207" s="50" cm="1" t="str">
        <f t="array" ref="F207:F207">OFFSET(E207,-1,1)</f>
        <v>1</v>
      </c>
      <c r="G207" s="124" t="s">
        <v>1061</v>
      </c>
      <c r="H207" s="345"/>
      <c r="I207" s="345" t="s">
        <v>1866</v>
      </c>
      <c r="J207" s="960"/>
      <c r="K207" s="345" t="s">
        <v>1866</v>
      </c>
      <c r="L207" s="963" t="s">
        <v>477</v>
      </c>
      <c r="M207" s="73"/>
      <c r="N207" s="960"/>
      <c r="O207" s="960"/>
      <c r="P207" s="960"/>
      <c r="Q207" s="124" t="s">
        <v>2093</v>
      </c>
      <c r="R207" s="127" t="s">
        <v>2093</v>
      </c>
      <c r="S207" s="960"/>
      <c r="T207" s="439" cm="1" t="str">
        <f t="array" ref="T207:T207">T206</f>
        <v>true</v>
      </c>
      <c r="U207" s="960"/>
      <c r="V207" s="960"/>
      <c r="W207" s="960"/>
      <c r="X207" s="1482"/>
      <c r="Y207" s="960"/>
      <c r="Z207" s="1465"/>
      <c r="AA207" s="960"/>
      <c r="AB207" s="266" t="s">
        <v>1867</v>
      </c>
      <c r="AC207" s="749" t="s">
        <v>1671</v>
      </c>
      <c r="AD207" s="752" t="s">
        <v>784</v>
      </c>
      <c r="AE207" s="4765">
        <v>0</v>
      </c>
      <c r="AF207" s="4765"/>
      <c r="AG207" s="4765"/>
      <c r="AH207" s="926">
        <f>AG207-AF207</f>
        <v>0</v>
      </c>
      <c r="AI207" s="4750"/>
      <c r="AJ207" s="4743"/>
      <c r="AK207" s="925"/>
      <c r="AL207" s="925"/>
      <c r="AM207" s="925"/>
      <c r="AN207" s="925"/>
      <c r="AO207" s="925"/>
      <c r="AP207" s="925"/>
      <c r="AQ207" s="925"/>
      <c r="AR207" s="925"/>
      <c r="AS207" s="925"/>
      <c r="AT207" s="925"/>
      <c r="AU207" s="925"/>
      <c r="AV207" s="925"/>
      <c r="AW207" s="925"/>
      <c r="AX207" s="925"/>
      <c r="AY207" s="925"/>
      <c r="AZ207" s="925"/>
      <c r="BA207" s="925"/>
      <c r="BB207" s="925"/>
      <c r="BC207" s="925"/>
      <c r="BD207" s="925"/>
      <c r="BE207" s="925"/>
      <c r="BF207" s="925"/>
      <c r="BG207" s="925"/>
      <c r="BH207" s="925"/>
      <c r="BI207" s="925"/>
      <c r="BJ207" s="925"/>
      <c r="BK207" s="925"/>
      <c r="BL207" s="925"/>
      <c r="BM207" s="925"/>
      <c r="BN207" s="4782"/>
      <c r="BO207" s="4784" t="str">
        <f>IF(_xlfn.IFERROR(INDEX(ФОТ!$K$26:$L$102,MATCH($F207&amp;"5komm",ФОТ!$K$26:$K$102,0),2),"")=0,"",_xlfn.IFERROR(INDEX(ФОТ!$K$26:$L$102,MATCH($F207&amp;"5komm",ФОТ!$K$26:$K$102,0),2),""))</f>
        <v/>
      </c>
      <c r="BP207" s="4782"/>
      <c r="BQ207" s="960"/>
      <c r="BR207" s="960"/>
      <c r="BS207" s="1046" t="s">
        <v>1078</v>
      </c>
      <c r="BT207" s="1048"/>
      <c r="BU207" s="1048"/>
      <c r="BV207" s="962"/>
      <c r="BW207" s="962"/>
    </row>
    <row s="1621" customFormat="1" customHeight="1" ht="21.75">
      <c r="A208" s="960"/>
      <c r="B208" s="961"/>
      <c r="C208" s="960"/>
      <c r="D208" s="960"/>
      <c r="E208" s="683">
        <v>22.5</v>
      </c>
      <c r="F208" s="50" cm="1" t="str">
        <f t="array" ref="F208:F208">OFFSET(E208,-1,1)</f>
        <v>1</v>
      </c>
      <c r="G208" s="124" t="s">
        <v>1066</v>
      </c>
      <c r="H208" s="345"/>
      <c r="I208" s="345" t="s">
        <v>1868</v>
      </c>
      <c r="J208" s="960"/>
      <c r="K208" s="345" t="s">
        <v>1868</v>
      </c>
      <c r="L208" s="963" t="s">
        <v>482</v>
      </c>
      <c r="M208" s="73"/>
      <c r="N208" s="960"/>
      <c r="O208" s="960"/>
      <c r="P208" s="960"/>
      <c r="Q208" s="124" t="s">
        <v>2093</v>
      </c>
      <c r="R208" s="127" t="s">
        <v>2093</v>
      </c>
      <c r="S208" s="960"/>
      <c r="T208" s="439" cm="1" t="str">
        <f t="array" ref="T208:T208">T207</f>
        <v>true</v>
      </c>
      <c r="U208" s="960"/>
      <c r="V208" s="960"/>
      <c r="W208" s="960"/>
      <c r="X208" s="1482"/>
      <c r="Y208" s="960"/>
      <c r="Z208" s="1465"/>
      <c r="AA208" s="960"/>
      <c r="AB208" s="266" t="s">
        <v>1869</v>
      </c>
      <c r="AC208" s="749" t="s">
        <v>1870</v>
      </c>
      <c r="AD208" s="267" t="s">
        <v>784</v>
      </c>
      <c r="AE208" s="4765">
        <f>AE207*_xlfn.SUMIFS(INDEX(Сценарии!$AE$25:$BF$109,,MATCH(AE$8,Сценарии!$AE$8:$BF$8,0)),Сценарии!$F$25:$F$109,$F208,Сценарии!$G$25:$G$109,"СВФОТ")/100</f>
        <v>0</v>
      </c>
      <c r="AF208" s="4765">
        <f>AF207*_xlfn.SUMIFS(INDEX(Сценарии!$AE$25:$BF$109,,MATCH(AF$8,Сценарии!$AE$8:$BF$8,0)),Сценарии!$F$25:$F$109,$F208,Сценарии!$G$25:$G$109,"СВФОТ")/100</f>
        <v>0</v>
      </c>
      <c r="AG208" s="4765">
        <f>AG207*_xlfn.SUMIFS(INDEX(Сценарии!$AE$25:$BF$109,,MATCH(AG$8,Сценарии!$AE$8:$BF$8,0)),Сценарии!$F$25:$F$109,$F208,Сценарии!$G$25:$G$109,"СВФОТ")/100</f>
        <v>0</v>
      </c>
      <c r="AH208" s="926">
        <f>AG208-AF208</f>
        <v>0</v>
      </c>
      <c r="AI208" s="4750">
        <f>AI207*_xlfn.SUMIFS(INDEX(Сценарии!$AE$25:$BF$109,,MATCH(AG$8,Сценарии!$AE$8:$BF$8,0)),Сценарии!$F$25:$F$109,$F208,Сценарии!$G$25:$G$109,"СВФОТ")/100</f>
        <v>0</v>
      </c>
      <c r="AJ208" s="4743"/>
      <c r="AK208" s="925"/>
      <c r="AL208" s="925"/>
      <c r="AM208" s="925"/>
      <c r="AN208" s="925"/>
      <c r="AO208" s="925"/>
      <c r="AP208" s="925"/>
      <c r="AQ208" s="925"/>
      <c r="AR208" s="925"/>
      <c r="AS208" s="925"/>
      <c r="AT208" s="925"/>
      <c r="AU208" s="925"/>
      <c r="AV208" s="925"/>
      <c r="AW208" s="925"/>
      <c r="AX208" s="925"/>
      <c r="AY208" s="925"/>
      <c r="AZ208" s="925"/>
      <c r="BA208" s="925"/>
      <c r="BB208" s="925"/>
      <c r="BC208" s="925"/>
      <c r="BD208" s="925"/>
      <c r="BE208" s="925"/>
      <c r="BF208" s="925"/>
      <c r="BG208" s="925"/>
      <c r="BH208" s="925"/>
      <c r="BI208" s="925"/>
      <c r="BJ208" s="925"/>
      <c r="BK208" s="925"/>
      <c r="BL208" s="925"/>
      <c r="BM208" s="925"/>
      <c r="BN208" s="4782"/>
      <c r="BO208" s="4784" t="str">
        <f>IF(_xlfn.IFERROR(INDEX(ФОТ!$K$26:$L$102,MATCH($F208&amp;"6komm",ФОТ!$K$26:$K$102,0),2),"")=0,"",_xlfn.IFERROR(INDEX(ФОТ!$K$26:$L$102,MATCH($F208&amp;"6komm",ФОТ!$K$26:$K$102,0),2),""))</f>
        <v/>
      </c>
      <c r="BP208" s="4782"/>
      <c r="BQ208" s="960"/>
      <c r="BR208" s="960"/>
      <c r="BS208" s="1046" t="s">
        <v>1673</v>
      </c>
      <c r="BT208" s="1048"/>
      <c r="BU208" s="1048"/>
      <c r="BV208" s="962"/>
      <c r="BW208" s="962"/>
    </row>
    <row s="1621" customFormat="1" customHeight="1" ht="33.75">
      <c r="A209" s="960"/>
      <c r="B209" s="961"/>
      <c r="C209" s="960"/>
      <c r="D209" s="960"/>
      <c r="E209" s="683">
        <v>33.75</v>
      </c>
      <c r="F209" s="50" cm="1" t="str">
        <f t="array" ref="F209:F209">OFFSET(E209,-1,1)</f>
        <v>1</v>
      </c>
      <c r="G209" s="49" t="s">
        <v>1107</v>
      </c>
      <c r="H209" s="345"/>
      <c r="I209" s="345" t="s">
        <v>1250</v>
      </c>
      <c r="J209" s="960"/>
      <c r="K209" s="345" t="s">
        <v>1250</v>
      </c>
      <c r="L209" s="963" t="s">
        <v>879</v>
      </c>
      <c r="M209" s="73"/>
      <c r="N209" s="960"/>
      <c r="O209" s="960"/>
      <c r="P209" s="960"/>
      <c r="Q209" s="124" t="s">
        <v>2093</v>
      </c>
      <c r="R209" s="127" t="s">
        <v>2093</v>
      </c>
      <c r="S209" s="960"/>
      <c r="T209" s="439" cm="1" t="str">
        <f t="array" ref="T209:T209">T208</f>
        <v>true</v>
      </c>
      <c r="U209" s="960"/>
      <c r="V209" s="960"/>
      <c r="W209" s="960"/>
      <c r="X209" s="1482"/>
      <c r="Y209" s="960"/>
      <c r="Z209" s="1465"/>
      <c r="AA209" s="960"/>
      <c r="AB209" s="266" t="s">
        <v>1251</v>
      </c>
      <c r="AC209" s="746" t="s">
        <v>1871</v>
      </c>
      <c r="AD209" s="267" t="s">
        <v>784</v>
      </c>
      <c r="AE209" s="4765">
        <v>0</v>
      </c>
      <c r="AF209" s="4765"/>
      <c r="AG209" s="4765"/>
      <c r="AH209" s="926">
        <f>AG209-AF209</f>
        <v>0</v>
      </c>
      <c r="AI209" s="4750"/>
      <c r="AJ209" s="4743"/>
      <c r="AK209" s="925"/>
      <c r="AL209" s="925"/>
      <c r="AM209" s="925"/>
      <c r="AN209" s="925"/>
      <c r="AO209" s="925"/>
      <c r="AP209" s="925"/>
      <c r="AQ209" s="925"/>
      <c r="AR209" s="925"/>
      <c r="AS209" s="925"/>
      <c r="AT209" s="925"/>
      <c r="AU209" s="925"/>
      <c r="AV209" s="925"/>
      <c r="AW209" s="925"/>
      <c r="AX209" s="925"/>
      <c r="AY209" s="925"/>
      <c r="AZ209" s="925"/>
      <c r="BA209" s="925"/>
      <c r="BB209" s="925"/>
      <c r="BC209" s="925"/>
      <c r="BD209" s="925"/>
      <c r="BE209" s="925"/>
      <c r="BF209" s="925"/>
      <c r="BG209" s="925"/>
      <c r="BH209" s="925"/>
      <c r="BI209" s="925"/>
      <c r="BJ209" s="925"/>
      <c r="BK209" s="925"/>
      <c r="BL209" s="925"/>
      <c r="BM209" s="925"/>
      <c r="BN209" s="4782"/>
      <c r="BO209" s="4784" t="str">
        <f>IF(_xlfn.IFERROR(INDEX(Административные!$K$26:$L$84,MATCH($F209&amp;"2komm",Административные!$K$26:$K$84,0),2),"")=0,"",_xlfn.IFERROR(INDEX(Административные!$K$26:$L$84,MATCH($F209&amp;"2komm",Административные!$K$26:$K$84,0),2),""))</f>
        <v/>
      </c>
      <c r="BP209" s="4782"/>
      <c r="BQ209" s="960"/>
      <c r="BR209" s="960"/>
      <c r="BS209" s="1046" t="s">
        <v>1109</v>
      </c>
      <c r="BT209" s="1048"/>
      <c r="BU209" s="1048"/>
      <c r="BV209" s="962"/>
      <c r="BW209" s="962"/>
    </row>
    <row s="1621" customFormat="1" customHeight="1" ht="14.625">
      <c r="A210" s="960"/>
      <c r="B210" s="961"/>
      <c r="C210" s="960"/>
      <c r="D210" s="960"/>
      <c r="E210" s="683">
        <v>15</v>
      </c>
      <c r="F210" s="50" cm="1" t="str">
        <f t="array" ref="F210:F210">OFFSET(E210,-1,1)</f>
        <v>1</v>
      </c>
      <c r="G210" s="49" t="s">
        <v>1110</v>
      </c>
      <c r="H210" s="345"/>
      <c r="I210" s="345" t="s">
        <v>1254</v>
      </c>
      <c r="J210" s="960"/>
      <c r="K210" s="345" t="s">
        <v>1254</v>
      </c>
      <c r="L210" s="963" t="s">
        <v>881</v>
      </c>
      <c r="M210" s="73"/>
      <c r="N210" s="960"/>
      <c r="O210" s="960"/>
      <c r="P210" s="960"/>
      <c r="Q210" s="124" t="s">
        <v>2093</v>
      </c>
      <c r="R210" s="127" t="s">
        <v>2093</v>
      </c>
      <c r="S210" s="960"/>
      <c r="T210" s="439" cm="1" t="str">
        <f t="array" ref="T210:T210">T209</f>
        <v>true</v>
      </c>
      <c r="U210" s="960"/>
      <c r="V210" s="960"/>
      <c r="W210" s="960"/>
      <c r="X210" s="1482"/>
      <c r="Y210" s="960"/>
      <c r="Z210" s="1465"/>
      <c r="AA210" s="960"/>
      <c r="AB210" s="266" t="s">
        <v>1255</v>
      </c>
      <c r="AC210" s="746" t="s">
        <v>1872</v>
      </c>
      <c r="AD210" s="267" t="s">
        <v>784</v>
      </c>
      <c r="AE210" s="4765">
        <v>0</v>
      </c>
      <c r="AF210" s="4765">
        <v>9.388075037</v>
      </c>
      <c r="AG210" s="4765"/>
      <c r="AH210" s="926">
        <f>AG210-AF210</f>
        <v>-9.388075037</v>
      </c>
      <c r="AI210" s="4750"/>
      <c r="AJ210" s="4743"/>
      <c r="AK210" s="925"/>
      <c r="AL210" s="925"/>
      <c r="AM210" s="925"/>
      <c r="AN210" s="925"/>
      <c r="AO210" s="925"/>
      <c r="AP210" s="925"/>
      <c r="AQ210" s="925"/>
      <c r="AR210" s="925"/>
      <c r="AS210" s="925"/>
      <c r="AT210" s="925"/>
      <c r="AU210" s="925"/>
      <c r="AV210" s="925"/>
      <c r="AW210" s="925"/>
      <c r="AX210" s="925"/>
      <c r="AY210" s="925"/>
      <c r="AZ210" s="925"/>
      <c r="BA210" s="925"/>
      <c r="BB210" s="925"/>
      <c r="BC210" s="925"/>
      <c r="BD210" s="925"/>
      <c r="BE210" s="925"/>
      <c r="BF210" s="925"/>
      <c r="BG210" s="925"/>
      <c r="BH210" s="925"/>
      <c r="BI210" s="925"/>
      <c r="BJ210" s="925"/>
      <c r="BK210" s="925"/>
      <c r="BL210" s="925"/>
      <c r="BM210" s="925"/>
      <c r="BN210" s="4782"/>
      <c r="BO210" s="4784" t="str">
        <f>IF(_xlfn.IFERROR(INDEX(Административные!$K$26:$L$84,MATCH($F210&amp;"3komm",Административные!$K$26:$K$84,0),2),"")=0,"",_xlfn.IFERROR(INDEX(Административные!$K$26:$L$84,MATCH($F210&amp;"3komm",Административные!$K$26:$K$84,0),2),""))</f>
        <v/>
      </c>
      <c r="BP210" s="4782"/>
      <c r="BQ210" s="960"/>
      <c r="BR210" s="960"/>
      <c r="BS210" s="1046" t="s">
        <v>1112</v>
      </c>
      <c r="BT210" s="1048"/>
      <c r="BU210" s="1048"/>
      <c r="BV210" s="962"/>
      <c r="BW210" s="962"/>
    </row>
    <row s="1621" customFormat="1" customHeight="1" ht="14.625">
      <c r="A211" s="960"/>
      <c r="B211" s="961"/>
      <c r="C211" s="960"/>
      <c r="D211" s="960"/>
      <c r="E211" s="683">
        <v>15</v>
      </c>
      <c r="F211" s="50" cm="1" t="str">
        <f t="array" ref="F211:F211">OFFSET(E211,-1,1)</f>
        <v>1</v>
      </c>
      <c r="G211" s="49" t="s">
        <v>1113</v>
      </c>
      <c r="H211" s="345"/>
      <c r="I211" s="345" t="s">
        <v>1873</v>
      </c>
      <c r="J211" s="960"/>
      <c r="K211" s="345" t="s">
        <v>1873</v>
      </c>
      <c r="L211" s="963" t="s">
        <v>884</v>
      </c>
      <c r="M211" s="73"/>
      <c r="N211" s="960"/>
      <c r="O211" s="960"/>
      <c r="P211" s="960"/>
      <c r="Q211" s="124" t="s">
        <v>2093</v>
      </c>
      <c r="R211" s="127" t="s">
        <v>2093</v>
      </c>
      <c r="S211" s="960"/>
      <c r="T211" s="439" cm="1" t="str">
        <f t="array" ref="T211:T211">T210</f>
        <v>true</v>
      </c>
      <c r="U211" s="960"/>
      <c r="V211" s="960"/>
      <c r="W211" s="960"/>
      <c r="X211" s="1482"/>
      <c r="Y211" s="960"/>
      <c r="Z211" s="1465"/>
      <c r="AA211" s="960"/>
      <c r="AB211" s="266" t="s">
        <v>1874</v>
      </c>
      <c r="AC211" s="746" t="s">
        <v>1875</v>
      </c>
      <c r="AD211" s="267" t="s">
        <v>784</v>
      </c>
      <c r="AE211" s="4765">
        <v>0</v>
      </c>
      <c r="AF211" s="4765">
        <v>2.55823</v>
      </c>
      <c r="AG211" s="4765"/>
      <c r="AH211" s="926">
        <f>AG211-AF211</f>
        <v>-2.55823</v>
      </c>
      <c r="AI211" s="4750"/>
      <c r="AJ211" s="4743"/>
      <c r="AK211" s="925"/>
      <c r="AL211" s="925"/>
      <c r="AM211" s="925"/>
      <c r="AN211" s="925"/>
      <c r="AO211" s="925"/>
      <c r="AP211" s="925"/>
      <c r="AQ211" s="925"/>
      <c r="AR211" s="925"/>
      <c r="AS211" s="925"/>
      <c r="AT211" s="925"/>
      <c r="AU211" s="925"/>
      <c r="AV211" s="925"/>
      <c r="AW211" s="925"/>
      <c r="AX211" s="925"/>
      <c r="AY211" s="925"/>
      <c r="AZ211" s="925"/>
      <c r="BA211" s="925"/>
      <c r="BB211" s="925"/>
      <c r="BC211" s="925"/>
      <c r="BD211" s="925"/>
      <c r="BE211" s="925"/>
      <c r="BF211" s="925"/>
      <c r="BG211" s="925"/>
      <c r="BH211" s="925"/>
      <c r="BI211" s="925"/>
      <c r="BJ211" s="925"/>
      <c r="BK211" s="925"/>
      <c r="BL211" s="925"/>
      <c r="BM211" s="925"/>
      <c r="BN211" s="4782"/>
      <c r="BO211" s="4784" t="str">
        <f>IF(_xlfn.IFERROR(INDEX(Административные!$K$26:$L$84,MATCH($F211&amp;"4komm",Административные!$K$26:$K$84,0),2),"")=0,"",_xlfn.IFERROR(INDEX(Административные!$K$26:$L$84,MATCH($F211&amp;"4komm",Административные!$K$26:$K$84,0),2),""))</f>
        <v/>
      </c>
      <c r="BP211" s="4782"/>
      <c r="BQ211" s="960"/>
      <c r="BR211" s="960"/>
      <c r="BS211" s="1046" t="s">
        <v>1115</v>
      </c>
      <c r="BT211" s="1048"/>
      <c r="BU211" s="1048"/>
      <c r="BV211" s="962"/>
      <c r="BW211" s="962"/>
    </row>
    <row s="1621" customFormat="1" customHeight="1" ht="14.625">
      <c r="A212" s="960"/>
      <c r="B212" s="961"/>
      <c r="C212" s="960"/>
      <c r="D212" s="960"/>
      <c r="E212" s="683">
        <v>15</v>
      </c>
      <c r="F212" s="50" cm="1" t="str">
        <f t="array" ref="F212:F212">OFFSET(E212,-1,1)</f>
        <v>1</v>
      </c>
      <c r="G212" s="49" t="s">
        <v>1116</v>
      </c>
      <c r="H212" s="345"/>
      <c r="I212" s="345" t="s">
        <v>1876</v>
      </c>
      <c r="J212" s="960"/>
      <c r="K212" s="345" t="s">
        <v>1876</v>
      </c>
      <c r="L212" s="963" t="s">
        <v>1098</v>
      </c>
      <c r="M212" s="73"/>
      <c r="N212" s="960"/>
      <c r="O212" s="960"/>
      <c r="P212" s="960"/>
      <c r="Q212" s="124" t="s">
        <v>2093</v>
      </c>
      <c r="R212" s="127" t="s">
        <v>2093</v>
      </c>
      <c r="S212" s="960"/>
      <c r="T212" s="439" cm="1" t="str">
        <f t="array" ref="T212:T212">T211</f>
        <v>true</v>
      </c>
      <c r="U212" s="960"/>
      <c r="V212" s="960"/>
      <c r="W212" s="960"/>
      <c r="X212" s="1482"/>
      <c r="Y212" s="960"/>
      <c r="Z212" s="1465"/>
      <c r="AA212" s="960"/>
      <c r="AB212" s="266" t="s">
        <v>1877</v>
      </c>
      <c r="AC212" s="746" t="s">
        <v>1878</v>
      </c>
      <c r="AD212" s="267" t="s">
        <v>784</v>
      </c>
      <c r="AE212" s="4765">
        <v>0</v>
      </c>
      <c r="AF212" s="4765"/>
      <c r="AG212" s="4765"/>
      <c r="AH212" s="926">
        <f>AG212-AF212</f>
        <v>0</v>
      </c>
      <c r="AI212" s="4750"/>
      <c r="AJ212" s="4743"/>
      <c r="AK212" s="925"/>
      <c r="AL212" s="925"/>
      <c r="AM212" s="925"/>
      <c r="AN212" s="925"/>
      <c r="AO212" s="925"/>
      <c r="AP212" s="925"/>
      <c r="AQ212" s="925"/>
      <c r="AR212" s="925"/>
      <c r="AS212" s="925"/>
      <c r="AT212" s="925"/>
      <c r="AU212" s="925"/>
      <c r="AV212" s="925"/>
      <c r="AW212" s="925"/>
      <c r="AX212" s="925"/>
      <c r="AY212" s="925"/>
      <c r="AZ212" s="925"/>
      <c r="BA212" s="925"/>
      <c r="BB212" s="925"/>
      <c r="BC212" s="925"/>
      <c r="BD212" s="925"/>
      <c r="BE212" s="925"/>
      <c r="BF212" s="925"/>
      <c r="BG212" s="925"/>
      <c r="BH212" s="925"/>
      <c r="BI212" s="925"/>
      <c r="BJ212" s="925"/>
      <c r="BK212" s="925"/>
      <c r="BL212" s="925"/>
      <c r="BM212" s="925"/>
      <c r="BN212" s="4782"/>
      <c r="BO212" s="4784" t="str">
        <f>IF(_xlfn.IFERROR(INDEX(Административные!$K$26:$L$84,MATCH($F212&amp;"5komm",Административные!$K$26:$K$84,0),2),"")=0,"",_xlfn.IFERROR(INDEX(Административные!$K$26:$L$84,MATCH($F212&amp;"5komm",Административные!$K$26:$K$84,0),2),""))</f>
        <v/>
      </c>
      <c r="BP212" s="4782"/>
      <c r="BQ212" s="960"/>
      <c r="BR212" s="960"/>
      <c r="BS212" s="1046" t="s">
        <v>1675</v>
      </c>
      <c r="BT212" s="1048"/>
      <c r="BU212" s="1048"/>
      <c r="BV212" s="962"/>
      <c r="BW212" s="962"/>
    </row>
    <row s="1621" customFormat="1" customHeight="1" ht="14.25">
      <c r="A213" s="960"/>
      <c r="B213" s="961"/>
      <c r="C213" s="960"/>
      <c r="D213" s="960"/>
      <c r="E213" s="683">
        <v>15</v>
      </c>
      <c r="F213" s="50" cm="1" t="str">
        <f t="array" ref="F213:F213">OFFSET(E213,-1,1)</f>
        <v>1</v>
      </c>
      <c r="G213" s="49" t="s">
        <v>1119</v>
      </c>
      <c r="H213" s="345"/>
      <c r="I213" s="345" t="s">
        <v>1879</v>
      </c>
      <c r="J213" s="960"/>
      <c r="K213" s="345" t="s">
        <v>1879</v>
      </c>
      <c r="L213" s="963" t="s">
        <v>1103</v>
      </c>
      <c r="M213" s="73"/>
      <c r="N213" s="960"/>
      <c r="O213" s="960"/>
      <c r="P213" s="960"/>
      <c r="Q213" s="124" t="s">
        <v>2093</v>
      </c>
      <c r="R213" s="127" t="s">
        <v>2093</v>
      </c>
      <c r="S213" s="960"/>
      <c r="T213" s="439" cm="1" t="str">
        <f t="array" ref="T213:T213">T212</f>
        <v>true</v>
      </c>
      <c r="U213" s="960"/>
      <c r="V213" s="960"/>
      <c r="W213" s="960"/>
      <c r="X213" s="1482"/>
      <c r="Y213" s="960"/>
      <c r="Z213" s="1465"/>
      <c r="AA213" s="960"/>
      <c r="AB213" s="266" t="s">
        <v>1880</v>
      </c>
      <c r="AC213" s="746" t="s">
        <v>1881</v>
      </c>
      <c r="AD213" s="267" t="s">
        <v>784</v>
      </c>
      <c r="AE213" s="926">
        <f>SUM(AE214:AE216)</f>
        <v>0</v>
      </c>
      <c r="AF213" s="926">
        <f>SUM(AF214:AF216)</f>
        <v>0</v>
      </c>
      <c r="AG213" s="926">
        <f>SUM(AG214:AG216)</f>
        <v>0</v>
      </c>
      <c r="AH213" s="926">
        <f>AG213-AF213</f>
        <v>0</v>
      </c>
      <c r="AI213" s="4748">
        <f>SUM(AI214:AI216)</f>
        <v>0</v>
      </c>
      <c r="AJ213" s="4743"/>
      <c r="AK213" s="925"/>
      <c r="AL213" s="925"/>
      <c r="AM213" s="925"/>
      <c r="AN213" s="925"/>
      <c r="AO213" s="925"/>
      <c r="AP213" s="925"/>
      <c r="AQ213" s="925"/>
      <c r="AR213" s="925"/>
      <c r="AS213" s="925"/>
      <c r="AT213" s="925"/>
      <c r="AU213" s="925"/>
      <c r="AV213" s="925"/>
      <c r="AW213" s="925"/>
      <c r="AX213" s="925"/>
      <c r="AY213" s="925"/>
      <c r="AZ213" s="925"/>
      <c r="BA213" s="925"/>
      <c r="BB213" s="925"/>
      <c r="BC213" s="925"/>
      <c r="BD213" s="925"/>
      <c r="BE213" s="925"/>
      <c r="BF213" s="925"/>
      <c r="BG213" s="925"/>
      <c r="BH213" s="925"/>
      <c r="BI213" s="925"/>
      <c r="BJ213" s="925"/>
      <c r="BK213" s="925"/>
      <c r="BL213" s="925"/>
      <c r="BM213" s="925"/>
      <c r="BN213" s="4782"/>
      <c r="BO213" s="4784" t="str">
        <f>IF(_xlfn.IFERROR(INDEX(Административные!$K$26:$L$84,MATCH($F213&amp;"6komm",Административные!$K$26:$K$84,0),2),"")=0,"",_xlfn.IFERROR(INDEX(Административные!$K$26:$L$84,MATCH($F213&amp;"6komm",Административные!$K$26:$K$84,0),2),""))</f>
        <v/>
      </c>
      <c r="BP213" s="4782"/>
      <c r="BQ213" s="960"/>
      <c r="BR213" s="960"/>
      <c r="BS213" s="1046" t="s">
        <v>1677</v>
      </c>
      <c r="BT213" s="1048"/>
      <c r="BU213" s="1048"/>
      <c r="BV213" s="962"/>
      <c r="BW213" s="962"/>
    </row>
    <row s="1621" customFormat="1" customHeight="1" ht="14.625">
      <c r="A214" s="960"/>
      <c r="B214" s="961"/>
      <c r="C214" s="960"/>
      <c r="D214" s="960"/>
      <c r="E214" s="683">
        <v>15</v>
      </c>
      <c r="F214" s="50" cm="1" t="str">
        <f t="array" ref="F214:F214">OFFSET(E214,-1,1)</f>
        <v>1</v>
      </c>
      <c r="G214" s="49" t="s">
        <v>1121</v>
      </c>
      <c r="H214" s="345"/>
      <c r="I214" s="345" t="s">
        <v>1882</v>
      </c>
      <c r="J214" s="960"/>
      <c r="K214" s="345" t="s">
        <v>1882</v>
      </c>
      <c r="L214" s="963" t="s">
        <v>1678</v>
      </c>
      <c r="M214" s="73"/>
      <c r="N214" s="960"/>
      <c r="O214" s="960"/>
      <c r="P214" s="960"/>
      <c r="Q214" s="124" t="s">
        <v>2093</v>
      </c>
      <c r="R214" s="127" t="s">
        <v>2093</v>
      </c>
      <c r="S214" s="960"/>
      <c r="T214" s="439" cm="1" t="str">
        <f t="array" ref="T214:T214">T213</f>
        <v>true</v>
      </c>
      <c r="U214" s="960"/>
      <c r="V214" s="960"/>
      <c r="W214" s="960"/>
      <c r="X214" s="1482"/>
      <c r="Y214" s="960"/>
      <c r="Z214" s="1465"/>
      <c r="AA214" s="960"/>
      <c r="AB214" s="266" t="s">
        <v>1883</v>
      </c>
      <c r="AC214" s="749" t="s">
        <v>1680</v>
      </c>
      <c r="AD214" s="267" t="s">
        <v>784</v>
      </c>
      <c r="AE214" s="4765">
        <v>0</v>
      </c>
      <c r="AF214" s="4765"/>
      <c r="AG214" s="4765"/>
      <c r="AH214" s="926">
        <f>AG214-AF214</f>
        <v>0</v>
      </c>
      <c r="AI214" s="4750"/>
      <c r="AJ214" s="4743"/>
      <c r="AK214" s="925"/>
      <c r="AL214" s="925"/>
      <c r="AM214" s="925"/>
      <c r="AN214" s="925"/>
      <c r="AO214" s="925"/>
      <c r="AP214" s="925"/>
      <c r="AQ214" s="925"/>
      <c r="AR214" s="925"/>
      <c r="AS214" s="925"/>
      <c r="AT214" s="925"/>
      <c r="AU214" s="925"/>
      <c r="AV214" s="925"/>
      <c r="AW214" s="925"/>
      <c r="AX214" s="925"/>
      <c r="AY214" s="925"/>
      <c r="AZ214" s="925"/>
      <c r="BA214" s="925"/>
      <c r="BB214" s="925"/>
      <c r="BC214" s="925"/>
      <c r="BD214" s="925"/>
      <c r="BE214" s="925"/>
      <c r="BF214" s="925"/>
      <c r="BG214" s="925"/>
      <c r="BH214" s="925"/>
      <c r="BI214" s="925"/>
      <c r="BJ214" s="925"/>
      <c r="BK214" s="925"/>
      <c r="BL214" s="925"/>
      <c r="BM214" s="925"/>
      <c r="BN214" s="4782"/>
      <c r="BO214" s="4784" t="str">
        <f>IF(_xlfn.IFERROR(INDEX(Административные!$K$26:$L$84,MATCH($F214&amp;"7komm",Административные!$K$26:$K$84,0),2),"")=0,"",_xlfn.IFERROR(INDEX(Административные!$K$26:$L$84,MATCH($F214&amp;"7komm",Административные!$K$26:$K$84,0),2),""))</f>
        <v/>
      </c>
      <c r="BP214" s="4782"/>
      <c r="BQ214" s="960"/>
      <c r="BR214" s="960"/>
      <c r="BS214" s="1046" t="s">
        <v>1681</v>
      </c>
      <c r="BT214" s="1048"/>
      <c r="BU214" s="1048"/>
      <c r="BV214" s="962"/>
      <c r="BW214" s="962"/>
    </row>
    <row s="1621" customFormat="1" customHeight="1" ht="14.625">
      <c r="A215" s="960"/>
      <c r="B215" s="961"/>
      <c r="C215" s="960"/>
      <c r="D215" s="960"/>
      <c r="E215" s="683">
        <v>15</v>
      </c>
      <c r="F215" s="50" cm="1" t="str">
        <f t="array" ref="F215:F215">OFFSET(E215,-1,1)</f>
        <v>1</v>
      </c>
      <c r="G215" s="49" t="s">
        <v>1124</v>
      </c>
      <c r="H215" s="345"/>
      <c r="I215" s="345" t="s">
        <v>1884</v>
      </c>
      <c r="J215" s="960"/>
      <c r="K215" s="345" t="s">
        <v>1884</v>
      </c>
      <c r="L215" s="963" t="s">
        <v>1682</v>
      </c>
      <c r="M215" s="73"/>
      <c r="N215" s="960"/>
      <c r="O215" s="960"/>
      <c r="P215" s="960"/>
      <c r="Q215" s="124" t="s">
        <v>2093</v>
      </c>
      <c r="R215" s="127" t="s">
        <v>2093</v>
      </c>
      <c r="S215" s="960"/>
      <c r="T215" s="439" cm="1" t="str">
        <f t="array" ref="T215:T215">T214</f>
        <v>true</v>
      </c>
      <c r="U215" s="960"/>
      <c r="V215" s="960"/>
      <c r="W215" s="960"/>
      <c r="X215" s="1482"/>
      <c r="Y215" s="960"/>
      <c r="Z215" s="1465"/>
      <c r="AA215" s="960"/>
      <c r="AB215" s="266" t="s">
        <v>1885</v>
      </c>
      <c r="AC215" s="749" t="s">
        <v>1125</v>
      </c>
      <c r="AD215" s="267" t="s">
        <v>784</v>
      </c>
      <c r="AE215" s="4765">
        <v>0</v>
      </c>
      <c r="AF215" s="4765"/>
      <c r="AG215" s="4765"/>
      <c r="AH215" s="926">
        <f>AG215-AF215</f>
        <v>0</v>
      </c>
      <c r="AI215" s="4750"/>
      <c r="AJ215" s="4743"/>
      <c r="AK215" s="925"/>
      <c r="AL215" s="925"/>
      <c r="AM215" s="925"/>
      <c r="AN215" s="925"/>
      <c r="AO215" s="925"/>
      <c r="AP215" s="925"/>
      <c r="AQ215" s="925"/>
      <c r="AR215" s="925"/>
      <c r="AS215" s="925"/>
      <c r="AT215" s="925"/>
      <c r="AU215" s="925"/>
      <c r="AV215" s="925"/>
      <c r="AW215" s="925"/>
      <c r="AX215" s="925"/>
      <c r="AY215" s="925"/>
      <c r="AZ215" s="925"/>
      <c r="BA215" s="925"/>
      <c r="BB215" s="925"/>
      <c r="BC215" s="925"/>
      <c r="BD215" s="925"/>
      <c r="BE215" s="925"/>
      <c r="BF215" s="925"/>
      <c r="BG215" s="925"/>
      <c r="BH215" s="925"/>
      <c r="BI215" s="925"/>
      <c r="BJ215" s="925"/>
      <c r="BK215" s="925"/>
      <c r="BL215" s="925"/>
      <c r="BM215" s="925"/>
      <c r="BN215" s="4782"/>
      <c r="BO215" s="4784" t="str">
        <f>IF(_xlfn.IFERROR(INDEX(Административные!$K$26:$L$84,MATCH($F215&amp;"8komm",Административные!$K$26:$K$84,0),2),"")=0,"",_xlfn.IFERROR(INDEX(Административные!$K$26:$L$84,MATCH($F215&amp;"8komm",Административные!$K$26:$K$84,0),2),""))</f>
        <v/>
      </c>
      <c r="BP215" s="4782"/>
      <c r="BQ215" s="960"/>
      <c r="BR215" s="960"/>
      <c r="BS215" s="1046" t="s">
        <v>1684</v>
      </c>
      <c r="BT215" s="1048"/>
      <c r="BU215" s="1048"/>
      <c r="BV215" s="962"/>
      <c r="BW215" s="962"/>
    </row>
    <row s="1621" customFormat="1" customHeight="1" ht="14.625">
      <c r="A216" s="960"/>
      <c r="B216" s="961"/>
      <c r="C216" s="960"/>
      <c r="D216" s="960"/>
      <c r="E216" s="683">
        <v>15</v>
      </c>
      <c r="F216" s="50" cm="1" t="str">
        <f t="array" ref="F216:F216">OFFSET(E216,-1,1)</f>
        <v>1</v>
      </c>
      <c r="G216" s="124" t="s">
        <v>1127</v>
      </c>
      <c r="H216" s="345"/>
      <c r="I216" s="345" t="s">
        <v>1886</v>
      </c>
      <c r="J216" s="960"/>
      <c r="K216" s="345" t="s">
        <v>1886</v>
      </c>
      <c r="L216" s="963" t="s">
        <v>1685</v>
      </c>
      <c r="M216" s="73"/>
      <c r="N216" s="960"/>
      <c r="O216" s="960"/>
      <c r="P216" s="960"/>
      <c r="Q216" s="124" t="s">
        <v>2093</v>
      </c>
      <c r="R216" s="127" t="s">
        <v>2093</v>
      </c>
      <c r="S216" s="960"/>
      <c r="T216" s="439" cm="1" t="str">
        <f t="array" ref="T216:T216">T215</f>
        <v>true</v>
      </c>
      <c r="U216" s="960"/>
      <c r="V216" s="960"/>
      <c r="W216" s="960"/>
      <c r="X216" s="1482"/>
      <c r="Y216" s="960"/>
      <c r="Z216" s="1465"/>
      <c r="AA216" s="960"/>
      <c r="AB216" s="266" t="s">
        <v>1887</v>
      </c>
      <c r="AC216" s="749" t="s">
        <v>1128</v>
      </c>
      <c r="AD216" s="267" t="s">
        <v>784</v>
      </c>
      <c r="AE216" s="4765">
        <v>0</v>
      </c>
      <c r="AF216" s="4765"/>
      <c r="AG216" s="4765"/>
      <c r="AH216" s="926">
        <f>AG216-AF216</f>
        <v>0</v>
      </c>
      <c r="AI216" s="4750"/>
      <c r="AJ216" s="1392"/>
      <c r="AK216" s="925"/>
      <c r="AL216" s="925"/>
      <c r="AM216" s="925"/>
      <c r="AN216" s="925"/>
      <c r="AO216" s="925"/>
      <c r="AP216" s="925"/>
      <c r="AQ216" s="925"/>
      <c r="AR216" s="925"/>
      <c r="AS216" s="925"/>
      <c r="AT216" s="925"/>
      <c r="AU216" s="925"/>
      <c r="AV216" s="925"/>
      <c r="AW216" s="925"/>
      <c r="AX216" s="925"/>
      <c r="AY216" s="925"/>
      <c r="AZ216" s="925"/>
      <c r="BA216" s="925"/>
      <c r="BB216" s="925"/>
      <c r="BC216" s="925"/>
      <c r="BD216" s="925"/>
      <c r="BE216" s="925"/>
      <c r="BF216" s="925"/>
      <c r="BG216" s="925"/>
      <c r="BH216" s="925"/>
      <c r="BI216" s="925"/>
      <c r="BJ216" s="925"/>
      <c r="BK216" s="925"/>
      <c r="BL216" s="925"/>
      <c r="BM216" s="925"/>
      <c r="BN216" s="4782"/>
      <c r="BO216" s="4784" t="str">
        <f>IF(_xlfn.IFERROR(INDEX(Административные!$K$26:$L$84,MATCH($F216&amp;"9komm",Административные!$K$26:$K$84,0),2),"")=0,"",_xlfn.IFERROR(INDEX(Административные!$K$26:$L$84,MATCH($F216&amp;"9komm",Административные!$K$26:$K$84,0),2),""))</f>
        <v/>
      </c>
      <c r="BP216" s="4782"/>
      <c r="BQ216" s="960"/>
      <c r="BR216" s="960"/>
      <c r="BS216" s="1046" t="s">
        <v>1687</v>
      </c>
      <c r="BT216" s="1048"/>
      <c r="BU216" s="1048"/>
      <c r="BV216" s="962"/>
      <c r="BW216" s="962"/>
    </row>
    <row s="1621" customFormat="1" customHeight="1" ht="21.75" hidden="1">
      <c r="A217" s="960"/>
      <c r="B217" s="405">
        <f>STATUS_GO="да"</f>
        <v>0</v>
      </c>
      <c r="C217" s="960"/>
      <c r="D217" s="960"/>
      <c r="E217" s="683">
        <v>22.5</v>
      </c>
      <c r="F217" s="50" cm="1" t="str">
        <f t="array" ref="F217:F217">OFFSET(E217,-1,1)</f>
        <v>1</v>
      </c>
      <c r="G217" s="960"/>
      <c r="H217" s="345"/>
      <c r="I217" s="345" t="s">
        <v>857</v>
      </c>
      <c r="J217" s="960"/>
      <c r="K217" s="345" t="s">
        <v>857</v>
      </c>
      <c r="L217" s="963" t="s">
        <v>329</v>
      </c>
      <c r="M217" s="73"/>
      <c r="N217" s="960"/>
      <c r="O217" s="960"/>
      <c r="P217" s="960"/>
      <c r="Q217" s="124" t="s">
        <v>2093</v>
      </c>
      <c r="R217" s="127" t="s">
        <v>2093</v>
      </c>
      <c r="S217" s="960"/>
      <c r="T217" s="439" cm="1" t="str">
        <f t="array" ref="T217:T217">T216</f>
        <v>true</v>
      </c>
      <c r="U217" s="960"/>
      <c r="V217" s="960"/>
      <c r="W217" s="960"/>
      <c r="X217" s="1482"/>
      <c r="Y217" s="960"/>
      <c r="Z217" s="1465"/>
      <c r="AA217" s="960"/>
      <c r="AB217" s="266" t="s">
        <v>858</v>
      </c>
      <c r="AC217" s="743" t="s">
        <v>1888</v>
      </c>
      <c r="AD217" s="267" t="s">
        <v>784</v>
      </c>
      <c r="AE217" s="1280"/>
      <c r="AF217" s="1280"/>
      <c r="AG217" s="1280"/>
      <c r="AH217" s="926">
        <f>AG217-AF217</f>
        <v>0</v>
      </c>
      <c r="AI217" s="4750"/>
      <c r="AJ217" s="4743"/>
      <c r="AK217" s="925"/>
      <c r="AL217" s="925"/>
      <c r="AM217" s="925"/>
      <c r="AN217" s="925"/>
      <c r="AO217" s="925"/>
      <c r="AP217" s="925"/>
      <c r="AQ217" s="925"/>
      <c r="AR217" s="925"/>
      <c r="AS217" s="925"/>
      <c r="AT217" s="925"/>
      <c r="AU217" s="925"/>
      <c r="AV217" s="925"/>
      <c r="AW217" s="925"/>
      <c r="AX217" s="925"/>
      <c r="AY217" s="925"/>
      <c r="AZ217" s="925"/>
      <c r="BA217" s="925"/>
      <c r="BB217" s="925"/>
      <c r="BC217" s="925"/>
      <c r="BD217" s="925"/>
      <c r="BE217" s="925"/>
      <c r="BF217" s="925"/>
      <c r="BG217" s="925"/>
      <c r="BH217" s="925"/>
      <c r="BI217" s="925"/>
      <c r="BJ217" s="925"/>
      <c r="BK217" s="925"/>
      <c r="BL217" s="925"/>
      <c r="BM217" s="925"/>
      <c r="BN217" s="1278"/>
      <c r="BO217" s="1278"/>
      <c r="BP217" s="1278"/>
      <c r="BQ217" s="960"/>
      <c r="BR217" s="960"/>
      <c r="BS217" s="1047" t="s">
        <v>1689</v>
      </c>
      <c r="BT217" s="1048"/>
      <c r="BU217" s="1048"/>
      <c r="BV217" s="962"/>
      <c r="BW217" s="962"/>
    </row>
    <row s="1621" customFormat="1" customHeight="1" ht="14.25">
      <c r="A218" s="960"/>
      <c r="B218" s="961"/>
      <c r="C218" s="960"/>
      <c r="D218" s="960"/>
      <c r="E218" s="683">
        <v>15</v>
      </c>
      <c r="F218" s="50" cm="1" t="str">
        <f t="array" ref="F218:F218">OFFSET(E218,-1,1)</f>
        <v>1</v>
      </c>
      <c r="G218" s="960"/>
      <c r="H218" s="345"/>
      <c r="I218" s="345" t="s">
        <v>1627</v>
      </c>
      <c r="J218" s="960"/>
      <c r="K218" s="345" t="s">
        <v>1627</v>
      </c>
      <c r="L218" s="963"/>
      <c r="M218" s="73"/>
      <c r="N218" s="960"/>
      <c r="O218" s="960"/>
      <c r="P218" s="960"/>
      <c r="Q218" s="124" t="s">
        <v>2093</v>
      </c>
      <c r="R218" s="127" t="s">
        <v>2093</v>
      </c>
      <c r="S218" s="960"/>
      <c r="T218" s="439" cm="1" t="str">
        <f t="array" ref="T218:T218">T217</f>
        <v>true</v>
      </c>
      <c r="U218" s="960"/>
      <c r="V218" s="960"/>
      <c r="W218" s="960"/>
      <c r="X218" s="1482"/>
      <c r="Y218" s="960"/>
      <c r="Z218" s="1465"/>
      <c r="AA218" s="960"/>
      <c r="AB218" s="266" t="s">
        <v>1628</v>
      </c>
      <c r="AC218" s="743" t="s">
        <v>1889</v>
      </c>
      <c r="AD218" s="267" t="s">
        <v>784</v>
      </c>
      <c r="AE218" s="4765"/>
      <c r="AF218" s="4765"/>
      <c r="AG218" s="4765"/>
      <c r="AH218" s="926">
        <f>AG218-AF218</f>
        <v>0</v>
      </c>
      <c r="AI218" s="4750"/>
      <c r="AJ218" s="4743"/>
      <c r="AK218" s="925"/>
      <c r="AL218" s="925"/>
      <c r="AM218" s="925"/>
      <c r="AN218" s="925"/>
      <c r="AO218" s="925"/>
      <c r="AP218" s="925"/>
      <c r="AQ218" s="925"/>
      <c r="AR218" s="925"/>
      <c r="AS218" s="925"/>
      <c r="AT218" s="925"/>
      <c r="AU218" s="925"/>
      <c r="AV218" s="925"/>
      <c r="AW218" s="925"/>
      <c r="AX218" s="925"/>
      <c r="AY218" s="925"/>
      <c r="AZ218" s="925"/>
      <c r="BA218" s="925"/>
      <c r="BB218" s="925"/>
      <c r="BC218" s="925"/>
      <c r="BD218" s="925"/>
      <c r="BE218" s="925"/>
      <c r="BF218" s="925"/>
      <c r="BG218" s="925"/>
      <c r="BH218" s="925"/>
      <c r="BI218" s="925"/>
      <c r="BJ218" s="925"/>
      <c r="BK218" s="925"/>
      <c r="BL218" s="925"/>
      <c r="BM218" s="925"/>
      <c r="BN218" s="4782"/>
      <c r="BO218" s="4782"/>
      <c r="BP218" s="4782"/>
      <c r="BQ218" s="960"/>
      <c r="BR218" s="960"/>
      <c r="BS218" s="1048" t="s">
        <v>1890</v>
      </c>
      <c r="BT218" s="1048"/>
      <c r="BU218" s="1048"/>
      <c r="BV218" s="962"/>
      <c r="BW218" s="962"/>
    </row>
    <row s="4787" customFormat="1" customHeight="1" ht="20.25">
      <c r="A219" s="680"/>
      <c r="B219" s="408"/>
      <c r="C219" s="680"/>
      <c r="D219" s="680"/>
      <c r="E219" s="687">
        <v>21</v>
      </c>
      <c r="F219" s="50" cm="1" t="str">
        <f t="array" ref="F219:F219">OFFSET(E219,-1,1)</f>
        <v>1</v>
      </c>
      <c r="G219" s="680"/>
      <c r="H219" s="345"/>
      <c r="I219" s="345" t="s">
        <v>1631</v>
      </c>
      <c r="J219" s="680"/>
      <c r="K219" s="345" t="s">
        <v>1631</v>
      </c>
      <c r="L219" s="968"/>
      <c r="M219" s="75"/>
      <c r="N219" s="680"/>
      <c r="O219" s="680"/>
      <c r="P219" s="680"/>
      <c r="Q219" s="124" t="s">
        <v>2093</v>
      </c>
      <c r="R219" s="127" t="s">
        <v>2093</v>
      </c>
      <c r="S219" s="680"/>
      <c r="T219" s="439" cm="1" t="str">
        <f t="array" ref="T219:T219">T218</f>
        <v>true</v>
      </c>
      <c r="U219" s="680"/>
      <c r="V219" s="680"/>
      <c r="W219" s="680"/>
      <c r="X219" s="1482"/>
      <c r="Y219" s="680"/>
      <c r="Z219" s="1465"/>
      <c r="AA219" s="680"/>
      <c r="AB219" s="185" t="s">
        <v>1632</v>
      </c>
      <c r="AC219" s="328" t="s">
        <v>1891</v>
      </c>
      <c r="AD219" s="178" t="s">
        <v>784</v>
      </c>
      <c r="AE219" s="751">
        <f>SUM(AE220:AE221)</f>
        <v>0</v>
      </c>
      <c r="AF219" s="751">
        <f>SUM(AF220:AF221)</f>
        <v>0</v>
      </c>
      <c r="AG219" s="751">
        <f>SUM(AG220:AG221)</f>
        <v>0</v>
      </c>
      <c r="AH219" s="742">
        <f>AG219-AF219</f>
        <v>0</v>
      </c>
      <c r="AI219" s="4756">
        <f>SUM(AI220:AI221)</f>
        <v>0</v>
      </c>
      <c r="AJ219" s="4743"/>
      <c r="AK219" s="745"/>
      <c r="AL219" s="745"/>
      <c r="AM219" s="745"/>
      <c r="AN219" s="745"/>
      <c r="AO219" s="745"/>
      <c r="AP219" s="745"/>
      <c r="AQ219" s="745"/>
      <c r="AR219" s="745"/>
      <c r="AS219" s="745"/>
      <c r="AT219" s="925"/>
      <c r="AU219" s="925"/>
      <c r="AV219" s="745"/>
      <c r="AW219" s="745"/>
      <c r="AX219" s="745"/>
      <c r="AY219" s="745"/>
      <c r="AZ219" s="745"/>
      <c r="BA219" s="745"/>
      <c r="BB219" s="745"/>
      <c r="BC219" s="745"/>
      <c r="BD219" s="745"/>
      <c r="BE219" s="745"/>
      <c r="BF219" s="745"/>
      <c r="BG219" s="745"/>
      <c r="BH219" s="745"/>
      <c r="BI219" s="745"/>
      <c r="BJ219" s="745"/>
      <c r="BK219" s="745"/>
      <c r="BL219" s="745"/>
      <c r="BM219" s="745"/>
      <c r="BN219" s="4783"/>
      <c r="BO219" s="4783"/>
      <c r="BP219" s="4783"/>
      <c r="BQ219" s="680"/>
      <c r="BR219" s="680"/>
      <c r="BS219" s="1054" t="s">
        <v>1892</v>
      </c>
      <c r="BT219" s="1054"/>
      <c r="BU219" s="1054"/>
      <c r="BV219" s="687"/>
      <c r="BW219" s="687"/>
    </row>
    <row s="1621" customFormat="1" customHeight="1" ht="14.25" hidden="1">
      <c r="A220" s="960"/>
      <c r="B220" s="961"/>
      <c r="C220" s="960"/>
      <c r="D220" s="960"/>
      <c r="E220" s="683">
        <v>15</v>
      </c>
      <c r="F220" s="50" cm="1" t="str">
        <f t="array" ref="F220:F220">OFFSET(E220,-1,1)</f>
        <v>1</v>
      </c>
      <c r="G220" s="960"/>
      <c r="H220" s="960"/>
      <c r="I220" s="345" t="s">
        <v>1631</v>
      </c>
      <c r="J220" s="124" cm="1" t="str">
        <f t="array" ref="J220:J220">AC220</f>
        <v>0</v>
      </c>
      <c r="K220" s="345" t="s">
        <v>1631</v>
      </c>
      <c r="L220" s="963"/>
      <c r="M220" s="73"/>
      <c r="N220" s="960"/>
      <c r="O220" s="960"/>
      <c r="P220" s="960"/>
      <c r="Q220" s="124" t="s">
        <v>2093</v>
      </c>
      <c r="R220" s="127" t="s">
        <v>2093</v>
      </c>
      <c r="S220" s="960"/>
      <c r="T220" s="439">
        <f>AND(F220&gt;0,Y220&gt;0)</f>
        <v>0</v>
      </c>
      <c r="U220" s="960"/>
      <c r="V220" s="960"/>
      <c r="W220" s="124" t="s">
        <v>173</v>
      </c>
      <c r="X220" s="1482"/>
      <c r="Y220" s="124">
        <v>0</v>
      </c>
      <c r="Z220" s="1465"/>
      <c r="AA220" s="393" t="s">
        <v>174</v>
      </c>
      <c r="AB220" s="267" t="str">
        <f>"1.7."&amp;Y220</f>
        <v>1.7.0</v>
      </c>
      <c r="AC220" s="1270"/>
      <c r="AD220" s="267" t="s">
        <v>784</v>
      </c>
      <c r="AE220" s="1282"/>
      <c r="AF220" s="1282"/>
      <c r="AG220" s="1282"/>
      <c r="AH220" s="226">
        <f>AG220-AF220</f>
        <v>0</v>
      </c>
      <c r="AI220" s="4758"/>
      <c r="AJ220" s="4759"/>
      <c r="AK220" s="928"/>
      <c r="AL220" s="928"/>
      <c r="AM220" s="928"/>
      <c r="AN220" s="928"/>
      <c r="AO220" s="928"/>
      <c r="AP220" s="928"/>
      <c r="AQ220" s="928"/>
      <c r="AR220" s="928"/>
      <c r="AS220" s="928"/>
      <c r="AT220" s="925"/>
      <c r="AU220" s="928"/>
      <c r="AV220" s="928"/>
      <c r="AW220" s="928"/>
      <c r="AX220" s="928"/>
      <c r="AY220" s="928"/>
      <c r="AZ220" s="928"/>
      <c r="BA220" s="928"/>
      <c r="BB220" s="928"/>
      <c r="BC220" s="928"/>
      <c r="BD220" s="745"/>
      <c r="BE220" s="928"/>
      <c r="BF220" s="928"/>
      <c r="BG220" s="928"/>
      <c r="BH220" s="928"/>
      <c r="BI220" s="928"/>
      <c r="BJ220" s="928"/>
      <c r="BK220" s="928"/>
      <c r="BL220" s="928"/>
      <c r="BM220" s="928"/>
      <c r="BN220" s="1283"/>
      <c r="BO220" s="1283"/>
      <c r="BP220" s="1283"/>
      <c r="BQ220" s="960"/>
      <c r="BR220" s="960"/>
      <c r="BS220" s="1048" t="s">
        <v>1892</v>
      </c>
      <c r="BT220" s="1048" t="s">
        <v>1893</v>
      </c>
      <c r="BU220" s="1048" cm="1" t="str">
        <f t="array" ref="BU220:BU220">AC220</f>
        <v>0</v>
      </c>
      <c r="BV220" s="962"/>
      <c r="BW220" s="683" t="b">
        <v>1</v>
      </c>
    </row>
    <row s="1621" customFormat="1" customHeight="1" ht="14.25">
      <c r="A221" s="960"/>
      <c r="B221" s="961"/>
      <c r="C221" s="960"/>
      <c r="D221" s="960"/>
      <c r="E221" s="683">
        <v>15</v>
      </c>
      <c r="F221" s="50" cm="1" t="str">
        <f t="array" ref="F221:F221">OFFSET(E221,-1,1)</f>
        <v>1</v>
      </c>
      <c r="G221" s="331"/>
      <c r="H221" s="960"/>
      <c r="I221" s="960"/>
      <c r="J221" s="124" t="s">
        <v>1894</v>
      </c>
      <c r="K221" s="960"/>
      <c r="L221" s="963"/>
      <c r="M221" s="73"/>
      <c r="N221" s="960"/>
      <c r="O221" s="960"/>
      <c r="P221" s="960"/>
      <c r="Q221" s="960"/>
      <c r="R221" s="960"/>
      <c r="S221" s="960"/>
      <c r="T221" s="439">
        <f>F221&gt;0</f>
        <v>1</v>
      </c>
      <c r="U221" s="960"/>
      <c r="V221" s="960"/>
      <c r="W221" s="682" t="s">
        <v>2094</v>
      </c>
      <c r="X221" s="1482"/>
      <c r="Y221" s="960"/>
      <c r="Z221" s="1465"/>
      <c r="AA221" s="960"/>
      <c r="AB221" s="756"/>
      <c r="AC221" s="227" t="s">
        <v>177</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1893</v>
      </c>
      <c r="BW221" s="962"/>
    </row>
    <row s="4829" customFormat="1" customHeight="1" ht="107.25">
      <c r="A222" s="680"/>
      <c r="B222" s="408"/>
      <c r="C222" s="680"/>
      <c r="D222" s="680"/>
      <c r="E222" s="687">
        <v>21</v>
      </c>
      <c r="F222" s="50" cm="1" t="str">
        <f t="array" ref="F222:F222">OFFSET(E222,-1,1)</f>
        <v>1</v>
      </c>
      <c r="G222" s="680"/>
      <c r="H222" s="124"/>
      <c r="I222" s="124" t="s">
        <v>326</v>
      </c>
      <c r="J222" s="680"/>
      <c r="K222" s="124" t="s">
        <v>326</v>
      </c>
      <c r="L222" s="968"/>
      <c r="M222" s="75"/>
      <c r="N222" s="680"/>
      <c r="O222" s="680"/>
      <c r="P222" s="680"/>
      <c r="Q222" s="680"/>
      <c r="R222" s="680"/>
      <c r="S222" s="680"/>
      <c r="T222" s="439" cm="1" t="str">
        <f t="array" ref="T222:T222">T221</f>
        <v>true</v>
      </c>
      <c r="U222" s="680"/>
      <c r="V222" s="680"/>
      <c r="W222" s="680"/>
      <c r="X222" s="1482"/>
      <c r="Y222" s="680"/>
      <c r="Z222" s="1465"/>
      <c r="AA222" s="680"/>
      <c r="AB222" s="214" t="s">
        <v>283</v>
      </c>
      <c r="AC222" s="179" t="s">
        <v>1895</v>
      </c>
      <c r="AD222" s="201" t="s">
        <v>784</v>
      </c>
      <c r="AE222" s="180">
        <f>AE223+AE235+AE236++AE247+AE248+AE249+AE251+AE252+AE253+AE254+AE257</f>
        <v>365.9347407579</v>
      </c>
      <c r="AF222" s="180">
        <f>AF223+AF235+AF236++AF247+AF248+AF249+AF251+AF252+AF253+AF254+AF257</f>
        <v>487.1680486313</v>
      </c>
      <c r="AG222" s="180">
        <f>AG223+AG235+AG236++AG247+AG248+AG249+AG251+AG252+AG253+AG254+AG257</f>
        <v>487.17</v>
      </c>
      <c r="AH222" s="742">
        <f>AG222-AF222</f>
        <v>0.00195136870001988</v>
      </c>
      <c r="AI222" s="751">
        <f>AI223+AI235+AI236++AI247+AI248+AI249+AI251+AI252+AI253+AI254+AI257</f>
        <v>-10.6552666268</v>
      </c>
      <c r="AJ222" s="751">
        <f>AJ223+AJ235+AJ236++AJ247+AJ248+AJ249+AJ251+AJ252+AJ253+AJ254+AJ257</f>
        <v>488.8704665498</v>
      </c>
      <c r="AK222" s="751">
        <f>AK223+AK235+AK236++AK247+AK248+AK249+AK251+AK252+AK253+AK254+AK257</f>
        <v>0</v>
      </c>
      <c r="AL222" s="751">
        <f>AL223+AL235+AL236++AL247+AL248+AL249+AL251+AL252+AL253+AL254+AL257</f>
        <v>0</v>
      </c>
      <c r="AM222" s="751">
        <f>AM223+AM235+AM236++AM247+AM248+AM249+AM251+AM252+AM253+AM254+AM257</f>
        <v>0</v>
      </c>
      <c r="AN222" s="751">
        <f>AN223+AN235+AN236++AN247+AN248+AN249+AN251+AN252+AN253+AN254+AN257</f>
        <v>0</v>
      </c>
      <c r="AO222" s="751">
        <f>AO223+AO235+AO236++AO247+AO248+AO249+AO251+AO252+AO253+AO254+AO257</f>
        <v>0</v>
      </c>
      <c r="AP222" s="751">
        <f>AP223+AP235+AP236++AP247+AP248+AP249+AP251+AP252+AP253+AP254+AP257</f>
        <v>0</v>
      </c>
      <c r="AQ222" s="751">
        <f>AQ223+AQ235+AQ236++AQ247+AQ248+AQ249+AQ251+AQ252+AQ253+AQ254+AQ257</f>
        <v>0</v>
      </c>
      <c r="AR222" s="751">
        <f>AR223+AR235+AR236++AR247+AR248+AR249+AR251+AR252+AR253+AR254+AR257</f>
        <v>0</v>
      </c>
      <c r="AS222" s="751">
        <f>AS223+AS235+AS236++AS247+AS248+AS249+AS251+AS252+AS253+AS254+AS257</f>
        <v>0</v>
      </c>
      <c r="AT222" s="751">
        <f>AT223+AT235+AT236++AT247+AT248+AT249+AT251+AT252+AT253+AT254+AT257</f>
        <v>488.8709465498</v>
      </c>
      <c r="AU222" s="751">
        <f>AU223+AU235+AU236++AU247+AU248+AU249+AU251+AU252+AU253+AU254+AU257</f>
        <v>0</v>
      </c>
      <c r="AV222" s="751">
        <f>AV223+AV235+AV236++AV247+AV248+AV249+AV251+AV252+AV253+AV254+AV257</f>
        <v>0</v>
      </c>
      <c r="AW222" s="751">
        <f>AW223+AW235+AW236++AW247+AW248+AW249+AW251+AW252+AW253+AW254+AW257</f>
        <v>0</v>
      </c>
      <c r="AX222" s="751">
        <f>AX223+AX235+AX236++AX247+AX248+AX249+AX251+AX252+AX253+AX254+AX257</f>
        <v>0</v>
      </c>
      <c r="AY222" s="751">
        <f>AY223+AY235+AY236++AY247+AY248+AY249+AY251+AY252+AY253+AY254+AY257</f>
        <v>0</v>
      </c>
      <c r="AZ222" s="751">
        <f>AZ223+AZ235+AZ236++AZ247+AZ248+AZ249+AZ251+AZ252+AZ253+AZ254+AZ257</f>
        <v>0</v>
      </c>
      <c r="BA222" s="751">
        <f>BA223+BA235+BA236++BA247+BA248+BA249+BA251+BA252+BA253+BA254+BA257</f>
        <v>0</v>
      </c>
      <c r="BB222" s="751">
        <f>BB223+BB235+BB236++BB247+BB248+BB249+BB251+BB252+BB253+BB254+BB257</f>
        <v>0</v>
      </c>
      <c r="BC222" s="751">
        <f>BC223+BC235+BC236++BC247+BC248+BC249+BC251+BC252+BC253+BC254+BC257</f>
        <v>0</v>
      </c>
      <c r="BD222" s="742">
        <f>IF(AI222=0,0,(AT222-AI222)/AI222*100)</f>
        <v>-4688.06863941065</v>
      </c>
      <c r="BE222" s="742">
        <f>IF(AT222=0,0,(AU222-AT222)/AT222*100)</f>
        <v>-100</v>
      </c>
      <c r="BF222" s="742">
        <f>IF(AU222=0,0,(AV222-AU222)/AU222*100)</f>
        <v>0</v>
      </c>
      <c r="BG222" s="742">
        <f>IF(AV222=0,0,(AW222-AV222)/AV222*100)</f>
        <v>0</v>
      </c>
      <c r="BH222" s="742">
        <f>IF(AW222=0,0,(AX222-AW222)/AW222*100)</f>
        <v>0</v>
      </c>
      <c r="BI222" s="742">
        <f>IF(AX222=0,0,(AY222-AX222)/AX222*100)</f>
        <v>0</v>
      </c>
      <c r="BJ222" s="742">
        <f>IF(AY222=0,0,(AZ222-AY222)/AY222*100)</f>
        <v>0</v>
      </c>
      <c r="BK222" s="742">
        <f>IF(AZ222=0,0,(BA222-AZ222)/AZ222*100)</f>
        <v>0</v>
      </c>
      <c r="BL222" s="742">
        <f>IF(BA222=0,0,(BB222-BA222)/BA222*100)</f>
        <v>0</v>
      </c>
      <c r="BM222" s="742">
        <f>IF(BB222=0,0,(BC222-BB222)/BB222*100)</f>
        <v>0</v>
      </c>
      <c r="BN222" s="4830"/>
      <c r="BO222" s="4830" t="s">
        <v>2076</v>
      </c>
      <c r="BP222" s="4830"/>
      <c r="BQ222" s="126"/>
      <c r="BR222" s="680"/>
      <c r="BS222" s="1054" t="s">
        <v>1896</v>
      </c>
      <c r="BT222" s="1054"/>
      <c r="BU222" s="1054"/>
      <c r="BV222" s="687"/>
      <c r="BW222" s="687"/>
    </row>
    <row s="4831" customFormat="1" customHeight="1" ht="21.75">
      <c r="A223" s="680"/>
      <c r="B223" s="408"/>
      <c r="C223" s="680"/>
      <c r="D223" s="680"/>
      <c r="E223" s="687">
        <v>22.5</v>
      </c>
      <c r="F223" s="50" cm="1" t="str">
        <f t="array" ref="F223:F223">OFFSET(E223,-1,1)</f>
        <v>1</v>
      </c>
      <c r="G223" s="680"/>
      <c r="H223" s="124"/>
      <c r="I223" s="124" t="s">
        <v>459</v>
      </c>
      <c r="J223" s="680"/>
      <c r="K223" s="124" t="s">
        <v>459</v>
      </c>
      <c r="L223" s="968" t="s">
        <v>445</v>
      </c>
      <c r="M223" s="75"/>
      <c r="N223" s="680"/>
      <c r="O223" s="680"/>
      <c r="P223" s="680"/>
      <c r="Q223" s="680"/>
      <c r="R223" s="680"/>
      <c r="S223" s="680"/>
      <c r="T223" s="439" cm="1" t="str">
        <f t="array" ref="T223:T223">T222</f>
        <v>true</v>
      </c>
      <c r="U223" s="680"/>
      <c r="V223" s="680"/>
      <c r="W223" s="680"/>
      <c r="X223" s="1482"/>
      <c r="Y223" s="680"/>
      <c r="Z223" s="1465"/>
      <c r="AA223" s="680"/>
      <c r="AB223" s="185" t="s">
        <v>515</v>
      </c>
      <c r="AC223" s="328" t="s">
        <v>1897</v>
      </c>
      <c r="AD223" s="178" t="s">
        <v>784</v>
      </c>
      <c r="AE223" s="180">
        <f>SUM(AE224:AE234)</f>
        <v>0</v>
      </c>
      <c r="AF223" s="180">
        <f>SUM(AF224:AF234)</f>
        <v>0</v>
      </c>
      <c r="AG223" s="180">
        <f>SUM(AG224:AG234)</f>
        <v>0</v>
      </c>
      <c r="AH223" s="742">
        <f>AG223-AF223</f>
        <v>0</v>
      </c>
      <c r="AI223" s="180">
        <f>SUM(AI224:AI234)</f>
        <v>0</v>
      </c>
      <c r="AJ223" s="180">
        <f>SUM(AJ224:AJ234)</f>
        <v>0</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0</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42">
        <f>IF(AI223=0,0,(AT223-AI223)/AI223*100)</f>
        <v>0</v>
      </c>
      <c r="BE223" s="742">
        <f>IF(AT223=0,0,(AU223-AT223)/AT223*100)</f>
        <v>0</v>
      </c>
      <c r="BF223" s="742">
        <f>IF(AU223=0,0,(AV223-AU223)/AU223*100)</f>
        <v>0</v>
      </c>
      <c r="BG223" s="742">
        <f>IF(AV223=0,0,(AW223-AV223)/AV223*100)</f>
        <v>0</v>
      </c>
      <c r="BH223" s="742">
        <f>IF(AW223=0,0,(AX223-AW223)/AW223*100)</f>
        <v>0</v>
      </c>
      <c r="BI223" s="742">
        <f>IF(AX223=0,0,(AY223-AX223)/AX223*100)</f>
        <v>0</v>
      </c>
      <c r="BJ223" s="742">
        <f>IF(AY223=0,0,(AZ223-AY223)/AY223*100)</f>
        <v>0</v>
      </c>
      <c r="BK223" s="742">
        <f>IF(AZ223=0,0,(BA223-AZ223)/AZ223*100)</f>
        <v>0</v>
      </c>
      <c r="BL223" s="742">
        <f>IF(BA223=0,0,(BB223-BA223)/BA223*100)</f>
        <v>0</v>
      </c>
      <c r="BM223" s="742">
        <f>IF(BB223=0,0,(BC223-BB223)/BB223*100)</f>
        <v>0</v>
      </c>
      <c r="BN223" s="4618"/>
      <c r="BO223" s="4618"/>
      <c r="BP223" s="4618"/>
      <c r="BQ223" s="680"/>
      <c r="BR223" s="680"/>
      <c r="BS223" s="1054" t="s">
        <v>1619</v>
      </c>
      <c r="BT223" s="1054"/>
      <c r="BU223" s="1054"/>
      <c r="BV223" s="687"/>
      <c r="BW223" s="687"/>
    </row>
    <row s="1621" customFormat="1" customHeight="1" ht="14.25">
      <c r="A224" s="960"/>
      <c r="B224" s="961"/>
      <c r="C224" s="960"/>
      <c r="D224" s="960"/>
      <c r="E224" s="683">
        <v>15</v>
      </c>
      <c r="F224" s="50" cm="1" t="str">
        <f t="array" ref="F224:F224">OFFSET(E224,-1,1)</f>
        <v>1</v>
      </c>
      <c r="G224" s="124" t="s">
        <v>1028</v>
      </c>
      <c r="H224" s="960"/>
      <c r="I224" s="124" t="s">
        <v>1445</v>
      </c>
      <c r="J224" s="960"/>
      <c r="K224" s="124" t="s">
        <v>1445</v>
      </c>
      <c r="L224" s="963" t="s">
        <v>1222</v>
      </c>
      <c r="M224" s="73"/>
      <c r="N224" s="960"/>
      <c r="O224" s="960"/>
      <c r="P224" s="960"/>
      <c r="Q224" s="960"/>
      <c r="R224" s="960"/>
      <c r="S224" s="960"/>
      <c r="T224" s="439" cm="1" t="str">
        <f t="array" ref="T224:T224">T223</f>
        <v>true</v>
      </c>
      <c r="U224" s="960"/>
      <c r="V224" s="960"/>
      <c r="W224" s="960"/>
      <c r="X224" s="1482"/>
      <c r="Y224" s="960"/>
      <c r="Z224" s="1465"/>
      <c r="AA224" s="960"/>
      <c r="AB224" s="266" t="s">
        <v>467</v>
      </c>
      <c r="AC224" s="746" t="s">
        <v>1898</v>
      </c>
      <c r="AD224" s="267" t="s">
        <v>784</v>
      </c>
      <c r="AE224" s="226">
        <f>_xlfn.SUMIFS(Покупка!AE$25:AE$117,Покупка!$F$25:$F$117,$F224,Покупка!$AC$25:$AC$117,$G224)</f>
        <v>0</v>
      </c>
      <c r="AF224" s="226">
        <f>_xlfn.SUMIFS(Покупка!AF$25:AF$117,Покупка!$F$25:$F$117,$F224,Покупка!$AC$25:$AC$117,$G224)</f>
        <v>0</v>
      </c>
      <c r="AG224" s="226">
        <f>_xlfn.SUMIFS(Покупка!AG$25:AG$117,Покупка!$F$25:$F$117,$F224,Покупка!$AC$25:$AC$117,$G224)</f>
        <v>0</v>
      </c>
      <c r="AH224" s="926">
        <f>AG224-AF224</f>
        <v>0</v>
      </c>
      <c r="AI224" s="926">
        <f>_xlfn.SUMIFS(Покупка!AH$25:AH$117,Покупка!$F$25:$F$117,$F224,Покупка!$AC$25:$AC$117,$G224)</f>
        <v>0</v>
      </c>
      <c r="AJ224" s="926">
        <f>_xlfn.SUMIFS(Покупка!AI$25:AI$117,Покупка!$F$25:$F$117,$F224,Покупка!$AC$25:$AC$117,$G224)</f>
        <v>0</v>
      </c>
      <c r="AK224" s="926">
        <f>_xlfn.SUMIFS(Покупка!AJ$25:AJ$117,Покупка!$F$25:$F$117,$F224,Покупка!$AC$25:$AC$117,$G224)</f>
        <v>0</v>
      </c>
      <c r="AL224" s="926">
        <f>_xlfn.SUMIFS(Покупка!AK$25:AK$117,Покупка!$F$25:$F$117,$F224,Покупка!$AC$25:$AC$117,$G224)</f>
        <v>0</v>
      </c>
      <c r="AM224" s="926">
        <f>_xlfn.SUMIFS(Покупка!AL$25:AL$117,Покупка!$F$25:$F$117,$F224,Покупка!$AC$25:$AC$117,$G224)</f>
        <v>0</v>
      </c>
      <c r="AN224" s="926">
        <f>_xlfn.SUMIFS(Покупка!AM$25:AM$117,Покупка!$F$25:$F$117,$F224,Покупка!$AC$25:$AC$117,$G224)</f>
        <v>0</v>
      </c>
      <c r="AO224" s="926">
        <f>_xlfn.SUMIFS(Покупка!AN$25:AN$117,Покупка!$F$25:$F$117,$F224,Покупка!$AC$25:$AC$117,$G224)</f>
        <v>0</v>
      </c>
      <c r="AP224" s="926">
        <f>_xlfn.SUMIFS(Покупка!AO$25:AO$117,Покупка!$F$25:$F$117,$F224,Покупка!$AC$25:$AC$117,$G224)</f>
        <v>0</v>
      </c>
      <c r="AQ224" s="926">
        <f>_xlfn.SUMIFS(Покупка!AP$25:AP$117,Покупка!$F$25:$F$117,$F224,Покупка!$AC$25:$AC$117,$G224)</f>
        <v>0</v>
      </c>
      <c r="AR224" s="926">
        <f>_xlfn.SUMIFS(Покупка!AQ$25:AQ$117,Покупка!$F$25:$F$117,$F224,Покупка!$AC$25:$AC$117,$G224)</f>
        <v>0</v>
      </c>
      <c r="AS224" s="926">
        <f>_xlfn.SUMIFS(Покупка!AR$25:AR$117,Покупка!$F$25:$F$117,$F224,Покупка!$AC$25:$AC$117,$G224)</f>
        <v>0</v>
      </c>
      <c r="AT224" s="926">
        <f>_xlfn.SUMIFS(Покупка!AS$25:AS$117,Покупка!$F$25:$F$117,$F224,Покупка!$AC$25:$AC$117,$G224)</f>
        <v>0</v>
      </c>
      <c r="AU224" s="926">
        <f>_xlfn.SUMIFS(Покупка!AT$25:AT$117,Покупка!$F$25:$F$117,$F224,Покупка!$AC$25:$AC$117,$G224)</f>
        <v>0</v>
      </c>
      <c r="AV224" s="926">
        <f>_xlfn.SUMIFS(Покупка!AU$25:AU$117,Покупка!$F$25:$F$117,$F224,Покупка!$AC$25:$AC$117,$G224)</f>
        <v>0</v>
      </c>
      <c r="AW224" s="926">
        <f>_xlfn.SUMIFS(Покупка!AV$25:AV$117,Покупка!$F$25:$F$117,$F224,Покупка!$AC$25:$AC$117,$G224)</f>
        <v>0</v>
      </c>
      <c r="AX224" s="926">
        <f>_xlfn.SUMIFS(Покупка!AW$25:AW$117,Покупка!$F$25:$F$117,$F224,Покупка!$AC$25:$AC$117,$G224)</f>
        <v>0</v>
      </c>
      <c r="AY224" s="926">
        <f>_xlfn.SUMIFS(Покупка!AX$25:AX$117,Покупка!$F$25:$F$117,$F224,Покупка!$AC$25:$AC$117,$G224)</f>
        <v>0</v>
      </c>
      <c r="AZ224" s="926">
        <f>_xlfn.SUMIFS(Покупка!AY$25:AY$117,Покупка!$F$25:$F$117,$F224,Покупка!$AC$25:$AC$117,$G224)</f>
        <v>0</v>
      </c>
      <c r="BA224" s="926">
        <f>_xlfn.SUMIFS(Покупка!AZ$25:AZ$117,Покупка!$F$25:$F$117,$F224,Покупка!$AC$25:$AC$117,$G224)</f>
        <v>0</v>
      </c>
      <c r="BB224" s="926">
        <f>_xlfn.SUMIFS(Покупка!BA$25:BA$117,Покупка!$F$25:$F$117,$F224,Покупка!$AC$25:$AC$117,$G224)</f>
        <v>0</v>
      </c>
      <c r="BC224" s="926">
        <f>_xlfn.SUMIFS(Покупка!BB$25:BB$117,Покупка!$F$25:$F$117,$F224,Покупка!$AC$25:$AC$117,$G224)</f>
        <v>0</v>
      </c>
      <c r="BD224" s="926">
        <f>IF(AI224=0,0,(AT224-AI224)/AI224*100)</f>
        <v>0</v>
      </c>
      <c r="BE224" s="926">
        <f>IF(AT224=0,0,(AU224-AT224)/AT224*100)</f>
        <v>0</v>
      </c>
      <c r="BF224" s="926">
        <f>IF(AU224=0,0,(AV224-AU224)/AU224*100)</f>
        <v>0</v>
      </c>
      <c r="BG224" s="926">
        <f>IF(AV224=0,0,(AW224-AV224)/AV224*100)</f>
        <v>0</v>
      </c>
      <c r="BH224" s="926">
        <f>IF(AW224=0,0,(AX224-AW224)/AW224*100)</f>
        <v>0</v>
      </c>
      <c r="BI224" s="926">
        <f>IF(AX224=0,0,(AY224-AX224)/AX224*100)</f>
        <v>0</v>
      </c>
      <c r="BJ224" s="926">
        <f>IF(AY224=0,0,(AZ224-AY224)/AY224*100)</f>
        <v>0</v>
      </c>
      <c r="BK224" s="926">
        <f>IF(AZ224=0,0,(BA224-AZ224)/AZ224*100)</f>
        <v>0</v>
      </c>
      <c r="BL224" s="926">
        <f>IF(BA224=0,0,(BB224-BA224)/BA224*100)</f>
        <v>0</v>
      </c>
      <c r="BM224" s="926">
        <f>IF(BB224=0,0,(BC224-BB224)/BB224*100)</f>
        <v>0</v>
      </c>
      <c r="BN224" s="4830"/>
      <c r="BO224" s="4784" t="str">
        <f>IF(_xlfn.IFERROR(INDEX(Покупка!$K$26:$L$117,MATCH($F224&amp;"6komm",Покупка!$K$26:$K$117,0),2),"")=0,"",_xlfn.IFERROR(INDEX(Покупка!$K$26:$L$117,MATCH($F224&amp;"6komm",Покупка!$K$26:$K$117,0),2),""))</f>
        <v/>
      </c>
      <c r="BP224" s="4830"/>
      <c r="BQ224" s="960"/>
      <c r="BR224" s="960"/>
      <c r="BS224" s="1048" t="s">
        <v>1029</v>
      </c>
      <c r="BT224" s="1048"/>
      <c r="BU224" s="1048"/>
      <c r="BV224" s="962"/>
      <c r="BW224" s="962"/>
    </row>
    <row s="1621" customFormat="1" customHeight="1" ht="14.25">
      <c r="A225" s="960"/>
      <c r="B225" s="62"/>
      <c r="C225" s="73"/>
      <c r="D225" s="73"/>
      <c r="E225" s="600">
        <v>15</v>
      </c>
      <c r="F225" s="50" cm="1" t="str">
        <f t="array" ref="F225:F225">OFFSET(E225,-1,1)</f>
        <v>1</v>
      </c>
      <c r="G225" s="73" t="s">
        <v>1030</v>
      </c>
      <c r="H225" s="73"/>
      <c r="I225" s="73" t="s">
        <v>1449</v>
      </c>
      <c r="J225" s="73"/>
      <c r="K225" s="73" t="s">
        <v>1449</v>
      </c>
      <c r="L225" s="963" t="s">
        <v>1226</v>
      </c>
      <c r="M225" s="73"/>
      <c r="N225" s="73"/>
      <c r="O225" s="73"/>
      <c r="P225" s="73"/>
      <c r="Q225" s="73"/>
      <c r="R225" s="73"/>
      <c r="S225" s="73"/>
      <c r="T225" s="439" cm="1" t="str">
        <f t="array" ref="T225:T225">T224</f>
        <v>true</v>
      </c>
      <c r="U225" s="73"/>
      <c r="V225" s="73"/>
      <c r="W225" s="960"/>
      <c r="X225" s="1482"/>
      <c r="Y225" s="960"/>
      <c r="Z225" s="1465"/>
      <c r="AA225" s="960"/>
      <c r="AB225" s="266" t="s">
        <v>1899</v>
      </c>
      <c r="AC225" s="746" t="s">
        <v>1900</v>
      </c>
      <c r="AD225" s="267" t="s">
        <v>784</v>
      </c>
      <c r="AE225" s="226">
        <f>_xlfn.SUMIFS(Покупка!AE$25:AE$117,Покупка!$F$25:$F$117,$F225,Покупка!$AC$25:$AC$117,$G225)</f>
        <v>0</v>
      </c>
      <c r="AF225" s="226">
        <f>_xlfn.SUMIFS(Покупка!AF$25:AF$117,Покупка!$F$25:$F$117,$F225,Покупка!$AC$25:$AC$117,$G225)</f>
        <v>0</v>
      </c>
      <c r="AG225" s="226">
        <f>_xlfn.SUMIFS(Покупка!AG$25:AG$117,Покупка!$F$25:$F$117,$F225,Покупка!$AC$25:$AC$117,$G225)</f>
        <v>0</v>
      </c>
      <c r="AH225" s="926">
        <f>AG225-AF225</f>
        <v>0</v>
      </c>
      <c r="AI225" s="926">
        <f>_xlfn.SUMIFS(Покупка!AH$25:AH$117,Покупка!$F$25:$F$117,$F225,Покупка!$AC$25:$AC$117,$G225)</f>
        <v>0</v>
      </c>
      <c r="AJ225" s="926">
        <f>_xlfn.SUMIFS(Покупка!AI$25:AI$117,Покупка!$F$25:$F$117,$F225,Покупка!$AC$25:$AC$117,$G225)</f>
        <v>0</v>
      </c>
      <c r="AK225" s="926">
        <f>_xlfn.SUMIFS(Покупка!AJ$25:AJ$117,Покупка!$F$25:$F$117,$F225,Покупка!$AC$25:$AC$117,$G225)</f>
        <v>0</v>
      </c>
      <c r="AL225" s="926">
        <f>_xlfn.SUMIFS(Покупка!AK$25:AK$117,Покупка!$F$25:$F$117,$F225,Покупка!$AC$25:$AC$117,$G225)</f>
        <v>0</v>
      </c>
      <c r="AM225" s="926">
        <f>_xlfn.SUMIFS(Покупка!AL$25:AL$117,Покупка!$F$25:$F$117,$F225,Покупка!$AC$25:$AC$117,$G225)</f>
        <v>0</v>
      </c>
      <c r="AN225" s="926">
        <f>_xlfn.SUMIFS(Покупка!AM$25:AM$117,Покупка!$F$25:$F$117,$F225,Покупка!$AC$25:$AC$117,$G225)</f>
        <v>0</v>
      </c>
      <c r="AO225" s="926">
        <f>_xlfn.SUMIFS(Покупка!AN$25:AN$117,Покупка!$F$25:$F$117,$F225,Покупка!$AC$25:$AC$117,$G225)</f>
        <v>0</v>
      </c>
      <c r="AP225" s="926">
        <f>_xlfn.SUMIFS(Покупка!AO$25:AO$117,Покупка!$F$25:$F$117,$F225,Покупка!$AC$25:$AC$117,$G225)</f>
        <v>0</v>
      </c>
      <c r="AQ225" s="926">
        <f>_xlfn.SUMIFS(Покупка!AP$25:AP$117,Покупка!$F$25:$F$117,$F225,Покупка!$AC$25:$AC$117,$G225)</f>
        <v>0</v>
      </c>
      <c r="AR225" s="926">
        <f>_xlfn.SUMIFS(Покупка!AQ$25:AQ$117,Покупка!$F$25:$F$117,$F225,Покупка!$AC$25:$AC$117,$G225)</f>
        <v>0</v>
      </c>
      <c r="AS225" s="926">
        <f>_xlfn.SUMIFS(Покупка!AR$25:AR$117,Покупка!$F$25:$F$117,$F225,Покупка!$AC$25:$AC$117,$G225)</f>
        <v>0</v>
      </c>
      <c r="AT225" s="926">
        <f>_xlfn.SUMIFS(Покупка!AS$25:AS$117,Покупка!$F$25:$F$117,$F225,Покупка!$AC$25:$AC$117,$G225)</f>
        <v>0</v>
      </c>
      <c r="AU225" s="926">
        <f>_xlfn.SUMIFS(Покупка!AT$25:AT$117,Покупка!$F$25:$F$117,$F225,Покупка!$AC$25:$AC$117,$G225)</f>
        <v>0</v>
      </c>
      <c r="AV225" s="926">
        <f>_xlfn.SUMIFS(Покупка!AU$25:AU$117,Покупка!$F$25:$F$117,$F225,Покупка!$AC$25:$AC$117,$G225)</f>
        <v>0</v>
      </c>
      <c r="AW225" s="926">
        <f>_xlfn.SUMIFS(Покупка!AV$25:AV$117,Покупка!$F$25:$F$117,$F225,Покупка!$AC$25:$AC$117,$G225)</f>
        <v>0</v>
      </c>
      <c r="AX225" s="926">
        <f>_xlfn.SUMIFS(Покупка!AW$25:AW$117,Покупка!$F$25:$F$117,$F225,Покупка!$AC$25:$AC$117,$G225)</f>
        <v>0</v>
      </c>
      <c r="AY225" s="926">
        <f>_xlfn.SUMIFS(Покупка!AX$25:AX$117,Покупка!$F$25:$F$117,$F225,Покупка!$AC$25:$AC$117,$G225)</f>
        <v>0</v>
      </c>
      <c r="AZ225" s="926">
        <f>_xlfn.SUMIFS(Покупка!AY$25:AY$117,Покупка!$F$25:$F$117,$F225,Покупка!$AC$25:$AC$117,$G225)</f>
        <v>0</v>
      </c>
      <c r="BA225" s="926">
        <f>_xlfn.SUMIFS(Покупка!AZ$25:AZ$117,Покупка!$F$25:$F$117,$F225,Покупка!$AC$25:$AC$117,$G225)</f>
        <v>0</v>
      </c>
      <c r="BB225" s="926">
        <f>_xlfn.SUMIFS(Покупка!BA$25:BA$117,Покупка!$F$25:$F$117,$F225,Покупка!$AC$25:$AC$117,$G225)</f>
        <v>0</v>
      </c>
      <c r="BC225" s="926">
        <f>_xlfn.SUMIFS(Покупка!BB$25:BB$117,Покупка!$F$25:$F$117,$F225,Покупка!$AC$25:$AC$117,$G225)</f>
        <v>0</v>
      </c>
      <c r="BD225" s="926">
        <f>IF(AI225=0,0,(AT225-AI225)/AI225*100)</f>
        <v>0</v>
      </c>
      <c r="BE225" s="926">
        <f>IF(AT225=0,0,(AU225-AT225)/AT225*100)</f>
        <v>0</v>
      </c>
      <c r="BF225" s="926">
        <f>IF(AU225=0,0,(AV225-AU225)/AU225*100)</f>
        <v>0</v>
      </c>
      <c r="BG225" s="926">
        <f>IF(AV225=0,0,(AW225-AV225)/AV225*100)</f>
        <v>0</v>
      </c>
      <c r="BH225" s="926">
        <f>IF(AW225=0,0,(AX225-AW225)/AW225*100)</f>
        <v>0</v>
      </c>
      <c r="BI225" s="926">
        <f>IF(AX225=0,0,(AY225-AX225)/AX225*100)</f>
        <v>0</v>
      </c>
      <c r="BJ225" s="926">
        <f>IF(AY225=0,0,(AZ225-AY225)/AY225*100)</f>
        <v>0</v>
      </c>
      <c r="BK225" s="926">
        <f>IF(AZ225=0,0,(BA225-AZ225)/AZ225*100)</f>
        <v>0</v>
      </c>
      <c r="BL225" s="926">
        <f>IF(BA225=0,0,(BB225-BA225)/BA225*100)</f>
        <v>0</v>
      </c>
      <c r="BM225" s="926">
        <f>IF(BB225=0,0,(BC225-BB225)/BB225*100)</f>
        <v>0</v>
      </c>
      <c r="BN225" s="4830"/>
      <c r="BO225" s="4784" t="str">
        <f>IF(_xlfn.IFERROR(INDEX(Покупка!$K$26:$L$117,MATCH($F225&amp;"7komm",Покупка!$K$26:$K$117,0),2),"")=0,"",_xlfn.IFERROR(INDEX(Покупка!$K$26:$L$117,MATCH($F225&amp;"7komm",Покупка!$K$26:$K$117,0),2),""))</f>
        <v/>
      </c>
      <c r="BP225" s="4830"/>
      <c r="BQ225" s="960"/>
      <c r="BR225" s="960"/>
      <c r="BS225" s="1048" t="s">
        <v>1031</v>
      </c>
      <c r="BT225" s="1048"/>
      <c r="BU225" s="1048"/>
      <c r="BV225" s="962"/>
      <c r="BW225" s="962"/>
    </row>
    <row s="1621" customFormat="1" customHeight="1" ht="14.25">
      <c r="A226" s="960"/>
      <c r="B226" s="62"/>
      <c r="C226" s="73"/>
      <c r="D226" s="73"/>
      <c r="E226" s="600">
        <v>15</v>
      </c>
      <c r="F226" s="50" cm="1" t="str">
        <f t="array" ref="F226:F226">OFFSET(E226,-1,1)</f>
        <v>1</v>
      </c>
      <c r="G226" s="73" t="s">
        <v>1005</v>
      </c>
      <c r="H226" s="73"/>
      <c r="I226" s="73" t="s">
        <v>1531</v>
      </c>
      <c r="J226" s="73"/>
      <c r="K226" s="73" t="s">
        <v>1531</v>
      </c>
      <c r="L226" s="963" t="s">
        <v>1394</v>
      </c>
      <c r="M226" s="73"/>
      <c r="N226" s="73"/>
      <c r="O226" s="73"/>
      <c r="P226" s="73"/>
      <c r="Q226" s="73"/>
      <c r="R226" s="73"/>
      <c r="S226" s="73"/>
      <c r="T226" s="439" cm="1" t="str">
        <f t="array" ref="T226:T226">T225</f>
        <v>true</v>
      </c>
      <c r="U226" s="73"/>
      <c r="V226" s="73"/>
      <c r="W226" s="960"/>
      <c r="X226" s="1482"/>
      <c r="Y226" s="960"/>
      <c r="Z226" s="1465"/>
      <c r="AA226" s="960"/>
      <c r="AB226" s="266" t="s">
        <v>1901</v>
      </c>
      <c r="AC226" s="746" t="s">
        <v>1902</v>
      </c>
      <c r="AD226" s="267" t="s">
        <v>784</v>
      </c>
      <c r="AE226" s="226">
        <f>_xlfn.SUMIFS(Покупка!AE$25:AE$117,Покупка!$F$25:$F$117,$F226,Покупка!$AC$25:$AC$117,$G226)</f>
        <v>0</v>
      </c>
      <c r="AF226" s="226">
        <f>_xlfn.SUMIFS(Покупка!AF$25:AF$117,Покупка!$F$25:$F$117,$F226,Покупка!$AC$25:$AC$117,$G226)</f>
        <v>0</v>
      </c>
      <c r="AG226" s="226">
        <f>_xlfn.SUMIFS(Покупка!AG$25:AG$117,Покупка!$F$25:$F$117,$F226,Покупка!$AC$25:$AC$117,$G226)</f>
        <v>0</v>
      </c>
      <c r="AH226" s="926">
        <f>AG226-AF226</f>
        <v>0</v>
      </c>
      <c r="AI226" s="926">
        <f>_xlfn.SUMIFS(Покупка!AH$25:AH$117,Покупка!$F$25:$F$117,$F226,Покупка!$AC$25:$AC$117,$G226)</f>
        <v>0</v>
      </c>
      <c r="AJ226" s="926">
        <f>_xlfn.SUMIFS(Покупка!AI$25:AI$117,Покупка!$F$25:$F$117,$F226,Покупка!$AC$25:$AC$117,$G226)</f>
        <v>0</v>
      </c>
      <c r="AK226" s="926">
        <f>_xlfn.SUMIFS(Покупка!AJ$25:AJ$117,Покупка!$F$25:$F$117,$F226,Покупка!$AC$25:$AC$117,$G226)</f>
        <v>0</v>
      </c>
      <c r="AL226" s="926">
        <f>_xlfn.SUMIFS(Покупка!AK$25:AK$117,Покупка!$F$25:$F$117,$F226,Покупка!$AC$25:$AC$117,$G226)</f>
        <v>0</v>
      </c>
      <c r="AM226" s="926">
        <f>_xlfn.SUMIFS(Покупка!AL$25:AL$117,Покупка!$F$25:$F$117,$F226,Покупка!$AC$25:$AC$117,$G226)</f>
        <v>0</v>
      </c>
      <c r="AN226" s="926">
        <f>_xlfn.SUMIFS(Покупка!AM$25:AM$117,Покупка!$F$25:$F$117,$F226,Покупка!$AC$25:$AC$117,$G226)</f>
        <v>0</v>
      </c>
      <c r="AO226" s="926">
        <f>_xlfn.SUMIFS(Покупка!AN$25:AN$117,Покупка!$F$25:$F$117,$F226,Покупка!$AC$25:$AC$117,$G226)</f>
        <v>0</v>
      </c>
      <c r="AP226" s="926">
        <f>_xlfn.SUMIFS(Покупка!AO$25:AO$117,Покупка!$F$25:$F$117,$F226,Покупка!$AC$25:$AC$117,$G226)</f>
        <v>0</v>
      </c>
      <c r="AQ226" s="926">
        <f>_xlfn.SUMIFS(Покупка!AP$25:AP$117,Покупка!$F$25:$F$117,$F226,Покупка!$AC$25:$AC$117,$G226)</f>
        <v>0</v>
      </c>
      <c r="AR226" s="926">
        <f>_xlfn.SUMIFS(Покупка!AQ$25:AQ$117,Покупка!$F$25:$F$117,$F226,Покупка!$AC$25:$AC$117,$G226)</f>
        <v>0</v>
      </c>
      <c r="AS226" s="926">
        <f>_xlfn.SUMIFS(Покупка!AR$25:AR$117,Покупка!$F$25:$F$117,$F226,Покупка!$AC$25:$AC$117,$G226)</f>
        <v>0</v>
      </c>
      <c r="AT226" s="926">
        <f>_xlfn.SUMIFS(Покупка!AS$25:AS$117,Покупка!$F$25:$F$117,$F226,Покупка!$AC$25:$AC$117,$G226)</f>
        <v>0</v>
      </c>
      <c r="AU226" s="926">
        <f>_xlfn.SUMIFS(Покупка!AT$25:AT$117,Покупка!$F$25:$F$117,$F226,Покупка!$AC$25:$AC$117,$G226)</f>
        <v>0</v>
      </c>
      <c r="AV226" s="926">
        <f>_xlfn.SUMIFS(Покупка!AU$25:AU$117,Покупка!$F$25:$F$117,$F226,Покупка!$AC$25:$AC$117,$G226)</f>
        <v>0</v>
      </c>
      <c r="AW226" s="926">
        <f>_xlfn.SUMIFS(Покупка!AV$25:AV$117,Покупка!$F$25:$F$117,$F226,Покупка!$AC$25:$AC$117,$G226)</f>
        <v>0</v>
      </c>
      <c r="AX226" s="926">
        <f>_xlfn.SUMIFS(Покупка!AW$25:AW$117,Покупка!$F$25:$F$117,$F226,Покупка!$AC$25:$AC$117,$G226)</f>
        <v>0</v>
      </c>
      <c r="AY226" s="926">
        <f>_xlfn.SUMIFS(Покупка!AX$25:AX$117,Покупка!$F$25:$F$117,$F226,Покупка!$AC$25:$AC$117,$G226)</f>
        <v>0</v>
      </c>
      <c r="AZ226" s="926">
        <f>_xlfn.SUMIFS(Покупка!AY$25:AY$117,Покупка!$F$25:$F$117,$F226,Покупка!$AC$25:$AC$117,$G226)</f>
        <v>0</v>
      </c>
      <c r="BA226" s="926">
        <f>_xlfn.SUMIFS(Покупка!AZ$25:AZ$117,Покупка!$F$25:$F$117,$F226,Покупка!$AC$25:$AC$117,$G226)</f>
        <v>0</v>
      </c>
      <c r="BB226" s="926">
        <f>_xlfn.SUMIFS(Покупка!BA$25:BA$117,Покупка!$F$25:$F$117,$F226,Покупка!$AC$25:$AC$117,$G226)</f>
        <v>0</v>
      </c>
      <c r="BC226" s="926">
        <f>_xlfn.SUMIFS(Покупка!BB$25:BB$117,Покупка!$F$25:$F$117,$F226,Покупка!$AC$25:$AC$117,$G226)</f>
        <v>0</v>
      </c>
      <c r="BD226" s="926">
        <f>IF(AI226=0,0,(AT226-AI226)/AI226*100)</f>
        <v>0</v>
      </c>
      <c r="BE226" s="926">
        <f>IF(AT226=0,0,(AU226-AT226)/AT226*100)</f>
        <v>0</v>
      </c>
      <c r="BF226" s="926">
        <f>IF(AU226=0,0,(AV226-AU226)/AU226*100)</f>
        <v>0</v>
      </c>
      <c r="BG226" s="926">
        <f>IF(AV226=0,0,(AW226-AV226)/AV226*100)</f>
        <v>0</v>
      </c>
      <c r="BH226" s="926">
        <f>IF(AW226=0,0,(AX226-AW226)/AW226*100)</f>
        <v>0</v>
      </c>
      <c r="BI226" s="926">
        <f>IF(AX226=0,0,(AY226-AX226)/AX226*100)</f>
        <v>0</v>
      </c>
      <c r="BJ226" s="926">
        <f>IF(AY226=0,0,(AZ226-AY226)/AY226*100)</f>
        <v>0</v>
      </c>
      <c r="BK226" s="926">
        <f>IF(AZ226=0,0,(BA226-AZ226)/AZ226*100)</f>
        <v>0</v>
      </c>
      <c r="BL226" s="926">
        <f>IF(BA226=0,0,(BB226-BA226)/BA226*100)</f>
        <v>0</v>
      </c>
      <c r="BM226" s="926">
        <f>IF(BB226=0,0,(BC226-BB226)/BB226*100)</f>
        <v>0</v>
      </c>
      <c r="BN226" s="4830"/>
      <c r="BO226" s="4784" t="str">
        <f>IF(_xlfn.IFERROR(INDEX(Покупка!$K$26:$L$117,MATCH($F226&amp;"2komm",Покупка!$K$26:$K$117,0),2),"")=0,"",_xlfn.IFERROR(INDEX(Покупка!$K$26:$L$117,MATCH($F226&amp;"2komm",Покупка!$K$26:$K$117,0),2),""))</f>
        <v/>
      </c>
      <c r="BP226" s="4830"/>
      <c r="BQ226" s="960"/>
      <c r="BR226" s="960"/>
      <c r="BS226" s="1048" t="s">
        <v>1903</v>
      </c>
      <c r="BT226" s="1048"/>
      <c r="BU226" s="1048"/>
      <c r="BV226" s="962"/>
      <c r="BW226" s="962"/>
    </row>
    <row s="1621" customFormat="1" customHeight="1" ht="14.25">
      <c r="A227" s="960"/>
      <c r="B227" s="62"/>
      <c r="C227" s="73"/>
      <c r="D227" s="73"/>
      <c r="E227" s="600">
        <v>15</v>
      </c>
      <c r="F227" s="50" cm="1" t="str">
        <f t="array" ref="F227:F227">OFFSET(E227,-1,1)</f>
        <v>1</v>
      </c>
      <c r="G227" s="73" t="s">
        <v>996</v>
      </c>
      <c r="H227" s="73"/>
      <c r="I227" s="73" t="s">
        <v>1533</v>
      </c>
      <c r="J227" s="73"/>
      <c r="K227" s="73" t="s">
        <v>1533</v>
      </c>
      <c r="L227" s="963" t="s">
        <v>1389</v>
      </c>
      <c r="M227" s="73"/>
      <c r="N227" s="73"/>
      <c r="O227" s="73"/>
      <c r="P227" s="73"/>
      <c r="Q227" s="73"/>
      <c r="R227" s="73"/>
      <c r="S227" s="73"/>
      <c r="T227" s="439" cm="1" t="str">
        <f t="array" ref="T227:T227">T226</f>
        <v>true</v>
      </c>
      <c r="U227" s="73"/>
      <c r="V227" s="73"/>
      <c r="W227" s="960"/>
      <c r="X227" s="1482"/>
      <c r="Y227" s="960"/>
      <c r="Z227" s="1465"/>
      <c r="AA227" s="960"/>
      <c r="AB227" s="266" t="s">
        <v>1904</v>
      </c>
      <c r="AC227" s="746" t="s">
        <v>1905</v>
      </c>
      <c r="AD227" s="267" t="s">
        <v>784</v>
      </c>
      <c r="AE227" s="226">
        <f>_xlfn.SUMIFS(Покупка!AE$25:AE$117,Покупка!$F$25:$F$117,$F227,Покупка!$AC$25:$AC$117,$G227)</f>
        <v>0</v>
      </c>
      <c r="AF227" s="226">
        <f>_xlfn.SUMIFS(Покупка!AF$25:AF$117,Покупка!$F$25:$F$117,$F227,Покупка!$AC$25:$AC$117,$G227)</f>
        <v>0</v>
      </c>
      <c r="AG227" s="226">
        <f>_xlfn.SUMIFS(Покупка!AG$25:AG$117,Покупка!$F$25:$F$117,$F227,Покупка!$AC$25:$AC$117,$G227)</f>
        <v>0</v>
      </c>
      <c r="AH227" s="926">
        <f>AG227-AF227</f>
        <v>0</v>
      </c>
      <c r="AI227" s="926">
        <f>_xlfn.SUMIFS(Покупка!AH$25:AH$117,Покупка!$F$25:$F$117,$F227,Покупка!$AC$25:$AC$117,$G227)</f>
        <v>0</v>
      </c>
      <c r="AJ227" s="926">
        <f>_xlfn.SUMIFS(Покупка!AI$25:AI$117,Покупка!$F$25:$F$117,$F227,Покупка!$AC$25:$AC$117,$G227)</f>
        <v>0</v>
      </c>
      <c r="AK227" s="926">
        <f>_xlfn.SUMIFS(Покупка!AJ$25:AJ$117,Покупка!$F$25:$F$117,$F227,Покупка!$AC$25:$AC$117,$G227)</f>
        <v>0</v>
      </c>
      <c r="AL227" s="926">
        <f>_xlfn.SUMIFS(Покупка!AK$25:AK$117,Покупка!$F$25:$F$117,$F227,Покупка!$AC$25:$AC$117,$G227)</f>
        <v>0</v>
      </c>
      <c r="AM227" s="926">
        <f>_xlfn.SUMIFS(Покупка!AL$25:AL$117,Покупка!$F$25:$F$117,$F227,Покупка!$AC$25:$AC$117,$G227)</f>
        <v>0</v>
      </c>
      <c r="AN227" s="926">
        <f>_xlfn.SUMIFS(Покупка!AM$25:AM$117,Покупка!$F$25:$F$117,$F227,Покупка!$AC$25:$AC$117,$G227)</f>
        <v>0</v>
      </c>
      <c r="AO227" s="926">
        <f>_xlfn.SUMIFS(Покупка!AN$25:AN$117,Покупка!$F$25:$F$117,$F227,Покупка!$AC$25:$AC$117,$G227)</f>
        <v>0</v>
      </c>
      <c r="AP227" s="926">
        <f>_xlfn.SUMIFS(Покупка!AO$25:AO$117,Покупка!$F$25:$F$117,$F227,Покупка!$AC$25:$AC$117,$G227)</f>
        <v>0</v>
      </c>
      <c r="AQ227" s="926">
        <f>_xlfn.SUMIFS(Покупка!AP$25:AP$117,Покупка!$F$25:$F$117,$F227,Покупка!$AC$25:$AC$117,$G227)</f>
        <v>0</v>
      </c>
      <c r="AR227" s="926">
        <f>_xlfn.SUMIFS(Покупка!AQ$25:AQ$117,Покупка!$F$25:$F$117,$F227,Покупка!$AC$25:$AC$117,$G227)</f>
        <v>0</v>
      </c>
      <c r="AS227" s="926">
        <f>_xlfn.SUMIFS(Покупка!AR$25:AR$117,Покупка!$F$25:$F$117,$F227,Покупка!$AC$25:$AC$117,$G227)</f>
        <v>0</v>
      </c>
      <c r="AT227" s="926">
        <f>_xlfn.SUMIFS(Покупка!AS$25:AS$117,Покупка!$F$25:$F$117,$F227,Покупка!$AC$25:$AC$117,$G227)</f>
        <v>0</v>
      </c>
      <c r="AU227" s="926">
        <f>_xlfn.SUMIFS(Покупка!AT$25:AT$117,Покупка!$F$25:$F$117,$F227,Покупка!$AC$25:$AC$117,$G227)</f>
        <v>0</v>
      </c>
      <c r="AV227" s="926">
        <f>_xlfn.SUMIFS(Покупка!AU$25:AU$117,Покупка!$F$25:$F$117,$F227,Покупка!$AC$25:$AC$117,$G227)</f>
        <v>0</v>
      </c>
      <c r="AW227" s="926">
        <f>_xlfn.SUMIFS(Покупка!AV$25:AV$117,Покупка!$F$25:$F$117,$F227,Покупка!$AC$25:$AC$117,$G227)</f>
        <v>0</v>
      </c>
      <c r="AX227" s="926">
        <f>_xlfn.SUMIFS(Покупка!AW$25:AW$117,Покупка!$F$25:$F$117,$F227,Покупка!$AC$25:$AC$117,$G227)</f>
        <v>0</v>
      </c>
      <c r="AY227" s="926">
        <f>_xlfn.SUMIFS(Покупка!AX$25:AX$117,Покупка!$F$25:$F$117,$F227,Покупка!$AC$25:$AC$117,$G227)</f>
        <v>0</v>
      </c>
      <c r="AZ227" s="926">
        <f>_xlfn.SUMIFS(Покупка!AY$25:AY$117,Покупка!$F$25:$F$117,$F227,Покупка!$AC$25:$AC$117,$G227)</f>
        <v>0</v>
      </c>
      <c r="BA227" s="926">
        <f>_xlfn.SUMIFS(Покупка!AZ$25:AZ$117,Покупка!$F$25:$F$117,$F227,Покупка!$AC$25:$AC$117,$G227)</f>
        <v>0</v>
      </c>
      <c r="BB227" s="926">
        <f>_xlfn.SUMIFS(Покупка!BA$25:BA$117,Покупка!$F$25:$F$117,$F227,Покупка!$AC$25:$AC$117,$G227)</f>
        <v>0</v>
      </c>
      <c r="BC227" s="926">
        <f>_xlfn.SUMIFS(Покупка!BB$25:BB$117,Покупка!$F$25:$F$117,$F227,Покупка!$AC$25:$AC$117,$G227)</f>
        <v>0</v>
      </c>
      <c r="BD227" s="926">
        <f>IF(AI227=0,0,(AT227-AI227)/AI227*100)</f>
        <v>0</v>
      </c>
      <c r="BE227" s="926">
        <f>IF(AT227=0,0,(AU227-AT227)/AT227*100)</f>
        <v>0</v>
      </c>
      <c r="BF227" s="926">
        <f>IF(AU227=0,0,(AV227-AU227)/AU227*100)</f>
        <v>0</v>
      </c>
      <c r="BG227" s="926">
        <f>IF(AV227=0,0,(AW227-AV227)/AV227*100)</f>
        <v>0</v>
      </c>
      <c r="BH227" s="926">
        <f>IF(AW227=0,0,(AX227-AW227)/AW227*100)</f>
        <v>0</v>
      </c>
      <c r="BI227" s="926">
        <f>IF(AX227=0,0,(AY227-AX227)/AX227*100)</f>
        <v>0</v>
      </c>
      <c r="BJ227" s="926">
        <f>IF(AY227=0,0,(AZ227-AY227)/AY227*100)</f>
        <v>0</v>
      </c>
      <c r="BK227" s="926">
        <f>IF(AZ227=0,0,(BA227-AZ227)/AZ227*100)</f>
        <v>0</v>
      </c>
      <c r="BL227" s="926">
        <f>IF(BA227=0,0,(BB227-BA227)/BA227*100)</f>
        <v>0</v>
      </c>
      <c r="BM227" s="926">
        <f>IF(BB227=0,0,(BC227-BB227)/BB227*100)</f>
        <v>0</v>
      </c>
      <c r="BN227" s="4830"/>
      <c r="BO227" s="4784" t="str">
        <f>IF(_xlfn.IFERROR(INDEX(Покупка!$K$26:$L$117,MATCH($F227&amp;"1komm",Покупка!$K$26:$K$117,0),2),"")=0,"",_xlfn.IFERROR(INDEX(Покупка!$K$26:$L$117,MATCH($F227&amp;"1komm",Покупка!$K$26:$K$117,0),2),""))</f>
        <v/>
      </c>
      <c r="BP227" s="4830"/>
      <c r="BQ227" s="960"/>
      <c r="BR227" s="960"/>
      <c r="BS227" s="1048" t="s">
        <v>1906</v>
      </c>
      <c r="BT227" s="1048"/>
      <c r="BU227" s="1048"/>
      <c r="BV227" s="962"/>
      <c r="BW227" s="962"/>
    </row>
    <row s="1621" customFormat="1" customHeight="1" ht="14.25">
      <c r="A228" s="960"/>
      <c r="B228" s="62"/>
      <c r="C228" s="73"/>
      <c r="D228" s="73"/>
      <c r="E228" s="600">
        <v>15</v>
      </c>
      <c r="F228" s="50" cm="1" t="str">
        <f t="array" ref="F228:F228">OFFSET(E228,-1,1)</f>
        <v>1</v>
      </c>
      <c r="G228" s="73" t="s">
        <v>1032</v>
      </c>
      <c r="H228" s="73"/>
      <c r="I228" s="73" t="s">
        <v>1536</v>
      </c>
      <c r="J228" s="73"/>
      <c r="K228" s="73" t="s">
        <v>1536</v>
      </c>
      <c r="L228" s="963"/>
      <c r="M228" s="73"/>
      <c r="N228" s="73"/>
      <c r="O228" s="73"/>
      <c r="P228" s="73"/>
      <c r="Q228" s="73"/>
      <c r="R228" s="73"/>
      <c r="S228" s="73"/>
      <c r="T228" s="439" cm="1" t="str">
        <f t="array" ref="T228:T228">T227</f>
        <v>true</v>
      </c>
      <c r="U228" s="73"/>
      <c r="V228" s="73"/>
      <c r="W228" s="960"/>
      <c r="X228" s="1482"/>
      <c r="Y228" s="960"/>
      <c r="Z228" s="1465"/>
      <c r="AA228" s="960"/>
      <c r="AB228" s="266" t="s">
        <v>1907</v>
      </c>
      <c r="AC228" s="746" t="s">
        <v>1908</v>
      </c>
      <c r="AD228" s="267" t="s">
        <v>784</v>
      </c>
      <c r="AE228" s="226">
        <f>_xlfn.SUMIFS(Покупка!AE$25:AE$117,Покупка!$F$25:$F$117,$F228,Покупка!$AC$25:$AC$117,$G228)</f>
        <v>0</v>
      </c>
      <c r="AF228" s="226">
        <f>_xlfn.SUMIFS(Покупка!AF$25:AF$117,Покупка!$F$25:$F$117,$F228,Покупка!$AC$25:$AC$117,$G228)</f>
        <v>0</v>
      </c>
      <c r="AG228" s="226">
        <f>_xlfn.SUMIFS(Покупка!AG$25:AG$117,Покупка!$F$25:$F$117,$F228,Покупка!$AC$25:$AC$117,$G228)</f>
        <v>0</v>
      </c>
      <c r="AH228" s="926">
        <f>AG228-AF228</f>
        <v>0</v>
      </c>
      <c r="AI228" s="926">
        <f>_xlfn.SUMIFS(Покупка!AH$25:AH$117,Покупка!$F$25:$F$117,$F228,Покупка!$AC$25:$AC$117,$G228)</f>
        <v>0</v>
      </c>
      <c r="AJ228" s="926">
        <f>_xlfn.SUMIFS(Покупка!AI$25:AI$117,Покупка!$F$25:$F$117,$F228,Покупка!$AC$25:$AC$117,$G228)</f>
        <v>0</v>
      </c>
      <c r="AK228" s="926">
        <f>_xlfn.SUMIFS(Покупка!AJ$25:AJ$117,Покупка!$F$25:$F$117,$F228,Покупка!$AC$25:$AC$117,$G228)</f>
        <v>0</v>
      </c>
      <c r="AL228" s="926">
        <f>_xlfn.SUMIFS(Покупка!AK$25:AK$117,Покупка!$F$25:$F$117,$F228,Покупка!$AC$25:$AC$117,$G228)</f>
        <v>0</v>
      </c>
      <c r="AM228" s="926">
        <f>_xlfn.SUMIFS(Покупка!AL$25:AL$117,Покупка!$F$25:$F$117,$F228,Покупка!$AC$25:$AC$117,$G228)</f>
        <v>0</v>
      </c>
      <c r="AN228" s="926">
        <f>_xlfn.SUMIFS(Покупка!AM$25:AM$117,Покупка!$F$25:$F$117,$F228,Покупка!$AC$25:$AC$117,$G228)</f>
        <v>0</v>
      </c>
      <c r="AO228" s="926">
        <f>_xlfn.SUMIFS(Покупка!AN$25:AN$117,Покупка!$F$25:$F$117,$F228,Покупка!$AC$25:$AC$117,$G228)</f>
        <v>0</v>
      </c>
      <c r="AP228" s="926">
        <f>_xlfn.SUMIFS(Покупка!AO$25:AO$117,Покупка!$F$25:$F$117,$F228,Покупка!$AC$25:$AC$117,$G228)</f>
        <v>0</v>
      </c>
      <c r="AQ228" s="926">
        <f>_xlfn.SUMIFS(Покупка!AP$25:AP$117,Покупка!$F$25:$F$117,$F228,Покупка!$AC$25:$AC$117,$G228)</f>
        <v>0</v>
      </c>
      <c r="AR228" s="926">
        <f>_xlfn.SUMIFS(Покупка!AQ$25:AQ$117,Покупка!$F$25:$F$117,$F228,Покупка!$AC$25:$AC$117,$G228)</f>
        <v>0</v>
      </c>
      <c r="AS228" s="926">
        <f>_xlfn.SUMIFS(Покупка!AR$25:AR$117,Покупка!$F$25:$F$117,$F228,Покупка!$AC$25:$AC$117,$G228)</f>
        <v>0</v>
      </c>
      <c r="AT228" s="926">
        <f>_xlfn.SUMIFS(Покупка!AS$25:AS$117,Покупка!$F$25:$F$117,$F228,Покупка!$AC$25:$AC$117,$G228)</f>
        <v>0</v>
      </c>
      <c r="AU228" s="926">
        <f>_xlfn.SUMIFS(Покупка!AT$25:AT$117,Покупка!$F$25:$F$117,$F228,Покупка!$AC$25:$AC$117,$G228)</f>
        <v>0</v>
      </c>
      <c r="AV228" s="926">
        <f>_xlfn.SUMIFS(Покупка!AU$25:AU$117,Покупка!$F$25:$F$117,$F228,Покупка!$AC$25:$AC$117,$G228)</f>
        <v>0</v>
      </c>
      <c r="AW228" s="926">
        <f>_xlfn.SUMIFS(Покупка!AV$25:AV$117,Покупка!$F$25:$F$117,$F228,Покупка!$AC$25:$AC$117,$G228)</f>
        <v>0</v>
      </c>
      <c r="AX228" s="926">
        <f>_xlfn.SUMIFS(Покупка!AW$25:AW$117,Покупка!$F$25:$F$117,$F228,Покупка!$AC$25:$AC$117,$G228)</f>
        <v>0</v>
      </c>
      <c r="AY228" s="926">
        <f>_xlfn.SUMIFS(Покупка!AX$25:AX$117,Покупка!$F$25:$F$117,$F228,Покупка!$AC$25:$AC$117,$G228)</f>
        <v>0</v>
      </c>
      <c r="AZ228" s="926">
        <f>_xlfn.SUMIFS(Покупка!AY$25:AY$117,Покупка!$F$25:$F$117,$F228,Покупка!$AC$25:$AC$117,$G228)</f>
        <v>0</v>
      </c>
      <c r="BA228" s="926">
        <f>_xlfn.SUMIFS(Покупка!AZ$25:AZ$117,Покупка!$F$25:$F$117,$F228,Покупка!$AC$25:$AC$117,$G228)</f>
        <v>0</v>
      </c>
      <c r="BB228" s="926">
        <f>_xlfn.SUMIFS(Покупка!BA$25:BA$117,Покупка!$F$25:$F$117,$F228,Покупка!$AC$25:$AC$117,$G228)</f>
        <v>0</v>
      </c>
      <c r="BC228" s="926">
        <f>_xlfn.SUMIFS(Покупка!BB$25:BB$117,Покупка!$F$25:$F$117,$F228,Покупка!$AC$25:$AC$117,$G228)</f>
        <v>0</v>
      </c>
      <c r="BD228" s="926">
        <f>IF(AI228=0,0,(AT228-AI228)/AI228*100)</f>
        <v>0</v>
      </c>
      <c r="BE228" s="926">
        <f>IF(AT228=0,0,(AU228-AT228)/AT228*100)</f>
        <v>0</v>
      </c>
      <c r="BF228" s="926">
        <f>IF(AU228=0,0,(AV228-AU228)/AU228*100)</f>
        <v>0</v>
      </c>
      <c r="BG228" s="926">
        <f>IF(AV228=0,0,(AW228-AV228)/AV228*100)</f>
        <v>0</v>
      </c>
      <c r="BH228" s="926">
        <f>IF(AW228=0,0,(AX228-AW228)/AW228*100)</f>
        <v>0</v>
      </c>
      <c r="BI228" s="926">
        <f>IF(AX228=0,0,(AY228-AX228)/AX228*100)</f>
        <v>0</v>
      </c>
      <c r="BJ228" s="926">
        <f>IF(AY228=0,0,(AZ228-AY228)/AY228*100)</f>
        <v>0</v>
      </c>
      <c r="BK228" s="926">
        <f>IF(AZ228=0,0,(BA228-AZ228)/AZ228*100)</f>
        <v>0</v>
      </c>
      <c r="BL228" s="926">
        <f>IF(BA228=0,0,(BB228-BA228)/BA228*100)</f>
        <v>0</v>
      </c>
      <c r="BM228" s="926">
        <f>IF(BB228=0,0,(BC228-BB228)/BB228*100)</f>
        <v>0</v>
      </c>
      <c r="BN228" s="4830"/>
      <c r="BO228" s="4784" t="str">
        <f>IF(_xlfn.IFERROR(INDEX(Покупка!$K$26:$L$117,MATCH($F228&amp;"8komm",Покупка!$K$26:$K$117,0),2),"")=0,"",_xlfn.IFERROR(INDEX(Покупка!$K$26:$L$117,MATCH($F228&amp;"8komm",Покупка!$K$26:$K$117,0),2),""))</f>
        <v/>
      </c>
      <c r="BP228" s="4830"/>
      <c r="BQ228" s="960"/>
      <c r="BR228" s="960"/>
      <c r="BS228" s="1048" t="s">
        <v>1033</v>
      </c>
      <c r="BT228" s="1048"/>
      <c r="BU228" s="1048"/>
      <c r="BV228" s="962"/>
      <c r="BW228" s="962"/>
    </row>
    <row s="1621" customFormat="1" customHeight="1" ht="14.25">
      <c r="A229" s="960"/>
      <c r="B229" s="62"/>
      <c r="C229" s="73"/>
      <c r="D229" s="73"/>
      <c r="E229" s="600">
        <v>15</v>
      </c>
      <c r="F229" s="50" cm="1" t="str">
        <f t="array" ref="F229:F229">OFFSET(E229,-1,1)</f>
        <v>1</v>
      </c>
      <c r="G229" s="73"/>
      <c r="H229" s="73"/>
      <c r="I229" s="73" t="s">
        <v>1909</v>
      </c>
      <c r="J229" s="73"/>
      <c r="K229" s="73" t="s">
        <v>1909</v>
      </c>
      <c r="L229" s="963"/>
      <c r="M229" s="73"/>
      <c r="N229" s="73"/>
      <c r="O229" s="73"/>
      <c r="P229" s="73"/>
      <c r="Q229" s="73"/>
      <c r="R229" s="73"/>
      <c r="S229" s="73"/>
      <c r="T229" s="439" cm="1" t="str">
        <f t="array" ref="T229:T229">T228</f>
        <v>true</v>
      </c>
      <c r="U229" s="73"/>
      <c r="V229" s="73"/>
      <c r="W229" s="960"/>
      <c r="X229" s="1482"/>
      <c r="Y229" s="960"/>
      <c r="Z229" s="1465"/>
      <c r="AA229" s="960"/>
      <c r="AB229" s="266" t="s">
        <v>1910</v>
      </c>
      <c r="AC229" s="746" t="s">
        <v>1911</v>
      </c>
      <c r="AD229" s="267" t="s">
        <v>784</v>
      </c>
      <c r="AE229" s="4759"/>
      <c r="AF229" s="4759"/>
      <c r="AG229" s="4759"/>
      <c r="AH229" s="926">
        <f>AG229-AF229</f>
        <v>0</v>
      </c>
      <c r="AI229" s="4765"/>
      <c r="AJ229" s="4765"/>
      <c r="AK229" s="1280"/>
      <c r="AL229" s="1280"/>
      <c r="AM229" s="4765"/>
      <c r="AN229" s="4765"/>
      <c r="AO229" s="4765"/>
      <c r="AP229" s="4765"/>
      <c r="AQ229" s="4765"/>
      <c r="AR229" s="4765"/>
      <c r="AS229" s="4765"/>
      <c r="AT229" s="4765"/>
      <c r="AU229" s="1280"/>
      <c r="AV229" s="1280"/>
      <c r="AW229" s="4765"/>
      <c r="AX229" s="4765"/>
      <c r="AY229" s="4765"/>
      <c r="AZ229" s="4765"/>
      <c r="BA229" s="4765"/>
      <c r="BB229" s="4765"/>
      <c r="BC229" s="4765"/>
      <c r="BD229" s="926">
        <f>IF(AI229=0,0,(AT229-AI229)/AI229*100)</f>
        <v>0</v>
      </c>
      <c r="BE229" s="926">
        <f>IF(AT229=0,0,(AU229-AT229)/AT229*100)</f>
        <v>0</v>
      </c>
      <c r="BF229" s="926">
        <f>IF(AU229=0,0,(AV229-AU229)/AU229*100)</f>
        <v>0</v>
      </c>
      <c r="BG229" s="926">
        <f>IF(AV229=0,0,(AW229-AV229)/AV229*100)</f>
        <v>0</v>
      </c>
      <c r="BH229" s="926">
        <f>IF(AW229=0,0,(AX229-AW229)/AW229*100)</f>
        <v>0</v>
      </c>
      <c r="BI229" s="926">
        <f>IF(AX229=0,0,(AY229-AX229)/AX229*100)</f>
        <v>0</v>
      </c>
      <c r="BJ229" s="926">
        <f>IF(AY229=0,0,(AZ229-AY229)/AY229*100)</f>
        <v>0</v>
      </c>
      <c r="BK229" s="926">
        <f>IF(AZ229=0,0,(BA229-AZ229)/AZ229*100)</f>
        <v>0</v>
      </c>
      <c r="BL229" s="926">
        <f>IF(BA229=0,0,(BB229-BA229)/BA229*100)</f>
        <v>0</v>
      </c>
      <c r="BM229" s="926">
        <f>IF(BB229=0,0,(BC229-BB229)/BB229*100)</f>
        <v>0</v>
      </c>
      <c r="BN229" s="4830"/>
      <c r="BO229" s="4830"/>
      <c r="BP229" s="4830"/>
      <c r="BQ229" s="960"/>
      <c r="BR229" s="960"/>
      <c r="BS229" s="1048" t="s">
        <v>1912</v>
      </c>
      <c r="BT229" s="1048"/>
      <c r="BU229" s="1048"/>
      <c r="BV229" s="962"/>
      <c r="BW229" s="962"/>
    </row>
    <row s="1621" customFormat="1" customHeight="1" ht="14.25">
      <c r="A230" s="960"/>
      <c r="B230" s="62"/>
      <c r="C230" s="73"/>
      <c r="D230" s="73"/>
      <c r="E230" s="600">
        <v>15</v>
      </c>
      <c r="F230" s="50" cm="1" t="str">
        <f t="array" ref="F230:F230">OFFSET(E230,-1,1)</f>
        <v>1</v>
      </c>
      <c r="G230" s="73"/>
      <c r="H230" s="73"/>
      <c r="I230" s="73" t="s">
        <v>1913</v>
      </c>
      <c r="J230" s="73"/>
      <c r="K230" s="73" t="s">
        <v>1913</v>
      </c>
      <c r="L230" s="963"/>
      <c r="M230" s="73"/>
      <c r="N230" s="73"/>
      <c r="O230" s="73"/>
      <c r="P230" s="73"/>
      <c r="Q230" s="73"/>
      <c r="R230" s="73"/>
      <c r="S230" s="73"/>
      <c r="T230" s="439" cm="1" t="str">
        <f t="array" ref="T230:T230">T229</f>
        <v>true</v>
      </c>
      <c r="U230" s="73"/>
      <c r="V230" s="73"/>
      <c r="W230" s="960"/>
      <c r="X230" s="1482"/>
      <c r="Y230" s="960"/>
      <c r="Z230" s="1465"/>
      <c r="AA230" s="960"/>
      <c r="AB230" s="266" t="s">
        <v>1914</v>
      </c>
      <c r="AC230" s="746" t="s">
        <v>1915</v>
      </c>
      <c r="AD230" s="267" t="s">
        <v>784</v>
      </c>
      <c r="AE230" s="4759"/>
      <c r="AF230" s="4759"/>
      <c r="AG230" s="4759"/>
      <c r="AH230" s="926">
        <f>AG230-AF230</f>
        <v>0</v>
      </c>
      <c r="AI230" s="4765"/>
      <c r="AJ230" s="4765"/>
      <c r="AK230" s="1280"/>
      <c r="AL230" s="1280"/>
      <c r="AM230" s="4765"/>
      <c r="AN230" s="4765"/>
      <c r="AO230" s="4765"/>
      <c r="AP230" s="4765"/>
      <c r="AQ230" s="4765"/>
      <c r="AR230" s="4765"/>
      <c r="AS230" s="4765"/>
      <c r="AT230" s="4765"/>
      <c r="AU230" s="1280"/>
      <c r="AV230" s="1280"/>
      <c r="AW230" s="4765"/>
      <c r="AX230" s="4765"/>
      <c r="AY230" s="4765"/>
      <c r="AZ230" s="4765"/>
      <c r="BA230" s="4765"/>
      <c r="BB230" s="4765"/>
      <c r="BC230" s="4765"/>
      <c r="BD230" s="926">
        <f>IF(AI230=0,0,(AT230-AI230)/AI230*100)</f>
        <v>0</v>
      </c>
      <c r="BE230" s="926">
        <f>IF(AT230=0,0,(AU230-AT230)/AT230*100)</f>
        <v>0</v>
      </c>
      <c r="BF230" s="926">
        <f>IF(AU230=0,0,(AV230-AU230)/AU230*100)</f>
        <v>0</v>
      </c>
      <c r="BG230" s="926">
        <f>IF(AV230=0,0,(AW230-AV230)/AV230*100)</f>
        <v>0</v>
      </c>
      <c r="BH230" s="926">
        <f>IF(AW230=0,0,(AX230-AW230)/AW230*100)</f>
        <v>0</v>
      </c>
      <c r="BI230" s="926">
        <f>IF(AX230=0,0,(AY230-AX230)/AX230*100)</f>
        <v>0</v>
      </c>
      <c r="BJ230" s="926">
        <f>IF(AY230=0,0,(AZ230-AY230)/AY230*100)</f>
        <v>0</v>
      </c>
      <c r="BK230" s="926">
        <f>IF(AZ230=0,0,(BA230-AZ230)/AZ230*100)</f>
        <v>0</v>
      </c>
      <c r="BL230" s="926">
        <f>IF(BA230=0,0,(BB230-BA230)/BA230*100)</f>
        <v>0</v>
      </c>
      <c r="BM230" s="926">
        <f>IF(BB230=0,0,(BC230-BB230)/BB230*100)</f>
        <v>0</v>
      </c>
      <c r="BN230" s="4830"/>
      <c r="BO230" s="4830"/>
      <c r="BP230" s="4830"/>
      <c r="BQ230" s="960"/>
      <c r="BR230" s="960"/>
      <c r="BS230" s="1048" t="s">
        <v>1916</v>
      </c>
      <c r="BT230" s="1048"/>
      <c r="BU230" s="1048"/>
      <c r="BV230" s="962"/>
      <c r="BW230" s="962"/>
    </row>
    <row s="1621" customFormat="1" customHeight="1" ht="14.25">
      <c r="A231" s="960"/>
      <c r="B231" s="62"/>
      <c r="C231" s="73"/>
      <c r="D231" s="73"/>
      <c r="E231" s="600">
        <v>15</v>
      </c>
      <c r="F231" s="50" cm="1" t="str">
        <f t="array" ref="F231:F231">OFFSET(E231,-1,1)</f>
        <v>1</v>
      </c>
      <c r="G231" s="73" t="s">
        <v>1010</v>
      </c>
      <c r="H231" s="73"/>
      <c r="I231" s="73" t="s">
        <v>1917</v>
      </c>
      <c r="J231" s="73"/>
      <c r="K231" s="73" t="s">
        <v>1917</v>
      </c>
      <c r="L231" s="963" t="s">
        <v>1403</v>
      </c>
      <c r="M231" s="73"/>
      <c r="N231" s="73"/>
      <c r="O231" s="73"/>
      <c r="P231" s="73"/>
      <c r="Q231" s="73"/>
      <c r="R231" s="73"/>
      <c r="S231" s="73"/>
      <c r="T231" s="439" cm="1" t="str">
        <f t="array" ref="T231:T231">T230</f>
        <v>true</v>
      </c>
      <c r="U231" s="73"/>
      <c r="V231" s="73"/>
      <c r="W231" s="960"/>
      <c r="X231" s="1482"/>
      <c r="Y231" s="960"/>
      <c r="Z231" s="1465"/>
      <c r="AA231" s="960"/>
      <c r="AB231" s="266" t="s">
        <v>1918</v>
      </c>
      <c r="AC231" s="746" t="s">
        <v>1919</v>
      </c>
      <c r="AD231" s="267" t="s">
        <v>784</v>
      </c>
      <c r="AE231" s="226">
        <f>_xlfn.SUMIFS(Покупка!AE$25:AE$117,Покупка!$F$25:$F$117,$F231,Покупка!$AC$25:$AC$117,$G231)</f>
        <v>0</v>
      </c>
      <c r="AF231" s="226">
        <f>_xlfn.SUMIFS(Покупка!AF$25:AF$117,Покупка!$F$25:$F$117,$F231,Покупка!$AC$25:$AC$117,$G231)</f>
        <v>0</v>
      </c>
      <c r="AG231" s="226">
        <f>_xlfn.SUMIFS(Покупка!AG$25:AG$117,Покупка!$F$25:$F$117,$F231,Покупка!$AC$25:$AC$117,$G231)</f>
        <v>0</v>
      </c>
      <c r="AH231" s="926">
        <f>AG231-AF231</f>
        <v>0</v>
      </c>
      <c r="AI231" s="926">
        <f>_xlfn.SUMIFS(Покупка!AH$25:AH$117,Покупка!$F$25:$F$117,$F231,Покупка!$AC$25:$AC$117,$G231)</f>
        <v>0</v>
      </c>
      <c r="AJ231" s="926">
        <f>_xlfn.SUMIFS(Покупка!AI$25:AI$117,Покупка!$F$25:$F$117,$F231,Покупка!$AC$25:$AC$117,$G231)</f>
        <v>0</v>
      </c>
      <c r="AK231" s="926">
        <f>_xlfn.SUMIFS(Покупка!AJ$25:AJ$117,Покупка!$F$25:$F$117,$F231,Покупка!$AC$25:$AC$117,$G231)</f>
        <v>0</v>
      </c>
      <c r="AL231" s="926">
        <f>_xlfn.SUMIFS(Покупка!AK$25:AK$117,Покупка!$F$25:$F$117,$F231,Покупка!$AC$25:$AC$117,$G231)</f>
        <v>0</v>
      </c>
      <c r="AM231" s="926">
        <f>_xlfn.SUMIFS(Покупка!AL$25:AL$117,Покупка!$F$25:$F$117,$F231,Покупка!$AC$25:$AC$117,$G231)</f>
        <v>0</v>
      </c>
      <c r="AN231" s="926">
        <f>_xlfn.SUMIFS(Покупка!AM$25:AM$117,Покупка!$F$25:$F$117,$F231,Покупка!$AC$25:$AC$117,$G231)</f>
        <v>0</v>
      </c>
      <c r="AO231" s="926">
        <f>_xlfn.SUMIFS(Покупка!AN$25:AN$117,Покупка!$F$25:$F$117,$F231,Покупка!$AC$25:$AC$117,$G231)</f>
        <v>0</v>
      </c>
      <c r="AP231" s="926">
        <f>_xlfn.SUMIFS(Покупка!AO$25:AO$117,Покупка!$F$25:$F$117,$F231,Покупка!$AC$25:$AC$117,$G231)</f>
        <v>0</v>
      </c>
      <c r="AQ231" s="926">
        <f>_xlfn.SUMIFS(Покупка!AP$25:AP$117,Покупка!$F$25:$F$117,$F231,Покупка!$AC$25:$AC$117,$G231)</f>
        <v>0</v>
      </c>
      <c r="AR231" s="926">
        <f>_xlfn.SUMIFS(Покупка!AQ$25:AQ$117,Покупка!$F$25:$F$117,$F231,Покупка!$AC$25:$AC$117,$G231)</f>
        <v>0</v>
      </c>
      <c r="AS231" s="926">
        <f>_xlfn.SUMIFS(Покупка!AR$25:AR$117,Покупка!$F$25:$F$117,$F231,Покупка!$AC$25:$AC$117,$G231)</f>
        <v>0</v>
      </c>
      <c r="AT231" s="926">
        <f>_xlfn.SUMIFS(Покупка!AS$25:AS$117,Покупка!$F$25:$F$117,$F231,Покупка!$AC$25:$AC$117,$G231)</f>
        <v>0</v>
      </c>
      <c r="AU231" s="926">
        <f>_xlfn.SUMIFS(Покупка!AT$25:AT$117,Покупка!$F$25:$F$117,$F231,Покупка!$AC$25:$AC$117,$G231)</f>
        <v>0</v>
      </c>
      <c r="AV231" s="926">
        <f>_xlfn.SUMIFS(Покупка!AU$25:AU$117,Покупка!$F$25:$F$117,$F231,Покупка!$AC$25:$AC$117,$G231)</f>
        <v>0</v>
      </c>
      <c r="AW231" s="926">
        <f>_xlfn.SUMIFS(Покупка!AV$25:AV$117,Покупка!$F$25:$F$117,$F231,Покупка!$AC$25:$AC$117,$G231)</f>
        <v>0</v>
      </c>
      <c r="AX231" s="926">
        <f>_xlfn.SUMIFS(Покупка!AW$25:AW$117,Покупка!$F$25:$F$117,$F231,Покупка!$AC$25:$AC$117,$G231)</f>
        <v>0</v>
      </c>
      <c r="AY231" s="926">
        <f>_xlfn.SUMIFS(Покупка!AX$25:AX$117,Покупка!$F$25:$F$117,$F231,Покупка!$AC$25:$AC$117,$G231)</f>
        <v>0</v>
      </c>
      <c r="AZ231" s="926">
        <f>_xlfn.SUMIFS(Покупка!AY$25:AY$117,Покупка!$F$25:$F$117,$F231,Покупка!$AC$25:$AC$117,$G231)</f>
        <v>0</v>
      </c>
      <c r="BA231" s="926">
        <f>_xlfn.SUMIFS(Покупка!AZ$25:AZ$117,Покупка!$F$25:$F$117,$F231,Покупка!$AC$25:$AC$117,$G231)</f>
        <v>0</v>
      </c>
      <c r="BB231" s="926">
        <f>_xlfn.SUMIFS(Покупка!BA$25:BA$117,Покупка!$F$25:$F$117,$F231,Покупка!$AC$25:$AC$117,$G231)</f>
        <v>0</v>
      </c>
      <c r="BC231" s="926">
        <f>_xlfn.SUMIFS(Покупка!BB$25:BB$117,Покупка!$F$25:$F$117,$F231,Покупка!$AC$25:$AC$117,$G231)</f>
        <v>0</v>
      </c>
      <c r="BD231" s="926">
        <f>IF(AI231=0,0,(AT231-AI231)/AI231*100)</f>
        <v>0</v>
      </c>
      <c r="BE231" s="926">
        <f>IF(AT231=0,0,(AU231-AT231)/AT231*100)</f>
        <v>0</v>
      </c>
      <c r="BF231" s="926">
        <f>IF(AU231=0,0,(AV231-AU231)/AU231*100)</f>
        <v>0</v>
      </c>
      <c r="BG231" s="926">
        <f>IF(AV231=0,0,(AW231-AV231)/AV231*100)</f>
        <v>0</v>
      </c>
      <c r="BH231" s="926">
        <f>IF(AW231=0,0,(AX231-AW231)/AW231*100)</f>
        <v>0</v>
      </c>
      <c r="BI231" s="926">
        <f>IF(AX231=0,0,(AY231-AX231)/AX231*100)</f>
        <v>0</v>
      </c>
      <c r="BJ231" s="926">
        <f>IF(AY231=0,0,(AZ231-AY231)/AY231*100)</f>
        <v>0</v>
      </c>
      <c r="BK231" s="926">
        <f>IF(AZ231=0,0,(BA231-AZ231)/AZ231*100)</f>
        <v>0</v>
      </c>
      <c r="BL231" s="926">
        <f>IF(BA231=0,0,(BB231-BA231)/BA231*100)</f>
        <v>0</v>
      </c>
      <c r="BM231" s="926">
        <f>IF(BB231=0,0,(BC231-BB231)/BB231*100)</f>
        <v>0</v>
      </c>
      <c r="BN231" s="4830"/>
      <c r="BO231" s="4784" t="str">
        <f>IF(_xlfn.IFERROR(INDEX(Покупка!$K$26:$L$117,MATCH($F231&amp;"3komm",Покупка!$K$26:$K$117,0),2),"")=0,"",_xlfn.IFERROR(INDEX(Покупка!$K$26:$L$117,MATCH($F231&amp;"3komm",Покупка!$K$26:$K$117,0),2),""))</f>
        <v/>
      </c>
      <c r="BP231" s="4830"/>
      <c r="BQ231" s="960"/>
      <c r="BR231" s="960"/>
      <c r="BS231" s="1048" t="s">
        <v>1611</v>
      </c>
      <c r="BT231" s="1048"/>
      <c r="BU231" s="1048"/>
      <c r="BV231" s="962"/>
      <c r="BW231" s="962"/>
    </row>
    <row s="1621" customFormat="1" customHeight="1" ht="14.25">
      <c r="A232" s="960"/>
      <c r="B232" s="62"/>
      <c r="C232" s="73"/>
      <c r="D232" s="73"/>
      <c r="E232" s="600">
        <v>15</v>
      </c>
      <c r="F232" s="50" cm="1" t="str">
        <f t="array" ref="F232:F232">OFFSET(E232,-1,1)</f>
        <v>1</v>
      </c>
      <c r="G232" s="73" t="s">
        <v>1016</v>
      </c>
      <c r="H232" s="73"/>
      <c r="I232" s="73" t="s">
        <v>1920</v>
      </c>
      <c r="J232" s="73"/>
      <c r="K232" s="73" t="s">
        <v>1920</v>
      </c>
      <c r="L232" s="963" t="s">
        <v>1408</v>
      </c>
      <c r="M232" s="73"/>
      <c r="N232" s="73"/>
      <c r="O232" s="73"/>
      <c r="P232" s="73"/>
      <c r="Q232" s="73"/>
      <c r="R232" s="73"/>
      <c r="S232" s="73"/>
      <c r="T232" s="439" cm="1" t="str">
        <f t="array" ref="T232:T232">T231</f>
        <v>true</v>
      </c>
      <c r="U232" s="73"/>
      <c r="V232" s="73"/>
      <c r="W232" s="960"/>
      <c r="X232" s="1482"/>
      <c r="Y232" s="960"/>
      <c r="Z232" s="1465"/>
      <c r="AA232" s="960"/>
      <c r="AB232" s="266" t="s">
        <v>1921</v>
      </c>
      <c r="AC232" s="746" t="s">
        <v>1922</v>
      </c>
      <c r="AD232" s="267" t="s">
        <v>784</v>
      </c>
      <c r="AE232" s="226">
        <f>_xlfn.SUMIFS(Покупка!AE$25:AE$117,Покупка!$F$25:$F$117,$F232,Покупка!$AC$25:$AC$117,$G232)</f>
        <v>0</v>
      </c>
      <c r="AF232" s="226">
        <f>_xlfn.SUMIFS(Покупка!AF$25:AF$117,Покупка!$F$25:$F$117,$F232,Покупка!$AC$25:$AC$117,$G232)</f>
        <v>0</v>
      </c>
      <c r="AG232" s="226">
        <f>_xlfn.SUMIFS(Покупка!AG$25:AG$117,Покупка!$F$25:$F$117,$F232,Покупка!$AC$25:$AC$117,$G232)</f>
        <v>0</v>
      </c>
      <c r="AH232" s="926">
        <f>AG232-AF232</f>
        <v>0</v>
      </c>
      <c r="AI232" s="926">
        <f>_xlfn.SUMIFS(Покупка!AH$25:AH$117,Покупка!$F$25:$F$117,$F232,Покупка!$AC$25:$AC$117,$G232)</f>
        <v>0</v>
      </c>
      <c r="AJ232" s="926">
        <f>_xlfn.SUMIFS(Покупка!AI$25:AI$117,Покупка!$F$25:$F$117,$F232,Покупка!$AC$25:$AC$117,$G232)</f>
        <v>0</v>
      </c>
      <c r="AK232" s="926">
        <f>_xlfn.SUMIFS(Покупка!AJ$25:AJ$117,Покупка!$F$25:$F$117,$F232,Покупка!$AC$25:$AC$117,$G232)</f>
        <v>0</v>
      </c>
      <c r="AL232" s="926">
        <f>_xlfn.SUMIFS(Покупка!AK$25:AK$117,Покупка!$F$25:$F$117,$F232,Покупка!$AC$25:$AC$117,$G232)</f>
        <v>0</v>
      </c>
      <c r="AM232" s="926">
        <f>_xlfn.SUMIFS(Покупка!AL$25:AL$117,Покупка!$F$25:$F$117,$F232,Покупка!$AC$25:$AC$117,$G232)</f>
        <v>0</v>
      </c>
      <c r="AN232" s="926">
        <f>_xlfn.SUMIFS(Покупка!AM$25:AM$117,Покупка!$F$25:$F$117,$F232,Покупка!$AC$25:$AC$117,$G232)</f>
        <v>0</v>
      </c>
      <c r="AO232" s="926">
        <f>_xlfn.SUMIFS(Покупка!AN$25:AN$117,Покупка!$F$25:$F$117,$F232,Покупка!$AC$25:$AC$117,$G232)</f>
        <v>0</v>
      </c>
      <c r="AP232" s="926">
        <f>_xlfn.SUMIFS(Покупка!AO$25:AO$117,Покупка!$F$25:$F$117,$F232,Покупка!$AC$25:$AC$117,$G232)</f>
        <v>0</v>
      </c>
      <c r="AQ232" s="926">
        <f>_xlfn.SUMIFS(Покупка!AP$25:AP$117,Покупка!$F$25:$F$117,$F232,Покупка!$AC$25:$AC$117,$G232)</f>
        <v>0</v>
      </c>
      <c r="AR232" s="926">
        <f>_xlfn.SUMIFS(Покупка!AQ$25:AQ$117,Покупка!$F$25:$F$117,$F232,Покупка!$AC$25:$AC$117,$G232)</f>
        <v>0</v>
      </c>
      <c r="AS232" s="926">
        <f>_xlfn.SUMIFS(Покупка!AR$25:AR$117,Покупка!$F$25:$F$117,$F232,Покупка!$AC$25:$AC$117,$G232)</f>
        <v>0</v>
      </c>
      <c r="AT232" s="926">
        <f>_xlfn.SUMIFS(Покупка!AS$25:AS$117,Покупка!$F$25:$F$117,$F232,Покупка!$AC$25:$AC$117,$G232)</f>
        <v>0</v>
      </c>
      <c r="AU232" s="926">
        <f>_xlfn.SUMIFS(Покупка!AT$25:AT$117,Покупка!$F$25:$F$117,$F232,Покупка!$AC$25:$AC$117,$G232)</f>
        <v>0</v>
      </c>
      <c r="AV232" s="926">
        <f>_xlfn.SUMIFS(Покупка!AU$25:AU$117,Покупка!$F$25:$F$117,$F232,Покупка!$AC$25:$AC$117,$G232)</f>
        <v>0</v>
      </c>
      <c r="AW232" s="926">
        <f>_xlfn.SUMIFS(Покупка!AV$25:AV$117,Покупка!$F$25:$F$117,$F232,Покупка!$AC$25:$AC$117,$G232)</f>
        <v>0</v>
      </c>
      <c r="AX232" s="926">
        <f>_xlfn.SUMIFS(Покупка!AW$25:AW$117,Покупка!$F$25:$F$117,$F232,Покупка!$AC$25:$AC$117,$G232)</f>
        <v>0</v>
      </c>
      <c r="AY232" s="926">
        <f>_xlfn.SUMIFS(Покупка!AX$25:AX$117,Покупка!$F$25:$F$117,$F232,Покупка!$AC$25:$AC$117,$G232)</f>
        <v>0</v>
      </c>
      <c r="AZ232" s="926">
        <f>_xlfn.SUMIFS(Покупка!AY$25:AY$117,Покупка!$F$25:$F$117,$F232,Покупка!$AC$25:$AC$117,$G232)</f>
        <v>0</v>
      </c>
      <c r="BA232" s="926">
        <f>_xlfn.SUMIFS(Покупка!AZ$25:AZ$117,Покупка!$F$25:$F$117,$F232,Покупка!$AC$25:$AC$117,$G232)</f>
        <v>0</v>
      </c>
      <c r="BB232" s="926">
        <f>_xlfn.SUMIFS(Покупка!BA$25:BA$117,Покупка!$F$25:$F$117,$F232,Покупка!$AC$25:$AC$117,$G232)</f>
        <v>0</v>
      </c>
      <c r="BC232" s="926">
        <f>_xlfn.SUMIFS(Покупка!BB$25:BB$117,Покупка!$F$25:$F$117,$F232,Покупка!$AC$25:$AC$117,$G232)</f>
        <v>0</v>
      </c>
      <c r="BD232" s="926">
        <f>IF(AI232=0,0,(AT232-AI232)/AI232*100)</f>
        <v>0</v>
      </c>
      <c r="BE232" s="926">
        <f>IF(AT232=0,0,(AU232-AT232)/AT232*100)</f>
        <v>0</v>
      </c>
      <c r="BF232" s="926">
        <f>IF(AU232=0,0,(AV232-AU232)/AU232*100)</f>
        <v>0</v>
      </c>
      <c r="BG232" s="926">
        <f>IF(AV232=0,0,(AW232-AV232)/AV232*100)</f>
        <v>0</v>
      </c>
      <c r="BH232" s="926">
        <f>IF(AW232=0,0,(AX232-AW232)/AW232*100)</f>
        <v>0</v>
      </c>
      <c r="BI232" s="926">
        <f>IF(AX232=0,0,(AY232-AX232)/AX232*100)</f>
        <v>0</v>
      </c>
      <c r="BJ232" s="926">
        <f>IF(AY232=0,0,(AZ232-AY232)/AY232*100)</f>
        <v>0</v>
      </c>
      <c r="BK232" s="926">
        <f>IF(AZ232=0,0,(BA232-AZ232)/AZ232*100)</f>
        <v>0</v>
      </c>
      <c r="BL232" s="926">
        <f>IF(BA232=0,0,(BB232-BA232)/BA232*100)</f>
        <v>0</v>
      </c>
      <c r="BM232" s="926">
        <f>IF(BB232=0,0,(BC232-BB232)/BB232*100)</f>
        <v>0</v>
      </c>
      <c r="BN232" s="4830"/>
      <c r="BO232" s="4784" t="str">
        <f>IF(_xlfn.IFERROR(INDEX(Покупка!$K$26:$L$117,MATCH($F232&amp;"4komm",Покупка!$K$26:$K$117,0),2),"")=0,"",_xlfn.IFERROR(INDEX(Покупка!$K$26:$L$117,MATCH($F231&amp;"3komm",Покупка!$K$26:$K$117,0),2),""))</f>
        <v/>
      </c>
      <c r="BP232" s="4830"/>
      <c r="BQ232" s="960"/>
      <c r="BR232" s="960"/>
      <c r="BS232" s="1048" t="s">
        <v>1614</v>
      </c>
      <c r="BT232" s="1048"/>
      <c r="BU232" s="1048"/>
      <c r="BV232" s="962"/>
      <c r="BW232" s="962"/>
    </row>
    <row s="1621" customFormat="1" customHeight="1" ht="14.25">
      <c r="A233" s="960"/>
      <c r="B233" s="62"/>
      <c r="C233" s="73"/>
      <c r="D233" s="73"/>
      <c r="E233" s="600">
        <v>15</v>
      </c>
      <c r="F233" s="50" cm="1" t="str">
        <f t="array" ref="F233:F233">OFFSET(E233,-1,1)</f>
        <v>1</v>
      </c>
      <c r="G233" s="73" t="s">
        <v>1022</v>
      </c>
      <c r="H233" s="73"/>
      <c r="I233" s="73" t="s">
        <v>1923</v>
      </c>
      <c r="J233" s="73"/>
      <c r="K233" s="73" t="s">
        <v>1923</v>
      </c>
      <c r="L233" s="963" t="s">
        <v>1418</v>
      </c>
      <c r="M233" s="73"/>
      <c r="N233" s="73"/>
      <c r="O233" s="73"/>
      <c r="P233" s="73"/>
      <c r="Q233" s="73"/>
      <c r="R233" s="73"/>
      <c r="S233" s="73"/>
      <c r="T233" s="439" cm="1" t="str">
        <f t="array" ref="T233:T233">T232</f>
        <v>true</v>
      </c>
      <c r="U233" s="73"/>
      <c r="V233" s="73"/>
      <c r="W233" s="960"/>
      <c r="X233" s="1482"/>
      <c r="Y233" s="960"/>
      <c r="Z233" s="1465"/>
      <c r="AA233" s="960"/>
      <c r="AB233" s="266" t="s">
        <v>1924</v>
      </c>
      <c r="AC233" s="746" t="s">
        <v>1925</v>
      </c>
      <c r="AD233" s="267" t="s">
        <v>784</v>
      </c>
      <c r="AE233" s="226">
        <f>_xlfn.SUMIFS(Покупка!AE$25:AE$117,Покупка!$F$25:$F$117,$F233,Покупка!$AC$25:$AC$117,$G233)</f>
        <v>0</v>
      </c>
      <c r="AF233" s="226">
        <f>_xlfn.SUMIFS(Покупка!AF$25:AF$117,Покупка!$F$25:$F$117,$F233,Покупка!$AC$25:$AC$117,$G233)</f>
        <v>0</v>
      </c>
      <c r="AG233" s="226">
        <f>_xlfn.SUMIFS(Покупка!AG$25:AG$117,Покупка!$F$25:$F$117,$F233,Покупка!$AC$25:$AC$117,$G233)</f>
        <v>0</v>
      </c>
      <c r="AH233" s="926">
        <f>AG233-AF233</f>
        <v>0</v>
      </c>
      <c r="AI233" s="926">
        <f>_xlfn.SUMIFS(Покупка!AH$25:AH$117,Покупка!$F$25:$F$117,$F233,Покупка!$AC$25:$AC$117,$G233)</f>
        <v>0</v>
      </c>
      <c r="AJ233" s="926">
        <f>_xlfn.SUMIFS(Покупка!AI$25:AI$117,Покупка!$F$25:$F$117,$F233,Покупка!$AC$25:$AC$117,$G233)</f>
        <v>0</v>
      </c>
      <c r="AK233" s="926">
        <f>_xlfn.SUMIFS(Покупка!AJ$25:AJ$117,Покупка!$F$25:$F$117,$F233,Покупка!$AC$25:$AC$117,$G233)</f>
        <v>0</v>
      </c>
      <c r="AL233" s="926">
        <f>_xlfn.SUMIFS(Покупка!AK$25:AK$117,Покупка!$F$25:$F$117,$F233,Покупка!$AC$25:$AC$117,$G233)</f>
        <v>0</v>
      </c>
      <c r="AM233" s="926">
        <f>_xlfn.SUMIFS(Покупка!AL$25:AL$117,Покупка!$F$25:$F$117,$F233,Покупка!$AC$25:$AC$117,$G233)</f>
        <v>0</v>
      </c>
      <c r="AN233" s="926">
        <f>_xlfn.SUMIFS(Покупка!AM$25:AM$117,Покупка!$F$25:$F$117,$F233,Покупка!$AC$25:$AC$117,$G233)</f>
        <v>0</v>
      </c>
      <c r="AO233" s="926">
        <f>_xlfn.SUMIFS(Покупка!AN$25:AN$117,Покупка!$F$25:$F$117,$F233,Покупка!$AC$25:$AC$117,$G233)</f>
        <v>0</v>
      </c>
      <c r="AP233" s="926">
        <f>_xlfn.SUMIFS(Покупка!AO$25:AO$117,Покупка!$F$25:$F$117,$F233,Покупка!$AC$25:$AC$117,$G233)</f>
        <v>0</v>
      </c>
      <c r="AQ233" s="926">
        <f>_xlfn.SUMIFS(Покупка!AP$25:AP$117,Покупка!$F$25:$F$117,$F233,Покупка!$AC$25:$AC$117,$G233)</f>
        <v>0</v>
      </c>
      <c r="AR233" s="926">
        <f>_xlfn.SUMIFS(Покупка!AQ$25:AQ$117,Покупка!$F$25:$F$117,$F233,Покупка!$AC$25:$AC$117,$G233)</f>
        <v>0</v>
      </c>
      <c r="AS233" s="926">
        <f>_xlfn.SUMIFS(Покупка!AR$25:AR$117,Покупка!$F$25:$F$117,$F233,Покупка!$AC$25:$AC$117,$G233)</f>
        <v>0</v>
      </c>
      <c r="AT233" s="926">
        <f>_xlfn.SUMIFS(Покупка!AS$25:AS$117,Покупка!$F$25:$F$117,$F233,Покупка!$AC$25:$AC$117,$G233)</f>
        <v>0</v>
      </c>
      <c r="AU233" s="926">
        <f>_xlfn.SUMIFS(Покупка!AT$25:AT$117,Покупка!$F$25:$F$117,$F233,Покупка!$AC$25:$AC$117,$G233)</f>
        <v>0</v>
      </c>
      <c r="AV233" s="926">
        <f>_xlfn.SUMIFS(Покупка!AU$25:AU$117,Покупка!$F$25:$F$117,$F233,Покупка!$AC$25:$AC$117,$G233)</f>
        <v>0</v>
      </c>
      <c r="AW233" s="926">
        <f>_xlfn.SUMIFS(Покупка!AV$25:AV$117,Покупка!$F$25:$F$117,$F233,Покупка!$AC$25:$AC$117,$G233)</f>
        <v>0</v>
      </c>
      <c r="AX233" s="926">
        <f>_xlfn.SUMIFS(Покупка!AW$25:AW$117,Покупка!$F$25:$F$117,$F233,Покупка!$AC$25:$AC$117,$G233)</f>
        <v>0</v>
      </c>
      <c r="AY233" s="926">
        <f>_xlfn.SUMIFS(Покупка!AX$25:AX$117,Покупка!$F$25:$F$117,$F233,Покупка!$AC$25:$AC$117,$G233)</f>
        <v>0</v>
      </c>
      <c r="AZ233" s="926">
        <f>_xlfn.SUMIFS(Покупка!AY$25:AY$117,Покупка!$F$25:$F$117,$F233,Покупка!$AC$25:$AC$117,$G233)</f>
        <v>0</v>
      </c>
      <c r="BA233" s="926">
        <f>_xlfn.SUMIFS(Покупка!AZ$25:AZ$117,Покупка!$F$25:$F$117,$F233,Покупка!$AC$25:$AC$117,$G233)</f>
        <v>0</v>
      </c>
      <c r="BB233" s="926">
        <f>_xlfn.SUMIFS(Покупка!BA$25:BA$117,Покупка!$F$25:$F$117,$F233,Покупка!$AC$25:$AC$117,$G233)</f>
        <v>0</v>
      </c>
      <c r="BC233" s="926">
        <f>_xlfn.SUMIFS(Покупка!BB$25:BB$117,Покупка!$F$25:$F$117,$F233,Покупка!$AC$25:$AC$117,$G233)</f>
        <v>0</v>
      </c>
      <c r="BD233" s="926">
        <f>IF(AI233=0,0,(AT233-AI233)/AI233*100)</f>
        <v>0</v>
      </c>
      <c r="BE233" s="926">
        <f>IF(AT233=0,0,(AU233-AT233)/AT233*100)</f>
        <v>0</v>
      </c>
      <c r="BF233" s="926">
        <f>IF(AU233=0,0,(AV233-AU233)/AU233*100)</f>
        <v>0</v>
      </c>
      <c r="BG233" s="926">
        <f>IF(AV233=0,0,(AW233-AV233)/AV233*100)</f>
        <v>0</v>
      </c>
      <c r="BH233" s="926">
        <f>IF(AW233=0,0,(AX233-AW233)/AW233*100)</f>
        <v>0</v>
      </c>
      <c r="BI233" s="926">
        <f>IF(AX233=0,0,(AY233-AX233)/AX233*100)</f>
        <v>0</v>
      </c>
      <c r="BJ233" s="926">
        <f>IF(AY233=0,0,(AZ233-AY233)/AY233*100)</f>
        <v>0</v>
      </c>
      <c r="BK233" s="926">
        <f>IF(AZ233=0,0,(BA233-AZ233)/AZ233*100)</f>
        <v>0</v>
      </c>
      <c r="BL233" s="926">
        <f>IF(BA233=0,0,(BB233-BA233)/BA233*100)</f>
        <v>0</v>
      </c>
      <c r="BM233" s="926">
        <f>IF(BB233=0,0,(BC233-BB233)/BB233*100)</f>
        <v>0</v>
      </c>
      <c r="BN233" s="4830"/>
      <c r="BO233" s="4784" t="str">
        <f>IF(_xlfn.IFERROR(INDEX(Покупка!$K$26:$L$117,MATCH($F233&amp;"5komm",Покупка!$K$26:$K$117,0),2),"")=0,"",_xlfn.IFERROR(INDEX(Покупка!$K$26:$L$117,MATCH($F233&amp;"5komm",Покупка!$K$26:$K$117,0),2),""))</f>
        <v/>
      </c>
      <c r="BP233" s="4830"/>
      <c r="BQ233" s="960"/>
      <c r="BR233" s="960"/>
      <c r="BS233" s="1048" t="s">
        <v>1617</v>
      </c>
      <c r="BT233" s="1048"/>
      <c r="BU233" s="1048"/>
      <c r="BV233" s="962"/>
      <c r="BW233" s="962"/>
    </row>
    <row s="1260" customFormat="1" customHeight="1" ht="14.25">
      <c r="A234" s="1260"/>
      <c r="B234" s="62"/>
      <c r="C234" s="73"/>
      <c r="D234" s="73"/>
      <c r="E234" s="600">
        <v>15</v>
      </c>
      <c r="F234" s="50" cm="1" t="str">
        <f t="array" ref="F234:F234">OFFSET(E234,-1,1)</f>
        <v>1</v>
      </c>
      <c r="G234" s="73" t="s">
        <v>1034</v>
      </c>
      <c r="H234" s="73"/>
      <c r="I234" s="73"/>
      <c r="J234" s="73"/>
      <c r="K234" s="73"/>
      <c r="L234" s="963" t="s">
        <v>1385</v>
      </c>
      <c r="M234" s="73"/>
      <c r="N234" s="73"/>
      <c r="O234" s="73"/>
      <c r="P234" s="73"/>
      <c r="Q234" s="73"/>
      <c r="R234" s="73"/>
      <c r="S234" s="73"/>
      <c r="T234" s="439" cm="1" t="str">
        <f t="array" ref="T234:T234">T233</f>
        <v>true</v>
      </c>
      <c r="U234" s="73"/>
      <c r="V234" s="73"/>
      <c r="W234" s="1260"/>
      <c r="X234" s="1482"/>
      <c r="Y234" s="1260"/>
      <c r="Z234" s="1465"/>
      <c r="AA234" s="1260"/>
      <c r="AB234" s="266" t="s">
        <v>1926</v>
      </c>
      <c r="AC234" s="746" t="s">
        <v>1927</v>
      </c>
      <c r="AD234" s="267" t="s">
        <v>784</v>
      </c>
      <c r="AE234" s="226">
        <f>_xlfn.SUMIFS(Покупка!AE$25:AE$117,Покупка!$F$25:$F$117,$F234,Покупка!$AC$25:$AC$117,$G234)</f>
        <v>0</v>
      </c>
      <c r="AF234" s="226">
        <f>_xlfn.SUMIFS(Покупка!AF$25:AF$117,Покупка!$F$25:$F$117,$F234,Покупка!$AC$25:$AC$117,$G234)</f>
        <v>0</v>
      </c>
      <c r="AG234" s="226">
        <f>_xlfn.SUMIFS(Покупка!AG$25:AG$117,Покупка!$F$25:$F$117,$F234,Покупка!$AC$25:$AC$117,$G234)</f>
        <v>0</v>
      </c>
      <c r="AH234" s="926">
        <f>AG234-AF234</f>
        <v>0</v>
      </c>
      <c r="AI234" s="926">
        <f>_xlfn.SUMIFS(Покупка!AH$25:AH$117,Покупка!$F$25:$F$117,$F234,Покупка!$AC$25:$AC$117,$G234)</f>
        <v>0</v>
      </c>
      <c r="AJ234" s="1101">
        <f>_xlfn.SUMIFS(Покупка!AI$25:AI$117,Покупка!$F$25:$F$117,$F234,Покупка!$AC$25:$AC$117,$G234)</f>
        <v>0</v>
      </c>
      <c r="AK234" s="1101">
        <f>_xlfn.SUMIFS(Покупка!AJ$25:AJ$117,Покупка!$F$25:$F$117,$F234,Покупка!$AC$25:$AC$117,$G234)</f>
        <v>0</v>
      </c>
      <c r="AL234" s="1101">
        <f>_xlfn.SUMIFS(Покупка!AK$25:AK$117,Покупка!$F$25:$F$117,$F234,Покупка!$AC$25:$AC$117,$G234)</f>
        <v>0</v>
      </c>
      <c r="AM234" s="1101">
        <f>_xlfn.SUMIFS(Покупка!AL$25:AL$117,Покупка!$F$25:$F$117,$F234,Покупка!$AC$25:$AC$117,$G234)</f>
        <v>0</v>
      </c>
      <c r="AN234" s="1101">
        <f>_xlfn.SUMIFS(Покупка!AM$25:AM$117,Покупка!$F$25:$F$117,$F234,Покупка!$AC$25:$AC$117,$G234)</f>
        <v>0</v>
      </c>
      <c r="AO234" s="1101">
        <f>_xlfn.SUMIFS(Покупка!AN$25:AN$117,Покупка!$F$25:$F$117,$F234,Покупка!$AC$25:$AC$117,$G234)</f>
        <v>0</v>
      </c>
      <c r="AP234" s="1101">
        <f>_xlfn.SUMIFS(Покупка!AO$25:AO$117,Покупка!$F$25:$F$117,$F234,Покупка!$AC$25:$AC$117,$G234)</f>
        <v>0</v>
      </c>
      <c r="AQ234" s="1101">
        <f>_xlfn.SUMIFS(Покупка!AP$25:AP$117,Покупка!$F$25:$F$117,$F234,Покупка!$AC$25:$AC$117,$G234)</f>
        <v>0</v>
      </c>
      <c r="AR234" s="1101">
        <f>_xlfn.SUMIFS(Покупка!AQ$25:AQ$117,Покупка!$F$25:$F$117,$F234,Покупка!$AC$25:$AC$117,$G234)</f>
        <v>0</v>
      </c>
      <c r="AS234" s="1101">
        <f>_xlfn.SUMIFS(Покупка!AR$25:AR$117,Покупка!$F$25:$F$117,$F234,Покупка!$AC$25:$AC$117,$G234)</f>
        <v>0</v>
      </c>
      <c r="AT234" s="1101">
        <f>_xlfn.SUMIFS(Покупка!AS$25:AS$117,Покупка!$F$25:$F$117,$F234,Покупка!$AC$25:$AC$117,$G234)</f>
        <v>0</v>
      </c>
      <c r="AU234" s="1101">
        <f>_xlfn.SUMIFS(Покупка!AT$25:AT$117,Покупка!$F$25:$F$117,$F234,Покупка!$AC$25:$AC$117,$G234)</f>
        <v>0</v>
      </c>
      <c r="AV234" s="1101">
        <f>_xlfn.SUMIFS(Покупка!AU$25:AU$117,Покупка!$F$25:$F$117,$F234,Покупка!$AC$25:$AC$117,$G234)</f>
        <v>0</v>
      </c>
      <c r="AW234" s="1101">
        <f>_xlfn.SUMIFS(Покупка!AV$25:AV$117,Покупка!$F$25:$F$117,$F234,Покупка!$AC$25:$AC$117,$G234)</f>
        <v>0</v>
      </c>
      <c r="AX234" s="1101">
        <f>_xlfn.SUMIFS(Покупка!AW$25:AW$117,Покупка!$F$25:$F$117,$F234,Покупка!$AC$25:$AC$117,$G234)</f>
        <v>0</v>
      </c>
      <c r="AY234" s="1101">
        <f>_xlfn.SUMIFS(Покупка!AX$25:AX$117,Покупка!$F$25:$F$117,$F234,Покупка!$AC$25:$AC$117,$G234)</f>
        <v>0</v>
      </c>
      <c r="AZ234" s="1101">
        <f>_xlfn.SUMIFS(Покупка!AY$25:AY$117,Покупка!$F$25:$F$117,$F234,Покупка!$AC$25:$AC$117,$G234)</f>
        <v>0</v>
      </c>
      <c r="BA234" s="1101">
        <f>_xlfn.SUMIFS(Покупка!AZ$25:AZ$117,Покупка!$F$25:$F$117,$F234,Покупка!$AC$25:$AC$117,$G234)</f>
        <v>0</v>
      </c>
      <c r="BB234" s="1101">
        <f>_xlfn.SUMIFS(Покупка!BA$25:BA$117,Покупка!$F$25:$F$117,$F234,Покупка!$AC$25:$AC$117,$G234)</f>
        <v>0</v>
      </c>
      <c r="BC234" s="1101">
        <f>_xlfn.SUMIFS(Покупка!BB$25:BB$117,Покупка!$F$25:$F$117,$F234,Покупка!$AC$25:$AC$117,$G234)</f>
        <v>0</v>
      </c>
      <c r="BD234" s="926">
        <f>IF(AI234=0,0,(AT234-AI234)/AI234*100)</f>
        <v>0</v>
      </c>
      <c r="BE234" s="926">
        <f>IF(AT234=0,0,(AU234-AT234)/AT234*100)</f>
        <v>0</v>
      </c>
      <c r="BF234" s="926">
        <f>IF(AU234=0,0,(AV234-AU234)/AU234*100)</f>
        <v>0</v>
      </c>
      <c r="BG234" s="926">
        <f>IF(AV234=0,0,(AW234-AV234)/AV234*100)</f>
        <v>0</v>
      </c>
      <c r="BH234" s="926">
        <f>IF(AW234=0,0,(AX234-AW234)/AW234*100)</f>
        <v>0</v>
      </c>
      <c r="BI234" s="926">
        <f>IF(AX234=0,0,(AY234-AX234)/AX234*100)</f>
        <v>0</v>
      </c>
      <c r="BJ234" s="926">
        <f>IF(AY234=0,0,(AZ234-AY234)/AY234*100)</f>
        <v>0</v>
      </c>
      <c r="BK234" s="926">
        <f>IF(AZ234=0,0,(BA234-AZ234)/AZ234*100)</f>
        <v>0</v>
      </c>
      <c r="BL234" s="926">
        <f>IF(BA234=0,0,(BB234-BA234)/BA234*100)</f>
        <v>0</v>
      </c>
      <c r="BM234" s="926">
        <f>IF(BB234=0,0,(BC234-BB234)/BB234*100)</f>
        <v>0</v>
      </c>
      <c r="BN234" s="4830"/>
      <c r="BO234" s="4784" t="str">
        <f>IF(_xlfn.IFERROR(INDEX(Покупка!$K$26:$L$117,MATCH($F234&amp;"9komm",Покупка!$K$26:$K$117,0),2),"")=0,"",_xlfn.IFERROR(INDEX(Покупка!$K$26:$L$117,MATCH($F234&amp;"9komm",Покупка!$K$26:$K$117,0),2),""))</f>
        <v/>
      </c>
      <c r="BP234" s="4830"/>
      <c r="BQ234" s="1260"/>
      <c r="BR234" s="1260"/>
      <c r="BS234" s="1048" t="s">
        <v>1035</v>
      </c>
      <c r="BT234" s="1048"/>
      <c r="BU234" s="1048"/>
      <c r="BV234" s="683"/>
      <c r="BW234" s="683"/>
    </row>
    <row s="1621" customFormat="1" customHeight="1" ht="14.25">
      <c r="A235" s="960"/>
      <c r="B235" s="62"/>
      <c r="C235" s="73"/>
      <c r="D235" s="73"/>
      <c r="E235" s="600">
        <v>15</v>
      </c>
      <c r="F235" s="50" cm="1" t="str">
        <f t="array" ref="F235:F235">OFFSET(E235,-1,1)</f>
        <v>1</v>
      </c>
      <c r="G235" s="73"/>
      <c r="H235" s="73"/>
      <c r="I235" s="73" t="s">
        <v>462</v>
      </c>
      <c r="J235" s="73"/>
      <c r="K235" s="73" t="s">
        <v>462</v>
      </c>
      <c r="L235" s="963"/>
      <c r="M235" s="73"/>
      <c r="N235" s="73"/>
      <c r="O235" s="73"/>
      <c r="P235" s="73"/>
      <c r="Q235" s="73"/>
      <c r="R235" s="73"/>
      <c r="S235" s="73"/>
      <c r="T235" s="439" cm="1" t="str">
        <f t="array" ref="T235:T235">T234</f>
        <v>true</v>
      </c>
      <c r="U235" s="73"/>
      <c r="V235" s="73"/>
      <c r="W235" s="960"/>
      <c r="X235" s="1482"/>
      <c r="Y235" s="960"/>
      <c r="Z235" s="1465"/>
      <c r="AA235" s="960"/>
      <c r="AB235" s="266" t="s">
        <v>519</v>
      </c>
      <c r="AC235" s="743" t="s">
        <v>1928</v>
      </c>
      <c r="AD235" s="760" t="s">
        <v>784</v>
      </c>
      <c r="AE235" s="226">
        <f>_xlfn.SUMIFS('Сырье и материалы'!AE$25:AE$39,'Сырье и материалы'!$F$25:$F$39,$F235,'Сырье и материалы'!$AC$25:$AC$39,"Всего по тарифу")</f>
        <v>0</v>
      </c>
      <c r="AF235" s="226">
        <f>_xlfn.SUMIFS('Сырье и материалы'!AF$25:AF$39,'Сырье и материалы'!$F$25:$F$39,$F235,'Сырье и материалы'!$AC$25:$AC$39,"Всего по тарифу")</f>
        <v>0</v>
      </c>
      <c r="AG235" s="226">
        <f>_xlfn.SUMIFS('Сырье и материалы'!AG$25:AG$39,'Сырье и материалы'!$F$25:$F$39,$F235,'Сырье и материалы'!$AC$25:$AC$39,"Всего по тарифу")</f>
        <v>0</v>
      </c>
      <c r="AH235" s="926">
        <f>AG235-AF235</f>
        <v>0</v>
      </c>
      <c r="AI235" s="926">
        <f>_xlfn.SUMIFS('Сырье и материалы'!AH$25:AH$39,'Сырье и материалы'!$F$25:$F$39,$F235,'Сырье и материалы'!$AC$25:$AC$39,"Всего по тарифу")</f>
        <v>0</v>
      </c>
      <c r="AJ235" s="926">
        <f>_xlfn.SUMIFS('Сырье и материалы'!AI$25:AI$39,'Сырье и материалы'!$F$25:$F$39,$F235,'Сырье и материалы'!$AC$25:$AC$39,"Всего по тарифу")</f>
        <v>0</v>
      </c>
      <c r="AK235" s="926">
        <f>_xlfn.SUMIFS('Сырье и материалы'!AJ$25:AJ$39,'Сырье и материалы'!$F$25:$F$39,$F235,'Сырье и материалы'!$AC$25:$AC$39,"Всего по тарифу")</f>
        <v>0</v>
      </c>
      <c r="AL235" s="926">
        <f>_xlfn.SUMIFS('Сырье и материалы'!AK$25:AK$39,'Сырье и материалы'!$F$25:$F$39,$F235,'Сырье и материалы'!$AC$25:$AC$39,"Всего по тарифу")</f>
        <v>0</v>
      </c>
      <c r="AM235" s="926">
        <f>_xlfn.SUMIFS('Сырье и материалы'!AL$25:AL$39,'Сырье и материалы'!$F$25:$F$39,$F235,'Сырье и материалы'!$AC$25:$AC$39,"Всего по тарифу")</f>
        <v>0</v>
      </c>
      <c r="AN235" s="926">
        <f>_xlfn.SUMIFS('Сырье и материалы'!AM$25:AM$39,'Сырье и материалы'!$F$25:$F$39,$F235,'Сырье и материалы'!$AC$25:$AC$39,"Всего по тарифу")</f>
        <v>0</v>
      </c>
      <c r="AO235" s="926">
        <f>_xlfn.SUMIFS('Сырье и материалы'!AN$25:AN$39,'Сырье и материалы'!$F$25:$F$39,$F235,'Сырье и материалы'!$AC$25:$AC$39,"Всего по тарифу")</f>
        <v>0</v>
      </c>
      <c r="AP235" s="926">
        <f>_xlfn.SUMIFS('Сырье и материалы'!AO$25:AO$39,'Сырье и материалы'!$F$25:$F$39,$F235,'Сырье и материалы'!$AC$25:$AC$39,"Всего по тарифу")</f>
        <v>0</v>
      </c>
      <c r="AQ235" s="926">
        <f>_xlfn.SUMIFS('Сырье и материалы'!AP$25:AP$39,'Сырье и материалы'!$F$25:$F$39,$F235,'Сырье и материалы'!$AC$25:$AC$39,"Всего по тарифу")</f>
        <v>0</v>
      </c>
      <c r="AR235" s="926">
        <f>_xlfn.SUMIFS('Сырье и материалы'!AQ$25:AQ$39,'Сырье и материалы'!$F$25:$F$39,$F235,'Сырье и материалы'!$AC$25:$AC$39,"Всего по тарифу")</f>
        <v>0</v>
      </c>
      <c r="AS235" s="926">
        <f>_xlfn.SUMIFS('Сырье и материалы'!AR$25:AR$39,'Сырье и материалы'!$F$25:$F$39,$F235,'Сырье и материалы'!$AC$25:$AC$39,"Всего по тарифу")</f>
        <v>0</v>
      </c>
      <c r="AT235" s="926">
        <f>_xlfn.SUMIFS('Сырье и материалы'!AS$25:AS$39,'Сырье и материалы'!$F$25:$F$39,$F235,'Сырье и материалы'!$AC$25:$AC$39,"Всего по тарифу")</f>
        <v>0</v>
      </c>
      <c r="AU235" s="926">
        <f>_xlfn.SUMIFS('Сырье и материалы'!AT$25:AT$39,'Сырье и материалы'!$F$25:$F$39,$F235,'Сырье и материалы'!$AC$25:$AC$39,"Всего по тарифу")</f>
        <v>0</v>
      </c>
      <c r="AV235" s="926">
        <f>_xlfn.SUMIFS('Сырье и материалы'!AU$25:AU$39,'Сырье и материалы'!$F$25:$F$39,$F235,'Сырье и материалы'!$AC$25:$AC$39,"Всего по тарифу")</f>
        <v>0</v>
      </c>
      <c r="AW235" s="926">
        <f>_xlfn.SUMIFS('Сырье и материалы'!AV$25:AV$39,'Сырье и материалы'!$F$25:$F$39,$F235,'Сырье и материалы'!$AC$25:$AC$39,"Всего по тарифу")</f>
        <v>0</v>
      </c>
      <c r="AX235" s="926">
        <f>_xlfn.SUMIFS('Сырье и материалы'!AW$25:AW$39,'Сырье и материалы'!$F$25:$F$39,$F235,'Сырье и материалы'!$AC$25:$AC$39,"Всего по тарифу")</f>
        <v>0</v>
      </c>
      <c r="AY235" s="926">
        <f>_xlfn.SUMIFS('Сырье и материалы'!AX$25:AX$39,'Сырье и материалы'!$F$25:$F$39,$F235,'Сырье и материалы'!$AC$25:$AC$39,"Всего по тарифу")</f>
        <v>0</v>
      </c>
      <c r="AZ235" s="926">
        <f>_xlfn.SUMIFS('Сырье и материалы'!AY$25:AY$39,'Сырье и материалы'!$F$25:$F$39,$F235,'Сырье и материалы'!$AC$25:$AC$39,"Всего по тарифу")</f>
        <v>0</v>
      </c>
      <c r="BA235" s="926">
        <f>_xlfn.SUMIFS('Сырье и материалы'!AZ$25:AZ$39,'Сырье и материалы'!$F$25:$F$39,$F235,'Сырье и материалы'!$AC$25:$AC$39,"Всего по тарифу")</f>
        <v>0</v>
      </c>
      <c r="BB235" s="926">
        <f>_xlfn.SUMIFS('Сырье и материалы'!BA$25:BA$39,'Сырье и материалы'!$F$25:$F$39,$F235,'Сырье и материалы'!$AC$25:$AC$39,"Всего по тарифу")</f>
        <v>0</v>
      </c>
      <c r="BC235" s="926">
        <f>_xlfn.SUMIFS('Сырье и материалы'!BB$25:BB$39,'Сырье и материалы'!$F$25:$F$39,$F235,'Сырье и материалы'!$AC$25:$AC$39,"Всего по тарифу")</f>
        <v>0</v>
      </c>
      <c r="BD235" s="926">
        <f>IF(AI235=0,0,(AT235-AI235)/AI235*100)</f>
        <v>0</v>
      </c>
      <c r="BE235" s="926">
        <f>IF(AT235=0,0,(AU235-AT235)/AT235*100)</f>
        <v>0</v>
      </c>
      <c r="BF235" s="926">
        <f>IF(AU235=0,0,(AV235-AU235)/AU235*100)</f>
        <v>0</v>
      </c>
      <c r="BG235" s="926">
        <f>IF(AV235=0,0,(AW235-AV235)/AV235*100)</f>
        <v>0</v>
      </c>
      <c r="BH235" s="926">
        <f>IF(AW235=0,0,(AX235-AW235)/AW235*100)</f>
        <v>0</v>
      </c>
      <c r="BI235" s="926">
        <f>IF(AX235=0,0,(AY235-AX235)/AX235*100)</f>
        <v>0</v>
      </c>
      <c r="BJ235" s="926">
        <f>IF(AY235=0,0,(AZ235-AY235)/AY235*100)</f>
        <v>0</v>
      </c>
      <c r="BK235" s="926">
        <f>IF(AZ235=0,0,(BA235-AZ235)/AZ235*100)</f>
        <v>0</v>
      </c>
      <c r="BL235" s="926">
        <f>IF(BA235=0,0,(BB235-BA235)/BA235*100)</f>
        <v>0</v>
      </c>
      <c r="BM235" s="926">
        <f>IF(BB235=0,0,(BC235-BB235)/BB235*100)</f>
        <v>0</v>
      </c>
      <c r="BN235" s="4830"/>
      <c r="BO235" s="4784" t="str">
        <f>IF(_xlfn.IFERROR(INDEX('Сырье и материалы'!$K$26:$L$39,MATCH($F235&amp;"komm",'Сырье и материалы'!$K$26:$K$39,0),2),"")=0,"",_xlfn.IFERROR(INDEX('Сырье и материалы'!$K$26:$L$39,MATCH($F235&amp;"komm",'Сырье и материалы'!$K$26:$K$39,0),2),""))</f>
        <v/>
      </c>
      <c r="BP235" s="4830"/>
      <c r="BQ235" s="960"/>
      <c r="BR235" s="960"/>
      <c r="BS235" s="1048" t="s">
        <v>1590</v>
      </c>
      <c r="BT235" s="1048"/>
      <c r="BU235" s="1048"/>
      <c r="BV235" s="962"/>
      <c r="BW235" s="962"/>
    </row>
    <row s="4832" customFormat="1" customHeight="1" ht="107.25">
      <c r="A236" s="680"/>
      <c r="B236" s="77"/>
      <c r="C236" s="75"/>
      <c r="D236" s="75"/>
      <c r="E236" s="807">
        <v>21</v>
      </c>
      <c r="F236" s="50" cm="1" t="str">
        <f t="array" ref="F236:F236">OFFSET(E236,-1,1)</f>
        <v>1</v>
      </c>
      <c r="G236" s="75"/>
      <c r="H236" s="73"/>
      <c r="I236" s="73" t="s">
        <v>865</v>
      </c>
      <c r="J236" s="75"/>
      <c r="K236" s="73" t="s">
        <v>865</v>
      </c>
      <c r="L236" s="968" t="s">
        <v>495</v>
      </c>
      <c r="M236" s="75"/>
      <c r="N236" s="75"/>
      <c r="O236" s="75"/>
      <c r="P236" s="75"/>
      <c r="Q236" s="75"/>
      <c r="R236" s="75"/>
      <c r="S236" s="75"/>
      <c r="T236" s="439" cm="1" t="str">
        <f t="array" ref="T236:T236">T235</f>
        <v>true</v>
      </c>
      <c r="U236" s="75"/>
      <c r="V236" s="75"/>
      <c r="W236" s="680"/>
      <c r="X236" s="1482"/>
      <c r="Y236" s="680"/>
      <c r="Z236" s="1465"/>
      <c r="AA236" s="680"/>
      <c r="AB236" s="185" t="s">
        <v>523</v>
      </c>
      <c r="AC236" s="328" t="s">
        <v>1929</v>
      </c>
      <c r="AD236" s="178" t="s">
        <v>784</v>
      </c>
      <c r="AE236" s="759">
        <f>SUM(AE237:AE246)</f>
        <v>365.9347407579</v>
      </c>
      <c r="AF236" s="759">
        <f>SUM(AF237:AF246)</f>
        <v>487.1680486313</v>
      </c>
      <c r="AG236" s="759">
        <f>SUM(AG237:AG246)</f>
        <v>487.17</v>
      </c>
      <c r="AH236" s="742">
        <f>AG236-AF236</f>
        <v>0.00195136870001988</v>
      </c>
      <c r="AI236" s="742">
        <f>SUM(AI237:AI246)</f>
        <v>313.7872186209</v>
      </c>
      <c r="AJ236" s="751">
        <f>SUM(AJ237:AJ246)</f>
        <v>488.8704665498</v>
      </c>
      <c r="AK236" s="742">
        <f>SUM(AK237:AK246)</f>
        <v>0</v>
      </c>
      <c r="AL236" s="742">
        <f>SUM(AL237:AL246)</f>
        <v>0</v>
      </c>
      <c r="AM236" s="742">
        <f>SUM(AM237:AM246)</f>
        <v>0</v>
      </c>
      <c r="AN236" s="742">
        <f>SUM(AN237:AN246)</f>
        <v>0</v>
      </c>
      <c r="AO236" s="742">
        <f>SUM(AO237:AO246)</f>
        <v>0</v>
      </c>
      <c r="AP236" s="742">
        <f>SUM(AP237:AP246)</f>
        <v>0</v>
      </c>
      <c r="AQ236" s="742">
        <f>SUM(AQ237:AQ246)</f>
        <v>0</v>
      </c>
      <c r="AR236" s="742">
        <f>SUM(AR237:AR246)</f>
        <v>0</v>
      </c>
      <c r="AS236" s="742">
        <f>SUM(AS237:AS246)</f>
        <v>0</v>
      </c>
      <c r="AT236" s="751">
        <f>SUM(AT237:AT246)</f>
        <v>488.8709465498</v>
      </c>
      <c r="AU236" s="742">
        <f>SUM(AU237:AU246)</f>
        <v>0</v>
      </c>
      <c r="AV236" s="742">
        <f>SUM(AV237:AV246)</f>
        <v>0</v>
      </c>
      <c r="AW236" s="742">
        <f>SUM(AW237:AW246)</f>
        <v>0</v>
      </c>
      <c r="AX236" s="742">
        <f>SUM(AX237:AX246)</f>
        <v>0</v>
      </c>
      <c r="AY236" s="742">
        <f>SUM(AY237:AY246)</f>
        <v>0</v>
      </c>
      <c r="AZ236" s="742">
        <f>SUM(AZ237:AZ246)</f>
        <v>0</v>
      </c>
      <c r="BA236" s="742">
        <f>SUM(BA237:BA246)</f>
        <v>0</v>
      </c>
      <c r="BB236" s="742">
        <f>SUM(BB237:BB246)</f>
        <v>0</v>
      </c>
      <c r="BC236" s="742">
        <f>SUM(BC237:BC246)</f>
        <v>0</v>
      </c>
      <c r="BD236" s="742">
        <f>IF(AI236=0,0,(AT236-AI236)/AI236*100)</f>
        <v>55.7969597035838</v>
      </c>
      <c r="BE236" s="742">
        <f>IF(AT236=0,0,(AU236-AT236)/AT236*100)</f>
        <v>-100</v>
      </c>
      <c r="BF236" s="742">
        <f>IF(AU236=0,0,(AV236-AU236)/AU236*100)</f>
        <v>0</v>
      </c>
      <c r="BG236" s="742">
        <f>IF(AV236=0,0,(AW236-AV236)/AV236*100)</f>
        <v>0</v>
      </c>
      <c r="BH236" s="742">
        <f>IF(AW236=0,0,(AX236-AW236)/AW236*100)</f>
        <v>0</v>
      </c>
      <c r="BI236" s="742">
        <f>IF(AX236=0,0,(AY236-AX236)/AX236*100)</f>
        <v>0</v>
      </c>
      <c r="BJ236" s="742">
        <f>IF(AY236=0,0,(AZ236-AY236)/AY236*100)</f>
        <v>0</v>
      </c>
      <c r="BK236" s="742">
        <f>IF(AZ236=0,0,(BA236-AZ236)/AZ236*100)</f>
        <v>0</v>
      </c>
      <c r="BL236" s="742">
        <f>IF(BA236=0,0,(BB236-BA236)/BA236*100)</f>
        <v>0</v>
      </c>
      <c r="BM236" s="742">
        <f>IF(BB236=0,0,(BC236-BB236)/BB236*100)</f>
        <v>0</v>
      </c>
      <c r="BN236" s="4618"/>
      <c r="BO236" s="4784" t="s">
        <v>2077</v>
      </c>
      <c r="BP236" s="4618" t="s">
        <v>2078</v>
      </c>
      <c r="BQ236" s="680"/>
      <c r="BR236" s="680"/>
      <c r="BS236" s="1054" t="s">
        <v>1151</v>
      </c>
      <c r="BT236" s="1054"/>
      <c r="BU236" s="1054"/>
      <c r="BV236" s="687"/>
      <c r="BW236" s="687"/>
    </row>
    <row s="1621" customFormat="1" customHeight="1" ht="14.25">
      <c r="A237" s="960"/>
      <c r="B237" s="62"/>
      <c r="C237" s="73"/>
      <c r="D237" s="73"/>
      <c r="E237" s="600">
        <v>15</v>
      </c>
      <c r="F237" s="50" cm="1" t="str">
        <f t="array" ref="F237:F237">OFFSET(E237,-1,1)</f>
        <v>1</v>
      </c>
      <c r="G237" s="904">
        <v>7</v>
      </c>
      <c r="H237" s="73"/>
      <c r="I237" s="73" t="s">
        <v>1930</v>
      </c>
      <c r="J237" s="73"/>
      <c r="K237" s="73" t="s">
        <v>1930</v>
      </c>
      <c r="L237" s="963"/>
      <c r="M237" s="73"/>
      <c r="N237" s="73"/>
      <c r="O237" s="73"/>
      <c r="P237" s="73"/>
      <c r="Q237" s="73"/>
      <c r="R237" s="73"/>
      <c r="S237" s="73"/>
      <c r="T237" s="439" cm="1" t="str">
        <f t="array" ref="T237:T237">T236</f>
        <v>true</v>
      </c>
      <c r="U237" s="73"/>
      <c r="V237" s="73"/>
      <c r="W237" s="960"/>
      <c r="X237" s="1482"/>
      <c r="Y237" s="960"/>
      <c r="Z237" s="1465"/>
      <c r="AA237" s="960"/>
      <c r="AB237" s="266" t="s">
        <v>478</v>
      </c>
      <c r="AC237" s="746" t="s">
        <v>1165</v>
      </c>
      <c r="AD237" s="267" t="s">
        <v>784</v>
      </c>
      <c r="AE237" s="226">
        <f>_xlfn.SUMIFS(Налоги!AE$25:AE$69,Налоги!$F$25:$F$69,$F237,Налоги!$AB$25:$AB$69,$G237)</f>
        <v>0</v>
      </c>
      <c r="AF237" s="226">
        <f>_xlfn.SUMIFS(Налоги!AF$25:AF$69,Налоги!$F$25:$F$69,$F237,Налоги!$AB$25:$AB$69,$G237)</f>
        <v>0</v>
      </c>
      <c r="AG237" s="226">
        <f>_xlfn.SUMIFS(Налоги!AG$25:AG$69,Налоги!$F$25:$F$69,$F237,Налоги!$AB$25:$AB$69,$G237)</f>
        <v>0</v>
      </c>
      <c r="AH237" s="926">
        <f>AG237-AF237</f>
        <v>0</v>
      </c>
      <c r="AI237" s="926">
        <f>_xlfn.SUMIFS(Налоги!AH$25:AH$69,Налоги!$F$25:$F$69,$F237,Налоги!$AB$25:$AB$69,$G237)</f>
        <v>0</v>
      </c>
      <c r="AJ237" s="926">
        <f>_xlfn.SUMIFS(Налоги!AI$25:AI$69,Налоги!$F$25:$F$69,$F237,Налоги!$AB$25:$AB$69,$G237)</f>
        <v>0</v>
      </c>
      <c r="AK237" s="926">
        <f>_xlfn.SUMIFS(Налоги!AJ$25:AJ$69,Налоги!$F$25:$F$69,$F237,Налоги!$AB$25:$AB$69,$G237)</f>
        <v>0</v>
      </c>
      <c r="AL237" s="926">
        <f>_xlfn.SUMIFS(Налоги!AK$25:AK$69,Налоги!$F$25:$F$69,$F237,Налоги!$AB$25:$AB$69,$G237)</f>
        <v>0</v>
      </c>
      <c r="AM237" s="926">
        <f>_xlfn.SUMIFS(Налоги!AL$25:AL$69,Налоги!$F$25:$F$69,$F237,Налоги!$AB$25:$AB$69,$G237)</f>
        <v>0</v>
      </c>
      <c r="AN237" s="926">
        <f>_xlfn.SUMIFS(Налоги!AM$25:AM$69,Налоги!$F$25:$F$69,$F237,Налоги!$AB$25:$AB$69,$G237)</f>
        <v>0</v>
      </c>
      <c r="AO237" s="926">
        <f>_xlfn.SUMIFS(Налоги!AN$25:AN$69,Налоги!$F$25:$F$69,$F237,Налоги!$AB$25:$AB$69,$G237)</f>
        <v>0</v>
      </c>
      <c r="AP237" s="926">
        <f>_xlfn.SUMIFS(Налоги!AO$25:AO$69,Налоги!$F$25:$F$69,$F237,Налоги!$AB$25:$AB$69,$G237)</f>
        <v>0</v>
      </c>
      <c r="AQ237" s="926">
        <f>_xlfn.SUMIFS(Налоги!AP$25:AP$69,Налоги!$F$25:$F$69,$F237,Налоги!$AB$25:$AB$69,$G237)</f>
        <v>0</v>
      </c>
      <c r="AR237" s="926">
        <f>_xlfn.SUMIFS(Налоги!AQ$25:AQ$69,Налоги!$F$25:$F$69,$F237,Налоги!$AB$25:$AB$69,$G237)</f>
        <v>0</v>
      </c>
      <c r="AS237" s="926">
        <f>_xlfn.SUMIFS(Налоги!AR$25:AR$69,Налоги!$F$25:$F$69,$F237,Налоги!$AB$25:$AB$69,$G237)</f>
        <v>0</v>
      </c>
      <c r="AT237" s="926">
        <f>_xlfn.SUMIFS(Налоги!AS$25:AS$69,Налоги!$F$25:$F$69,$F237,Налоги!$AB$25:$AB$69,$G237)</f>
        <v>0</v>
      </c>
      <c r="AU237" s="926">
        <f>_xlfn.SUMIFS(Налоги!AT$25:AT$69,Налоги!$F$25:$F$69,$F237,Налоги!$AB$25:$AB$69,$G237)</f>
        <v>0</v>
      </c>
      <c r="AV237" s="926">
        <f>_xlfn.SUMIFS(Налоги!AU$25:AU$69,Налоги!$F$25:$F$69,$F237,Налоги!$AB$25:$AB$69,$G237)</f>
        <v>0</v>
      </c>
      <c r="AW237" s="926">
        <f>_xlfn.SUMIFS(Налоги!AV$25:AV$69,Налоги!$F$25:$F$69,$F237,Налоги!$AB$25:$AB$69,$G237)</f>
        <v>0</v>
      </c>
      <c r="AX237" s="926">
        <f>_xlfn.SUMIFS(Налоги!AW$25:AW$69,Налоги!$F$25:$F$69,$F237,Налоги!$AB$25:$AB$69,$G237)</f>
        <v>0</v>
      </c>
      <c r="AY237" s="926">
        <f>_xlfn.SUMIFS(Налоги!AX$25:AX$69,Налоги!$F$25:$F$69,$F237,Налоги!$AB$25:$AB$69,$G237)</f>
        <v>0</v>
      </c>
      <c r="AZ237" s="926">
        <f>_xlfn.SUMIFS(Налоги!AY$25:AY$69,Налоги!$F$25:$F$69,$F237,Налоги!$AB$25:$AB$69,$G237)</f>
        <v>0</v>
      </c>
      <c r="BA237" s="926">
        <f>_xlfn.SUMIFS(Налоги!AZ$25:AZ$69,Налоги!$F$25:$F$69,$F237,Налоги!$AB$25:$AB$69,$G237)</f>
        <v>0</v>
      </c>
      <c r="BB237" s="926">
        <f>_xlfn.SUMIFS(Налоги!BA$25:BA$69,Налоги!$F$25:$F$69,$F237,Налоги!$AB$25:$AB$69,$G237)</f>
        <v>0</v>
      </c>
      <c r="BC237" s="926">
        <f>_xlfn.SUMIFS(Налоги!BB$25:BB$69,Налоги!$F$25:$F$69,$F237,Налоги!$AB$25:$AB$69,$G237)</f>
        <v>0</v>
      </c>
      <c r="BD237" s="926">
        <f>IF(AI237=0,0,(AT237-AI237)/AI237*100)</f>
        <v>0</v>
      </c>
      <c r="BE237" s="926">
        <f>IF(AT237=0,0,(AU237-AT237)/AT237*100)</f>
        <v>0</v>
      </c>
      <c r="BF237" s="926">
        <f>IF(AU237=0,0,(AV237-AU237)/AU237*100)</f>
        <v>0</v>
      </c>
      <c r="BG237" s="926">
        <f>IF(AV237=0,0,(AW237-AV237)/AV237*100)</f>
        <v>0</v>
      </c>
      <c r="BH237" s="926">
        <f>IF(AW237=0,0,(AX237-AW237)/AW237*100)</f>
        <v>0</v>
      </c>
      <c r="BI237" s="926">
        <f>IF(AX237=0,0,(AY237-AX237)/AX237*100)</f>
        <v>0</v>
      </c>
      <c r="BJ237" s="926">
        <f>IF(AY237=0,0,(AZ237-AY237)/AY237*100)</f>
        <v>0</v>
      </c>
      <c r="BK237" s="926">
        <f>IF(AZ237=0,0,(BA237-AZ237)/AZ237*100)</f>
        <v>0</v>
      </c>
      <c r="BL237" s="926">
        <f>IF(BA237=0,0,(BB237-BA237)/BA237*100)</f>
        <v>0</v>
      </c>
      <c r="BM237" s="926">
        <f>IF(BB237=0,0,(BC237-BB237)/BB237*100)</f>
        <v>0</v>
      </c>
      <c r="BN237" s="4830"/>
      <c r="BO237" s="4784" t="str">
        <f>IF(_xlfn.IFERROR(INDEX(Налоги!$K$26:$L$69,MATCH($F237&amp;"7komm",Налоги!$K$26:$K$69,0),2),"")=0,"",_xlfn.IFERROR(INDEX(Налоги!$K$26:$L$69,MATCH($F237&amp;"7komm",Налоги!$K$26:$K$69,0),2),""))</f>
        <v/>
      </c>
      <c r="BP237" s="4830"/>
      <c r="BQ237" s="960"/>
      <c r="BR237" s="960"/>
      <c r="BS237" s="1048" t="s">
        <v>1931</v>
      </c>
      <c r="BT237" s="1048"/>
      <c r="BU237" s="1048"/>
      <c r="BV237" s="962"/>
      <c r="BW237" s="962"/>
    </row>
    <row s="1621" customFormat="1" customHeight="1" ht="14.25">
      <c r="A238" s="960"/>
      <c r="B238" s="62"/>
      <c r="C238" s="73"/>
      <c r="D238" s="73"/>
      <c r="E238" s="600">
        <v>15</v>
      </c>
      <c r="F238" s="50" cm="1" t="str">
        <f t="array" ref="F238:F238">OFFSET(E238,-1,1)</f>
        <v>1</v>
      </c>
      <c r="G238" s="904">
        <v>6</v>
      </c>
      <c r="H238" s="73"/>
      <c r="I238" s="73" t="s">
        <v>1932</v>
      </c>
      <c r="J238" s="73"/>
      <c r="K238" s="73" t="s">
        <v>1932</v>
      </c>
      <c r="L238" s="963"/>
      <c r="M238" s="73"/>
      <c r="N238" s="73"/>
      <c r="O238" s="73"/>
      <c r="P238" s="73"/>
      <c r="Q238" s="73"/>
      <c r="R238" s="73"/>
      <c r="S238" s="73"/>
      <c r="T238" s="439" cm="1" t="str">
        <f t="array" ref="T238:T238">T237</f>
        <v>true</v>
      </c>
      <c r="U238" s="73"/>
      <c r="V238" s="73"/>
      <c r="W238" s="960"/>
      <c r="X238" s="1482"/>
      <c r="Y238" s="960"/>
      <c r="Z238" s="1465"/>
      <c r="AA238" s="960"/>
      <c r="AB238" s="266" t="s">
        <v>1375</v>
      </c>
      <c r="AC238" s="746" t="s">
        <v>1933</v>
      </c>
      <c r="AD238" s="267" t="s">
        <v>784</v>
      </c>
      <c r="AE238" s="226">
        <f>_xlfn.SUMIFS(Налоги!AE$25:AE$69,Налоги!$F$25:$F$69,$F238,Налоги!$AB$25:$AB$69,$G238)</f>
        <v>44.2852905333</v>
      </c>
      <c r="AF238" s="226">
        <f>_xlfn.SUMIFS(Налоги!AF$25:AF$69,Налоги!$F$25:$F$69,$F238,Налоги!$AB$25:$AB$69,$G238)</f>
        <v>44.28528434</v>
      </c>
      <c r="AG238" s="226">
        <f>_xlfn.SUMIFS(Налоги!AG$25:AG$69,Налоги!$F$25:$F$69,$F238,Налоги!$AB$25:$AB$69,$G238)</f>
        <v>44.29</v>
      </c>
      <c r="AH238" s="926">
        <f>AG238-AF238</f>
        <v>0.00471566000000223</v>
      </c>
      <c r="AI238" s="926">
        <f>_xlfn.SUMIFS(Налоги!AH$25:AH$69,Налоги!$F$25:$F$69,$F238,Налоги!$AB$25:$AB$69,$G238)</f>
        <v>34.6040973261</v>
      </c>
      <c r="AJ238" s="926">
        <f>_xlfn.SUMIFS(Налоги!AI$25:AI$69,Налоги!$F$25:$F$69,$F238,Налоги!$AB$25:$AB$69,$G238)</f>
        <v>24.8471822585</v>
      </c>
      <c r="AK238" s="926">
        <f>_xlfn.SUMIFS(Налоги!AJ$25:AJ$69,Налоги!$F$25:$F$69,$F238,Налоги!$AB$25:$AB$69,$G238)</f>
        <v>0</v>
      </c>
      <c r="AL238" s="926">
        <f>_xlfn.SUMIFS(Налоги!AK$25:AK$69,Налоги!$F$25:$F$69,$F238,Налоги!$AB$25:$AB$69,$G238)</f>
        <v>0</v>
      </c>
      <c r="AM238" s="926">
        <f>_xlfn.SUMIFS(Налоги!AL$25:AL$69,Налоги!$F$25:$F$69,$F238,Налоги!$AB$25:$AB$69,$G238)</f>
        <v>0</v>
      </c>
      <c r="AN238" s="926">
        <f>_xlfn.SUMIFS(Налоги!AM$25:AM$69,Налоги!$F$25:$F$69,$F238,Налоги!$AB$25:$AB$69,$G238)</f>
        <v>0</v>
      </c>
      <c r="AO238" s="926">
        <f>_xlfn.SUMIFS(Налоги!AN$25:AN$69,Налоги!$F$25:$F$69,$F238,Налоги!$AB$25:$AB$69,$G238)</f>
        <v>0</v>
      </c>
      <c r="AP238" s="926">
        <f>_xlfn.SUMIFS(Налоги!AO$25:AO$69,Налоги!$F$25:$F$69,$F238,Налоги!$AB$25:$AB$69,$G238)</f>
        <v>0</v>
      </c>
      <c r="AQ238" s="926">
        <f>_xlfn.SUMIFS(Налоги!AP$25:AP$69,Налоги!$F$25:$F$69,$F238,Налоги!$AB$25:$AB$69,$G238)</f>
        <v>0</v>
      </c>
      <c r="AR238" s="926">
        <f>_xlfn.SUMIFS(Налоги!AQ$25:AQ$69,Налоги!$F$25:$F$69,$F238,Налоги!$AB$25:$AB$69,$G238)</f>
        <v>0</v>
      </c>
      <c r="AS238" s="926">
        <f>_xlfn.SUMIFS(Налоги!AR$25:AR$69,Налоги!$F$25:$F$69,$F238,Налоги!$AB$25:$AB$69,$G238)</f>
        <v>0</v>
      </c>
      <c r="AT238" s="926">
        <f>_xlfn.SUMIFS(Налоги!AS$25:AS$69,Налоги!$F$25:$F$69,$F238,Налоги!$AB$25:$AB$69,$G238)</f>
        <v>24.8471822585</v>
      </c>
      <c r="AU238" s="926">
        <f>_xlfn.SUMIFS(Налоги!AT$25:AT$69,Налоги!$F$25:$F$69,$F238,Налоги!$AB$25:$AB$69,$G238)</f>
        <v>0</v>
      </c>
      <c r="AV238" s="926">
        <f>_xlfn.SUMIFS(Налоги!AU$25:AU$69,Налоги!$F$25:$F$69,$F238,Налоги!$AB$25:$AB$69,$G238)</f>
        <v>0</v>
      </c>
      <c r="AW238" s="926">
        <f>_xlfn.SUMIFS(Налоги!AV$25:AV$69,Налоги!$F$25:$F$69,$F238,Налоги!$AB$25:$AB$69,$G238)</f>
        <v>0</v>
      </c>
      <c r="AX238" s="926">
        <f>_xlfn.SUMIFS(Налоги!AW$25:AW$69,Налоги!$F$25:$F$69,$F238,Налоги!$AB$25:$AB$69,$G238)</f>
        <v>0</v>
      </c>
      <c r="AY238" s="926">
        <f>_xlfn.SUMIFS(Налоги!AX$25:AX$69,Налоги!$F$25:$F$69,$F238,Налоги!$AB$25:$AB$69,$G238)</f>
        <v>0</v>
      </c>
      <c r="AZ238" s="926">
        <f>_xlfn.SUMIFS(Налоги!AY$25:AY$69,Налоги!$F$25:$F$69,$F238,Налоги!$AB$25:$AB$69,$G238)</f>
        <v>0</v>
      </c>
      <c r="BA238" s="926">
        <f>_xlfn.SUMIFS(Налоги!AZ$25:AZ$69,Налоги!$F$25:$F$69,$F238,Налоги!$AB$25:$AB$69,$G238)</f>
        <v>0</v>
      </c>
      <c r="BB238" s="926">
        <f>_xlfn.SUMIFS(Налоги!BA$25:BA$69,Налоги!$F$25:$F$69,$F238,Налоги!$AB$25:$AB$69,$G238)</f>
        <v>0</v>
      </c>
      <c r="BC238" s="926">
        <f>_xlfn.SUMIFS(Налоги!BB$25:BB$69,Налоги!$F$25:$F$69,$F238,Налоги!$AB$25:$AB$69,$G238)</f>
        <v>0</v>
      </c>
      <c r="BD238" s="926">
        <f>IF(AI238=0,0,(AT238-AI238)/AI238*100)</f>
        <v>-28.1958375496791</v>
      </c>
      <c r="BE238" s="926">
        <f>IF(AT238=0,0,(AU238-AT238)/AT238*100)</f>
        <v>-100</v>
      </c>
      <c r="BF238" s="926">
        <f>IF(AU238=0,0,(AV238-AU238)/AU238*100)</f>
        <v>0</v>
      </c>
      <c r="BG238" s="926">
        <f>IF(AV238=0,0,(AW238-AV238)/AV238*100)</f>
        <v>0</v>
      </c>
      <c r="BH238" s="926">
        <f>IF(AW238=0,0,(AX238-AW238)/AW238*100)</f>
        <v>0</v>
      </c>
      <c r="BI238" s="926">
        <f>IF(AX238=0,0,(AY238-AX238)/AX238*100)</f>
        <v>0</v>
      </c>
      <c r="BJ238" s="926">
        <f>IF(AY238=0,0,(AZ238-AY238)/AY238*100)</f>
        <v>0</v>
      </c>
      <c r="BK238" s="926">
        <f>IF(AZ238=0,0,(BA238-AZ238)/AZ238*100)</f>
        <v>0</v>
      </c>
      <c r="BL238" s="926">
        <f>IF(BA238=0,0,(BB238-BA238)/BA238*100)</f>
        <v>0</v>
      </c>
      <c r="BM238" s="926">
        <f>IF(BB238=0,0,(BC238-BB238)/BB238*100)</f>
        <v>0</v>
      </c>
      <c r="BN238" s="4830"/>
      <c r="BO238" s="4784"/>
      <c r="BP238" s="4830"/>
      <c r="BQ238" s="960"/>
      <c r="BR238" s="960"/>
      <c r="BS238" s="1048" t="s">
        <v>1934</v>
      </c>
      <c r="BT238" s="1048"/>
      <c r="BU238" s="1048"/>
      <c r="BV238" s="962"/>
      <c r="BW238" s="962"/>
    </row>
    <row s="1621" customFormat="1" customHeight="1" ht="54.75">
      <c r="A239" s="960"/>
      <c r="B239" s="62"/>
      <c r="C239" s="73"/>
      <c r="D239" s="73"/>
      <c r="E239" s="600">
        <v>15</v>
      </c>
      <c r="F239" s="50" cm="1" t="str">
        <f t="array" ref="F239:F239">OFFSET(E239,-1,1)</f>
        <v>1</v>
      </c>
      <c r="G239" s="904">
        <v>2</v>
      </c>
      <c r="H239" s="73"/>
      <c r="I239" s="73" t="s">
        <v>1935</v>
      </c>
      <c r="J239" s="73"/>
      <c r="K239" s="73" t="s">
        <v>1935</v>
      </c>
      <c r="L239" s="963"/>
      <c r="M239" s="73"/>
      <c r="N239" s="73"/>
      <c r="O239" s="73"/>
      <c r="P239" s="73"/>
      <c r="Q239" s="73"/>
      <c r="R239" s="73"/>
      <c r="S239" s="73"/>
      <c r="T239" s="439" cm="1" t="str">
        <f t="array" ref="T239:T239">T238</f>
        <v>true</v>
      </c>
      <c r="U239" s="73"/>
      <c r="V239" s="73"/>
      <c r="W239" s="960"/>
      <c r="X239" s="1482"/>
      <c r="Y239" s="960"/>
      <c r="Z239" s="1465"/>
      <c r="AA239" s="960"/>
      <c r="AB239" s="266" t="s">
        <v>1380</v>
      </c>
      <c r="AC239" s="746" t="s">
        <v>1936</v>
      </c>
      <c r="AD239" s="267" t="s">
        <v>784</v>
      </c>
      <c r="AE239" s="226">
        <f>_xlfn.SUMIFS(Налоги!AE$25:AE$69,Налоги!$F$25:$F$69,$F239,Налоги!$AB$25:$AB$69,$G239)</f>
        <v>76.3655694246</v>
      </c>
      <c r="AF239" s="226">
        <f>_xlfn.SUMIFS(Налоги!AF$25:AF$69,Налоги!$F$25:$F$69,$F239,Налоги!$AB$25:$AB$69,$G239)</f>
        <v>223.7037642913</v>
      </c>
      <c r="AG239" s="226">
        <f>_xlfn.SUMIFS(Налоги!AG$25:AG$69,Налоги!$F$25:$F$69,$F239,Налоги!$AB$25:$AB$69,$G239)</f>
        <v>223.7</v>
      </c>
      <c r="AH239" s="926">
        <f>AG239-AF239</f>
        <v>-0.00376429130000133</v>
      </c>
      <c r="AI239" s="926">
        <f>_xlfn.SUMIFS(Налоги!AH$25:AH$69,Налоги!$F$25:$F$69,$F239,Налоги!$AB$25:$AB$69,$G239)</f>
        <v>103.4538612948</v>
      </c>
      <c r="AJ239" s="926">
        <f>_xlfn.SUMIFS(Налоги!AI$25:AI$69,Налоги!$F$25:$F$69,$F239,Налоги!$AB$25:$AB$69,$G239)</f>
        <v>223.7037642913</v>
      </c>
      <c r="AK239" s="926">
        <f>_xlfn.SUMIFS(Налоги!AJ$25:AJ$69,Налоги!$F$25:$F$69,$F239,Налоги!$AB$25:$AB$69,$G239)</f>
        <v>0</v>
      </c>
      <c r="AL239" s="926">
        <f>_xlfn.SUMIFS(Налоги!AK$25:AK$69,Налоги!$F$25:$F$69,$F239,Налоги!$AB$25:$AB$69,$G239)</f>
        <v>0</v>
      </c>
      <c r="AM239" s="926">
        <f>_xlfn.SUMIFS(Налоги!AL$25:AL$69,Налоги!$F$25:$F$69,$F239,Налоги!$AB$25:$AB$69,$G239)</f>
        <v>0</v>
      </c>
      <c r="AN239" s="926">
        <f>_xlfn.SUMIFS(Налоги!AM$25:AM$69,Налоги!$F$25:$F$69,$F239,Налоги!$AB$25:$AB$69,$G239)</f>
        <v>0</v>
      </c>
      <c r="AO239" s="926">
        <f>_xlfn.SUMIFS(Налоги!AN$25:AN$69,Налоги!$F$25:$F$69,$F239,Налоги!$AB$25:$AB$69,$G239)</f>
        <v>0</v>
      </c>
      <c r="AP239" s="926">
        <f>_xlfn.SUMIFS(Налоги!AO$25:AO$69,Налоги!$F$25:$F$69,$F239,Налоги!$AB$25:$AB$69,$G239)</f>
        <v>0</v>
      </c>
      <c r="AQ239" s="926">
        <f>_xlfn.SUMIFS(Налоги!AP$25:AP$69,Налоги!$F$25:$F$69,$F239,Налоги!$AB$25:$AB$69,$G239)</f>
        <v>0</v>
      </c>
      <c r="AR239" s="926">
        <f>_xlfn.SUMIFS(Налоги!AQ$25:AQ$69,Налоги!$F$25:$F$69,$F239,Налоги!$AB$25:$AB$69,$G239)</f>
        <v>0</v>
      </c>
      <c r="AS239" s="926">
        <f>_xlfn.SUMIFS(Налоги!AR$25:AR$69,Налоги!$F$25:$F$69,$F239,Налоги!$AB$25:$AB$69,$G239)</f>
        <v>0</v>
      </c>
      <c r="AT239" s="926">
        <f>_xlfn.SUMIFS(Налоги!AS$25:AS$69,Налоги!$F$25:$F$69,$F239,Налоги!$AB$25:$AB$69,$G239)</f>
        <v>223.7037642913</v>
      </c>
      <c r="AU239" s="926">
        <f>_xlfn.SUMIFS(Налоги!AT$25:AT$69,Налоги!$F$25:$F$69,$F239,Налоги!$AB$25:$AB$69,$G239)</f>
        <v>0</v>
      </c>
      <c r="AV239" s="926">
        <f>_xlfn.SUMIFS(Налоги!AU$25:AU$69,Налоги!$F$25:$F$69,$F239,Налоги!$AB$25:$AB$69,$G239)</f>
        <v>0</v>
      </c>
      <c r="AW239" s="926">
        <f>_xlfn.SUMIFS(Налоги!AV$25:AV$69,Налоги!$F$25:$F$69,$F239,Налоги!$AB$25:$AB$69,$G239)</f>
        <v>0</v>
      </c>
      <c r="AX239" s="926">
        <f>_xlfn.SUMIFS(Налоги!AW$25:AW$69,Налоги!$F$25:$F$69,$F239,Налоги!$AB$25:$AB$69,$G239)</f>
        <v>0</v>
      </c>
      <c r="AY239" s="926">
        <f>_xlfn.SUMIFS(Налоги!AX$25:AX$69,Налоги!$F$25:$F$69,$F239,Налоги!$AB$25:$AB$69,$G239)</f>
        <v>0</v>
      </c>
      <c r="AZ239" s="926">
        <f>_xlfn.SUMIFS(Налоги!AY$25:AY$69,Налоги!$F$25:$F$69,$F239,Налоги!$AB$25:$AB$69,$G239)</f>
        <v>0</v>
      </c>
      <c r="BA239" s="926">
        <f>_xlfn.SUMIFS(Налоги!AZ$25:AZ$69,Налоги!$F$25:$F$69,$F239,Налоги!$AB$25:$AB$69,$G239)</f>
        <v>0</v>
      </c>
      <c r="BB239" s="926">
        <f>_xlfn.SUMIFS(Налоги!BA$25:BA$69,Налоги!$F$25:$F$69,$F239,Налоги!$AB$25:$AB$69,$G239)</f>
        <v>0</v>
      </c>
      <c r="BC239" s="926">
        <f>_xlfn.SUMIFS(Налоги!BB$25:BB$69,Налоги!$F$25:$F$69,$F239,Налоги!$AB$25:$AB$69,$G239)</f>
        <v>0</v>
      </c>
      <c r="BD239" s="926">
        <f>IF(AI239=0,0,(AT239-AI239)/AI239*100)</f>
        <v>116.235297060434</v>
      </c>
      <c r="BE239" s="926">
        <f>IF(AT239=0,0,(AU239-AT239)/AT239*100)</f>
        <v>-100</v>
      </c>
      <c r="BF239" s="926">
        <f>IF(AU239=0,0,(AV239-AU239)/AU239*100)</f>
        <v>0</v>
      </c>
      <c r="BG239" s="926">
        <f>IF(AV239=0,0,(AW239-AV239)/AV239*100)</f>
        <v>0</v>
      </c>
      <c r="BH239" s="926">
        <f>IF(AW239=0,0,(AX239-AW239)/AW239*100)</f>
        <v>0</v>
      </c>
      <c r="BI239" s="926">
        <f>IF(AX239=0,0,(AY239-AX239)/AX239*100)</f>
        <v>0</v>
      </c>
      <c r="BJ239" s="926">
        <f>IF(AY239=0,0,(AZ239-AY239)/AY239*100)</f>
        <v>0</v>
      </c>
      <c r="BK239" s="926">
        <f>IF(AZ239=0,0,(BA239-AZ239)/AZ239*100)</f>
        <v>0</v>
      </c>
      <c r="BL239" s="926">
        <f>IF(BA239=0,0,(BB239-BA239)/BA239*100)</f>
        <v>0</v>
      </c>
      <c r="BM239" s="926">
        <f>IF(BB239=0,0,(BC239-BB239)/BB239*100)</f>
        <v>0</v>
      </c>
      <c r="BN239" s="4830" t="s">
        <v>2079</v>
      </c>
      <c r="BO239" s="4784"/>
      <c r="BP239" s="4830"/>
      <c r="BQ239" s="960"/>
      <c r="BR239" s="960"/>
      <c r="BS239" s="1048" t="s">
        <v>1937</v>
      </c>
      <c r="BT239" s="1048"/>
      <c r="BU239" s="1048"/>
      <c r="BV239" s="962"/>
      <c r="BW239" s="962"/>
    </row>
    <row s="1621" customFormat="1" customHeight="1" ht="14.25">
      <c r="A240" s="960"/>
      <c r="B240" s="62"/>
      <c r="C240" s="73"/>
      <c r="D240" s="73"/>
      <c r="E240" s="600">
        <v>15</v>
      </c>
      <c r="F240" s="50" cm="1" t="str">
        <f t="array" ref="F240:F240">OFFSET(E240,-1,1)</f>
        <v>1</v>
      </c>
      <c r="G240" s="904">
        <v>4</v>
      </c>
      <c r="H240" s="73"/>
      <c r="I240" s="73" t="s">
        <v>1938</v>
      </c>
      <c r="J240" s="73"/>
      <c r="K240" s="73" t="s">
        <v>1938</v>
      </c>
      <c r="L240" s="963"/>
      <c r="M240" s="73"/>
      <c r="N240" s="73"/>
      <c r="O240" s="73"/>
      <c r="P240" s="73"/>
      <c r="Q240" s="73"/>
      <c r="R240" s="73"/>
      <c r="S240" s="73"/>
      <c r="T240" s="439" cm="1" t="str">
        <f t="array" ref="T240:T240">T239</f>
        <v>true</v>
      </c>
      <c r="U240" s="73"/>
      <c r="V240" s="73"/>
      <c r="W240" s="960"/>
      <c r="X240" s="1482"/>
      <c r="Y240" s="960"/>
      <c r="Z240" s="1465"/>
      <c r="AA240" s="960"/>
      <c r="AB240" s="266" t="s">
        <v>1939</v>
      </c>
      <c r="AC240" s="746" t="s">
        <v>1940</v>
      </c>
      <c r="AD240" s="267" t="s">
        <v>784</v>
      </c>
      <c r="AE240" s="226">
        <f>_xlfn.SUMIFS(Налоги!AE$25:AE$69,Налоги!$F$25:$F$69,$F240,Налоги!$AB$25:$AB$69,$G240)</f>
        <v>245.2838808</v>
      </c>
      <c r="AF240" s="226">
        <f>_xlfn.SUMIFS(Налоги!AF$25:AF$69,Налоги!$F$25:$F$69,$F240,Налоги!$AB$25:$AB$69,$G240)</f>
        <v>219.179</v>
      </c>
      <c r="AG240" s="226">
        <f>_xlfn.SUMIFS(Налоги!AG$25:AG$69,Налоги!$F$25:$F$69,$F240,Налоги!$AB$25:$AB$69,$G240)</f>
        <v>219.18</v>
      </c>
      <c r="AH240" s="926">
        <f>AG240-AF240</f>
        <v>0.00100000000000477</v>
      </c>
      <c r="AI240" s="926">
        <f>_xlfn.SUMIFS(Налоги!AH$25:AH$69,Налоги!$F$25:$F$69,$F240,Налоги!$AB$25:$AB$69,$G240)</f>
        <v>175.72926</v>
      </c>
      <c r="AJ240" s="926">
        <f>_xlfn.SUMIFS(Налоги!AI$25:AI$69,Налоги!$F$25:$F$69,$F240,Налоги!$AB$25:$AB$69,$G240)</f>
        <v>240.31952</v>
      </c>
      <c r="AK240" s="926">
        <f>_xlfn.SUMIFS(Налоги!AJ$25:AJ$69,Налоги!$F$25:$F$69,$F240,Налоги!$AB$25:$AB$69,$G240)</f>
        <v>0</v>
      </c>
      <c r="AL240" s="926">
        <f>_xlfn.SUMIFS(Налоги!AK$25:AK$69,Налоги!$F$25:$F$69,$F240,Налоги!$AB$25:$AB$69,$G240)</f>
        <v>0</v>
      </c>
      <c r="AM240" s="926">
        <f>_xlfn.SUMIFS(Налоги!AL$25:AL$69,Налоги!$F$25:$F$69,$F240,Налоги!$AB$25:$AB$69,$G240)</f>
        <v>0</v>
      </c>
      <c r="AN240" s="926">
        <f>_xlfn.SUMIFS(Налоги!AM$25:AM$69,Налоги!$F$25:$F$69,$F240,Налоги!$AB$25:$AB$69,$G240)</f>
        <v>0</v>
      </c>
      <c r="AO240" s="926">
        <f>_xlfn.SUMIFS(Налоги!AN$25:AN$69,Налоги!$F$25:$F$69,$F240,Налоги!$AB$25:$AB$69,$G240)</f>
        <v>0</v>
      </c>
      <c r="AP240" s="926">
        <f>_xlfn.SUMIFS(Налоги!AO$25:AO$69,Налоги!$F$25:$F$69,$F240,Налоги!$AB$25:$AB$69,$G240)</f>
        <v>0</v>
      </c>
      <c r="AQ240" s="926">
        <f>_xlfn.SUMIFS(Налоги!AP$25:AP$69,Налоги!$F$25:$F$69,$F240,Налоги!$AB$25:$AB$69,$G240)</f>
        <v>0</v>
      </c>
      <c r="AR240" s="926">
        <f>_xlfn.SUMIFS(Налоги!AQ$25:AQ$69,Налоги!$F$25:$F$69,$F240,Налоги!$AB$25:$AB$69,$G240)</f>
        <v>0</v>
      </c>
      <c r="AS240" s="926">
        <f>_xlfn.SUMIFS(Налоги!AR$25:AR$69,Налоги!$F$25:$F$69,$F240,Налоги!$AB$25:$AB$69,$G240)</f>
        <v>0</v>
      </c>
      <c r="AT240" s="926">
        <f>_xlfn.SUMIFS(Налоги!AS$25:AS$69,Налоги!$F$25:$F$69,$F240,Налоги!$AB$25:$AB$69,$G240)</f>
        <v>240.32</v>
      </c>
      <c r="AU240" s="926">
        <f>_xlfn.SUMIFS(Налоги!AT$25:AT$69,Налоги!$F$25:$F$69,$F240,Налоги!$AB$25:$AB$69,$G240)</f>
        <v>0</v>
      </c>
      <c r="AV240" s="926">
        <f>_xlfn.SUMIFS(Налоги!AU$25:AU$69,Налоги!$F$25:$F$69,$F240,Налоги!$AB$25:$AB$69,$G240)</f>
        <v>0</v>
      </c>
      <c r="AW240" s="926">
        <f>_xlfn.SUMIFS(Налоги!AV$25:AV$69,Налоги!$F$25:$F$69,$F240,Налоги!$AB$25:$AB$69,$G240)</f>
        <v>0</v>
      </c>
      <c r="AX240" s="926">
        <f>_xlfn.SUMIFS(Налоги!AW$25:AW$69,Налоги!$F$25:$F$69,$F240,Налоги!$AB$25:$AB$69,$G240)</f>
        <v>0</v>
      </c>
      <c r="AY240" s="926">
        <f>_xlfn.SUMIFS(Налоги!AX$25:AX$69,Налоги!$F$25:$F$69,$F240,Налоги!$AB$25:$AB$69,$G240)</f>
        <v>0</v>
      </c>
      <c r="AZ240" s="926">
        <f>_xlfn.SUMIFS(Налоги!AY$25:AY$69,Налоги!$F$25:$F$69,$F240,Налоги!$AB$25:$AB$69,$G240)</f>
        <v>0</v>
      </c>
      <c r="BA240" s="926">
        <f>_xlfn.SUMIFS(Налоги!AZ$25:AZ$69,Налоги!$F$25:$F$69,$F240,Налоги!$AB$25:$AB$69,$G240)</f>
        <v>0</v>
      </c>
      <c r="BB240" s="926">
        <f>_xlfn.SUMIFS(Налоги!BA$25:BA$69,Налоги!$F$25:$F$69,$F240,Налоги!$AB$25:$AB$69,$G240)</f>
        <v>0</v>
      </c>
      <c r="BC240" s="926">
        <f>_xlfn.SUMIFS(Налоги!BB$25:BB$69,Налоги!$F$25:$F$69,$F240,Налоги!$AB$25:$AB$69,$G240)</f>
        <v>0</v>
      </c>
      <c r="BD240" s="926">
        <f>IF(AI240=0,0,(AT240-AI240)/AI240*100)</f>
        <v>36.7558254100654</v>
      </c>
      <c r="BE240" s="926">
        <f>IF(AT240=0,0,(AU240-AT240)/AT240*100)</f>
        <v>-100</v>
      </c>
      <c r="BF240" s="926">
        <f>IF(AU240=0,0,(AV240-AU240)/AU240*100)</f>
        <v>0</v>
      </c>
      <c r="BG240" s="926">
        <f>IF(AV240=0,0,(AW240-AV240)/AV240*100)</f>
        <v>0</v>
      </c>
      <c r="BH240" s="926">
        <f>IF(AW240=0,0,(AX240-AW240)/AW240*100)</f>
        <v>0</v>
      </c>
      <c r="BI240" s="926">
        <f>IF(AX240=0,0,(AY240-AX240)/AX240*100)</f>
        <v>0</v>
      </c>
      <c r="BJ240" s="926">
        <f>IF(AY240=0,0,(AZ240-AY240)/AY240*100)</f>
        <v>0</v>
      </c>
      <c r="BK240" s="926">
        <f>IF(AZ240=0,0,(BA240-AZ240)/AZ240*100)</f>
        <v>0</v>
      </c>
      <c r="BL240" s="926">
        <f>IF(BA240=0,0,(BB240-BA240)/BA240*100)</f>
        <v>0</v>
      </c>
      <c r="BM240" s="926">
        <f>IF(BB240=0,0,(BC240-BB240)/BB240*100)</f>
        <v>0</v>
      </c>
      <c r="BN240" s="4830"/>
      <c r="BO240" s="4784"/>
      <c r="BP240" s="4830"/>
      <c r="BQ240" s="960"/>
      <c r="BR240" s="960"/>
      <c r="BS240" s="1048" t="s">
        <v>1941</v>
      </c>
      <c r="BT240" s="1048"/>
      <c r="BU240" s="1048"/>
      <c r="BV240" s="962"/>
      <c r="BW240" s="962"/>
    </row>
    <row s="1621" customFormat="1" customHeight="1" ht="14.25">
      <c r="A241" s="960"/>
      <c r="B241" s="62"/>
      <c r="C241" s="73"/>
      <c r="D241" s="73"/>
      <c r="E241" s="600">
        <v>15</v>
      </c>
      <c r="F241" s="50" cm="1" t="str">
        <f t="array" ref="F241:F241">OFFSET(E241,-1,1)</f>
        <v>1</v>
      </c>
      <c r="G241" s="904">
        <v>5</v>
      </c>
      <c r="H241" s="73"/>
      <c r="I241" s="73" t="s">
        <v>1942</v>
      </c>
      <c r="J241" s="73"/>
      <c r="K241" s="73" t="s">
        <v>1942</v>
      </c>
      <c r="L241" s="963"/>
      <c r="M241" s="73"/>
      <c r="N241" s="73"/>
      <c r="O241" s="73"/>
      <c r="P241" s="73"/>
      <c r="Q241" s="73"/>
      <c r="R241" s="73"/>
      <c r="S241" s="73"/>
      <c r="T241" s="439" cm="1" t="str">
        <f t="array" ref="T241:T241">T240</f>
        <v>true</v>
      </c>
      <c r="U241" s="73"/>
      <c r="V241" s="73"/>
      <c r="W241" s="960"/>
      <c r="X241" s="1482"/>
      <c r="Y241" s="960"/>
      <c r="Z241" s="1465"/>
      <c r="AA241" s="960"/>
      <c r="AB241" s="266" t="s">
        <v>1943</v>
      </c>
      <c r="AC241" s="746" t="s">
        <v>1944</v>
      </c>
      <c r="AD241" s="267" t="s">
        <v>784</v>
      </c>
      <c r="AE241" s="226">
        <f>_xlfn.SUMIFS(Налоги!AE$25:AE$69,Налоги!$F$25:$F$69,$F241,Налоги!$AB$25:$AB$69,$G241)</f>
        <v>0</v>
      </c>
      <c r="AF241" s="226">
        <f>_xlfn.SUMIFS(Налоги!AF$25:AF$69,Налоги!$F$25:$F$69,$F241,Налоги!$AB$25:$AB$69,$G241)</f>
        <v>0</v>
      </c>
      <c r="AG241" s="226">
        <f>_xlfn.SUMIFS(Налоги!AG$25:AG$69,Налоги!$F$25:$F$69,$F241,Налоги!$AB$25:$AB$69,$G241)</f>
        <v>0</v>
      </c>
      <c r="AH241" s="926">
        <f>AG241-AF241</f>
        <v>0</v>
      </c>
      <c r="AI241" s="926">
        <f>_xlfn.SUMIFS(Налоги!AH$25:AH$69,Налоги!$F$25:$F$69,$F241,Налоги!$AB$25:$AB$69,$G241)</f>
        <v>0</v>
      </c>
      <c r="AJ241" s="926">
        <f>_xlfn.SUMIFS(Налоги!AI$25:AI$69,Налоги!$F$25:$F$69,$F241,Налоги!$AB$25:$AB$69,$G241)</f>
        <v>0</v>
      </c>
      <c r="AK241" s="926">
        <f>_xlfn.SUMIFS(Налоги!AJ$25:AJ$69,Налоги!$F$25:$F$69,$F241,Налоги!$AB$25:$AB$69,$G241)</f>
        <v>0</v>
      </c>
      <c r="AL241" s="926">
        <f>_xlfn.SUMIFS(Налоги!AK$25:AK$69,Налоги!$F$25:$F$69,$F241,Налоги!$AB$25:$AB$69,$G241)</f>
        <v>0</v>
      </c>
      <c r="AM241" s="926">
        <f>_xlfn.SUMIFS(Налоги!AL$25:AL$69,Налоги!$F$25:$F$69,$F241,Налоги!$AB$25:$AB$69,$G241)</f>
        <v>0</v>
      </c>
      <c r="AN241" s="926">
        <f>_xlfn.SUMIFS(Налоги!AM$25:AM$69,Налоги!$F$25:$F$69,$F241,Налоги!$AB$25:$AB$69,$G241)</f>
        <v>0</v>
      </c>
      <c r="AO241" s="926">
        <f>_xlfn.SUMIFS(Налоги!AN$25:AN$69,Налоги!$F$25:$F$69,$F241,Налоги!$AB$25:$AB$69,$G241)</f>
        <v>0</v>
      </c>
      <c r="AP241" s="926">
        <f>_xlfn.SUMIFS(Налоги!AO$25:AO$69,Налоги!$F$25:$F$69,$F241,Налоги!$AB$25:$AB$69,$G241)</f>
        <v>0</v>
      </c>
      <c r="AQ241" s="926">
        <f>_xlfn.SUMIFS(Налоги!AP$25:AP$69,Налоги!$F$25:$F$69,$F241,Налоги!$AB$25:$AB$69,$G241)</f>
        <v>0</v>
      </c>
      <c r="AR241" s="926">
        <f>_xlfn.SUMIFS(Налоги!AQ$25:AQ$69,Налоги!$F$25:$F$69,$F241,Налоги!$AB$25:$AB$69,$G241)</f>
        <v>0</v>
      </c>
      <c r="AS241" s="926">
        <f>_xlfn.SUMIFS(Налоги!AR$25:AR$69,Налоги!$F$25:$F$69,$F241,Налоги!$AB$25:$AB$69,$G241)</f>
        <v>0</v>
      </c>
      <c r="AT241" s="926">
        <f>_xlfn.SUMIFS(Налоги!AS$25:AS$69,Налоги!$F$25:$F$69,$F241,Налоги!$AB$25:$AB$69,$G241)</f>
        <v>0</v>
      </c>
      <c r="AU241" s="926">
        <f>_xlfn.SUMIFS(Налоги!AT$25:AT$69,Налоги!$F$25:$F$69,$F241,Налоги!$AB$25:$AB$69,$G241)</f>
        <v>0</v>
      </c>
      <c r="AV241" s="926">
        <f>_xlfn.SUMIFS(Налоги!AU$25:AU$69,Налоги!$F$25:$F$69,$F241,Налоги!$AB$25:$AB$69,$G241)</f>
        <v>0</v>
      </c>
      <c r="AW241" s="926">
        <f>_xlfn.SUMIFS(Налоги!AV$25:AV$69,Налоги!$F$25:$F$69,$F241,Налоги!$AB$25:$AB$69,$G241)</f>
        <v>0</v>
      </c>
      <c r="AX241" s="926">
        <f>_xlfn.SUMIFS(Налоги!AW$25:AW$69,Налоги!$F$25:$F$69,$F241,Налоги!$AB$25:$AB$69,$G241)</f>
        <v>0</v>
      </c>
      <c r="AY241" s="926">
        <f>_xlfn.SUMIFS(Налоги!AX$25:AX$69,Налоги!$F$25:$F$69,$F241,Налоги!$AB$25:$AB$69,$G241)</f>
        <v>0</v>
      </c>
      <c r="AZ241" s="926">
        <f>_xlfn.SUMIFS(Налоги!AY$25:AY$69,Налоги!$F$25:$F$69,$F241,Налоги!$AB$25:$AB$69,$G241)</f>
        <v>0</v>
      </c>
      <c r="BA241" s="926">
        <f>_xlfn.SUMIFS(Налоги!AZ$25:AZ$69,Налоги!$F$25:$F$69,$F241,Налоги!$AB$25:$AB$69,$G241)</f>
        <v>0</v>
      </c>
      <c r="BB241" s="926">
        <f>_xlfn.SUMIFS(Налоги!BA$25:BA$69,Налоги!$F$25:$F$69,$F241,Налоги!$AB$25:$AB$69,$G241)</f>
        <v>0</v>
      </c>
      <c r="BC241" s="926">
        <f>_xlfn.SUMIFS(Налоги!BB$25:BB$69,Налоги!$F$25:$F$69,$F241,Налоги!$AB$25:$AB$69,$G241)</f>
        <v>0</v>
      </c>
      <c r="BD241" s="926">
        <f>IF(AI241=0,0,(AT241-AI241)/AI241*100)</f>
        <v>0</v>
      </c>
      <c r="BE241" s="926">
        <f>IF(AT241=0,0,(AU241-AT241)/AT241*100)</f>
        <v>0</v>
      </c>
      <c r="BF241" s="926">
        <f>IF(AU241=0,0,(AV241-AU241)/AU241*100)</f>
        <v>0</v>
      </c>
      <c r="BG241" s="926">
        <f>IF(AV241=0,0,(AW241-AV241)/AV241*100)</f>
        <v>0</v>
      </c>
      <c r="BH241" s="926">
        <f>IF(AW241=0,0,(AX241-AW241)/AW241*100)</f>
        <v>0</v>
      </c>
      <c r="BI241" s="926">
        <f>IF(AX241=0,0,(AY241-AX241)/AX241*100)</f>
        <v>0</v>
      </c>
      <c r="BJ241" s="926">
        <f>IF(AY241=0,0,(AZ241-AY241)/AY241*100)</f>
        <v>0</v>
      </c>
      <c r="BK241" s="926">
        <f>IF(AZ241=0,0,(BA241-AZ241)/AZ241*100)</f>
        <v>0</v>
      </c>
      <c r="BL241" s="926">
        <f>IF(BA241=0,0,(BB241-BA241)/BA241*100)</f>
        <v>0</v>
      </c>
      <c r="BM241" s="926">
        <f>IF(BB241=0,0,(BC241-BB241)/BB241*100)</f>
        <v>0</v>
      </c>
      <c r="BN241" s="4830"/>
      <c r="BO241" s="4784" t="str">
        <f>IF(_xlfn.IFERROR(INDEX(Налоги!$K$26:$L$69,MATCH($F241&amp;"5komm",Налоги!$K$26:$K$69,0),2),"")=0,"",_xlfn.IFERROR(INDEX(Налоги!$K$26:$L$69,MATCH($F241&amp;"5komm",Налоги!$K$26:$K$69,0),2),""))</f>
        <v/>
      </c>
      <c r="BP241" s="4830"/>
      <c r="BQ241" s="960"/>
      <c r="BR241" s="960"/>
      <c r="BS241" s="1048" t="s">
        <v>1945</v>
      </c>
      <c r="BT241" s="1048"/>
      <c r="BU241" s="1048"/>
      <c r="BV241" s="962"/>
      <c r="BW241" s="962"/>
    </row>
    <row s="1621" customFormat="1" customHeight="1" ht="14.25">
      <c r="A242" s="960"/>
      <c r="B242" s="62"/>
      <c r="C242" s="73"/>
      <c r="D242" s="73"/>
      <c r="E242" s="600">
        <v>15</v>
      </c>
      <c r="F242" s="50" cm="1" t="str">
        <f t="array" ref="F242:F242">OFFSET(E242,-1,1)</f>
        <v>1</v>
      </c>
      <c r="G242" s="904">
        <v>1</v>
      </c>
      <c r="H242" s="73"/>
      <c r="I242" s="73" t="s">
        <v>1946</v>
      </c>
      <c r="J242" s="73"/>
      <c r="K242" s="73" t="s">
        <v>1946</v>
      </c>
      <c r="L242" s="963"/>
      <c r="M242" s="73"/>
      <c r="N242" s="73"/>
      <c r="O242" s="73"/>
      <c r="P242" s="73"/>
      <c r="Q242" s="73"/>
      <c r="R242" s="73"/>
      <c r="S242" s="73"/>
      <c r="T242" s="439" cm="1" t="str">
        <f t="array" ref="T242:T242">T241</f>
        <v>true</v>
      </c>
      <c r="U242" s="73"/>
      <c r="V242" s="73"/>
      <c r="W242" s="960"/>
      <c r="X242" s="1482"/>
      <c r="Y242" s="960"/>
      <c r="Z242" s="1465"/>
      <c r="AA242" s="960"/>
      <c r="AB242" s="266" t="s">
        <v>1947</v>
      </c>
      <c r="AC242" s="746" t="s">
        <v>1948</v>
      </c>
      <c r="AD242" s="267" t="s">
        <v>784</v>
      </c>
      <c r="AE242" s="226">
        <f>_xlfn.SUMIFS(Налоги!AE$25:AE$69,Налоги!$F$25:$F$69,$F242,Налоги!$AB$25:$AB$69,$G242)</f>
        <v>0</v>
      </c>
      <c r="AF242" s="226">
        <f>_xlfn.SUMIFS(Налоги!AF$25:AF$69,Налоги!$F$25:$F$69,$F242,Налоги!$AB$25:$AB$69,$G242)</f>
        <v>0</v>
      </c>
      <c r="AG242" s="226">
        <f>_xlfn.SUMIFS(Налоги!AG$25:AG$69,Налоги!$F$25:$F$69,$F242,Налоги!$AB$25:$AB$69,$G242)</f>
        <v>0</v>
      </c>
      <c r="AH242" s="926">
        <f>AG242-AF242</f>
        <v>0</v>
      </c>
      <c r="AI242" s="926">
        <f>_xlfn.SUMIFS(Налоги!AH$25:AH$69,Налоги!$F$25:$F$69,$F242,Налоги!$AB$25:$AB$69,$G242)</f>
        <v>0</v>
      </c>
      <c r="AJ242" s="926">
        <f>_xlfn.SUMIFS(Налоги!AI$25:AI$69,Налоги!$F$25:$F$69,$F242,Налоги!$AB$25:$AB$69,$G242)</f>
        <v>0</v>
      </c>
      <c r="AK242" s="926">
        <f>_xlfn.SUMIFS(Налоги!AJ$25:AJ$69,Налоги!$F$25:$F$69,$F242,Налоги!$AB$25:$AB$69,$G242)</f>
        <v>0</v>
      </c>
      <c r="AL242" s="926">
        <f>_xlfn.SUMIFS(Налоги!AK$25:AK$69,Налоги!$F$25:$F$69,$F242,Налоги!$AB$25:$AB$69,$G242)</f>
        <v>0</v>
      </c>
      <c r="AM242" s="926">
        <f>_xlfn.SUMIFS(Налоги!AL$25:AL$69,Налоги!$F$25:$F$69,$F242,Налоги!$AB$25:$AB$69,$G242)</f>
        <v>0</v>
      </c>
      <c r="AN242" s="926">
        <f>_xlfn.SUMIFS(Налоги!AM$25:AM$69,Налоги!$F$25:$F$69,$F242,Налоги!$AB$25:$AB$69,$G242)</f>
        <v>0</v>
      </c>
      <c r="AO242" s="926">
        <f>_xlfn.SUMIFS(Налоги!AN$25:AN$69,Налоги!$F$25:$F$69,$F242,Налоги!$AB$25:$AB$69,$G242)</f>
        <v>0</v>
      </c>
      <c r="AP242" s="926">
        <f>_xlfn.SUMIFS(Налоги!AO$25:AO$69,Налоги!$F$25:$F$69,$F242,Налоги!$AB$25:$AB$69,$G242)</f>
        <v>0</v>
      </c>
      <c r="AQ242" s="926">
        <f>_xlfn.SUMIFS(Налоги!AP$25:AP$69,Налоги!$F$25:$F$69,$F242,Налоги!$AB$25:$AB$69,$G242)</f>
        <v>0</v>
      </c>
      <c r="AR242" s="926">
        <f>_xlfn.SUMIFS(Налоги!AQ$25:AQ$69,Налоги!$F$25:$F$69,$F242,Налоги!$AB$25:$AB$69,$G242)</f>
        <v>0</v>
      </c>
      <c r="AS242" s="926">
        <f>_xlfn.SUMIFS(Налоги!AR$25:AR$69,Налоги!$F$25:$F$69,$F242,Налоги!$AB$25:$AB$69,$G242)</f>
        <v>0</v>
      </c>
      <c r="AT242" s="926">
        <f>_xlfn.SUMIFS(Налоги!AS$25:AS$69,Налоги!$F$25:$F$69,$F242,Налоги!$AB$25:$AB$69,$G242)</f>
        <v>0</v>
      </c>
      <c r="AU242" s="926">
        <f>_xlfn.SUMIFS(Налоги!AT$25:AT$69,Налоги!$F$25:$F$69,$F242,Налоги!$AB$25:$AB$69,$G242)</f>
        <v>0</v>
      </c>
      <c r="AV242" s="926">
        <f>_xlfn.SUMIFS(Налоги!AU$25:AU$69,Налоги!$F$25:$F$69,$F242,Налоги!$AB$25:$AB$69,$G242)</f>
        <v>0</v>
      </c>
      <c r="AW242" s="926">
        <f>_xlfn.SUMIFS(Налоги!AV$25:AV$69,Налоги!$F$25:$F$69,$F242,Налоги!$AB$25:$AB$69,$G242)</f>
        <v>0</v>
      </c>
      <c r="AX242" s="926">
        <f>_xlfn.SUMIFS(Налоги!AW$25:AW$69,Налоги!$F$25:$F$69,$F242,Налоги!$AB$25:$AB$69,$G242)</f>
        <v>0</v>
      </c>
      <c r="AY242" s="926">
        <f>_xlfn.SUMIFS(Налоги!AX$25:AX$69,Налоги!$F$25:$F$69,$F242,Налоги!$AB$25:$AB$69,$G242)</f>
        <v>0</v>
      </c>
      <c r="AZ242" s="926">
        <f>_xlfn.SUMIFS(Налоги!AY$25:AY$69,Налоги!$F$25:$F$69,$F242,Налоги!$AB$25:$AB$69,$G242)</f>
        <v>0</v>
      </c>
      <c r="BA242" s="926">
        <f>_xlfn.SUMIFS(Налоги!AZ$25:AZ$69,Налоги!$F$25:$F$69,$F242,Налоги!$AB$25:$AB$69,$G242)</f>
        <v>0</v>
      </c>
      <c r="BB242" s="926">
        <f>_xlfn.SUMIFS(Налоги!BA$25:BA$69,Налоги!$F$25:$F$69,$F242,Налоги!$AB$25:$AB$69,$G242)</f>
        <v>0</v>
      </c>
      <c r="BC242" s="926">
        <f>_xlfn.SUMIFS(Налоги!BB$25:BB$69,Налоги!$F$25:$F$69,$F242,Налоги!$AB$25:$AB$69,$G242)</f>
        <v>0</v>
      </c>
      <c r="BD242" s="926">
        <f>IF(AI242=0,0,(AT242-AI242)/AI242*100)</f>
        <v>0</v>
      </c>
      <c r="BE242" s="926">
        <f>IF(AT242=0,0,(AU242-AT242)/AT242*100)</f>
        <v>0</v>
      </c>
      <c r="BF242" s="926">
        <f>IF(AU242=0,0,(AV242-AU242)/AU242*100)</f>
        <v>0</v>
      </c>
      <c r="BG242" s="926">
        <f>IF(AV242=0,0,(AW242-AV242)/AV242*100)</f>
        <v>0</v>
      </c>
      <c r="BH242" s="926">
        <f>IF(AW242=0,0,(AX242-AW242)/AW242*100)</f>
        <v>0</v>
      </c>
      <c r="BI242" s="926">
        <f>IF(AX242=0,0,(AY242-AX242)/AX242*100)</f>
        <v>0</v>
      </c>
      <c r="BJ242" s="926">
        <f>IF(AY242=0,0,(AZ242-AY242)/AY242*100)</f>
        <v>0</v>
      </c>
      <c r="BK242" s="926">
        <f>IF(AZ242=0,0,(BA242-AZ242)/AZ242*100)</f>
        <v>0</v>
      </c>
      <c r="BL242" s="926">
        <f>IF(BA242=0,0,(BB242-BA242)/BA242*100)</f>
        <v>0</v>
      </c>
      <c r="BM242" s="926">
        <f>IF(BB242=0,0,(BC242-BB242)/BB242*100)</f>
        <v>0</v>
      </c>
      <c r="BN242" s="4830"/>
      <c r="BO242" s="4784" t="str">
        <f>IF(_xlfn.IFERROR(INDEX(Налоги!$K$26:$L$69,MATCH($F242&amp;"1komm",Налоги!$K$26:$K$69,0),2),"")=0,"",_xlfn.IFERROR(INDEX(Налоги!$K$26:$L$69,MATCH($F242&amp;"1komm",Налоги!$K$26:$K$69,0),2),""))</f>
        <v/>
      </c>
      <c r="BP242" s="4830"/>
      <c r="BQ242" s="960"/>
      <c r="BR242" s="960"/>
      <c r="BS242" s="1048" t="s">
        <v>1949</v>
      </c>
      <c r="BT242" s="1048"/>
      <c r="BU242" s="1048"/>
      <c r="BV242" s="962"/>
      <c r="BW242" s="962"/>
    </row>
    <row s="1621" customFormat="1" customHeight="1" ht="14.25">
      <c r="A243" s="960"/>
      <c r="B243" s="62"/>
      <c r="C243" s="73"/>
      <c r="D243" s="73"/>
      <c r="E243" s="600">
        <v>15</v>
      </c>
      <c r="F243" s="50" cm="1" t="str">
        <f t="array" ref="F243:F243">OFFSET(E243,-1,1)</f>
        <v>1</v>
      </c>
      <c r="G243" s="904">
        <v>3</v>
      </c>
      <c r="H243" s="73"/>
      <c r="I243" s="73" t="s">
        <v>1950</v>
      </c>
      <c r="J243" s="73"/>
      <c r="K243" s="73" t="s">
        <v>1950</v>
      </c>
      <c r="L243" s="963"/>
      <c r="M243" s="73"/>
      <c r="N243" s="73"/>
      <c r="O243" s="73"/>
      <c r="P243" s="73"/>
      <c r="Q243" s="73"/>
      <c r="R243" s="73"/>
      <c r="S243" s="73"/>
      <c r="T243" s="439" cm="1" t="str">
        <f t="array" ref="T243:T243">T242</f>
        <v>true</v>
      </c>
      <c r="U243" s="73"/>
      <c r="V243" s="73"/>
      <c r="W243" s="960"/>
      <c r="X243" s="1482"/>
      <c r="Y243" s="960"/>
      <c r="Z243" s="1465"/>
      <c r="AA243" s="960"/>
      <c r="AB243" s="266" t="s">
        <v>1951</v>
      </c>
      <c r="AC243" s="746" t="s">
        <v>1952</v>
      </c>
      <c r="AD243" s="267" t="s">
        <v>784</v>
      </c>
      <c r="AE243" s="4759">
        <f>_xlfn.SUMIFS(Налоги!AE$25:AE$69,Налоги!$F$25:$F$69,$F243,Налоги!$AB$25:$AB$69,$G243)</f>
        <v>0</v>
      </c>
      <c r="AF243" s="4759">
        <f>_xlfn.SUMIFS(Налоги!AF$25:AF$69,Налоги!$F$25:$F$69,$F243,Налоги!$AB$25:$AB$69,$G243)</f>
        <v>0</v>
      </c>
      <c r="AG243" s="4759">
        <f>_xlfn.SUMIFS(Налоги!AG$25:AG$69,Налоги!$F$25:$F$69,$F243,Налоги!$AB$25:$AB$69,$G243)</f>
        <v>0</v>
      </c>
      <c r="AH243" s="926">
        <f>AG243-AF243</f>
        <v>0</v>
      </c>
      <c r="AI243" s="4765">
        <f>_xlfn.SUMIFS(Налоги!AH$25:AH$69,Налоги!$F$25:$F$69,$F243,Налоги!$AB$25:$AB$69,$G243)</f>
        <v>0</v>
      </c>
      <c r="AJ243" s="4765">
        <f>_xlfn.SUMIFS(Налоги!AI$25:AI$69,Налоги!$F$25:$F$69,$F243,Налоги!$AB$25:$AB$69,$G243)</f>
        <v>0</v>
      </c>
      <c r="AK243" s="1280">
        <f>_xlfn.SUMIFS(Налоги!AJ$25:AJ$69,Налоги!$F$25:$F$69,$F243,Налоги!$AB$25:$AB$69,$G243)</f>
        <v>0</v>
      </c>
      <c r="AL243" s="1280">
        <f>_xlfn.SUMIFS(Налоги!AK$25:AK$69,Налоги!$F$25:$F$69,$F243,Налоги!$AB$25:$AB$69,$G243)</f>
        <v>0</v>
      </c>
      <c r="AM243" s="4765">
        <f>_xlfn.SUMIFS(Налоги!AL$25:AL$69,Налоги!$F$25:$F$69,$F243,Налоги!$AB$25:$AB$69,$G243)</f>
        <v>0</v>
      </c>
      <c r="AN243" s="4765">
        <f>_xlfn.SUMIFS(Налоги!AM$25:AM$69,Налоги!$F$25:$F$69,$F243,Налоги!$AB$25:$AB$69,$G243)</f>
        <v>0</v>
      </c>
      <c r="AO243" s="4765">
        <f>_xlfn.SUMIFS(Налоги!AN$25:AN$69,Налоги!$F$25:$F$69,$F243,Налоги!$AB$25:$AB$69,$G243)</f>
        <v>0</v>
      </c>
      <c r="AP243" s="4765">
        <f>_xlfn.SUMIFS(Налоги!AO$25:AO$69,Налоги!$F$25:$F$69,$F243,Налоги!$AB$25:$AB$69,$G243)</f>
        <v>0</v>
      </c>
      <c r="AQ243" s="4765">
        <f>_xlfn.SUMIFS(Налоги!AP$25:AP$69,Налоги!$F$25:$F$69,$F243,Налоги!$AB$25:$AB$69,$G243)</f>
        <v>0</v>
      </c>
      <c r="AR243" s="4765">
        <f>_xlfn.SUMIFS(Налоги!AQ$25:AQ$69,Налоги!$F$25:$F$69,$F243,Налоги!$AB$25:$AB$69,$G243)</f>
        <v>0</v>
      </c>
      <c r="AS243" s="4765">
        <f>_xlfn.SUMIFS(Налоги!AR$25:AR$69,Налоги!$F$25:$F$69,$F243,Налоги!$AB$25:$AB$69,$G243)</f>
        <v>0</v>
      </c>
      <c r="AT243" s="4765">
        <f>_xlfn.SUMIFS(Налоги!AS$25:AS$69,Налоги!$F$25:$F$69,$F243,Налоги!$AB$25:$AB$69,$G243)</f>
        <v>0</v>
      </c>
      <c r="AU243" s="1280">
        <f>_xlfn.SUMIFS(Налоги!AT$25:AT$69,Налоги!$F$25:$F$69,$F243,Налоги!$AB$25:$AB$69,$G243)</f>
        <v>0</v>
      </c>
      <c r="AV243" s="1280">
        <f>_xlfn.SUMIFS(Налоги!AU$25:AU$69,Налоги!$F$25:$F$69,$F243,Налоги!$AB$25:$AB$69,$G243)</f>
        <v>0</v>
      </c>
      <c r="AW243" s="4765">
        <f>_xlfn.SUMIFS(Налоги!AV$25:AV$69,Налоги!$F$25:$F$69,$F243,Налоги!$AB$25:$AB$69,$G243)</f>
        <v>0</v>
      </c>
      <c r="AX243" s="4765">
        <f>_xlfn.SUMIFS(Налоги!AW$25:AW$69,Налоги!$F$25:$F$69,$F243,Налоги!$AB$25:$AB$69,$G243)</f>
        <v>0</v>
      </c>
      <c r="AY243" s="4765">
        <f>_xlfn.SUMIFS(Налоги!AX$25:AX$69,Налоги!$F$25:$F$69,$F243,Налоги!$AB$25:$AB$69,$G243)</f>
        <v>0</v>
      </c>
      <c r="AZ243" s="4765">
        <f>_xlfn.SUMIFS(Налоги!AY$25:AY$69,Налоги!$F$25:$F$69,$F243,Налоги!$AB$25:$AB$69,$G243)</f>
        <v>0</v>
      </c>
      <c r="BA243" s="4765">
        <f>_xlfn.SUMIFS(Налоги!AZ$25:AZ$69,Налоги!$F$25:$F$69,$F243,Налоги!$AB$25:$AB$69,$G243)</f>
        <v>0</v>
      </c>
      <c r="BB243" s="4765">
        <f>_xlfn.SUMIFS(Налоги!BA$25:BA$69,Налоги!$F$25:$F$69,$F243,Налоги!$AB$25:$AB$69,$G243)</f>
        <v>0</v>
      </c>
      <c r="BC243" s="4765">
        <f>_xlfn.SUMIFS(Налоги!BB$25:BB$69,Налоги!$F$25:$F$69,$F243,Налоги!$AB$25:$AB$69,$G243)</f>
        <v>0</v>
      </c>
      <c r="BD243" s="926">
        <f>IF(AI243=0,0,(AT243-AI243)/AI243*100)</f>
        <v>0</v>
      </c>
      <c r="BE243" s="926">
        <f>IF(AT243=0,0,(AU243-AT243)/AT243*100)</f>
        <v>0</v>
      </c>
      <c r="BF243" s="926">
        <f>IF(AU243=0,0,(AV243-AU243)/AU243*100)</f>
        <v>0</v>
      </c>
      <c r="BG243" s="926">
        <f>IF(AV243=0,0,(AW243-AV243)/AV243*100)</f>
        <v>0</v>
      </c>
      <c r="BH243" s="926">
        <f>IF(AW243=0,0,(AX243-AW243)/AW243*100)</f>
        <v>0</v>
      </c>
      <c r="BI243" s="926">
        <f>IF(AX243=0,0,(AY243-AX243)/AX243*100)</f>
        <v>0</v>
      </c>
      <c r="BJ243" s="926">
        <f>IF(AY243=0,0,(AZ243-AY243)/AY243*100)</f>
        <v>0</v>
      </c>
      <c r="BK243" s="926">
        <f>IF(AZ243=0,0,(BA243-AZ243)/AZ243*100)</f>
        <v>0</v>
      </c>
      <c r="BL243" s="926">
        <f>IF(BA243=0,0,(BB243-BA243)/BA243*100)</f>
        <v>0</v>
      </c>
      <c r="BM243" s="926">
        <f>IF(BB243=0,0,(BC243-BB243)/BB243*100)</f>
        <v>0</v>
      </c>
      <c r="BN243" s="4830"/>
      <c r="BO243" s="4784" t="str">
        <f>IF(_xlfn.IFERROR(INDEX(Налоги!$K$26:$L$69,MATCH($F243&amp;"5komm",Налоги!$K$26:$K$69,0),2),"")=0,"",_xlfn.IFERROR(INDEX(Налоги!$K$26:$L$69,MATCH($F243&amp;"5komm",Налоги!$K$26:$K$69,0),2),""))</f>
        <v/>
      </c>
      <c r="BP243" s="4830"/>
      <c r="BQ243" s="960"/>
      <c r="BR243" s="960"/>
      <c r="BS243" s="1048" t="s">
        <v>1953</v>
      </c>
      <c r="BT243" s="1048"/>
      <c r="BU243" s="1048"/>
      <c r="BV243" s="962"/>
      <c r="BW243" s="962"/>
    </row>
    <row s="1621" customFormat="1" customHeight="1" ht="14.25">
      <c r="A244" s="960"/>
      <c r="B244" s="62"/>
      <c r="C244" s="73"/>
      <c r="D244" s="73"/>
      <c r="E244" s="600">
        <v>15</v>
      </c>
      <c r="F244" s="50" cm="1" t="str">
        <f t="array" ref="F244:F244">OFFSET(E244,-1,1)</f>
        <v>1</v>
      </c>
      <c r="G244" s="904">
        <v>8</v>
      </c>
      <c r="H244" s="73"/>
      <c r="I244" s="73" t="s">
        <v>1954</v>
      </c>
      <c r="J244" s="73"/>
      <c r="K244" s="73" t="s">
        <v>1954</v>
      </c>
      <c r="L244" s="963"/>
      <c r="M244" s="73"/>
      <c r="N244" s="73"/>
      <c r="O244" s="73"/>
      <c r="P244" s="73"/>
      <c r="Q244" s="73"/>
      <c r="R244" s="73"/>
      <c r="S244" s="73"/>
      <c r="T244" s="439" cm="1" t="str">
        <f t="array" ref="T244:T244">T243</f>
        <v>true</v>
      </c>
      <c r="U244" s="73"/>
      <c r="V244" s="73"/>
      <c r="W244" s="960"/>
      <c r="X244" s="1482"/>
      <c r="Y244" s="960"/>
      <c r="Z244" s="1465"/>
      <c r="AA244" s="960"/>
      <c r="AB244" s="266" t="s">
        <v>1955</v>
      </c>
      <c r="AC244" s="746" t="s">
        <v>1956</v>
      </c>
      <c r="AD244" s="267" t="s">
        <v>784</v>
      </c>
      <c r="AE244" s="226">
        <f>_xlfn.SUMIFS(Налоги!AE$25:AE$69,Налоги!$F$25:$F$69,$F244,Налоги!$AB$25:$AB$69,$G244)</f>
        <v>0</v>
      </c>
      <c r="AF244" s="226">
        <f>_xlfn.SUMIFS(Налоги!AF$25:AF$69,Налоги!$F$25:$F$69,$F244,Налоги!$AB$25:$AB$69,$G244)</f>
        <v>0</v>
      </c>
      <c r="AG244" s="226">
        <f>_xlfn.SUMIFS(Налоги!AG$25:AG$69,Налоги!$F$25:$F$69,$F244,Налоги!$AB$25:$AB$69,$G244)</f>
        <v>0</v>
      </c>
      <c r="AH244" s="926">
        <f>AG244-AF244</f>
        <v>0</v>
      </c>
      <c r="AI244" s="926">
        <f>_xlfn.SUMIFS(Налоги!AH$25:AH$69,Налоги!$F$25:$F$69,$F244,Налоги!$AB$25:$AB$69,$G244)</f>
        <v>0</v>
      </c>
      <c r="AJ244" s="926">
        <f>_xlfn.SUMIFS(Налоги!AI$25:AI$69,Налоги!$F$25:$F$69,$F244,Налоги!$AB$25:$AB$69,$G244)</f>
        <v>0</v>
      </c>
      <c r="AK244" s="926">
        <f>_xlfn.SUMIFS(Налоги!AJ$25:AJ$69,Налоги!$F$25:$F$69,$F244,Налоги!$AB$25:$AB$69,$G244)</f>
        <v>0</v>
      </c>
      <c r="AL244" s="926">
        <f>_xlfn.SUMIFS(Налоги!AK$25:AK$69,Налоги!$F$25:$F$69,$F244,Налоги!$AB$25:$AB$69,$G244)</f>
        <v>0</v>
      </c>
      <c r="AM244" s="926">
        <f>_xlfn.SUMIFS(Налоги!AL$25:AL$69,Налоги!$F$25:$F$69,$F244,Налоги!$AB$25:$AB$69,$G244)</f>
        <v>0</v>
      </c>
      <c r="AN244" s="926">
        <f>_xlfn.SUMIFS(Налоги!AM$25:AM$69,Налоги!$F$25:$F$69,$F244,Налоги!$AB$25:$AB$69,$G244)</f>
        <v>0</v>
      </c>
      <c r="AO244" s="926">
        <f>_xlfn.SUMIFS(Налоги!AN$25:AN$69,Налоги!$F$25:$F$69,$F244,Налоги!$AB$25:$AB$69,$G244)</f>
        <v>0</v>
      </c>
      <c r="AP244" s="926">
        <f>_xlfn.SUMIFS(Налоги!AO$25:AO$69,Налоги!$F$25:$F$69,$F244,Налоги!$AB$25:$AB$69,$G244)</f>
        <v>0</v>
      </c>
      <c r="AQ244" s="926">
        <f>_xlfn.SUMIFS(Налоги!AP$25:AP$69,Налоги!$F$25:$F$69,$F244,Налоги!$AB$25:$AB$69,$G244)</f>
        <v>0</v>
      </c>
      <c r="AR244" s="926">
        <f>_xlfn.SUMIFS(Налоги!AQ$25:AQ$69,Налоги!$F$25:$F$69,$F244,Налоги!$AB$25:$AB$69,$G244)</f>
        <v>0</v>
      </c>
      <c r="AS244" s="926">
        <f>_xlfn.SUMIFS(Налоги!AR$25:AR$69,Налоги!$F$25:$F$69,$F244,Налоги!$AB$25:$AB$69,$G244)</f>
        <v>0</v>
      </c>
      <c r="AT244" s="926">
        <f>_xlfn.SUMIFS(Налоги!AS$25:AS$69,Налоги!$F$25:$F$69,$F244,Налоги!$AB$25:$AB$69,$G244)</f>
        <v>0</v>
      </c>
      <c r="AU244" s="926">
        <f>_xlfn.SUMIFS(Налоги!AT$25:AT$69,Налоги!$F$25:$F$69,$F244,Налоги!$AB$25:$AB$69,$G244)</f>
        <v>0</v>
      </c>
      <c r="AV244" s="926">
        <f>_xlfn.SUMIFS(Налоги!AU$25:AU$69,Налоги!$F$25:$F$69,$F244,Налоги!$AB$25:$AB$69,$G244)</f>
        <v>0</v>
      </c>
      <c r="AW244" s="926">
        <f>_xlfn.SUMIFS(Налоги!AV$25:AV$69,Налоги!$F$25:$F$69,$F244,Налоги!$AB$25:$AB$69,$G244)</f>
        <v>0</v>
      </c>
      <c r="AX244" s="926">
        <f>_xlfn.SUMIFS(Налоги!AW$25:AW$69,Налоги!$F$25:$F$69,$F244,Налоги!$AB$25:$AB$69,$G244)</f>
        <v>0</v>
      </c>
      <c r="AY244" s="926">
        <f>_xlfn.SUMIFS(Налоги!AX$25:AX$69,Налоги!$F$25:$F$69,$F244,Налоги!$AB$25:$AB$69,$G244)</f>
        <v>0</v>
      </c>
      <c r="AZ244" s="926">
        <f>_xlfn.SUMIFS(Налоги!AY$25:AY$69,Налоги!$F$25:$F$69,$F244,Налоги!$AB$25:$AB$69,$G244)</f>
        <v>0</v>
      </c>
      <c r="BA244" s="926">
        <f>_xlfn.SUMIFS(Налоги!AZ$25:AZ$69,Налоги!$F$25:$F$69,$F244,Налоги!$AB$25:$AB$69,$G244)</f>
        <v>0</v>
      </c>
      <c r="BB244" s="926">
        <f>_xlfn.SUMIFS(Налоги!BA$25:BA$69,Налоги!$F$25:$F$69,$F244,Налоги!$AB$25:$AB$69,$G244)</f>
        <v>0</v>
      </c>
      <c r="BC244" s="926">
        <f>_xlfn.SUMIFS(Налоги!BB$25:BB$69,Налоги!$F$25:$F$69,$F244,Налоги!$AB$25:$AB$69,$G244)</f>
        <v>0</v>
      </c>
      <c r="BD244" s="926">
        <f>IF(AI244=0,0,(AT244-AI244)/AI244*100)</f>
        <v>0</v>
      </c>
      <c r="BE244" s="926">
        <f>IF(AT244=0,0,(AU244-AT244)/AT244*100)</f>
        <v>0</v>
      </c>
      <c r="BF244" s="926">
        <f>IF(AU244=0,0,(AV244-AU244)/AU244*100)</f>
        <v>0</v>
      </c>
      <c r="BG244" s="926">
        <f>IF(AV244=0,0,(AW244-AV244)/AV244*100)</f>
        <v>0</v>
      </c>
      <c r="BH244" s="926">
        <f>IF(AW244=0,0,(AX244-AW244)/AW244*100)</f>
        <v>0</v>
      </c>
      <c r="BI244" s="926">
        <f>IF(AX244=0,0,(AY244-AX244)/AX244*100)</f>
        <v>0</v>
      </c>
      <c r="BJ244" s="926">
        <f>IF(AY244=0,0,(AZ244-AY244)/AY244*100)</f>
        <v>0</v>
      </c>
      <c r="BK244" s="926">
        <f>IF(AZ244=0,0,(BA244-AZ244)/AZ244*100)</f>
        <v>0</v>
      </c>
      <c r="BL244" s="926">
        <f>IF(BA244=0,0,(BB244-BA244)/BA244*100)</f>
        <v>0</v>
      </c>
      <c r="BM244" s="926">
        <f>IF(BB244=0,0,(BC244-BB244)/BB244*100)</f>
        <v>0</v>
      </c>
      <c r="BN244" s="4830"/>
      <c r="BO244" s="4784" t="str">
        <f>IF(_xlfn.IFERROR(INDEX(Налоги!$K$26:$L$69,MATCH($F244&amp;"8komm",Налоги!$K$26:$K$69,0),2),"")=0,"",_xlfn.IFERROR(INDEX(Налоги!$K$26:$L$69,MATCH($F244&amp;"8komm",Налоги!$K$26:$K$69,0),2),""))</f>
        <v/>
      </c>
      <c r="BP244" s="4830"/>
      <c r="BQ244" s="960"/>
      <c r="BR244" s="960"/>
      <c r="BS244" s="1048" t="s">
        <v>1169</v>
      </c>
      <c r="BT244" s="1048"/>
      <c r="BU244" s="1048"/>
      <c r="BV244" s="962"/>
      <c r="BW244" s="962"/>
    </row>
    <row s="1260" customFormat="1" customHeight="1" ht="14.25">
      <c r="A245" s="1260"/>
      <c r="B245" s="62"/>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1260"/>
      <c r="X245" s="1482"/>
      <c r="Y245" s="1260"/>
      <c r="Z245" s="1465"/>
      <c r="AA245" s="1260"/>
      <c r="AB245" s="266" t="s">
        <v>1957</v>
      </c>
      <c r="AC245" s="761" t="s">
        <v>1958</v>
      </c>
      <c r="AD245" s="267" t="s">
        <v>784</v>
      </c>
      <c r="AE245" s="226">
        <f>_xlfn.SUMIFS(Налоги!AE$25:AE$69,Налоги!$F$25:$F$69,$F245,Налоги!$AB$25:$AB$69,$G245)</f>
        <v>0</v>
      </c>
      <c r="AF245" s="226">
        <f>_xlfn.SUMIFS(Налоги!AF$25:AF$69,Налоги!$F$25:$F$69,$F245,Налоги!$AB$25:$AB$69,$G245)</f>
        <v>0</v>
      </c>
      <c r="AG245" s="226">
        <f>_xlfn.SUMIFS(Налоги!AG$25:AG$69,Налоги!$F$25:$F$69,$F245,Налоги!$AB$25:$AB$69,$G245)</f>
        <v>0</v>
      </c>
      <c r="AH245" s="926">
        <f>AG245-AF245</f>
        <v>0</v>
      </c>
      <c r="AI245" s="926">
        <f>_xlfn.SUMIFS(Налоги!AH$25:AH$69,Налоги!$F$25:$F$69,$F245,Налоги!$AB$25:$AB$69,$G245)</f>
        <v>0</v>
      </c>
      <c r="AJ245" s="926">
        <f>_xlfn.SUMIFS(Налоги!AI$25:AI$69,Налоги!$F$25:$F$69,$F245,Налоги!$AB$25:$AB$69,$G245)</f>
        <v>0</v>
      </c>
      <c r="AK245" s="926">
        <f>_xlfn.SUMIFS(Налоги!AJ$25:AJ$69,Налоги!$F$25:$F$69,$F245,Налоги!$AB$25:$AB$69,$G245)</f>
        <v>0</v>
      </c>
      <c r="AL245" s="926">
        <f>_xlfn.SUMIFS(Налоги!AK$25:AK$69,Налоги!$F$25:$F$69,$F245,Налоги!$AB$25:$AB$69,$G245)</f>
        <v>0</v>
      </c>
      <c r="AM245" s="926">
        <f>_xlfn.SUMIFS(Налоги!AL$25:AL$69,Налоги!$F$25:$F$69,$F245,Налоги!$AB$25:$AB$69,$G245)</f>
        <v>0</v>
      </c>
      <c r="AN245" s="926">
        <f>_xlfn.SUMIFS(Налоги!AM$25:AM$69,Налоги!$F$25:$F$69,$F245,Налоги!$AB$25:$AB$69,$G245)</f>
        <v>0</v>
      </c>
      <c r="AO245" s="926">
        <f>_xlfn.SUMIFS(Налоги!AN$25:AN$69,Налоги!$F$25:$F$69,$F245,Налоги!$AB$25:$AB$69,$G245)</f>
        <v>0</v>
      </c>
      <c r="AP245" s="926">
        <f>_xlfn.SUMIFS(Налоги!AO$25:AO$69,Налоги!$F$25:$F$69,$F245,Налоги!$AB$25:$AB$69,$G245)</f>
        <v>0</v>
      </c>
      <c r="AQ245" s="926">
        <f>_xlfn.SUMIFS(Налоги!AP$25:AP$69,Налоги!$F$25:$F$69,$F245,Налоги!$AB$25:$AB$69,$G245)</f>
        <v>0</v>
      </c>
      <c r="AR245" s="926">
        <f>_xlfn.SUMIFS(Налоги!AQ$25:AQ$69,Налоги!$F$25:$F$69,$F245,Налоги!$AB$25:$AB$69,$G245)</f>
        <v>0</v>
      </c>
      <c r="AS245" s="926">
        <f>_xlfn.SUMIFS(Налоги!AR$25:AR$69,Налоги!$F$25:$F$69,$F245,Налоги!$AB$25:$AB$69,$G245)</f>
        <v>0</v>
      </c>
      <c r="AT245" s="926">
        <f>_xlfn.SUMIFS(Налоги!AS$25:AS$69,Налоги!$F$25:$F$69,$F245,Налоги!$AB$25:$AB$69,$G245)</f>
        <v>0</v>
      </c>
      <c r="AU245" s="926">
        <f>_xlfn.SUMIFS(Налоги!AT$25:AT$69,Налоги!$F$25:$F$69,$F245,Налоги!$AB$25:$AB$69,$G245)</f>
        <v>0</v>
      </c>
      <c r="AV245" s="926">
        <f>_xlfn.SUMIFS(Налоги!AU$25:AU$69,Налоги!$F$25:$F$69,$F245,Налоги!$AB$25:$AB$69,$G245)</f>
        <v>0</v>
      </c>
      <c r="AW245" s="926">
        <f>_xlfn.SUMIFS(Налоги!AV$25:AV$69,Налоги!$F$25:$F$69,$F245,Налоги!$AB$25:$AB$69,$G245)</f>
        <v>0</v>
      </c>
      <c r="AX245" s="926">
        <f>_xlfn.SUMIFS(Налоги!AW$25:AW$69,Налоги!$F$25:$F$69,$F245,Налоги!$AB$25:$AB$69,$G245)</f>
        <v>0</v>
      </c>
      <c r="AY245" s="926">
        <f>_xlfn.SUMIFS(Налоги!AX$25:AX$69,Налоги!$F$25:$F$69,$F245,Налоги!$AB$25:$AB$69,$G245)</f>
        <v>0</v>
      </c>
      <c r="AZ245" s="926">
        <f>_xlfn.SUMIFS(Налоги!AY$25:AY$69,Налоги!$F$25:$F$69,$F245,Налоги!$AB$25:$AB$69,$G245)</f>
        <v>0</v>
      </c>
      <c r="BA245" s="926">
        <f>_xlfn.SUMIFS(Налоги!AZ$25:AZ$69,Налоги!$F$25:$F$69,$F245,Налоги!$AB$25:$AB$69,$G245)</f>
        <v>0</v>
      </c>
      <c r="BB245" s="926">
        <f>_xlfn.SUMIFS(Налоги!BA$25:BA$69,Налоги!$F$25:$F$69,$F245,Налоги!$AB$25:$AB$69,$G245)</f>
        <v>0</v>
      </c>
      <c r="BC245" s="926">
        <f>_xlfn.SUMIFS(Налоги!BB$25:BB$69,Налоги!$F$25:$F$69,$F245,Налоги!$AB$25:$AB$69,$G245)</f>
        <v>0</v>
      </c>
      <c r="BD245" s="926">
        <f>IF(AI245=0,0,(AT245-AI245)/AI245*100)</f>
        <v>0</v>
      </c>
      <c r="BE245" s="926">
        <f>IF(AT245=0,0,(AU245-AT245)/AT245*100)</f>
        <v>0</v>
      </c>
      <c r="BF245" s="926">
        <f>IF(AU245=0,0,(AV245-AU245)/AU245*100)</f>
        <v>0</v>
      </c>
      <c r="BG245" s="926">
        <f>IF(AV245=0,0,(AW245-AV245)/AV245*100)</f>
        <v>0</v>
      </c>
      <c r="BH245" s="926">
        <f>IF(AW245=0,0,(AX245-AW245)/AW245*100)</f>
        <v>0</v>
      </c>
      <c r="BI245" s="926">
        <f>IF(AX245=0,0,(AY245-AX245)/AX245*100)</f>
        <v>0</v>
      </c>
      <c r="BJ245" s="926">
        <f>IF(AY245=0,0,(AZ245-AY245)/AY245*100)</f>
        <v>0</v>
      </c>
      <c r="BK245" s="926">
        <f>IF(AZ245=0,0,(BA245-AZ245)/AZ245*100)</f>
        <v>0</v>
      </c>
      <c r="BL245" s="926">
        <f>IF(BA245=0,0,(BB245-BA245)/BA245*100)</f>
        <v>0</v>
      </c>
      <c r="BM245" s="926">
        <f>IF(BB245=0,0,(BC245-BB245)/BB245*100)</f>
        <v>0</v>
      </c>
      <c r="BN245" s="4830"/>
      <c r="BO245" s="4784" t="str">
        <f>IF(_xlfn.IFERROR(INDEX(Налоги!$K$26:$L$69,MATCH($F245&amp;"9komm",Налоги!$K$26:$K$69,0),2),"")=0,"",_xlfn.IFERROR(INDEX(Налоги!$K$26:$L$69,MATCH($F245&amp;"9komm",Налоги!$K$26:$K$69,0),2),""))</f>
        <v/>
      </c>
      <c r="BP245" s="4830"/>
      <c r="BQ245" s="1260"/>
      <c r="BR245" s="1260"/>
      <c r="BS245" s="1055" t="s">
        <v>1959</v>
      </c>
      <c r="BT245" s="1055"/>
      <c r="BU245" s="1055"/>
      <c r="BV245" s="1056"/>
      <c r="BW245" s="1056"/>
    </row>
    <row s="1621" customFormat="1" customHeight="1" ht="14.25">
      <c r="A246" s="960"/>
      <c r="B246" s="62"/>
      <c r="C246" s="73"/>
      <c r="D246" s="73"/>
      <c r="E246" s="600">
        <v>15</v>
      </c>
      <c r="F246" s="50" cm="1" t="str">
        <f t="array" ref="F246:F246">OFFSET(E246,-1,1)</f>
        <v>1</v>
      </c>
      <c r="G246" s="904">
        <v>10</v>
      </c>
      <c r="H246" s="73"/>
      <c r="I246" s="73" t="s">
        <v>1960</v>
      </c>
      <c r="J246" s="73"/>
      <c r="K246" s="73" t="s">
        <v>1960</v>
      </c>
      <c r="L246" s="963"/>
      <c r="M246" s="73"/>
      <c r="N246" s="73"/>
      <c r="O246" s="73"/>
      <c r="P246" s="73"/>
      <c r="Q246" s="73"/>
      <c r="R246" s="73"/>
      <c r="S246" s="73"/>
      <c r="T246" s="439" cm="1" t="str">
        <f t="array" ref="T246:T246">T245</f>
        <v>true</v>
      </c>
      <c r="U246" s="73"/>
      <c r="V246" s="73"/>
      <c r="W246" s="960"/>
      <c r="X246" s="1482"/>
      <c r="Y246" s="960"/>
      <c r="Z246" s="1465"/>
      <c r="AA246" s="960"/>
      <c r="AB246" s="266" t="s">
        <v>1961</v>
      </c>
      <c r="AC246" s="762" t="s">
        <v>1962</v>
      </c>
      <c r="AD246" s="267" t="s">
        <v>784</v>
      </c>
      <c r="AE246" s="226">
        <f>_xlfn.SUMIFS(Налоги!AE$25:AE$69,Налоги!$F$25:$F$69,$F246,Налоги!$AB$25:$AB$69,$G246)</f>
        <v>0</v>
      </c>
      <c r="AF246" s="226">
        <f>_xlfn.SUMIFS(Налоги!AF$25:AF$69,Налоги!$F$25:$F$69,$F246,Налоги!$AB$25:$AB$69,$G246)</f>
        <v>0</v>
      </c>
      <c r="AG246" s="226">
        <f>_xlfn.SUMIFS(Налоги!AG$25:AG$69,Налоги!$F$25:$F$69,$F246,Налоги!$AB$25:$AB$69,$G246)</f>
        <v>0</v>
      </c>
      <c r="AH246" s="926">
        <f>AG246-AF246</f>
        <v>0</v>
      </c>
      <c r="AI246" s="926">
        <f>_xlfn.SUMIFS(Налоги!AH$25:AH$69,Налоги!$F$25:$F$69,$F246,Налоги!$AB$25:$AB$69,$G246)</f>
        <v>0</v>
      </c>
      <c r="AJ246" s="926">
        <f>_xlfn.SUMIFS(Налоги!AI$25:AI$69,Налоги!$F$25:$F$69,$F246,Налоги!$AB$25:$AB$69,$G246)</f>
        <v>0</v>
      </c>
      <c r="AK246" s="926">
        <f>_xlfn.SUMIFS(Налоги!AJ$25:AJ$69,Налоги!$F$25:$F$69,$F246,Налоги!$AB$25:$AB$69,$G246)</f>
        <v>0</v>
      </c>
      <c r="AL246" s="926">
        <f>_xlfn.SUMIFS(Налоги!AK$25:AK$69,Налоги!$F$25:$F$69,$F246,Налоги!$AB$25:$AB$69,$G246)</f>
        <v>0</v>
      </c>
      <c r="AM246" s="926">
        <f>_xlfn.SUMIFS(Налоги!AL$25:AL$69,Налоги!$F$25:$F$69,$F246,Налоги!$AB$25:$AB$69,$G246)</f>
        <v>0</v>
      </c>
      <c r="AN246" s="926">
        <f>_xlfn.SUMIFS(Налоги!AM$25:AM$69,Налоги!$F$25:$F$69,$F246,Налоги!$AB$25:$AB$69,$G246)</f>
        <v>0</v>
      </c>
      <c r="AO246" s="926">
        <f>_xlfn.SUMIFS(Налоги!AN$25:AN$69,Налоги!$F$25:$F$69,$F246,Налоги!$AB$25:$AB$69,$G246)</f>
        <v>0</v>
      </c>
      <c r="AP246" s="926">
        <f>_xlfn.SUMIFS(Налоги!AO$25:AO$69,Налоги!$F$25:$F$69,$F246,Налоги!$AB$25:$AB$69,$G246)</f>
        <v>0</v>
      </c>
      <c r="AQ246" s="926">
        <f>_xlfn.SUMIFS(Налоги!AP$25:AP$69,Налоги!$F$25:$F$69,$F246,Налоги!$AB$25:$AB$69,$G246)</f>
        <v>0</v>
      </c>
      <c r="AR246" s="926">
        <f>_xlfn.SUMIFS(Налоги!AQ$25:AQ$69,Налоги!$F$25:$F$69,$F246,Налоги!$AB$25:$AB$69,$G246)</f>
        <v>0</v>
      </c>
      <c r="AS246" s="926">
        <f>_xlfn.SUMIFS(Налоги!AR$25:AR$69,Налоги!$F$25:$F$69,$F246,Налоги!$AB$25:$AB$69,$G246)</f>
        <v>0</v>
      </c>
      <c r="AT246" s="926">
        <f>_xlfn.SUMIFS(Налоги!AS$25:AS$69,Налоги!$F$25:$F$69,$F246,Налоги!$AB$25:$AB$69,$G246)</f>
        <v>0</v>
      </c>
      <c r="AU246" s="926">
        <f>_xlfn.SUMIFS(Налоги!AT$25:AT$69,Налоги!$F$25:$F$69,$F246,Налоги!$AB$25:$AB$69,$G246)</f>
        <v>0</v>
      </c>
      <c r="AV246" s="926">
        <f>_xlfn.SUMIFS(Налоги!AU$25:AU$69,Налоги!$F$25:$F$69,$F246,Налоги!$AB$25:$AB$69,$G246)</f>
        <v>0</v>
      </c>
      <c r="AW246" s="926">
        <f>_xlfn.SUMIFS(Налоги!AV$25:AV$69,Налоги!$F$25:$F$69,$F246,Налоги!$AB$25:$AB$69,$G246)</f>
        <v>0</v>
      </c>
      <c r="AX246" s="926">
        <f>_xlfn.SUMIFS(Налоги!AW$25:AW$69,Налоги!$F$25:$F$69,$F246,Налоги!$AB$25:$AB$69,$G246)</f>
        <v>0</v>
      </c>
      <c r="AY246" s="926">
        <f>_xlfn.SUMIFS(Налоги!AX$25:AX$69,Налоги!$F$25:$F$69,$F246,Налоги!$AB$25:$AB$69,$G246)</f>
        <v>0</v>
      </c>
      <c r="AZ246" s="926">
        <f>_xlfn.SUMIFS(Налоги!AY$25:AY$69,Налоги!$F$25:$F$69,$F246,Налоги!$AB$25:$AB$69,$G246)</f>
        <v>0</v>
      </c>
      <c r="BA246" s="926">
        <f>_xlfn.SUMIFS(Налоги!AZ$25:AZ$69,Налоги!$F$25:$F$69,$F246,Налоги!$AB$25:$AB$69,$G246)</f>
        <v>0</v>
      </c>
      <c r="BB246" s="926">
        <f>_xlfn.SUMIFS(Налоги!BA$25:BA$69,Налоги!$F$25:$F$69,$F246,Налоги!$AB$25:$AB$69,$G246)</f>
        <v>0</v>
      </c>
      <c r="BC246" s="926">
        <f>_xlfn.SUMIFS(Налоги!BB$25:BB$69,Налоги!$F$25:$F$69,$F246,Налоги!$AB$25:$AB$69,$G246)</f>
        <v>0</v>
      </c>
      <c r="BD246" s="926">
        <f>IF(AI246=0,0,(AT246-AI246)/AI246*100)</f>
        <v>0</v>
      </c>
      <c r="BE246" s="926">
        <f>IF(AT246=0,0,(AU246-AT246)/AT246*100)</f>
        <v>0</v>
      </c>
      <c r="BF246" s="926">
        <f>IF(AU246=0,0,(AV246-AU246)/AU246*100)</f>
        <v>0</v>
      </c>
      <c r="BG246" s="926">
        <f>IF(AV246=0,0,(AW246-AV246)/AV246*100)</f>
        <v>0</v>
      </c>
      <c r="BH246" s="926">
        <f>IF(AW246=0,0,(AX246-AW246)/AW246*100)</f>
        <v>0</v>
      </c>
      <c r="BI246" s="926">
        <f>IF(AX246=0,0,(AY246-AX246)/AX246*100)</f>
        <v>0</v>
      </c>
      <c r="BJ246" s="926">
        <f>IF(AY246=0,0,(AZ246-AY246)/AY246*100)</f>
        <v>0</v>
      </c>
      <c r="BK246" s="926">
        <f>IF(AZ246=0,0,(BA246-AZ246)/AZ246*100)</f>
        <v>0</v>
      </c>
      <c r="BL246" s="926">
        <f>IF(BA246=0,0,(BB246-BA246)/BA246*100)</f>
        <v>0</v>
      </c>
      <c r="BM246" s="926">
        <f>IF(BB246=0,0,(BC246-BB246)/BB246*100)</f>
        <v>0</v>
      </c>
      <c r="BN246" s="4830"/>
      <c r="BO246" s="4784" t="str">
        <f>IF(_xlfn.IFERROR(INDEX(Налоги!$K$26:$L$69,MATCH($F246&amp;"10komm",Налоги!$K$26:$K$69,0),2),"")=0,"",_xlfn.IFERROR(INDEX(Налоги!$K$26:$L$69,MATCH($F246&amp;"10komm",Налоги!$K$26:$K$69,0),2),""))</f>
        <v/>
      </c>
      <c r="BP246" s="4830"/>
      <c r="BQ246" s="960"/>
      <c r="BR246" s="960"/>
      <c r="BS246" s="1048" t="s">
        <v>1963</v>
      </c>
      <c r="BT246" s="1048"/>
      <c r="BU246" s="1048"/>
      <c r="BV246" s="962"/>
      <c r="BW246" s="962"/>
    </row>
    <row s="1621" customFormat="1" customHeight="1" ht="65.25">
      <c r="A247" s="960"/>
      <c r="B247" s="961"/>
      <c r="C247" s="960"/>
      <c r="D247" s="960"/>
      <c r="E247" s="683">
        <v>67.5</v>
      </c>
      <c r="F247" s="50" cm="1" t="str">
        <f t="array" ref="F247:F247">OFFSET(E247,-1,1)</f>
        <v>1</v>
      </c>
      <c r="G247" s="124" t="s">
        <v>1328</v>
      </c>
      <c r="H247" s="960"/>
      <c r="I247" s="124" t="s">
        <v>867</v>
      </c>
      <c r="J247" s="960"/>
      <c r="K247" s="124" t="s">
        <v>867</v>
      </c>
      <c r="L247" s="963"/>
      <c r="M247" s="73"/>
      <c r="N247" s="960"/>
      <c r="O247" s="960"/>
      <c r="P247" s="960"/>
      <c r="Q247" s="960"/>
      <c r="R247" s="960"/>
      <c r="S247" s="960"/>
      <c r="T247" s="439" cm="1" t="str">
        <f t="array" ref="T247:T247">T246</f>
        <v>true</v>
      </c>
      <c r="U247" s="960"/>
      <c r="V247" s="960"/>
      <c r="W247" s="960"/>
      <c r="X247" s="1482"/>
      <c r="Y247" s="960"/>
      <c r="Z247" s="1465"/>
      <c r="AA247" s="960"/>
      <c r="AB247" s="266" t="s">
        <v>868</v>
      </c>
      <c r="AC247" s="763" t="s">
        <v>1331</v>
      </c>
      <c r="AD247" s="267" t="s">
        <v>784</v>
      </c>
      <c r="AE247" s="4833"/>
      <c r="AF247" s="4833"/>
      <c r="AG247" s="4833"/>
      <c r="AH247" s="926">
        <f>AG247-AF247</f>
        <v>0</v>
      </c>
      <c r="AI247" s="4769"/>
      <c r="AJ247" s="4769"/>
      <c r="AK247" s="1285"/>
      <c r="AL247" s="1285"/>
      <c r="AM247" s="4769"/>
      <c r="AN247" s="4769"/>
      <c r="AO247" s="4769"/>
      <c r="AP247" s="4769"/>
      <c r="AQ247" s="4769"/>
      <c r="AR247" s="4769"/>
      <c r="AS247" s="4769"/>
      <c r="AT247" s="4769"/>
      <c r="AU247" s="1285"/>
      <c r="AV247" s="1285"/>
      <c r="AW247" s="4769"/>
      <c r="AX247" s="4769"/>
      <c r="AY247" s="4769"/>
      <c r="AZ247" s="4769"/>
      <c r="BA247" s="4769"/>
      <c r="BB247" s="4769"/>
      <c r="BC247" s="4769"/>
      <c r="BD247" s="926">
        <f>IF(AI247=0,0,(AT247-AI247)/AI247*100)</f>
        <v>0</v>
      </c>
      <c r="BE247" s="926">
        <f>IF(AT247=0,0,(AU247-AT247)/AT247*100)</f>
        <v>0</v>
      </c>
      <c r="BF247" s="926">
        <f>IF(AU247=0,0,(AV247-AU247)/AU247*100)</f>
        <v>0</v>
      </c>
      <c r="BG247" s="926">
        <f>IF(AV247=0,0,(AW247-AV247)/AV247*100)</f>
        <v>0</v>
      </c>
      <c r="BH247" s="926">
        <f>IF(AW247=0,0,(AX247-AW247)/AW247*100)</f>
        <v>0</v>
      </c>
      <c r="BI247" s="926">
        <f>IF(AX247=0,0,(AY247-AX247)/AX247*100)</f>
        <v>0</v>
      </c>
      <c r="BJ247" s="926">
        <f>IF(AY247=0,0,(AZ247-AY247)/AY247*100)</f>
        <v>0</v>
      </c>
      <c r="BK247" s="926">
        <f>IF(AZ247=0,0,(BA247-AZ247)/AZ247*100)</f>
        <v>0</v>
      </c>
      <c r="BL247" s="926">
        <f>IF(BA247=0,0,(BB247-BA247)/BA247*100)</f>
        <v>0</v>
      </c>
      <c r="BM247" s="926">
        <f>IF(BB247=0,0,(BC247-BB247)/BB247*100)</f>
        <v>0</v>
      </c>
      <c r="BN247" s="4830"/>
      <c r="BO247" s="4830"/>
      <c r="BP247" s="4830"/>
      <c r="BQ247" s="960"/>
      <c r="BR247" s="960"/>
      <c r="BS247" s="1048" t="s">
        <v>1964</v>
      </c>
      <c r="BT247" s="1048"/>
      <c r="BU247" s="1048"/>
      <c r="BV247" s="962"/>
      <c r="BW247" s="962"/>
    </row>
    <row s="1621" customFormat="1" customHeight="1" ht="14.25">
      <c r="A248" s="960"/>
      <c r="B248" s="961"/>
      <c r="C248" s="960"/>
      <c r="D248" s="960"/>
      <c r="E248" s="683">
        <v>15</v>
      </c>
      <c r="F248" s="50" cm="1" t="str">
        <f t="array" ref="F248:F248">OFFSET(E248,-1,1)</f>
        <v>1</v>
      </c>
      <c r="G248" s="124" t="s">
        <v>949</v>
      </c>
      <c r="H248" s="960"/>
      <c r="I248" s="124" t="s">
        <v>870</v>
      </c>
      <c r="J248" s="960"/>
      <c r="K248" s="124" t="s">
        <v>870</v>
      </c>
      <c r="L248" s="963" t="s">
        <v>491</v>
      </c>
      <c r="M248" s="73"/>
      <c r="N248" s="960"/>
      <c r="O248" s="960"/>
      <c r="P248" s="960"/>
      <c r="Q248" s="960"/>
      <c r="R248" s="960"/>
      <c r="S248" s="960"/>
      <c r="T248" s="439" cm="1" t="str">
        <f t="array" ref="T248:T248">T247</f>
        <v>true</v>
      </c>
      <c r="U248" s="960"/>
      <c r="V248" s="960"/>
      <c r="W248" s="960"/>
      <c r="X248" s="1482"/>
      <c r="Y248" s="960"/>
      <c r="Z248" s="1465"/>
      <c r="AA248" s="960"/>
      <c r="AB248" s="266" t="s">
        <v>871</v>
      </c>
      <c r="AC248" s="743" t="s">
        <v>949</v>
      </c>
      <c r="AD248" s="267" t="s">
        <v>784</v>
      </c>
      <c r="AE248" s="226">
        <f>_xlfn.SUMIFS(Аренда!AE$25:AE$57,Аренда!$F$25:$F$57,$F248,Аренда!$G$25:$G$57,"Арендная и концессионная плата, лизинговые платежи")</f>
        <v>0</v>
      </c>
      <c r="AF248" s="226">
        <f>_xlfn.SUMIFS(Аренда!AF$25:AF$57,Аренда!$F$25:$F$57,$F248,Аренда!$G$25:$G$57,"Арендная и концессионная плата, лизинговые платежи")</f>
        <v>0</v>
      </c>
      <c r="AG248" s="226">
        <f>_xlfn.SUMIFS(Аренда!AG$25:AG$57,Аренда!$F$25:$F$57,$F248,Аренда!$G$25:$G$57,"Арендная и концессионная плата, лизинговые платежи")</f>
        <v>0</v>
      </c>
      <c r="AH248" s="926">
        <f>AG248-AF248</f>
        <v>0</v>
      </c>
      <c r="AI248" s="226">
        <f>_xlfn.SUMIFS(Аренда!AH$25:AH$57,Аренда!$F$25:$F$57,$F248,Аренда!$G$25:$G$57,"Арендная и концессионная плата, лизинговые платежи")</f>
        <v>0</v>
      </c>
      <c r="AJ248" s="226">
        <f>_xlfn.SUMIFS(Аренда!AI$25:AI$57,Аренда!$F$25:$F$57,$F248,Аренда!$G$25:$G$57,"Арендная и концессионная плата, лизинговые платежи")</f>
        <v>0</v>
      </c>
      <c r="AK248" s="226">
        <f>_xlfn.SUMIFS(Аренда!AJ$25:AJ$57,Аренда!$F$25:$F$57,$F248,Аренда!$G$25:$G$57,"Арендная и концессионная плата, лизинговые платежи")</f>
        <v>0</v>
      </c>
      <c r="AL248" s="226">
        <f>_xlfn.SUMIFS(Аренда!AK$25:AK$57,Аренда!$F$25:$F$57,$F248,Аренда!$G$25:$G$57,"Арендная и концессионная плата, лизинговые платежи")</f>
        <v>0</v>
      </c>
      <c r="AM248" s="226">
        <f>_xlfn.SUMIFS(Аренда!AL$25:AL$57,Аренда!$F$25:$F$57,$F248,Аренда!$G$25:$G$57,"Арендная и концессионная плата, лизинговые платежи")</f>
        <v>0</v>
      </c>
      <c r="AN248" s="226">
        <f>_xlfn.SUMIFS(Аренда!AM$25:AM$57,Аренда!$F$25:$F$57,$F248,Аренда!$G$25:$G$57,"Арендная и концессионная плата, лизинговые платежи")</f>
        <v>0</v>
      </c>
      <c r="AO248" s="226">
        <f>_xlfn.SUMIFS(Аренда!AN$25:AN$57,Аренда!$F$25:$F$57,$F248,Аренда!$G$25:$G$57,"Арендная и концессионная плата, лизинговые платежи")</f>
        <v>0</v>
      </c>
      <c r="AP248" s="226">
        <f>_xlfn.SUMIFS(Аренда!AO$25:AO$57,Аренда!$F$25:$F$57,$F248,Аренда!$G$25:$G$57,"Арендная и концессионная плата, лизинговые платежи")</f>
        <v>0</v>
      </c>
      <c r="AQ248" s="226">
        <f>_xlfn.SUMIFS(Аренда!AP$25:AP$57,Аренда!$F$25:$F$57,$F248,Аренда!$G$25:$G$57,"Арендная и концессионная плата, лизинговые платежи")</f>
        <v>0</v>
      </c>
      <c r="AR248" s="226">
        <f>_xlfn.SUMIFS(Аренда!AQ$25:AQ$57,Аренда!$F$25:$F$57,$F248,Аренда!$G$25:$G$57,"Арендная и концессионная плата, лизинговые платежи")</f>
        <v>0</v>
      </c>
      <c r="AS248" s="226">
        <f>_xlfn.SUMIFS(Аренда!AR$25:AR$57,Аренда!$F$25:$F$57,$F248,Аренда!$G$25:$G$57,"Арендная и концессионная плата, лизинговые платежи")</f>
        <v>0</v>
      </c>
      <c r="AT248" s="226">
        <f>_xlfn.SUMIFS(Аренда!AS$25:AS$57,Аренда!$F$25:$F$57,$F248,Аренда!$G$25:$G$57,"Арендная и концессионная плата, лизинговые платежи")</f>
        <v>0</v>
      </c>
      <c r="AU248" s="226">
        <f>_xlfn.SUMIFS(Аренда!AT$25:AT$57,Аренда!$F$25:$F$57,$F248,Аренда!$G$25:$G$57,"Арендная и концессионная плата, лизинговые платежи")</f>
        <v>0</v>
      </c>
      <c r="AV248" s="226">
        <f>_xlfn.SUMIFS(Аренда!AU$25:AU$57,Аренда!$F$25:$F$57,$F248,Аренда!$G$25:$G$57,"Арендная и концессионная плата, лизинговые платежи")</f>
        <v>0</v>
      </c>
      <c r="AW248" s="226">
        <f>_xlfn.SUMIFS(Аренда!AV$25:AV$57,Аренда!$F$25:$F$57,$F248,Аренда!$G$25:$G$57,"Арендная и концессионная плата, лизинговые платежи")</f>
        <v>0</v>
      </c>
      <c r="AX248" s="226">
        <f>_xlfn.SUMIFS(Аренда!AW$25:AW$57,Аренда!$F$25:$F$57,$F248,Аренда!$G$25:$G$57,"Арендная и концессионная плата, лизинговые платежи")</f>
        <v>0</v>
      </c>
      <c r="AY248" s="226">
        <f>_xlfn.SUMIFS(Аренда!AX$25:AX$57,Аренда!$F$25:$F$57,$F248,Аренда!$G$25:$G$57,"Арендная и концессионная плата, лизинговые платежи")</f>
        <v>0</v>
      </c>
      <c r="AZ248" s="226">
        <f>_xlfn.SUMIFS(Аренда!AY$25:AY$57,Аренда!$F$25:$F$57,$F248,Аренда!$G$25:$G$57,"Арендная и концессионная плата, лизинговые платежи")</f>
        <v>0</v>
      </c>
      <c r="BA248" s="226">
        <f>_xlfn.SUMIFS(Аренда!AZ$25:AZ$57,Аренда!$F$25:$F$57,$F248,Аренда!$G$25:$G$57,"Арендная и концессионная плата, лизинговые платежи")</f>
        <v>0</v>
      </c>
      <c r="BB248" s="226">
        <f>_xlfn.SUMIFS(Аренда!BA$25:BA$57,Аренда!$F$25:$F$57,$F248,Аренда!$G$25:$G$57,"Арендная и концессионная плата, лизинговые платежи")</f>
        <v>0</v>
      </c>
      <c r="BC248" s="226">
        <f>_xlfn.SUMIFS(Аренда!BB$25:BB$57,Аренда!$F$25:$F$57,$F248,Аренда!$G$25:$G$57,"Арендная и концессионная плата, лизинговые платежи")</f>
        <v>0</v>
      </c>
      <c r="BD248" s="926">
        <f>IF(AI248=0,0,(AT248-AI248)/AI248*100)</f>
        <v>0</v>
      </c>
      <c r="BE248" s="926">
        <f>IF(AT248=0,0,(AU248-AT248)/AT248*100)</f>
        <v>0</v>
      </c>
      <c r="BF248" s="926">
        <f>IF(AU248=0,0,(AV248-AU248)/AU248*100)</f>
        <v>0</v>
      </c>
      <c r="BG248" s="926">
        <f>IF(AV248=0,0,(AW248-AV248)/AV248*100)</f>
        <v>0</v>
      </c>
      <c r="BH248" s="926">
        <f>IF(AW248=0,0,(AX248-AW248)/AW248*100)</f>
        <v>0</v>
      </c>
      <c r="BI248" s="926">
        <f>IF(AX248=0,0,(AY248-AX248)/AX248*100)</f>
        <v>0</v>
      </c>
      <c r="BJ248" s="926">
        <f>IF(AY248=0,0,(AZ248-AY248)/AY248*100)</f>
        <v>0</v>
      </c>
      <c r="BK248" s="926">
        <f>IF(AZ248=0,0,(BA248-AZ248)/AZ248*100)</f>
        <v>0</v>
      </c>
      <c r="BL248" s="926">
        <f>IF(BA248=0,0,(BB248-BA248)/BA248*100)</f>
        <v>0</v>
      </c>
      <c r="BM248" s="926">
        <f>IF(BB248=0,0,(BC248-BB248)/BB248*100)</f>
        <v>0</v>
      </c>
      <c r="BN248" s="4830"/>
      <c r="BO248" s="4834" t="str">
        <f>IF(_xlfn.IFERROR(INDEX(Аренда!$K$26:$L$57,MATCH($F248&amp;"komm",Аренда!$K$26:$K$57,0),2),"")=0,"",_xlfn.IFERROR(INDEX(Аренда!$K$26:$L$57,MATCH($F248&amp;"komm",Аренда!$K$26:$K$57,0),2),""))</f>
        <v/>
      </c>
      <c r="BP248" s="4830"/>
      <c r="BQ248" s="960"/>
      <c r="BR248" s="960"/>
      <c r="BS248" s="1048" t="s">
        <v>1965</v>
      </c>
      <c r="BT248" s="1048"/>
      <c r="BU248" s="1048"/>
      <c r="BV248" s="962"/>
      <c r="BW248" s="962"/>
    </row>
    <row s="1621" customFormat="1" customHeight="1" ht="14.25" hidden="1">
      <c r="A249" s="960"/>
      <c r="B249" s="405">
        <f>STATUS_GO="да"</f>
        <v>0</v>
      </c>
      <c r="C249" s="960"/>
      <c r="D249" s="960"/>
      <c r="E249" s="683">
        <v>15</v>
      </c>
      <c r="F249" s="50" cm="1" t="str">
        <f t="array" ref="F249:F249">OFFSET(E249,-1,1)</f>
        <v>1</v>
      </c>
      <c r="G249" s="960"/>
      <c r="H249" s="960"/>
      <c r="I249" s="124" t="s">
        <v>1966</v>
      </c>
      <c r="J249" s="960"/>
      <c r="K249" s="124" t="s">
        <v>1966</v>
      </c>
      <c r="L249" s="963"/>
      <c r="M249" s="73"/>
      <c r="N249" s="960"/>
      <c r="O249" s="960"/>
      <c r="P249" s="960"/>
      <c r="Q249" s="960"/>
      <c r="R249" s="960"/>
      <c r="S249" s="960"/>
      <c r="T249" s="439" cm="1" t="str">
        <f t="array" ref="T249:T249">T248</f>
        <v>true</v>
      </c>
      <c r="U249" s="960"/>
      <c r="V249" s="960"/>
      <c r="W249" s="960"/>
      <c r="X249" s="1482"/>
      <c r="Y249" s="960"/>
      <c r="Z249" s="1465"/>
      <c r="AA249" s="960"/>
      <c r="AB249" s="266" t="s">
        <v>1395</v>
      </c>
      <c r="AC249" s="743" t="s">
        <v>1967</v>
      </c>
      <c r="AD249" s="267" t="s">
        <v>784</v>
      </c>
      <c r="AE249" s="1282"/>
      <c r="AF249" s="1282"/>
      <c r="AG249" s="1282"/>
      <c r="AH249" s="926">
        <f>AG249-AF249</f>
        <v>0</v>
      </c>
      <c r="AI249" s="1280"/>
      <c r="AJ249" s="4765"/>
      <c r="AK249" s="1280"/>
      <c r="AL249" s="1280"/>
      <c r="AM249" s="1280"/>
      <c r="AN249" s="1280"/>
      <c r="AO249" s="1280"/>
      <c r="AP249" s="1280"/>
      <c r="AQ249" s="1280"/>
      <c r="AR249" s="1280"/>
      <c r="AS249" s="1280"/>
      <c r="AT249" s="4765"/>
      <c r="AU249" s="1280"/>
      <c r="AV249" s="1280"/>
      <c r="AW249" s="1280"/>
      <c r="AX249" s="1280"/>
      <c r="AY249" s="1280"/>
      <c r="AZ249" s="1280"/>
      <c r="BA249" s="1280"/>
      <c r="BB249" s="1280"/>
      <c r="BC249" s="1280"/>
      <c r="BD249" s="926">
        <f>IF(AI249=0,0,(AT249-AI249)/AI249*100)</f>
        <v>0</v>
      </c>
      <c r="BE249" s="926">
        <f>IF(AT249=0,0,(AU249-AT249)/AT249*100)</f>
        <v>0</v>
      </c>
      <c r="BF249" s="926">
        <f>IF(AU249=0,0,(AV249-AU249)/AU249*100)</f>
        <v>0</v>
      </c>
      <c r="BG249" s="926">
        <f>IF(AV249=0,0,(AW249-AV249)/AV249*100)</f>
        <v>0</v>
      </c>
      <c r="BH249" s="926">
        <f>IF(AW249=0,0,(AX249-AW249)/AW249*100)</f>
        <v>0</v>
      </c>
      <c r="BI249" s="926">
        <f>IF(AX249=0,0,(AY249-AX249)/AX249*100)</f>
        <v>0</v>
      </c>
      <c r="BJ249" s="926">
        <f>IF(AY249=0,0,(AZ249-AY249)/AY249*100)</f>
        <v>0</v>
      </c>
      <c r="BK249" s="926">
        <f>IF(AZ249=0,0,(BA249-AZ249)/AZ249*100)</f>
        <v>0</v>
      </c>
      <c r="BL249" s="926">
        <f>IF(BA249=0,0,(BB249-BA249)/BA249*100)</f>
        <v>0</v>
      </c>
      <c r="BM249" s="926">
        <f>IF(BB249=0,0,(BC249-BB249)/BB249*100)</f>
        <v>0</v>
      </c>
      <c r="BN249" s="1283"/>
      <c r="BO249" s="1283"/>
      <c r="BP249" s="1283"/>
      <c r="BQ249" s="960"/>
      <c r="BR249" s="960"/>
      <c r="BS249" s="1048" t="s">
        <v>1689</v>
      </c>
      <c r="BT249" s="1048"/>
      <c r="BU249" s="1048"/>
      <c r="BV249" s="962"/>
      <c r="BW249" s="962"/>
    </row>
    <row s="1621" customFormat="1" customHeight="1" ht="14.25" hidden="1">
      <c r="A250" s="960"/>
      <c r="B250" s="405">
        <f>STATUS_GO="да"</f>
        <v>0</v>
      </c>
      <c r="C250" s="960"/>
      <c r="D250" s="960"/>
      <c r="E250" s="683">
        <v>15</v>
      </c>
      <c r="F250" s="50" cm="1" t="str">
        <f t="array" ref="F250:F250">OFFSET(E250,-1,1)</f>
        <v>1</v>
      </c>
      <c r="G250" s="124" t="s">
        <v>1337</v>
      </c>
      <c r="H250" s="960"/>
      <c r="I250" s="124" t="s">
        <v>1968</v>
      </c>
      <c r="J250" s="960"/>
      <c r="K250" s="124" t="s">
        <v>1968</v>
      </c>
      <c r="L250" s="963"/>
      <c r="M250" s="73"/>
      <c r="N250" s="960"/>
      <c r="O250" s="960"/>
      <c r="P250" s="960"/>
      <c r="Q250" s="960"/>
      <c r="R250" s="960"/>
      <c r="S250" s="960"/>
      <c r="T250" s="439" cm="1" t="str">
        <f t="array" ref="T250:T250">T249</f>
        <v>true</v>
      </c>
      <c r="U250" s="960"/>
      <c r="V250" s="960"/>
      <c r="W250" s="960"/>
      <c r="X250" s="1482"/>
      <c r="Y250" s="960"/>
      <c r="Z250" s="1465"/>
      <c r="AA250" s="960"/>
      <c r="AB250" s="266" t="s">
        <v>1969</v>
      </c>
      <c r="AC250" s="746" t="s">
        <v>1337</v>
      </c>
      <c r="AD250" s="267" t="s">
        <v>784</v>
      </c>
      <c r="AE250" s="1282"/>
      <c r="AF250" s="1282"/>
      <c r="AG250" s="1282"/>
      <c r="AH250" s="926">
        <f>AG250-AF250</f>
        <v>0</v>
      </c>
      <c r="AI250" s="1280"/>
      <c r="AJ250" s="4765"/>
      <c r="AK250" s="1280"/>
      <c r="AL250" s="1280"/>
      <c r="AM250" s="1280"/>
      <c r="AN250" s="1280"/>
      <c r="AO250" s="1280"/>
      <c r="AP250" s="1280"/>
      <c r="AQ250" s="1280"/>
      <c r="AR250" s="1280"/>
      <c r="AS250" s="1280"/>
      <c r="AT250" s="4765"/>
      <c r="AU250" s="1280"/>
      <c r="AV250" s="1280"/>
      <c r="AW250" s="1280"/>
      <c r="AX250" s="1280"/>
      <c r="AY250" s="1280"/>
      <c r="AZ250" s="1280"/>
      <c r="BA250" s="1280"/>
      <c r="BB250" s="1280"/>
      <c r="BC250" s="1280"/>
      <c r="BD250" s="926">
        <f>IF(AI250=0,0,(AT250-AI250)/AI250*100)</f>
        <v>0</v>
      </c>
      <c r="BE250" s="926">
        <f>IF(AT250=0,0,(AU250-AT250)/AT250*100)</f>
        <v>0</v>
      </c>
      <c r="BF250" s="926">
        <f>IF(AU250=0,0,(AV250-AU250)/AU250*100)</f>
        <v>0</v>
      </c>
      <c r="BG250" s="926">
        <f>IF(AV250=0,0,(AW250-AV250)/AV250*100)</f>
        <v>0</v>
      </c>
      <c r="BH250" s="926">
        <f>IF(AW250=0,0,(AX250-AW250)/AW250*100)</f>
        <v>0</v>
      </c>
      <c r="BI250" s="926">
        <f>IF(AX250=0,0,(AY250-AX250)/AX250*100)</f>
        <v>0</v>
      </c>
      <c r="BJ250" s="926">
        <f>IF(AY250=0,0,(AZ250-AY250)/AY250*100)</f>
        <v>0</v>
      </c>
      <c r="BK250" s="926">
        <f>IF(AZ250=0,0,(BA250-AZ250)/AZ250*100)</f>
        <v>0</v>
      </c>
      <c r="BL250" s="926">
        <f>IF(BA250=0,0,(BB250-BA250)/BA250*100)</f>
        <v>0</v>
      </c>
      <c r="BM250" s="926">
        <f>IF(BB250=0,0,(BC250-BB250)/BB250*100)</f>
        <v>0</v>
      </c>
      <c r="BN250" s="1283"/>
      <c r="BO250" s="1286" t="str">
        <f>IF(_xlfn.IFERROR(INDEX('Сбытовые расходы ГО'!$K$26:$M$63,MATCH($F250&amp;"komm",'Сбытовые расходы ГО'!$K$26:$K$63,0),2),"")=0,"",_xlfn.IFERROR(INDEX('Сбытовые расходы ГО'!$K$26:$M$63,MATCH($F250&amp;"komm",'Сбытовые расходы ГО'!$K$26:$K$63,0),2),""))</f>
        <v/>
      </c>
      <c r="BP250" s="1283"/>
      <c r="BQ250" s="960"/>
      <c r="BR250" s="960"/>
      <c r="BS250" s="1048" t="s">
        <v>1970</v>
      </c>
      <c r="BT250" s="1048"/>
      <c r="BU250" s="1048"/>
      <c r="BV250" s="962"/>
      <c r="BW250" s="962"/>
    </row>
    <row s="1621" customFormat="1" customHeight="1" ht="14.625">
      <c r="A251" s="960"/>
      <c r="B251" s="961"/>
      <c r="C251" s="960"/>
      <c r="D251" s="960"/>
      <c r="E251" s="683">
        <v>15</v>
      </c>
      <c r="F251" s="50" cm="1" t="str">
        <f t="array" ref="F251:F251">OFFSET(E251,-1,1)</f>
        <v>1</v>
      </c>
      <c r="G251" s="124" t="s">
        <v>1342</v>
      </c>
      <c r="H251" s="960"/>
      <c r="I251" s="124" t="s">
        <v>1971</v>
      </c>
      <c r="J251" s="960"/>
      <c r="K251" s="124" t="s">
        <v>1971</v>
      </c>
      <c r="L251" s="963"/>
      <c r="M251" s="73"/>
      <c r="N251" s="960"/>
      <c r="O251" s="960"/>
      <c r="P251" s="960"/>
      <c r="Q251" s="960"/>
      <c r="R251" s="960"/>
      <c r="S251" s="960"/>
      <c r="T251" s="439" cm="1" t="str">
        <f t="array" ref="T251:T251">T250</f>
        <v>true</v>
      </c>
      <c r="U251" s="960"/>
      <c r="V251" s="960"/>
      <c r="W251" s="960"/>
      <c r="X251" s="1482"/>
      <c r="Y251" s="960"/>
      <c r="Z251" s="1465"/>
      <c r="AA251" s="960"/>
      <c r="AB251" s="266" t="s">
        <v>1400</v>
      </c>
      <c r="AC251" s="743" t="s">
        <v>1342</v>
      </c>
      <c r="AD251" s="267" t="s">
        <v>784</v>
      </c>
      <c r="AE251" s="4759">
        <v>0</v>
      </c>
      <c r="AF251" s="4759"/>
      <c r="AG251" s="4759"/>
      <c r="AH251" s="926">
        <f>AG251-AF251</f>
        <v>0</v>
      </c>
      <c r="AI251" s="4765">
        <v>-324.4424852477</v>
      </c>
      <c r="AJ251" s="4765">
        <f>_xlfn.SUMIFS(Экономия_корр!AE$25:AE$51,Экономия_корр!$F$25:$F$51,$F251,Экономия_корр!$AC$25:$AC$51,"Экономия расходов с учетом ИПЦ")</f>
        <v>0</v>
      </c>
      <c r="AK251" s="1280">
        <f>_xlfn.SUMIFS(Экономия_корр!AF$25:AF$51,Экономия_корр!$F$25:$F$51,$F251,Экономия_корр!$AC$25:$AC$51,"Экономия расходов с учетом ИПЦ")</f>
        <v>0</v>
      </c>
      <c r="AL251" s="1280">
        <f>_xlfn.SUMIFS(Экономия_корр!AG$25:AG$51,Экономия_корр!$F$25:$F$51,$F251,Экономия_корр!$AC$25:$AC$51,"Экономия расходов с учетом ИПЦ")</f>
        <v>0</v>
      </c>
      <c r="AM251" s="4765">
        <f>_xlfn.SUMIFS(Экономия_корр!AH$25:AH$51,Экономия_корр!$F$25:$F$51,$F251,Экономия_корр!$AC$25:$AC$51,"Экономия расходов с учетом ИПЦ")</f>
        <v>0</v>
      </c>
      <c r="AN251" s="4765">
        <f>_xlfn.SUMIFS(Экономия_корр!AI$25:AI$51,Экономия_корр!$F$25:$F$51,$F251,Экономия_корр!$AC$25:$AC$51,"Экономия расходов с учетом ИПЦ")</f>
        <v>0</v>
      </c>
      <c r="AO251" s="4765">
        <f>_xlfn.SUMIFS(Экономия_корр!AJ$25:AJ$51,Экономия_корр!$F$25:$F$51,$F251,Экономия_корр!$AC$25:$AC$51,"Экономия расходов с учетом ИПЦ")</f>
        <v>0</v>
      </c>
      <c r="AP251" s="4765">
        <f>_xlfn.SUMIFS(Экономия_корр!AK$25:AK$51,Экономия_корр!$F$25:$F$51,$F251,Экономия_корр!$AC$25:$AC$51,"Экономия расходов с учетом ИПЦ")</f>
        <v>0</v>
      </c>
      <c r="AQ251" s="4765">
        <f>_xlfn.SUMIFS(Экономия_корр!AL$25:AL$51,Экономия_корр!$F$25:$F$51,$F251,Экономия_корр!$AC$25:$AC$51,"Экономия расходов с учетом ИПЦ")</f>
        <v>0</v>
      </c>
      <c r="AR251" s="4765">
        <f>_xlfn.SUMIFS(Экономия_корр!AM$25:AM$51,Экономия_корр!$F$25:$F$51,$F251,Экономия_корр!$AC$25:$AC$51,"Экономия расходов с учетом ИПЦ")</f>
        <v>0</v>
      </c>
      <c r="AS251" s="4765">
        <f>_xlfn.SUMIFS(Экономия_корр!AN$25:AN$51,Экономия_корр!$F$25:$F$51,$F251,Экономия_корр!$AC$25:$AC$51,"Экономия расходов с учетом ИПЦ")</f>
        <v>0</v>
      </c>
      <c r="AT251" s="4765">
        <f>_xlfn.SUMIFS(Экономия_корр!AO$25:AO$51,Экономия_корр!$F$25:$F$51,$F251,Экономия_корр!$AC$25:$AC$51,"Экономия расходов с учетом ИПЦ")</f>
        <v>0</v>
      </c>
      <c r="AU251" s="1280">
        <f>_xlfn.SUMIFS(Экономия_корр!AP$25:AP$51,Экономия_корр!$F$25:$F$51,$F251,Экономия_корр!$AC$25:$AC$51,"Экономия расходов с учетом ИПЦ")</f>
        <v>0</v>
      </c>
      <c r="AV251" s="1280">
        <f>_xlfn.SUMIFS(Экономия_корр!AQ$25:AQ$51,Экономия_корр!$F$25:$F$51,$F251,Экономия_корр!$AC$25:$AC$51,"Экономия расходов с учетом ИПЦ")</f>
        <v>0</v>
      </c>
      <c r="AW251" s="4765">
        <f>_xlfn.SUMIFS(Экономия_корр!AR$25:AR$51,Экономия_корр!$F$25:$F$51,$F251,Экономия_корр!$AC$25:$AC$51,"Экономия расходов с учетом ИПЦ")</f>
        <v>0</v>
      </c>
      <c r="AX251" s="4765">
        <f>_xlfn.SUMIFS(Экономия_корр!AS$25:AS$51,Экономия_корр!$F$25:$F$51,$F251,Экономия_корр!$AC$25:$AC$51,"Экономия расходов с учетом ИПЦ")</f>
        <v>0</v>
      </c>
      <c r="AY251" s="4765">
        <f>_xlfn.SUMIFS(Экономия_корр!AT$25:AT$51,Экономия_корр!$F$25:$F$51,$F251,Экономия_корр!$AC$25:$AC$51,"Экономия расходов с учетом ИПЦ")</f>
        <v>0</v>
      </c>
      <c r="AZ251" s="4765">
        <f>_xlfn.SUMIFS(Экономия_корр!AU$25:AU$51,Экономия_корр!$F$25:$F$51,$F251,Экономия_корр!$AC$25:$AC$51,"Экономия расходов с учетом ИПЦ")</f>
        <v>0</v>
      </c>
      <c r="BA251" s="4765">
        <f>_xlfn.SUMIFS(Экономия_корр!AV$25:AV$51,Экономия_корр!$F$25:$F$51,$F251,Экономия_корр!$AC$25:$AC$51,"Экономия расходов с учетом ИПЦ")</f>
        <v>0</v>
      </c>
      <c r="BB251" s="4765">
        <f>_xlfn.SUMIFS(Экономия_корр!AW$25:AW$51,Экономия_корр!$F$25:$F$51,$F251,Экономия_корр!$AC$25:$AC$51,"Экономия расходов с учетом ИПЦ")</f>
        <v>0</v>
      </c>
      <c r="BC251" s="4765">
        <f>_xlfn.SUMIFS(Экономия_корр!AX$25:AX$51,Экономия_корр!$F$25:$F$51,$F251,Экономия_корр!$AC$25:$AC$51,"Экономия расходов с учетом ИПЦ")</f>
        <v>0</v>
      </c>
      <c r="BD251" s="926">
        <f>IF(AI251=0,0,(AT251-AI251)/AI251*100)</f>
        <v>-100</v>
      </c>
      <c r="BE251" s="926">
        <f>IF(AT251=0,0,(AU251-AT251)/AT251*100)</f>
        <v>0</v>
      </c>
      <c r="BF251" s="926">
        <f>IF(AU251=0,0,(AV251-AU251)/AU251*100)</f>
        <v>0</v>
      </c>
      <c r="BG251" s="926">
        <f>IF(AV251=0,0,(AW251-AV251)/AV251*100)</f>
        <v>0</v>
      </c>
      <c r="BH251" s="926">
        <f>IF(AW251=0,0,(AX251-AW251)/AW251*100)</f>
        <v>0</v>
      </c>
      <c r="BI251" s="926">
        <f>IF(AX251=0,0,(AY251-AX251)/AX251*100)</f>
        <v>0</v>
      </c>
      <c r="BJ251" s="926">
        <f>IF(AY251=0,0,(AZ251-AY251)/AY251*100)</f>
        <v>0</v>
      </c>
      <c r="BK251" s="926">
        <f>IF(AZ251=0,0,(BA251-AZ251)/AZ251*100)</f>
        <v>0</v>
      </c>
      <c r="BL251" s="926">
        <f>IF(BA251=0,0,(BB251-BA251)/BA251*100)</f>
        <v>0</v>
      </c>
      <c r="BM251" s="926">
        <f>IF(BB251=0,0,(BC251-BB251)/BB251*100)</f>
        <v>0</v>
      </c>
      <c r="BN251" s="4830"/>
      <c r="BO251" s="4830"/>
      <c r="BP251" s="4830"/>
      <c r="BQ251" s="960"/>
      <c r="BR251" s="960"/>
      <c r="BS251" s="1048" t="s">
        <v>1972</v>
      </c>
      <c r="BT251" s="1048"/>
      <c r="BU251" s="1048"/>
      <c r="BV251" s="962"/>
      <c r="BW251" s="962"/>
    </row>
    <row s="1621" customFormat="1" customHeight="1" ht="14.25">
      <c r="A252" s="960"/>
      <c r="B252" s="961"/>
      <c r="C252" s="960"/>
      <c r="D252" s="960"/>
      <c r="E252" s="683">
        <v>15</v>
      </c>
      <c r="F252" s="50" cm="1" t="str">
        <f t="array" ref="F252:F252">OFFSET(E252,-1,1)</f>
        <v>1</v>
      </c>
      <c r="G252" s="124" t="s">
        <v>1347</v>
      </c>
      <c r="H252" s="960"/>
      <c r="I252" s="124" t="s">
        <v>1973</v>
      </c>
      <c r="J252" s="960"/>
      <c r="K252" s="124" t="s">
        <v>1973</v>
      </c>
      <c r="L252" s="963"/>
      <c r="M252" s="73"/>
      <c r="N252" s="960"/>
      <c r="O252" s="960"/>
      <c r="P252" s="960"/>
      <c r="Q252" s="960"/>
      <c r="R252" s="960"/>
      <c r="S252" s="960"/>
      <c r="T252" s="439" cm="1" t="str">
        <f t="array" ref="T252:T252">T251</f>
        <v>true</v>
      </c>
      <c r="U252" s="960"/>
      <c r="V252" s="960"/>
      <c r="W252" s="960"/>
      <c r="X252" s="1482"/>
      <c r="Y252" s="960"/>
      <c r="Z252" s="1465"/>
      <c r="AA252" s="960"/>
      <c r="AB252" s="266" t="s">
        <v>1974</v>
      </c>
      <c r="AC252" s="743" t="s">
        <v>1347</v>
      </c>
      <c r="AD252" s="267" t="s">
        <v>784</v>
      </c>
      <c r="AE252" s="4759"/>
      <c r="AF252" s="4759"/>
      <c r="AG252" s="4759"/>
      <c r="AH252" s="926">
        <f>AG252-AF252</f>
        <v>0</v>
      </c>
      <c r="AI252" s="4765"/>
      <c r="AJ252" s="4765"/>
      <c r="AK252" s="1280"/>
      <c r="AL252" s="1280"/>
      <c r="AM252" s="4765"/>
      <c r="AN252" s="4765"/>
      <c r="AO252" s="4765"/>
      <c r="AP252" s="4765"/>
      <c r="AQ252" s="4765"/>
      <c r="AR252" s="4765"/>
      <c r="AS252" s="4765"/>
      <c r="AT252" s="4765"/>
      <c r="AU252" s="1280"/>
      <c r="AV252" s="1280"/>
      <c r="AW252" s="4765"/>
      <c r="AX252" s="4765"/>
      <c r="AY252" s="4765"/>
      <c r="AZ252" s="4765"/>
      <c r="BA252" s="4765"/>
      <c r="BB252" s="4765"/>
      <c r="BC252" s="4765"/>
      <c r="BD252" s="926">
        <f>IF(AI252=0,0,(AT252-AI252)/AI252*100)</f>
        <v>0</v>
      </c>
      <c r="BE252" s="926">
        <f>IF(AT252=0,0,(AU252-AT252)/AT252*100)</f>
        <v>0</v>
      </c>
      <c r="BF252" s="926">
        <f>IF(AU252=0,0,(AV252-AU252)/AU252*100)</f>
        <v>0</v>
      </c>
      <c r="BG252" s="926">
        <f>IF(AV252=0,0,(AW252-AV252)/AV252*100)</f>
        <v>0</v>
      </c>
      <c r="BH252" s="926">
        <f>IF(AW252=0,0,(AX252-AW252)/AW252*100)</f>
        <v>0</v>
      </c>
      <c r="BI252" s="926">
        <f>IF(AX252=0,0,(AY252-AX252)/AX252*100)</f>
        <v>0</v>
      </c>
      <c r="BJ252" s="926">
        <f>IF(AY252=0,0,(AZ252-AY252)/AY252*100)</f>
        <v>0</v>
      </c>
      <c r="BK252" s="926">
        <f>IF(AZ252=0,0,(BA252-AZ252)/AZ252*100)</f>
        <v>0</v>
      </c>
      <c r="BL252" s="926">
        <f>IF(BA252=0,0,(BB252-BA252)/BA252*100)</f>
        <v>0</v>
      </c>
      <c r="BM252" s="926">
        <f>IF(BB252=0,0,(BC252-BB252)/BB252*100)</f>
        <v>0</v>
      </c>
      <c r="BN252" s="4830"/>
      <c r="BO252" s="4830"/>
      <c r="BP252" s="4830"/>
      <c r="BQ252" s="960"/>
      <c r="BR252" s="960"/>
      <c r="BS252" s="1048" t="s">
        <v>1704</v>
      </c>
      <c r="BT252" s="1048"/>
      <c r="BU252" s="1048"/>
      <c r="BV252" s="962"/>
      <c r="BW252" s="962"/>
    </row>
    <row s="1621" customFormat="1" customHeight="1" ht="14.25">
      <c r="A253" s="960"/>
      <c r="B253" s="961"/>
      <c r="C253" s="960"/>
      <c r="D253" s="960"/>
      <c r="E253" s="683">
        <v>15</v>
      </c>
      <c r="F253" s="50" cm="1" t="str">
        <f t="array" ref="F253:F253">OFFSET(E253,-1,1)</f>
        <v>1</v>
      </c>
      <c r="G253" s="124" t="s">
        <v>1352</v>
      </c>
      <c r="H253" s="960"/>
      <c r="I253" s="124" t="s">
        <v>1975</v>
      </c>
      <c r="J253" s="960"/>
      <c r="K253" s="124" t="s">
        <v>1975</v>
      </c>
      <c r="L253" s="963"/>
      <c r="M253" s="73"/>
      <c r="N253" s="960"/>
      <c r="O253" s="960"/>
      <c r="P253" s="960"/>
      <c r="Q253" s="960"/>
      <c r="R253" s="960"/>
      <c r="S253" s="960"/>
      <c r="T253" s="439" cm="1" t="str">
        <f t="array" ref="T253:T253">T252</f>
        <v>true</v>
      </c>
      <c r="U253" s="960"/>
      <c r="V253" s="960"/>
      <c r="W253" s="960"/>
      <c r="X253" s="1482"/>
      <c r="Y253" s="960"/>
      <c r="Z253" s="1465"/>
      <c r="AA253" s="960"/>
      <c r="AB253" s="266" t="s">
        <v>1419</v>
      </c>
      <c r="AC253" s="743" t="s">
        <v>1352</v>
      </c>
      <c r="AD253" s="267" t="s">
        <v>784</v>
      </c>
      <c r="AE253" s="4759"/>
      <c r="AF253" s="4759"/>
      <c r="AG253" s="4759"/>
      <c r="AH253" s="926">
        <f>AG253-AF253</f>
        <v>0</v>
      </c>
      <c r="AI253" s="4765"/>
      <c r="AJ253" s="4765"/>
      <c r="AK253" s="1280"/>
      <c r="AL253" s="1280"/>
      <c r="AM253" s="4765"/>
      <c r="AN253" s="4765"/>
      <c r="AO253" s="4765"/>
      <c r="AP253" s="4765"/>
      <c r="AQ253" s="4765"/>
      <c r="AR253" s="4765"/>
      <c r="AS253" s="4765"/>
      <c r="AT253" s="4765"/>
      <c r="AU253" s="1280"/>
      <c r="AV253" s="1280"/>
      <c r="AW253" s="4765"/>
      <c r="AX253" s="4765"/>
      <c r="AY253" s="4765"/>
      <c r="AZ253" s="4765"/>
      <c r="BA253" s="4765"/>
      <c r="BB253" s="4765"/>
      <c r="BC253" s="4765"/>
      <c r="BD253" s="926">
        <f>IF(AI253=0,0,(AT253-AI253)/AI253*100)</f>
        <v>0</v>
      </c>
      <c r="BE253" s="926">
        <f>IF(AT253=0,0,(AU253-AT253)/AT253*100)</f>
        <v>0</v>
      </c>
      <c r="BF253" s="926">
        <f>IF(AU253=0,0,(AV253-AU253)/AU253*100)</f>
        <v>0</v>
      </c>
      <c r="BG253" s="926">
        <f>IF(AV253=0,0,(AW253-AV253)/AV253*100)</f>
        <v>0</v>
      </c>
      <c r="BH253" s="926">
        <f>IF(AW253=0,0,(AX253-AW253)/AW253*100)</f>
        <v>0</v>
      </c>
      <c r="BI253" s="926">
        <f>IF(AX253=0,0,(AY253-AX253)/AX253*100)</f>
        <v>0</v>
      </c>
      <c r="BJ253" s="926">
        <f>IF(AY253=0,0,(AZ253-AY253)/AY253*100)</f>
        <v>0</v>
      </c>
      <c r="BK253" s="926">
        <f>IF(AZ253=0,0,(BA253-AZ253)/AZ253*100)</f>
        <v>0</v>
      </c>
      <c r="BL253" s="926">
        <f>IF(BA253=0,0,(BB253-BA253)/BA253*100)</f>
        <v>0</v>
      </c>
      <c r="BM253" s="926">
        <f>IF(BB253=0,0,(BC253-BB253)/BB253*100)</f>
        <v>0</v>
      </c>
      <c r="BN253" s="4830"/>
      <c r="BO253" s="4830"/>
      <c r="BP253" s="4830"/>
      <c r="BQ253" s="960"/>
      <c r="BR253" s="960"/>
      <c r="BS253" s="1048" t="s">
        <v>1976</v>
      </c>
      <c r="BT253" s="1048"/>
      <c r="BU253" s="1048"/>
      <c r="BV253" s="962"/>
      <c r="BW253" s="962"/>
    </row>
    <row s="1621" customFormat="1" customHeight="1" ht="14.25">
      <c r="A254" s="960"/>
      <c r="B254" s="961"/>
      <c r="C254" s="960"/>
      <c r="D254" s="960"/>
      <c r="E254" s="683">
        <v>15</v>
      </c>
      <c r="F254" s="50" cm="1" t="str">
        <f t="array" ref="F254:F254">OFFSET(E254,-1,1)</f>
        <v>1</v>
      </c>
      <c r="G254" s="124" t="s">
        <v>1357</v>
      </c>
      <c r="H254" s="960"/>
      <c r="I254" s="124" t="s">
        <v>1977</v>
      </c>
      <c r="J254" s="960"/>
      <c r="K254" s="124" t="s">
        <v>1977</v>
      </c>
      <c r="L254" s="963"/>
      <c r="M254" s="73"/>
      <c r="N254" s="960"/>
      <c r="O254" s="960"/>
      <c r="P254" s="960"/>
      <c r="Q254" s="960"/>
      <c r="R254" s="960"/>
      <c r="S254" s="960"/>
      <c r="T254" s="439" cm="1" t="str">
        <f t="array" ref="T254:T254">T253</f>
        <v>true</v>
      </c>
      <c r="U254" s="960"/>
      <c r="V254" s="960"/>
      <c r="W254" s="960"/>
      <c r="X254" s="1482"/>
      <c r="Y254" s="960"/>
      <c r="Z254" s="1465"/>
      <c r="AA254" s="960"/>
      <c r="AB254" s="266" t="s">
        <v>1423</v>
      </c>
      <c r="AC254" s="743" t="s">
        <v>1357</v>
      </c>
      <c r="AD254" s="267" t="s">
        <v>784</v>
      </c>
      <c r="AE254" s="320">
        <f>SUM(AE255,AE256)</f>
        <v>0</v>
      </c>
      <c r="AF254" s="226">
        <f>SUM(AF255,AF256)</f>
        <v>0</v>
      </c>
      <c r="AG254" s="226">
        <f>SUM(AG255,AG256)</f>
        <v>0</v>
      </c>
      <c r="AH254" s="926">
        <f>AG254-AF254</f>
        <v>0</v>
      </c>
      <c r="AI254" s="926">
        <f>SUM(AI255,AI256)</f>
        <v>0</v>
      </c>
      <c r="AJ254" s="927">
        <f>SUM(AJ255,AJ256)</f>
        <v>0</v>
      </c>
      <c r="AK254" s="926">
        <f>SUM(AK255,AK256)</f>
        <v>0</v>
      </c>
      <c r="AL254" s="926">
        <f>SUM(AL255,AL256)</f>
        <v>0</v>
      </c>
      <c r="AM254" s="926">
        <f>SUM(AM255,AM256)</f>
        <v>0</v>
      </c>
      <c r="AN254" s="926">
        <f>SUM(AN255,AN256)</f>
        <v>0</v>
      </c>
      <c r="AO254" s="926">
        <f>SUM(AO255,AO256)</f>
        <v>0</v>
      </c>
      <c r="AP254" s="926">
        <f>SUM(AP255,AP256)</f>
        <v>0</v>
      </c>
      <c r="AQ254" s="926">
        <f>SUM(AQ255,AQ256)</f>
        <v>0</v>
      </c>
      <c r="AR254" s="926">
        <f>SUM(AR255,AR256)</f>
        <v>0</v>
      </c>
      <c r="AS254" s="926">
        <f>SUM(AS255,AS256)</f>
        <v>0</v>
      </c>
      <c r="AT254" s="927">
        <f>SUM(AT255,AT256)</f>
        <v>0</v>
      </c>
      <c r="AU254" s="926">
        <f>SUM(AU255,AU256)</f>
        <v>0</v>
      </c>
      <c r="AV254" s="926">
        <f>SUM(AV255,AV256)</f>
        <v>0</v>
      </c>
      <c r="AW254" s="926">
        <f>SUM(AW255,AW256)</f>
        <v>0</v>
      </c>
      <c r="AX254" s="926">
        <f>SUM(AX255,AX256)</f>
        <v>0</v>
      </c>
      <c r="AY254" s="926">
        <f>SUM(AY255,AY256)</f>
        <v>0</v>
      </c>
      <c r="AZ254" s="926">
        <f>SUM(AZ255,AZ256)</f>
        <v>0</v>
      </c>
      <c r="BA254" s="926">
        <f>SUM(BA255,BA256)</f>
        <v>0</v>
      </c>
      <c r="BB254" s="926">
        <f>SUM(BB255,BB256)</f>
        <v>0</v>
      </c>
      <c r="BC254" s="926">
        <f>SUM(BC255,BC256)</f>
        <v>0</v>
      </c>
      <c r="BD254" s="926">
        <f>IF(AI254=0,0,(AT254-AI254)/AI254*100)</f>
        <v>0</v>
      </c>
      <c r="BE254" s="926">
        <f>IF(AT254=0,0,(AU254-AT254)/AT254*100)</f>
        <v>0</v>
      </c>
      <c r="BF254" s="926">
        <f>IF(AU254=0,0,(AV254-AU254)/AU254*100)</f>
        <v>0</v>
      </c>
      <c r="BG254" s="926">
        <f>IF(AV254=0,0,(AW254-AV254)/AV254*100)</f>
        <v>0</v>
      </c>
      <c r="BH254" s="926">
        <f>IF(AW254=0,0,(AX254-AW254)/AW254*100)</f>
        <v>0</v>
      </c>
      <c r="BI254" s="926">
        <f>IF(AX254=0,0,(AY254-AX254)/AX254*100)</f>
        <v>0</v>
      </c>
      <c r="BJ254" s="926">
        <f>IF(AY254=0,0,(AZ254-AY254)/AY254*100)</f>
        <v>0</v>
      </c>
      <c r="BK254" s="926">
        <f>IF(AZ254=0,0,(BA254-AZ254)/AZ254*100)</f>
        <v>0</v>
      </c>
      <c r="BL254" s="926">
        <f>IF(BA254=0,0,(BB254-BA254)/BA254*100)</f>
        <v>0</v>
      </c>
      <c r="BM254" s="926">
        <f>IF(BB254=0,0,(BC254-BB254)/BB254*100)</f>
        <v>0</v>
      </c>
      <c r="BN254" s="4830"/>
      <c r="BO254" s="4830"/>
      <c r="BP254" s="4830"/>
      <c r="BQ254" s="960"/>
      <c r="BR254" s="960"/>
      <c r="BS254" s="1048" t="s">
        <v>1978</v>
      </c>
      <c r="BT254" s="1048"/>
      <c r="BU254" s="1048"/>
      <c r="BV254" s="962"/>
      <c r="BW254" s="962"/>
    </row>
    <row s="1621" customFormat="1" customHeight="1" ht="14.25">
      <c r="A255" s="960"/>
      <c r="B255" s="961"/>
      <c r="C255" s="960"/>
      <c r="D255" s="960"/>
      <c r="E255" s="683">
        <v>15</v>
      </c>
      <c r="F255" s="50" cm="1" t="str">
        <f t="array" ref="F255:F255">OFFSET(E255,-1,1)</f>
        <v>1</v>
      </c>
      <c r="G255" s="960"/>
      <c r="H255" s="960"/>
      <c r="I255" s="124" t="s">
        <v>1979</v>
      </c>
      <c r="J255" s="960"/>
      <c r="K255" s="124" t="s">
        <v>1979</v>
      </c>
      <c r="L255" s="963"/>
      <c r="M255" s="73"/>
      <c r="N255" s="960"/>
      <c r="O255" s="960"/>
      <c r="P255" s="960"/>
      <c r="Q255" s="960"/>
      <c r="R255" s="960"/>
      <c r="S255" s="960"/>
      <c r="T255" s="439" cm="1" t="str">
        <f t="array" ref="T255:T255">T254</f>
        <v>true</v>
      </c>
      <c r="U255" s="960"/>
      <c r="V255" s="960"/>
      <c r="W255" s="960"/>
      <c r="X255" s="1482"/>
      <c r="Y255" s="960"/>
      <c r="Z255" s="1465"/>
      <c r="AA255" s="960"/>
      <c r="AB255" s="266" t="s">
        <v>1980</v>
      </c>
      <c r="AC255" s="746" t="s">
        <v>1981</v>
      </c>
      <c r="AD255" s="267" t="s">
        <v>784</v>
      </c>
      <c r="AE255" s="4759"/>
      <c r="AF255" s="4759"/>
      <c r="AG255" s="4759"/>
      <c r="AH255" s="926">
        <f>AG255-AF255</f>
        <v>0</v>
      </c>
      <c r="AI255" s="4765"/>
      <c r="AJ255" s="4765"/>
      <c r="AK255" s="1280"/>
      <c r="AL255" s="1280"/>
      <c r="AM255" s="4765"/>
      <c r="AN255" s="4765"/>
      <c r="AO255" s="4765"/>
      <c r="AP255" s="4765"/>
      <c r="AQ255" s="4765"/>
      <c r="AR255" s="4765"/>
      <c r="AS255" s="4765"/>
      <c r="AT255" s="4765"/>
      <c r="AU255" s="1280"/>
      <c r="AV255" s="1280"/>
      <c r="AW255" s="4765"/>
      <c r="AX255" s="4765"/>
      <c r="AY255" s="4765"/>
      <c r="AZ255" s="4765"/>
      <c r="BA255" s="4765"/>
      <c r="BB255" s="4765"/>
      <c r="BC255" s="4765"/>
      <c r="BD255" s="926">
        <f>IF(AI255=0,0,(AT255-AI255)/AI255*100)</f>
        <v>0</v>
      </c>
      <c r="BE255" s="926">
        <f>IF(AT255=0,0,(AU255-AT255)/AT255*100)</f>
        <v>0</v>
      </c>
      <c r="BF255" s="926">
        <f>IF(AU255=0,0,(AV255-AU255)/AU255*100)</f>
        <v>0</v>
      </c>
      <c r="BG255" s="926">
        <f>IF(AV255=0,0,(AW255-AV255)/AV255*100)</f>
        <v>0</v>
      </c>
      <c r="BH255" s="926">
        <f>IF(AW255=0,0,(AX255-AW255)/AW255*100)</f>
        <v>0</v>
      </c>
      <c r="BI255" s="926">
        <f>IF(AX255=0,0,(AY255-AX255)/AX255*100)</f>
        <v>0</v>
      </c>
      <c r="BJ255" s="926">
        <f>IF(AY255=0,0,(AZ255-AY255)/AY255*100)</f>
        <v>0</v>
      </c>
      <c r="BK255" s="926">
        <f>IF(AZ255=0,0,(BA255-AZ255)/AZ255*100)</f>
        <v>0</v>
      </c>
      <c r="BL255" s="926">
        <f>IF(BA255=0,0,(BB255-BA255)/BA255*100)</f>
        <v>0</v>
      </c>
      <c r="BM255" s="926">
        <f>IF(BB255=0,0,(BC255-BB255)/BB255*100)</f>
        <v>0</v>
      </c>
      <c r="BN255" s="4830"/>
      <c r="BO255" s="4830"/>
      <c r="BP255" s="4830"/>
      <c r="BQ255" s="960"/>
      <c r="BR255" s="960"/>
      <c r="BS255" s="1048" t="s">
        <v>1144</v>
      </c>
      <c r="BT255" s="1048"/>
      <c r="BU255" s="1048"/>
      <c r="BV255" s="962"/>
      <c r="BW255" s="962"/>
    </row>
    <row s="1621" customFormat="1" customHeight="1" ht="14.25">
      <c r="A256" s="960"/>
      <c r="B256" s="961"/>
      <c r="C256" s="960"/>
      <c r="D256" s="960"/>
      <c r="E256" s="683">
        <v>15</v>
      </c>
      <c r="F256" s="50" cm="1" t="str">
        <f t="array" ref="F256:F256">OFFSET(E256,-1,1)</f>
        <v>1</v>
      </c>
      <c r="G256" s="960"/>
      <c r="H256" s="960"/>
      <c r="I256" s="124" t="s">
        <v>1982</v>
      </c>
      <c r="J256" s="960"/>
      <c r="K256" s="124" t="s">
        <v>1982</v>
      </c>
      <c r="L256" s="963" t="s">
        <v>857</v>
      </c>
      <c r="M256" s="73"/>
      <c r="N256" s="960"/>
      <c r="O256" s="960"/>
      <c r="P256" s="960"/>
      <c r="Q256" s="960"/>
      <c r="R256" s="960"/>
      <c r="S256" s="960"/>
      <c r="T256" s="439" cm="1" t="str">
        <f t="array" ref="T256:T256">T255</f>
        <v>true</v>
      </c>
      <c r="U256" s="960"/>
      <c r="V256" s="960"/>
      <c r="W256" s="960"/>
      <c r="X256" s="1482"/>
      <c r="Y256" s="960"/>
      <c r="Z256" s="1465"/>
      <c r="AA256" s="960"/>
      <c r="AB256" s="266" t="s">
        <v>1983</v>
      </c>
      <c r="AC256" s="746" t="s">
        <v>1984</v>
      </c>
      <c r="AD256" s="267" t="s">
        <v>784</v>
      </c>
      <c r="AE256" s="4759"/>
      <c r="AF256" s="4759"/>
      <c r="AG256" s="4759"/>
      <c r="AH256" s="926">
        <f>AG256-AF256</f>
        <v>0</v>
      </c>
      <c r="AI256" s="4765"/>
      <c r="AJ256" s="4765"/>
      <c r="AK256" s="1280"/>
      <c r="AL256" s="1280"/>
      <c r="AM256" s="4765"/>
      <c r="AN256" s="4765"/>
      <c r="AO256" s="4765"/>
      <c r="AP256" s="4765"/>
      <c r="AQ256" s="4765"/>
      <c r="AR256" s="4765"/>
      <c r="AS256" s="4765"/>
      <c r="AT256" s="4765"/>
      <c r="AU256" s="1280"/>
      <c r="AV256" s="1280"/>
      <c r="AW256" s="4765"/>
      <c r="AX256" s="4765"/>
      <c r="AY256" s="4765"/>
      <c r="AZ256" s="4765"/>
      <c r="BA256" s="4765"/>
      <c r="BB256" s="4765"/>
      <c r="BC256" s="4765"/>
      <c r="BD256" s="926">
        <f>IF(AI256=0,0,(AT256-AI256)/AI256*100)</f>
        <v>0</v>
      </c>
      <c r="BE256" s="926">
        <f>IF(AT256=0,0,(AU256-AT256)/AT256*100)</f>
        <v>0</v>
      </c>
      <c r="BF256" s="926">
        <f>IF(AU256=0,0,(AV256-AU256)/AU256*100)</f>
        <v>0</v>
      </c>
      <c r="BG256" s="926">
        <f>IF(AV256=0,0,(AW256-AV256)/AV256*100)</f>
        <v>0</v>
      </c>
      <c r="BH256" s="926">
        <f>IF(AW256=0,0,(AX256-AW256)/AW256*100)</f>
        <v>0</v>
      </c>
      <c r="BI256" s="926">
        <f>IF(AX256=0,0,(AY256-AX256)/AX256*100)</f>
        <v>0</v>
      </c>
      <c r="BJ256" s="926">
        <f>IF(AY256=0,0,(AZ256-AY256)/AY256*100)</f>
        <v>0</v>
      </c>
      <c r="BK256" s="926">
        <f>IF(AZ256=0,0,(BA256-AZ256)/AZ256*100)</f>
        <v>0</v>
      </c>
      <c r="BL256" s="926">
        <f>IF(BA256=0,0,(BB256-BA256)/BA256*100)</f>
        <v>0</v>
      </c>
      <c r="BM256" s="926">
        <f>IF(BB256=0,0,(BC256-BB256)/BB256*100)</f>
        <v>0</v>
      </c>
      <c r="BN256" s="4830"/>
      <c r="BO256" s="4830"/>
      <c r="BP256" s="4830"/>
      <c r="BQ256" s="960"/>
      <c r="BR256" s="960"/>
      <c r="BS256" s="1048" t="s">
        <v>1985</v>
      </c>
      <c r="BT256" s="1048"/>
      <c r="BU256" s="1048"/>
      <c r="BV256" s="962"/>
      <c r="BW256" s="962"/>
    </row>
    <row s="1621" customFormat="1" customHeight="1" ht="21.75">
      <c r="A257" s="960"/>
      <c r="B257" s="961"/>
      <c r="C257" s="960"/>
      <c r="D257" s="960"/>
      <c r="E257" s="683">
        <v>22.5</v>
      </c>
      <c r="F257" s="50" cm="1" t="str">
        <f t="array" ref="F257:F257">OFFSET(E257,-1,1)</f>
        <v>1</v>
      </c>
      <c r="G257" s="124" t="s">
        <v>1362</v>
      </c>
      <c r="H257" s="960"/>
      <c r="I257" s="124" t="s">
        <v>1986</v>
      </c>
      <c r="J257" s="960"/>
      <c r="K257" s="124" t="s">
        <v>1986</v>
      </c>
      <c r="L257" s="963"/>
      <c r="M257" s="73"/>
      <c r="N257" s="960"/>
      <c r="O257" s="960"/>
      <c r="P257" s="960"/>
      <c r="Q257" s="960"/>
      <c r="R257" s="960"/>
      <c r="S257" s="960"/>
      <c r="T257" s="439" cm="1" t="str">
        <f t="array" ref="T257:T257">T256</f>
        <v>true</v>
      </c>
      <c r="U257" s="960"/>
      <c r="V257" s="960"/>
      <c r="W257" s="960"/>
      <c r="X257" s="1482"/>
      <c r="Y257" s="960"/>
      <c r="Z257" s="1465"/>
      <c r="AA257" s="960"/>
      <c r="AB257" s="266" t="s">
        <v>1426</v>
      </c>
      <c r="AC257" s="743" t="s">
        <v>1987</v>
      </c>
      <c r="AD257" s="267" t="s">
        <v>784</v>
      </c>
      <c r="AE257" s="4759"/>
      <c r="AF257" s="4759"/>
      <c r="AG257" s="4759"/>
      <c r="AH257" s="926">
        <f>AG257-AF257</f>
        <v>0</v>
      </c>
      <c r="AI257" s="4765"/>
      <c r="AJ257" s="4765"/>
      <c r="AK257" s="1280"/>
      <c r="AL257" s="1280"/>
      <c r="AM257" s="4765"/>
      <c r="AN257" s="4765"/>
      <c r="AO257" s="4765"/>
      <c r="AP257" s="4765"/>
      <c r="AQ257" s="4765"/>
      <c r="AR257" s="4765"/>
      <c r="AS257" s="4765"/>
      <c r="AT257" s="4765"/>
      <c r="AU257" s="1280"/>
      <c r="AV257" s="1280"/>
      <c r="AW257" s="4765"/>
      <c r="AX257" s="4765"/>
      <c r="AY257" s="4765"/>
      <c r="AZ257" s="4765"/>
      <c r="BA257" s="4765"/>
      <c r="BB257" s="4765"/>
      <c r="BC257" s="4765"/>
      <c r="BD257" s="926">
        <f>IF(AI257=0,0,(AT257-AI257)/AI257*100)</f>
        <v>0</v>
      </c>
      <c r="BE257" s="926">
        <f>IF(AT257=0,0,(AU257-AT257)/AT257*100)</f>
        <v>0</v>
      </c>
      <c r="BF257" s="926">
        <f>IF(AU257=0,0,(AV257-AU257)/AU257*100)</f>
        <v>0</v>
      </c>
      <c r="BG257" s="926">
        <f>IF(AV257=0,0,(AW257-AV257)/AV257*100)</f>
        <v>0</v>
      </c>
      <c r="BH257" s="926">
        <f>IF(AW257=0,0,(AX257-AW257)/AW257*100)</f>
        <v>0</v>
      </c>
      <c r="BI257" s="926">
        <f>IF(AX257=0,0,(AY257-AX257)/AX257*100)</f>
        <v>0</v>
      </c>
      <c r="BJ257" s="926">
        <f>IF(AY257=0,0,(AZ257-AY257)/AY257*100)</f>
        <v>0</v>
      </c>
      <c r="BK257" s="926">
        <f>IF(AZ257=0,0,(BA257-AZ257)/AZ257*100)</f>
        <v>0</v>
      </c>
      <c r="BL257" s="926">
        <f>IF(BA257=0,0,(BB257-BA257)/BA257*100)</f>
        <v>0</v>
      </c>
      <c r="BM257" s="926">
        <f>IF(BB257=0,0,(BC257-BB257)/BB257*100)</f>
        <v>0</v>
      </c>
      <c r="BN257" s="4830"/>
      <c r="BO257" s="4830"/>
      <c r="BP257" s="4830"/>
      <c r="BQ257" s="960"/>
      <c r="BR257" s="960"/>
      <c r="BS257" s="1048" t="s">
        <v>1988</v>
      </c>
      <c r="BT257" s="1048"/>
      <c r="BU257" s="1048"/>
      <c r="BV257" s="962"/>
      <c r="BW257" s="962"/>
    </row>
    <row s="4835" customFormat="1" customHeight="1" ht="138.75">
      <c r="A258" s="680"/>
      <c r="B258" s="408"/>
      <c r="C258" s="680"/>
      <c r="D258" s="680"/>
      <c r="E258" s="687">
        <v>21</v>
      </c>
      <c r="F258" s="50" cm="1" t="str">
        <f t="array" ref="F258:F258">OFFSET(E258,-1,1)</f>
        <v>1</v>
      </c>
      <c r="G258" s="124" t="s">
        <v>1989</v>
      </c>
      <c r="H258" s="124"/>
      <c r="I258" s="124" t="s">
        <v>327</v>
      </c>
      <c r="J258" s="680"/>
      <c r="K258" s="124" t="s">
        <v>327</v>
      </c>
      <c r="L258" s="968" t="s">
        <v>1219</v>
      </c>
      <c r="M258" s="75"/>
      <c r="N258" s="680"/>
      <c r="O258" s="680"/>
      <c r="P258" s="680"/>
      <c r="Q258" s="680"/>
      <c r="R258" s="680"/>
      <c r="S258" s="680"/>
      <c r="T258" s="439" cm="1" t="str">
        <f t="array" ref="T258:T258">T257</f>
        <v>true</v>
      </c>
      <c r="U258" s="680"/>
      <c r="V258" s="680"/>
      <c r="W258" s="680"/>
      <c r="X258" s="1482"/>
      <c r="Y258" s="680"/>
      <c r="Z258" s="1465"/>
      <c r="AA258" s="680"/>
      <c r="AB258" s="185" t="s">
        <v>323</v>
      </c>
      <c r="AC258" s="179" t="s">
        <v>1990</v>
      </c>
      <c r="AD258" s="178" t="s">
        <v>784</v>
      </c>
      <c r="AE258" s="759">
        <f>_xlfn.SUMIFS(ЭЭ!AE$25:AE$93,ЭЭ!$F$25:$F$93,$F258,ЭЭ!$AC$25:$AC$93,"Всего по тарифу")</f>
        <v>609.8370458186</v>
      </c>
      <c r="AF258" s="759">
        <f>_xlfn.SUMIFS(ЭЭ!AF$25:AF$93,ЭЭ!$F$25:$F$93,$F258,ЭЭ!$AC$25:$AC$93,"Всего по тарифу")</f>
        <v>589.5074299695</v>
      </c>
      <c r="AG258" s="759">
        <f>_xlfn.SUMIFS(ЭЭ!AG$25:AG$93,ЭЭ!$F$25:$F$93,$F258,ЭЭ!$AC$25:$AC$93,"Всего по тарифу")</f>
        <v>589.5074299695</v>
      </c>
      <c r="AH258" s="742">
        <f>AG258-AF258</f>
        <v>0</v>
      </c>
      <c r="AI258" s="742">
        <f>_xlfn.SUMIFS(ЭЭ!AH$25:AH$93,ЭЭ!$F$25:$F$93,$F258,ЭЭ!$AC$25:$AC$93,"Всего по тарифу")</f>
        <v>601.3424488914</v>
      </c>
      <c r="AJ258" s="742">
        <f>_xlfn.SUMIFS(ЭЭ!AI$25:AI$93,ЭЭ!$F$25:$F$93,$F258,ЭЭ!$AC$25:$AC$93,"Всего по тарифу")</f>
        <v>612.4689</v>
      </c>
      <c r="AK258" s="742">
        <f>_xlfn.SUMIFS(ЭЭ!AJ$25:AJ$93,ЭЭ!$F$25:$F$93,$F258,ЭЭ!$AC$25:$AC$93,"Всего по тарифу")</f>
        <v>0</v>
      </c>
      <c r="AL258" s="742">
        <f>_xlfn.SUMIFS(ЭЭ!AK$25:AK$93,ЭЭ!$F$25:$F$93,$F258,ЭЭ!$AC$25:$AC$93,"Всего по тарифу")</f>
        <v>0</v>
      </c>
      <c r="AM258" s="742">
        <f>_xlfn.SUMIFS(ЭЭ!AL$25:AL$93,ЭЭ!$F$25:$F$93,$F258,ЭЭ!$AC$25:$AC$93,"Всего по тарифу")</f>
        <v>0</v>
      </c>
      <c r="AN258" s="742">
        <f>_xlfn.SUMIFS(ЭЭ!AM$25:AM$93,ЭЭ!$F$25:$F$93,$F258,ЭЭ!$AC$25:$AC$93,"Всего по тарифу")</f>
        <v>0</v>
      </c>
      <c r="AO258" s="742">
        <f>_xlfn.SUMIFS(ЭЭ!AN$25:AN$93,ЭЭ!$F$25:$F$93,$F258,ЭЭ!$AC$25:$AC$93,"Всего по тарифу")</f>
        <v>0</v>
      </c>
      <c r="AP258" s="742">
        <f>_xlfn.SUMIFS(ЭЭ!AO$25:AO$93,ЭЭ!$F$25:$F$93,$F258,ЭЭ!$AC$25:$AC$93,"Всего по тарифу")</f>
        <v>0</v>
      </c>
      <c r="AQ258" s="742">
        <f>_xlfn.SUMIFS(ЭЭ!AP$25:AP$93,ЭЭ!$F$25:$F$93,$F258,ЭЭ!$AC$25:$AC$93,"Всего по тарифу")</f>
        <v>0</v>
      </c>
      <c r="AR258" s="742">
        <f>_xlfn.SUMIFS(ЭЭ!AQ$25:AQ$93,ЭЭ!$F$25:$F$93,$F258,ЭЭ!$AC$25:$AC$93,"Всего по тарифу")</f>
        <v>0</v>
      </c>
      <c r="AS258" s="742">
        <f>_xlfn.SUMIFS(ЭЭ!AR$25:AR$93,ЭЭ!$F$25:$F$93,$F258,ЭЭ!$AC$25:$AC$93,"Всего по тарифу")</f>
        <v>0</v>
      </c>
      <c r="AT258" s="742">
        <f>_xlfn.SUMIFS(ЭЭ!AS$25:AS$93,ЭЭ!$F$25:$F$93,$F258,ЭЭ!$AC$25:$AC$93,"Всего по тарифу")</f>
        <v>678.5030226358</v>
      </c>
      <c r="AU258" s="742">
        <f>_xlfn.SUMIFS(ЭЭ!AT$25:AT$93,ЭЭ!$F$25:$F$93,$F258,ЭЭ!$AC$25:$AC$93,"Всего по тарифу")</f>
        <v>0</v>
      </c>
      <c r="AV258" s="742">
        <f>_xlfn.SUMIFS(ЭЭ!AU$25:AU$93,ЭЭ!$F$25:$F$93,$F258,ЭЭ!$AC$25:$AC$93,"Всего по тарифу")</f>
        <v>0</v>
      </c>
      <c r="AW258" s="742">
        <f>_xlfn.SUMIFS(ЭЭ!AV$25:AV$93,ЭЭ!$F$25:$F$93,$F258,ЭЭ!$AC$25:$AC$93,"Всего по тарифу")</f>
        <v>0</v>
      </c>
      <c r="AX258" s="742">
        <f>_xlfn.SUMIFS(ЭЭ!AW$25:AW$93,ЭЭ!$F$25:$F$93,$F258,ЭЭ!$AC$25:$AC$93,"Всего по тарифу")</f>
        <v>0</v>
      </c>
      <c r="AY258" s="742">
        <f>_xlfn.SUMIFS(ЭЭ!AX$25:AX$93,ЭЭ!$F$25:$F$93,$F258,ЭЭ!$AC$25:$AC$93,"Всего по тарифу")</f>
        <v>0</v>
      </c>
      <c r="AZ258" s="742">
        <f>_xlfn.SUMIFS(ЭЭ!AY$25:AY$93,ЭЭ!$F$25:$F$93,$F258,ЭЭ!$AC$25:$AC$93,"Всего по тарифу")</f>
        <v>0</v>
      </c>
      <c r="BA258" s="742">
        <f>_xlfn.SUMIFS(ЭЭ!AZ$25:AZ$93,ЭЭ!$F$25:$F$93,$F258,ЭЭ!$AC$25:$AC$93,"Всего по тарифу")</f>
        <v>0</v>
      </c>
      <c r="BB258" s="742">
        <f>_xlfn.SUMIFS(ЭЭ!BA$25:BA$93,ЭЭ!$F$25:$F$93,$F258,ЭЭ!$AC$25:$AC$93,"Всего по тарифу")</f>
        <v>0</v>
      </c>
      <c r="BC258" s="742">
        <f>_xlfn.SUMIFS(ЭЭ!BB$25:BB$93,ЭЭ!$F$25:$F$93,$F258,ЭЭ!$AC$25:$AC$93,"Всего по тарифу")</f>
        <v>0</v>
      </c>
      <c r="BD258" s="742">
        <f>IF(AI258=0,0,(AT258-AI258)/AI258*100)</f>
        <v>12.8313864897861</v>
      </c>
      <c r="BE258" s="742">
        <f>IF(AT258=0,0,(AU258-AT258)/AT258*100)</f>
        <v>-100</v>
      </c>
      <c r="BF258" s="742">
        <f>IF(AU258=0,0,(AV258-AU258)/AU258*100)</f>
        <v>0</v>
      </c>
      <c r="BG258" s="742">
        <f>IF(AV258=0,0,(AW258-AV258)/AV258*100)</f>
        <v>0</v>
      </c>
      <c r="BH258" s="742">
        <f>IF(AW258=0,0,(AX258-AW258)/AW258*100)</f>
        <v>0</v>
      </c>
      <c r="BI258" s="742">
        <f>IF(AX258=0,0,(AY258-AX258)/AX258*100)</f>
        <v>0</v>
      </c>
      <c r="BJ258" s="742">
        <f>IF(AY258=0,0,(AZ258-AY258)/AY258*100)</f>
        <v>0</v>
      </c>
      <c r="BK258" s="742">
        <f>IF(AZ258=0,0,(BA258-AZ258)/AZ258*100)</f>
        <v>0</v>
      </c>
      <c r="BL258" s="742">
        <f>IF(BA258=0,0,(BB258-BA258)/BA258*100)</f>
        <v>0</v>
      </c>
      <c r="BM258" s="742">
        <f>IF(BB258=0,0,(BC258-BB258)/BB258*100)</f>
        <v>0</v>
      </c>
      <c r="BN258" s="4830"/>
      <c r="BO258" s="4834" t="s">
        <v>840</v>
      </c>
      <c r="BP258" s="4830" t="s">
        <v>2080</v>
      </c>
      <c r="BQ258" s="680"/>
      <c r="BR258" s="680"/>
      <c r="BS258" s="1054" t="s">
        <v>1598</v>
      </c>
      <c r="BT258" s="1054"/>
      <c r="BU258" s="1054"/>
      <c r="BV258" s="687"/>
      <c r="BW258" s="687"/>
    </row>
    <row s="4836" customFormat="1" customHeight="1" ht="243.75">
      <c r="A259" s="680"/>
      <c r="B259" s="128">
        <f>method_reg="Метод индексации"</f>
        <v>1</v>
      </c>
      <c r="C259" s="680"/>
      <c r="D259" s="680"/>
      <c r="E259" s="687">
        <v>22.5</v>
      </c>
      <c r="F259" s="50" cm="1" t="str">
        <f t="array" ref="F259:F259">OFFSET(E259,-1,1)</f>
        <v>1</v>
      </c>
      <c r="G259" s="124" t="s">
        <v>1384</v>
      </c>
      <c r="H259" s="124"/>
      <c r="I259" s="124" t="s">
        <v>329</v>
      </c>
      <c r="J259" s="680"/>
      <c r="K259" s="124" t="s">
        <v>329</v>
      </c>
      <c r="L259" s="968" t="s">
        <v>328</v>
      </c>
      <c r="M259" s="75"/>
      <c r="N259" s="680"/>
      <c r="O259" s="680"/>
      <c r="P259" s="680"/>
      <c r="Q259" s="680"/>
      <c r="R259" s="680"/>
      <c r="S259" s="680"/>
      <c r="T259" s="439" cm="1" t="str">
        <f t="array" ref="T259:T259">T258</f>
        <v>true</v>
      </c>
      <c r="U259" s="680"/>
      <c r="V259" s="680"/>
      <c r="W259" s="680"/>
      <c r="X259" s="1482"/>
      <c r="Y259" s="680"/>
      <c r="Z259" s="1465"/>
      <c r="AA259" s="680"/>
      <c r="AB259" s="185" t="s">
        <v>536</v>
      </c>
      <c r="AC259" s="179" t="s">
        <v>1991</v>
      </c>
      <c r="AD259" s="178" t="s">
        <v>784</v>
      </c>
      <c r="AE259" s="759">
        <f>_xlfn.SUMIFS(Амортизация!AE$25:AE$174,Амортизация!$F$25:$F$174,$F259,Амортизация!$AC$25:$AC$174,"Сумма амортизационных отчислений")</f>
        <v>440.0542366942</v>
      </c>
      <c r="AF259" s="759">
        <f>_xlfn.SUMIFS(Амортизация!AF$25:AF$174,Амортизация!$F$25:$F$174,$F259,Амортизация!$AC$25:$AC$174,"Сумма амортизационных отчислений")</f>
        <v>761.71191</v>
      </c>
      <c r="AG259" s="759">
        <f>_xlfn.SUMIFS(Амортизация!AG$25:AG$174,Амортизация!$F$25:$F$174,$F259,Амортизация!$AC$25:$AC$174,"Сумма амортизационных отчислений")</f>
        <v>0</v>
      </c>
      <c r="AH259" s="742">
        <f>AG259-AF259</f>
        <v>-761.71191</v>
      </c>
      <c r="AI259" s="742">
        <f>_xlfn.SUMIFS(Амортизация!AH$25:AH$174,Амортизация!$F$25:$F$174,$F259,Амортизация!$AC$25:$AC$174,"Сумма амортизационных отчислений")</f>
        <v>440.0542366942</v>
      </c>
      <c r="AJ259" s="742">
        <f>_xlfn.SUMIFS(Амортизация!AI$25:AI$174,Амортизация!$F$25:$F$174,$F259,Амортизация!$AC$25:$AC$174,"Сумма амортизационных отчислений")</f>
        <v>604.42902</v>
      </c>
      <c r="AK259" s="742">
        <f>_xlfn.SUMIFS(Амортизация!AJ$25:AJ$174,Амортизация!$F$25:$F$174,$F259,Амортизация!$AC$25:$AC$174,"Сумма амортизационных отчислений")</f>
        <v>0</v>
      </c>
      <c r="AL259" s="742">
        <f>_xlfn.SUMIFS(Амортизация!AK$25:AK$174,Амортизация!$F$25:$F$174,$F259,Амортизация!$AC$25:$AC$174,"Сумма амортизационных отчислений")</f>
        <v>0</v>
      </c>
      <c r="AM259" s="742">
        <f>_xlfn.SUMIFS(Амортизация!AL$25:AL$174,Амортизация!$F$25:$F$174,$F259,Амортизация!$AC$25:$AC$174,"Сумма амортизационных отчислений")</f>
        <v>0</v>
      </c>
      <c r="AN259" s="742">
        <f>_xlfn.SUMIFS(Амортизация!AM$25:AM$174,Амортизация!$F$25:$F$174,$F259,Амортизация!$AC$25:$AC$174,"Сумма амортизационных отчислений")</f>
        <v>0</v>
      </c>
      <c r="AO259" s="742">
        <f>_xlfn.SUMIFS(Амортизация!AN$25:AN$174,Амортизация!$F$25:$F$174,$F259,Амортизация!$AC$25:$AC$174,"Сумма амортизационных отчислений")</f>
        <v>0</v>
      </c>
      <c r="AP259" s="742">
        <f>_xlfn.SUMIFS(Амортизация!AO$25:AO$174,Амортизация!$F$25:$F$174,$F259,Амортизация!$AC$25:$AC$174,"Сумма амортизационных отчислений")</f>
        <v>0</v>
      </c>
      <c r="AQ259" s="742">
        <f>_xlfn.SUMIFS(Амортизация!AP$25:AP$174,Амортизация!$F$25:$F$174,$F259,Амортизация!$AC$25:$AC$174,"Сумма амортизационных отчислений")</f>
        <v>0</v>
      </c>
      <c r="AR259" s="742">
        <f>_xlfn.SUMIFS(Амортизация!AQ$25:AQ$174,Амортизация!$F$25:$F$174,$F259,Амортизация!$AC$25:$AC$174,"Сумма амортизационных отчислений")</f>
        <v>0</v>
      </c>
      <c r="AS259" s="742">
        <f>_xlfn.SUMIFS(Амортизация!AR$25:AR$174,Амортизация!$F$25:$F$174,$F259,Амортизация!$AC$25:$AC$174,"Сумма амортизационных отчислений")</f>
        <v>0</v>
      </c>
      <c r="AT259" s="742">
        <f>_xlfn.SUMIFS(Амортизация!AS$25:AS$174,Амортизация!$F$25:$F$174,$F259,Амортизация!$AC$25:$AC$174,"Сумма амортизационных отчислений")</f>
        <v>440.0542366942</v>
      </c>
      <c r="AU259" s="742">
        <f>_xlfn.SUMIFS(Амортизация!AT$25:AT$174,Амортизация!$F$25:$F$174,$F259,Амортизация!$AC$25:$AC$174,"Сумма амортизационных отчислений")</f>
        <v>0</v>
      </c>
      <c r="AV259" s="742">
        <f>_xlfn.SUMIFS(Амортизация!AU$25:AU$174,Амортизация!$F$25:$F$174,$F259,Амортизация!$AC$25:$AC$174,"Сумма амортизационных отчислений")</f>
        <v>0</v>
      </c>
      <c r="AW259" s="742">
        <f>_xlfn.SUMIFS(Амортизация!AV$25:AV$174,Амортизация!$F$25:$F$174,$F259,Амортизация!$AC$25:$AC$174,"Сумма амортизационных отчислений")</f>
        <v>0</v>
      </c>
      <c r="AX259" s="742">
        <f>_xlfn.SUMIFS(Амортизация!AW$25:AW$174,Амортизация!$F$25:$F$174,$F259,Амортизация!$AC$25:$AC$174,"Сумма амортизационных отчислений")</f>
        <v>0</v>
      </c>
      <c r="AY259" s="742">
        <f>_xlfn.SUMIFS(Амортизация!AX$25:AX$174,Амортизация!$F$25:$F$174,$F259,Амортизация!$AC$25:$AC$174,"Сумма амортизационных отчислений")</f>
        <v>0</v>
      </c>
      <c r="AZ259" s="742">
        <f>_xlfn.SUMIFS(Амортизация!AY$25:AY$174,Амортизация!$F$25:$F$174,$F259,Амортизация!$AC$25:$AC$174,"Сумма амортизационных отчислений")</f>
        <v>0</v>
      </c>
      <c r="BA259" s="742">
        <f>_xlfn.SUMIFS(Амортизация!AZ$25:AZ$174,Амортизация!$F$25:$F$174,$F259,Амортизация!$AC$25:$AC$174,"Сумма амортизационных отчислений")</f>
        <v>0</v>
      </c>
      <c r="BB259" s="742">
        <f>_xlfn.SUMIFS(Амортизация!BA$25:BA$174,Амортизация!$F$25:$F$174,$F259,Амортизация!$AC$25:$AC$174,"Сумма амортизационных отчислений")</f>
        <v>0</v>
      </c>
      <c r="BC259" s="742">
        <f>_xlfn.SUMIFS(Амортизация!BB$25:BB$174,Амортизация!$F$25:$F$174,$F259,Амортизация!$AC$25:$AC$174,"Сумма амортизационных отчислений")</f>
        <v>0</v>
      </c>
      <c r="BD259" s="742">
        <f>IF(AI259=0,0,(AT259-AI259)/AI259*100)</f>
        <v>0</v>
      </c>
      <c r="BE259" s="742">
        <f>IF(AT259=0,0,(AU259-AT259)/AT259*100)</f>
        <v>-100</v>
      </c>
      <c r="BF259" s="742">
        <f>IF(AU259=0,0,(AV259-AU259)/AU259*100)</f>
        <v>0</v>
      </c>
      <c r="BG259" s="742">
        <f>IF(AV259=0,0,(AW259-AV259)/AV259*100)</f>
        <v>0</v>
      </c>
      <c r="BH259" s="742">
        <f>IF(AW259=0,0,(AX259-AW259)/AW259*100)</f>
        <v>0</v>
      </c>
      <c r="BI259" s="742">
        <f>IF(AX259=0,0,(AY259-AX259)/AX259*100)</f>
        <v>0</v>
      </c>
      <c r="BJ259" s="742">
        <f>IF(AY259=0,0,(AZ259-AY259)/AY259*100)</f>
        <v>0</v>
      </c>
      <c r="BK259" s="742">
        <f>IF(AZ259=0,0,(BA259-AZ259)/AZ259*100)</f>
        <v>0</v>
      </c>
      <c r="BL259" s="742">
        <f>IF(BA259=0,0,(BB259-BA259)/BA259*100)</f>
        <v>0</v>
      </c>
      <c r="BM259" s="742">
        <f>IF(BB259=0,0,(BC259-BB259)/BB259*100)</f>
        <v>0</v>
      </c>
      <c r="BN259" s="4830"/>
      <c r="BO259" s="4784" t="s">
        <v>2081</v>
      </c>
      <c r="BP259" s="4830" t="s">
        <v>2082</v>
      </c>
      <c r="BQ259" s="680"/>
      <c r="BR259" s="680"/>
      <c r="BS259" s="1054" t="s">
        <v>1123</v>
      </c>
      <c r="BT259" s="1054"/>
      <c r="BU259" s="1054"/>
      <c r="BV259" s="687"/>
      <c r="BW259" s="687"/>
    </row>
    <row s="1621" customFormat="1" customHeight="1" ht="14.25">
      <c r="A260" s="960"/>
      <c r="B260" s="405" cm="1" t="str">
        <f t="array" ref="B260:B260">B259</f>
        <v>true</v>
      </c>
      <c r="C260" s="960"/>
      <c r="D260" s="960"/>
      <c r="E260" s="683">
        <v>15</v>
      </c>
      <c r="F260" s="50" cm="1" t="str">
        <f t="array" ref="F260:F260">OFFSET(E260,-1,1)</f>
        <v>1</v>
      </c>
      <c r="G260" s="960"/>
      <c r="H260" s="960"/>
      <c r="I260" s="124" t="s">
        <v>514</v>
      </c>
      <c r="J260" s="960"/>
      <c r="K260" s="124" t="s">
        <v>514</v>
      </c>
      <c r="L260" s="963" t="s">
        <v>528</v>
      </c>
      <c r="M260" s="73"/>
      <c r="N260" s="960"/>
      <c r="O260" s="960"/>
      <c r="P260" s="960"/>
      <c r="Q260" s="960"/>
      <c r="R260" s="960"/>
      <c r="S260" s="960"/>
      <c r="T260" s="439" cm="1" t="str">
        <f t="array" ref="T260:T260">T259</f>
        <v>true</v>
      </c>
      <c r="U260" s="960"/>
      <c r="V260" s="960"/>
      <c r="W260" s="960"/>
      <c r="X260" s="1482"/>
      <c r="Y260" s="960"/>
      <c r="Z260" s="1465"/>
      <c r="AA260" s="960"/>
      <c r="AB260" s="266" t="s">
        <v>652</v>
      </c>
      <c r="AC260" s="743" t="s">
        <v>1691</v>
      </c>
      <c r="AD260" s="267" t="s">
        <v>784</v>
      </c>
      <c r="AE260" s="4759">
        <f>_xlfn.SUMIFS('ИП + источники'!AF$27:AF$116,'ИП + источники'!$F$27:$F$116,$F260,'ИП + источники'!$AC$27:$AC$116,"Амортизационные отчисления")+_xlfn.SUMIFS('ИП + источники'!AF$27:AF$116,'ИП + источники'!$F$27:$F$116,$F260,'ИП + источники'!$AC$27:$AC$116,"погашение займов и кредитов из амортизации")</f>
        <v>0</v>
      </c>
      <c r="AF260" s="4759">
        <f>_xlfn.SUMIFS('ИП + источники'!AG$27:AG$116,'ИП + источники'!$F$27:$F$116,$F260,'ИП + источники'!$AC$27:$AC$116,"Амортизационные отчисления")+_xlfn.SUMIFS('ИП + источники'!AG$27:AG$116,'ИП + источники'!$F$27:$F$116,$F260,'ИП + источники'!$AC$27:$AC$116,"погашение займов и кредитов из амортизации")</f>
        <v>0</v>
      </c>
      <c r="AG260" s="4759">
        <f>_xlfn.SUMIFS('ИП + источники'!AH$27:AH$116,'ИП + источники'!$F$27:$F$116,$F260,'ИП + источники'!$AC$27:$AC$116,"Амортизационные отчисления")+_xlfn.SUMIFS('ИП + источники'!AH$27:AH$116,'ИП + источники'!$F$27:$F$116,$F260,'ИП + источники'!$AC$27:$AC$116,"погашение займов и кредитов из амортизации")</f>
        <v>0</v>
      </c>
      <c r="AH260" s="926">
        <f>AG260-AF260</f>
        <v>0</v>
      </c>
      <c r="AI260" s="4765">
        <f>_xlfn.SUMIFS('ИП + источники'!AJ$27:AJ$116,'ИП + источники'!$F$27:$F$116,$F260,'ИП + источники'!$AC$27:$AC$116,"Амортизационные отчисления")+_xlfn.SUMIFS('ИП + источники'!AJ$27:AJ$116,'ИП + источники'!$F$27:$F$116,$F260,'ИП + источники'!$AC$27:$AC$116,"погашение займов и кредитов из амортизации")</f>
        <v>0</v>
      </c>
      <c r="AJ260" s="4765">
        <f>_xlfn.SUMIFS('ИП + источники'!AK$27:AK$116,'ИП + источники'!$F$27:$F$116,$F260,'ИП + источники'!$AC$27:$AC$116,"Амортизационные отчисления")+_xlfn.SUMIFS('ИП + источники'!AK$27:AK$116,'ИП + источники'!$F$27:$F$116,$F260,'ИП + источники'!$AC$27:$AC$116,"погашение займов и кредитов из амортизации")</f>
        <v>0</v>
      </c>
      <c r="AK260" s="1280">
        <f>_xlfn.SUMIFS('ИП + источники'!AL$27:AL$116,'ИП + источники'!$F$27:$F$116,$F260,'ИП + источники'!$AC$27:$AC$116,"Амортизационные отчисления")+_xlfn.SUMIFS('ИП + источники'!AL$27:AL$116,'ИП + источники'!$F$27:$F$116,$F260,'ИП + источники'!$AC$27:$AC$116,"погашение займов и кредитов из амортизации")</f>
        <v>0</v>
      </c>
      <c r="AL260" s="1280">
        <f>_xlfn.SUMIFS('ИП + источники'!AM$27:AM$116,'ИП + источники'!$F$27:$F$116,$F260,'ИП + источники'!$AC$27:$AC$116,"Амортизационные отчисления")+_xlfn.SUMIFS('ИП + источники'!AM$27:AM$116,'ИП + источники'!$F$27:$F$116,$F260,'ИП + источники'!$AC$27:$AC$116,"погашение займов и кредитов из амортизации")</f>
        <v>0</v>
      </c>
      <c r="AM260" s="4765">
        <f>_xlfn.SUMIFS('ИП + источники'!AN$27:AN$116,'ИП + источники'!$F$27:$F$116,$F260,'ИП + источники'!$AC$27:$AC$116,"Амортизационные отчисления")+_xlfn.SUMIFS('ИП + источники'!AN$27:AN$116,'ИП + источники'!$F$27:$F$116,$F260,'ИП + источники'!$AC$27:$AC$116,"погашение займов и кредитов из амортизации")</f>
        <v>0</v>
      </c>
      <c r="AN260" s="4765">
        <f>_xlfn.SUMIFS('ИП + источники'!AO$27:AO$116,'ИП + источники'!$F$27:$F$116,$F260,'ИП + источники'!$AC$27:$AC$116,"Амортизационные отчисления")+_xlfn.SUMIFS('ИП + источники'!AO$27:AO$116,'ИП + источники'!$F$27:$F$116,$F260,'ИП + источники'!$AC$27:$AC$116,"погашение займов и кредитов из амортизации")</f>
        <v>0</v>
      </c>
      <c r="AO260" s="4765">
        <f>_xlfn.SUMIFS('ИП + источники'!AP$27:AP$116,'ИП + источники'!$F$27:$F$116,$F260,'ИП + источники'!$AC$27:$AC$116,"Амортизационные отчисления")+_xlfn.SUMIFS('ИП + источники'!AP$27:AP$116,'ИП + источники'!$F$27:$F$116,$F260,'ИП + источники'!$AC$27:$AC$116,"погашение займов и кредитов из амортизации")</f>
        <v>0</v>
      </c>
      <c r="AP260" s="4765">
        <f>_xlfn.SUMIFS('ИП + источники'!AQ$27:AQ$116,'ИП + источники'!$F$27:$F$116,$F260,'ИП + источники'!$AC$27:$AC$116,"Амортизационные отчисления")+_xlfn.SUMIFS('ИП + источники'!AQ$27:AQ$116,'ИП + источники'!$F$27:$F$116,$F260,'ИП + источники'!$AC$27:$AC$116,"погашение займов и кредитов из амортизации")</f>
        <v>0</v>
      </c>
      <c r="AQ260" s="4765">
        <f>_xlfn.SUMIFS('ИП + источники'!AR$27:AR$116,'ИП + источники'!$F$27:$F$116,$F260,'ИП + источники'!$AC$27:$AC$116,"Амортизационные отчисления")+_xlfn.SUMIFS('ИП + источники'!AR$27:AR$116,'ИП + источники'!$F$27:$F$116,$F260,'ИП + источники'!$AC$27:$AC$116,"погашение займов и кредитов из амортизации")</f>
        <v>0</v>
      </c>
      <c r="AR260" s="4765">
        <f>_xlfn.SUMIFS('ИП + источники'!AS$27:AS$116,'ИП + источники'!$F$27:$F$116,$F260,'ИП + источники'!$AC$27:$AC$116,"Амортизационные отчисления")+_xlfn.SUMIFS('ИП + источники'!AS$27:AS$116,'ИП + источники'!$F$27:$F$116,$F260,'ИП + источники'!$AC$27:$AC$116,"погашение займов и кредитов из амортизации")</f>
        <v>0</v>
      </c>
      <c r="AS260" s="4765">
        <f>_xlfn.SUMIFS('ИП + источники'!AT$27:AT$116,'ИП + источники'!$F$27:$F$116,$F260,'ИП + источники'!$AC$27:$AC$116,"Амортизационные отчисления")+_xlfn.SUMIFS('ИП + источники'!AT$27:AT$116,'ИП + источники'!$F$27:$F$116,$F260,'ИП + источники'!$AC$27:$AC$116,"погашение займов и кредитов из амортизации")</f>
        <v>0</v>
      </c>
      <c r="AT260" s="4765">
        <f>_xlfn.SUMIFS('ИП + источники'!AU$27:AU$116,'ИП + источники'!$F$27:$F$116,$F260,'ИП + источники'!$AC$27:$AC$116,"Амортизационные отчисления")+_xlfn.SUMIFS('ИП + источники'!AU$27:AU$116,'ИП + источники'!$F$27:$F$116,$F260,'ИП + источники'!$AC$27:$AC$116,"погашение займов и кредитов из амортизации")</f>
        <v>0</v>
      </c>
      <c r="AU260" s="1280">
        <f>_xlfn.SUMIFS('ИП + источники'!AV$27:AV$116,'ИП + источники'!$F$27:$F$116,$F260,'ИП + источники'!$AC$27:$AC$116,"Амортизационные отчисления")+_xlfn.SUMIFS('ИП + источники'!AV$27:AV$116,'ИП + источники'!$F$27:$F$116,$F260,'ИП + источники'!$AC$27:$AC$116,"погашение займов и кредитов из амортизации")</f>
        <v>0</v>
      </c>
      <c r="AV260" s="1280">
        <f>_xlfn.SUMIFS('ИП + источники'!AW$27:AW$116,'ИП + источники'!$F$27:$F$116,$F260,'ИП + источники'!$AC$27:$AC$116,"Амортизационные отчисления")+_xlfn.SUMIFS('ИП + источники'!AW$27:AW$116,'ИП + источники'!$F$27:$F$116,$F260,'ИП + источники'!$AC$27:$AC$116,"погашение займов и кредитов из амортизации")</f>
        <v>0</v>
      </c>
      <c r="AW260" s="4765">
        <f>_xlfn.SUMIFS('ИП + источники'!AX$27:AX$116,'ИП + источники'!$F$27:$F$116,$F260,'ИП + источники'!$AC$27:$AC$116,"Амортизационные отчисления")+_xlfn.SUMIFS('ИП + источники'!AX$27:AX$116,'ИП + источники'!$F$27:$F$116,$F260,'ИП + источники'!$AC$27:$AC$116,"погашение займов и кредитов из амортизации")</f>
        <v>0</v>
      </c>
      <c r="AX260" s="4765">
        <f>_xlfn.SUMIFS('ИП + источники'!AY$27:AY$116,'ИП + источники'!$F$27:$F$116,$F260,'ИП + источники'!$AC$27:$AC$116,"Амортизационные отчисления")+_xlfn.SUMIFS('ИП + источники'!AY$27:AY$116,'ИП + источники'!$F$27:$F$116,$F260,'ИП + источники'!$AC$27:$AC$116,"погашение займов и кредитов из амортизации")</f>
        <v>0</v>
      </c>
      <c r="AY260" s="4765">
        <f>_xlfn.SUMIFS('ИП + источники'!AZ$27:AZ$116,'ИП + источники'!$F$27:$F$116,$F260,'ИП + источники'!$AC$27:$AC$116,"Амортизационные отчисления")+_xlfn.SUMIFS('ИП + источники'!AZ$27:AZ$116,'ИП + источники'!$F$27:$F$116,$F260,'ИП + источники'!$AC$27:$AC$116,"погашение займов и кредитов из амортизации")</f>
        <v>0</v>
      </c>
      <c r="AZ260" s="4765">
        <f>_xlfn.SUMIFS('ИП + источники'!BA$27:BA$116,'ИП + источники'!$F$27:$F$116,$F260,'ИП + источники'!$AC$27:$AC$116,"Амортизационные отчисления")+_xlfn.SUMIFS('ИП + источники'!BA$27:BA$116,'ИП + источники'!$F$27:$F$116,$F260,'ИП + источники'!$AC$27:$AC$116,"погашение займов и кредитов из амортизации")</f>
        <v>0</v>
      </c>
      <c r="BA260" s="4765">
        <f>_xlfn.SUMIFS('ИП + источники'!BB$27:BB$116,'ИП + источники'!$F$27:$F$116,$F260,'ИП + источники'!$AC$27:$AC$116,"Амортизационные отчисления")+_xlfn.SUMIFS('ИП + источники'!BB$27:BB$116,'ИП + источники'!$F$27:$F$116,$F260,'ИП + источники'!$AC$27:$AC$116,"погашение займов и кредитов из амортизации")</f>
        <v>0</v>
      </c>
      <c r="BB260" s="4765">
        <f>_xlfn.SUMIFS('ИП + источники'!BC$27:BC$116,'ИП + источники'!$F$27:$F$116,$F260,'ИП + источники'!$AC$27:$AC$116,"Амортизационные отчисления")+_xlfn.SUMIFS('ИП + источники'!BC$27:BC$116,'ИП + источники'!$F$27:$F$116,$F260,'ИП + источники'!$AC$27:$AC$116,"погашение займов и кредитов из амортизации")</f>
        <v>0</v>
      </c>
      <c r="BC260" s="4765">
        <f>_xlfn.SUMIFS('ИП + источники'!BD$27:BD$116,'ИП + источники'!$F$27:$F$116,$F260,'ИП + источники'!$AC$27:$AC$116,"Амортизационные отчисления")+_xlfn.SUMIFS('ИП + источники'!BD$27:BD$116,'ИП + источники'!$F$27:$F$116,$F260,'ИП + источники'!$AC$27:$AC$116,"погашение займов и кредитов из амортизации")</f>
        <v>0</v>
      </c>
      <c r="BD260" s="926">
        <f>IF(AI260=0,0,(AT260-AI260)/AI260*100)</f>
        <v>0</v>
      </c>
      <c r="BE260" s="926">
        <f>IF(AT260=0,0,(AU260-AT260)/AT260*100)</f>
        <v>0</v>
      </c>
      <c r="BF260" s="926">
        <f>IF(AU260=0,0,(AV260-AU260)/AU260*100)</f>
        <v>0</v>
      </c>
      <c r="BG260" s="926">
        <f>IF(AV260=0,0,(AW260-AV260)/AV260*100)</f>
        <v>0</v>
      </c>
      <c r="BH260" s="926">
        <f>IF(AW260=0,0,(AX260-AW260)/AW260*100)</f>
        <v>0</v>
      </c>
      <c r="BI260" s="926">
        <f>IF(AX260=0,0,(AY260-AX260)/AX260*100)</f>
        <v>0</v>
      </c>
      <c r="BJ260" s="926">
        <f>IF(AY260=0,0,(AZ260-AY260)/AY260*100)</f>
        <v>0</v>
      </c>
      <c r="BK260" s="926">
        <f>IF(AZ260=0,0,(BA260-AZ260)/AZ260*100)</f>
        <v>0</v>
      </c>
      <c r="BL260" s="926">
        <f>IF(BA260=0,0,(BB260-BA260)/BA260*100)</f>
        <v>0</v>
      </c>
      <c r="BM260" s="926">
        <f>IF(BB260=0,0,(BC260-BB260)/BB260*100)</f>
        <v>0</v>
      </c>
      <c r="BN260" s="4830"/>
      <c r="BO260" s="4830"/>
      <c r="BP260" s="4830"/>
      <c r="BQ260" s="960"/>
      <c r="BR260" s="960"/>
      <c r="BS260" s="1048" t="s">
        <v>1692</v>
      </c>
      <c r="BT260" s="1048"/>
      <c r="BU260" s="1048"/>
      <c r="BV260" s="962"/>
      <c r="BW260" s="962"/>
    </row>
    <row s="4837" customFormat="1" customHeight="1" ht="20.25">
      <c r="A261" s="680"/>
      <c r="B261" s="405" cm="1" t="str">
        <f t="array" ref="B261:B261">B260</f>
        <v>true</v>
      </c>
      <c r="C261" s="680"/>
      <c r="D261" s="680"/>
      <c r="E261" s="687">
        <v>21</v>
      </c>
      <c r="F261" s="50" cm="1" t="str">
        <f t="array" ref="F261:F261">OFFSET(E261,-1,1)</f>
        <v>1</v>
      </c>
      <c r="G261" s="124" t="s">
        <v>1388</v>
      </c>
      <c r="H261" s="124"/>
      <c r="I261" s="124" t="s">
        <v>328</v>
      </c>
      <c r="J261" s="680"/>
      <c r="K261" s="124" t="s">
        <v>328</v>
      </c>
      <c r="L261" s="968" t="s">
        <v>541</v>
      </c>
      <c r="M261" s="75"/>
      <c r="N261" s="680"/>
      <c r="O261" s="680"/>
      <c r="P261" s="680"/>
      <c r="Q261" s="680"/>
      <c r="R261" s="680"/>
      <c r="S261" s="680"/>
      <c r="T261" s="439" cm="1" t="str">
        <f t="array" ref="T261:T261">T260</f>
        <v>true</v>
      </c>
      <c r="U261" s="680"/>
      <c r="V261" s="680"/>
      <c r="W261" s="680"/>
      <c r="X261" s="1482"/>
      <c r="Y261" s="680"/>
      <c r="Z261" s="1465"/>
      <c r="AA261" s="680"/>
      <c r="AB261" s="185" t="s">
        <v>492</v>
      </c>
      <c r="AC261" s="179" t="s">
        <v>1388</v>
      </c>
      <c r="AD261" s="201" t="s">
        <v>784</v>
      </c>
      <c r="AE261" s="180">
        <f>AE262+AE263+AE264+AE265</f>
        <v>0</v>
      </c>
      <c r="AF261" s="180">
        <f>AF262+AF263+AF264+AF265</f>
        <v>0</v>
      </c>
      <c r="AG261" s="180">
        <f>AG262+AG263+AG264+AG265</f>
        <v>0</v>
      </c>
      <c r="AH261" s="751">
        <f>AG261-AF261</f>
        <v>0</v>
      </c>
      <c r="AI261" s="751">
        <f>AI262+AI263+AI264+AI265</f>
        <v>0</v>
      </c>
      <c r="AJ261" s="751">
        <f>AJ262+AJ263+AJ264+AJ265</f>
        <v>0</v>
      </c>
      <c r="AK261" s="751">
        <f>AK262+AK263+AK264+AK265</f>
        <v>0</v>
      </c>
      <c r="AL261" s="751">
        <f>AL262+AL263+AL264+AL265</f>
        <v>0</v>
      </c>
      <c r="AM261" s="751">
        <f>AM262+AM263+AM264+AM265</f>
        <v>0</v>
      </c>
      <c r="AN261" s="751">
        <f>AN262+AN263+AN264+AN265</f>
        <v>0</v>
      </c>
      <c r="AO261" s="751">
        <f>AO262+AO263+AO264+AO265</f>
        <v>0</v>
      </c>
      <c r="AP261" s="751">
        <f>AP262+AP263+AP264+AP265</f>
        <v>0</v>
      </c>
      <c r="AQ261" s="751">
        <f>AQ262+AQ263+AQ264+AQ265</f>
        <v>0</v>
      </c>
      <c r="AR261" s="751">
        <f>AR262+AR263+AR264+AR265</f>
        <v>0</v>
      </c>
      <c r="AS261" s="751">
        <f>AS262+AS263+AS264+AS265</f>
        <v>0</v>
      </c>
      <c r="AT261" s="751">
        <f>AT262+AT263+AT264+AT265</f>
        <v>0</v>
      </c>
      <c r="AU261" s="751">
        <f>AU262+AU263+AU264+AU265</f>
        <v>0</v>
      </c>
      <c r="AV261" s="751">
        <f>AV262+AV263+AV264+AV265</f>
        <v>0</v>
      </c>
      <c r="AW261" s="751">
        <f>AW262+AW263+AW264+AW265</f>
        <v>0</v>
      </c>
      <c r="AX261" s="751">
        <f>AX262+AX263+AX264+AX265</f>
        <v>0</v>
      </c>
      <c r="AY261" s="751">
        <f>AY262+AY263+AY264+AY265</f>
        <v>0</v>
      </c>
      <c r="AZ261" s="751">
        <f>AZ262+AZ263+AZ264+AZ265</f>
        <v>0</v>
      </c>
      <c r="BA261" s="751">
        <f>BA262+BA263+BA264+BA265</f>
        <v>0</v>
      </c>
      <c r="BB261" s="751">
        <f>BB262+BB263+BB264+BB265</f>
        <v>0</v>
      </c>
      <c r="BC261" s="751">
        <f>BC262+BC263+BC264+BC265</f>
        <v>0</v>
      </c>
      <c r="BD261" s="742">
        <f>IF(AI261=0,0,(AT261-AI261)/AI261*100)</f>
        <v>0</v>
      </c>
      <c r="BE261" s="742">
        <f>IF(AT261=0,0,(AU261-AT261)/AT261*100)</f>
        <v>0</v>
      </c>
      <c r="BF261" s="742">
        <f>IF(AU261=0,0,(AV261-AU261)/AU261*100)</f>
        <v>0</v>
      </c>
      <c r="BG261" s="742">
        <f>IF(AV261=0,0,(AW261-AV261)/AV261*100)</f>
        <v>0</v>
      </c>
      <c r="BH261" s="742">
        <f>IF(AW261=0,0,(AX261-AW261)/AW261*100)</f>
        <v>0</v>
      </c>
      <c r="BI261" s="742">
        <f>IF(AX261=0,0,(AY261-AX261)/AX261*100)</f>
        <v>0</v>
      </c>
      <c r="BJ261" s="742">
        <f>IF(AY261=0,0,(AZ261-AY261)/AY261*100)</f>
        <v>0</v>
      </c>
      <c r="BK261" s="742">
        <f>IF(AZ261=0,0,(BA261-AZ261)/AZ261*100)</f>
        <v>0</v>
      </c>
      <c r="BL261" s="742">
        <f>IF(BA261=0,0,(BB261-BA261)/BA261*100)</f>
        <v>0</v>
      </c>
      <c r="BM261" s="742">
        <f>IF(BB261=0,0,(BC261-BB261)/BB261*100)</f>
        <v>0</v>
      </c>
      <c r="BN261" s="4830"/>
      <c r="BO261" s="4830"/>
      <c r="BP261" s="4830"/>
      <c r="BQ261" s="680"/>
      <c r="BR261" s="680"/>
      <c r="BS261" s="1047" t="s">
        <v>1392</v>
      </c>
      <c r="BT261" s="1054"/>
      <c r="BU261" s="1054"/>
      <c r="BV261" s="687"/>
      <c r="BW261" s="687"/>
    </row>
    <row s="1621" customFormat="1" customHeight="1" ht="14.25">
      <c r="A262" s="960"/>
      <c r="B262" s="405" cm="1" t="str">
        <f t="array" ref="B262:B262">B261</f>
        <v>true</v>
      </c>
      <c r="C262" s="960"/>
      <c r="D262" s="960"/>
      <c r="E262" s="683">
        <v>15</v>
      </c>
      <c r="F262" s="50" cm="1" t="str">
        <f t="array" ref="F262:F262">OFFSET(E262,-1,1)</f>
        <v>1</v>
      </c>
      <c r="G262" s="960"/>
      <c r="H262" s="960"/>
      <c r="I262" s="124" t="s">
        <v>528</v>
      </c>
      <c r="J262" s="960"/>
      <c r="K262" s="124" t="s">
        <v>528</v>
      </c>
      <c r="L262" s="963"/>
      <c r="M262" s="73"/>
      <c r="N262" s="960"/>
      <c r="O262" s="960"/>
      <c r="P262" s="960"/>
      <c r="Q262" s="960"/>
      <c r="R262" s="960"/>
      <c r="S262" s="960"/>
      <c r="T262" s="439" cm="1" t="str">
        <f t="array" ref="T262:T262">T261</f>
        <v>true</v>
      </c>
      <c r="U262" s="960"/>
      <c r="V262" s="960"/>
      <c r="W262" s="960"/>
      <c r="X262" s="1482"/>
      <c r="Y262" s="960"/>
      <c r="Z262" s="1465"/>
      <c r="AA262" s="960"/>
      <c r="AB262" s="266" t="s">
        <v>659</v>
      </c>
      <c r="AC262" s="743" t="s">
        <v>1992</v>
      </c>
      <c r="AD262" s="267" t="s">
        <v>784</v>
      </c>
      <c r="AE262" s="4759">
        <f>_xlfn.SUMIFS('ИП + источники'!AF$27:AF$116,'ИП + источники'!$F$27:$F$116,$F262,'ИП + источники'!$AC$27:$AC$116,"погашение займов и кредитов из нормативной прибыли")</f>
        <v>0</v>
      </c>
      <c r="AF262" s="4759">
        <f>_xlfn.SUMIFS('ИП + источники'!AG$27:AG$116,'ИП + источники'!$F$27:$F$116,$F262,'ИП + источники'!$AC$27:$AC$116,"погашение займов и кредитов из нормативной прибыли")</f>
        <v>0</v>
      </c>
      <c r="AG262" s="4759">
        <f>_xlfn.SUMIFS('ИП + источники'!AH$27:AH$116,'ИП + источники'!$F$27:$F$116,$F262,'ИП + источники'!$AC$27:$AC$116,"погашение займов и кредитов из нормативной прибыли")</f>
        <v>0</v>
      </c>
      <c r="AH262" s="926">
        <f>AG262-AF262</f>
        <v>0</v>
      </c>
      <c r="AI262" s="4765">
        <f>_xlfn.SUMIFS('ИП + источники'!AJ$27:AJ$116,'ИП + источники'!$F$27:$F$116,$F262,'ИП + источники'!$AC$27:$AC$116,"погашение займов и кредитов из нормативной прибыли")</f>
        <v>0</v>
      </c>
      <c r="AJ262" s="4765">
        <f>_xlfn.SUMIFS('ИП + источники'!AK$27:AK$116,'ИП + источники'!$F$27:$F$116,$F262,'ИП + источники'!$AC$27:$AC$116,"погашение займов и кредитов из нормативной прибыли")</f>
        <v>0</v>
      </c>
      <c r="AK262" s="1280">
        <f>_xlfn.SUMIFS('ИП + источники'!AL$27:AL$116,'ИП + источники'!$F$27:$F$116,$F262,'ИП + источники'!$AC$27:$AC$116,"погашение займов и кредитов из нормативной прибыли")</f>
        <v>0</v>
      </c>
      <c r="AL262" s="1280">
        <f>_xlfn.SUMIFS('ИП + источники'!AM$27:AM$116,'ИП + источники'!$F$27:$F$116,$F262,'ИП + источники'!$AC$27:$AC$116,"погашение займов и кредитов из нормативной прибыли")</f>
        <v>0</v>
      </c>
      <c r="AM262" s="4765">
        <f>_xlfn.SUMIFS('ИП + источники'!AN$27:AN$116,'ИП + источники'!$F$27:$F$116,$F262,'ИП + источники'!$AC$27:$AC$116,"погашение займов и кредитов из нормативной прибыли")</f>
        <v>0</v>
      </c>
      <c r="AN262" s="4765">
        <f>_xlfn.SUMIFS('ИП + источники'!AO$27:AO$116,'ИП + источники'!$F$27:$F$116,$F262,'ИП + источники'!$AC$27:$AC$116,"погашение займов и кредитов из нормативной прибыли")</f>
        <v>0</v>
      </c>
      <c r="AO262" s="4765">
        <f>_xlfn.SUMIFS('ИП + источники'!AP$27:AP$116,'ИП + источники'!$F$27:$F$116,$F262,'ИП + источники'!$AC$27:$AC$116,"погашение займов и кредитов из нормативной прибыли")</f>
        <v>0</v>
      </c>
      <c r="AP262" s="4765">
        <f>_xlfn.SUMIFS('ИП + источники'!AQ$27:AQ$116,'ИП + источники'!$F$27:$F$116,$F262,'ИП + источники'!$AC$27:$AC$116,"погашение займов и кредитов из нормативной прибыли")</f>
        <v>0</v>
      </c>
      <c r="AQ262" s="4765">
        <f>_xlfn.SUMIFS('ИП + источники'!AR$27:AR$116,'ИП + источники'!$F$27:$F$116,$F262,'ИП + источники'!$AC$27:$AC$116,"погашение займов и кредитов из нормативной прибыли")</f>
        <v>0</v>
      </c>
      <c r="AR262" s="4765">
        <f>_xlfn.SUMIFS('ИП + источники'!AS$27:AS$116,'ИП + источники'!$F$27:$F$116,$F262,'ИП + источники'!$AC$27:$AC$116,"погашение займов и кредитов из нормативной прибыли")</f>
        <v>0</v>
      </c>
      <c r="AS262" s="4765">
        <f>_xlfn.SUMIFS('ИП + источники'!AT$27:AT$116,'ИП + источники'!$F$27:$F$116,$F262,'ИП + источники'!$AC$27:$AC$116,"погашение займов и кредитов из нормативной прибыли")</f>
        <v>0</v>
      </c>
      <c r="AT262" s="4765">
        <f>_xlfn.SUMIFS('ИП + источники'!AU$27:AU$116,'ИП + источники'!$F$27:$F$116,$F262,'ИП + источники'!$AC$27:$AC$116,"погашение займов и кредитов из нормативной прибыли")</f>
        <v>0</v>
      </c>
      <c r="AU262" s="1280">
        <f>_xlfn.SUMIFS('ИП + источники'!AV$27:AV$116,'ИП + источники'!$F$27:$F$116,$F262,'ИП + источники'!$AC$27:$AC$116,"погашение займов и кредитов из нормативной прибыли")</f>
        <v>0</v>
      </c>
      <c r="AV262" s="1280">
        <f>_xlfn.SUMIFS('ИП + источники'!AW$27:AW$116,'ИП + источники'!$F$27:$F$116,$F262,'ИП + источники'!$AC$27:$AC$116,"погашение займов и кредитов из нормативной прибыли")</f>
        <v>0</v>
      </c>
      <c r="AW262" s="4765">
        <f>_xlfn.SUMIFS('ИП + источники'!AX$27:AX$116,'ИП + источники'!$F$27:$F$116,$F262,'ИП + источники'!$AC$27:$AC$116,"погашение займов и кредитов из нормативной прибыли")</f>
        <v>0</v>
      </c>
      <c r="AX262" s="4765">
        <f>_xlfn.SUMIFS('ИП + источники'!AY$27:AY$116,'ИП + источники'!$F$27:$F$116,$F262,'ИП + источники'!$AC$27:$AC$116,"погашение займов и кредитов из нормативной прибыли")</f>
        <v>0</v>
      </c>
      <c r="AY262" s="4765">
        <f>_xlfn.SUMIFS('ИП + источники'!AZ$27:AZ$116,'ИП + источники'!$F$27:$F$116,$F262,'ИП + источники'!$AC$27:$AC$116,"погашение займов и кредитов из нормативной прибыли")</f>
        <v>0</v>
      </c>
      <c r="AZ262" s="4765">
        <f>_xlfn.SUMIFS('ИП + источники'!BA$27:BA$116,'ИП + источники'!$F$27:$F$116,$F262,'ИП + источники'!$AC$27:$AC$116,"погашение займов и кредитов из нормативной прибыли")</f>
        <v>0</v>
      </c>
      <c r="BA262" s="4765">
        <f>_xlfn.SUMIFS('ИП + источники'!BB$27:BB$116,'ИП + источники'!$F$27:$F$116,$F262,'ИП + источники'!$AC$27:$AC$116,"погашение займов и кредитов из нормативной прибыли")</f>
        <v>0</v>
      </c>
      <c r="BB262" s="4765">
        <f>_xlfn.SUMIFS('ИП + источники'!BC$27:BC$116,'ИП + источники'!$F$27:$F$116,$F262,'ИП + источники'!$AC$27:$AC$116,"погашение займов и кредитов из нормативной прибыли")</f>
        <v>0</v>
      </c>
      <c r="BC262" s="4765">
        <f>_xlfn.SUMIFS('ИП + источники'!BD$27:BD$116,'ИП + источники'!$F$27:$F$116,$F262,'ИП + источники'!$AC$27:$AC$116,"погашение займов и кредитов из нормативной прибыли")</f>
        <v>0</v>
      </c>
      <c r="BD262" s="926">
        <f>IF(AI262=0,0,(AT262-AI262)/AI262*100)</f>
        <v>0</v>
      </c>
      <c r="BE262" s="926">
        <f>IF(AT262=0,0,(AU262-AT262)/AT262*100)</f>
        <v>0</v>
      </c>
      <c r="BF262" s="926">
        <f>IF(AU262=0,0,(AV262-AU262)/AU262*100)</f>
        <v>0</v>
      </c>
      <c r="BG262" s="926">
        <f>IF(AV262=0,0,(AW262-AV262)/AV262*100)</f>
        <v>0</v>
      </c>
      <c r="BH262" s="926">
        <f>IF(AW262=0,0,(AX262-AW262)/AW262*100)</f>
        <v>0</v>
      </c>
      <c r="BI262" s="926">
        <f>IF(AX262=0,0,(AY262-AX262)/AX262*100)</f>
        <v>0</v>
      </c>
      <c r="BJ262" s="926">
        <f>IF(AY262=0,0,(AZ262-AY262)/AY262*100)</f>
        <v>0</v>
      </c>
      <c r="BK262" s="926">
        <f>IF(AZ262=0,0,(BA262-AZ262)/AZ262*100)</f>
        <v>0</v>
      </c>
      <c r="BL262" s="926">
        <f>IF(BA262=0,0,(BB262-BA262)/BA262*100)</f>
        <v>0</v>
      </c>
      <c r="BM262" s="926">
        <f>IF(BB262=0,0,(BC262-BB262)/BB262*100)</f>
        <v>0</v>
      </c>
      <c r="BN262" s="4830"/>
      <c r="BO262" s="4784" t="str">
        <f>IF(_xlfn.IFERROR(INDEX('ИП + источники'!$K$28:$L$116,MATCH($F262&amp;"2komm",'ИП + источники'!$K$28:$K$116,0),2),"")=0,"",_xlfn.IFERROR(INDEX('ИП + источники'!$K$28:$L$116,MATCH($F262&amp;"2komm",'ИП + источники'!$K$28:$K$116,0),2),""))</f>
        <v/>
      </c>
      <c r="BP262" s="4830"/>
      <c r="BQ262" s="960"/>
      <c r="BR262" s="960"/>
      <c r="BS262" s="1048" t="s">
        <v>1993</v>
      </c>
      <c r="BT262" s="1048"/>
      <c r="BU262" s="1048"/>
      <c r="BV262" s="962"/>
      <c r="BW262" s="962"/>
    </row>
    <row s="1621" customFormat="1" customHeight="1" ht="14.25">
      <c r="A263" s="960"/>
      <c r="B263" s="405" cm="1" t="str">
        <f t="array" ref="B263:B263">B262</f>
        <v>true</v>
      </c>
      <c r="C263" s="960"/>
      <c r="D263" s="960"/>
      <c r="E263" s="683">
        <v>15</v>
      </c>
      <c r="F263" s="50" cm="1" t="str">
        <f t="array" ref="F263:F263">OFFSET(E263,-1,1)</f>
        <v>1</v>
      </c>
      <c r="G263" s="960"/>
      <c r="H263" s="960"/>
      <c r="I263" s="124" t="s">
        <v>532</v>
      </c>
      <c r="J263" s="960"/>
      <c r="K263" s="124" t="s">
        <v>532</v>
      </c>
      <c r="L263" s="963"/>
      <c r="M263" s="73"/>
      <c r="N263" s="960"/>
      <c r="O263" s="960"/>
      <c r="P263" s="960"/>
      <c r="Q263" s="960"/>
      <c r="R263" s="960"/>
      <c r="S263" s="960"/>
      <c r="T263" s="439" cm="1" t="str">
        <f t="array" ref="T263:T263">T262</f>
        <v>true</v>
      </c>
      <c r="U263" s="960"/>
      <c r="V263" s="960"/>
      <c r="W263" s="960"/>
      <c r="X263" s="1482"/>
      <c r="Y263" s="960"/>
      <c r="Z263" s="1465"/>
      <c r="AA263" s="960"/>
      <c r="AB263" s="266" t="s">
        <v>662</v>
      </c>
      <c r="AC263" s="743" t="s">
        <v>1994</v>
      </c>
      <c r="AD263" s="267" t="s">
        <v>784</v>
      </c>
      <c r="AE263" s="4759">
        <f>_xlfn.SUMIFS('ИП + источники'!AF$27:AF$116,'ИП + источники'!$F$27:$F$116,$F263,'ИП + источники'!$AC$27:$AC$116,"уплата процентов по кредитам из нормативной прибыли")</f>
        <v>0</v>
      </c>
      <c r="AF263" s="4759">
        <f>_xlfn.SUMIFS('ИП + источники'!AG$27:AG$116,'ИП + источники'!$F$27:$F$116,$F263,'ИП + источники'!$AC$27:$AC$116,"уплата процентов по кредитам из нормативной прибыли")</f>
        <v>0</v>
      </c>
      <c r="AG263" s="4759">
        <f>_xlfn.SUMIFS('ИП + источники'!AH$27:AH$116,'ИП + источники'!$F$27:$F$116,$F263,'ИП + источники'!$AC$27:$AC$116,"уплата процентов по кредитам из нормативной прибыли")</f>
        <v>0</v>
      </c>
      <c r="AH263" s="926">
        <f>AG263-AF263</f>
        <v>0</v>
      </c>
      <c r="AI263" s="4765">
        <f>_xlfn.SUMIFS('ИП + источники'!AJ$27:AJ$116,'ИП + источники'!$F$27:$F$116,$F263,'ИП + источники'!$AC$27:$AC$116,"уплата процентов по кредитам из нормативной прибыли")</f>
        <v>0</v>
      </c>
      <c r="AJ263" s="4765">
        <f>_xlfn.SUMIFS('ИП + источники'!AK$27:AK$116,'ИП + источники'!$F$27:$F$116,$F263,'ИП + источники'!$AC$27:$AC$116,"уплата процентов по кредитам из нормативной прибыли")</f>
        <v>0</v>
      </c>
      <c r="AK263" s="1280">
        <f>_xlfn.SUMIFS('ИП + источники'!AL$27:AL$116,'ИП + источники'!$F$27:$F$116,$F263,'ИП + источники'!$AC$27:$AC$116,"уплата процентов по кредитам из нормативной прибыли")</f>
        <v>0</v>
      </c>
      <c r="AL263" s="1280">
        <f>_xlfn.SUMIFS('ИП + источники'!AM$27:AM$116,'ИП + источники'!$F$27:$F$116,$F263,'ИП + источники'!$AC$27:$AC$116,"уплата процентов по кредитам из нормативной прибыли")</f>
        <v>0</v>
      </c>
      <c r="AM263" s="4765">
        <f>_xlfn.SUMIFS('ИП + источники'!AN$27:AN$116,'ИП + источники'!$F$27:$F$116,$F263,'ИП + источники'!$AC$27:$AC$116,"уплата процентов по кредитам из нормативной прибыли")</f>
        <v>0</v>
      </c>
      <c r="AN263" s="4765">
        <f>_xlfn.SUMIFS('ИП + источники'!AO$27:AO$116,'ИП + источники'!$F$27:$F$116,$F263,'ИП + источники'!$AC$27:$AC$116,"уплата процентов по кредитам из нормативной прибыли")</f>
        <v>0</v>
      </c>
      <c r="AO263" s="4765">
        <f>_xlfn.SUMIFS('ИП + источники'!AP$27:AP$116,'ИП + источники'!$F$27:$F$116,$F263,'ИП + источники'!$AC$27:$AC$116,"уплата процентов по кредитам из нормативной прибыли")</f>
        <v>0</v>
      </c>
      <c r="AP263" s="4765">
        <f>_xlfn.SUMIFS('ИП + источники'!AQ$27:AQ$116,'ИП + источники'!$F$27:$F$116,$F263,'ИП + источники'!$AC$27:$AC$116,"уплата процентов по кредитам из нормативной прибыли")</f>
        <v>0</v>
      </c>
      <c r="AQ263" s="4765">
        <f>_xlfn.SUMIFS('ИП + источники'!AR$27:AR$116,'ИП + источники'!$F$27:$F$116,$F263,'ИП + источники'!$AC$27:$AC$116,"уплата процентов по кредитам из нормативной прибыли")</f>
        <v>0</v>
      </c>
      <c r="AR263" s="4765">
        <f>_xlfn.SUMIFS('ИП + источники'!AS$27:AS$116,'ИП + источники'!$F$27:$F$116,$F263,'ИП + источники'!$AC$27:$AC$116,"уплата процентов по кредитам из нормативной прибыли")</f>
        <v>0</v>
      </c>
      <c r="AS263" s="4765">
        <f>_xlfn.SUMIFS('ИП + источники'!AT$27:AT$116,'ИП + источники'!$F$27:$F$116,$F263,'ИП + источники'!$AC$27:$AC$116,"уплата процентов по кредитам из нормативной прибыли")</f>
        <v>0</v>
      </c>
      <c r="AT263" s="4765">
        <f>_xlfn.SUMIFS('ИП + источники'!AU$27:AU$116,'ИП + источники'!$F$27:$F$116,$F263,'ИП + источники'!$AC$27:$AC$116,"уплата процентов по кредитам из нормативной прибыли")</f>
        <v>0</v>
      </c>
      <c r="AU263" s="1280">
        <f>_xlfn.SUMIFS('ИП + источники'!AV$27:AV$116,'ИП + источники'!$F$27:$F$116,$F263,'ИП + источники'!$AC$27:$AC$116,"уплата процентов по кредитам из нормативной прибыли")</f>
        <v>0</v>
      </c>
      <c r="AV263" s="1280">
        <f>_xlfn.SUMIFS('ИП + источники'!AW$27:AW$116,'ИП + источники'!$F$27:$F$116,$F263,'ИП + источники'!$AC$27:$AC$116,"уплата процентов по кредитам из нормативной прибыли")</f>
        <v>0</v>
      </c>
      <c r="AW263" s="4765">
        <f>_xlfn.SUMIFS('ИП + источники'!AX$27:AX$116,'ИП + источники'!$F$27:$F$116,$F263,'ИП + источники'!$AC$27:$AC$116,"уплата процентов по кредитам из нормативной прибыли")</f>
        <v>0</v>
      </c>
      <c r="AX263" s="4765">
        <f>_xlfn.SUMIFS('ИП + источники'!AY$27:AY$116,'ИП + источники'!$F$27:$F$116,$F263,'ИП + источники'!$AC$27:$AC$116,"уплата процентов по кредитам из нормативной прибыли")</f>
        <v>0</v>
      </c>
      <c r="AY263" s="4765">
        <f>_xlfn.SUMIFS('ИП + источники'!AZ$27:AZ$116,'ИП + источники'!$F$27:$F$116,$F263,'ИП + источники'!$AC$27:$AC$116,"уплата процентов по кредитам из нормативной прибыли")</f>
        <v>0</v>
      </c>
      <c r="AZ263" s="4765">
        <f>_xlfn.SUMIFS('ИП + источники'!BA$27:BA$116,'ИП + источники'!$F$27:$F$116,$F263,'ИП + источники'!$AC$27:$AC$116,"уплата процентов по кредитам из нормативной прибыли")</f>
        <v>0</v>
      </c>
      <c r="BA263" s="4765">
        <f>_xlfn.SUMIFS('ИП + источники'!BB$27:BB$116,'ИП + источники'!$F$27:$F$116,$F263,'ИП + источники'!$AC$27:$AC$116,"уплата процентов по кредитам из нормативной прибыли")</f>
        <v>0</v>
      </c>
      <c r="BB263" s="4765">
        <f>_xlfn.SUMIFS('ИП + источники'!BC$27:BC$116,'ИП + источники'!$F$27:$F$116,$F263,'ИП + источники'!$AC$27:$AC$116,"уплата процентов по кредитам из нормативной прибыли")</f>
        <v>0</v>
      </c>
      <c r="BC263" s="4765">
        <f>_xlfn.SUMIFS('ИП + источники'!BD$27:BD$116,'ИП + источники'!$F$27:$F$116,$F263,'ИП + источники'!$AC$27:$AC$116,"уплата процентов по кредитам из нормативной прибыли")</f>
        <v>0</v>
      </c>
      <c r="BD263" s="926">
        <f>IF(AI263=0,0,(AT263-AI263)/AI263*100)</f>
        <v>0</v>
      </c>
      <c r="BE263" s="926">
        <f>IF(AT263=0,0,(AU263-AT263)/AT263*100)</f>
        <v>0</v>
      </c>
      <c r="BF263" s="926">
        <f>IF(AU263=0,0,(AV263-AU263)/AU263*100)</f>
        <v>0</v>
      </c>
      <c r="BG263" s="926">
        <f>IF(AV263=0,0,(AW263-AV263)/AV263*100)</f>
        <v>0</v>
      </c>
      <c r="BH263" s="926">
        <f>IF(AW263=0,0,(AX263-AW263)/AW263*100)</f>
        <v>0</v>
      </c>
      <c r="BI263" s="926">
        <f>IF(AX263=0,0,(AY263-AX263)/AX263*100)</f>
        <v>0</v>
      </c>
      <c r="BJ263" s="926">
        <f>IF(AY263=0,0,(AZ263-AY263)/AY263*100)</f>
        <v>0</v>
      </c>
      <c r="BK263" s="926">
        <f>IF(AZ263=0,0,(BA263-AZ263)/AZ263*100)</f>
        <v>0</v>
      </c>
      <c r="BL263" s="926">
        <f>IF(BA263=0,0,(BB263-BA263)/BA263*100)</f>
        <v>0</v>
      </c>
      <c r="BM263" s="926">
        <f>IF(BB263=0,0,(BC263-BB263)/BB263*100)</f>
        <v>0</v>
      </c>
      <c r="BN263" s="4830"/>
      <c r="BO263" s="4784" t="str">
        <f>IF(_xlfn.IFERROR(INDEX('ИП + источники'!$K$28:$L$116,MATCH($F263&amp;"3komm",'ИП + источники'!$K$28:$K$116,0),2),"")=0,"",_xlfn.IFERROR(INDEX('ИП + источники'!$K$28:$L$116,MATCH($F263&amp;"3komm",'ИП + источники'!$K$28:$K$116,0),2),""))</f>
        <v/>
      </c>
      <c r="BP263" s="4830"/>
      <c r="BQ263" s="960"/>
      <c r="BR263" s="960"/>
      <c r="BS263" s="1048" t="s">
        <v>1995</v>
      </c>
      <c r="BT263" s="1048"/>
      <c r="BU263" s="1048"/>
      <c r="BV263" s="962"/>
      <c r="BW263" s="962"/>
    </row>
    <row s="1621" customFormat="1" customHeight="1" ht="14.25">
      <c r="A264" s="960"/>
      <c r="B264" s="405" cm="1" t="str">
        <f t="array" ref="B264:B264">B263</f>
        <v>true</v>
      </c>
      <c r="C264" s="960"/>
      <c r="D264" s="960"/>
      <c r="E264" s="683">
        <v>15</v>
      </c>
      <c r="F264" s="50" cm="1" t="str">
        <f t="array" ref="F264:F264">OFFSET(E264,-1,1)</f>
        <v>1</v>
      </c>
      <c r="G264" s="960"/>
      <c r="H264" s="960"/>
      <c r="I264" s="124" t="s">
        <v>749</v>
      </c>
      <c r="J264" s="960"/>
      <c r="K264" s="124" t="s">
        <v>749</v>
      </c>
      <c r="L264" s="963" t="s">
        <v>548</v>
      </c>
      <c r="M264" s="73"/>
      <c r="N264" s="960"/>
      <c r="O264" s="960"/>
      <c r="P264" s="960"/>
      <c r="Q264" s="960"/>
      <c r="R264" s="960"/>
      <c r="S264" s="960"/>
      <c r="T264" s="439" cm="1" t="str">
        <f t="array" ref="T264:T264">T263</f>
        <v>true</v>
      </c>
      <c r="U264" s="960"/>
      <c r="V264" s="960"/>
      <c r="W264" s="960"/>
      <c r="X264" s="1482"/>
      <c r="Y264" s="960"/>
      <c r="Z264" s="1465"/>
      <c r="AA264" s="960"/>
      <c r="AB264" s="266" t="s">
        <v>900</v>
      </c>
      <c r="AC264" s="743" t="s">
        <v>1996</v>
      </c>
      <c r="AD264" s="267" t="s">
        <v>784</v>
      </c>
      <c r="AE264" s="4759">
        <f>_xlfn.SUMIFS('ИП + источники'!AF$27:AF$116,'ИП + источники'!$F$27:$F$116,$F264,'ИП + источники'!$AC$27:$AC$116,"Прибыль на капвложения")</f>
        <v>0</v>
      </c>
      <c r="AF264" s="4759">
        <f>_xlfn.SUMIFS('ИП + источники'!AG$27:AG$116,'ИП + источники'!$F$27:$F$116,$F264,'ИП + источники'!$AC$27:$AC$116,"Прибыль на капвложения")</f>
        <v>0</v>
      </c>
      <c r="AG264" s="4759">
        <f>_xlfn.SUMIFS('ИП + источники'!AH$27:AH$116,'ИП + источники'!$F$27:$F$116,$F264,'ИП + источники'!$AC$27:$AC$116,"Прибыль на капвложения")</f>
        <v>0</v>
      </c>
      <c r="AH264" s="926">
        <f>AG264-AF264</f>
        <v>0</v>
      </c>
      <c r="AI264" s="4765">
        <f>_xlfn.SUMIFS('ИП + источники'!AJ$27:AJ$116,'ИП + источники'!$F$27:$F$116,$F264,'ИП + источники'!$AC$27:$AC$116,"Прибыль на капвложения")</f>
        <v>0</v>
      </c>
      <c r="AJ264" s="4765">
        <f>_xlfn.SUMIFS('ИП + источники'!AK$27:AK$116,'ИП + источники'!$F$27:$F$116,$F264,'ИП + источники'!$AC$27:$AC$116,"Прибыль на капвложения")</f>
        <v>0</v>
      </c>
      <c r="AK264" s="1280">
        <f>_xlfn.SUMIFS('ИП + источники'!AL$27:AL$116,'ИП + источники'!$F$27:$F$116,$F264,'ИП + источники'!$AC$27:$AC$116,"Прибыль на капвложения")</f>
        <v>0</v>
      </c>
      <c r="AL264" s="1280">
        <f>_xlfn.SUMIFS('ИП + источники'!AM$27:AM$116,'ИП + источники'!$F$27:$F$116,$F264,'ИП + источники'!$AC$27:$AC$116,"Прибыль на капвложения")</f>
        <v>0</v>
      </c>
      <c r="AM264" s="4765">
        <f>_xlfn.SUMIFS('ИП + источники'!AN$27:AN$116,'ИП + источники'!$F$27:$F$116,$F264,'ИП + источники'!$AC$27:$AC$116,"Прибыль на капвложения")</f>
        <v>0</v>
      </c>
      <c r="AN264" s="4765">
        <f>_xlfn.SUMIFS('ИП + источники'!AO$27:AO$116,'ИП + источники'!$F$27:$F$116,$F264,'ИП + источники'!$AC$27:$AC$116,"Прибыль на капвложения")</f>
        <v>0</v>
      </c>
      <c r="AO264" s="4765">
        <f>_xlfn.SUMIFS('ИП + источники'!AP$27:AP$116,'ИП + источники'!$F$27:$F$116,$F264,'ИП + источники'!$AC$27:$AC$116,"Прибыль на капвложения")</f>
        <v>0</v>
      </c>
      <c r="AP264" s="4765">
        <f>_xlfn.SUMIFS('ИП + источники'!AQ$27:AQ$116,'ИП + источники'!$F$27:$F$116,$F264,'ИП + источники'!$AC$27:$AC$116,"Прибыль на капвложения")</f>
        <v>0</v>
      </c>
      <c r="AQ264" s="4765">
        <f>_xlfn.SUMIFS('ИП + источники'!AR$27:AR$116,'ИП + источники'!$F$27:$F$116,$F264,'ИП + источники'!$AC$27:$AC$116,"Прибыль на капвложения")</f>
        <v>0</v>
      </c>
      <c r="AR264" s="4765">
        <f>_xlfn.SUMIFS('ИП + источники'!AS$27:AS$116,'ИП + источники'!$F$27:$F$116,$F264,'ИП + источники'!$AC$27:$AC$116,"Прибыль на капвложения")</f>
        <v>0</v>
      </c>
      <c r="AS264" s="4765">
        <f>_xlfn.SUMIFS('ИП + источники'!AT$27:AT$116,'ИП + источники'!$F$27:$F$116,$F264,'ИП + источники'!$AC$27:$AC$116,"Прибыль на капвложения")</f>
        <v>0</v>
      </c>
      <c r="AT264" s="4765">
        <f>_xlfn.SUMIFS('ИП + источники'!AU$27:AU$116,'ИП + источники'!$F$27:$F$116,$F264,'ИП + источники'!$AC$27:$AC$116,"Прибыль на капвложения")</f>
        <v>0</v>
      </c>
      <c r="AU264" s="1280">
        <f>_xlfn.SUMIFS('ИП + источники'!AV$27:AV$116,'ИП + источники'!$F$27:$F$116,$F264,'ИП + источники'!$AC$27:$AC$116,"Прибыль на капвложения")</f>
        <v>0</v>
      </c>
      <c r="AV264" s="1280">
        <f>_xlfn.SUMIFS('ИП + источники'!AW$27:AW$116,'ИП + источники'!$F$27:$F$116,$F264,'ИП + источники'!$AC$27:$AC$116,"Прибыль на капвложения")</f>
        <v>0</v>
      </c>
      <c r="AW264" s="4765">
        <f>_xlfn.SUMIFS('ИП + источники'!AX$27:AX$116,'ИП + источники'!$F$27:$F$116,$F264,'ИП + источники'!$AC$27:$AC$116,"Прибыль на капвложения")</f>
        <v>0</v>
      </c>
      <c r="AX264" s="4765">
        <f>_xlfn.SUMIFS('ИП + источники'!AY$27:AY$116,'ИП + источники'!$F$27:$F$116,$F264,'ИП + источники'!$AC$27:$AC$116,"Прибыль на капвложения")</f>
        <v>0</v>
      </c>
      <c r="AY264" s="4765">
        <f>_xlfn.SUMIFS('ИП + источники'!AZ$27:AZ$116,'ИП + источники'!$F$27:$F$116,$F264,'ИП + источники'!$AC$27:$AC$116,"Прибыль на капвложения")</f>
        <v>0</v>
      </c>
      <c r="AZ264" s="4765">
        <f>_xlfn.SUMIFS('ИП + источники'!BA$27:BA$116,'ИП + источники'!$F$27:$F$116,$F264,'ИП + источники'!$AC$27:$AC$116,"Прибыль на капвложения")</f>
        <v>0</v>
      </c>
      <c r="BA264" s="4765">
        <f>_xlfn.SUMIFS('ИП + источники'!BB$27:BB$116,'ИП + источники'!$F$27:$F$116,$F264,'ИП + источники'!$AC$27:$AC$116,"Прибыль на капвложения")</f>
        <v>0</v>
      </c>
      <c r="BB264" s="4765">
        <f>_xlfn.SUMIFS('ИП + источники'!BC$27:BC$116,'ИП + источники'!$F$27:$F$116,$F264,'ИП + источники'!$AC$27:$AC$116,"Прибыль на капвложения")</f>
        <v>0</v>
      </c>
      <c r="BC264" s="4765">
        <f>_xlfn.SUMIFS('ИП + источники'!BD$27:BD$116,'ИП + источники'!$F$27:$F$116,$F264,'ИП + источники'!$AC$27:$AC$116,"Прибыль на капвложения")</f>
        <v>0</v>
      </c>
      <c r="BD264" s="926">
        <f>IF(AI264=0,0,(AT264-AI264)/AI264*100)</f>
        <v>0</v>
      </c>
      <c r="BE264" s="926">
        <f>IF(AT264=0,0,(AU264-AT264)/AT264*100)</f>
        <v>0</v>
      </c>
      <c r="BF264" s="926">
        <f>IF(AU264=0,0,(AV264-AU264)/AU264*100)</f>
        <v>0</v>
      </c>
      <c r="BG264" s="926">
        <f>IF(AV264=0,0,(AW264-AV264)/AV264*100)</f>
        <v>0</v>
      </c>
      <c r="BH264" s="926">
        <f>IF(AW264=0,0,(AX264-AW264)/AW264*100)</f>
        <v>0</v>
      </c>
      <c r="BI264" s="926">
        <f>IF(AX264=0,0,(AY264-AX264)/AX264*100)</f>
        <v>0</v>
      </c>
      <c r="BJ264" s="926">
        <f>IF(AY264=0,0,(AZ264-AY264)/AY264*100)</f>
        <v>0</v>
      </c>
      <c r="BK264" s="926">
        <f>IF(AZ264=0,0,(BA264-AZ264)/AZ264*100)</f>
        <v>0</v>
      </c>
      <c r="BL264" s="926">
        <f>IF(BA264=0,0,(BB264-BA264)/BA264*100)</f>
        <v>0</v>
      </c>
      <c r="BM264" s="926">
        <f>IF(BB264=0,0,(BC264-BB264)/BB264*100)</f>
        <v>0</v>
      </c>
      <c r="BN264" s="4830"/>
      <c r="BO264" s="4784" t="str">
        <f>IF(_xlfn.IFERROR(INDEX('ИП + источники'!$K$28:$L$116,MATCH($F264&amp;"1komm",'ИП + источники'!$K$28:$K$116,0),2),"")=0,"",_xlfn.IFERROR(INDEX('ИП + источники'!$K$28:$L$116,MATCH($F264&amp;"1komm",'ИП + источники'!$K$28:$K$116,0),2),""))</f>
        <v/>
      </c>
      <c r="BP264" s="4830"/>
      <c r="BQ264" s="960"/>
      <c r="BR264" s="960"/>
      <c r="BS264" s="1048" t="s">
        <v>1699</v>
      </c>
      <c r="BT264" s="1048"/>
      <c r="BU264" s="1048"/>
      <c r="BV264" s="962"/>
      <c r="BW264" s="962"/>
    </row>
    <row s="1621" customFormat="1" customHeight="1" ht="21.75">
      <c r="A265" s="960"/>
      <c r="B265" s="405" cm="1" t="str">
        <f t="array" ref="B265:B265">B264</f>
        <v>true</v>
      </c>
      <c r="C265" s="960"/>
      <c r="D265" s="960"/>
      <c r="E265" s="683">
        <v>22.5</v>
      </c>
      <c r="F265" s="50" cm="1" t="str">
        <f t="array" ref="F265:F265">OFFSET(E265,-1,1)</f>
        <v>1</v>
      </c>
      <c r="G265" s="124" t="s">
        <v>1997</v>
      </c>
      <c r="H265" s="960"/>
      <c r="I265" s="124" t="s">
        <v>902</v>
      </c>
      <c r="J265" s="960"/>
      <c r="K265" s="124" t="s">
        <v>902</v>
      </c>
      <c r="L265" s="963" t="s">
        <v>552</v>
      </c>
      <c r="M265" s="73"/>
      <c r="N265" s="960"/>
      <c r="O265" s="960"/>
      <c r="P265" s="960"/>
      <c r="Q265" s="960"/>
      <c r="R265" s="960"/>
      <c r="S265" s="960"/>
      <c r="T265" s="439" cm="1" t="str">
        <f t="array" ref="T265:T265">T264</f>
        <v>true</v>
      </c>
      <c r="U265" s="960"/>
      <c r="V265" s="960"/>
      <c r="W265" s="960"/>
      <c r="X265" s="1482"/>
      <c r="Y265" s="960"/>
      <c r="Z265" s="1465"/>
      <c r="AA265" s="960"/>
      <c r="AB265" s="266" t="s">
        <v>903</v>
      </c>
      <c r="AC265" s="743" t="s">
        <v>1998</v>
      </c>
      <c r="AD265" s="267" t="s">
        <v>784</v>
      </c>
      <c r="AE265" s="4759"/>
      <c r="AF265" s="4759"/>
      <c r="AG265" s="4759"/>
      <c r="AH265" s="926">
        <f>AG265-AF265</f>
        <v>0</v>
      </c>
      <c r="AI265" s="4765"/>
      <c r="AJ265" s="4765"/>
      <c r="AK265" s="1280"/>
      <c r="AL265" s="1280"/>
      <c r="AM265" s="4765"/>
      <c r="AN265" s="4765"/>
      <c r="AO265" s="4765"/>
      <c r="AP265" s="4765"/>
      <c r="AQ265" s="4765"/>
      <c r="AR265" s="4765"/>
      <c r="AS265" s="4765"/>
      <c r="AT265" s="4765"/>
      <c r="AU265" s="1280"/>
      <c r="AV265" s="1280"/>
      <c r="AW265" s="4765"/>
      <c r="AX265" s="4765"/>
      <c r="AY265" s="4765"/>
      <c r="AZ265" s="4765"/>
      <c r="BA265" s="4765"/>
      <c r="BB265" s="4765"/>
      <c r="BC265" s="4765"/>
      <c r="BD265" s="926">
        <f>IF(AI265=0,0,(AT265-AI265)/AI265*100)</f>
        <v>0</v>
      </c>
      <c r="BE265" s="926">
        <f>IF(AT265=0,0,(AU265-AT265)/AT265*100)</f>
        <v>0</v>
      </c>
      <c r="BF265" s="926">
        <f>IF(AU265=0,0,(AV265-AU265)/AU265*100)</f>
        <v>0</v>
      </c>
      <c r="BG265" s="926">
        <f>IF(AV265=0,0,(AW265-AV265)/AV265*100)</f>
        <v>0</v>
      </c>
      <c r="BH265" s="926">
        <f>IF(AW265=0,0,(AX265-AW265)/AW265*100)</f>
        <v>0</v>
      </c>
      <c r="BI265" s="926">
        <f>IF(AX265=0,0,(AY265-AX265)/AX265*100)</f>
        <v>0</v>
      </c>
      <c r="BJ265" s="926">
        <f>IF(AY265=0,0,(AZ265-AY265)/AY265*100)</f>
        <v>0</v>
      </c>
      <c r="BK265" s="926">
        <f>IF(AZ265=0,0,(BA265-AZ265)/AZ265*100)</f>
        <v>0</v>
      </c>
      <c r="BL265" s="926">
        <f>IF(BA265=0,0,(BB265-BA265)/BA265*100)</f>
        <v>0</v>
      </c>
      <c r="BM265" s="926">
        <f>IF(BB265=0,0,(BC265-BB265)/BB265*100)</f>
        <v>0</v>
      </c>
      <c r="BN265" s="4830"/>
      <c r="BO265" s="4830"/>
      <c r="BP265" s="4830"/>
      <c r="BQ265" s="960"/>
      <c r="BR265" s="960"/>
      <c r="BS265" s="1048" t="s">
        <v>1999</v>
      </c>
      <c r="BT265" s="1048"/>
      <c r="BU265" s="1048"/>
      <c r="BV265" s="962"/>
      <c r="BW265" s="962"/>
    </row>
    <row s="1621" customFormat="1" customHeight="1" ht="14.25" hidden="1">
      <c r="A266" s="960"/>
      <c r="B266" s="405">
        <f>AND(method_reg="Метод индексации",STATUS_GO="да")</f>
        <v>0</v>
      </c>
      <c r="C266" s="960"/>
      <c r="D266" s="960"/>
      <c r="E266" s="683">
        <v>15</v>
      </c>
      <c r="F266" s="50" cm="1" t="str">
        <f t="array" ref="F266:F266">OFFSET(E266,-1,1)</f>
        <v>1</v>
      </c>
      <c r="G266" s="124" t="s">
        <v>1702</v>
      </c>
      <c r="H266" s="960"/>
      <c r="I266" s="124" t="s">
        <v>491</v>
      </c>
      <c r="J266" s="960"/>
      <c r="K266" s="124" t="s">
        <v>491</v>
      </c>
      <c r="L266" s="963" t="s">
        <v>556</v>
      </c>
      <c r="M266" s="73"/>
      <c r="N266" s="960"/>
      <c r="O266" s="960"/>
      <c r="P266" s="960"/>
      <c r="Q266" s="960"/>
      <c r="R266" s="960"/>
      <c r="S266" s="960"/>
      <c r="T266" s="439" cm="1" t="str">
        <f t="array" ref="T266:T266">T265</f>
        <v>true</v>
      </c>
      <c r="U266" s="960"/>
      <c r="V266" s="960"/>
      <c r="W266" s="960"/>
      <c r="X266" s="1482"/>
      <c r="Y266" s="960"/>
      <c r="Z266" s="1465"/>
      <c r="AA266" s="960"/>
      <c r="AB266" s="266" t="s">
        <v>496</v>
      </c>
      <c r="AC266" s="425" t="s">
        <v>1702</v>
      </c>
      <c r="AD266" s="267" t="s">
        <v>784</v>
      </c>
      <c r="AE266" s="1282"/>
      <c r="AF266" s="1282"/>
      <c r="AG266" s="1282"/>
      <c r="AH266" s="926">
        <f>AG266-AF266</f>
        <v>0</v>
      </c>
      <c r="AI266" s="1280"/>
      <c r="AJ266" s="4765"/>
      <c r="AK266" s="1280"/>
      <c r="AL266" s="1280"/>
      <c r="AM266" s="1280"/>
      <c r="AN266" s="1280"/>
      <c r="AO266" s="1280"/>
      <c r="AP266" s="1280"/>
      <c r="AQ266" s="1280"/>
      <c r="AR266" s="1280"/>
      <c r="AS266" s="1280"/>
      <c r="AT266" s="4765"/>
      <c r="AU266" s="1280"/>
      <c r="AV266" s="1280"/>
      <c r="AW266" s="1280"/>
      <c r="AX266" s="1280"/>
      <c r="AY266" s="1280"/>
      <c r="AZ266" s="1280"/>
      <c r="BA266" s="1280"/>
      <c r="BB266" s="1280"/>
      <c r="BC266" s="1280"/>
      <c r="BD266" s="926">
        <f>IF(AI266=0,0,(AT266-AI266)/AI266*100)</f>
        <v>0</v>
      </c>
      <c r="BE266" s="926">
        <f>IF(AT266=0,0,(AU266-AT266)/AT266*100)</f>
        <v>0</v>
      </c>
      <c r="BF266" s="926">
        <f>IF(AU266=0,0,(AV266-AU266)/AU266*100)</f>
        <v>0</v>
      </c>
      <c r="BG266" s="926">
        <f>IF(AV266=0,0,(AW266-AV266)/AV266*100)</f>
        <v>0</v>
      </c>
      <c r="BH266" s="926">
        <f>IF(AW266=0,0,(AX266-AW266)/AW266*100)</f>
        <v>0</v>
      </c>
      <c r="BI266" s="926">
        <f>IF(AX266=0,0,(AY266-AX266)/AX266*100)</f>
        <v>0</v>
      </c>
      <c r="BJ266" s="926">
        <f>IF(AY266=0,0,(AZ266-AY266)/AY266*100)</f>
        <v>0</v>
      </c>
      <c r="BK266" s="926">
        <f>IF(AZ266=0,0,(BA266-AZ266)/AZ266*100)</f>
        <v>0</v>
      </c>
      <c r="BL266" s="926">
        <f>IF(BA266=0,0,(BB266-BA266)/BA266*100)</f>
        <v>0</v>
      </c>
      <c r="BM266" s="926">
        <f>IF(BB266=0,0,(BC266-BB266)/BB266*100)</f>
        <v>0</v>
      </c>
      <c r="BN266" s="1283"/>
      <c r="BO266" s="1283"/>
      <c r="BP266" s="1283"/>
      <c r="BQ266" s="960"/>
      <c r="BR266" s="960"/>
      <c r="BS266" s="1048" t="s">
        <v>1703</v>
      </c>
      <c r="BT266" s="1048"/>
      <c r="BU266" s="1048"/>
      <c r="BV266" s="962"/>
      <c r="BW266" s="962"/>
    </row>
    <row s="1621" customFormat="1" customHeight="1" ht="14.25" hidden="1">
      <c r="A267" s="960"/>
      <c r="B267" s="958">
        <f>method_reg="Метод обеспечения доходности инвестированного капитала"</f>
        <v>0</v>
      </c>
      <c r="C267" s="960"/>
      <c r="D267" s="960"/>
      <c r="E267" s="683">
        <v>15</v>
      </c>
      <c r="F267" s="50" cm="1" t="str">
        <f t="array" ref="F267:F267">OFFSET(E267,-1,1)</f>
        <v>1</v>
      </c>
      <c r="G267" s="960"/>
      <c r="H267" s="960"/>
      <c r="I267" s="960"/>
      <c r="J267" s="960"/>
      <c r="K267" s="73" t="s">
        <v>329</v>
      </c>
      <c r="L267" s="963"/>
      <c r="M267" s="73"/>
      <c r="N267" s="960"/>
      <c r="O267" s="960"/>
      <c r="P267" s="960"/>
      <c r="Q267" s="960"/>
      <c r="R267" s="960"/>
      <c r="S267" s="960"/>
      <c r="T267" s="439" cm="1" t="str">
        <f t="array" ref="T267:T267">T266</f>
        <v>true</v>
      </c>
      <c r="U267" s="960"/>
      <c r="V267" s="960"/>
      <c r="W267" s="960"/>
      <c r="X267" s="1482"/>
      <c r="Y267" s="960"/>
      <c r="Z267" s="1465"/>
      <c r="AA267" s="960"/>
      <c r="AB267" s="773" t="s">
        <v>536</v>
      </c>
      <c r="AC267" s="774" t="s">
        <v>2000</v>
      </c>
      <c r="AD267" s="775" t="s">
        <v>784</v>
      </c>
      <c r="AE267" s="1273"/>
      <c r="AF267" s="1273"/>
      <c r="AG267" s="1273"/>
      <c r="AH267" s="742">
        <f>AG267-AF267</f>
        <v>0</v>
      </c>
      <c r="AI267" s="1273"/>
      <c r="AJ267" s="4595"/>
      <c r="AK267" s="1273"/>
      <c r="AL267" s="1273"/>
      <c r="AM267" s="1273"/>
      <c r="AN267" s="1273"/>
      <c r="AO267" s="1273"/>
      <c r="AP267" s="1273"/>
      <c r="AQ267" s="1273"/>
      <c r="AR267" s="1273"/>
      <c r="AS267" s="1273"/>
      <c r="AT267" s="4595"/>
      <c r="AU267" s="1273"/>
      <c r="AV267" s="1273"/>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2001</v>
      </c>
      <c r="BT267" s="1048"/>
      <c r="BU267" s="1048"/>
      <c r="BV267" s="962"/>
      <c r="BW267" s="962"/>
    </row>
    <row s="1621" customFormat="1" customHeight="1" ht="14.25" hidden="1">
      <c r="A268" s="960"/>
      <c r="B268" s="958" cm="1" t="str">
        <f t="array" ref="B268:B268">B267</f>
        <v>false</v>
      </c>
      <c r="C268" s="960"/>
      <c r="D268" s="960"/>
      <c r="E268" s="683">
        <v>15</v>
      </c>
      <c r="F268" s="50" cm="1" t="str">
        <f t="array" ref="F268:F268">OFFSET(E268,-1,1)</f>
        <v>1</v>
      </c>
      <c r="G268" s="960"/>
      <c r="H268" s="960"/>
      <c r="I268" s="960"/>
      <c r="J268" s="960"/>
      <c r="K268" s="73" t="s">
        <v>514</v>
      </c>
      <c r="L268" s="963"/>
      <c r="M268" s="73"/>
      <c r="N268" s="960"/>
      <c r="O268" s="960"/>
      <c r="P268" s="960"/>
      <c r="Q268" s="960"/>
      <c r="R268" s="960"/>
      <c r="S268" s="960"/>
      <c r="T268" s="439" cm="1" t="str">
        <f t="array" ref="T268:T268">T267</f>
        <v>true</v>
      </c>
      <c r="U268" s="960"/>
      <c r="V268" s="960"/>
      <c r="W268" s="960"/>
      <c r="X268" s="1482"/>
      <c r="Y268" s="960"/>
      <c r="Z268" s="1465"/>
      <c r="AA268" s="960"/>
      <c r="AB268" s="776" t="s">
        <v>652</v>
      </c>
      <c r="AC268" s="777" t="s">
        <v>2002</v>
      </c>
      <c r="AD268" s="778" t="s">
        <v>784</v>
      </c>
      <c r="AE268" s="1280"/>
      <c r="AF268" s="1280"/>
      <c r="AG268" s="1280"/>
      <c r="AH268" s="925"/>
      <c r="AI268" s="1280"/>
      <c r="AJ268" s="4765"/>
      <c r="AK268" s="1280"/>
      <c r="AL268" s="1280"/>
      <c r="AM268" s="1280"/>
      <c r="AN268" s="1280"/>
      <c r="AO268" s="1280"/>
      <c r="AP268" s="1280"/>
      <c r="AQ268" s="1280"/>
      <c r="AR268" s="1280"/>
      <c r="AS268" s="1280"/>
      <c r="AT268" s="4765"/>
      <c r="AU268" s="1280"/>
      <c r="AV268" s="1280"/>
      <c r="AW268" s="1280"/>
      <c r="AX268" s="1280"/>
      <c r="AY268" s="1280"/>
      <c r="AZ268" s="1280"/>
      <c r="BA268" s="1280"/>
      <c r="BB268" s="1280"/>
      <c r="BC268" s="1280"/>
      <c r="BD268" s="925"/>
      <c r="BE268" s="925"/>
      <c r="BF268" s="925"/>
      <c r="BG268" s="925"/>
      <c r="BH268" s="925"/>
      <c r="BI268" s="925"/>
      <c r="BJ268" s="925"/>
      <c r="BK268" s="925"/>
      <c r="BL268" s="925"/>
      <c r="BM268" s="925"/>
      <c r="BN268" s="1278"/>
      <c r="BO268" s="1278"/>
      <c r="BP268" s="1278"/>
      <c r="BQ268" s="960"/>
      <c r="BR268" s="960"/>
      <c r="BS268" s="1048" t="s">
        <v>2003</v>
      </c>
      <c r="BT268" s="1048"/>
      <c r="BU268" s="1048"/>
      <c r="BV268" s="962"/>
      <c r="BW268" s="962"/>
    </row>
    <row s="1621" customFormat="1" customHeight="1" ht="14.25" hidden="1">
      <c r="A269" s="960"/>
      <c r="B269" s="958" cm="1" t="str">
        <f t="array" ref="B269:B269">B268</f>
        <v>false</v>
      </c>
      <c r="C269" s="960"/>
      <c r="D269" s="960"/>
      <c r="E269" s="683">
        <v>15</v>
      </c>
      <c r="F269" s="50" cm="1" t="str">
        <f t="array" ref="F269:F269">OFFSET(E269,-1,1)</f>
        <v>1</v>
      </c>
      <c r="G269" s="960"/>
      <c r="H269" s="960"/>
      <c r="I269" s="960"/>
      <c r="J269" s="960"/>
      <c r="K269" s="73" t="s">
        <v>518</v>
      </c>
      <c r="L269" s="963"/>
      <c r="M269" s="73"/>
      <c r="N269" s="960"/>
      <c r="O269" s="960"/>
      <c r="P269" s="960"/>
      <c r="Q269" s="960"/>
      <c r="R269" s="960"/>
      <c r="S269" s="960"/>
      <c r="T269" s="439" cm="1" t="str">
        <f t="array" ref="T269:T269">T268</f>
        <v>true</v>
      </c>
      <c r="U269" s="960"/>
      <c r="V269" s="960"/>
      <c r="W269" s="960"/>
      <c r="X269" s="1482"/>
      <c r="Y269" s="960"/>
      <c r="Z269" s="1465"/>
      <c r="AA269" s="960"/>
      <c r="AB269" s="776" t="s">
        <v>655</v>
      </c>
      <c r="AC269" s="777" t="s">
        <v>2004</v>
      </c>
      <c r="AD269" s="778" t="s">
        <v>2005</v>
      </c>
      <c r="AE269" s="1280"/>
      <c r="AF269" s="1280"/>
      <c r="AG269" s="1280"/>
      <c r="AH269" s="925"/>
      <c r="AI269" s="1280"/>
      <c r="AJ269" s="4765"/>
      <c r="AK269" s="1280"/>
      <c r="AL269" s="1280"/>
      <c r="AM269" s="1280"/>
      <c r="AN269" s="1280"/>
      <c r="AO269" s="1280"/>
      <c r="AP269" s="1280"/>
      <c r="AQ269" s="1280"/>
      <c r="AR269" s="1280"/>
      <c r="AS269" s="1280"/>
      <c r="AT269" s="4765"/>
      <c r="AU269" s="1280"/>
      <c r="AV269" s="1280"/>
      <c r="AW269" s="1280"/>
      <c r="AX269" s="1280"/>
      <c r="AY269" s="1280"/>
      <c r="AZ269" s="1280"/>
      <c r="BA269" s="1280"/>
      <c r="BB269" s="1280"/>
      <c r="BC269" s="1280"/>
      <c r="BD269" s="925"/>
      <c r="BE269" s="925"/>
      <c r="BF269" s="925"/>
      <c r="BG269" s="925"/>
      <c r="BH269" s="925"/>
      <c r="BI269" s="925"/>
      <c r="BJ269" s="925"/>
      <c r="BK269" s="925"/>
      <c r="BL269" s="925"/>
      <c r="BM269" s="925"/>
      <c r="BN269" s="1278"/>
      <c r="BO269" s="1278"/>
      <c r="BP269" s="1278"/>
      <c r="BQ269" s="960"/>
      <c r="BR269" s="960"/>
      <c r="BS269" s="1048" t="s">
        <v>2006</v>
      </c>
      <c r="BT269" s="1048"/>
      <c r="BU269" s="1048"/>
      <c r="BV269" s="962"/>
      <c r="BW269" s="962"/>
    </row>
    <row s="1621" customFormat="1" customHeight="1" ht="14.25" hidden="1">
      <c r="A270" s="960"/>
      <c r="B270" s="958" cm="1" t="str">
        <f t="array" ref="B270:B270">B269</f>
        <v>false</v>
      </c>
      <c r="C270" s="960"/>
      <c r="D270" s="960"/>
      <c r="E270" s="683">
        <v>15</v>
      </c>
      <c r="F270" s="50" cm="1" t="str">
        <f t="array" ref="F270:F270">OFFSET(E270,-1,1)</f>
        <v>1</v>
      </c>
      <c r="G270" s="960"/>
      <c r="H270" s="960"/>
      <c r="I270" s="960"/>
      <c r="J270" s="960"/>
      <c r="K270" s="73" t="s">
        <v>328</v>
      </c>
      <c r="L270" s="963"/>
      <c r="M270" s="73"/>
      <c r="N270" s="960"/>
      <c r="O270" s="960"/>
      <c r="P270" s="960"/>
      <c r="Q270" s="960"/>
      <c r="R270" s="960"/>
      <c r="S270" s="960"/>
      <c r="T270" s="439" cm="1" t="str">
        <f t="array" ref="T270:T270">T269</f>
        <v>true</v>
      </c>
      <c r="U270" s="960"/>
      <c r="V270" s="960"/>
      <c r="W270" s="960"/>
      <c r="X270" s="1482"/>
      <c r="Y270" s="960"/>
      <c r="Z270" s="1465"/>
      <c r="AA270" s="960"/>
      <c r="AB270" s="773" t="s">
        <v>492</v>
      </c>
      <c r="AC270" s="774" t="s">
        <v>2007</v>
      </c>
      <c r="AD270" s="775" t="s">
        <v>784</v>
      </c>
      <c r="AE270" s="1273"/>
      <c r="AF270" s="1273"/>
      <c r="AG270" s="1273"/>
      <c r="AH270" s="742">
        <f>AG270-AF270</f>
        <v>0</v>
      </c>
      <c r="AI270" s="1273"/>
      <c r="AJ270" s="4595"/>
      <c r="AK270" s="1273"/>
      <c r="AL270" s="1273"/>
      <c r="AM270" s="1273"/>
      <c r="AN270" s="1273"/>
      <c r="AO270" s="1273"/>
      <c r="AP270" s="1273"/>
      <c r="AQ270" s="1273"/>
      <c r="AR270" s="1273"/>
      <c r="AS270" s="1273"/>
      <c r="AT270" s="4595"/>
      <c r="AU270" s="1273"/>
      <c r="AV270" s="1273"/>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2008</v>
      </c>
      <c r="BT270" s="1048"/>
      <c r="BU270" s="1048"/>
      <c r="BV270" s="962"/>
      <c r="BW270" s="962"/>
    </row>
    <row s="1621" customFormat="1" customHeight="1" ht="14.25" hidden="1">
      <c r="A271" s="960"/>
      <c r="B271" s="958" cm="1" t="str">
        <f t="array" ref="B271:B271">B270</f>
        <v>false</v>
      </c>
      <c r="C271" s="960"/>
      <c r="D271" s="960"/>
      <c r="E271" s="683">
        <v>15</v>
      </c>
      <c r="F271" s="50" cm="1" t="str">
        <f t="array" ref="F271:F271">OFFSET(E271,-1,1)</f>
        <v>1</v>
      </c>
      <c r="G271" s="960"/>
      <c r="H271" s="960"/>
      <c r="I271" s="960"/>
      <c r="J271" s="960"/>
      <c r="K271" s="73" t="s">
        <v>528</v>
      </c>
      <c r="L271" s="963"/>
      <c r="M271" s="73"/>
      <c r="N271" s="960"/>
      <c r="O271" s="960"/>
      <c r="P271" s="960"/>
      <c r="Q271" s="960"/>
      <c r="R271" s="960"/>
      <c r="S271" s="960"/>
      <c r="T271" s="439" cm="1" t="str">
        <f t="array" ref="T271:T271">T270</f>
        <v>true</v>
      </c>
      <c r="U271" s="960"/>
      <c r="V271" s="960"/>
      <c r="W271" s="960"/>
      <c r="X271" s="1482"/>
      <c r="Y271" s="960"/>
      <c r="Z271" s="1465"/>
      <c r="AA271" s="960"/>
      <c r="AB271" s="776" t="s">
        <v>659</v>
      </c>
      <c r="AC271" s="777" t="s">
        <v>2009</v>
      </c>
      <c r="AD271" s="778" t="s">
        <v>784</v>
      </c>
      <c r="AE271" s="1280"/>
      <c r="AF271" s="1280"/>
      <c r="AG271" s="1280"/>
      <c r="AH271" s="925"/>
      <c r="AI271" s="1280"/>
      <c r="AJ271" s="4765"/>
      <c r="AK271" s="1280"/>
      <c r="AL271" s="1280"/>
      <c r="AM271" s="1280"/>
      <c r="AN271" s="1280"/>
      <c r="AO271" s="1280"/>
      <c r="AP271" s="1280"/>
      <c r="AQ271" s="1280"/>
      <c r="AR271" s="1280"/>
      <c r="AS271" s="1280"/>
      <c r="AT271" s="4765"/>
      <c r="AU271" s="1280"/>
      <c r="AV271" s="1280"/>
      <c r="AW271" s="1280"/>
      <c r="AX271" s="1280"/>
      <c r="AY271" s="1280"/>
      <c r="AZ271" s="1280"/>
      <c r="BA271" s="1280"/>
      <c r="BB271" s="1280"/>
      <c r="BC271" s="1280"/>
      <c r="BD271" s="925"/>
      <c r="BE271" s="925"/>
      <c r="BF271" s="925"/>
      <c r="BG271" s="925"/>
      <c r="BH271" s="925"/>
      <c r="BI271" s="925"/>
      <c r="BJ271" s="925"/>
      <c r="BK271" s="925"/>
      <c r="BL271" s="925"/>
      <c r="BM271" s="925"/>
      <c r="BN271" s="1278"/>
      <c r="BO271" s="1278"/>
      <c r="BP271" s="1278"/>
      <c r="BQ271" s="960"/>
      <c r="BR271" s="960"/>
      <c r="BS271" s="1048" t="s">
        <v>2010</v>
      </c>
      <c r="BT271" s="1048"/>
      <c r="BU271" s="1048"/>
      <c r="BV271" s="962"/>
      <c r="BW271" s="962"/>
    </row>
    <row s="1621" customFormat="1" customHeight="1" ht="14.25" hidden="1">
      <c r="A272" s="960"/>
      <c r="B272" s="958" cm="1" t="str">
        <f t="array" ref="B272:B272">B271</f>
        <v>false</v>
      </c>
      <c r="C272" s="960"/>
      <c r="D272" s="960"/>
      <c r="E272" s="683">
        <v>15</v>
      </c>
      <c r="F272" s="50" cm="1" t="str">
        <f t="array" ref="F272:F272">OFFSET(E272,-1,1)</f>
        <v>1</v>
      </c>
      <c r="G272" s="960"/>
      <c r="H272" s="960"/>
      <c r="I272" s="960"/>
      <c r="J272" s="960"/>
      <c r="K272" s="73" t="s">
        <v>532</v>
      </c>
      <c r="L272" s="963"/>
      <c r="M272" s="73"/>
      <c r="N272" s="960"/>
      <c r="O272" s="960"/>
      <c r="P272" s="960"/>
      <c r="Q272" s="960"/>
      <c r="R272" s="960"/>
      <c r="S272" s="960"/>
      <c r="T272" s="439" cm="1" t="str">
        <f t="array" ref="T272:T272">T271</f>
        <v>true</v>
      </c>
      <c r="U272" s="960"/>
      <c r="V272" s="960"/>
      <c r="W272" s="960"/>
      <c r="X272" s="1482"/>
      <c r="Y272" s="960"/>
      <c r="Z272" s="1465"/>
      <c r="AA272" s="960"/>
      <c r="AB272" s="776" t="s">
        <v>662</v>
      </c>
      <c r="AC272" s="777" t="s">
        <v>2011</v>
      </c>
      <c r="AD272" s="778" t="s">
        <v>437</v>
      </c>
      <c r="AE272" s="1280"/>
      <c r="AF272" s="1280"/>
      <c r="AG272" s="1280"/>
      <c r="AH272" s="925"/>
      <c r="AI272" s="1280"/>
      <c r="AJ272" s="4765"/>
      <c r="AK272" s="1280"/>
      <c r="AL272" s="1280"/>
      <c r="AM272" s="1280"/>
      <c r="AN272" s="1280"/>
      <c r="AO272" s="1280"/>
      <c r="AP272" s="1280"/>
      <c r="AQ272" s="1280"/>
      <c r="AR272" s="1280"/>
      <c r="AS272" s="1280"/>
      <c r="AT272" s="4765"/>
      <c r="AU272" s="1280"/>
      <c r="AV272" s="1280"/>
      <c r="AW272" s="1280"/>
      <c r="AX272" s="1280"/>
      <c r="AY272" s="1280"/>
      <c r="AZ272" s="1280"/>
      <c r="BA272" s="1280"/>
      <c r="BB272" s="1280"/>
      <c r="BC272" s="1280"/>
      <c r="BD272" s="925"/>
      <c r="BE272" s="925"/>
      <c r="BF272" s="925"/>
      <c r="BG272" s="925"/>
      <c r="BH272" s="925"/>
      <c r="BI272" s="925"/>
      <c r="BJ272" s="925"/>
      <c r="BK272" s="925"/>
      <c r="BL272" s="925"/>
      <c r="BM272" s="925"/>
      <c r="BN272" s="1278"/>
      <c r="BO272" s="1278"/>
      <c r="BP272" s="1278"/>
      <c r="BQ272" s="960"/>
      <c r="BR272" s="960"/>
      <c r="BS272" s="1048" t="s">
        <v>2012</v>
      </c>
      <c r="BT272" s="1048"/>
      <c r="BU272" s="1048"/>
      <c r="BV272" s="962"/>
      <c r="BW272" s="962"/>
    </row>
    <row s="1621" customFormat="1" customHeight="1" ht="14.25" hidden="1">
      <c r="A273" s="960"/>
      <c r="B273" s="958" cm="1" t="str">
        <f t="array" ref="B273:B273">B272</f>
        <v>false</v>
      </c>
      <c r="C273" s="960"/>
      <c r="D273" s="960"/>
      <c r="E273" s="683">
        <v>15</v>
      </c>
      <c r="F273" s="50" cm="1" t="str">
        <f t="array" ref="F273:F273">OFFSET(E273,-1,1)</f>
        <v>1</v>
      </c>
      <c r="G273" s="960"/>
      <c r="H273" s="960"/>
      <c r="I273" s="960"/>
      <c r="J273" s="960"/>
      <c r="K273" s="73" t="s">
        <v>749</v>
      </c>
      <c r="L273" s="963"/>
      <c r="M273" s="73"/>
      <c r="N273" s="960"/>
      <c r="O273" s="960"/>
      <c r="P273" s="960"/>
      <c r="Q273" s="960"/>
      <c r="R273" s="960"/>
      <c r="S273" s="960"/>
      <c r="T273" s="439" cm="1" t="str">
        <f t="array" ref="T273:T273">T272</f>
        <v>true</v>
      </c>
      <c r="U273" s="960"/>
      <c r="V273" s="960"/>
      <c r="W273" s="960"/>
      <c r="X273" s="1482"/>
      <c r="Y273" s="960"/>
      <c r="Z273" s="1465"/>
      <c r="AA273" s="960"/>
      <c r="AB273" s="776" t="s">
        <v>900</v>
      </c>
      <c r="AC273" s="777" t="s">
        <v>2013</v>
      </c>
      <c r="AD273" s="778" t="s">
        <v>784</v>
      </c>
      <c r="AE273" s="1280"/>
      <c r="AF273" s="1280"/>
      <c r="AG273" s="1280"/>
      <c r="AH273" s="925"/>
      <c r="AI273" s="1280"/>
      <c r="AJ273" s="4765"/>
      <c r="AK273" s="1280"/>
      <c r="AL273" s="1280"/>
      <c r="AM273" s="1280"/>
      <c r="AN273" s="1280"/>
      <c r="AO273" s="1280"/>
      <c r="AP273" s="1280"/>
      <c r="AQ273" s="1280"/>
      <c r="AR273" s="1280"/>
      <c r="AS273" s="1280"/>
      <c r="AT273" s="4765"/>
      <c r="AU273" s="1280"/>
      <c r="AV273" s="1280"/>
      <c r="AW273" s="1280"/>
      <c r="AX273" s="1280"/>
      <c r="AY273" s="1280"/>
      <c r="AZ273" s="1280"/>
      <c r="BA273" s="1280"/>
      <c r="BB273" s="1280"/>
      <c r="BC273" s="1280"/>
      <c r="BD273" s="925"/>
      <c r="BE273" s="925"/>
      <c r="BF273" s="925"/>
      <c r="BG273" s="925"/>
      <c r="BH273" s="925"/>
      <c r="BI273" s="925"/>
      <c r="BJ273" s="925"/>
      <c r="BK273" s="925"/>
      <c r="BL273" s="925"/>
      <c r="BM273" s="925"/>
      <c r="BN273" s="1278"/>
      <c r="BO273" s="1278"/>
      <c r="BP273" s="1278"/>
      <c r="BQ273" s="960"/>
      <c r="BR273" s="960"/>
      <c r="BS273" s="1048" t="s">
        <v>2014</v>
      </c>
      <c r="BT273" s="1048"/>
      <c r="BU273" s="1048"/>
      <c r="BV273" s="962"/>
      <c r="BW273" s="962"/>
    </row>
    <row s="1621" customFormat="1" customHeight="1" ht="14.25" hidden="1">
      <c r="A274" s="960"/>
      <c r="B274" s="958" cm="1" t="str">
        <f t="array" ref="B274:B274">B273</f>
        <v>false</v>
      </c>
      <c r="C274" s="960"/>
      <c r="D274" s="960"/>
      <c r="E274" s="683">
        <v>15</v>
      </c>
      <c r="F274" s="50" cm="1" t="str">
        <f t="array" ref="F274:F274">OFFSET(E274,-1,1)</f>
        <v>1</v>
      </c>
      <c r="G274" s="960"/>
      <c r="H274" s="960"/>
      <c r="I274" s="960"/>
      <c r="J274" s="960"/>
      <c r="K274" s="73" t="s">
        <v>902</v>
      </c>
      <c r="L274" s="963"/>
      <c r="M274" s="73"/>
      <c r="N274" s="960"/>
      <c r="O274" s="960"/>
      <c r="P274" s="960"/>
      <c r="Q274" s="960"/>
      <c r="R274" s="960"/>
      <c r="S274" s="960"/>
      <c r="T274" s="439" cm="1" t="str">
        <f t="array" ref="T274:T274">T273</f>
        <v>true</v>
      </c>
      <c r="U274" s="960"/>
      <c r="V274" s="960"/>
      <c r="W274" s="960"/>
      <c r="X274" s="1482"/>
      <c r="Y274" s="960"/>
      <c r="Z274" s="1465"/>
      <c r="AA274" s="960"/>
      <c r="AB274" s="776" t="s">
        <v>903</v>
      </c>
      <c r="AC274" s="777" t="s">
        <v>2015</v>
      </c>
      <c r="AD274" s="778" t="s">
        <v>784</v>
      </c>
      <c r="AE274" s="1280"/>
      <c r="AF274" s="1280"/>
      <c r="AG274" s="1280"/>
      <c r="AH274" s="925"/>
      <c r="AI274" s="1280"/>
      <c r="AJ274" s="4765"/>
      <c r="AK274" s="1280"/>
      <c r="AL274" s="1280"/>
      <c r="AM274" s="1280"/>
      <c r="AN274" s="1280"/>
      <c r="AO274" s="1280"/>
      <c r="AP274" s="1280"/>
      <c r="AQ274" s="1280"/>
      <c r="AR274" s="1280"/>
      <c r="AS274" s="1280"/>
      <c r="AT274" s="4765"/>
      <c r="AU274" s="1280"/>
      <c r="AV274" s="1280"/>
      <c r="AW274" s="1280"/>
      <c r="AX274" s="1280"/>
      <c r="AY274" s="1280"/>
      <c r="AZ274" s="1280"/>
      <c r="BA274" s="1280"/>
      <c r="BB274" s="1280"/>
      <c r="BC274" s="1280"/>
      <c r="BD274" s="925"/>
      <c r="BE274" s="925"/>
      <c r="BF274" s="925"/>
      <c r="BG274" s="925"/>
      <c r="BH274" s="925"/>
      <c r="BI274" s="925"/>
      <c r="BJ274" s="925"/>
      <c r="BK274" s="925"/>
      <c r="BL274" s="925"/>
      <c r="BM274" s="925"/>
      <c r="BN274" s="1278"/>
      <c r="BO274" s="1278"/>
      <c r="BP274" s="1278"/>
      <c r="BQ274" s="960"/>
      <c r="BR274" s="960"/>
      <c r="BS274" s="1048" t="s">
        <v>2016</v>
      </c>
      <c r="BT274" s="1048"/>
      <c r="BU274" s="1048"/>
      <c r="BV274" s="962"/>
      <c r="BW274" s="962"/>
    </row>
    <row s="1621" customFormat="1" customHeight="1" ht="14.25" hidden="1">
      <c r="A275" s="960"/>
      <c r="B275" s="958" cm="1" t="str">
        <f t="array" ref="B275:B275">B274</f>
        <v>false</v>
      </c>
      <c r="C275" s="960"/>
      <c r="D275" s="960"/>
      <c r="E275" s="683">
        <v>15</v>
      </c>
      <c r="F275" s="50" cm="1" t="str">
        <f t="array" ref="F275:F275">OFFSET(E275,-1,1)</f>
        <v>1</v>
      </c>
      <c r="G275" s="960"/>
      <c r="H275" s="960"/>
      <c r="I275" s="960"/>
      <c r="J275" s="960"/>
      <c r="K275" s="73" t="s">
        <v>2017</v>
      </c>
      <c r="L275" s="963"/>
      <c r="M275" s="73"/>
      <c r="N275" s="960"/>
      <c r="O275" s="960"/>
      <c r="P275" s="960"/>
      <c r="Q275" s="960"/>
      <c r="R275" s="960"/>
      <c r="S275" s="960"/>
      <c r="T275" s="439" cm="1" t="str">
        <f t="array" ref="T275:T275">T274</f>
        <v>true</v>
      </c>
      <c r="U275" s="960"/>
      <c r="V275" s="960"/>
      <c r="W275" s="960"/>
      <c r="X275" s="1482"/>
      <c r="Y275" s="960"/>
      <c r="Z275" s="1465"/>
      <c r="AA275" s="960"/>
      <c r="AB275" s="776" t="s">
        <v>2018</v>
      </c>
      <c r="AC275" s="779" t="s">
        <v>2019</v>
      </c>
      <c r="AD275" s="778" t="s">
        <v>437</v>
      </c>
      <c r="AE275" s="1280"/>
      <c r="AF275" s="1280"/>
      <c r="AG275" s="1280"/>
      <c r="AH275" s="925"/>
      <c r="AI275" s="1280"/>
      <c r="AJ275" s="4765"/>
      <c r="AK275" s="1280"/>
      <c r="AL275" s="1280"/>
      <c r="AM275" s="1280"/>
      <c r="AN275" s="1280"/>
      <c r="AO275" s="1280"/>
      <c r="AP275" s="1280"/>
      <c r="AQ275" s="1280"/>
      <c r="AR275" s="1280"/>
      <c r="AS275" s="1280"/>
      <c r="AT275" s="4765"/>
      <c r="AU275" s="1280"/>
      <c r="AV275" s="1280"/>
      <c r="AW275" s="1280"/>
      <c r="AX275" s="1280"/>
      <c r="AY275" s="1280"/>
      <c r="AZ275" s="1280"/>
      <c r="BA275" s="1280"/>
      <c r="BB275" s="1280"/>
      <c r="BC275" s="1280"/>
      <c r="BD275" s="925"/>
      <c r="BE275" s="925"/>
      <c r="BF275" s="925"/>
      <c r="BG275" s="925"/>
      <c r="BH275" s="925"/>
      <c r="BI275" s="925"/>
      <c r="BJ275" s="925"/>
      <c r="BK275" s="925"/>
      <c r="BL275" s="925"/>
      <c r="BM275" s="925"/>
      <c r="BN275" s="1278"/>
      <c r="BO275" s="1278"/>
      <c r="BP275" s="1278"/>
      <c r="BQ275" s="960"/>
      <c r="BR275" s="960"/>
      <c r="BS275" s="1048" t="s">
        <v>2020</v>
      </c>
      <c r="BT275" s="1048"/>
      <c r="BU275" s="1048"/>
      <c r="BV275" s="962"/>
      <c r="BW275" s="962"/>
    </row>
    <row s="1621" customFormat="1" customHeight="1" ht="14.25" hidden="1">
      <c r="A276" s="960"/>
      <c r="B276" s="958" cm="1" t="str">
        <f t="array" ref="B276:B276">B275</f>
        <v>false</v>
      </c>
      <c r="C276" s="960"/>
      <c r="D276" s="960"/>
      <c r="E276" s="683">
        <v>15</v>
      </c>
      <c r="F276" s="50" cm="1" t="str">
        <f t="array" ref="F276:F276">OFFSET(E276,-1,1)</f>
        <v>1</v>
      </c>
      <c r="G276" s="960"/>
      <c r="H276" s="960"/>
      <c r="I276" s="960"/>
      <c r="J276" s="960"/>
      <c r="K276" s="73" t="s">
        <v>905</v>
      </c>
      <c r="L276" s="963"/>
      <c r="M276" s="73"/>
      <c r="N276" s="960"/>
      <c r="O276" s="960"/>
      <c r="P276" s="960"/>
      <c r="Q276" s="960"/>
      <c r="R276" s="960"/>
      <c r="S276" s="960"/>
      <c r="T276" s="439" cm="1" t="str">
        <f t="array" ref="T276:T276">T275</f>
        <v>true</v>
      </c>
      <c r="U276" s="960"/>
      <c r="V276" s="960"/>
      <c r="W276" s="960"/>
      <c r="X276" s="1482"/>
      <c r="Y276" s="960"/>
      <c r="Z276" s="1465"/>
      <c r="AA276" s="960"/>
      <c r="AB276" s="776" t="s">
        <v>906</v>
      </c>
      <c r="AC276" s="777" t="s">
        <v>2021</v>
      </c>
      <c r="AD276" s="778" t="s">
        <v>437</v>
      </c>
      <c r="AE276" s="1280"/>
      <c r="AF276" s="1280"/>
      <c r="AG276" s="1280"/>
      <c r="AH276" s="925"/>
      <c r="AI276" s="1280"/>
      <c r="AJ276" s="4765"/>
      <c r="AK276" s="1280"/>
      <c r="AL276" s="1280"/>
      <c r="AM276" s="1280"/>
      <c r="AN276" s="1280"/>
      <c r="AO276" s="1280"/>
      <c r="AP276" s="1280"/>
      <c r="AQ276" s="1280"/>
      <c r="AR276" s="1280"/>
      <c r="AS276" s="1280"/>
      <c r="AT276" s="4765"/>
      <c r="AU276" s="1280"/>
      <c r="AV276" s="1280"/>
      <c r="AW276" s="1280"/>
      <c r="AX276" s="1280"/>
      <c r="AY276" s="1280"/>
      <c r="AZ276" s="1280"/>
      <c r="BA276" s="1280"/>
      <c r="BB276" s="1280"/>
      <c r="BC276" s="1280"/>
      <c r="BD276" s="925"/>
      <c r="BE276" s="925"/>
      <c r="BF276" s="925"/>
      <c r="BG276" s="925"/>
      <c r="BH276" s="925"/>
      <c r="BI276" s="925"/>
      <c r="BJ276" s="925"/>
      <c r="BK276" s="925"/>
      <c r="BL276" s="925"/>
      <c r="BM276" s="925"/>
      <c r="BN276" s="1278"/>
      <c r="BO276" s="1278"/>
      <c r="BP276" s="1278"/>
      <c r="BQ276" s="960"/>
      <c r="BR276" s="960"/>
      <c r="BS276" s="1048" t="s">
        <v>2022</v>
      </c>
      <c r="BT276" s="1048"/>
      <c r="BU276" s="1048"/>
      <c r="BV276" s="962"/>
      <c r="BW276" s="962"/>
    </row>
    <row s="1621" customFormat="1" customHeight="1" ht="14.25" hidden="1">
      <c r="A277" s="960"/>
      <c r="B277" s="958" cm="1" t="str">
        <f t="array" ref="B277:B277">B276</f>
        <v>false</v>
      </c>
      <c r="C277" s="960"/>
      <c r="D277" s="960"/>
      <c r="E277" s="683">
        <v>15</v>
      </c>
      <c r="F277" s="50" cm="1" t="str">
        <f t="array" ref="F277:F277">OFFSET(E277,-1,1)</f>
        <v>1</v>
      </c>
      <c r="G277" s="960"/>
      <c r="H277" s="960"/>
      <c r="I277" s="960"/>
      <c r="J277" s="960"/>
      <c r="K277" s="73" t="s">
        <v>2023</v>
      </c>
      <c r="L277" s="963"/>
      <c r="M277" s="73"/>
      <c r="N277" s="960"/>
      <c r="O277" s="960"/>
      <c r="P277" s="960"/>
      <c r="Q277" s="960"/>
      <c r="R277" s="960"/>
      <c r="S277" s="960"/>
      <c r="T277" s="439" cm="1" t="str">
        <f t="array" ref="T277:T277">T276</f>
        <v>true</v>
      </c>
      <c r="U277" s="960"/>
      <c r="V277" s="960"/>
      <c r="W277" s="960"/>
      <c r="X277" s="1482"/>
      <c r="Y277" s="960"/>
      <c r="Z277" s="1465"/>
      <c r="AA277" s="960"/>
      <c r="AB277" s="776" t="s">
        <v>2024</v>
      </c>
      <c r="AC277" s="779" t="s">
        <v>2025</v>
      </c>
      <c r="AD277" s="778" t="s">
        <v>437</v>
      </c>
      <c r="AE277" s="1280"/>
      <c r="AF277" s="1280"/>
      <c r="AG277" s="1280"/>
      <c r="AH277" s="925"/>
      <c r="AI277" s="1280"/>
      <c r="AJ277" s="4765"/>
      <c r="AK277" s="1280"/>
      <c r="AL277" s="1280"/>
      <c r="AM277" s="1280"/>
      <c r="AN277" s="1280"/>
      <c r="AO277" s="1280"/>
      <c r="AP277" s="1280"/>
      <c r="AQ277" s="1280"/>
      <c r="AR277" s="1280"/>
      <c r="AS277" s="1280"/>
      <c r="AT277" s="4765"/>
      <c r="AU277" s="1280"/>
      <c r="AV277" s="1280"/>
      <c r="AW277" s="1280"/>
      <c r="AX277" s="1280"/>
      <c r="AY277" s="1280"/>
      <c r="AZ277" s="1280"/>
      <c r="BA277" s="1280"/>
      <c r="BB277" s="1280"/>
      <c r="BC277" s="1280"/>
      <c r="BD277" s="925"/>
      <c r="BE277" s="925"/>
      <c r="BF277" s="925"/>
      <c r="BG277" s="925"/>
      <c r="BH277" s="925"/>
      <c r="BI277" s="925"/>
      <c r="BJ277" s="925"/>
      <c r="BK277" s="925"/>
      <c r="BL277" s="925"/>
      <c r="BM277" s="925"/>
      <c r="BN277" s="1278"/>
      <c r="BO277" s="1278"/>
      <c r="BP277" s="1278"/>
      <c r="BQ277" s="960"/>
      <c r="BR277" s="960"/>
      <c r="BS277" s="1048" t="s">
        <v>2026</v>
      </c>
      <c r="BT277" s="1048"/>
      <c r="BU277" s="1048"/>
      <c r="BV277" s="962"/>
      <c r="BW277" s="962"/>
    </row>
    <row s="1621" customFormat="1" customHeight="1" ht="14.25" hidden="1">
      <c r="A278" s="960"/>
      <c r="B278" s="958" cm="1" t="str">
        <f t="array" ref="B278:B278">B277</f>
        <v>false</v>
      </c>
      <c r="C278" s="960"/>
      <c r="D278" s="960"/>
      <c r="E278" s="683">
        <v>15</v>
      </c>
      <c r="F278" s="50" cm="1" t="str">
        <f t="array" ref="F278:F278">OFFSET(E278,-1,1)</f>
        <v>1</v>
      </c>
      <c r="G278" s="960"/>
      <c r="H278" s="960"/>
      <c r="I278" s="960"/>
      <c r="J278" s="960"/>
      <c r="K278" s="73" t="s">
        <v>2027</v>
      </c>
      <c r="L278" s="963"/>
      <c r="M278" s="73"/>
      <c r="N278" s="960"/>
      <c r="O278" s="960"/>
      <c r="P278" s="960"/>
      <c r="Q278" s="960"/>
      <c r="R278" s="960"/>
      <c r="S278" s="960"/>
      <c r="T278" s="439" cm="1" t="str">
        <f t="array" ref="T278:T278">T277</f>
        <v>true</v>
      </c>
      <c r="U278" s="960"/>
      <c r="V278" s="960"/>
      <c r="W278" s="960"/>
      <c r="X278" s="1482"/>
      <c r="Y278" s="960"/>
      <c r="Z278" s="1465"/>
      <c r="AA278" s="960"/>
      <c r="AB278" s="776" t="s">
        <v>2028</v>
      </c>
      <c r="AC278" s="779" t="s">
        <v>2029</v>
      </c>
      <c r="AD278" s="778" t="s">
        <v>437</v>
      </c>
      <c r="AE278" s="1280"/>
      <c r="AF278" s="1280"/>
      <c r="AG278" s="1280"/>
      <c r="AH278" s="925"/>
      <c r="AI278" s="1280"/>
      <c r="AJ278" s="4765"/>
      <c r="AK278" s="1280"/>
      <c r="AL278" s="1280"/>
      <c r="AM278" s="1280"/>
      <c r="AN278" s="1280"/>
      <c r="AO278" s="1280"/>
      <c r="AP278" s="1280"/>
      <c r="AQ278" s="1280"/>
      <c r="AR278" s="1280"/>
      <c r="AS278" s="1280"/>
      <c r="AT278" s="4765"/>
      <c r="AU278" s="1280"/>
      <c r="AV278" s="1280"/>
      <c r="AW278" s="1280"/>
      <c r="AX278" s="1280"/>
      <c r="AY278" s="1280"/>
      <c r="AZ278" s="1280"/>
      <c r="BA278" s="1280"/>
      <c r="BB278" s="1280"/>
      <c r="BC278" s="1280"/>
      <c r="BD278" s="925"/>
      <c r="BE278" s="925"/>
      <c r="BF278" s="925"/>
      <c r="BG278" s="925"/>
      <c r="BH278" s="925"/>
      <c r="BI278" s="925"/>
      <c r="BJ278" s="925"/>
      <c r="BK278" s="925"/>
      <c r="BL278" s="925"/>
      <c r="BM278" s="925"/>
      <c r="BN278" s="1278"/>
      <c r="BO278" s="1278"/>
      <c r="BP278" s="1278"/>
      <c r="BQ278" s="960"/>
      <c r="BR278" s="960"/>
      <c r="BS278" s="1048" t="s">
        <v>2030</v>
      </c>
      <c r="BT278" s="1048"/>
      <c r="BU278" s="1048"/>
      <c r="BV278" s="962"/>
      <c r="BW278" s="962"/>
    </row>
    <row s="4838" customFormat="1" customHeight="1" ht="20.475">
      <c r="A279" s="680"/>
      <c r="B279" s="408"/>
      <c r="C279" s="680"/>
      <c r="D279" s="75" t="str">
        <f>IF(B278,"6","7")</f>
        <v>7</v>
      </c>
      <c r="E279" s="687">
        <v>21</v>
      </c>
      <c r="F279" s="50" cm="1" t="str">
        <f t="array" ref="F279:F279">OFFSET(E279,-1,1)</f>
        <v>1</v>
      </c>
      <c r="G279" s="124" t="s">
        <v>2031</v>
      </c>
      <c r="H279" s="124"/>
      <c r="I279" s="347" t="s">
        <v>2032</v>
      </c>
      <c r="J279" s="680"/>
      <c r="K279" s="347" t="s">
        <v>2032</v>
      </c>
      <c r="L279" s="968"/>
      <c r="M279" s="75"/>
      <c r="N279" s="680"/>
      <c r="O279" s="680"/>
      <c r="P279" s="680"/>
      <c r="Q279" s="680"/>
      <c r="R279" s="680"/>
      <c r="S279" s="680"/>
      <c r="T279" s="439" cm="1" t="str">
        <f t="array" ref="T279:T279">T278</f>
        <v>true</v>
      </c>
      <c r="U279" s="680"/>
      <c r="V279" s="680"/>
      <c r="W279" s="680"/>
      <c r="X279" s="1482"/>
      <c r="Y279" s="680"/>
      <c r="Z279" s="1465"/>
      <c r="AA279" s="680"/>
      <c r="AB279" s="178" cm="1" t="str">
        <f t="array" ref="AB279:AB279">D279</f>
        <v>7</v>
      </c>
      <c r="AC279" s="186" t="s">
        <v>1473</v>
      </c>
      <c r="AD279" s="178" t="s">
        <v>784</v>
      </c>
      <c r="AE279" s="4606">
        <v>-306.2058428262</v>
      </c>
      <c r="AF279" s="4606"/>
      <c r="AG279" s="4606"/>
      <c r="AH279" s="742">
        <f>AG279-AF279</f>
        <v>0</v>
      </c>
      <c r="AI279" s="4595"/>
      <c r="AJ279" s="4765">
        <v>487.1680486313</v>
      </c>
      <c r="AK279" s="1273"/>
      <c r="AL279" s="1273"/>
      <c r="AM279" s="4595"/>
      <c r="AN279" s="4595"/>
      <c r="AO279" s="4595"/>
      <c r="AP279" s="4595"/>
      <c r="AQ279" s="4595"/>
      <c r="AR279" s="4595"/>
      <c r="AS279" s="4595"/>
      <c r="AT279" s="4765">
        <v>25.112302652</v>
      </c>
      <c r="AU279" s="1273"/>
      <c r="AV279" s="1273"/>
      <c r="AW279" s="4595"/>
      <c r="AX279" s="4595"/>
      <c r="AY279" s="4595"/>
      <c r="AZ279" s="4595"/>
      <c r="BA279" s="4595"/>
      <c r="BB279" s="4595"/>
      <c r="BC279" s="4595"/>
      <c r="BD279" s="742">
        <f>IF(AI279=0,0,(AT279-AI279)/AI279*100)</f>
        <v>0</v>
      </c>
      <c r="BE279" s="742">
        <f>IF(AT279=0,0,(AU279-AT279)/AT279*100)</f>
        <v>-100</v>
      </c>
      <c r="BF279" s="742">
        <f>IF(AU279=0,0,(AV279-AU279)/AU279*100)</f>
        <v>0</v>
      </c>
      <c r="BG279" s="742">
        <f>IF(AV279=0,0,(AW279-AV279)/AV279*100)</f>
        <v>0</v>
      </c>
      <c r="BH279" s="742">
        <f>IF(AW279=0,0,(AX279-AW279)/AW279*100)</f>
        <v>0</v>
      </c>
      <c r="BI279" s="742">
        <f>IF(AX279=0,0,(AY279-AX279)/AX279*100)</f>
        <v>0</v>
      </c>
      <c r="BJ279" s="742">
        <f>IF(AY279=0,0,(AZ279-AY279)/AY279*100)</f>
        <v>0</v>
      </c>
      <c r="BK279" s="742">
        <f>IF(AZ279=0,0,(BA279-AZ279)/AZ279*100)</f>
        <v>0</v>
      </c>
      <c r="BL279" s="742">
        <f>IF(BA279=0,0,(BB279-BA279)/BA279*100)</f>
        <v>0</v>
      </c>
      <c r="BM279" s="742">
        <f>IF(BB279=0,0,(BC279-BB279)/BB279*100)</f>
        <v>0</v>
      </c>
      <c r="BN279" s="4618"/>
      <c r="BO279" s="4784" t="str">
        <f>IF(_xlfn.IFERROR(INDEX('Корректировка НВВ'!$K$26:$L$180,MATCH($F279&amp;"11komm",'Корректировка НВВ'!$K$26:$K$180,0),2),"")=0,"",_xlfn.IFERROR(INDEX('Корректировка НВВ'!$K$26:$L$180,MATCH($F279&amp;"11komm",'Корректировка НВВ'!$K$26:$K$180,0),2),""))</f>
        <v/>
      </c>
      <c r="BP279" s="4618"/>
      <c r="BQ279" s="680"/>
      <c r="BR279" s="680"/>
      <c r="BS279" s="1054" t="s">
        <v>2033</v>
      </c>
      <c r="BT279" s="1054"/>
      <c r="BU279" s="1054"/>
      <c r="BV279" s="687"/>
      <c r="BW279" s="687"/>
    </row>
    <row s="1621" customFormat="1" customHeight="1" ht="14.25">
      <c r="A280" s="960"/>
      <c r="B280" s="961"/>
      <c r="C280" s="960"/>
      <c r="D280" s="73" cm="1" t="str">
        <f t="array" ref="D280:D280">D279</f>
        <v>7</v>
      </c>
      <c r="E280" s="683">
        <v>15</v>
      </c>
      <c r="F280" s="50" cm="1" t="str">
        <f t="array" ref="F280:F280">OFFSET(E280,-1,1)</f>
        <v>1</v>
      </c>
      <c r="G280" s="960"/>
      <c r="H280" s="960"/>
      <c r="I280" s="960"/>
      <c r="J280" s="960"/>
      <c r="K280" s="960"/>
      <c r="L280" s="963"/>
      <c r="M280" s="73"/>
      <c r="N280" s="960"/>
      <c r="O280" s="960"/>
      <c r="P280" s="960"/>
      <c r="Q280" s="960"/>
      <c r="R280" s="960"/>
      <c r="S280" s="960"/>
      <c r="T280" s="439" cm="1" t="str">
        <f t="array" ref="T280:T280">T279</f>
        <v>true</v>
      </c>
      <c r="U280" s="960"/>
      <c r="V280" s="960"/>
      <c r="W280" s="960"/>
      <c r="X280" s="1482"/>
      <c r="Y280" s="960"/>
      <c r="Z280" s="1465"/>
      <c r="AA280" s="960"/>
      <c r="AB280" s="267"/>
      <c r="AC280" s="425" t="s">
        <v>2034</v>
      </c>
      <c r="AD280" s="267"/>
      <c r="AE280" s="928"/>
      <c r="AF280" s="928"/>
      <c r="AG280" s="928"/>
      <c r="AH280" s="925"/>
      <c r="AI280" s="925"/>
      <c r="AJ280" s="925"/>
      <c r="AK280" s="925"/>
      <c r="AL280" s="925"/>
      <c r="AM280" s="925"/>
      <c r="AN280" s="925"/>
      <c r="AO280" s="925"/>
      <c r="AP280" s="925"/>
      <c r="AQ280" s="925"/>
      <c r="AR280" s="925"/>
      <c r="AS280" s="925"/>
      <c r="AT280" s="925"/>
      <c r="AU280" s="925"/>
      <c r="AV280" s="925"/>
      <c r="AW280" s="925"/>
      <c r="AX280" s="925"/>
      <c r="AY280" s="925"/>
      <c r="AZ280" s="925"/>
      <c r="BA280" s="925"/>
      <c r="BB280" s="925"/>
      <c r="BC280" s="925"/>
      <c r="BD280" s="925"/>
      <c r="BE280" s="925"/>
      <c r="BF280" s="925"/>
      <c r="BG280" s="925"/>
      <c r="BH280" s="925"/>
      <c r="BI280" s="925"/>
      <c r="BJ280" s="925"/>
      <c r="BK280" s="925"/>
      <c r="BL280" s="925"/>
      <c r="BM280" s="925"/>
      <c r="BN280" s="501"/>
      <c r="BO280" s="501"/>
      <c r="BP280" s="501"/>
      <c r="BQ280" s="960"/>
      <c r="BR280" s="960"/>
      <c r="BS280" s="1048"/>
      <c r="BT280" s="1048"/>
      <c r="BU280" s="1048"/>
      <c r="BV280" s="962"/>
      <c r="BW280" s="962"/>
    </row>
    <row s="1621" customFormat="1" customHeight="1" ht="23.25">
      <c r="A281" s="960"/>
      <c r="B281" s="961"/>
      <c r="C281" s="960"/>
      <c r="D281" s="73" cm="1" t="str">
        <f t="array" ref="D281:D281">D280</f>
        <v>7</v>
      </c>
      <c r="E281" s="683">
        <v>22.5</v>
      </c>
      <c r="F281" s="50" cm="1" t="str">
        <f t="array" ref="F281:F281">OFFSET(E281,-1,1)</f>
        <v>1</v>
      </c>
      <c r="G281" s="124" t="s">
        <v>368</v>
      </c>
      <c r="H281" s="960"/>
      <c r="I281" s="124" t="s">
        <v>495</v>
      </c>
      <c r="J281" s="960"/>
      <c r="K281" s="124" t="s">
        <v>495</v>
      </c>
      <c r="L281" s="963"/>
      <c r="M281" s="73"/>
      <c r="N281" s="960"/>
      <c r="O281" s="960"/>
      <c r="P281" s="960"/>
      <c r="Q281" s="960"/>
      <c r="R281" s="960"/>
      <c r="S281" s="960"/>
      <c r="T281" s="439" cm="1" t="str">
        <f t="array" ref="T281:T281">T280</f>
        <v>true</v>
      </c>
      <c r="U281" s="960"/>
      <c r="V281" s="960"/>
      <c r="W281" s="960"/>
      <c r="X281" s="1482"/>
      <c r="Y281" s="960"/>
      <c r="Z281" s="1465"/>
      <c r="AA281" s="960"/>
      <c r="AB281" s="267" t="str">
        <f>D281&amp;".1"</f>
        <v>7.1</v>
      </c>
      <c r="AC281" s="743" t="s">
        <v>2035</v>
      </c>
      <c r="AD281" s="267" t="s">
        <v>784</v>
      </c>
      <c r="AE281" s="4759">
        <v>0</v>
      </c>
      <c r="AF281" s="4759"/>
      <c r="AG281" s="4759"/>
      <c r="AH281" s="926">
        <f>AG281-AF281</f>
        <v>0</v>
      </c>
      <c r="AI281" s="4765">
        <v>0</v>
      </c>
      <c r="AJ281" s="4765">
        <f>_xlfn.SUMIFS('Корректировка НВВ'!$AF$25:$AF$180,'Корректировка НВВ'!$F$25:$F$180,$F281,'Корректировка НВВ'!$I$25:$I$180,$G281)</f>
        <v>0</v>
      </c>
      <c r="AK281" s="1280"/>
      <c r="AL281" s="1280"/>
      <c r="AM281" s="4765"/>
      <c r="AN281" s="4765"/>
      <c r="AO281" s="4765"/>
      <c r="AP281" s="4765"/>
      <c r="AQ281" s="4765"/>
      <c r="AR281" s="4765"/>
      <c r="AS281" s="4765"/>
      <c r="AT281" s="4765">
        <f>_xlfn.SUMIFS('Корректировка НВВ'!$AG$25:$AG$180,'Корректировка НВВ'!$F$25:$F$180,$F281,'Корректировка НВВ'!$I$25:$I$180,$G281)</f>
        <v>0</v>
      </c>
      <c r="AU281" s="1280"/>
      <c r="AV281" s="1280"/>
      <c r="AW281" s="4765"/>
      <c r="AX281" s="4765"/>
      <c r="AY281" s="4765"/>
      <c r="AZ281" s="4765"/>
      <c r="BA281" s="4765"/>
      <c r="BB281" s="4765"/>
      <c r="BC281" s="4765"/>
      <c r="BD281" s="925"/>
      <c r="BE281" s="925"/>
      <c r="BF281" s="925"/>
      <c r="BG281" s="925"/>
      <c r="BH281" s="925"/>
      <c r="BI281" s="925"/>
      <c r="BJ281" s="925"/>
      <c r="BK281" s="925"/>
      <c r="BL281" s="925"/>
      <c r="BM281" s="925"/>
      <c r="BN281" s="4830"/>
      <c r="BO281" s="4784" t="str">
        <f>IF(_xlfn.IFERROR(INDEX('Корректировка НВВ'!$K$26:$L$180,MATCH($F281&amp;"1komm",'Корректировка НВВ'!$K$26:$K$180,0),2),"")=0,"",_xlfn.IFERROR(INDEX('Корректировка НВВ'!$K$26:$L$180,MATCH($F281&amp;"1komm",'Корректировка НВВ'!$K$26:$K$180,0),2),""))</f>
        <v/>
      </c>
      <c r="BP281" s="4830"/>
      <c r="BQ281" s="960"/>
      <c r="BR281" s="960"/>
      <c r="BS281" s="1048" t="s">
        <v>2036</v>
      </c>
      <c r="BT281" s="1048"/>
      <c r="BU281" s="1048"/>
      <c r="BV281" s="962"/>
      <c r="BW281" s="962"/>
    </row>
    <row s="1621" customFormat="1" customHeight="1" ht="98.71875">
      <c r="A282" s="960"/>
      <c r="B282" s="961"/>
      <c r="C282" s="960"/>
      <c r="D282" s="73" cm="1" t="str">
        <f t="array" ref="D282:D282">D281</f>
        <v>7</v>
      </c>
      <c r="E282" s="683">
        <v>101.25</v>
      </c>
      <c r="F282" s="50" cm="1" t="str">
        <f t="array" ref="F282:F282">OFFSET(E282,-1,1)</f>
        <v>1</v>
      </c>
      <c r="G282" s="124" t="s">
        <v>2037</v>
      </c>
      <c r="H282" s="960"/>
      <c r="I282" s="124" t="s">
        <v>541</v>
      </c>
      <c r="J282" s="960"/>
      <c r="K282" s="124" t="s">
        <v>541</v>
      </c>
      <c r="L282" s="963"/>
      <c r="M282" s="73"/>
      <c r="N282" s="960"/>
      <c r="O282" s="960"/>
      <c r="P282" s="960"/>
      <c r="Q282" s="960"/>
      <c r="R282" s="960"/>
      <c r="S282" s="960"/>
      <c r="T282" s="439" cm="1" t="str">
        <f t="array" ref="T282:T282">T281</f>
        <v>true</v>
      </c>
      <c r="U282" s="960"/>
      <c r="V282" s="960"/>
      <c r="W282" s="960"/>
      <c r="X282" s="1482"/>
      <c r="Y282" s="960"/>
      <c r="Z282" s="1465"/>
      <c r="AA282" s="960"/>
      <c r="AB282" s="267" t="str">
        <f>D282&amp;".2"</f>
        <v>7.2</v>
      </c>
      <c r="AC282" s="743" t="s">
        <v>2038</v>
      </c>
      <c r="AD282" s="267" t="s">
        <v>784</v>
      </c>
      <c r="AE282" s="4759">
        <v>0</v>
      </c>
      <c r="AF282" s="4759"/>
      <c r="AG282" s="4759"/>
      <c r="AH282" s="926">
        <f>AG282-AF282</f>
        <v>0</v>
      </c>
      <c r="AI282" s="4765">
        <v>0</v>
      </c>
      <c r="AJ282" s="4765">
        <f>_xlfn.SUMIFS('Корректировка НВВ'!$AF$25:$AF$180,'Корректировка НВВ'!$F$25:$F$180,$F282,'Корректировка НВВ'!$I$25:$I$180,$G282)</f>
        <v>0</v>
      </c>
      <c r="AK282" s="1280"/>
      <c r="AL282" s="1280"/>
      <c r="AM282" s="4765"/>
      <c r="AN282" s="4765"/>
      <c r="AO282" s="4765"/>
      <c r="AP282" s="4765"/>
      <c r="AQ282" s="4765"/>
      <c r="AR282" s="4765"/>
      <c r="AS282" s="4765"/>
      <c r="AT282" s="4765">
        <f>_xlfn.SUMIFS('Корректировка НВВ'!$AG$25:$AG$180,'Корректировка НВВ'!$F$25:$F$180,$F282,'Корректировка НВВ'!$I$25:$I$180,$G282)</f>
        <v>0</v>
      </c>
      <c r="AU282" s="1280"/>
      <c r="AV282" s="1280"/>
      <c r="AW282" s="4765"/>
      <c r="AX282" s="4765"/>
      <c r="AY282" s="4765"/>
      <c r="AZ282" s="4765"/>
      <c r="BA282" s="4765"/>
      <c r="BB282" s="4765"/>
      <c r="BC282" s="4765"/>
      <c r="BD282" s="925"/>
      <c r="BE282" s="925"/>
      <c r="BF282" s="925"/>
      <c r="BG282" s="925"/>
      <c r="BH282" s="925"/>
      <c r="BI282" s="925"/>
      <c r="BJ282" s="925"/>
      <c r="BK282" s="925"/>
      <c r="BL282" s="925"/>
      <c r="BM282" s="925"/>
      <c r="BN282" s="4830"/>
      <c r="BO282" s="4784" t="str">
        <f>IF(_xlfn.IFERROR(INDEX('Корректировка НВВ'!$K$26:$L$180,MATCH($F282&amp;"2komm",'Корректировка НВВ'!$K$26:$K$180,0),2),"")=0,"",_xlfn.IFERROR(INDEX('Корректировка НВВ'!$K$26:$L$180,MATCH($F282&amp;"2komm",'Корректировка НВВ'!$K$26:$K$180,0),2),""))</f>
        <v/>
      </c>
      <c r="BP282" s="4830"/>
      <c r="BQ282" s="960"/>
      <c r="BR282" s="960"/>
      <c r="BS282" s="1048" t="s">
        <v>2039</v>
      </c>
      <c r="BT282" s="1048"/>
      <c r="BU282" s="1048"/>
      <c r="BV282" s="962"/>
      <c r="BW282" s="962"/>
    </row>
    <row s="1621" customFormat="1" customHeight="1" ht="54.75">
      <c r="A283" s="960"/>
      <c r="B283" s="961"/>
      <c r="C283" s="960"/>
      <c r="D283" s="73" cm="1" t="str">
        <f t="array" ref="D283:D283">D282</f>
        <v>7</v>
      </c>
      <c r="E283" s="683">
        <v>45</v>
      </c>
      <c r="F283" s="50" cm="1" t="str">
        <f t="array" ref="F283:F283">OFFSET(E283,-1,1)</f>
        <v>1</v>
      </c>
      <c r="G283" s="960"/>
      <c r="H283" s="960"/>
      <c r="I283" s="124" t="s">
        <v>556</v>
      </c>
      <c r="J283" s="960"/>
      <c r="K283" s="124" t="s">
        <v>556</v>
      </c>
      <c r="L283" s="963"/>
      <c r="M283" s="73"/>
      <c r="N283" s="960"/>
      <c r="O283" s="960"/>
      <c r="P283" s="960"/>
      <c r="Q283" s="960"/>
      <c r="R283" s="960"/>
      <c r="S283" s="960"/>
      <c r="T283" s="439" cm="1" t="str">
        <f t="array" ref="T283:T283">T282</f>
        <v>true</v>
      </c>
      <c r="U283" s="960"/>
      <c r="V283" s="960"/>
      <c r="W283" s="960"/>
      <c r="X283" s="1482"/>
      <c r="Y283" s="960"/>
      <c r="Z283" s="1465"/>
      <c r="AA283" s="960"/>
      <c r="AB283" s="267" t="str">
        <f>D283&amp;".3"</f>
        <v>7.3</v>
      </c>
      <c r="AC283" s="743" t="s">
        <v>2040</v>
      </c>
      <c r="AD283" s="267" t="s">
        <v>784</v>
      </c>
      <c r="AE283" s="4759">
        <v>0</v>
      </c>
      <c r="AF283" s="4759"/>
      <c r="AG283" s="4759"/>
      <c r="AH283" s="926">
        <f>AG283-AF283</f>
        <v>0</v>
      </c>
      <c r="AI283" s="4765">
        <v>0</v>
      </c>
      <c r="AJ283" s="4765">
        <v>487.1680486313</v>
      </c>
      <c r="AK283" s="1280"/>
      <c r="AL283" s="1280"/>
      <c r="AM283" s="4765"/>
      <c r="AN283" s="4765"/>
      <c r="AO283" s="4765"/>
      <c r="AP283" s="4765"/>
      <c r="AQ283" s="4765"/>
      <c r="AR283" s="4765"/>
      <c r="AS283" s="4765"/>
      <c r="AT283" s="4765">
        <v>25.112302652</v>
      </c>
      <c r="AU283" s="1280"/>
      <c r="AV283" s="1280"/>
      <c r="AW283" s="4765"/>
      <c r="AX283" s="4765"/>
      <c r="AY283" s="4765"/>
      <c r="AZ283" s="4765"/>
      <c r="BA283" s="4765"/>
      <c r="BB283" s="4765"/>
      <c r="BC283" s="4765"/>
      <c r="BD283" s="925"/>
      <c r="BE283" s="925"/>
      <c r="BF283" s="925"/>
      <c r="BG283" s="925"/>
      <c r="BH283" s="925"/>
      <c r="BI283" s="925"/>
      <c r="BJ283" s="925"/>
      <c r="BK283" s="925"/>
      <c r="BL283" s="925"/>
      <c r="BM283" s="925"/>
      <c r="BN283" s="4830" t="s">
        <v>2083</v>
      </c>
      <c r="BO283" s="4784"/>
      <c r="BP283" s="4830" t="s">
        <v>2084</v>
      </c>
      <c r="BQ283" s="960"/>
      <c r="BR283" s="960"/>
      <c r="BS283" s="1048" t="s">
        <v>2041</v>
      </c>
      <c r="BT283" s="1048"/>
      <c r="BU283" s="1048"/>
      <c r="BV283" s="962"/>
      <c r="BW283" s="962"/>
    </row>
    <row s="1621" customFormat="1" customHeight="1" ht="87.75" hidden="1">
      <c r="A284" s="960"/>
      <c r="B284" s="418">
        <f>S171="Водоотведение"</f>
        <v>0</v>
      </c>
      <c r="C284" s="960"/>
      <c r="D284" s="73" cm="1" t="str">
        <f t="array" ref="D284:D284">D283</f>
        <v>7</v>
      </c>
      <c r="E284" s="683">
        <v>90</v>
      </c>
      <c r="F284" s="50" cm="1" t="str">
        <f t="array" ref="F284:F284">OFFSET(E284,-1,1)</f>
        <v>1</v>
      </c>
      <c r="G284" s="124" t="s">
        <v>2042</v>
      </c>
      <c r="H284" s="49"/>
      <c r="I284" s="124" t="s">
        <v>725</v>
      </c>
      <c r="J284" s="960"/>
      <c r="K284" s="124" t="s">
        <v>725</v>
      </c>
      <c r="L284" s="963" t="s">
        <v>722</v>
      </c>
      <c r="M284" s="73"/>
      <c r="N284" s="960"/>
      <c r="O284" s="960"/>
      <c r="P284" s="960"/>
      <c r="Q284" s="960"/>
      <c r="R284" s="960"/>
      <c r="S284" s="960"/>
      <c r="T284" s="439" cm="1" t="str">
        <f t="array" ref="T284:T284">T283</f>
        <v>true</v>
      </c>
      <c r="U284" s="960"/>
      <c r="V284" s="960"/>
      <c r="W284" s="960"/>
      <c r="X284" s="1482"/>
      <c r="Y284" s="960"/>
      <c r="Z284" s="1465"/>
      <c r="AA284" s="960"/>
      <c r="AB284" s="267" t="str">
        <f>D284&amp;".4"</f>
        <v>7.4</v>
      </c>
      <c r="AC284" s="743" t="s">
        <v>1705</v>
      </c>
      <c r="AD284" s="747" t="s">
        <v>784</v>
      </c>
      <c r="AE284" s="1282"/>
      <c r="AF284" s="1282"/>
      <c r="AG284" s="1282"/>
      <c r="AH284" s="926">
        <f>AG284-AF284</f>
        <v>0</v>
      </c>
      <c r="AI284" s="1280"/>
      <c r="AJ284" s="4765">
        <f>_xlfn.SUMIFS('Корректировка НВВ'!$AF$25:$AF$180,'Корректировка НВВ'!$F$25:$F$180,$F284,'Корректировка НВВ'!$I$25:$I$180,$G284)</f>
        <v>0</v>
      </c>
      <c r="AK284" s="1280"/>
      <c r="AL284" s="1280"/>
      <c r="AM284" s="1280"/>
      <c r="AN284" s="1280"/>
      <c r="AO284" s="1280"/>
      <c r="AP284" s="1280"/>
      <c r="AQ284" s="1280"/>
      <c r="AR284" s="1280"/>
      <c r="AS284" s="1280"/>
      <c r="AT284" s="4765">
        <f>_xlfn.SUMIFS('Корректировка НВВ'!$AG$25:$AG$180,'Корректировка НВВ'!$F$25:$F$180,$F284,'Корректировка НВВ'!$I$25:$I$180,$G284)</f>
        <v>0</v>
      </c>
      <c r="AU284" s="1280"/>
      <c r="AV284" s="1280"/>
      <c r="AW284" s="1280"/>
      <c r="AX284" s="1280"/>
      <c r="AY284" s="1280"/>
      <c r="AZ284" s="1280"/>
      <c r="BA284" s="1280"/>
      <c r="BB284" s="1280"/>
      <c r="BC284" s="1280"/>
      <c r="BD284" s="925"/>
      <c r="BE284" s="925"/>
      <c r="BF284" s="925"/>
      <c r="BG284" s="925"/>
      <c r="BH284" s="925"/>
      <c r="BI284" s="925"/>
      <c r="BJ284" s="925"/>
      <c r="BK284" s="925"/>
      <c r="BL284" s="925"/>
      <c r="BM284" s="925"/>
      <c r="BN284" s="1283"/>
      <c r="BO284" s="1281" t="str">
        <f>IF(_xlfn.IFERROR(INDEX('Корректировка НВВ'!$K$26:$L$180,MATCH($F284&amp;"3komm",'Корректировка НВВ'!$K$26:$K$180,0),2),"")=0,"",_xlfn.IFERROR(INDEX('Корректировка НВВ'!$K$26:$L$180,MATCH($F284&amp;"3komm",'Корректировка НВВ'!$K$26:$K$180,0),2),""))</f>
        <v/>
      </c>
      <c r="BP284" s="1283"/>
      <c r="BQ284" s="960"/>
      <c r="BR284" s="960"/>
      <c r="BS284" s="1048" t="s">
        <v>1249</v>
      </c>
      <c r="BT284" s="1048"/>
      <c r="BU284" s="1048"/>
      <c r="BV284" s="962"/>
      <c r="BW284" s="962"/>
    </row>
    <row s="1621" customFormat="1" customHeight="1" ht="54.75" hidden="1">
      <c r="A285" s="960"/>
      <c r="B285" s="418" cm="1" t="str">
        <f t="array" ref="B285:B285">B284</f>
        <v>false</v>
      </c>
      <c r="C285" s="960"/>
      <c r="D285" s="73" cm="1" t="str">
        <f t="array" ref="D285:D285">D284</f>
        <v>7</v>
      </c>
      <c r="E285" s="683">
        <v>56.25</v>
      </c>
      <c r="F285" s="50" cm="1" t="str">
        <f t="array" ref="F285:F285">OFFSET(E285,-1,1)</f>
        <v>1</v>
      </c>
      <c r="G285" s="124" t="s">
        <v>2043</v>
      </c>
      <c r="H285" s="49"/>
      <c r="I285" s="124" t="s">
        <v>762</v>
      </c>
      <c r="J285" s="960"/>
      <c r="K285" s="124" t="s">
        <v>762</v>
      </c>
      <c r="L285" s="963" t="s">
        <v>725</v>
      </c>
      <c r="M285" s="73"/>
      <c r="N285" s="960"/>
      <c r="O285" s="960"/>
      <c r="P285" s="960"/>
      <c r="Q285" s="960"/>
      <c r="R285" s="960"/>
      <c r="S285" s="960"/>
      <c r="T285" s="439" cm="1" t="str">
        <f t="array" ref="T285:T285">T284</f>
        <v>true</v>
      </c>
      <c r="U285" s="960"/>
      <c r="V285" s="960"/>
      <c r="W285" s="960"/>
      <c r="X285" s="1482"/>
      <c r="Y285" s="960"/>
      <c r="Z285" s="1465"/>
      <c r="AA285" s="960"/>
      <c r="AB285" s="267" t="str">
        <f>D285&amp;".5"</f>
        <v>7.5</v>
      </c>
      <c r="AC285" s="743" t="s">
        <v>1707</v>
      </c>
      <c r="AD285" s="747" t="s">
        <v>784</v>
      </c>
      <c r="AE285" s="1282"/>
      <c r="AF285" s="1282"/>
      <c r="AG285" s="1282"/>
      <c r="AH285" s="926">
        <f>AG285-AF285</f>
        <v>0</v>
      </c>
      <c r="AI285" s="1280"/>
      <c r="AJ285" s="4765">
        <f>_xlfn.SUMIFS('Корректировка НВВ'!$AF$25:$AF$180,'Корректировка НВВ'!$F$25:$F$180,$F285,'Корректировка НВВ'!$I$25:$I$180,$G285)</f>
        <v>0</v>
      </c>
      <c r="AK285" s="1280"/>
      <c r="AL285" s="1280"/>
      <c r="AM285" s="1280"/>
      <c r="AN285" s="1280"/>
      <c r="AO285" s="1280"/>
      <c r="AP285" s="1280"/>
      <c r="AQ285" s="1280"/>
      <c r="AR285" s="1280"/>
      <c r="AS285" s="1280"/>
      <c r="AT285" s="4765">
        <f>_xlfn.SUMIFS('Корректировка НВВ'!$AG$25:$AG$180,'Корректировка НВВ'!$F$25:$F$180,$F285,'Корректировка НВВ'!$I$25:$I$180,$G285)</f>
        <v>0</v>
      </c>
      <c r="AU285" s="1280"/>
      <c r="AV285" s="1280"/>
      <c r="AW285" s="1280"/>
      <c r="AX285" s="1280"/>
      <c r="AY285" s="1280"/>
      <c r="AZ285" s="1280"/>
      <c r="BA285" s="1280"/>
      <c r="BB285" s="1280"/>
      <c r="BC285" s="1280"/>
      <c r="BD285" s="925"/>
      <c r="BE285" s="925"/>
      <c r="BF285" s="925"/>
      <c r="BG285" s="925"/>
      <c r="BH285" s="925"/>
      <c r="BI285" s="925"/>
      <c r="BJ285" s="925"/>
      <c r="BK285" s="925"/>
      <c r="BL285" s="925"/>
      <c r="BM285" s="925"/>
      <c r="BN285" s="1283"/>
      <c r="BO285" s="1281" t="str">
        <f>IF(_xlfn.IFERROR(INDEX('Корректировка НВВ'!$K$26:$L$180,MATCH($F285&amp;"4komm",'Корректировка НВВ'!$K$26:$K$180,0),2),"")=0,"",_xlfn.IFERROR(INDEX('Корректировка НВВ'!$K$26:$L$180,MATCH($F285&amp;"4komm",'Корректировка НВВ'!$K$26:$K$180,0),2),""))</f>
        <v/>
      </c>
      <c r="BP285" s="1283"/>
      <c r="BQ285" s="960"/>
      <c r="BR285" s="960"/>
      <c r="BS285" s="1048" t="s">
        <v>1253</v>
      </c>
      <c r="BT285" s="1048"/>
      <c r="BU285" s="1048"/>
      <c r="BV285" s="962"/>
      <c r="BW285" s="962"/>
    </row>
    <row s="1621" customFormat="1" customHeight="1" ht="14.625">
      <c r="A286" s="960"/>
      <c r="B286" s="961"/>
      <c r="C286" s="960"/>
      <c r="D286" s="73" cm="1" t="str">
        <f t="array" ref="D286:D286">D285</f>
        <v>7</v>
      </c>
      <c r="E286" s="683">
        <v>15</v>
      </c>
      <c r="F286" s="50" cm="1" t="str">
        <f t="array" ref="F286:F286">OFFSET(E286,-1,1)</f>
        <v>1</v>
      </c>
      <c r="G286" s="124" t="s">
        <v>2044</v>
      </c>
      <c r="H286" s="960"/>
      <c r="I286" s="124" t="s">
        <v>763</v>
      </c>
      <c r="J286" s="960"/>
      <c r="K286" s="124" t="s">
        <v>763</v>
      </c>
      <c r="L286" s="963" t="s">
        <v>762</v>
      </c>
      <c r="M286" s="73"/>
      <c r="N286" s="960"/>
      <c r="O286" s="960"/>
      <c r="P286" s="960"/>
      <c r="Q286" s="960"/>
      <c r="R286" s="960"/>
      <c r="S286" s="960"/>
      <c r="T286" s="439" cm="1" t="str">
        <f t="array" ref="T286:T286">T285</f>
        <v>true</v>
      </c>
      <c r="U286" s="960"/>
      <c r="V286" s="960"/>
      <c r="W286" s="960"/>
      <c r="X286" s="1482"/>
      <c r="Y286" s="960"/>
      <c r="Z286" s="1465"/>
      <c r="AA286" s="960"/>
      <c r="AB286" s="267" t="str">
        <f>IF(B285,D286&amp;".6",D286&amp;".4")</f>
        <v>7.4</v>
      </c>
      <c r="AC286" s="743" t="s">
        <v>1466</v>
      </c>
      <c r="AD286" s="267" t="s">
        <v>784</v>
      </c>
      <c r="AE286" s="4759"/>
      <c r="AF286" s="4759"/>
      <c r="AG286" s="4759"/>
      <c r="AH286" s="926">
        <f>AG286-AF286</f>
        <v>0</v>
      </c>
      <c r="AI286" s="4765">
        <v>0</v>
      </c>
      <c r="AJ286" s="4765">
        <f>_xlfn.SUMIFS('Корректировка НВВ'!$AF$25:$AF$180,'Корректировка НВВ'!$F$25:$F$180,$F286,'Корректировка НВВ'!$I$25:$I$180,$G286)</f>
        <v>0</v>
      </c>
      <c r="AK286" s="1280"/>
      <c r="AL286" s="1280"/>
      <c r="AM286" s="4765"/>
      <c r="AN286" s="4765"/>
      <c r="AO286" s="4765"/>
      <c r="AP286" s="4765"/>
      <c r="AQ286" s="4765"/>
      <c r="AR286" s="4765"/>
      <c r="AS286" s="4765"/>
      <c r="AT286" s="4765">
        <f>_xlfn.SUMIFS('Корректировка НВВ'!$AG$25:$AG$180,'Корректировка НВВ'!$F$25:$F$180,$F286,'Корректировка НВВ'!$I$25:$I$180,$G286)</f>
        <v>0</v>
      </c>
      <c r="AU286" s="1280"/>
      <c r="AV286" s="1280"/>
      <c r="AW286" s="4765"/>
      <c r="AX286" s="4765"/>
      <c r="AY286" s="4765"/>
      <c r="AZ286" s="4765"/>
      <c r="BA286" s="4765"/>
      <c r="BB286" s="4765"/>
      <c r="BC286" s="4765"/>
      <c r="BD286" s="925"/>
      <c r="BE286" s="925"/>
      <c r="BF286" s="925"/>
      <c r="BG286" s="925"/>
      <c r="BH286" s="925"/>
      <c r="BI286" s="925"/>
      <c r="BJ286" s="925"/>
      <c r="BK286" s="925"/>
      <c r="BL286" s="925"/>
      <c r="BM286" s="925"/>
      <c r="BN286" s="4830"/>
      <c r="BO286" s="4784" t="str">
        <f>IF(_xlfn.IFERROR(INDEX('Корректировка НВВ'!$K$26:$L$180,MATCH($F286&amp;"5komm",'Корректировка НВВ'!$K$26:$K$180,0),2),"")=0,"",_xlfn.IFERROR(INDEX('Корректировка НВВ'!$K$26:$L$180,MATCH($F286&amp;"5komm",'Корректировка НВВ'!$K$26:$K$180,0),2),""))</f>
        <v/>
      </c>
      <c r="BP286" s="4830"/>
      <c r="BQ286" s="960"/>
      <c r="BR286" s="960"/>
      <c r="BS286" s="1048" t="s">
        <v>2045</v>
      </c>
      <c r="BT286" s="1048"/>
      <c r="BU286" s="1048"/>
      <c r="BV286" s="962"/>
      <c r="BW286" s="962"/>
    </row>
    <row s="1621" customFormat="1" customHeight="1" ht="14.625">
      <c r="A287" s="960"/>
      <c r="B287" s="961"/>
      <c r="C287" s="960"/>
      <c r="D287" s="73" cm="1" t="str">
        <f t="array" ref="D287:D287">D286</f>
        <v>7</v>
      </c>
      <c r="E287" s="683">
        <v>15</v>
      </c>
      <c r="F287" s="50" cm="1" t="str">
        <f t="array" ref="F287:F287">OFFSET(E287,-1,1)</f>
        <v>1</v>
      </c>
      <c r="G287" s="124" t="s">
        <v>2046</v>
      </c>
      <c r="H287" s="960"/>
      <c r="I287" s="124" t="s">
        <v>1717</v>
      </c>
      <c r="J287" s="960"/>
      <c r="K287" s="124" t="s">
        <v>1717</v>
      </c>
      <c r="L287" s="963" t="s">
        <v>763</v>
      </c>
      <c r="M287" s="73"/>
      <c r="N287" s="960"/>
      <c r="O287" s="960"/>
      <c r="P287" s="960"/>
      <c r="Q287" s="960"/>
      <c r="R287" s="960"/>
      <c r="S287" s="960"/>
      <c r="T287" s="439" cm="1" t="str">
        <f t="array" ref="T287:T287">T286</f>
        <v>true</v>
      </c>
      <c r="U287" s="960"/>
      <c r="V287" s="960"/>
      <c r="W287" s="960"/>
      <c r="X287" s="1482"/>
      <c r="Y287" s="960"/>
      <c r="Z287" s="1465"/>
      <c r="AA287" s="960"/>
      <c r="AB287" s="267" t="str">
        <f>IF(B285,D286&amp;".7",D286&amp;".5")</f>
        <v>7.5</v>
      </c>
      <c r="AC287" s="743" t="s">
        <v>1428</v>
      </c>
      <c r="AD287" s="267" t="s">
        <v>784</v>
      </c>
      <c r="AE287" s="4759">
        <v>306.2058428262</v>
      </c>
      <c r="AF287" s="4759">
        <f>AF288+AF289</f>
        <v>0</v>
      </c>
      <c r="AG287" s="4759">
        <f>AG288+AG289</f>
        <v>0</v>
      </c>
      <c r="AH287" s="926">
        <f>AG287-AF287</f>
        <v>0</v>
      </c>
      <c r="AI287" s="4765">
        <f>AI288+AI289</f>
        <v>0</v>
      </c>
      <c r="AJ287" s="4765">
        <f>_xlfn.SUMIFS('Корректировка НВВ'!$AF$25:$AF$180,'Корректировка НВВ'!$F$25:$F$180,$F287,'Корректировка НВВ'!$I$25:$I$180,$G287)</f>
        <v>0</v>
      </c>
      <c r="AK287" s="1280">
        <f>AK288+AK289</f>
        <v>0</v>
      </c>
      <c r="AL287" s="1280">
        <f>AL288+AL289</f>
        <v>0</v>
      </c>
      <c r="AM287" s="4765">
        <f>AM288+AM289</f>
        <v>0</v>
      </c>
      <c r="AN287" s="4765">
        <f>AN288+AN289</f>
        <v>0</v>
      </c>
      <c r="AO287" s="4765">
        <f>AO288+AO289</f>
        <v>0</v>
      </c>
      <c r="AP287" s="4765">
        <f>AP288+AP289</f>
        <v>0</v>
      </c>
      <c r="AQ287" s="4765">
        <f>AQ288+AQ289</f>
        <v>0</v>
      </c>
      <c r="AR287" s="4765">
        <f>AR288+AR289</f>
        <v>0</v>
      </c>
      <c r="AS287" s="4765">
        <f>AS288+AS289</f>
        <v>0</v>
      </c>
      <c r="AT287" s="4765">
        <f>_xlfn.SUMIFS('Корректировка НВВ'!$AG$25:$AG$180,'Корректировка НВВ'!$F$25:$F$180,$F287,'Корректировка НВВ'!$I$25:$I$180,$G287)</f>
        <v>0</v>
      </c>
      <c r="AU287" s="1280">
        <f>AU288+AU289</f>
        <v>0</v>
      </c>
      <c r="AV287" s="1280">
        <f>AV288+AV289</f>
        <v>0</v>
      </c>
      <c r="AW287" s="4765">
        <f>AW288+AW289</f>
        <v>0</v>
      </c>
      <c r="AX287" s="4765">
        <f>AX288+AX289</f>
        <v>0</v>
      </c>
      <c r="AY287" s="4765">
        <f>AY288+AY289</f>
        <v>0</v>
      </c>
      <c r="AZ287" s="4765">
        <f>AZ288+AZ289</f>
        <v>0</v>
      </c>
      <c r="BA287" s="4765">
        <f>BA288+BA289</f>
        <v>0</v>
      </c>
      <c r="BB287" s="4765">
        <f>BB288+BB289</f>
        <v>0</v>
      </c>
      <c r="BC287" s="4765">
        <f>BC288+BC289</f>
        <v>0</v>
      </c>
      <c r="BD287" s="926">
        <f>IF(AI287=0,0,(AT287-AI287)/AI287*100)</f>
        <v>0</v>
      </c>
      <c r="BE287" s="926">
        <f>IF(AT287=0,0,(AU287-AT287)/AT287*100)</f>
        <v>0</v>
      </c>
      <c r="BF287" s="926">
        <f>IF(AU287=0,0,(AV287-AU287)/AU287*100)</f>
        <v>0</v>
      </c>
      <c r="BG287" s="926">
        <f>IF(AV287=0,0,(AW287-AV287)/AV287*100)</f>
        <v>0</v>
      </c>
      <c r="BH287" s="926">
        <f>IF(AW287=0,0,(AX287-AW287)/AW287*100)</f>
        <v>0</v>
      </c>
      <c r="BI287" s="926">
        <f>IF(AX287=0,0,(AY287-AX287)/AX287*100)</f>
        <v>0</v>
      </c>
      <c r="BJ287" s="926">
        <f>IF(AY287=0,0,(AZ287-AY287)/AY287*100)</f>
        <v>0</v>
      </c>
      <c r="BK287" s="926">
        <f>IF(AZ287=0,0,(BA287-AZ287)/AZ287*100)</f>
        <v>0</v>
      </c>
      <c r="BL287" s="926">
        <f>IF(BA287=0,0,(BB287-BA287)/BA287*100)</f>
        <v>0</v>
      </c>
      <c r="BM287" s="926">
        <f>IF(BB287=0,0,(BC287-BB287)/BB287*100)</f>
        <v>0</v>
      </c>
      <c r="BN287" s="4830"/>
      <c r="BO287" s="4784" t="str">
        <f>IF(_xlfn.IFERROR(INDEX('Корректировка НВВ'!$K$26:$L$180,MATCH($F287&amp;"6komm",'Корректировка НВВ'!$K$26:$K$180,0),2),"")=0,"",_xlfn.IFERROR(INDEX('Корректировка НВВ'!$K$26:$L$180,MATCH($F287&amp;"6komm",'Корректировка НВВ'!$K$26:$K$180,0),2),""))</f>
        <v/>
      </c>
      <c r="BP287" s="4830"/>
      <c r="BQ287" s="960"/>
      <c r="BR287" s="960"/>
      <c r="BS287" s="1048" t="s">
        <v>1430</v>
      </c>
      <c r="BT287" s="1048"/>
      <c r="BU287" s="1048"/>
      <c r="BV287" s="962"/>
      <c r="BW287" s="962"/>
    </row>
    <row s="1621" customFormat="1" customHeight="1" ht="21.9375">
      <c r="A288" s="960"/>
      <c r="B288" s="961"/>
      <c r="C288" s="960"/>
      <c r="D288" s="73" cm="1" t="str">
        <f t="array" ref="D288:D288">D287</f>
        <v>7</v>
      </c>
      <c r="E288" s="683">
        <v>22.5</v>
      </c>
      <c r="F288" s="50" cm="1" t="str">
        <f t="array" ref="F288:F288">OFFSET(E288,-1,1)</f>
        <v>1</v>
      </c>
      <c r="G288" s="124" t="s">
        <v>2047</v>
      </c>
      <c r="H288" s="960"/>
      <c r="I288" s="124" t="s">
        <v>2048</v>
      </c>
      <c r="J288" s="960"/>
      <c r="K288" s="124" t="s">
        <v>2048</v>
      </c>
      <c r="L288" s="963" t="s">
        <v>1712</v>
      </c>
      <c r="M288" s="73"/>
      <c r="N288" s="960"/>
      <c r="O288" s="960"/>
      <c r="P288" s="960"/>
      <c r="Q288" s="960"/>
      <c r="R288" s="960"/>
      <c r="S288" s="960"/>
      <c r="T288" s="439" cm="1" t="str">
        <f t="array" ref="T288:T288">T287</f>
        <v>true</v>
      </c>
      <c r="U288" s="960"/>
      <c r="V288" s="960"/>
      <c r="W288" s="960"/>
      <c r="X288" s="1482"/>
      <c r="Y288" s="960"/>
      <c r="Z288" s="1465"/>
      <c r="AA288" s="960"/>
      <c r="AB288" s="267" t="str">
        <f>AB287&amp;".1"</f>
        <v>7.5.1</v>
      </c>
      <c r="AC288" s="762" t="s">
        <v>1431</v>
      </c>
      <c r="AD288" s="267" t="s">
        <v>784</v>
      </c>
      <c r="AE288" s="4759">
        <v>306.2058428262</v>
      </c>
      <c r="AF288" s="4759"/>
      <c r="AG288" s="4759"/>
      <c r="AH288" s="926">
        <f>AG288-AF288</f>
        <v>0</v>
      </c>
      <c r="AI288" s="4765"/>
      <c r="AJ288" s="4765">
        <f>_xlfn.SUMIFS('Корректировка НВВ'!$AF$25:$AF$180,'Корректировка НВВ'!$F$25:$F$180,$F288,'Корректировка НВВ'!$I$25:$I$180,$G288)</f>
        <v>0</v>
      </c>
      <c r="AK288" s="1280"/>
      <c r="AL288" s="1280"/>
      <c r="AM288" s="4765"/>
      <c r="AN288" s="4765"/>
      <c r="AO288" s="4765"/>
      <c r="AP288" s="4765"/>
      <c r="AQ288" s="4765"/>
      <c r="AR288" s="4765"/>
      <c r="AS288" s="4765"/>
      <c r="AT288" s="4765">
        <f>_xlfn.SUMIFS('Корректировка НВВ'!$AG$25:$AG$180,'Корректировка НВВ'!$F$25:$F$180,$F288,'Корректировка НВВ'!$I$25:$I$180,$G288)</f>
        <v>0</v>
      </c>
      <c r="AU288" s="1280"/>
      <c r="AV288" s="1280"/>
      <c r="AW288" s="4765"/>
      <c r="AX288" s="4765"/>
      <c r="AY288" s="4765"/>
      <c r="AZ288" s="4765"/>
      <c r="BA288" s="4765"/>
      <c r="BB288" s="4765"/>
      <c r="BC288" s="4765"/>
      <c r="BD288" s="925"/>
      <c r="BE288" s="925"/>
      <c r="BF288" s="925"/>
      <c r="BG288" s="925"/>
      <c r="BH288" s="925"/>
      <c r="BI288" s="925"/>
      <c r="BJ288" s="925"/>
      <c r="BK288" s="925"/>
      <c r="BL288" s="925"/>
      <c r="BM288" s="925"/>
      <c r="BN288" s="4830"/>
      <c r="BO288" s="4784" t="str">
        <f>IF(_xlfn.IFERROR(INDEX('Корректировка НВВ'!$K$26:$L$180,MATCH($F288&amp;"7komm",'Корректировка НВВ'!$K$26:$K$180,0),2),"")=0,"",_xlfn.IFERROR(INDEX('Корректировка НВВ'!$K$26:$L$180,MATCH($F288&amp;"7komm",'Корректировка НВВ'!$K$26:$K$180,0),2),""))</f>
        <v/>
      </c>
      <c r="BP288" s="4830"/>
      <c r="BQ288" s="960"/>
      <c r="BR288" s="960"/>
      <c r="BS288" s="1048" t="s">
        <v>1432</v>
      </c>
      <c r="BT288" s="1048"/>
      <c r="BU288" s="1048"/>
      <c r="BV288" s="962"/>
      <c r="BW288" s="962"/>
    </row>
    <row s="1621" customFormat="1" customHeight="1" ht="21.9375">
      <c r="A289" s="960"/>
      <c r="B289" s="961"/>
      <c r="C289" s="960"/>
      <c r="D289" s="73" cm="1" t="str">
        <f t="array" ref="D289:D289">D288</f>
        <v>7</v>
      </c>
      <c r="E289" s="683">
        <v>22.5</v>
      </c>
      <c r="F289" s="50" cm="1" t="str">
        <f t="array" ref="F289:F289">OFFSET(E289,-1,1)</f>
        <v>1</v>
      </c>
      <c r="G289" s="124" t="s">
        <v>2049</v>
      </c>
      <c r="H289" s="960"/>
      <c r="I289" s="124" t="s">
        <v>2050</v>
      </c>
      <c r="J289" s="960"/>
      <c r="K289" s="124" t="s">
        <v>2050</v>
      </c>
      <c r="L289" s="963" t="s">
        <v>1714</v>
      </c>
      <c r="M289" s="73"/>
      <c r="N289" s="960"/>
      <c r="O289" s="960"/>
      <c r="P289" s="960"/>
      <c r="Q289" s="960"/>
      <c r="R289" s="960"/>
      <c r="S289" s="960"/>
      <c r="T289" s="439" cm="1" t="str">
        <f t="array" ref="T289:T289">T288</f>
        <v>true</v>
      </c>
      <c r="U289" s="960"/>
      <c r="V289" s="960"/>
      <c r="W289" s="960"/>
      <c r="X289" s="1482"/>
      <c r="Y289" s="960"/>
      <c r="Z289" s="1465"/>
      <c r="AA289" s="960"/>
      <c r="AB289" s="267" t="str">
        <f>AB287&amp;".2"</f>
        <v>7.5.2</v>
      </c>
      <c r="AC289" s="762" t="s">
        <v>1433</v>
      </c>
      <c r="AD289" s="267" t="s">
        <v>784</v>
      </c>
      <c r="AE289" s="4759"/>
      <c r="AF289" s="4759"/>
      <c r="AG289" s="4759"/>
      <c r="AH289" s="926">
        <f>AG289-AF289</f>
        <v>0</v>
      </c>
      <c r="AI289" s="4765">
        <v>0</v>
      </c>
      <c r="AJ289" s="4765">
        <f>_xlfn.SUMIFS('Корректировка НВВ'!$AF$25:$AF$180,'Корректировка НВВ'!$F$25:$F$180,$F289,'Корректировка НВВ'!$I$25:$I$180,$G289)</f>
        <v>0</v>
      </c>
      <c r="AK289" s="1280"/>
      <c r="AL289" s="1280"/>
      <c r="AM289" s="4765"/>
      <c r="AN289" s="4765"/>
      <c r="AO289" s="4765"/>
      <c r="AP289" s="4765"/>
      <c r="AQ289" s="4765"/>
      <c r="AR289" s="4765"/>
      <c r="AS289" s="4765"/>
      <c r="AT289" s="4765">
        <f>_xlfn.SUMIFS('Корректировка НВВ'!$AG$25:$AG$180,'Корректировка НВВ'!$F$25:$F$180,$F289,'Корректировка НВВ'!$I$25:$I$180,$G289)</f>
        <v>0</v>
      </c>
      <c r="AU289" s="1280"/>
      <c r="AV289" s="1280"/>
      <c r="AW289" s="4765"/>
      <c r="AX289" s="4765"/>
      <c r="AY289" s="4765"/>
      <c r="AZ289" s="4765"/>
      <c r="BA289" s="4765"/>
      <c r="BB289" s="4765"/>
      <c r="BC289" s="4765"/>
      <c r="BD289" s="925"/>
      <c r="BE289" s="925"/>
      <c r="BF289" s="925"/>
      <c r="BG289" s="925"/>
      <c r="BH289" s="925"/>
      <c r="BI289" s="925"/>
      <c r="BJ289" s="925"/>
      <c r="BK289" s="925"/>
      <c r="BL289" s="925"/>
      <c r="BM289" s="925"/>
      <c r="BN289" s="4830"/>
      <c r="BO289" s="4784" t="str">
        <f>IF(_xlfn.IFERROR(INDEX('Корректировка НВВ'!$K$26:$L$180,MATCH($F289&amp;"8komm",'Корректировка НВВ'!$K$26:$K$180,0),2),"")=0,"",_xlfn.IFERROR(INDEX('Корректировка НВВ'!$K$26:$L$180,MATCH($F289&amp;"8komm",'Корректировка НВВ'!$K$26:$K$180,0),2),""))</f>
        <v/>
      </c>
      <c r="BP289" s="4830"/>
      <c r="BQ289" s="960"/>
      <c r="BR289" s="960"/>
      <c r="BS289" s="1048" t="s">
        <v>1434</v>
      </c>
      <c r="BT289" s="1048"/>
      <c r="BU289" s="1048"/>
      <c r="BV289" s="962"/>
      <c r="BW289" s="962"/>
    </row>
    <row s="1621" customFormat="1" customHeight="1" ht="14.625">
      <c r="A290" s="960"/>
      <c r="B290" s="961"/>
      <c r="C290" s="960"/>
      <c r="D290" s="73" cm="1" t="str">
        <f t="array" ref="D290:D290">D289</f>
        <v>7</v>
      </c>
      <c r="E290" s="683">
        <v>15</v>
      </c>
      <c r="F290" s="50" cm="1" t="str">
        <f t="array" ref="F290:F290">OFFSET(E290,-1,1)</f>
        <v>1</v>
      </c>
      <c r="G290" s="124" t="s">
        <v>312</v>
      </c>
      <c r="H290" s="960"/>
      <c r="I290" s="124" t="s">
        <v>1718</v>
      </c>
      <c r="J290" s="960"/>
      <c r="K290" s="124" t="s">
        <v>1718</v>
      </c>
      <c r="L290" s="963" t="s">
        <v>1717</v>
      </c>
      <c r="M290" s="73"/>
      <c r="N290" s="960"/>
      <c r="O290" s="960"/>
      <c r="P290" s="960"/>
      <c r="Q290" s="960"/>
      <c r="R290" s="960"/>
      <c r="S290" s="960"/>
      <c r="T290" s="439" cm="1" t="str">
        <f t="array" ref="T290:T290">T289</f>
        <v>true</v>
      </c>
      <c r="U290" s="960"/>
      <c r="V290" s="960"/>
      <c r="W290" s="960"/>
      <c r="X290" s="1482"/>
      <c r="Y290" s="960"/>
      <c r="Z290" s="1465"/>
      <c r="AA290" s="960"/>
      <c r="AB290" s="267" t="str">
        <f>IF(B285,D286&amp;".8",D286&amp;".6")</f>
        <v>7.6</v>
      </c>
      <c r="AC290" s="763" t="s">
        <v>1435</v>
      </c>
      <c r="AD290" s="267" t="s">
        <v>784</v>
      </c>
      <c r="AE290" s="4759"/>
      <c r="AF290" s="4759"/>
      <c r="AG290" s="4759"/>
      <c r="AH290" s="926">
        <f>AG290-AF290</f>
        <v>0</v>
      </c>
      <c r="AI290" s="4765">
        <v>0</v>
      </c>
      <c r="AJ290" s="4765">
        <f>_xlfn.SUMIFS('Корректировка НВВ'!$AF$25:$AF$180,'Корректировка НВВ'!$F$25:$F$180,$F290,'Корректировка НВВ'!$I$25:$I$180,$G290)</f>
        <v>0</v>
      </c>
      <c r="AK290" s="1280"/>
      <c r="AL290" s="1280"/>
      <c r="AM290" s="4765"/>
      <c r="AN290" s="4765"/>
      <c r="AO290" s="4765"/>
      <c r="AP290" s="4765"/>
      <c r="AQ290" s="4765"/>
      <c r="AR290" s="4765"/>
      <c r="AS290" s="4765"/>
      <c r="AT290" s="4765">
        <f>_xlfn.SUMIFS('Корректировка НВВ'!$AG$25:$AG$180,'Корректировка НВВ'!$F$25:$F$180,$F290,'Корректировка НВВ'!$I$25:$I$180,$G290)</f>
        <v>0</v>
      </c>
      <c r="AU290" s="1280"/>
      <c r="AV290" s="1280"/>
      <c r="AW290" s="4765"/>
      <c r="AX290" s="4765"/>
      <c r="AY290" s="4765"/>
      <c r="AZ290" s="4765"/>
      <c r="BA290" s="4765"/>
      <c r="BB290" s="4765"/>
      <c r="BC290" s="4765"/>
      <c r="BD290" s="925"/>
      <c r="BE290" s="925"/>
      <c r="BF290" s="925"/>
      <c r="BG290" s="925"/>
      <c r="BH290" s="925"/>
      <c r="BI290" s="925"/>
      <c r="BJ290" s="925"/>
      <c r="BK290" s="925"/>
      <c r="BL290" s="925"/>
      <c r="BM290" s="925"/>
      <c r="BN290" s="4830"/>
      <c r="BO290" s="4784" t="str">
        <f>IF(_xlfn.IFERROR(INDEX('Корректировка НВВ'!$K$26:$L$180,MATCH($F290&amp;"9komm",'Корректировка НВВ'!$K$26:$K$180,0),2),"")=0,"",_xlfn.IFERROR(INDEX('Корректировка НВВ'!$K$26:$L$180,MATCH($F290&amp;"9komm",'Корректировка НВВ'!$K$26:$K$180,0),2),""))</f>
        <v/>
      </c>
      <c r="BP290" s="4830"/>
      <c r="BQ290" s="960"/>
      <c r="BR290" s="960"/>
      <c r="BS290" s="1048" t="s">
        <v>2051</v>
      </c>
      <c r="BT290" s="1048"/>
      <c r="BU290" s="1048"/>
      <c r="BV290" s="962"/>
      <c r="BW290" s="962"/>
    </row>
    <row s="1621" customFormat="1" customHeight="1" ht="14.625">
      <c r="A291" s="960"/>
      <c r="B291" s="961"/>
      <c r="C291" s="960"/>
      <c r="D291" s="73" cm="1" t="str">
        <f t="array" ref="D291:D291">D290</f>
        <v>7</v>
      </c>
      <c r="E291" s="683">
        <v>15</v>
      </c>
      <c r="F291" s="50" cm="1" t="str">
        <f t="array" ref="F291:F291">OFFSET(E291,-1,1)</f>
        <v>1</v>
      </c>
      <c r="G291" s="124" t="s">
        <v>2052</v>
      </c>
      <c r="H291" s="960"/>
      <c r="I291" s="124" t="s">
        <v>1720</v>
      </c>
      <c r="J291" s="960"/>
      <c r="K291" s="124" t="s">
        <v>1720</v>
      </c>
      <c r="L291" s="963" t="s">
        <v>1718</v>
      </c>
      <c r="M291" s="73"/>
      <c r="N291" s="960"/>
      <c r="O291" s="960"/>
      <c r="P291" s="960"/>
      <c r="Q291" s="960"/>
      <c r="R291" s="960"/>
      <c r="S291" s="960"/>
      <c r="T291" s="439" cm="1" t="str">
        <f t="array" ref="T291:T291">T290</f>
        <v>true</v>
      </c>
      <c r="U291" s="960"/>
      <c r="V291" s="960"/>
      <c r="W291" s="960"/>
      <c r="X291" s="1482"/>
      <c r="Y291" s="960"/>
      <c r="Z291" s="1465"/>
      <c r="AA291" s="960"/>
      <c r="AB291" s="267" t="str">
        <f>IF(B285,D286&amp;".9",D286&amp;".7")</f>
        <v>7.7</v>
      </c>
      <c r="AC291" s="763" t="s">
        <v>1437</v>
      </c>
      <c r="AD291" s="267" t="s">
        <v>784</v>
      </c>
      <c r="AE291" s="4759"/>
      <c r="AF291" s="4759"/>
      <c r="AG291" s="4759"/>
      <c r="AH291" s="926">
        <f>AG291-AF291</f>
        <v>0</v>
      </c>
      <c r="AI291" s="4765">
        <v>0</v>
      </c>
      <c r="AJ291" s="4765">
        <f>_xlfn.SUMIFS('Корректировка НВВ'!$AF$25:$AF$180,'Корректировка НВВ'!$F$25:$F$180,$F291,'Корректировка НВВ'!$I$25:$I$180,$G291)</f>
        <v>0</v>
      </c>
      <c r="AK291" s="1280"/>
      <c r="AL291" s="1280"/>
      <c r="AM291" s="4765"/>
      <c r="AN291" s="4765"/>
      <c r="AO291" s="4765"/>
      <c r="AP291" s="4765"/>
      <c r="AQ291" s="4765"/>
      <c r="AR291" s="4765"/>
      <c r="AS291" s="4765"/>
      <c r="AT291" s="4765">
        <f>_xlfn.SUMIFS('Корректировка НВВ'!$AG$25:$AG$180,'Корректировка НВВ'!$F$25:$F$180,$F291,'Корректировка НВВ'!$I$25:$I$180,$G291)</f>
        <v>0</v>
      </c>
      <c r="AU291" s="1280"/>
      <c r="AV291" s="1280"/>
      <c r="AW291" s="4765"/>
      <c r="AX291" s="4765"/>
      <c r="AY291" s="4765"/>
      <c r="AZ291" s="4765"/>
      <c r="BA291" s="4765"/>
      <c r="BB291" s="4765"/>
      <c r="BC291" s="4765"/>
      <c r="BD291" s="925"/>
      <c r="BE291" s="925"/>
      <c r="BF291" s="925"/>
      <c r="BG291" s="925"/>
      <c r="BH291" s="925"/>
      <c r="BI291" s="925"/>
      <c r="BJ291" s="925"/>
      <c r="BK291" s="925"/>
      <c r="BL291" s="925"/>
      <c r="BM291" s="925"/>
      <c r="BN291" s="4830"/>
      <c r="BO291" s="4784" t="str">
        <f>IF(_xlfn.IFERROR(INDEX('Корректировка НВВ'!$K$26:$L$180,MATCH($F291&amp;"10komm",'Корректировка НВВ'!$K$26:$K$180,0),2),"")=0,"",_xlfn.IFERROR(INDEX('Корректировка НВВ'!$K$26:$L$180,MATCH($F291&amp;"10komm",'Корректировка НВВ'!$K$26:$K$180,0),2),""))</f>
        <v/>
      </c>
      <c r="BP291" s="4830"/>
      <c r="BQ291" s="960"/>
      <c r="BR291" s="960"/>
      <c r="BS291" s="1048" t="s">
        <v>1438</v>
      </c>
      <c r="BT291" s="1048"/>
      <c r="BU291" s="1048"/>
      <c r="BV291" s="962"/>
      <c r="BW291" s="962"/>
    </row>
    <row s="4839" customFormat="1" customHeight="1" ht="222.75">
      <c r="A292" s="680"/>
      <c r="B292" s="408"/>
      <c r="C292" s="680"/>
      <c r="D292" s="75">
        <f>D291+1</f>
        <v>8</v>
      </c>
      <c r="E292" s="687">
        <v>21</v>
      </c>
      <c r="F292" s="50" cm="1" t="str">
        <f t="array" ref="F292:F292">OFFSET(E292,-1,1)</f>
        <v>1</v>
      </c>
      <c r="G292" s="680"/>
      <c r="H292" s="680"/>
      <c r="I292" s="128" t="s">
        <v>564</v>
      </c>
      <c r="J292" s="680"/>
      <c r="K292" s="128" t="s">
        <v>564</v>
      </c>
      <c r="L292" s="968"/>
      <c r="M292" s="75"/>
      <c r="N292" s="680"/>
      <c r="O292" s="680"/>
      <c r="P292" s="680"/>
      <c r="Q292" s="680"/>
      <c r="R292" s="680"/>
      <c r="S292" s="680"/>
      <c r="T292" s="439" cm="1" t="str">
        <f t="array" ref="T292:T292">T291</f>
        <v>true</v>
      </c>
      <c r="U292" s="680"/>
      <c r="V292" s="680"/>
      <c r="W292" s="680"/>
      <c r="X292" s="1482"/>
      <c r="Y292" s="680"/>
      <c r="Z292" s="1465"/>
      <c r="AA292" s="680"/>
      <c r="AB292" s="178" cm="1" t="str">
        <f t="array" ref="AB292:AB292">D292</f>
        <v>8</v>
      </c>
      <c r="AC292" s="179" t="s">
        <v>2053</v>
      </c>
      <c r="AD292" s="178" t="s">
        <v>784</v>
      </c>
      <c r="AE292" s="4606">
        <v>-19.58</v>
      </c>
      <c r="AF292" s="4606"/>
      <c r="AG292" s="4606"/>
      <c r="AH292" s="742">
        <f>AG292-AF292</f>
        <v>0</v>
      </c>
      <c r="AI292" s="4595">
        <v>-365.66</v>
      </c>
      <c r="AJ292" s="4595"/>
      <c r="AK292" s="1273"/>
      <c r="AL292" s="1273"/>
      <c r="AM292" s="4595"/>
      <c r="AN292" s="4595"/>
      <c r="AO292" s="4595"/>
      <c r="AP292" s="4595"/>
      <c r="AQ292" s="4595"/>
      <c r="AR292" s="4595"/>
      <c r="AS292" s="4595"/>
      <c r="AT292" s="4595">
        <v>37.7</v>
      </c>
      <c r="AU292" s="1273"/>
      <c r="AV292" s="1273"/>
      <c r="AW292" s="4595"/>
      <c r="AX292" s="4595"/>
      <c r="AY292" s="4595"/>
      <c r="AZ292" s="4595"/>
      <c r="BA292" s="4595"/>
      <c r="BB292" s="4595"/>
      <c r="BC292" s="4595"/>
      <c r="BD292" s="745"/>
      <c r="BE292" s="745"/>
      <c r="BF292" s="745"/>
      <c r="BG292" s="745"/>
      <c r="BH292" s="745"/>
      <c r="BI292" s="745"/>
      <c r="BJ292" s="745"/>
      <c r="BK292" s="745"/>
      <c r="BL292" s="745"/>
      <c r="BM292" s="745"/>
      <c r="BN292" s="4618"/>
      <c r="BO292" s="4618" t="s">
        <v>2085</v>
      </c>
      <c r="BP292" s="4618" t="s">
        <v>2095</v>
      </c>
      <c r="BQ292" s="680"/>
      <c r="BR292" s="680"/>
      <c r="BS292" s="1054" t="s">
        <v>2054</v>
      </c>
      <c r="BT292" s="1054"/>
      <c r="BU292" s="1054"/>
      <c r="BV292" s="687"/>
      <c r="BW292" s="687"/>
    </row>
    <row s="1621" customFormat="1" customHeight="1" ht="14.25">
      <c r="A293" s="960"/>
      <c r="B293" s="961"/>
      <c r="C293" s="960"/>
      <c r="D293" s="75" cm="1" t="str">
        <f t="array" ref="D293:D293">D292</f>
        <v>8</v>
      </c>
      <c r="E293" s="683">
        <v>15</v>
      </c>
      <c r="F293" s="50" cm="1" t="str">
        <f t="array" ref="F293:F293">OFFSET(E293,-1,1)</f>
        <v>1</v>
      </c>
      <c r="G293" s="960"/>
      <c r="H293" s="960"/>
      <c r="I293" s="124" t="s">
        <v>568</v>
      </c>
      <c r="J293" s="960"/>
      <c r="K293" s="124" t="s">
        <v>568</v>
      </c>
      <c r="L293" s="963"/>
      <c r="M293" s="73"/>
      <c r="N293" s="960"/>
      <c r="O293" s="960"/>
      <c r="P293" s="960"/>
      <c r="Q293" s="960"/>
      <c r="R293" s="960"/>
      <c r="S293" s="960"/>
      <c r="T293" s="439" cm="1" t="str">
        <f t="array" ref="T293:T293">T292</f>
        <v>true</v>
      </c>
      <c r="U293" s="960"/>
      <c r="V293" s="960"/>
      <c r="W293" s="960"/>
      <c r="X293" s="1482"/>
      <c r="Y293" s="960"/>
      <c r="Z293" s="1465"/>
      <c r="AA293" s="960"/>
      <c r="AB293" s="267" t="str">
        <f>D293&amp;".1"</f>
        <v>8.1</v>
      </c>
      <c r="AC293" s="743" t="s">
        <v>2055</v>
      </c>
      <c r="AD293" s="267" t="s">
        <v>437</v>
      </c>
      <c r="AE293" s="226">
        <f>IF(AE294=0,0,AE292/(AE294+AE279)*100)</f>
        <v>-0.325469673273939</v>
      </c>
      <c r="AF293" s="226">
        <f>IF(AF294=0,0,AF292/(AF294+AF279)*100)</f>
        <v>0</v>
      </c>
      <c r="AG293" s="226">
        <f>IF(AG294=0,0,AG292/(AG294+AG279)*100)</f>
        <v>0</v>
      </c>
      <c r="AH293" s="926">
        <f>AG293-AF293</f>
        <v>0</v>
      </c>
      <c r="AI293" s="926">
        <f>IF(AI294=0,0,AI292/(AI294+AI279)*100)</f>
        <v>-6.00231413797373</v>
      </c>
      <c r="AJ293" s="926">
        <f>IF(AJ294=0,0,AJ292/(AJ294+AJ279)*100)</f>
        <v>0</v>
      </c>
      <c r="AK293" s="926">
        <f>IF(AK294=0,0,AK292/(AK294+AK279)*100)</f>
        <v>0</v>
      </c>
      <c r="AL293" s="926">
        <f>IF(AL294=0,0,AL292/(AL294+AL279)*100)</f>
        <v>0</v>
      </c>
      <c r="AM293" s="926">
        <f>IF(AM294=0,0,AM292/(AM294+AM279)*100)</f>
        <v>0</v>
      </c>
      <c r="AN293" s="926">
        <f>IF(AN294=0,0,AN292/(AN294+AN279)*100)</f>
        <v>0</v>
      </c>
      <c r="AO293" s="926">
        <f>IF(AO294=0,0,AO292/(AO294+AO279)*100)</f>
        <v>0</v>
      </c>
      <c r="AP293" s="926">
        <f>IF(AP294=0,0,AP292/(AP294+AP279)*100)</f>
        <v>0</v>
      </c>
      <c r="AQ293" s="926">
        <f>IF(AQ294=0,0,AQ292/(AQ294+AQ279)*100)</f>
        <v>0</v>
      </c>
      <c r="AR293" s="926">
        <f>IF(AR294=0,0,AR292/(AR294+AR279)*100)</f>
        <v>0</v>
      </c>
      <c r="AS293" s="926">
        <f>IF(AS294=0,0,AS292/(AS294+AS279)*100)</f>
        <v>0</v>
      </c>
      <c r="AT293" s="926">
        <f>IF(AT294=0,0,AT292/(AT294+AT279)*100)</f>
        <v>0.543315779459509</v>
      </c>
      <c r="AU293" s="926">
        <f>IF(AU294=0,0,AU292/(AU294+AU279)*100)</f>
        <v>0</v>
      </c>
      <c r="AV293" s="926">
        <f>IF(AV294=0,0,AV292/(AV294+AV279)*100)</f>
        <v>0</v>
      </c>
      <c r="AW293" s="926">
        <f>IF(AW294=0,0,AW292/(AW294+AW279)*100)</f>
        <v>0</v>
      </c>
      <c r="AX293" s="926">
        <f>IF(AX294=0,0,AX292/(AX294+AX279)*100)</f>
        <v>0</v>
      </c>
      <c r="AY293" s="926">
        <f>IF(AY294=0,0,AY292/(AY294+AY279)*100)</f>
        <v>0</v>
      </c>
      <c r="AZ293" s="926">
        <f>IF(AZ294=0,0,AZ292/(AZ294+AZ279)*100)</f>
        <v>0</v>
      </c>
      <c r="BA293" s="926">
        <f>IF(BA294=0,0,BA292/(BA294+BA279)*100)</f>
        <v>0</v>
      </c>
      <c r="BB293" s="926">
        <f>IF(BB294=0,0,BB292/(BB294+BB279)*100)</f>
        <v>0</v>
      </c>
      <c r="BC293" s="926">
        <f>IF(BC294=0,0,BC292/(BC294+BC279)*100)</f>
        <v>0</v>
      </c>
      <c r="BD293" s="925"/>
      <c r="BE293" s="925"/>
      <c r="BF293" s="925"/>
      <c r="BG293" s="925"/>
      <c r="BH293" s="925"/>
      <c r="BI293" s="925"/>
      <c r="BJ293" s="925"/>
      <c r="BK293" s="925"/>
      <c r="BL293" s="925"/>
      <c r="BM293" s="925"/>
      <c r="BN293" s="4830"/>
      <c r="BO293" s="4830"/>
      <c r="BP293" s="4830"/>
      <c r="BQ293" s="960"/>
      <c r="BR293" s="960"/>
      <c r="BS293" s="1048" t="s">
        <v>2056</v>
      </c>
      <c r="BT293" s="1048"/>
      <c r="BU293" s="1048"/>
      <c r="BV293" s="962"/>
      <c r="BW293" s="962"/>
    </row>
    <row s="4840" customFormat="1" customHeight="1" ht="20.25">
      <c r="A294" s="680"/>
      <c r="B294" s="408"/>
      <c r="C294" s="680"/>
      <c r="D294" s="75">
        <f>D293+1</f>
        <v>9</v>
      </c>
      <c r="E294" s="687">
        <v>21</v>
      </c>
      <c r="F294" s="50" cm="1" t="str">
        <f t="array" ref="F294:F294">OFFSET(E294,-1,1)</f>
        <v>1</v>
      </c>
      <c r="G294" s="680"/>
      <c r="H294" s="124"/>
      <c r="I294" s="124" t="s">
        <v>722</v>
      </c>
      <c r="J294" s="680"/>
      <c r="K294" s="124" t="s">
        <v>722</v>
      </c>
      <c r="L294" s="968" t="s">
        <v>1720</v>
      </c>
      <c r="M294" s="75"/>
      <c r="N294" s="680"/>
      <c r="O294" s="680"/>
      <c r="P294" s="680"/>
      <c r="Q294" s="680"/>
      <c r="R294" s="680"/>
      <c r="S294" s="680"/>
      <c r="T294" s="439" cm="1" t="str">
        <f t="array" ref="T294:T294">T293</f>
        <v>true</v>
      </c>
      <c r="U294" s="680"/>
      <c r="V294" s="680"/>
      <c r="W294" s="680"/>
      <c r="X294" s="1482"/>
      <c r="Y294" s="680"/>
      <c r="Z294" s="1465"/>
      <c r="AA294" s="680"/>
      <c r="AB294" s="178" cm="1" t="str">
        <f t="array" ref="AB294:AB294">D294</f>
        <v>9</v>
      </c>
      <c r="AC294" s="179" t="s">
        <v>1722</v>
      </c>
      <c r="AD294" s="201" t="s">
        <v>784</v>
      </c>
      <c r="AE294" s="180">
        <f>AE172+AE222+AE258+AE259+AE261+AE266+AE267+AE270</f>
        <v>6322.1273273204</v>
      </c>
      <c r="AF294" s="180">
        <f>AF172+AF222+AF258+AF259+AF261+AF266+AF267+AF270</f>
        <v>18989.8392813451</v>
      </c>
      <c r="AG294" s="180">
        <f>AG172+AG222+AG258+AG259+AG261+AG266+AG267+AG270</f>
        <v>1076.6774299695</v>
      </c>
      <c r="AH294" s="742">
        <f>AG294-AF294</f>
        <v>-17913.1618513756</v>
      </c>
      <c r="AI294" s="180">
        <f>AI172+AI222+AI258+AI259+AI261+AI266+AI267+AI270</f>
        <v>6091.9837181904</v>
      </c>
      <c r="AJ294" s="180">
        <f>AJ172+AJ222+AJ258+AJ259+AJ261+AJ266+AJ267+AJ270</f>
        <v>6994.7665892469</v>
      </c>
      <c r="AK294" s="180">
        <f>AK172+AK222+AK258+AK259+AK261+AK266+AK267+AK270</f>
        <v>5288.9982026971</v>
      </c>
      <c r="AL294" s="180">
        <f>AL172+AL222+AL258+AL259+AL261+AL266+AL267+AL270</f>
        <v>5288.9982026971</v>
      </c>
      <c r="AM294" s="180">
        <f>AM172+AM222+AM258+AM259+AM261+AM266+AM267+AM270</f>
        <v>5288.9982026971</v>
      </c>
      <c r="AN294" s="180">
        <f>AN172+AN222+AN258+AN259+AN261+AN266+AN267+AN270</f>
        <v>5288.9982026971</v>
      </c>
      <c r="AO294" s="180">
        <f>AO172+AO222+AO258+AO259+AO261+AO266+AO267+AO270</f>
        <v>5288.9982026971</v>
      </c>
      <c r="AP294" s="180">
        <f>AP172+AP222+AP258+AP259+AP261+AP266+AP267+AP270</f>
        <v>5288.9982026971</v>
      </c>
      <c r="AQ294" s="180">
        <f>AQ172+AQ222+AQ258+AQ259+AQ261+AQ266+AQ267+AQ270</f>
        <v>5288.9982026971</v>
      </c>
      <c r="AR294" s="180">
        <f>AR172+AR222+AR258+AR259+AR261+AR266+AR267+AR270</f>
        <v>5288.9982026971</v>
      </c>
      <c r="AS294" s="180">
        <f>AS172+AS222+AS258+AS259+AS261+AS266+AS267+AS270</f>
        <v>5288.9982026971</v>
      </c>
      <c r="AT294" s="180">
        <f>AT172+AT222+AT258+AT259+AT261+AT266+AT267+AT270</f>
        <v>6913.7621834717</v>
      </c>
      <c r="AU294" s="180">
        <f>AU172+AU222+AU258+AU259+AU261+AU266+AU267+AU270</f>
        <v>5306.3339775919</v>
      </c>
      <c r="AV294" s="180">
        <f>AV172+AV222+AV258+AV259+AV261+AV266+AV267+AV270</f>
        <v>5306.3339775919</v>
      </c>
      <c r="AW294" s="180">
        <f>AW172+AW222+AW258+AW259+AW261+AW266+AW267+AW270</f>
        <v>5306.3339775919</v>
      </c>
      <c r="AX294" s="180">
        <f>AX172+AX222+AX258+AX259+AX261+AX266+AX267+AX270</f>
        <v>5306.3339775919</v>
      </c>
      <c r="AY294" s="180">
        <f>AY172+AY222+AY258+AY259+AY261+AY266+AY267+AY270</f>
        <v>5306.3339775919</v>
      </c>
      <c r="AZ294" s="180">
        <f>AZ172+AZ222+AZ258+AZ259+AZ261+AZ266+AZ267+AZ270</f>
        <v>5306.3339775919</v>
      </c>
      <c r="BA294" s="180">
        <f>BA172+BA222+BA258+BA259+BA261+BA266+BA267+BA270</f>
        <v>5306.3339775919</v>
      </c>
      <c r="BB294" s="180">
        <f>BB172+BB222+BB258+BB259+BB261+BB266+BB267+BB270</f>
        <v>5306.3339775919</v>
      </c>
      <c r="BC294" s="180">
        <f>BC172+BC222+BC258+BC259+BC261+BC266+BC267+BC270</f>
        <v>5306.3339775919</v>
      </c>
      <c r="BD294" s="742">
        <f>IF(AI294=0,0,(AT294-AI294)/AI294*100)</f>
        <v>13.4895052793313</v>
      </c>
      <c r="BE294" s="742">
        <f>IF(AT294=0,0,(AU294-AT294)/AT294*100)</f>
        <v>-23.249689000333</v>
      </c>
      <c r="BF294" s="742">
        <f>IF(AU294=0,0,(AV294-AU294)/AU294*100)</f>
        <v>0</v>
      </c>
      <c r="BG294" s="742">
        <f>IF(AV294=0,0,(AW294-AV294)/AV294*100)</f>
        <v>0</v>
      </c>
      <c r="BH294" s="742">
        <f>IF(AW294=0,0,(AX294-AW294)/AW294*100)</f>
        <v>0</v>
      </c>
      <c r="BI294" s="742">
        <f>IF(AX294=0,0,(AY294-AX294)/AX294*100)</f>
        <v>0</v>
      </c>
      <c r="BJ294" s="742">
        <f>IF(AY294=0,0,(AZ294-AY294)/AY294*100)</f>
        <v>0</v>
      </c>
      <c r="BK294" s="742">
        <f>IF(AZ294=0,0,(BA294-AZ294)/AZ294*100)</f>
        <v>0</v>
      </c>
      <c r="BL294" s="742">
        <f>IF(BA294=0,0,(BB294-BA294)/BA294*100)</f>
        <v>0</v>
      </c>
      <c r="BM294" s="742">
        <f>IF(BB294=0,0,(BC294-BB294)/BB294*100)</f>
        <v>0</v>
      </c>
      <c r="BN294" s="4830"/>
      <c r="BO294" s="4830"/>
      <c r="BP294" s="4830"/>
      <c r="BQ294" s="680"/>
      <c r="BR294" s="680"/>
      <c r="BS294" s="1054" t="s">
        <v>1723</v>
      </c>
      <c r="BT294" s="1054"/>
      <c r="BU294" s="1054"/>
      <c r="BV294" s="687"/>
      <c r="BW294" s="687"/>
    </row>
    <row s="4841" customFormat="1" customHeight="1" ht="20.25">
      <c r="A295" s="680"/>
      <c r="B295" s="408"/>
      <c r="C295" s="680"/>
      <c r="D295" s="75">
        <f>D294+1</f>
        <v>10</v>
      </c>
      <c r="E295" s="687">
        <v>21</v>
      </c>
      <c r="F295" s="50" cm="1" t="str">
        <f t="array" ref="F295:F295">OFFSET(E295,-1,1)</f>
        <v>1</v>
      </c>
      <c r="G295" s="680"/>
      <c r="H295" s="124"/>
      <c r="I295" s="124" t="s">
        <v>1732</v>
      </c>
      <c r="J295" s="680"/>
      <c r="K295" s="124" t="s">
        <v>1732</v>
      </c>
      <c r="L295" s="968"/>
      <c r="M295" s="75"/>
      <c r="N295" s="680"/>
      <c r="O295" s="680"/>
      <c r="P295" s="680"/>
      <c r="Q295" s="680"/>
      <c r="R295" s="680"/>
      <c r="S295" s="680"/>
      <c r="T295" s="439" cm="1" t="str">
        <f t="array" ref="T295:T295">T294</f>
        <v>true</v>
      </c>
      <c r="U295" s="680"/>
      <c r="V295" s="680"/>
      <c r="W295" s="680"/>
      <c r="X295" s="1482"/>
      <c r="Y295" s="680"/>
      <c r="Z295" s="1465"/>
      <c r="AA295" s="680"/>
      <c r="AB295" s="178" cm="1" t="str">
        <f t="array" ref="AB295:AB295">D295</f>
        <v>10</v>
      </c>
      <c r="AC295" s="179" t="s">
        <v>2057</v>
      </c>
      <c r="AD295" s="178" t="s">
        <v>784</v>
      </c>
      <c r="AE295" s="180">
        <f>AE294+AE279+AE292</f>
        <v>5996.3414844942</v>
      </c>
      <c r="AF295" s="180">
        <f>AF294+AF279+AF292</f>
        <v>18989.8392813451</v>
      </c>
      <c r="AG295" s="180">
        <f>AG294+AG279+AG292</f>
        <v>1076.6774299695</v>
      </c>
      <c r="AH295" s="751">
        <f>AH294+AH279+AH292</f>
        <v>-17913.1618513756</v>
      </c>
      <c r="AI295" s="751">
        <f>AI294+AI279+AI292</f>
        <v>5726.3237181904</v>
      </c>
      <c r="AJ295" s="751">
        <f>AJ294+AJ279+AJ292</f>
        <v>7481.9346378782</v>
      </c>
      <c r="AK295" s="751">
        <f>AK294+AK279+AK292</f>
        <v>5288.9982026971</v>
      </c>
      <c r="AL295" s="751">
        <f>AL294+AL279+AL292</f>
        <v>5288.9982026971</v>
      </c>
      <c r="AM295" s="751">
        <f>AM294+AM279+AM292</f>
        <v>5288.9982026971</v>
      </c>
      <c r="AN295" s="751">
        <f>AN294+AN279+AN292</f>
        <v>5288.9982026971</v>
      </c>
      <c r="AO295" s="751">
        <f>AO294+AO279+AO292</f>
        <v>5288.9982026971</v>
      </c>
      <c r="AP295" s="751">
        <f>AP294+AP279+AP292</f>
        <v>5288.9982026971</v>
      </c>
      <c r="AQ295" s="751">
        <f>AQ294+AQ279+AQ292</f>
        <v>5288.9982026971</v>
      </c>
      <c r="AR295" s="751">
        <f>AR294+AR279+AR292</f>
        <v>5288.9982026971</v>
      </c>
      <c r="AS295" s="751">
        <f>AS294+AS279+AS292</f>
        <v>5288.9982026971</v>
      </c>
      <c r="AT295" s="751">
        <f>AT294+AT279+AT292</f>
        <v>6976.5744861237</v>
      </c>
      <c r="AU295" s="751">
        <f>AU294+AU279+AU292</f>
        <v>5306.3339775919</v>
      </c>
      <c r="AV295" s="751">
        <f>AV294+AV279+AV292</f>
        <v>5306.3339775919</v>
      </c>
      <c r="AW295" s="751">
        <f>AW294+AW279+AW292</f>
        <v>5306.3339775919</v>
      </c>
      <c r="AX295" s="751">
        <f>AX294+AX279+AX292</f>
        <v>5306.3339775919</v>
      </c>
      <c r="AY295" s="751">
        <f>AY294+AY279+AY292</f>
        <v>5306.3339775919</v>
      </c>
      <c r="AZ295" s="751">
        <f>AZ294+AZ279+AZ292</f>
        <v>5306.3339775919</v>
      </c>
      <c r="BA295" s="751">
        <f>BA294+BA279+BA292</f>
        <v>5306.3339775919</v>
      </c>
      <c r="BB295" s="751">
        <f>BB294+BB279+BB292</f>
        <v>5306.3339775919</v>
      </c>
      <c r="BC295" s="751">
        <f>BC294+BC279+BC292</f>
        <v>5306.3339775919</v>
      </c>
      <c r="BD295" s="742">
        <f>IF(AI295=0,0,(AT295-AI295)/AI295*100)</f>
        <v>21.8333931063261</v>
      </c>
      <c r="BE295" s="742">
        <f>IF(AT295=0,0,(AU295-AT295)/AT295*100)</f>
        <v>-23.9406962808737</v>
      </c>
      <c r="BF295" s="742">
        <f>IF(AU295=0,0,(AV295-AU295)/AU295*100)</f>
        <v>0</v>
      </c>
      <c r="BG295" s="742">
        <f>IF(AV295=0,0,(AW295-AV295)/AV295*100)</f>
        <v>0</v>
      </c>
      <c r="BH295" s="742">
        <f>IF(AW295=0,0,(AX295-AW295)/AW295*100)</f>
        <v>0</v>
      </c>
      <c r="BI295" s="742">
        <f>IF(AX295=0,0,(AY295-AX295)/AX295*100)</f>
        <v>0</v>
      </c>
      <c r="BJ295" s="742">
        <f>IF(AY295=0,0,(AZ295-AY295)/AY295*100)</f>
        <v>0</v>
      </c>
      <c r="BK295" s="742">
        <f>IF(AZ295=0,0,(BA295-AZ295)/AZ295*100)</f>
        <v>0</v>
      </c>
      <c r="BL295" s="742">
        <f>IF(BA295=0,0,(BB295-BA295)/BA295*100)</f>
        <v>0</v>
      </c>
      <c r="BM295" s="742">
        <f>IF(BB295=0,0,(BC295-BB295)/BB295*100)</f>
        <v>0</v>
      </c>
      <c r="BN295" s="4830"/>
      <c r="BO295" s="4830"/>
      <c r="BP295" s="4830"/>
      <c r="BQ295" s="680"/>
      <c r="BR295" s="680"/>
      <c r="BS295" s="1054" t="s">
        <v>2058</v>
      </c>
      <c r="BT295" s="1054"/>
      <c r="BU295" s="1054"/>
      <c r="BV295" s="687"/>
      <c r="BW295" s="687"/>
    </row>
    <row s="1621" customFormat="1" customHeight="1" ht="14.25" hidden="1">
      <c r="A296" s="960"/>
      <c r="B296" s="418">
        <f>A171="двухставочный"</f>
        <v>0</v>
      </c>
      <c r="C296" s="960"/>
      <c r="D296" s="73" cm="1" t="str">
        <f t="array" ref="D296:D296">D295</f>
        <v>10</v>
      </c>
      <c r="E296" s="683">
        <v>15</v>
      </c>
      <c r="F296" s="50" cm="1" t="str">
        <f t="array" ref="F296:F296">OFFSET(E296,-1,1)</f>
        <v>1</v>
      </c>
      <c r="G296" s="960"/>
      <c r="H296" s="49"/>
      <c r="I296" s="346" t="s">
        <v>1736</v>
      </c>
      <c r="J296" s="960"/>
      <c r="K296" s="346" t="s">
        <v>1736</v>
      </c>
      <c r="L296" s="963" t="s">
        <v>1724</v>
      </c>
      <c r="M296" s="73"/>
      <c r="N296" s="960"/>
      <c r="O296" s="960"/>
      <c r="P296" s="960"/>
      <c r="Q296" s="960"/>
      <c r="R296" s="960"/>
      <c r="S296" s="960"/>
      <c r="T296" s="439" cm="1" t="str">
        <f t="array" ref="T296:T296">T295</f>
        <v>true</v>
      </c>
      <c r="U296" s="960"/>
      <c r="V296" s="960"/>
      <c r="W296" s="960"/>
      <c r="X296" s="1482"/>
      <c r="Y296" s="960"/>
      <c r="Z296" s="1465"/>
      <c r="AA296" s="960"/>
      <c r="AB296" s="267" t="str">
        <f>D296&amp;".1"</f>
        <v>10.1</v>
      </c>
      <c r="AC296" s="763" t="s">
        <v>1726</v>
      </c>
      <c r="AD296" s="267" t="s">
        <v>784</v>
      </c>
      <c r="AE296" s="1282"/>
      <c r="AF296" s="1282"/>
      <c r="AG296" s="1282"/>
      <c r="AH296" s="926">
        <f>AG296-AF296</f>
        <v>0</v>
      </c>
      <c r="AI296" s="1280"/>
      <c r="AJ296" s="4765"/>
      <c r="AK296" s="1280"/>
      <c r="AL296" s="1280"/>
      <c r="AM296" s="1280"/>
      <c r="AN296" s="1280"/>
      <c r="AO296" s="1280"/>
      <c r="AP296" s="1280"/>
      <c r="AQ296" s="1280"/>
      <c r="AR296" s="1280"/>
      <c r="AS296" s="1280"/>
      <c r="AT296" s="4765"/>
      <c r="AU296" s="1280"/>
      <c r="AV296" s="1280"/>
      <c r="AW296" s="1280"/>
      <c r="AX296" s="1280"/>
      <c r="AY296" s="1280"/>
      <c r="AZ296" s="1280"/>
      <c r="BA296" s="1280"/>
      <c r="BB296" s="1280"/>
      <c r="BC296" s="1280"/>
      <c r="BD296" s="925"/>
      <c r="BE296" s="925"/>
      <c r="BF296" s="925"/>
      <c r="BG296" s="925"/>
      <c r="BH296" s="925"/>
      <c r="BI296" s="925"/>
      <c r="BJ296" s="925"/>
      <c r="BK296" s="925"/>
      <c r="BL296" s="925"/>
      <c r="BM296" s="925"/>
      <c r="BN296" s="1283"/>
      <c r="BO296" s="1283"/>
      <c r="BP296" s="1283"/>
      <c r="BQ296" s="960"/>
      <c r="BR296" s="960"/>
      <c r="BS296" s="1046" t="s">
        <v>1727</v>
      </c>
      <c r="BT296" s="1048"/>
      <c r="BU296" s="1048"/>
      <c r="BV296" s="962"/>
      <c r="BW296" s="962"/>
    </row>
    <row s="1621" customFormat="1" customHeight="1" ht="14.25" hidden="1">
      <c r="A297" s="960"/>
      <c r="B297" s="418">
        <f>A171="двухставочный"</f>
        <v>0</v>
      </c>
      <c r="C297" s="960"/>
      <c r="D297" s="73" cm="1" t="str">
        <f t="array" ref="D297:D297">D296</f>
        <v>10</v>
      </c>
      <c r="E297" s="683">
        <v>15</v>
      </c>
      <c r="F297" s="50" cm="1" t="str">
        <f t="array" ref="F297:F297">OFFSET(E297,-1,1)</f>
        <v>1</v>
      </c>
      <c r="G297" s="960"/>
      <c r="H297" s="49"/>
      <c r="I297" s="346" t="s">
        <v>1740</v>
      </c>
      <c r="J297" s="960"/>
      <c r="K297" s="346" t="s">
        <v>1740</v>
      </c>
      <c r="L297" s="963" t="s">
        <v>1728</v>
      </c>
      <c r="M297" s="73"/>
      <c r="N297" s="960"/>
      <c r="O297" s="960"/>
      <c r="P297" s="960"/>
      <c r="Q297" s="960"/>
      <c r="R297" s="960"/>
      <c r="S297" s="960"/>
      <c r="T297" s="439" cm="1" t="str">
        <f t="array" ref="T297:T297">T296</f>
        <v>true</v>
      </c>
      <c r="U297" s="960"/>
      <c r="V297" s="960"/>
      <c r="W297" s="960"/>
      <c r="X297" s="1482"/>
      <c r="Y297" s="960"/>
      <c r="Z297" s="1465"/>
      <c r="AA297" s="960"/>
      <c r="AB297" s="267" t="str">
        <f>D297&amp;".2"</f>
        <v>10.2</v>
      </c>
      <c r="AC297" s="763" t="s">
        <v>1730</v>
      </c>
      <c r="AD297" s="267" t="s">
        <v>784</v>
      </c>
      <c r="AE297" s="1282"/>
      <c r="AF297" s="1282"/>
      <c r="AG297" s="1282"/>
      <c r="AH297" s="926">
        <f>AG297-AF297</f>
        <v>0</v>
      </c>
      <c r="AI297" s="1280"/>
      <c r="AJ297" s="4765"/>
      <c r="AK297" s="1280"/>
      <c r="AL297" s="1280"/>
      <c r="AM297" s="1280"/>
      <c r="AN297" s="1280"/>
      <c r="AO297" s="1280"/>
      <c r="AP297" s="1280"/>
      <c r="AQ297" s="1280"/>
      <c r="AR297" s="1280"/>
      <c r="AS297" s="1280"/>
      <c r="AT297" s="4765"/>
      <c r="AU297" s="1280"/>
      <c r="AV297" s="1280"/>
      <c r="AW297" s="1280"/>
      <c r="AX297" s="1280"/>
      <c r="AY297" s="1280"/>
      <c r="AZ297" s="1280"/>
      <c r="BA297" s="1280"/>
      <c r="BB297" s="1280"/>
      <c r="BC297" s="1280"/>
      <c r="BD297" s="925"/>
      <c r="BE297" s="925"/>
      <c r="BF297" s="925"/>
      <c r="BG297" s="925"/>
      <c r="BH297" s="925"/>
      <c r="BI297" s="925"/>
      <c r="BJ297" s="925"/>
      <c r="BK297" s="925"/>
      <c r="BL297" s="925"/>
      <c r="BM297" s="925"/>
      <c r="BN297" s="1283"/>
      <c r="BO297" s="1283"/>
      <c r="BP297" s="1283"/>
      <c r="BQ297" s="960"/>
      <c r="BR297" s="960"/>
      <c r="BS297" s="1046" t="s">
        <v>1731</v>
      </c>
      <c r="BT297" s="1048"/>
      <c r="BU297" s="1048"/>
      <c r="BV297" s="962"/>
      <c r="BW297" s="962"/>
    </row>
    <row s="4842" customFormat="1" customHeight="1" ht="44.25">
      <c r="A298" s="680"/>
      <c r="B298" s="408"/>
      <c r="C298" s="680"/>
      <c r="D298" s="75">
        <f>D297+1</f>
        <v>11</v>
      </c>
      <c r="E298" s="687">
        <v>21</v>
      </c>
      <c r="F298" s="50" cm="1" t="str">
        <f t="array" ref="F298:F298">OFFSET(E298,-1,1)</f>
        <v>1</v>
      </c>
      <c r="G298" s="124" t="s">
        <v>1503</v>
      </c>
      <c r="H298" s="124"/>
      <c r="I298" s="124" t="s">
        <v>1760</v>
      </c>
      <c r="J298" s="680"/>
      <c r="K298" s="124" t="s">
        <v>1760</v>
      </c>
      <c r="L298" s="968" t="s">
        <v>1732</v>
      </c>
      <c r="M298" s="75"/>
      <c r="N298" s="680"/>
      <c r="O298" s="680"/>
      <c r="P298" s="680"/>
      <c r="Q298" s="680"/>
      <c r="R298" s="680"/>
      <c r="S298" s="680"/>
      <c r="T298" s="439" cm="1" t="str">
        <f t="array" ref="T298:T298">T297</f>
        <v>true</v>
      </c>
      <c r="U298" s="680"/>
      <c r="V298" s="680"/>
      <c r="W298" s="680"/>
      <c r="X298" s="1482"/>
      <c r="Y298" s="680"/>
      <c r="Z298" s="1465"/>
      <c r="AA298" s="680"/>
      <c r="AB298" s="178" cm="1" t="str">
        <f t="array" ref="AB298:AB298">D298</f>
        <v>11</v>
      </c>
      <c r="AC298" s="179" t="s">
        <v>1734</v>
      </c>
      <c r="AD298" s="178" t="s">
        <v>512</v>
      </c>
      <c r="AE298" s="766">
        <f>_xlfn.SUMIFS(Баланс!AE$26:AE$300,Баланс!$F$26:$F$300,$F298,Баланс!$G$26:$G$300,"ПО")</f>
        <v>183.4584</v>
      </c>
      <c r="AF298" s="766">
        <f>_xlfn.SUMIFS(Баланс!AF$26:AF$300,Баланс!$F$26:$F$300,$F298,Баланс!$G$26:$G$300,"ПО")</f>
        <v>163.933</v>
      </c>
      <c r="AG298" s="766">
        <f>_xlfn.SUMIFS(Баланс!AG$26:AG$300,Баланс!$F$26:$F$300,$F298,Баланс!$G$26:$G$300,"ПО")</f>
        <v>163.933</v>
      </c>
      <c r="AH298" s="767">
        <f>AG298-AF298</f>
        <v>0</v>
      </c>
      <c r="AI298" s="767">
        <f>_xlfn.SUMIFS(Баланс!AH$26:AH$300,Баланс!$F$26:$F$300,$F298,Баланс!$G$26:$G$300,"ПО")</f>
        <v>151.23</v>
      </c>
      <c r="AJ298" s="767">
        <f>_xlfn.SUMIFS(Баланс!AI$26:AI$300,Баланс!$F$26:$F$300,$F298,Баланс!$G$26:$G$300,"ПО")</f>
        <v>147.98</v>
      </c>
      <c r="AK298" s="767">
        <f>_xlfn.SUMIFS(Баланс!AJ$26:AJ$300,Баланс!$F$26:$F$300,$F298,Баланс!$G$26:$G$300,"ПО")</f>
        <v>0</v>
      </c>
      <c r="AL298" s="767">
        <f>_xlfn.SUMIFS(Баланс!AK$26:AK$300,Баланс!$F$26:$F$300,$F298,Баланс!$G$26:$G$300,"ПО")</f>
        <v>0</v>
      </c>
      <c r="AM298" s="767">
        <f>_xlfn.SUMIFS(Баланс!AL$26:AL$300,Баланс!$F$26:$F$300,$F298,Баланс!$G$26:$G$300,"ПО")</f>
        <v>0</v>
      </c>
      <c r="AN298" s="767">
        <f>_xlfn.SUMIFS(Баланс!AM$26:AM$300,Баланс!$F$26:$F$300,$F298,Баланс!$G$26:$G$300,"ПО")</f>
        <v>0</v>
      </c>
      <c r="AO298" s="767">
        <f>_xlfn.SUMIFS(Баланс!AN$26:AN$300,Баланс!$F$26:$F$300,$F298,Баланс!$G$26:$G$300,"ПО")</f>
        <v>0</v>
      </c>
      <c r="AP298" s="767">
        <f>_xlfn.SUMIFS(Баланс!AO$26:AO$300,Баланс!$F$26:$F$300,$F298,Баланс!$G$26:$G$300,"ПО")</f>
        <v>0</v>
      </c>
      <c r="AQ298" s="767">
        <f>_xlfn.SUMIFS(Баланс!AP$26:AP$300,Баланс!$F$26:$F$300,$F298,Баланс!$G$26:$G$300,"ПО")</f>
        <v>0</v>
      </c>
      <c r="AR298" s="767">
        <f>_xlfn.SUMIFS(Баланс!AQ$26:AQ$300,Баланс!$F$26:$F$300,$F298,Баланс!$G$26:$G$300,"ПО")</f>
        <v>0</v>
      </c>
      <c r="AS298" s="767">
        <f>_xlfn.SUMIFS(Баланс!AR$26:AR$300,Баланс!$F$26:$F$300,$F298,Баланс!$G$26:$G$300,"ПО")</f>
        <v>0</v>
      </c>
      <c r="AT298" s="767">
        <f>_xlfn.SUMIFS(Баланс!AS$26:AS$300,Баланс!$F$26:$F$300,$F298,Баланс!$G$26:$G$300,"ПО")</f>
        <v>163.933</v>
      </c>
      <c r="AU298" s="767">
        <f>_xlfn.SUMIFS(Баланс!AT$26:AT$300,Баланс!$F$26:$F$300,$F298,Баланс!$G$26:$G$300,"ПО")</f>
        <v>0</v>
      </c>
      <c r="AV298" s="767">
        <f>_xlfn.SUMIFS(Баланс!AU$26:AU$300,Баланс!$F$26:$F$300,$F298,Баланс!$G$26:$G$300,"ПО")</f>
        <v>0</v>
      </c>
      <c r="AW298" s="767">
        <f>_xlfn.SUMIFS(Баланс!AV$26:AV$300,Баланс!$F$26:$F$300,$F298,Баланс!$G$26:$G$300,"ПО")</f>
        <v>0</v>
      </c>
      <c r="AX298" s="767">
        <f>_xlfn.SUMIFS(Баланс!AW$26:AW$300,Баланс!$F$26:$F$300,$F298,Баланс!$G$26:$G$300,"ПО")</f>
        <v>0</v>
      </c>
      <c r="AY298" s="767">
        <f>_xlfn.SUMIFS(Баланс!AX$26:AX$300,Баланс!$F$26:$F$300,$F298,Баланс!$G$26:$G$300,"ПО")</f>
        <v>0</v>
      </c>
      <c r="AZ298" s="767">
        <f>_xlfn.SUMIFS(Баланс!AY$26:AY$300,Баланс!$F$26:$F$300,$F298,Баланс!$G$26:$G$300,"ПО")</f>
        <v>0</v>
      </c>
      <c r="BA298" s="767">
        <f>_xlfn.SUMIFS(Баланс!AZ$26:AZ$300,Баланс!$F$26:$F$300,$F298,Баланс!$G$26:$G$300,"ПО")</f>
        <v>0</v>
      </c>
      <c r="BB298" s="767">
        <f>_xlfn.SUMIFS(Баланс!BA$26:BA$300,Баланс!$F$26:$F$300,$F298,Баланс!$G$26:$G$300,"ПО")</f>
        <v>0</v>
      </c>
      <c r="BC298" s="767">
        <f>_xlfn.SUMIFS(Баланс!BB$26:BB$300,Баланс!$F$26:$F$300,$F298,Баланс!$G$26:$G$300,"ПО")</f>
        <v>0</v>
      </c>
      <c r="BD298" s="745"/>
      <c r="BE298" s="745"/>
      <c r="BF298" s="745"/>
      <c r="BG298" s="745"/>
      <c r="BH298" s="745"/>
      <c r="BI298" s="745"/>
      <c r="BJ298" s="745"/>
      <c r="BK298" s="745"/>
      <c r="BL298" s="745"/>
      <c r="BM298" s="745"/>
      <c r="BN298" s="4830" t="s">
        <v>2087</v>
      </c>
      <c r="BO298" s="4830"/>
      <c r="BP298" s="4830"/>
      <c r="BQ298" s="680"/>
      <c r="BR298" s="680"/>
      <c r="BS298" s="1047" t="s">
        <v>1735</v>
      </c>
      <c r="BT298" s="1054"/>
      <c r="BU298" s="1054"/>
      <c r="BV298" s="687"/>
      <c r="BW298" s="687"/>
    </row>
    <row s="1621" customFormat="1" customHeight="1" ht="14.625">
      <c r="A299" s="960"/>
      <c r="B299" s="961"/>
      <c r="C299" s="960"/>
      <c r="D299" s="73" cm="1" t="str">
        <f t="array" ref="D299:D299">D298</f>
        <v>11</v>
      </c>
      <c r="E299" s="683">
        <v>15</v>
      </c>
      <c r="F299" s="50" cm="1" t="str">
        <f t="array" ref="F299:F299">OFFSET(E299,-1,1)</f>
        <v>1</v>
      </c>
      <c r="G299" s="124" t="s">
        <v>1530</v>
      </c>
      <c r="H299" s="960"/>
      <c r="I299" s="124" t="s">
        <v>2059</v>
      </c>
      <c r="J299" s="960"/>
      <c r="K299" s="124" t="s">
        <v>2059</v>
      </c>
      <c r="L299" s="963" t="s">
        <v>1736</v>
      </c>
      <c r="M299" s="73"/>
      <c r="N299" s="960"/>
      <c r="O299" s="960"/>
      <c r="P299" s="960"/>
      <c r="Q299" s="960"/>
      <c r="R299" s="960"/>
      <c r="S299" s="960"/>
      <c r="T299" s="439" cm="1" t="str">
        <f t="array" ref="T299:T299">T298</f>
        <v>true</v>
      </c>
      <c r="U299" s="960"/>
      <c r="V299" s="960"/>
      <c r="W299" s="960"/>
      <c r="X299" s="1482"/>
      <c r="Y299" s="960"/>
      <c r="Z299" s="1465"/>
      <c r="AA299" s="960"/>
      <c r="AB299" s="267" t="str">
        <f>D299&amp;".1"</f>
        <v>11.1</v>
      </c>
      <c r="AC299" s="1096" t="s">
        <v>1738</v>
      </c>
      <c r="AD299" s="267" t="s">
        <v>512</v>
      </c>
      <c r="AE299" s="4776">
        <v>91.7292</v>
      </c>
      <c r="AF299" s="4776">
        <v>81.9665</v>
      </c>
      <c r="AG299" s="4776">
        <v>81.9665</v>
      </c>
      <c r="AH299" s="924">
        <f>AG299-AF299</f>
        <v>0</v>
      </c>
      <c r="AI299" s="4611">
        <v>75.615</v>
      </c>
      <c r="AJ299" s="4776">
        <v>73.99</v>
      </c>
      <c r="AK299" s="1287">
        <f>IF(god=2025,AK298/12*9,AK298/2)</f>
        <v>0</v>
      </c>
      <c r="AL299" s="1288">
        <f>AL298/2</f>
        <v>0</v>
      </c>
      <c r="AM299" s="4611">
        <f>AM298/2</f>
        <v>0</v>
      </c>
      <c r="AN299" s="4611">
        <f>AN298/2</f>
        <v>0</v>
      </c>
      <c r="AO299" s="4611">
        <f>AO298/2</f>
        <v>0</v>
      </c>
      <c r="AP299" s="4611">
        <f>AP298/2</f>
        <v>0</v>
      </c>
      <c r="AQ299" s="4611">
        <f>AQ298/2</f>
        <v>0</v>
      </c>
      <c r="AR299" s="4611">
        <f>AR298/2</f>
        <v>0</v>
      </c>
      <c r="AS299" s="4611">
        <f>AS298/2</f>
        <v>0</v>
      </c>
      <c r="AT299" s="4611">
        <v>122.95</v>
      </c>
      <c r="AU299" s="1288">
        <f>AU298/2</f>
        <v>0</v>
      </c>
      <c r="AV299" s="1288">
        <f>AV298/2</f>
        <v>0</v>
      </c>
      <c r="AW299" s="4611">
        <f>AW298/2</f>
        <v>0</v>
      </c>
      <c r="AX299" s="4611">
        <f>AX298/2</f>
        <v>0</v>
      </c>
      <c r="AY299" s="4611">
        <f>AY298/2</f>
        <v>0</v>
      </c>
      <c r="AZ299" s="4611">
        <f>AZ298/2</f>
        <v>0</v>
      </c>
      <c r="BA299" s="4611">
        <f>BA298/2</f>
        <v>0</v>
      </c>
      <c r="BB299" s="4611">
        <f>BB298/2</f>
        <v>0</v>
      </c>
      <c r="BC299" s="4611">
        <f>BC298/2</f>
        <v>0</v>
      </c>
      <c r="BD299" s="925"/>
      <c r="BE299" s="925"/>
      <c r="BF299" s="925"/>
      <c r="BG299" s="925"/>
      <c r="BH299" s="925"/>
      <c r="BI299" s="925"/>
      <c r="BJ299" s="925"/>
      <c r="BK299" s="925"/>
      <c r="BL299" s="925"/>
      <c r="BM299" s="925"/>
      <c r="BN299" s="4830"/>
      <c r="BO299" s="4830"/>
      <c r="BP299" s="4830"/>
      <c r="BQ299" s="960"/>
      <c r="BR299" s="960"/>
      <c r="BS299" s="1046" t="s">
        <v>1739</v>
      </c>
      <c r="BT299" s="1048"/>
      <c r="BU299" s="1048"/>
      <c r="BV299" s="962"/>
      <c r="BW299" s="962"/>
    </row>
    <row s="1621" customFormat="1" customHeight="1" ht="117.75">
      <c r="A300" s="960"/>
      <c r="B300" s="961"/>
      <c r="C300" s="960"/>
      <c r="D300" s="73" cm="1" t="str">
        <f t="array" ref="D300:D300">D299</f>
        <v>11</v>
      </c>
      <c r="E300" s="683">
        <v>15</v>
      </c>
      <c r="F300" s="50" cm="1" t="str">
        <f t="array" ref="F300:F300">OFFSET(E300,-1,1)</f>
        <v>1</v>
      </c>
      <c r="G300" s="124" t="s">
        <v>1491</v>
      </c>
      <c r="H300" s="960"/>
      <c r="I300" s="124" t="s">
        <v>2060</v>
      </c>
      <c r="J300" s="960"/>
      <c r="K300" s="124" t="s">
        <v>2060</v>
      </c>
      <c r="L300" s="963" t="s">
        <v>1740</v>
      </c>
      <c r="M300" s="73"/>
      <c r="N300" s="960"/>
      <c r="O300" s="960"/>
      <c r="P300" s="960"/>
      <c r="Q300" s="960"/>
      <c r="R300" s="960"/>
      <c r="S300" s="960"/>
      <c r="T300" s="439" cm="1" t="str">
        <f t="array" ref="T300:T300">T299</f>
        <v>true</v>
      </c>
      <c r="U300" s="960"/>
      <c r="V300" s="960"/>
      <c r="W300" s="960"/>
      <c r="X300" s="1482"/>
      <c r="Y300" s="960"/>
      <c r="Z300" s="1465"/>
      <c r="AA300" s="960"/>
      <c r="AB300" s="267" t="str">
        <f>D300&amp;".2"</f>
        <v>11.2</v>
      </c>
      <c r="AC300" s="1096" t="s">
        <v>1742</v>
      </c>
      <c r="AD300" s="267" t="s">
        <v>1494</v>
      </c>
      <c r="AE300" s="4759">
        <v>31.16</v>
      </c>
      <c r="AF300" s="4759">
        <v>115.84</v>
      </c>
      <c r="AG300" s="4759"/>
      <c r="AH300" s="926">
        <f>AG300-AF300</f>
        <v>-115.84</v>
      </c>
      <c r="AI300" s="4614">
        <v>34.2100401235</v>
      </c>
      <c r="AJ300" s="4614">
        <v>50.56</v>
      </c>
      <c r="AK300" s="1289"/>
      <c r="AL300" s="1289"/>
      <c r="AM300" s="4614"/>
      <c r="AN300" s="4614"/>
      <c r="AO300" s="4614"/>
      <c r="AP300" s="4614"/>
      <c r="AQ300" s="4614"/>
      <c r="AR300" s="4614"/>
      <c r="AS300" s="4614"/>
      <c r="AT300" s="4614">
        <v>41.52</v>
      </c>
      <c r="AU300" s="1289" cm="1" t="str">
        <f t="array" ref="AU300:AU300">AT302</f>
        <v>45.67</v>
      </c>
      <c r="AV300" s="1289" cm="1" t="str">
        <f t="array" ref="AV300:AV300">AU302</f>
        <v>0</v>
      </c>
      <c r="AW300" s="4614" cm="1" t="str">
        <f t="array" ref="AW300:AW300">AV302</f>
        <v>0</v>
      </c>
      <c r="AX300" s="4614" cm="1" t="str">
        <f t="array" ref="AX300:AX300">AW302</f>
        <v>0</v>
      </c>
      <c r="AY300" s="4614" cm="1" t="str">
        <f t="array" ref="AY300:AY300">AX302</f>
        <v>0</v>
      </c>
      <c r="AZ300" s="4614" cm="1" t="str">
        <f t="array" ref="AZ300:AZ300">AY302</f>
        <v>0</v>
      </c>
      <c r="BA300" s="4614" cm="1" t="str">
        <f t="array" ref="BA300:BA300">AZ302</f>
        <v>0</v>
      </c>
      <c r="BB300" s="4614" cm="1" t="str">
        <f t="array" ref="BB300:BB300">BA302</f>
        <v>0</v>
      </c>
      <c r="BC300" s="4614" cm="1" t="str">
        <f t="array" ref="BC300:BC300">BB302</f>
        <v>0</v>
      </c>
      <c r="BD300" s="925"/>
      <c r="BE300" s="925"/>
      <c r="BF300" s="925"/>
      <c r="BG300" s="925"/>
      <c r="BH300" s="925"/>
      <c r="BI300" s="925"/>
      <c r="BJ300" s="925"/>
      <c r="BK300" s="925"/>
      <c r="BL300" s="925"/>
      <c r="BM300" s="925"/>
      <c r="BN300" s="4830"/>
      <c r="BO300" s="4830" t="s">
        <v>2088</v>
      </c>
      <c r="BP300" s="4830"/>
      <c r="BQ300" s="960"/>
      <c r="BR300" s="960"/>
      <c r="BS300" s="1046" t="s">
        <v>1743</v>
      </c>
      <c r="BT300" s="1048"/>
      <c r="BU300" s="1048"/>
      <c r="BV300" s="962"/>
      <c r="BW300" s="962"/>
    </row>
    <row s="1621" customFormat="1" customHeight="1" ht="14.25">
      <c r="A301" s="960"/>
      <c r="B301" s="961"/>
      <c r="C301" s="960"/>
      <c r="D301" s="73" cm="1" t="str">
        <f t="array" ref="D301:D301">D300</f>
        <v>11</v>
      </c>
      <c r="E301" s="683">
        <v>15</v>
      </c>
      <c r="F301" s="50" cm="1" t="str">
        <f t="array" ref="F301:F301">OFFSET(E301,-1,1)</f>
        <v>1</v>
      </c>
      <c r="G301" s="124" t="s">
        <v>1543</v>
      </c>
      <c r="H301" s="960"/>
      <c r="I301" s="124" t="s">
        <v>2061</v>
      </c>
      <c r="J301" s="960"/>
      <c r="K301" s="124" t="s">
        <v>2061</v>
      </c>
      <c r="L301" s="963" t="s">
        <v>1744</v>
      </c>
      <c r="M301" s="73"/>
      <c r="N301" s="960"/>
      <c r="O301" s="960"/>
      <c r="P301" s="960"/>
      <c r="Q301" s="960"/>
      <c r="R301" s="960"/>
      <c r="S301" s="960"/>
      <c r="T301" s="439" cm="1" t="str">
        <f t="array" ref="T301:T301">T300</f>
        <v>true</v>
      </c>
      <c r="U301" s="960"/>
      <c r="V301" s="960"/>
      <c r="W301" s="960"/>
      <c r="X301" s="1482"/>
      <c r="Y301" s="960"/>
      <c r="Z301" s="1465"/>
      <c r="AA301" s="960"/>
      <c r="AB301" s="267" t="str">
        <f>D301&amp;".3"</f>
        <v>11.3</v>
      </c>
      <c r="AC301" s="1096" t="s">
        <v>2062</v>
      </c>
      <c r="AD301" s="267" t="s">
        <v>512</v>
      </c>
      <c r="AE301" s="929">
        <f>AE298-AE299</f>
        <v>91.7292</v>
      </c>
      <c r="AF301" s="929">
        <f>AF298-AF299</f>
        <v>81.9665</v>
      </c>
      <c r="AG301" s="929">
        <f>AG298-AG299</f>
        <v>81.9665</v>
      </c>
      <c r="AH301" s="924">
        <f>AG301-AF301</f>
        <v>0</v>
      </c>
      <c r="AI301" s="806">
        <f>AI298-AI299</f>
        <v>75.615</v>
      </c>
      <c r="AJ301" s="806">
        <f>AJ298-AJ299</f>
        <v>73.99</v>
      </c>
      <c r="AK301" s="806">
        <f>AK298-AK299</f>
        <v>0</v>
      </c>
      <c r="AL301" s="806">
        <f>AL298-AL299</f>
        <v>0</v>
      </c>
      <c r="AM301" s="806">
        <f>AM298-AM299</f>
        <v>0</v>
      </c>
      <c r="AN301" s="806">
        <f>AN298-AN299</f>
        <v>0</v>
      </c>
      <c r="AO301" s="806">
        <f>AO298-AO299</f>
        <v>0</v>
      </c>
      <c r="AP301" s="806">
        <f>AP298-AP299</f>
        <v>0</v>
      </c>
      <c r="AQ301" s="806">
        <f>AQ298-AQ299</f>
        <v>0</v>
      </c>
      <c r="AR301" s="806">
        <f>AR298-AR299</f>
        <v>0</v>
      </c>
      <c r="AS301" s="806">
        <f>AS298-AS299</f>
        <v>0</v>
      </c>
      <c r="AT301" s="806">
        <f>AT298-AT299</f>
        <v>40.983</v>
      </c>
      <c r="AU301" s="806">
        <f>AU298-AU299</f>
        <v>0</v>
      </c>
      <c r="AV301" s="806">
        <f>AV298-AV299</f>
        <v>0</v>
      </c>
      <c r="AW301" s="806">
        <f>AW298-AW299</f>
        <v>0</v>
      </c>
      <c r="AX301" s="806">
        <f>AX298-AX299</f>
        <v>0</v>
      </c>
      <c r="AY301" s="806">
        <f>AY298-AY299</f>
        <v>0</v>
      </c>
      <c r="AZ301" s="806">
        <f>AZ298-AZ299</f>
        <v>0</v>
      </c>
      <c r="BA301" s="806">
        <f>BA298-BA299</f>
        <v>0</v>
      </c>
      <c r="BB301" s="806">
        <f>BB298-BB299</f>
        <v>0</v>
      </c>
      <c r="BC301" s="806">
        <f>BC298-BC299</f>
        <v>0</v>
      </c>
      <c r="BD301" s="925"/>
      <c r="BE301" s="925"/>
      <c r="BF301" s="925"/>
      <c r="BG301" s="925"/>
      <c r="BH301" s="925"/>
      <c r="BI301" s="925"/>
      <c r="BJ301" s="925"/>
      <c r="BK301" s="925"/>
      <c r="BL301" s="925"/>
      <c r="BM301" s="925"/>
      <c r="BN301" s="4830"/>
      <c r="BO301" s="4830"/>
      <c r="BP301" s="4830"/>
      <c r="BQ301" s="960"/>
      <c r="BR301" s="960"/>
      <c r="BS301" s="1046" t="s">
        <v>1747</v>
      </c>
      <c r="BT301" s="1048"/>
      <c r="BU301" s="1048"/>
      <c r="BV301" s="962"/>
      <c r="BW301" s="962"/>
    </row>
    <row s="1621" customFormat="1" customHeight="1" ht="14.625">
      <c r="A302" s="960"/>
      <c r="B302" s="961"/>
      <c r="C302" s="960"/>
      <c r="D302" s="73" cm="1" t="str">
        <f t="array" ref="D302:D302">D301</f>
        <v>11</v>
      </c>
      <c r="E302" s="683">
        <v>15</v>
      </c>
      <c r="F302" s="50" cm="1" t="str">
        <f t="array" ref="F302:F302">OFFSET(E302,-1,1)</f>
        <v>1</v>
      </c>
      <c r="G302" s="124" t="s">
        <v>1496</v>
      </c>
      <c r="H302" s="960"/>
      <c r="I302" s="124" t="s">
        <v>2063</v>
      </c>
      <c r="J302" s="960"/>
      <c r="K302" s="124" t="s">
        <v>2063</v>
      </c>
      <c r="L302" s="963" t="s">
        <v>1748</v>
      </c>
      <c r="M302" s="73"/>
      <c r="N302" s="960"/>
      <c r="O302" s="960"/>
      <c r="P302" s="960"/>
      <c r="Q302" s="960"/>
      <c r="R302" s="960"/>
      <c r="S302" s="960"/>
      <c r="T302" s="439" cm="1" t="str">
        <f t="array" ref="T302:T302">T301</f>
        <v>true</v>
      </c>
      <c r="U302" s="960"/>
      <c r="V302" s="960"/>
      <c r="W302" s="960"/>
      <c r="X302" s="1482"/>
      <c r="Y302" s="960"/>
      <c r="Z302" s="1465"/>
      <c r="AA302" s="960"/>
      <c r="AB302" s="267" t="str">
        <f>D302&amp;".4"</f>
        <v>11.4</v>
      </c>
      <c r="AC302" s="1096" t="s">
        <v>1750</v>
      </c>
      <c r="AD302" s="267" t="s">
        <v>1494</v>
      </c>
      <c r="AE302" s="4759">
        <v>34.2100401235</v>
      </c>
      <c r="AF302" s="4759">
        <v>115.8380548315</v>
      </c>
      <c r="AG302" s="4759">
        <v>13.1355789252</v>
      </c>
      <c r="AH302" s="926">
        <f>AG302-AF302</f>
        <v>-102.7024759063</v>
      </c>
      <c r="AI302" s="4614">
        <v>41.5199568108</v>
      </c>
      <c r="AJ302" s="4614">
        <v>50.5608898213</v>
      </c>
      <c r="AK302" s="1289">
        <f>IF(AK301=0,0,(AK295-AK299*AK300)/AK301)</f>
        <v>0</v>
      </c>
      <c r="AL302" s="1289">
        <f>IF(AL301=0,0,(AL295-AL299*AL300)/AL301)</f>
        <v>0</v>
      </c>
      <c r="AM302" s="4614">
        <f>IF(AM301=0,0,(AM295-AM299*AM300)/AM301)</f>
        <v>0</v>
      </c>
      <c r="AN302" s="4614">
        <f>IF(AN301=0,0,(AN295-AN299*AN300)/AN301)</f>
        <v>0</v>
      </c>
      <c r="AO302" s="4614">
        <f>IF(AO301=0,0,(AO295-AO299*AO300)/AO301)</f>
        <v>0</v>
      </c>
      <c r="AP302" s="4614">
        <f>IF(AP301=0,0,(AP295-AP299*AP300)/AP301)</f>
        <v>0</v>
      </c>
      <c r="AQ302" s="4614">
        <f>IF(AQ301=0,0,(AQ295-AQ299*AQ300)/AQ301)</f>
        <v>0</v>
      </c>
      <c r="AR302" s="4614">
        <f>IF(AR301=0,0,(AR295-AR299*AR300)/AR301)</f>
        <v>0</v>
      </c>
      <c r="AS302" s="4614">
        <f>IF(AS301=0,0,(AS295-AS299*AS300)/AS301)</f>
        <v>0</v>
      </c>
      <c r="AT302" s="4614">
        <v>45.67</v>
      </c>
      <c r="AU302" s="1289">
        <f>IF(AU301=0,0,(AU295-AU299*AU300)/AU301)</f>
        <v>0</v>
      </c>
      <c r="AV302" s="1289">
        <f>IF(AV301=0,0,(AV295-AV299*AV300)/AV301)</f>
        <v>0</v>
      </c>
      <c r="AW302" s="4614">
        <f>IF(AW301=0,0,(AW295-AW299*AW300)/AW301)</f>
        <v>0</v>
      </c>
      <c r="AX302" s="4614">
        <f>IF(AX301=0,0,(AX295-AX299*AX300)/AX301)</f>
        <v>0</v>
      </c>
      <c r="AY302" s="4614">
        <f>IF(AY301=0,0,(AY295-AY299*AY300)/AY301)</f>
        <v>0</v>
      </c>
      <c r="AZ302" s="4614">
        <f>IF(AZ301=0,0,(AZ295-AZ299*AZ300)/AZ301)</f>
        <v>0</v>
      </c>
      <c r="BA302" s="4614">
        <f>IF(BA301=0,0,(BA295-BA299*BA300)/BA301)</f>
        <v>0</v>
      </c>
      <c r="BB302" s="4614">
        <f>IF(BB301=0,0,(BB295-BB299*BB300)/BB301)</f>
        <v>0</v>
      </c>
      <c r="BC302" s="4614">
        <f>IF(BC301=0,0,(BC295-BC299*BC300)/BC301)</f>
        <v>0</v>
      </c>
      <c r="BD302" s="925"/>
      <c r="BE302" s="925"/>
      <c r="BF302" s="925"/>
      <c r="BG302" s="925"/>
      <c r="BH302" s="925"/>
      <c r="BI302" s="925"/>
      <c r="BJ302" s="925"/>
      <c r="BK302" s="925"/>
      <c r="BL302" s="925"/>
      <c r="BM302" s="925"/>
      <c r="BN302" s="4830"/>
      <c r="BO302" s="4830"/>
      <c r="BP302" s="4830"/>
      <c r="BQ302" s="960"/>
      <c r="BR302" s="960"/>
      <c r="BS302" s="1046" t="s">
        <v>1751</v>
      </c>
      <c r="BT302" s="1048"/>
      <c r="BU302" s="1048"/>
      <c r="BV302" s="962"/>
      <c r="BW302" s="962"/>
    </row>
    <row s="1621" customFormat="1" customHeight="1" ht="14.25">
      <c r="A303" s="960"/>
      <c r="B303" s="961"/>
      <c r="C303" s="960"/>
      <c r="D303" s="73" cm="1" t="str">
        <f t="array" ref="D303:D303">D302</f>
        <v>11</v>
      </c>
      <c r="E303" s="683">
        <v>15</v>
      </c>
      <c r="F303" s="50" cm="1" t="str">
        <f t="array" ref="F303:F303">OFFSET(E303,-1,1)</f>
        <v>1</v>
      </c>
      <c r="G303" s="960"/>
      <c r="H303" s="960"/>
      <c r="I303" s="124" t="s">
        <v>2064</v>
      </c>
      <c r="J303" s="960"/>
      <c r="K303" s="124" t="s">
        <v>2064</v>
      </c>
      <c r="L303" s="963" t="s">
        <v>1752</v>
      </c>
      <c r="M303" s="73"/>
      <c r="N303" s="960"/>
      <c r="O303" s="960"/>
      <c r="P303" s="960"/>
      <c r="Q303" s="960"/>
      <c r="R303" s="960"/>
      <c r="S303" s="960"/>
      <c r="T303" s="439" cm="1" t="str">
        <f t="array" ref="T303:T303">T302</f>
        <v>true</v>
      </c>
      <c r="U303" s="960"/>
      <c r="V303" s="960"/>
      <c r="W303" s="960"/>
      <c r="X303" s="1482"/>
      <c r="Y303" s="960"/>
      <c r="Z303" s="1465"/>
      <c r="AA303" s="960"/>
      <c r="AB303" s="267" t="str">
        <f>D303&amp;".5"</f>
        <v>11.5</v>
      </c>
      <c r="AC303" s="1096" t="s">
        <v>1754</v>
      </c>
      <c r="AD303" s="267" t="s">
        <v>437</v>
      </c>
      <c r="AE303" s="226">
        <f>IF(AE300=0,0,AE302/AE300*100)</f>
        <v>109.788318753209</v>
      </c>
      <c r="AF303" s="226">
        <f>IF(AF300=0,0,AF302/AF300*100)</f>
        <v>99.9983208144855</v>
      </c>
      <c r="AG303" s="226">
        <f>IF(AG300=0,0,AG302/AG300*100)</f>
        <v>0</v>
      </c>
      <c r="AH303" s="925"/>
      <c r="AI303" s="783">
        <f>IF(AI300=0,0,AI302/AI300*100)</f>
        <v>121.367752451943</v>
      </c>
      <c r="AJ303" s="783">
        <f>IF(AJ300=0,0,AJ302/AJ300*100)</f>
        <v>100.001759931369</v>
      </c>
      <c r="AK303" s="783">
        <f>IF(AK300=0,0,AK302/AK300*100)</f>
        <v>0</v>
      </c>
      <c r="AL303" s="783">
        <f>IF(AL300=0,0,AL302/AL300*100)</f>
        <v>0</v>
      </c>
      <c r="AM303" s="783">
        <f>IF(AM300=0,0,AM302/AM300*100)</f>
        <v>0</v>
      </c>
      <c r="AN303" s="783">
        <f>IF(AN300=0,0,AN302/AN300*100)</f>
        <v>0</v>
      </c>
      <c r="AO303" s="783">
        <f>IF(AO300=0,0,AO302/AO300*100)</f>
        <v>0</v>
      </c>
      <c r="AP303" s="783">
        <f>IF(AP300=0,0,AP302/AP300*100)</f>
        <v>0</v>
      </c>
      <c r="AQ303" s="783">
        <f>IF(AQ300=0,0,AQ302/AQ300*100)</f>
        <v>0</v>
      </c>
      <c r="AR303" s="783">
        <f>IF(AR300=0,0,AR302/AR300*100)</f>
        <v>0</v>
      </c>
      <c r="AS303" s="783">
        <f>IF(AS300=0,0,AS302/AS300*100)</f>
        <v>0</v>
      </c>
      <c r="AT303" s="783">
        <f>IF(AT300=0,0,AT302/AT300*100)</f>
        <v>109.995183044316</v>
      </c>
      <c r="AU303" s="783">
        <f>IF(AU300=0,0,AU302/AU300*100)</f>
        <v>0</v>
      </c>
      <c r="AV303" s="783">
        <f>IF(AV300=0,0,AV302/AV300*100)</f>
        <v>0</v>
      </c>
      <c r="AW303" s="783">
        <f>IF(AW300=0,0,AW302/AW300*100)</f>
        <v>0</v>
      </c>
      <c r="AX303" s="783">
        <f>IF(AX300=0,0,AX302/AX300*100)</f>
        <v>0</v>
      </c>
      <c r="AY303" s="783">
        <f>IF(AY300=0,0,AY302/AY300*100)</f>
        <v>0</v>
      </c>
      <c r="AZ303" s="783">
        <f>IF(AZ300=0,0,AZ302/AZ300*100)</f>
        <v>0</v>
      </c>
      <c r="BA303" s="783">
        <f>IF(BA300=0,0,BA302/BA300*100)</f>
        <v>0</v>
      </c>
      <c r="BB303" s="783">
        <f>IF(BB300=0,0,BB302/BB300*100)</f>
        <v>0</v>
      </c>
      <c r="BC303" s="783">
        <f>IF(BC300=0,0,BC302/BC300*100)</f>
        <v>0</v>
      </c>
      <c r="BD303" s="925"/>
      <c r="BE303" s="925"/>
      <c r="BF303" s="925"/>
      <c r="BG303" s="925"/>
      <c r="BH303" s="925"/>
      <c r="BI303" s="925"/>
      <c r="BJ303" s="925"/>
      <c r="BK303" s="925"/>
      <c r="BL303" s="925"/>
      <c r="BM303" s="925"/>
      <c r="BN303" s="4830"/>
      <c r="BO303" s="4830"/>
      <c r="BP303" s="4830"/>
      <c r="BQ303" s="960"/>
      <c r="BR303" s="960"/>
      <c r="BS303" s="1046" t="s">
        <v>1755</v>
      </c>
      <c r="BT303" s="1048"/>
      <c r="BU303" s="1048"/>
      <c r="BV303" s="962"/>
      <c r="BW303" s="962"/>
    </row>
    <row s="1621" customFormat="1" customHeight="1" ht="14.625">
      <c r="A304" s="960"/>
      <c r="B304" s="961"/>
      <c r="C304" s="960"/>
      <c r="D304" s="73" cm="1" t="str">
        <f t="array" ref="D304:D304">D303</f>
        <v>11</v>
      </c>
      <c r="E304" s="683">
        <v>15</v>
      </c>
      <c r="F304" s="50" cm="1" t="str">
        <f t="array" ref="F304:F304">OFFSET(E304,-1,1)</f>
        <v>1</v>
      </c>
      <c r="G304" s="960"/>
      <c r="H304" s="960"/>
      <c r="I304" s="124" t="s">
        <v>2065</v>
      </c>
      <c r="J304" s="960"/>
      <c r="K304" s="124" t="s">
        <v>2065</v>
      </c>
      <c r="L304" s="963" t="s">
        <v>1756</v>
      </c>
      <c r="M304" s="73"/>
      <c r="N304" s="960"/>
      <c r="O304" s="960"/>
      <c r="P304" s="960"/>
      <c r="Q304" s="960"/>
      <c r="R304" s="960"/>
      <c r="S304" s="960"/>
      <c r="T304" s="439" cm="1" t="str">
        <f t="array" ref="T304:T304">T303</f>
        <v>true</v>
      </c>
      <c r="U304" s="960"/>
      <c r="V304" s="960"/>
      <c r="W304" s="960"/>
      <c r="X304" s="1482"/>
      <c r="Y304" s="960"/>
      <c r="Z304" s="1465"/>
      <c r="AA304" s="960"/>
      <c r="AB304" s="267" t="str">
        <f>D304&amp;".6"</f>
        <v>11.6</v>
      </c>
      <c r="AC304" s="1096" t="s">
        <v>1758</v>
      </c>
      <c r="AD304" s="267" t="s">
        <v>1494</v>
      </c>
      <c r="AE304" s="4759">
        <v>32.6850200617</v>
      </c>
      <c r="AF304" s="4759">
        <v>115.8390274157</v>
      </c>
      <c r="AG304" s="4759">
        <v>6.5677894626</v>
      </c>
      <c r="AH304" s="926">
        <f>AG304-AF304</f>
        <v>-109.2712379531</v>
      </c>
      <c r="AI304" s="4614">
        <v>37.8649984672</v>
      </c>
      <c r="AJ304" s="4614">
        <v>50.5604449107</v>
      </c>
      <c r="AK304" s="1289">
        <f>IF(AK298=0,0,AK295/AK298)</f>
        <v>0</v>
      </c>
      <c r="AL304" s="1289">
        <f>IF(AL298=0,0,AL295/AL298)</f>
        <v>0</v>
      </c>
      <c r="AM304" s="4614">
        <f>IF(AM298=0,0,AM295/AM298)</f>
        <v>0</v>
      </c>
      <c r="AN304" s="4614">
        <f>IF(AN298=0,0,AN295/AN298)</f>
        <v>0</v>
      </c>
      <c r="AO304" s="4614">
        <f>IF(AO298=0,0,AO295/AO298)</f>
        <v>0</v>
      </c>
      <c r="AP304" s="4614">
        <f>IF(AP298=0,0,AP295/AP298)</f>
        <v>0</v>
      </c>
      <c r="AQ304" s="4614">
        <f>IF(AQ298=0,0,AQ295/AQ298)</f>
        <v>0</v>
      </c>
      <c r="AR304" s="4614">
        <f>IF(AR298=0,0,AR295/AR298)</f>
        <v>0</v>
      </c>
      <c r="AS304" s="4614">
        <f>IF(AS298=0,0,AS295/AS298)</f>
        <v>0</v>
      </c>
      <c r="AT304" s="4614">
        <v>42.56</v>
      </c>
      <c r="AU304" s="1289">
        <f>IF(AU298=0,0,AU295/AU298)</f>
        <v>0</v>
      </c>
      <c r="AV304" s="1289">
        <f>IF(AV298=0,0,AV295/AV298)</f>
        <v>0</v>
      </c>
      <c r="AW304" s="4614">
        <f>IF(AW298=0,0,AW295/AW298)</f>
        <v>0</v>
      </c>
      <c r="AX304" s="4614">
        <f>IF(AX298=0,0,AX295/AX298)</f>
        <v>0</v>
      </c>
      <c r="AY304" s="4614">
        <f>IF(AY298=0,0,AY295/AY298)</f>
        <v>0</v>
      </c>
      <c r="AZ304" s="4614">
        <f>IF(AZ298=0,0,AZ295/AZ298)</f>
        <v>0</v>
      </c>
      <c r="BA304" s="4614">
        <f>IF(BA298=0,0,BA295/BA298)</f>
        <v>0</v>
      </c>
      <c r="BB304" s="4614">
        <f>IF(BB298=0,0,BB295/BB298)</f>
        <v>0</v>
      </c>
      <c r="BC304" s="4614">
        <f>IF(BC298=0,0,BC295/BC298)</f>
        <v>0</v>
      </c>
      <c r="BD304" s="925"/>
      <c r="BE304" s="925"/>
      <c r="BF304" s="925"/>
      <c r="BG304" s="925"/>
      <c r="BH304" s="925"/>
      <c r="BI304" s="925"/>
      <c r="BJ304" s="925"/>
      <c r="BK304" s="925"/>
      <c r="BL304" s="925"/>
      <c r="BM304" s="925"/>
      <c r="BN304" s="4830"/>
      <c r="BO304" s="4830"/>
      <c r="BP304" s="4830"/>
      <c r="BQ304" s="960"/>
      <c r="BR304" s="960"/>
      <c r="BS304" s="1046" t="s">
        <v>1759</v>
      </c>
      <c r="BT304" s="1048"/>
      <c r="BU304" s="1048"/>
      <c r="BV304" s="962"/>
      <c r="BW304" s="962"/>
    </row>
    <row s="4843" customFormat="1" customHeight="1" ht="20.25">
      <c r="A305" s="680"/>
      <c r="B305" s="408"/>
      <c r="C305" s="680"/>
      <c r="D305" s="75">
        <f>D304+1</f>
        <v>12</v>
      </c>
      <c r="E305" s="687">
        <v>21</v>
      </c>
      <c r="F305" s="50" cm="1" t="str">
        <f t="array" ref="F305:F305">OFFSET(E305,-1,1)</f>
        <v>1</v>
      </c>
      <c r="G305" s="680"/>
      <c r="H305" s="124"/>
      <c r="I305" s="124" t="s">
        <v>1764</v>
      </c>
      <c r="J305" s="680"/>
      <c r="K305" s="124" t="s">
        <v>1764</v>
      </c>
      <c r="L305" s="968" t="s">
        <v>1760</v>
      </c>
      <c r="M305" s="75"/>
      <c r="N305" s="680"/>
      <c r="O305" s="680"/>
      <c r="P305" s="680"/>
      <c r="Q305" s="680"/>
      <c r="R305" s="680"/>
      <c r="S305" s="680"/>
      <c r="T305" s="439" cm="1" t="str">
        <f t="array" ref="T305:T305">T304</f>
        <v>true</v>
      </c>
      <c r="U305" s="680"/>
      <c r="V305" s="680"/>
      <c r="W305" s="680"/>
      <c r="X305" s="1482"/>
      <c r="Y305" s="680"/>
      <c r="Z305" s="1465"/>
      <c r="AA305" s="680"/>
      <c r="AB305" s="178" cm="1" t="str">
        <f t="array" ref="AB305:AB305">D305</f>
        <v>12</v>
      </c>
      <c r="AC305" s="179" t="s">
        <v>1762</v>
      </c>
      <c r="AD305" s="178" t="s">
        <v>784</v>
      </c>
      <c r="AE305" s="4610">
        <f>IF(AE298=0,0,AE295/AE298*AE306)</f>
        <v>0</v>
      </c>
      <c r="AF305" s="4610">
        <f>IF(AF298=0,0,AF295/AF298*AF306)</f>
        <v>0</v>
      </c>
      <c r="AG305" s="4610">
        <f>IF(AG298=0,0,AG295/AG298*AG306)</f>
        <v>0</v>
      </c>
      <c r="AH305" s="751">
        <f>AH307*AH308+AH309*AH310</f>
        <v>0</v>
      </c>
      <c r="AI305" s="4779">
        <f>IF(AI298=0,0,AI295/AI298*AI306)</f>
        <v>0</v>
      </c>
      <c r="AJ305" s="4779">
        <f>IF(AJ298=0,0,AJ295/AJ298*AJ306)</f>
        <v>0</v>
      </c>
      <c r="AK305" s="1290">
        <f>IF(AK298=0,0,AK295/AK298*AK306)</f>
        <v>0</v>
      </c>
      <c r="AL305" s="1290">
        <f>IF(AL298=0,0,AL295/AL298*AL306)</f>
        <v>0</v>
      </c>
      <c r="AM305" s="4779">
        <f>IF(AM298=0,0,AM295/AM298*AM306)</f>
        <v>0</v>
      </c>
      <c r="AN305" s="4779">
        <f>IF(AN298=0,0,AN295/AN298*AN306)</f>
        <v>0</v>
      </c>
      <c r="AO305" s="4779">
        <f>IF(AO298=0,0,AO295/AO298*AO306)</f>
        <v>0</v>
      </c>
      <c r="AP305" s="4779">
        <f>IF(AP298=0,0,AP295/AP298*AP306)</f>
        <v>0</v>
      </c>
      <c r="AQ305" s="4779">
        <f>IF(AQ298=0,0,AQ295/AQ298*AQ306)</f>
        <v>0</v>
      </c>
      <c r="AR305" s="4779">
        <f>IF(AR298=0,0,AR295/AR298*AR306)</f>
        <v>0</v>
      </c>
      <c r="AS305" s="4779">
        <f>IF(AS298=0,0,AS295/AS298*AS306)</f>
        <v>0</v>
      </c>
      <c r="AT305" s="4779">
        <f>IF(AT298=0,0,AT295/AT298*AT306)</f>
        <v>0</v>
      </c>
      <c r="AU305" s="1290">
        <f>IF(AU298=0,0,AU295/AU298*AU306)</f>
        <v>0</v>
      </c>
      <c r="AV305" s="1290">
        <f>IF(AV298=0,0,AV295/AV298*AV306)</f>
        <v>0</v>
      </c>
      <c r="AW305" s="4779">
        <f>IF(AW298=0,0,AW295/AW298*AW306)</f>
        <v>0</v>
      </c>
      <c r="AX305" s="4779">
        <f>IF(AX298=0,0,AX295/AX298*AX306)</f>
        <v>0</v>
      </c>
      <c r="AY305" s="4779">
        <f>IF(AY298=0,0,AY295/AY298*AY306)</f>
        <v>0</v>
      </c>
      <c r="AZ305" s="4779">
        <f>IF(AZ298=0,0,AZ295/AZ298*AZ306)</f>
        <v>0</v>
      </c>
      <c r="BA305" s="4779">
        <f>IF(BA298=0,0,BA295/BA298*BA306)</f>
        <v>0</v>
      </c>
      <c r="BB305" s="4779">
        <f>IF(BB298=0,0,BB295/BB298*BB306)</f>
        <v>0</v>
      </c>
      <c r="BC305" s="4779">
        <f>IF(BC298=0,0,BC295/BC298*BC306)</f>
        <v>0</v>
      </c>
      <c r="BD305" s="742">
        <f>IF(AI305=0,0,(AT305-AI305)/AI305*100)</f>
        <v>0</v>
      </c>
      <c r="BE305" s="742">
        <f>IF(AT305=0,0,(AU305-AT305)/AT305*100)</f>
        <v>0</v>
      </c>
      <c r="BF305" s="742">
        <f>IF(AU305=0,0,(AV305-AU305)/AU305*100)</f>
        <v>0</v>
      </c>
      <c r="BG305" s="742">
        <f>IF(AV305=0,0,(AW305-AV305)/AV305*100)</f>
        <v>0</v>
      </c>
      <c r="BH305" s="742">
        <f>IF(AW305=0,0,(AX305-AW305)/AW305*100)</f>
        <v>0</v>
      </c>
      <c r="BI305" s="742">
        <f>IF(AX305=0,0,(AY305-AX305)/AX305*100)</f>
        <v>0</v>
      </c>
      <c r="BJ305" s="742">
        <f>IF(AY305=0,0,(AZ305-AY305)/AY305*100)</f>
        <v>0</v>
      </c>
      <c r="BK305" s="742">
        <f>IF(AZ305=0,0,(BA305-AZ305)/AZ305*100)</f>
        <v>0</v>
      </c>
      <c r="BL305" s="742">
        <f>IF(BA305=0,0,(BB305-BA305)/BA305*100)</f>
        <v>0</v>
      </c>
      <c r="BM305" s="742">
        <f>IF(BB305=0,0,(BC305-BB305)/BB305*100)</f>
        <v>0</v>
      </c>
      <c r="BN305" s="4830"/>
      <c r="BO305" s="4830"/>
      <c r="BP305" s="4830"/>
      <c r="BQ305" s="680"/>
      <c r="BR305" s="680"/>
      <c r="BS305" s="1047" t="s">
        <v>1763</v>
      </c>
      <c r="BT305" s="1054"/>
      <c r="BU305" s="1054"/>
      <c r="BV305" s="687"/>
      <c r="BW305" s="687"/>
    </row>
    <row s="4844" customFormat="1" customHeight="1" ht="20.25">
      <c r="A306" s="680"/>
      <c r="B306" s="408"/>
      <c r="C306" s="680"/>
      <c r="D306" s="75">
        <f>D305+1</f>
        <v>13</v>
      </c>
      <c r="E306" s="687">
        <v>21</v>
      </c>
      <c r="F306" s="50" cm="1" t="str">
        <f t="array" ref="F306:F306">OFFSET(E306,-1,1)</f>
        <v>1</v>
      </c>
      <c r="G306" s="124" t="s">
        <v>1516</v>
      </c>
      <c r="H306" s="124"/>
      <c r="I306" s="124" t="s">
        <v>2066</v>
      </c>
      <c r="J306" s="680"/>
      <c r="K306" s="124" t="s">
        <v>2066</v>
      </c>
      <c r="L306" s="968" t="s">
        <v>1764</v>
      </c>
      <c r="M306" s="75"/>
      <c r="N306" s="680"/>
      <c r="O306" s="680"/>
      <c r="P306" s="680"/>
      <c r="Q306" s="680"/>
      <c r="R306" s="680"/>
      <c r="S306" s="680"/>
      <c r="T306" s="439" cm="1" t="str">
        <f t="array" ref="T306:T306">T305</f>
        <v>true</v>
      </c>
      <c r="U306" s="680"/>
      <c r="V306" s="680"/>
      <c r="W306" s="680"/>
      <c r="X306" s="1482"/>
      <c r="Y306" s="680"/>
      <c r="Z306" s="1465"/>
      <c r="AA306" s="680"/>
      <c r="AB306" s="178" cm="1" t="str">
        <f t="array" ref="AB306:AB306">D306</f>
        <v>13</v>
      </c>
      <c r="AC306" s="179" t="s">
        <v>1766</v>
      </c>
      <c r="AD306" s="178" t="s">
        <v>512</v>
      </c>
      <c r="AE306" s="766">
        <f>_xlfn.SUMIFS(Баланс!AE$26:AE$300,Баланс!$F$26:$F$300,$F306,Баланс!$G$26:$G$300,"население")</f>
        <v>0</v>
      </c>
      <c r="AF306" s="766">
        <f>_xlfn.SUMIFS(Баланс!AF$26:AF$300,Баланс!$F$26:$F$300,$F306,Баланс!$G$26:$G$300,"население")</f>
        <v>0</v>
      </c>
      <c r="AG306" s="766">
        <f>_xlfn.SUMIFS(Баланс!AG$26:AG$300,Баланс!$F$26:$F$300,$F306,Баланс!$G$26:$G$300,"население")</f>
        <v>0</v>
      </c>
      <c r="AH306" s="767">
        <f>AG306-AF306</f>
        <v>0</v>
      </c>
      <c r="AI306" s="767">
        <f>_xlfn.SUMIFS(Баланс!AH$26:AH$300,Баланс!$F$26:$F$300,$F306,Баланс!$G$26:$G$300,"население")</f>
        <v>0</v>
      </c>
      <c r="AJ306" s="767">
        <f>_xlfn.SUMIFS(Баланс!AI$26:AI$300,Баланс!$F$26:$F$300,$F306,Баланс!$G$26:$G$300,"население")</f>
        <v>0</v>
      </c>
      <c r="AK306" s="767">
        <f>_xlfn.SUMIFS(Баланс!AJ$26:AJ$300,Баланс!$F$26:$F$300,$F306,Баланс!$G$26:$G$300,"население")</f>
        <v>0</v>
      </c>
      <c r="AL306" s="767">
        <f>_xlfn.SUMIFS(Баланс!AK$26:AK$300,Баланс!$F$26:$F$300,$F306,Баланс!$G$26:$G$300,"население")</f>
        <v>0</v>
      </c>
      <c r="AM306" s="767">
        <f>_xlfn.SUMIFS(Баланс!AL$26:AL$300,Баланс!$F$26:$F$300,$F306,Баланс!$G$26:$G$300,"население")</f>
        <v>0</v>
      </c>
      <c r="AN306" s="767">
        <f>_xlfn.SUMIFS(Баланс!AM$26:AM$300,Баланс!$F$26:$F$300,$F306,Баланс!$G$26:$G$300,"население")</f>
        <v>0</v>
      </c>
      <c r="AO306" s="767">
        <f>_xlfn.SUMIFS(Баланс!AN$26:AN$300,Баланс!$F$26:$F$300,$F306,Баланс!$G$26:$G$300,"население")</f>
        <v>0</v>
      </c>
      <c r="AP306" s="767">
        <f>_xlfn.SUMIFS(Баланс!AO$26:AO$300,Баланс!$F$26:$F$300,$F306,Баланс!$G$26:$G$300,"население")</f>
        <v>0</v>
      </c>
      <c r="AQ306" s="767">
        <f>_xlfn.SUMIFS(Баланс!AP$26:AP$300,Баланс!$F$26:$F$300,$F306,Баланс!$G$26:$G$300,"население")</f>
        <v>0</v>
      </c>
      <c r="AR306" s="767">
        <f>_xlfn.SUMIFS(Баланс!AQ$26:AQ$300,Баланс!$F$26:$F$300,$F306,Баланс!$G$26:$G$300,"население")</f>
        <v>0</v>
      </c>
      <c r="AS306" s="767">
        <f>_xlfn.SUMIFS(Баланс!AR$26:AR$300,Баланс!$F$26:$F$300,$F306,Баланс!$G$26:$G$300,"население")</f>
        <v>0</v>
      </c>
      <c r="AT306" s="767">
        <f>_xlfn.SUMIFS(Баланс!AS$26:AS$300,Баланс!$F$26:$F$300,$F306,Баланс!$G$26:$G$300,"население")</f>
        <v>0</v>
      </c>
      <c r="AU306" s="767">
        <f>_xlfn.SUMIFS(Баланс!AT$26:AT$300,Баланс!$F$26:$F$300,$F306,Баланс!$G$26:$G$300,"население")</f>
        <v>0</v>
      </c>
      <c r="AV306" s="767">
        <f>_xlfn.SUMIFS(Баланс!AU$26:AU$300,Баланс!$F$26:$F$300,$F306,Баланс!$G$26:$G$300,"население")</f>
        <v>0</v>
      </c>
      <c r="AW306" s="767">
        <f>_xlfn.SUMIFS(Баланс!AV$26:AV$300,Баланс!$F$26:$F$300,$F306,Баланс!$G$26:$G$300,"население")</f>
        <v>0</v>
      </c>
      <c r="AX306" s="767">
        <f>_xlfn.SUMIFS(Баланс!AW$26:AW$300,Баланс!$F$26:$F$300,$F306,Баланс!$G$26:$G$300,"население")</f>
        <v>0</v>
      </c>
      <c r="AY306" s="767">
        <f>_xlfn.SUMIFS(Баланс!AX$26:AX$300,Баланс!$F$26:$F$300,$F306,Баланс!$G$26:$G$300,"население")</f>
        <v>0</v>
      </c>
      <c r="AZ306" s="767">
        <f>_xlfn.SUMIFS(Баланс!AY$26:AY$300,Баланс!$F$26:$F$300,$F306,Баланс!$G$26:$G$300,"население")</f>
        <v>0</v>
      </c>
      <c r="BA306" s="767">
        <f>_xlfn.SUMIFS(Баланс!AZ$26:AZ$300,Баланс!$F$26:$F$300,$F306,Баланс!$G$26:$G$300,"население")</f>
        <v>0</v>
      </c>
      <c r="BB306" s="767">
        <f>_xlfn.SUMIFS(Баланс!BA$26:BA$300,Баланс!$F$26:$F$300,$F306,Баланс!$G$26:$G$300,"население")</f>
        <v>0</v>
      </c>
      <c r="BC306" s="767">
        <f>_xlfn.SUMIFS(Баланс!BB$26:BB$300,Баланс!$F$26:$F$300,$F306,Баланс!$G$26:$G$300,"население")</f>
        <v>0</v>
      </c>
      <c r="BD306" s="745"/>
      <c r="BE306" s="745"/>
      <c r="BF306" s="745"/>
      <c r="BG306" s="745"/>
      <c r="BH306" s="745"/>
      <c r="BI306" s="745"/>
      <c r="BJ306" s="745"/>
      <c r="BK306" s="745"/>
      <c r="BL306" s="745"/>
      <c r="BM306" s="745"/>
      <c r="BN306" s="4830"/>
      <c r="BO306" s="4830"/>
      <c r="BP306" s="4830"/>
      <c r="BQ306" s="680"/>
      <c r="BR306" s="680"/>
      <c r="BS306" s="1047" t="s">
        <v>1767</v>
      </c>
      <c r="BT306" s="1054"/>
      <c r="BU306" s="1054"/>
      <c r="BV306" s="687"/>
      <c r="BW306" s="687"/>
    </row>
    <row s="1621" customFormat="1" customHeight="1" ht="14.25">
      <c r="A307" s="960"/>
      <c r="B307" s="961"/>
      <c r="C307" s="960"/>
      <c r="D307" s="73" cm="1" t="str">
        <f t="array" ref="D307:D307">D306</f>
        <v>13</v>
      </c>
      <c r="E307" s="683">
        <v>15</v>
      </c>
      <c r="F307" s="50" cm="1" t="str">
        <f t="array" ref="F307:F307">OFFSET(E307,-1,1)</f>
        <v>1</v>
      </c>
      <c r="G307" s="124" t="s">
        <v>1550</v>
      </c>
      <c r="H307" s="960"/>
      <c r="I307" s="124" t="s">
        <v>2067</v>
      </c>
      <c r="J307" s="960"/>
      <c r="K307" s="124" t="s">
        <v>2067</v>
      </c>
      <c r="L307" s="963" t="s">
        <v>1768</v>
      </c>
      <c r="M307" s="73"/>
      <c r="N307" s="960"/>
      <c r="O307" s="960"/>
      <c r="P307" s="960"/>
      <c r="Q307" s="960"/>
      <c r="R307" s="960"/>
      <c r="S307" s="960"/>
      <c r="T307" s="439" cm="1" t="str">
        <f t="array" ref="T307:T307">T306</f>
        <v>true</v>
      </c>
      <c r="U307" s="960"/>
      <c r="V307" s="960"/>
      <c r="W307" s="960"/>
      <c r="X307" s="1482"/>
      <c r="Y307" s="960"/>
      <c r="Z307" s="1465"/>
      <c r="AA307" s="960"/>
      <c r="AB307" s="267" t="str">
        <f>D307&amp;".1"</f>
        <v>13.1</v>
      </c>
      <c r="AC307" s="1096" t="s">
        <v>1770</v>
      </c>
      <c r="AD307" s="267" t="s">
        <v>512</v>
      </c>
      <c r="AE307" s="4776">
        <f>AE306/2</f>
        <v>0</v>
      </c>
      <c r="AF307" s="4776">
        <f>AF306/2</f>
        <v>0</v>
      </c>
      <c r="AG307" s="4776">
        <f>AG306/2</f>
        <v>0</v>
      </c>
      <c r="AH307" s="924">
        <f>AG307-AF307</f>
        <v>0</v>
      </c>
      <c r="AI307" s="4611">
        <f>AI306/2</f>
        <v>0</v>
      </c>
      <c r="AJ307" s="4776">
        <f>IF(god=2026,AJ306/12*9,AJ306/2)</f>
        <v>0</v>
      </c>
      <c r="AK307" s="1287">
        <f>IF(god=2025,AK306/12*9,AK306/2)</f>
        <v>0</v>
      </c>
      <c r="AL307" s="1288">
        <f>AL306/2</f>
        <v>0</v>
      </c>
      <c r="AM307" s="4611">
        <f>AM306/2</f>
        <v>0</v>
      </c>
      <c r="AN307" s="4611">
        <f>AN306/2</f>
        <v>0</v>
      </c>
      <c r="AO307" s="4611">
        <f>AO306/2</f>
        <v>0</v>
      </c>
      <c r="AP307" s="4611">
        <f>AP306/2</f>
        <v>0</v>
      </c>
      <c r="AQ307" s="4611">
        <f>AQ306/2</f>
        <v>0</v>
      </c>
      <c r="AR307" s="4611">
        <f>AR306/2</f>
        <v>0</v>
      </c>
      <c r="AS307" s="4611">
        <f>AS306/2</f>
        <v>0</v>
      </c>
      <c r="AT307" s="4611">
        <f>IF(god=2026,AT306/12*9,AT306/2)</f>
        <v>0</v>
      </c>
      <c r="AU307" s="1288">
        <f>IF(god=2025,AU306/12*9,AU306/2)</f>
        <v>0</v>
      </c>
      <c r="AV307" s="1288">
        <f>AV306/2</f>
        <v>0</v>
      </c>
      <c r="AW307" s="4611">
        <f>AW306/2</f>
        <v>0</v>
      </c>
      <c r="AX307" s="4611">
        <f>AX306/2</f>
        <v>0</v>
      </c>
      <c r="AY307" s="4611">
        <f>AY306/2</f>
        <v>0</v>
      </c>
      <c r="AZ307" s="4611">
        <f>AZ306/2</f>
        <v>0</v>
      </c>
      <c r="BA307" s="4611">
        <f>BA306/2</f>
        <v>0</v>
      </c>
      <c r="BB307" s="4611">
        <f>BB306/2</f>
        <v>0</v>
      </c>
      <c r="BC307" s="4611">
        <f>BC306/2</f>
        <v>0</v>
      </c>
      <c r="BD307" s="925"/>
      <c r="BE307" s="925"/>
      <c r="BF307" s="925"/>
      <c r="BG307" s="925"/>
      <c r="BH307" s="925"/>
      <c r="BI307" s="925"/>
      <c r="BJ307" s="925"/>
      <c r="BK307" s="925"/>
      <c r="BL307" s="925"/>
      <c r="BM307" s="925"/>
      <c r="BN307" s="4830"/>
      <c r="BO307" s="4830"/>
      <c r="BP307" s="4830"/>
      <c r="BQ307" s="960"/>
      <c r="BR307" s="960"/>
      <c r="BS307" s="1046" t="s">
        <v>1771</v>
      </c>
      <c r="BT307" s="1048"/>
      <c r="BU307" s="1048"/>
      <c r="BV307" s="962"/>
      <c r="BW307" s="962"/>
    </row>
    <row s="1621" customFormat="1" customHeight="1" ht="14.25">
      <c r="A308" s="960"/>
      <c r="B308" s="961"/>
      <c r="C308" s="960"/>
      <c r="D308" s="73" cm="1" t="str">
        <f t="array" ref="D308:D308">D307</f>
        <v>13</v>
      </c>
      <c r="E308" s="683">
        <v>15</v>
      </c>
      <c r="F308" s="50" cm="1" t="str">
        <f t="array" ref="F308:F308">OFFSET(E308,-1,1)</f>
        <v>1</v>
      </c>
      <c r="G308" s="124" t="s">
        <v>1506</v>
      </c>
      <c r="H308" s="960"/>
      <c r="I308" s="124" t="s">
        <v>2068</v>
      </c>
      <c r="J308" s="960"/>
      <c r="K308" s="124" t="s">
        <v>2068</v>
      </c>
      <c r="L308" s="963" t="s">
        <v>1772</v>
      </c>
      <c r="M308" s="73"/>
      <c r="N308" s="960"/>
      <c r="O308" s="960"/>
      <c r="P308" s="960"/>
      <c r="Q308" s="960"/>
      <c r="R308" s="960"/>
      <c r="S308" s="960"/>
      <c r="T308" s="439" cm="1" t="str">
        <f t="array" ref="T308:T308">T307</f>
        <v>true</v>
      </c>
      <c r="U308" s="960"/>
      <c r="V308" s="960"/>
      <c r="W308" s="960"/>
      <c r="X308" s="1482"/>
      <c r="Y308" s="960"/>
      <c r="Z308" s="1465"/>
      <c r="AA308" s="960"/>
      <c r="AB308" s="267" t="str">
        <f>D308&amp;".2"</f>
        <v>13.2</v>
      </c>
      <c r="AC308" s="1096" t="s">
        <v>1774</v>
      </c>
      <c r="AD308" s="267" t="s">
        <v>1494</v>
      </c>
      <c r="AE308" s="4614">
        <f>IF(AE306=0,0,AE300*(1+Сценарии!AE$26/100))</f>
        <v>0</v>
      </c>
      <c r="AF308" s="4614">
        <f>IF(AF306=0,0,AF300*(1+Сценарии!AF$26/100))</f>
        <v>0</v>
      </c>
      <c r="AG308" s="4614">
        <f>IF(AG306=0,0,AG300*(1+Сценарии!AG$26/100))</f>
        <v>0</v>
      </c>
      <c r="AH308" s="926">
        <f>AG308-AF308</f>
        <v>0</v>
      </c>
      <c r="AI308" s="4614">
        <f>IF(AI306=0,0,AI300*(1+Сценарии!AI$26/100))</f>
        <v>0</v>
      </c>
      <c r="AJ308" s="4614">
        <f>IF(AJ306=0,0,AJ300*(1+Сценарии!AJ$26/100))</f>
        <v>0</v>
      </c>
      <c r="AK308" s="1289">
        <f>IF(AK306=0,0,AK300*(1+Сценарии!AO$26/100))</f>
        <v>0</v>
      </c>
      <c r="AL308" s="1289">
        <f>IF(AL306=0,0,AL300*(1+Сценарии!AP$26/100))</f>
        <v>0</v>
      </c>
      <c r="AM308" s="4614">
        <f>IF(AM306=0,0,AM300*(1+Сценарии!AQ$26/100))</f>
        <v>0</v>
      </c>
      <c r="AN308" s="4614">
        <f>IF(AN306=0,0,AN300*(1+Сценарии!AR$26/100))</f>
        <v>0</v>
      </c>
      <c r="AO308" s="4614">
        <f>IF(AO306=0,0,AO300*(1+Сценарии!AS$26/100))</f>
        <v>0</v>
      </c>
      <c r="AP308" s="4614">
        <f>IF(AP306=0,0,AP300*(1+Сценарии!AT$26/100))</f>
        <v>0</v>
      </c>
      <c r="AQ308" s="4614">
        <f>IF(AQ306=0,0,AQ300*(1+Сценарии!AU$26/100))</f>
        <v>0</v>
      </c>
      <c r="AR308" s="4614">
        <f>IF(AR306=0,0,AR300*(1+Сценарии!AV$26/100))</f>
        <v>0</v>
      </c>
      <c r="AS308" s="4614">
        <f>IF(AS306=0,0,AS300*(1+Сценарии!AW$26/100))</f>
        <v>0</v>
      </c>
      <c r="AT308" s="4614">
        <f>IF(AT306=0,0,AT300*(1+Сценарии!AK$26/100))</f>
        <v>0</v>
      </c>
      <c r="AU308" s="1289">
        <f>IF(AU306=0,0,AU300*(1+Сценарии!AX$26/100))</f>
        <v>0</v>
      </c>
      <c r="AV308" s="1289">
        <f>IF(AV306=0,0,AV300*(1+Сценарии!AY$26/100))</f>
        <v>0</v>
      </c>
      <c r="AW308" s="4614">
        <f>IF(AW306=0,0,AW300*(1+Сценарии!AZ$26/100))</f>
        <v>0</v>
      </c>
      <c r="AX308" s="4614">
        <f>IF(AX306=0,0,AX300*(1+Сценарии!BA$26/100))</f>
        <v>0</v>
      </c>
      <c r="AY308" s="4614">
        <f>IF(AY306=0,0,AY300*(1+Сценарии!BB$26/100))</f>
        <v>0</v>
      </c>
      <c r="AZ308" s="4614">
        <f>IF(AZ306=0,0,AZ300*(1+Сценарии!BC$26/100))</f>
        <v>0</v>
      </c>
      <c r="BA308" s="4614">
        <f>IF(BA306=0,0,BA300*(1+Сценарии!BD$26/100))</f>
        <v>0</v>
      </c>
      <c r="BB308" s="4614">
        <f>IF(BB306=0,0,BB300*(1+Сценарии!BE$26/100))</f>
        <v>0</v>
      </c>
      <c r="BC308" s="4614">
        <f>IF(BC306=0,0,BC300*(1+Сценарии!BF$26/100))</f>
        <v>0</v>
      </c>
      <c r="BD308" s="925"/>
      <c r="BE308" s="925"/>
      <c r="BF308" s="925"/>
      <c r="BG308" s="925"/>
      <c r="BH308" s="925"/>
      <c r="BI308" s="925"/>
      <c r="BJ308" s="925"/>
      <c r="BK308" s="925"/>
      <c r="BL308" s="925"/>
      <c r="BM308" s="925"/>
      <c r="BN308" s="4830"/>
      <c r="BO308" s="4830"/>
      <c r="BP308" s="4830"/>
      <c r="BQ308" s="960"/>
      <c r="BR308" s="960"/>
      <c r="BS308" s="1046" t="s">
        <v>1775</v>
      </c>
      <c r="BT308" s="1048"/>
      <c r="BU308" s="1048"/>
      <c r="BV308" s="962"/>
      <c r="BW308" s="962"/>
    </row>
    <row s="1621" customFormat="1" customHeight="1" ht="14.25">
      <c r="A309" s="960"/>
      <c r="B309" s="62"/>
      <c r="C309" s="73"/>
      <c r="D309" s="73" cm="1" t="str">
        <f t="array" ref="D309:D309">D308</f>
        <v>13</v>
      </c>
      <c r="E309" s="600">
        <v>15</v>
      </c>
      <c r="F309" s="50" cm="1" t="str">
        <f t="array" ref="F309:F309">OFFSET(E309,-1,1)</f>
        <v>1</v>
      </c>
      <c r="G309" s="73" t="s">
        <v>1557</v>
      </c>
      <c r="H309" s="73"/>
      <c r="I309" s="73" t="s">
        <v>2069</v>
      </c>
      <c r="J309" s="73"/>
      <c r="K309" s="73" t="s">
        <v>2069</v>
      </c>
      <c r="L309" s="963" t="s">
        <v>1776</v>
      </c>
      <c r="M309" s="73"/>
      <c r="N309" s="73"/>
      <c r="O309" s="73"/>
      <c r="P309" s="73"/>
      <c r="Q309" s="73"/>
      <c r="R309" s="73"/>
      <c r="S309" s="73"/>
      <c r="T309" s="439" cm="1" t="str">
        <f t="array" ref="T309:T309">T308</f>
        <v>true</v>
      </c>
      <c r="U309" s="73"/>
      <c r="V309" s="73"/>
      <c r="W309" s="73"/>
      <c r="X309" s="1482"/>
      <c r="Y309" s="960"/>
      <c r="Z309" s="1465"/>
      <c r="AA309" s="960"/>
      <c r="AB309" s="267" t="str">
        <f>D309&amp;".3"</f>
        <v>13.3</v>
      </c>
      <c r="AC309" s="1096" t="s">
        <v>1746</v>
      </c>
      <c r="AD309" s="267" t="s">
        <v>512</v>
      </c>
      <c r="AE309" s="929">
        <f>AE306-AE307</f>
        <v>0</v>
      </c>
      <c r="AF309" s="929">
        <f>AF306-AF307</f>
        <v>0</v>
      </c>
      <c r="AG309" s="929">
        <f>AG306-AG307</f>
        <v>0</v>
      </c>
      <c r="AH309" s="924">
        <f>AG309-AF309</f>
        <v>0</v>
      </c>
      <c r="AI309" s="806">
        <f>AI306-AI307</f>
        <v>0</v>
      </c>
      <c r="AJ309" s="806">
        <f>AJ306-AJ307</f>
        <v>0</v>
      </c>
      <c r="AK309" s="806">
        <f>AK306-AK307</f>
        <v>0</v>
      </c>
      <c r="AL309" s="806">
        <f>AL306-AL307</f>
        <v>0</v>
      </c>
      <c r="AM309" s="806">
        <f>AM306-AM307</f>
        <v>0</v>
      </c>
      <c r="AN309" s="806">
        <f>AN306-AN307</f>
        <v>0</v>
      </c>
      <c r="AO309" s="806">
        <f>AO306-AO307</f>
        <v>0</v>
      </c>
      <c r="AP309" s="806">
        <f>AP306-AP307</f>
        <v>0</v>
      </c>
      <c r="AQ309" s="806">
        <f>AQ306-AQ307</f>
        <v>0</v>
      </c>
      <c r="AR309" s="806">
        <f>AR306-AR307</f>
        <v>0</v>
      </c>
      <c r="AS309" s="806">
        <f>AS306-AS307</f>
        <v>0</v>
      </c>
      <c r="AT309" s="806">
        <f>AT306-AT307</f>
        <v>0</v>
      </c>
      <c r="AU309" s="806">
        <f>AU306-AU307</f>
        <v>0</v>
      </c>
      <c r="AV309" s="806">
        <f>AV306-AV307</f>
        <v>0</v>
      </c>
      <c r="AW309" s="806">
        <f>AW306-AW307</f>
        <v>0</v>
      </c>
      <c r="AX309" s="806">
        <f>AX306-AX307</f>
        <v>0</v>
      </c>
      <c r="AY309" s="806">
        <f>AY306-AY307</f>
        <v>0</v>
      </c>
      <c r="AZ309" s="806">
        <f>AZ306-AZ307</f>
        <v>0</v>
      </c>
      <c r="BA309" s="806">
        <f>BA306-BA307</f>
        <v>0</v>
      </c>
      <c r="BB309" s="806">
        <f>BB306-BB307</f>
        <v>0</v>
      </c>
      <c r="BC309" s="806">
        <f>BC306-BC307</f>
        <v>0</v>
      </c>
      <c r="BD309" s="925"/>
      <c r="BE309" s="925"/>
      <c r="BF309" s="925"/>
      <c r="BG309" s="925"/>
      <c r="BH309" s="925"/>
      <c r="BI309" s="925"/>
      <c r="BJ309" s="925"/>
      <c r="BK309" s="925"/>
      <c r="BL309" s="925"/>
      <c r="BM309" s="925"/>
      <c r="BN309" s="4830"/>
      <c r="BO309" s="4830"/>
      <c r="BP309" s="4830"/>
      <c r="BQ309" s="960"/>
      <c r="BR309" s="960"/>
      <c r="BS309" s="1046" t="s">
        <v>1778</v>
      </c>
      <c r="BT309" s="1048"/>
      <c r="BU309" s="1048"/>
      <c r="BV309" s="962"/>
      <c r="BW309" s="962"/>
    </row>
    <row s="1621" customFormat="1" customHeight="1" ht="14.25">
      <c r="A310" s="960"/>
      <c r="B310" s="62"/>
      <c r="C310" s="73"/>
      <c r="D310" s="73" cm="1" t="str">
        <f t="array" ref="D310:D310">D309</f>
        <v>13</v>
      </c>
      <c r="E310" s="600">
        <v>15</v>
      </c>
      <c r="F310" s="50" cm="1" t="str">
        <f t="array" ref="F310:F310">OFFSET(E310,-1,1)</f>
        <v>1</v>
      </c>
      <c r="G310" s="73" t="s">
        <v>1510</v>
      </c>
      <c r="H310" s="73"/>
      <c r="I310" s="73" t="s">
        <v>2070</v>
      </c>
      <c r="J310" s="73"/>
      <c r="K310" s="73" t="s">
        <v>2070</v>
      </c>
      <c r="L310" s="963" t="s">
        <v>1779</v>
      </c>
      <c r="M310" s="73"/>
      <c r="N310" s="73"/>
      <c r="O310" s="73"/>
      <c r="P310" s="73"/>
      <c r="Q310" s="73"/>
      <c r="R310" s="73"/>
      <c r="S310" s="73"/>
      <c r="T310" s="439" cm="1" t="str">
        <f t="array" ref="T310:T310">T309</f>
        <v>true</v>
      </c>
      <c r="U310" s="73"/>
      <c r="V310" s="73"/>
      <c r="W310" s="73"/>
      <c r="X310" s="1482"/>
      <c r="Y310" s="960"/>
      <c r="Z310" s="1465"/>
      <c r="AA310" s="960"/>
      <c r="AB310" s="267" t="str">
        <f>D310&amp;".4"</f>
        <v>13.4</v>
      </c>
      <c r="AC310" s="1096" t="s">
        <v>1750</v>
      </c>
      <c r="AD310" s="267" t="s">
        <v>1494</v>
      </c>
      <c r="AE310" s="4614">
        <f>IF(AE306=0,0,AE302*(1+Сценарии!AE$26/100))</f>
        <v>0</v>
      </c>
      <c r="AF310" s="4614">
        <f>IF(AF306=0,0,AF302*(1+Сценарии!AF$26/100))</f>
        <v>0</v>
      </c>
      <c r="AG310" s="4614">
        <f>IF(AG306=0,0,AG302*(1+Сценарии!AG$26/100))</f>
        <v>0</v>
      </c>
      <c r="AH310" s="926">
        <f>AG310-AF310</f>
        <v>0</v>
      </c>
      <c r="AI310" s="4614">
        <f>IF(AI306=0,0,AI302*(1+Сценарии!AI$26/100))</f>
        <v>0</v>
      </c>
      <c r="AJ310" s="4614">
        <f>IF(AJ306=0,0,AJ302*(1+Сценарии!AJ$26/100))</f>
        <v>0</v>
      </c>
      <c r="AK310" s="1289">
        <f>IF(AK306=0,0,AK302*(1+Сценарии!AO$26/100))</f>
        <v>0</v>
      </c>
      <c r="AL310" s="1289">
        <f>IF(AL306=0,0,AL302*(1+Сценарии!AP$26/100))</f>
        <v>0</v>
      </c>
      <c r="AM310" s="4614">
        <f>IF(AM306=0,0,AM302*(1+Сценарии!AQ$26/100))</f>
        <v>0</v>
      </c>
      <c r="AN310" s="4614">
        <f>IF(AN306=0,0,AN302*(1+Сценарии!AR$26/100))</f>
        <v>0</v>
      </c>
      <c r="AO310" s="4614">
        <f>IF(AO306=0,0,AO302*(1+Сценарии!AS$26/100))</f>
        <v>0</v>
      </c>
      <c r="AP310" s="4614">
        <f>IF(AP306=0,0,AP302*(1+Сценарии!AT$26/100))</f>
        <v>0</v>
      </c>
      <c r="AQ310" s="4614">
        <f>IF(AQ306=0,0,AQ302*(1+Сценарии!AU$26/100))</f>
        <v>0</v>
      </c>
      <c r="AR310" s="4614">
        <f>IF(AR306=0,0,AR302*(1+Сценарии!AV$26/100))</f>
        <v>0</v>
      </c>
      <c r="AS310" s="4614">
        <f>IF(AS306=0,0,AS302*(1+Сценарии!AW$26/100))</f>
        <v>0</v>
      </c>
      <c r="AT310" s="4614">
        <f>IF(AT306=0,0,AT302*(1+Сценарии!AK$26/100))</f>
        <v>0</v>
      </c>
      <c r="AU310" s="1289">
        <f>IF(AU306=0,0,AU302*(1+Сценарии!AX$26/100))</f>
        <v>0</v>
      </c>
      <c r="AV310" s="1289">
        <f>IF(AV306=0,0,AV302*(1+Сценарии!AY$26/100))</f>
        <v>0</v>
      </c>
      <c r="AW310" s="4614">
        <f>IF(AW306=0,0,AW302*(1+Сценарии!AZ$26/100))</f>
        <v>0</v>
      </c>
      <c r="AX310" s="4614">
        <f>IF(AX306=0,0,AX302*(1+Сценарии!BA$26/100))</f>
        <v>0</v>
      </c>
      <c r="AY310" s="4614">
        <f>IF(AY306=0,0,AY302*(1+Сценарии!BB$26/100))</f>
        <v>0</v>
      </c>
      <c r="AZ310" s="4614">
        <f>IF(AZ306=0,0,AZ302*(1+Сценарии!BC$26/100))</f>
        <v>0</v>
      </c>
      <c r="BA310" s="4614">
        <f>IF(BA306=0,0,BA302*(1+Сценарии!BD$26/100))</f>
        <v>0</v>
      </c>
      <c r="BB310" s="4614">
        <f>IF(BB306=0,0,BB302*(1+Сценарии!BE$26/100))</f>
        <v>0</v>
      </c>
      <c r="BC310" s="4614">
        <f>IF(BC306=0,0,BC302*(1+Сценарии!BF$26/100))</f>
        <v>0</v>
      </c>
      <c r="BD310" s="925"/>
      <c r="BE310" s="925"/>
      <c r="BF310" s="925"/>
      <c r="BG310" s="925"/>
      <c r="BH310" s="925"/>
      <c r="BI310" s="925"/>
      <c r="BJ310" s="925"/>
      <c r="BK310" s="925"/>
      <c r="BL310" s="925"/>
      <c r="BM310" s="925"/>
      <c r="BN310" s="4830"/>
      <c r="BO310" s="4830"/>
      <c r="BP310" s="4830"/>
      <c r="BQ310" s="960"/>
      <c r="BR310" s="960"/>
      <c r="BS310" s="1046" t="s">
        <v>1782</v>
      </c>
      <c r="BT310" s="1048"/>
      <c r="BU310" s="1048"/>
      <c r="BV310" s="962"/>
      <c r="BW310" s="962"/>
    </row>
    <row s="1621" customFormat="1" customHeight="1" ht="14.25">
      <c r="A311" s="960"/>
      <c r="B311" s="62"/>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482"/>
      <c r="Y311" s="960"/>
      <c r="Z311" s="1465"/>
      <c r="AA311" s="960"/>
      <c r="AB311" s="178" cm="1" t="str">
        <f t="array" ref="AB311:AB311">D311</f>
        <v>14</v>
      </c>
      <c r="AC311" s="179" t="s">
        <v>1784</v>
      </c>
      <c r="AD311" s="178" t="s">
        <v>784</v>
      </c>
      <c r="AE311" s="4759"/>
      <c r="AF311" s="4759"/>
      <c r="AG311" s="4759"/>
      <c r="AH311" s="926"/>
      <c r="AI311" s="4614"/>
      <c r="AJ311" s="4614"/>
      <c r="AK311" s="1289"/>
      <c r="AL311" s="1289"/>
      <c r="AM311" s="4614"/>
      <c r="AN311" s="4614"/>
      <c r="AO311" s="4614"/>
      <c r="AP311" s="4614"/>
      <c r="AQ311" s="4614"/>
      <c r="AR311" s="4614"/>
      <c r="AS311" s="4614"/>
      <c r="AT311" s="4614"/>
      <c r="AU311" s="1289"/>
      <c r="AV311" s="1289"/>
      <c r="AW311" s="4614"/>
      <c r="AX311" s="4614"/>
      <c r="AY311" s="4614"/>
      <c r="AZ311" s="4614"/>
      <c r="BA311" s="4614"/>
      <c r="BB311" s="4614"/>
      <c r="BC311" s="4614"/>
      <c r="BD311" s="925"/>
      <c r="BE311" s="925"/>
      <c r="BF311" s="925"/>
      <c r="BG311" s="925"/>
      <c r="BH311" s="925"/>
      <c r="BI311" s="925"/>
      <c r="BJ311" s="925"/>
      <c r="BK311" s="925"/>
      <c r="BL311" s="925"/>
      <c r="BM311" s="925"/>
      <c r="BN311" s="4830"/>
      <c r="BO311" s="4830"/>
      <c r="BP311" s="4830"/>
      <c r="BQ311" s="960"/>
      <c r="BR311" s="960"/>
      <c r="BS311" s="1046" t="s">
        <v>1785</v>
      </c>
      <c r="BT311" s="1048"/>
      <c r="BU311" s="1048"/>
      <c r="BV311" s="962"/>
      <c r="BW311" s="962"/>
    </row>
    <row s="1621" customFormat="1" customHeight="1" ht="57.75">
      <c r="A312" s="960"/>
      <c r="B312" s="62"/>
      <c r="C312" s="73"/>
      <c r="D312" s="73" cm="1" t="str">
        <f t="array" ref="D312:D312">D311</f>
        <v>14</v>
      </c>
      <c r="E312" s="600">
        <v>59.25</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482"/>
      <c r="Y312" s="960"/>
      <c r="Z312" s="1465"/>
      <c r="AA312" s="960"/>
      <c r="AB312" s="267" t="str">
        <f>D312&amp;".1"</f>
        <v>14.1</v>
      </c>
      <c r="AC312" s="743" t="s">
        <v>1787</v>
      </c>
      <c r="AD312" s="267" t="s">
        <v>784</v>
      </c>
      <c r="AE312" s="4759"/>
      <c r="AF312" s="4759"/>
      <c r="AG312" s="4759"/>
      <c r="AH312" s="926">
        <f>AG312-AF312</f>
        <v>0</v>
      </c>
      <c r="AI312" s="4614"/>
      <c r="AJ312" s="4614"/>
      <c r="AK312" s="1289"/>
      <c r="AL312" s="1289"/>
      <c r="AM312" s="4614"/>
      <c r="AN312" s="4614"/>
      <c r="AO312" s="4614"/>
      <c r="AP312" s="4614"/>
      <c r="AQ312" s="4614"/>
      <c r="AR312" s="4614"/>
      <c r="AS312" s="4614"/>
      <c r="AT312" s="4614"/>
      <c r="AU312" s="1289"/>
      <c r="AV312" s="1289"/>
      <c r="AW312" s="4614"/>
      <c r="AX312" s="4614"/>
      <c r="AY312" s="4614"/>
      <c r="AZ312" s="4614"/>
      <c r="BA312" s="4614"/>
      <c r="BB312" s="4614"/>
      <c r="BC312" s="4614"/>
      <c r="BD312" s="925"/>
      <c r="BE312" s="925"/>
      <c r="BF312" s="925"/>
      <c r="BG312" s="925"/>
      <c r="BH312" s="925"/>
      <c r="BI312" s="925"/>
      <c r="BJ312" s="925"/>
      <c r="BK312" s="925"/>
      <c r="BL312" s="925"/>
      <c r="BM312" s="925"/>
      <c r="BN312" s="4830"/>
      <c r="BO312" s="4830"/>
      <c r="BP312" s="4830"/>
      <c r="BQ312" s="960"/>
      <c r="BR312" s="960"/>
      <c r="BS312" s="1046" t="s">
        <v>1788</v>
      </c>
      <c r="BT312" s="1055"/>
      <c r="BU312" s="1055"/>
      <c r="BV312" s="1056"/>
      <c r="BW312" s="1056"/>
    </row>
    <row s="1621" customFormat="1" customHeight="1" ht="33">
      <c r="A313" s="960"/>
      <c r="B313" s="62"/>
      <c r="C313" s="73"/>
      <c r="D313" s="73" cm="1" t="str">
        <f t="array" ref="D313:D313">D312</f>
        <v>14</v>
      </c>
      <c r="E313" s="600">
        <v>34.2</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482"/>
      <c r="Y313" s="960"/>
      <c r="Z313" s="1465"/>
      <c r="AA313" s="960"/>
      <c r="AB313" s="267" t="str">
        <f>D313&amp;".2"</f>
        <v>14.2</v>
      </c>
      <c r="AC313" s="743" t="s">
        <v>1790</v>
      </c>
      <c r="AD313" s="267" t="s">
        <v>784</v>
      </c>
      <c r="AE313" s="4759"/>
      <c r="AF313" s="4759"/>
      <c r="AG313" s="4759"/>
      <c r="AH313" s="926">
        <f>AG313-AF313</f>
        <v>0</v>
      </c>
      <c r="AI313" s="4614"/>
      <c r="AJ313" s="4614"/>
      <c r="AK313" s="1289"/>
      <c r="AL313" s="1289"/>
      <c r="AM313" s="4614"/>
      <c r="AN313" s="4614"/>
      <c r="AO313" s="4614"/>
      <c r="AP313" s="4614"/>
      <c r="AQ313" s="4614"/>
      <c r="AR313" s="4614"/>
      <c r="AS313" s="4614"/>
      <c r="AT313" s="4614"/>
      <c r="AU313" s="1289"/>
      <c r="AV313" s="1289"/>
      <c r="AW313" s="4614"/>
      <c r="AX313" s="4614"/>
      <c r="AY313" s="4614"/>
      <c r="AZ313" s="4614"/>
      <c r="BA313" s="4614"/>
      <c r="BB313" s="4614"/>
      <c r="BC313" s="4614"/>
      <c r="BD313" s="925"/>
      <c r="BE313" s="925"/>
      <c r="BF313" s="925"/>
      <c r="BG313" s="925"/>
      <c r="BH313" s="925"/>
      <c r="BI313" s="925"/>
      <c r="BJ313" s="925"/>
      <c r="BK313" s="925"/>
      <c r="BL313" s="925"/>
      <c r="BM313" s="925"/>
      <c r="BN313" s="4830"/>
      <c r="BO313" s="4830"/>
      <c r="BP313" s="4830"/>
      <c r="BQ313" s="960"/>
      <c r="BR313" s="960"/>
      <c r="BS313" s="1046" t="s">
        <v>1791</v>
      </c>
      <c r="BT313" s="1055"/>
      <c r="BU313" s="1055"/>
      <c r="BV313" s="1056"/>
      <c r="BW313" s="1056"/>
    </row>
    <row s="1621" customFormat="1" customHeight="1" ht="33">
      <c r="A314" s="472"/>
      <c r="B314" s="734"/>
      <c r="C314" s="73"/>
      <c r="D314" s="73" cm="1" t="str">
        <f t="array" ref="D314:D314">D313</f>
        <v>14</v>
      </c>
      <c r="E314" s="600">
        <v>34.2</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482"/>
      <c r="Y314" s="472"/>
      <c r="Z314" s="1465"/>
      <c r="AA314" s="472"/>
      <c r="AB314" s="267" t="str">
        <f>D314&amp;".3"</f>
        <v>14.3</v>
      </c>
      <c r="AC314" s="743" t="s">
        <v>2071</v>
      </c>
      <c r="AD314" s="267" t="s">
        <v>784</v>
      </c>
      <c r="AE314" s="928"/>
      <c r="AF314" s="4759"/>
      <c r="AG314" s="4759"/>
      <c r="AH314" s="226">
        <f>AG314-AF314</f>
        <v>0</v>
      </c>
      <c r="AI314" s="928"/>
      <c r="AJ314" s="928"/>
      <c r="AK314" s="928"/>
      <c r="AL314" s="928"/>
      <c r="AM314" s="928"/>
      <c r="AN314" s="928"/>
      <c r="AO314" s="928"/>
      <c r="AP314" s="928"/>
      <c r="AQ314" s="928"/>
      <c r="AR314" s="928"/>
      <c r="AS314" s="928"/>
      <c r="AT314" s="928"/>
      <c r="AU314" s="928"/>
      <c r="AV314" s="928"/>
      <c r="AW314" s="928"/>
      <c r="AX314" s="928"/>
      <c r="AY314" s="928"/>
      <c r="AZ314" s="928"/>
      <c r="BA314" s="928"/>
      <c r="BB314" s="928"/>
      <c r="BC314" s="928"/>
      <c r="BD314" s="928"/>
      <c r="BE314" s="928"/>
      <c r="BF314" s="928"/>
      <c r="BG314" s="928"/>
      <c r="BH314" s="928"/>
      <c r="BI314" s="928"/>
      <c r="BJ314" s="928"/>
      <c r="BK314" s="928"/>
      <c r="BL314" s="928"/>
      <c r="BM314" s="928"/>
      <c r="BN314" s="4830"/>
      <c r="BO314" s="4830"/>
      <c r="BP314" s="4830"/>
      <c r="BQ314" s="960"/>
      <c r="BR314" s="960"/>
      <c r="BS314" s="1055" t="s">
        <v>2072</v>
      </c>
      <c r="BT314" s="1055"/>
      <c r="BU314" s="1055"/>
      <c r="BV314" s="1056"/>
      <c r="BW314" s="1056"/>
    </row>
    <row s="4845" customFormat="1" customHeight="1" ht="14.25">
      <c r="A315" s="1153"/>
      <c r="B315" s="401"/>
      <c r="C315" s="1153"/>
      <c r="D315" s="1153"/>
      <c r="E315" s="597">
        <v>15</v>
      </c>
      <c r="F315" s="64" cm="1" t="str">
        <f t="array" ref="F315:F315">X315</f>
        <v>2</v>
      </c>
      <c r="G315" s="64" cm="1" t="str">
        <f t="array" ref="G315:G315">INDEX('Общие сведения'!$AK$179:$AK$222,MATCH($X315,'Общие сведения'!$Z$179:$Z$222,0))</f>
        <v>одноставочный</v>
      </c>
      <c r="H315" s="1153"/>
      <c r="I315" s="64"/>
      <c r="J315" s="1153"/>
      <c r="K315" s="1153"/>
      <c r="L315" s="965"/>
      <c r="M315" s="399"/>
      <c r="N315" s="1153"/>
      <c r="O315" s="1153"/>
      <c r="P315" s="1153"/>
      <c r="Q315" s="1153"/>
      <c r="R315" s="1153"/>
      <c r="S315" s="88" cm="1" t="str">
        <f t="array" ref="S315:S315">INDEX('Общие сведения'!$AE$179:$AE$222,MATCH($X315,'Общие сведения'!$Z$179:$Z$222,0))</f>
        <v>Водоотведение</v>
      </c>
      <c r="T315" s="439">
        <f>X315&gt;0</f>
        <v>1</v>
      </c>
      <c r="U315" s="1153"/>
      <c r="V315" s="88" cm="1" t="str">
        <f t="array" ref="V315:V315">'Калькуляция (МИ)'!$AB$315</f>
        <v>Тариф 2 (Водоотведение) - тариф на водоотведение (Оказание услуг на территории: Прокопьевский муниципальный округ (ОКТМО: 32522000) - п Калачево)</v>
      </c>
      <c r="W315" s="1153"/>
      <c r="X315" s="1482" t="s">
        <v>283</v>
      </c>
      <c r="Y315" s="1153"/>
      <c r="Z315" s="1465"/>
      <c r="AA315" s="1153"/>
      <c r="AB315" s="348" cm="1" t="str">
        <f t="array" ref="AB315:AB315">'Калькуляция (МИ)'!$AB$315</f>
        <v>Тариф 2 (Водоотведение) - тариф на водоотведение (Оказание услуг на территории: Прокопьевский муниципальный округ (ОКТМО: 32522000) - п Калачево)</v>
      </c>
      <c r="AC315" s="219"/>
      <c r="AD315" s="219"/>
      <c r="AE315" s="219"/>
      <c r="AF315" s="219"/>
      <c r="AG315" s="219"/>
      <c r="AH315" s="219"/>
      <c r="AI315" s="219"/>
      <c r="AJ315" s="219"/>
      <c r="AK315" s="219"/>
      <c r="AL315" s="219"/>
      <c r="AM315" s="219"/>
      <c r="AN315" s="219"/>
      <c r="AO315" s="219"/>
      <c r="AP315" s="219"/>
      <c r="AQ315" s="219"/>
      <c r="AR315" s="219"/>
      <c r="AS315" s="219"/>
      <c r="AT315" s="219"/>
      <c r="AU315" s="219"/>
      <c r="AV315" s="219"/>
      <c r="AW315" s="219"/>
      <c r="AX315" s="219"/>
      <c r="AY315" s="219"/>
      <c r="AZ315" s="219"/>
      <c r="BA315" s="219"/>
      <c r="BB315" s="219"/>
      <c r="BC315" s="219"/>
      <c r="BD315" s="219"/>
      <c r="BE315" s="219"/>
      <c r="BF315" s="219"/>
      <c r="BG315" s="219"/>
      <c r="BH315" s="219"/>
      <c r="BI315" s="219"/>
      <c r="BJ315" s="219"/>
      <c r="BK315" s="219"/>
      <c r="BL315" s="219"/>
      <c r="BM315" s="219"/>
      <c r="BN315" s="219"/>
      <c r="BO315" s="219"/>
      <c r="BP315" s="219"/>
      <c r="BQ315" s="1153"/>
      <c r="BR315" s="1153"/>
      <c r="BS315" s="980"/>
      <c r="BT315" s="980"/>
      <c r="BU315" s="980"/>
      <c r="BV315" s="597"/>
      <c r="BW315" s="597"/>
    </row>
    <row s="4846" customFormat="1" customHeight="1" ht="201.75">
      <c r="A316" s="127"/>
      <c r="B316" s="407"/>
      <c r="C316" s="127"/>
      <c r="D316" s="127"/>
      <c r="E316" s="685">
        <v>21</v>
      </c>
      <c r="F316" s="50" cm="1" t="str">
        <f t="array" ref="F316:F316">OFFSET(E316,-1,1)</f>
        <v>2</v>
      </c>
      <c r="G316" s="127"/>
      <c r="H316" s="344"/>
      <c r="I316" s="344" t="s">
        <v>325</v>
      </c>
      <c r="J316" s="127"/>
      <c r="K316" s="344" t="s">
        <v>325</v>
      </c>
      <c r="L316" s="966"/>
      <c r="M316" s="837"/>
      <c r="N316" s="127"/>
      <c r="O316" s="127"/>
      <c r="P316" s="127"/>
      <c r="Q316" s="127"/>
      <c r="R316" s="127" t="s">
        <v>2093</v>
      </c>
      <c r="S316" s="127"/>
      <c r="T316" s="439" cm="1" t="str">
        <f t="array" ref="T316:T316">T315</f>
        <v>true</v>
      </c>
      <c r="U316" s="127"/>
      <c r="V316" s="127"/>
      <c r="W316" s="127"/>
      <c r="X316" s="1482"/>
      <c r="Y316" s="127"/>
      <c r="Z316" s="1465"/>
      <c r="AA316" s="127"/>
      <c r="AB316" s="214" t="s">
        <v>272</v>
      </c>
      <c r="AC316" s="179" t="s">
        <v>1798</v>
      </c>
      <c r="AD316" s="201" t="s">
        <v>784</v>
      </c>
      <c r="AE316" s="742">
        <f>SUM(AE318,AE335,AE341,AE361,AE362,AE363)</f>
        <v>4583.5759804545</v>
      </c>
      <c r="AF316" s="742">
        <f>SUM(AF318,AF335,AF341,AF361,AF362,AF363)</f>
        <v>21056.670123669</v>
      </c>
      <c r="AG316" s="742">
        <f>SUM(AG318,AG335,AG341,AG361,AG362,AG363)</f>
        <v>0</v>
      </c>
      <c r="AH316" s="742">
        <f>AG316-AF316</f>
        <v>-21056.670123669</v>
      </c>
      <c r="AI316" s="4595">
        <v>4728.3253099173</v>
      </c>
      <c r="AJ316" s="4595">
        <v>4941.0999488636</v>
      </c>
      <c r="AK316" s="1273">
        <f>AJ316*AK317</f>
        <v>4941.0999488636</v>
      </c>
      <c r="AL316" s="1273">
        <f>AK316*AL317</f>
        <v>4941.0999488636</v>
      </c>
      <c r="AM316" s="4595">
        <f>AL316*AM317</f>
        <v>4941.0999488636</v>
      </c>
      <c r="AN316" s="4595">
        <f>AM316*AN317</f>
        <v>4941.0999488636</v>
      </c>
      <c r="AO316" s="4595">
        <f>AN316*AO317</f>
        <v>4941.0999488636</v>
      </c>
      <c r="AP316" s="4595">
        <f>AO316*AP317</f>
        <v>4941.0999488636</v>
      </c>
      <c r="AQ316" s="4595">
        <f>AP316*AQ317</f>
        <v>4941.0999488636</v>
      </c>
      <c r="AR316" s="4595">
        <f>AQ316*AR317</f>
        <v>4941.0999488636</v>
      </c>
      <c r="AS316" s="4595">
        <f>AR316*AS317</f>
        <v>4941.0999488636</v>
      </c>
      <c r="AT316" s="4595">
        <v>4957.2954159754</v>
      </c>
      <c r="AU316" s="1273">
        <f>AT316*AU317</f>
        <v>4957.2954159754</v>
      </c>
      <c r="AV316" s="1273">
        <f>AU316*AV317</f>
        <v>4957.2954159754</v>
      </c>
      <c r="AW316" s="4595">
        <f>AV316*AW317</f>
        <v>4957.2954159754</v>
      </c>
      <c r="AX316" s="4595">
        <f>AW316*AX317</f>
        <v>4957.2954159754</v>
      </c>
      <c r="AY316" s="4595">
        <f>AX316*AY317</f>
        <v>4957.2954159754</v>
      </c>
      <c r="AZ316" s="4595">
        <f>AY316*AZ317</f>
        <v>4957.2954159754</v>
      </c>
      <c r="BA316" s="4595">
        <f>AZ316*BA317</f>
        <v>4957.2954159754</v>
      </c>
      <c r="BB316" s="4595">
        <f>BA316*BB317</f>
        <v>4957.2954159754</v>
      </c>
      <c r="BC316" s="4595">
        <f>BB316*BC317</f>
        <v>4957.2954159754</v>
      </c>
      <c r="BD316" s="742">
        <f>IF(AI316=0,0,(AT316-AI316)/AI316*100)</f>
        <v>4.84252015354893</v>
      </c>
      <c r="BE316" s="742">
        <f>IF(AT316=0,0,(AU316-AT316)/AT316*100)</f>
        <v>0</v>
      </c>
      <c r="BF316" s="742">
        <f>IF(AU316=0,0,(AV316-AU316)/AU316*100)</f>
        <v>0</v>
      </c>
      <c r="BG316" s="742">
        <f>IF(AV316=0,0,(AW316-AV316)/AV316*100)</f>
        <v>0</v>
      </c>
      <c r="BH316" s="742">
        <f>IF(AW316=0,0,(AX316-AW316)/AW316*100)</f>
        <v>0</v>
      </c>
      <c r="BI316" s="742">
        <f>IF(AX316=0,0,(AY316-AX316)/AX316*100)</f>
        <v>0</v>
      </c>
      <c r="BJ316" s="742">
        <f>IF(AY316=0,0,(AZ316-AY316)/AY316*100)</f>
        <v>0</v>
      </c>
      <c r="BK316" s="742">
        <f>IF(AZ316=0,0,(BA316-AZ316)/AZ316*100)</f>
        <v>0</v>
      </c>
      <c r="BL316" s="742">
        <f>IF(BA316=0,0,(BB316-BA316)/BA316*100)</f>
        <v>0</v>
      </c>
      <c r="BM316" s="742">
        <f>IF(BB316=0,0,(BC316-BB316)/BB316*100)</f>
        <v>0</v>
      </c>
      <c r="BN316" s="4782" t="s">
        <v>2089</v>
      </c>
      <c r="BO316" s="4782" t="s">
        <v>2074</v>
      </c>
      <c r="BP316" s="4782" t="s">
        <v>2075</v>
      </c>
      <c r="BQ316" s="126"/>
      <c r="BR316" s="127"/>
      <c r="BS316" s="1052" t="s">
        <v>504</v>
      </c>
      <c r="BT316" s="1052"/>
      <c r="BU316" s="1052"/>
      <c r="BV316" s="685"/>
      <c r="BW316" s="685"/>
    </row>
    <row s="1621" customFormat="1" customHeight="1" ht="14.625">
      <c r="A317" s="960"/>
      <c r="B317" s="961"/>
      <c r="C317" s="960"/>
      <c r="D317" s="960"/>
      <c r="E317" s="683">
        <v>15</v>
      </c>
      <c r="F317" s="50" cm="1" t="str">
        <f t="array" ref="F317:F317">OFFSET(E317,-1,1)</f>
        <v>2</v>
      </c>
      <c r="G317" s="960"/>
      <c r="H317" s="345"/>
      <c r="I317" s="345" t="s">
        <v>441</v>
      </c>
      <c r="J317" s="960"/>
      <c r="K317" s="345" t="s">
        <v>441</v>
      </c>
      <c r="L317" s="963"/>
      <c r="M317" s="73"/>
      <c r="N317" s="960"/>
      <c r="O317" s="960"/>
      <c r="P317" s="960"/>
      <c r="Q317" s="960"/>
      <c r="R317" s="127" t="s">
        <v>2093</v>
      </c>
      <c r="S317" s="960"/>
      <c r="T317" s="439" cm="1" t="str">
        <f t="array" ref="T317:T317">T316</f>
        <v>true</v>
      </c>
      <c r="U317" s="960"/>
      <c r="V317" s="960"/>
      <c r="W317" s="960"/>
      <c r="X317" s="1482"/>
      <c r="Y317" s="960"/>
      <c r="Z317" s="1465"/>
      <c r="AA317" s="960"/>
      <c r="AB317" s="266" t="s">
        <v>845</v>
      </c>
      <c r="AC317" s="743" t="s">
        <v>1799</v>
      </c>
      <c r="AD317" s="267"/>
      <c r="AE317" s="4743"/>
      <c r="AF317" s="4743"/>
      <c r="AG317" s="4743"/>
      <c r="AH317" s="924">
        <f>AG317-AF317</f>
        <v>0</v>
      </c>
      <c r="AI317" s="4743">
        <v>1.03158</v>
      </c>
      <c r="AJ317" s="4743">
        <v>1.045</v>
      </c>
      <c r="AK317" s="1279">
        <f>_xlfn.SUMIFS(INDEX(Сценарии!$AE$25:$BF$109,,MATCH(AK$8,Сценарии!$AE$8:$BF$8,0)),Сценарии!$F$25:$F$109,$F317,Сценарии!$G$25:$G$109,"ИОР")</f>
        <v>1</v>
      </c>
      <c r="AL317" s="1279">
        <f>_xlfn.SUMIFS(INDEX(Сценарии!$AE$25:$BF$109,,MATCH(AL$8,Сценарии!$AE$8:$BF$8,0)),Сценарии!$F$25:$F$109,$F317,Сценарии!$G$25:$G$109,"ИОР")</f>
        <v>1</v>
      </c>
      <c r="AM317" s="4743">
        <f>_xlfn.SUMIFS(INDEX(Сценарии!$AE$25:$BF$109,,MATCH(AM$8,Сценарии!$AE$8:$BF$8,0)),Сценарии!$F$25:$F$109,$F317,Сценарии!$G$25:$G$109,"ИОР")</f>
        <v>1</v>
      </c>
      <c r="AN317" s="4743">
        <f>_xlfn.SUMIFS(INDEX(Сценарии!$AE$25:$BF$109,,MATCH(AN$8,Сценарии!$AE$8:$BF$8,0)),Сценарии!$F$25:$F$109,$F317,Сценарии!$G$25:$G$109,"ИОР")</f>
        <v>1</v>
      </c>
      <c r="AO317" s="4743">
        <f>_xlfn.SUMIFS(INDEX(Сценарии!$AE$25:$BF$109,,MATCH(AO$8,Сценарии!$AE$8:$BF$8,0)),Сценарии!$F$25:$F$109,$F317,Сценарии!$G$25:$G$109,"ИОР")</f>
        <v>1</v>
      </c>
      <c r="AP317" s="4743">
        <f>_xlfn.SUMIFS(INDEX(Сценарии!$AE$25:$BF$109,,MATCH(AP$8,Сценарии!$AE$8:$BF$8,0)),Сценарии!$F$25:$F$109,$F317,Сценарии!$G$25:$G$109,"ИОР")</f>
        <v>1</v>
      </c>
      <c r="AQ317" s="4743">
        <f>_xlfn.SUMIFS(INDEX(Сценарии!$AE$25:$BF$109,,MATCH(AQ$8,Сценарии!$AE$8:$BF$8,0)),Сценарии!$F$25:$F$109,$F317,Сценарии!$G$25:$G$109,"ИОР")</f>
        <v>1</v>
      </c>
      <c r="AR317" s="4743">
        <f>_xlfn.SUMIFS(INDEX(Сценарии!$AE$25:$BF$109,,MATCH(AR$8,Сценарии!$AE$8:$BF$8,0)),Сценарии!$F$25:$F$109,$F317,Сценарии!$G$25:$G$109,"ИОР")</f>
        <v>1</v>
      </c>
      <c r="AS317" s="4743">
        <f>_xlfn.SUMIFS(INDEX(Сценарии!$AE$25:$BF$109,,MATCH(AS$8,Сценарии!$AE$8:$BF$8,0)),Сценарии!$F$25:$F$109,$F317,Сценарии!$G$25:$G$109,"ИОР")</f>
        <v>1</v>
      </c>
      <c r="AT317" s="4743">
        <v>1.03257</v>
      </c>
      <c r="AU317" s="1279">
        <f>_xlfn.SUMIFS(INDEX(Сценарии!$AE$25:$BF$109,,MATCH(AU$8,Сценарии!$AE$8:$BF$8,0)),Сценарии!$F$25:$F$109,$F317,Сценарии!$G$25:$G$109,"ИОР")</f>
        <v>1</v>
      </c>
      <c r="AV317" s="1279">
        <f>_xlfn.SUMIFS(INDEX(Сценарии!$AE$25:$BF$109,,MATCH(AV$8,Сценарии!$AE$8:$BF$8,0)),Сценарии!$F$25:$F$109,$F317,Сценарии!$G$25:$G$109,"ИОР")</f>
        <v>1</v>
      </c>
      <c r="AW317" s="4743">
        <f>_xlfn.SUMIFS(INDEX(Сценарии!$AE$25:$BF$109,,MATCH(AW$8,Сценарии!$AE$8:$BF$8,0)),Сценарии!$F$25:$F$109,$F317,Сценарии!$G$25:$G$109,"ИОР")</f>
        <v>1</v>
      </c>
      <c r="AX317" s="4743">
        <f>_xlfn.SUMIFS(INDEX(Сценарии!$AE$25:$BF$109,,MATCH(AX$8,Сценарии!$AE$8:$BF$8,0)),Сценарии!$F$25:$F$109,$F317,Сценарии!$G$25:$G$109,"ИОР")</f>
        <v>1</v>
      </c>
      <c r="AY317" s="4743">
        <f>_xlfn.SUMIFS(INDEX(Сценарии!$AE$25:$BF$109,,MATCH(AY$8,Сценарии!$AE$8:$BF$8,0)),Сценарии!$F$25:$F$109,$F317,Сценарии!$G$25:$G$109,"ИОР")</f>
        <v>1</v>
      </c>
      <c r="AZ317" s="4743">
        <f>_xlfn.SUMIFS(INDEX(Сценарии!$AE$25:$BF$109,,MATCH(AZ$8,Сценарии!$AE$8:$BF$8,0)),Сценарии!$F$25:$F$109,$F317,Сценарии!$G$25:$G$109,"ИОР")</f>
        <v>1</v>
      </c>
      <c r="BA317" s="4743">
        <f>_xlfn.SUMIFS(INDEX(Сценарии!$AE$25:$BF$109,,MATCH(BA$8,Сценарии!$AE$8:$BF$8,0)),Сценарии!$F$25:$F$109,$F317,Сценарии!$G$25:$G$109,"ИОР")</f>
        <v>1</v>
      </c>
      <c r="BB317" s="4743">
        <f>_xlfn.SUMIFS(INDEX(Сценарии!$AE$25:$BF$109,,MATCH(BB$8,Сценарии!$AE$8:$BF$8,0)),Сценарии!$F$25:$F$109,$F317,Сценарии!$G$25:$G$109,"ИОР")</f>
        <v>1</v>
      </c>
      <c r="BC317" s="4743">
        <f>_xlfn.SUMIFS(INDEX(Сценарии!$AE$25:$BF$109,,MATCH(BC$8,Сценарии!$AE$8:$BF$8,0)),Сценарии!$F$25:$F$109,$F317,Сценарии!$G$25:$G$109,"ИОР")</f>
        <v>1</v>
      </c>
      <c r="BD317" s="925"/>
      <c r="BE317" s="925"/>
      <c r="BF317" s="925"/>
      <c r="BG317" s="925"/>
      <c r="BH317" s="925"/>
      <c r="BI317" s="925"/>
      <c r="BJ317" s="925"/>
      <c r="BK317" s="925"/>
      <c r="BL317" s="925"/>
      <c r="BM317" s="925"/>
      <c r="BN317" s="4782"/>
      <c r="BO317" s="4782"/>
      <c r="BP317" s="4782"/>
      <c r="BQ317" s="960"/>
      <c r="BR317" s="960"/>
      <c r="BS317" s="1048" t="s">
        <v>1800</v>
      </c>
      <c r="BT317" s="1048"/>
      <c r="BU317" s="1048"/>
      <c r="BV317" s="962"/>
      <c r="BW317" s="962"/>
    </row>
    <row s="407" customFormat="1" customHeight="1" ht="20.25">
      <c r="A318" s="126"/>
      <c r="B318" s="407"/>
      <c r="C318" s="126"/>
      <c r="D318" s="126"/>
      <c r="E318" s="686">
        <v>21</v>
      </c>
      <c r="F318" s="50" cm="1" t="str">
        <f t="array" ref="F318:F318">OFFSET(E318,-1,1)</f>
        <v>2</v>
      </c>
      <c r="G318" s="126"/>
      <c r="H318" s="344"/>
      <c r="I318" s="344" t="s">
        <v>445</v>
      </c>
      <c r="J318" s="126"/>
      <c r="K318" s="344" t="s">
        <v>445</v>
      </c>
      <c r="L318" s="967" t="s">
        <v>325</v>
      </c>
      <c r="M318" s="840"/>
      <c r="N318" s="126"/>
      <c r="O318" s="126"/>
      <c r="P318" s="126"/>
      <c r="Q318" s="124" t="s">
        <v>2093</v>
      </c>
      <c r="R318" s="127" t="s">
        <v>2093</v>
      </c>
      <c r="S318" s="126"/>
      <c r="T318" s="439" cm="1" t="str">
        <f t="array" ref="T318:T318">T317</f>
        <v>true</v>
      </c>
      <c r="U318" s="126"/>
      <c r="V318" s="126"/>
      <c r="W318" s="126"/>
      <c r="X318" s="1482"/>
      <c r="Y318" s="126"/>
      <c r="Z318" s="1465"/>
      <c r="AA318" s="126"/>
      <c r="AB318" s="214" t="s">
        <v>848</v>
      </c>
      <c r="AC318" s="328" t="s">
        <v>1586</v>
      </c>
      <c r="AD318" s="201" t="s">
        <v>784</v>
      </c>
      <c r="AE318" s="742">
        <f>SUM(AE319,AE322,AE323,AE326,AE327)</f>
        <v>3044.2679518444</v>
      </c>
      <c r="AF318" s="742">
        <f>SUM(AF319,AF322,AF323,AF326,AF327)</f>
        <v>11227.8221880593</v>
      </c>
      <c r="AG318" s="742">
        <f>SUM(AG319,AG322,AG323,AG326,AG327)</f>
        <v>0</v>
      </c>
      <c r="AH318" s="742">
        <f>AG318-AF318</f>
        <v>-11227.8221880593</v>
      </c>
      <c r="AI318" s="4745">
        <f>SUM(AI319,AI322,AI323,AI326,AI327)</f>
        <v>0</v>
      </c>
      <c r="AJ318" s="4743"/>
      <c r="AK318" s="745"/>
      <c r="AL318" s="745"/>
      <c r="AM318" s="745"/>
      <c r="AN318" s="745"/>
      <c r="AO318" s="745"/>
      <c r="AP318" s="745"/>
      <c r="AQ318" s="745"/>
      <c r="AR318" s="745"/>
      <c r="AS318" s="745"/>
      <c r="AT318" s="745"/>
      <c r="AU318" s="745"/>
      <c r="AV318" s="745"/>
      <c r="AW318" s="745"/>
      <c r="AX318" s="745"/>
      <c r="AY318" s="745"/>
      <c r="AZ318" s="745"/>
      <c r="BA318" s="745"/>
      <c r="BB318" s="745"/>
      <c r="BC318" s="745"/>
      <c r="BD318" s="745"/>
      <c r="BE318" s="745"/>
      <c r="BF318" s="745"/>
      <c r="BG318" s="745"/>
      <c r="BH318" s="745"/>
      <c r="BI318" s="745"/>
      <c r="BJ318" s="745"/>
      <c r="BK318" s="745"/>
      <c r="BL318" s="745"/>
      <c r="BM318" s="745"/>
      <c r="BN318" s="4783"/>
      <c r="BO318" s="4783"/>
      <c r="BP318" s="4783"/>
      <c r="BQ318" s="126"/>
      <c r="BR318" s="126"/>
      <c r="BS318" s="1046" t="s">
        <v>498</v>
      </c>
      <c r="BT318" s="1053"/>
      <c r="BU318" s="1053"/>
      <c r="BV318" s="686"/>
      <c r="BW318" s="686"/>
    </row>
    <row s="1621" customFormat="1" customHeight="1" ht="14.25">
      <c r="A319" s="960"/>
      <c r="B319" s="961"/>
      <c r="C319" s="960"/>
      <c r="D319" s="960"/>
      <c r="E319" s="683">
        <v>15</v>
      </c>
      <c r="F319" s="50" cm="1" t="str">
        <f t="array" ref="F319:F319">OFFSET(E319,-1,1)</f>
        <v>2</v>
      </c>
      <c r="G319" s="960"/>
      <c r="H319" s="345"/>
      <c r="I319" s="345" t="s">
        <v>1219</v>
      </c>
      <c r="J319" s="960"/>
      <c r="K319" s="345" t="s">
        <v>1219</v>
      </c>
      <c r="L319" s="963" t="s">
        <v>441</v>
      </c>
      <c r="M319" s="73"/>
      <c r="N319" s="960"/>
      <c r="O319" s="960"/>
      <c r="P319" s="960"/>
      <c r="Q319" s="124" t="s">
        <v>2093</v>
      </c>
      <c r="R319" s="127" t="s">
        <v>2093</v>
      </c>
      <c r="S319" s="960"/>
      <c r="T319" s="439" cm="1" t="str">
        <f t="array" ref="T319:T319">T318</f>
        <v>true</v>
      </c>
      <c r="U319" s="960"/>
      <c r="V319" s="960"/>
      <c r="W319" s="960"/>
      <c r="X319" s="1482"/>
      <c r="Y319" s="960"/>
      <c r="Z319" s="1465"/>
      <c r="AA319" s="960"/>
      <c r="AB319" s="266" t="s">
        <v>1220</v>
      </c>
      <c r="AC319" s="746" t="s">
        <v>1801</v>
      </c>
      <c r="AD319" s="747" t="s">
        <v>784</v>
      </c>
      <c r="AE319" s="926">
        <f>SUM(AE320,AE321)</f>
        <v>1.8944</v>
      </c>
      <c r="AF319" s="926">
        <f>SUM(AF320,AF321)</f>
        <v>7.90827</v>
      </c>
      <c r="AG319" s="926">
        <f>SUM(AG320,AG321)</f>
        <v>0</v>
      </c>
      <c r="AH319" s="926">
        <f>AG319-AF319</f>
        <v>-7.90827</v>
      </c>
      <c r="AI319" s="4748">
        <f>SUM(AI320,AI321)</f>
        <v>0</v>
      </c>
      <c r="AJ319" s="4743"/>
      <c r="AK319" s="925"/>
      <c r="AL319" s="925"/>
      <c r="AM319" s="925"/>
      <c r="AN319" s="925"/>
      <c r="AO319" s="925"/>
      <c r="AP319" s="925"/>
      <c r="AQ319" s="925"/>
      <c r="AR319" s="925"/>
      <c r="AS319" s="925"/>
      <c r="AT319" s="925"/>
      <c r="AU319" s="925"/>
      <c r="AV319" s="925"/>
      <c r="AW319" s="925"/>
      <c r="AX319" s="925"/>
      <c r="AY319" s="925"/>
      <c r="AZ319" s="925"/>
      <c r="BA319" s="925"/>
      <c r="BB319" s="925"/>
      <c r="BC319" s="925"/>
      <c r="BD319" s="925"/>
      <c r="BE319" s="925"/>
      <c r="BF319" s="925"/>
      <c r="BG319" s="925"/>
      <c r="BH319" s="925"/>
      <c r="BI319" s="925"/>
      <c r="BJ319" s="925"/>
      <c r="BK319" s="925"/>
      <c r="BL319" s="925"/>
      <c r="BM319" s="925"/>
      <c r="BN319" s="4782"/>
      <c r="BO319" s="4782"/>
      <c r="BP319" s="4782"/>
      <c r="BQ319" s="76"/>
      <c r="BR319" s="960"/>
      <c r="BS319" s="1047" t="s">
        <v>1588</v>
      </c>
      <c r="BT319" s="1048"/>
      <c r="BU319" s="1048"/>
      <c r="BV319" s="962"/>
      <c r="BW319" s="962"/>
    </row>
    <row s="1621" customFormat="1" customHeight="1" ht="14.625">
      <c r="A320" s="960"/>
      <c r="B320" s="961"/>
      <c r="C320" s="960"/>
      <c r="D320" s="960"/>
      <c r="E320" s="683">
        <v>15</v>
      </c>
      <c r="F320" s="50" cm="1" t="str">
        <f t="array" ref="F320:F320">OFFSET(E320,-1,1)</f>
        <v>2</v>
      </c>
      <c r="G320" s="960"/>
      <c r="H320" s="345"/>
      <c r="I320" s="345" t="s">
        <v>1802</v>
      </c>
      <c r="J320" s="960"/>
      <c r="K320" s="345" t="s">
        <v>1802</v>
      </c>
      <c r="L320" s="963" t="s">
        <v>958</v>
      </c>
      <c r="M320" s="73"/>
      <c r="N320" s="960"/>
      <c r="O320" s="960"/>
      <c r="P320" s="960"/>
      <c r="Q320" s="124" t="s">
        <v>2093</v>
      </c>
      <c r="R320" s="127" t="s">
        <v>2093</v>
      </c>
      <c r="S320" s="960"/>
      <c r="T320" s="439" cm="1" t="str">
        <f t="array" ref="T320:T320">T319</f>
        <v>true</v>
      </c>
      <c r="U320" s="960"/>
      <c r="V320" s="960"/>
      <c r="W320" s="960"/>
      <c r="X320" s="1482"/>
      <c r="Y320" s="960"/>
      <c r="Z320" s="1465"/>
      <c r="AA320" s="960"/>
      <c r="AB320" s="266" t="s">
        <v>1803</v>
      </c>
      <c r="AC320" s="749" t="s">
        <v>1591</v>
      </c>
      <c r="AD320" s="747" t="s">
        <v>784</v>
      </c>
      <c r="AE320" s="4765">
        <v>1.8944</v>
      </c>
      <c r="AF320" s="4765">
        <v>7.90827</v>
      </c>
      <c r="AG320" s="4765"/>
      <c r="AH320" s="926">
        <f>AG320-AF320</f>
        <v>-7.90827</v>
      </c>
      <c r="AI320" s="4750"/>
      <c r="AJ320" s="4743"/>
      <c r="AK320" s="925"/>
      <c r="AL320" s="925"/>
      <c r="AM320" s="925"/>
      <c r="AN320" s="925"/>
      <c r="AO320" s="925"/>
      <c r="AP320" s="925"/>
      <c r="AQ320" s="925"/>
      <c r="AR320" s="925"/>
      <c r="AS320" s="925"/>
      <c r="AT320" s="925"/>
      <c r="AU320" s="925"/>
      <c r="AV320" s="925"/>
      <c r="AW320" s="925"/>
      <c r="AX320" s="925"/>
      <c r="AY320" s="925"/>
      <c r="AZ320" s="925"/>
      <c r="BA320" s="925"/>
      <c r="BB320" s="925"/>
      <c r="BC320" s="925"/>
      <c r="BD320" s="925"/>
      <c r="BE320" s="925"/>
      <c r="BF320" s="925"/>
      <c r="BG320" s="925"/>
      <c r="BH320" s="925"/>
      <c r="BI320" s="925"/>
      <c r="BJ320" s="925"/>
      <c r="BK320" s="925"/>
      <c r="BL320" s="925"/>
      <c r="BM320" s="925"/>
      <c r="BN320" s="4782"/>
      <c r="BO320" s="4782"/>
      <c r="BP320" s="4782"/>
      <c r="BQ320" s="960"/>
      <c r="BR320" s="960"/>
      <c r="BS320" s="1046" t="s">
        <v>1592</v>
      </c>
      <c r="BT320" s="1048"/>
      <c r="BU320" s="1048"/>
      <c r="BV320" s="962"/>
      <c r="BW320" s="962"/>
    </row>
    <row s="1621" customFormat="1" customHeight="1" ht="14.25">
      <c r="A321" s="960"/>
      <c r="B321" s="961"/>
      <c r="C321" s="960"/>
      <c r="D321" s="960"/>
      <c r="E321" s="683">
        <v>15</v>
      </c>
      <c r="F321" s="50" cm="1" t="str">
        <f t="array" ref="F321:F321">OFFSET(E321,-1,1)</f>
        <v>2</v>
      </c>
      <c r="G321" s="960"/>
      <c r="H321" s="345"/>
      <c r="I321" s="345" t="s">
        <v>1804</v>
      </c>
      <c r="J321" s="960"/>
      <c r="K321" s="345" t="s">
        <v>1804</v>
      </c>
      <c r="L321" s="963" t="s">
        <v>1194</v>
      </c>
      <c r="M321" s="73"/>
      <c r="N321" s="960"/>
      <c r="O321" s="960"/>
      <c r="P321" s="960"/>
      <c r="Q321" s="124" t="s">
        <v>2093</v>
      </c>
      <c r="R321" s="127" t="s">
        <v>2093</v>
      </c>
      <c r="S321" s="960"/>
      <c r="T321" s="439" cm="1" t="str">
        <f t="array" ref="T321:T321">T320</f>
        <v>true</v>
      </c>
      <c r="U321" s="960"/>
      <c r="V321" s="960"/>
      <c r="W321" s="960"/>
      <c r="X321" s="1482"/>
      <c r="Y321" s="960"/>
      <c r="Z321" s="1465"/>
      <c r="AA321" s="960"/>
      <c r="AB321" s="266" t="s">
        <v>1805</v>
      </c>
      <c r="AC321" s="749" t="s">
        <v>1593</v>
      </c>
      <c r="AD321" s="747" t="s">
        <v>784</v>
      </c>
      <c r="AE321" s="4765"/>
      <c r="AF321" s="4765"/>
      <c r="AG321" s="4765"/>
      <c r="AH321" s="926">
        <f>AG321-AF321</f>
        <v>0</v>
      </c>
      <c r="AI321" s="4750"/>
      <c r="AJ321" s="4743"/>
      <c r="AK321" s="925"/>
      <c r="AL321" s="925"/>
      <c r="AM321" s="925"/>
      <c r="AN321" s="925"/>
      <c r="AO321" s="925"/>
      <c r="AP321" s="925"/>
      <c r="AQ321" s="925"/>
      <c r="AR321" s="925"/>
      <c r="AS321" s="925"/>
      <c r="AT321" s="925"/>
      <c r="AU321" s="925"/>
      <c r="AV321" s="925"/>
      <c r="AW321" s="925"/>
      <c r="AX321" s="925"/>
      <c r="AY321" s="925"/>
      <c r="AZ321" s="925"/>
      <c r="BA321" s="925"/>
      <c r="BB321" s="925"/>
      <c r="BC321" s="925"/>
      <c r="BD321" s="925"/>
      <c r="BE321" s="925"/>
      <c r="BF321" s="925"/>
      <c r="BG321" s="925"/>
      <c r="BH321" s="925"/>
      <c r="BI321" s="925"/>
      <c r="BJ321" s="925"/>
      <c r="BK321" s="925"/>
      <c r="BL321" s="925"/>
      <c r="BM321" s="925"/>
      <c r="BN321" s="4782"/>
      <c r="BO321" s="4782"/>
      <c r="BP321" s="4782"/>
      <c r="BQ321" s="960"/>
      <c r="BR321" s="960"/>
      <c r="BS321" s="1046" t="s">
        <v>1594</v>
      </c>
      <c r="BT321" s="1048"/>
      <c r="BU321" s="1048"/>
      <c r="BV321" s="962"/>
      <c r="BW321" s="962"/>
    </row>
    <row s="1621" customFormat="1" customHeight="1" ht="21.75">
      <c r="A322" s="960"/>
      <c r="B322" s="961"/>
      <c r="C322" s="960"/>
      <c r="D322" s="960"/>
      <c r="E322" s="683">
        <v>22.5</v>
      </c>
      <c r="F322" s="50" cm="1" t="str">
        <f t="array" ref="F322:F322">OFFSET(E322,-1,1)</f>
        <v>2</v>
      </c>
      <c r="G322" s="960"/>
      <c r="H322" s="345"/>
      <c r="I322" s="345" t="s">
        <v>1222</v>
      </c>
      <c r="J322" s="960"/>
      <c r="K322" s="345" t="s">
        <v>1222</v>
      </c>
      <c r="L322" s="963" t="s">
        <v>448</v>
      </c>
      <c r="M322" s="73"/>
      <c r="N322" s="960"/>
      <c r="O322" s="960"/>
      <c r="P322" s="960"/>
      <c r="Q322" s="124" t="s">
        <v>2093</v>
      </c>
      <c r="R322" s="127" t="s">
        <v>2093</v>
      </c>
      <c r="S322" s="960"/>
      <c r="T322" s="439" cm="1" t="str">
        <f t="array" ref="T322:T322">T321</f>
        <v>true</v>
      </c>
      <c r="U322" s="960"/>
      <c r="V322" s="960"/>
      <c r="W322" s="960"/>
      <c r="X322" s="1482"/>
      <c r="Y322" s="960"/>
      <c r="Z322" s="1465"/>
      <c r="AA322" s="960"/>
      <c r="AB322" s="266" t="s">
        <v>1223</v>
      </c>
      <c r="AC322" s="746" t="s">
        <v>1806</v>
      </c>
      <c r="AD322" s="747" t="s">
        <v>784</v>
      </c>
      <c r="AE322" s="4765"/>
      <c r="AF322" s="4765"/>
      <c r="AG322" s="4765"/>
      <c r="AH322" s="926">
        <f>AG322-AF322</f>
        <v>0</v>
      </c>
      <c r="AI322" s="4750"/>
      <c r="AJ322" s="4743"/>
      <c r="AK322" s="925"/>
      <c r="AL322" s="925"/>
      <c r="AM322" s="925"/>
      <c r="AN322" s="925"/>
      <c r="AO322" s="925"/>
      <c r="AP322" s="925"/>
      <c r="AQ322" s="925"/>
      <c r="AR322" s="925"/>
      <c r="AS322" s="925"/>
      <c r="AT322" s="925"/>
      <c r="AU322" s="925"/>
      <c r="AV322" s="925"/>
      <c r="AW322" s="925"/>
      <c r="AX322" s="925"/>
      <c r="AY322" s="925"/>
      <c r="AZ322" s="925"/>
      <c r="BA322" s="925"/>
      <c r="BB322" s="925"/>
      <c r="BC322" s="925"/>
      <c r="BD322" s="925"/>
      <c r="BE322" s="925"/>
      <c r="BF322" s="925"/>
      <c r="BG322" s="925"/>
      <c r="BH322" s="925"/>
      <c r="BI322" s="925"/>
      <c r="BJ322" s="925"/>
      <c r="BK322" s="925"/>
      <c r="BL322" s="925"/>
      <c r="BM322" s="925"/>
      <c r="BN322" s="4782"/>
      <c r="BO322" s="4782"/>
      <c r="BP322" s="4782"/>
      <c r="BQ322" s="960"/>
      <c r="BR322" s="960"/>
      <c r="BS322" s="1047" t="s">
        <v>1619</v>
      </c>
      <c r="BT322" s="1048"/>
      <c r="BU322" s="1048"/>
      <c r="BV322" s="962"/>
      <c r="BW322" s="962"/>
    </row>
    <row s="1621" customFormat="1" customHeight="1" ht="21.75">
      <c r="A323" s="960"/>
      <c r="B323" s="961"/>
      <c r="C323" s="960"/>
      <c r="D323" s="960"/>
      <c r="E323" s="683">
        <v>22.5</v>
      </c>
      <c r="F323" s="50" cm="1" t="str">
        <f t="array" ref="F323:F323">OFFSET(E323,-1,1)</f>
        <v>2</v>
      </c>
      <c r="G323" s="960"/>
      <c r="H323" s="345"/>
      <c r="I323" s="345" t="s">
        <v>1226</v>
      </c>
      <c r="J323" s="960"/>
      <c r="K323" s="345" t="s">
        <v>1226</v>
      </c>
      <c r="L323" s="963" t="s">
        <v>452</v>
      </c>
      <c r="M323" s="73"/>
      <c r="N323" s="960"/>
      <c r="O323" s="960"/>
      <c r="P323" s="960"/>
      <c r="Q323" s="124" t="s">
        <v>2093</v>
      </c>
      <c r="R323" s="127" t="s">
        <v>2093</v>
      </c>
      <c r="S323" s="960"/>
      <c r="T323" s="439" cm="1" t="str">
        <f t="array" ref="T323:T323">T322</f>
        <v>true</v>
      </c>
      <c r="U323" s="960"/>
      <c r="V323" s="960"/>
      <c r="W323" s="960"/>
      <c r="X323" s="1482"/>
      <c r="Y323" s="960"/>
      <c r="Z323" s="1465"/>
      <c r="AA323" s="960"/>
      <c r="AB323" s="266" t="s">
        <v>1227</v>
      </c>
      <c r="AC323" s="746" t="s">
        <v>1807</v>
      </c>
      <c r="AD323" s="747" t="s">
        <v>784</v>
      </c>
      <c r="AE323" s="927">
        <f>AE324+AE325</f>
        <v>2052.1168000043</v>
      </c>
      <c r="AF323" s="927">
        <f>AF324+AF325</f>
        <v>8259.5575195313</v>
      </c>
      <c r="AG323" s="927">
        <f>AG324+AG325</f>
        <v>0</v>
      </c>
      <c r="AH323" s="926">
        <f>AG323-AF323</f>
        <v>-8259.5575195313</v>
      </c>
      <c r="AI323" s="4752">
        <f>AI324+AI325</f>
        <v>0</v>
      </c>
      <c r="AJ323" s="4743"/>
      <c r="AK323" s="925"/>
      <c r="AL323" s="925"/>
      <c r="AM323" s="925"/>
      <c r="AN323" s="925"/>
      <c r="AO323" s="925"/>
      <c r="AP323" s="925"/>
      <c r="AQ323" s="925"/>
      <c r="AR323" s="925"/>
      <c r="AS323" s="925"/>
      <c r="AT323" s="925"/>
      <c r="AU323" s="925"/>
      <c r="AV323" s="925"/>
      <c r="AW323" s="925"/>
      <c r="AX323" s="925"/>
      <c r="AY323" s="925"/>
      <c r="AZ323" s="925"/>
      <c r="BA323" s="925"/>
      <c r="BB323" s="925"/>
      <c r="BC323" s="925"/>
      <c r="BD323" s="925"/>
      <c r="BE323" s="925"/>
      <c r="BF323" s="925"/>
      <c r="BG323" s="925"/>
      <c r="BH323" s="925"/>
      <c r="BI323" s="925"/>
      <c r="BJ323" s="925"/>
      <c r="BK323" s="925"/>
      <c r="BL323" s="925"/>
      <c r="BM323" s="925"/>
      <c r="BN323" s="4782"/>
      <c r="BO323" s="4782"/>
      <c r="BP323" s="4782"/>
      <c r="BQ323" s="960"/>
      <c r="BR323" s="960"/>
      <c r="BS323" s="1047" t="s">
        <v>1808</v>
      </c>
      <c r="BT323" s="1048"/>
      <c r="BU323" s="1048"/>
      <c r="BV323" s="962"/>
      <c r="BW323" s="962"/>
    </row>
    <row s="1621" customFormat="1" customHeight="1" ht="14.625">
      <c r="A324" s="960"/>
      <c r="B324" s="961"/>
      <c r="C324" s="960"/>
      <c r="D324" s="960"/>
      <c r="E324" s="683">
        <v>15</v>
      </c>
      <c r="F324" s="50" cm="1" t="str">
        <f t="array" ref="F324:F324">OFFSET(E324,-1,1)</f>
        <v>2</v>
      </c>
      <c r="G324" s="316" t="s">
        <v>1038</v>
      </c>
      <c r="H324" s="345"/>
      <c r="I324" s="345" t="s">
        <v>1370</v>
      </c>
      <c r="J324" s="960"/>
      <c r="K324" s="345" t="s">
        <v>1370</v>
      </c>
      <c r="L324" s="963" t="s">
        <v>1246</v>
      </c>
      <c r="M324" s="73"/>
      <c r="N324" s="960"/>
      <c r="O324" s="960"/>
      <c r="P324" s="960"/>
      <c r="Q324" s="124" t="s">
        <v>2093</v>
      </c>
      <c r="R324" s="127" t="s">
        <v>2093</v>
      </c>
      <c r="S324" s="960"/>
      <c r="T324" s="439" cm="1" t="str">
        <f t="array" ref="T324:T324">T323</f>
        <v>true</v>
      </c>
      <c r="U324" s="960"/>
      <c r="V324" s="960"/>
      <c r="W324" s="960"/>
      <c r="X324" s="1482"/>
      <c r="Y324" s="960"/>
      <c r="Z324" s="1465"/>
      <c r="AA324" s="960"/>
      <c r="AB324" s="266" t="s">
        <v>1809</v>
      </c>
      <c r="AC324" s="749" t="s">
        <v>1622</v>
      </c>
      <c r="AD324" s="747" t="s">
        <v>784</v>
      </c>
      <c r="AE324" s="4765">
        <v>1570.456165748</v>
      </c>
      <c r="AF324" s="4765">
        <v>6490.6549553288</v>
      </c>
      <c r="AG324" s="4765"/>
      <c r="AH324" s="926">
        <f>AG324-AF324</f>
        <v>-6490.6549553288</v>
      </c>
      <c r="AI324" s="4750"/>
      <c r="AJ324" s="4743"/>
      <c r="AK324" s="925"/>
      <c r="AL324" s="925"/>
      <c r="AM324" s="925"/>
      <c r="AN324" s="925"/>
      <c r="AO324" s="925"/>
      <c r="AP324" s="925"/>
      <c r="AQ324" s="925"/>
      <c r="AR324" s="925"/>
      <c r="AS324" s="925"/>
      <c r="AT324" s="925"/>
      <c r="AU324" s="925"/>
      <c r="AV324" s="925"/>
      <c r="AW324" s="925"/>
      <c r="AX324" s="925"/>
      <c r="AY324" s="925"/>
      <c r="AZ324" s="925"/>
      <c r="BA324" s="925"/>
      <c r="BB324" s="925"/>
      <c r="BC324" s="925"/>
      <c r="BD324" s="925"/>
      <c r="BE324" s="925"/>
      <c r="BF324" s="925"/>
      <c r="BG324" s="925"/>
      <c r="BH324" s="925"/>
      <c r="BI324" s="925"/>
      <c r="BJ324" s="925"/>
      <c r="BK324" s="925"/>
      <c r="BL324" s="925"/>
      <c r="BM324" s="925"/>
      <c r="BN324" s="4782"/>
      <c r="BO324" s="4784" t="str">
        <f>IF(_xlfn.IFERROR(INDEX(ФОТ!$K$26:$L$102,MATCH($F324&amp;"1komm",ФОТ!$K$26:$K$102,0),2),"")=0,"",_xlfn.IFERROR(INDEX(ФОТ!$K$26:$L$102,MATCH($F324&amp;"1komm",ФОТ!$K$26:$K$102,0),2),""))</f>
        <v/>
      </c>
      <c r="BP324" s="4782"/>
      <c r="BQ324" s="960"/>
      <c r="BR324" s="960"/>
      <c r="BS324" s="1046" t="s">
        <v>1623</v>
      </c>
      <c r="BT324" s="1048"/>
      <c r="BU324" s="1048"/>
      <c r="BV324" s="962"/>
      <c r="BW324" s="962"/>
    </row>
    <row s="1621" customFormat="1" customHeight="1" ht="23.25">
      <c r="A325" s="960"/>
      <c r="B325" s="961"/>
      <c r="C325" s="960"/>
      <c r="D325" s="960"/>
      <c r="E325" s="683">
        <v>22.5</v>
      </c>
      <c r="F325" s="50" cm="1" t="str">
        <f t="array" ref="F325:F325">OFFSET(E325,-1,1)</f>
        <v>2</v>
      </c>
      <c r="G325" s="316" t="s">
        <v>1050</v>
      </c>
      <c r="H325" s="345"/>
      <c r="I325" s="345" t="s">
        <v>1374</v>
      </c>
      <c r="J325" s="960"/>
      <c r="K325" s="345" t="s">
        <v>1374</v>
      </c>
      <c r="L325" s="963" t="s">
        <v>1247</v>
      </c>
      <c r="M325" s="73"/>
      <c r="N325" s="960"/>
      <c r="O325" s="960"/>
      <c r="P325" s="960"/>
      <c r="Q325" s="124" t="s">
        <v>2093</v>
      </c>
      <c r="R325" s="127" t="s">
        <v>2093</v>
      </c>
      <c r="S325" s="960"/>
      <c r="T325" s="439" cm="1" t="str">
        <f t="array" ref="T325:T325">T324</f>
        <v>true</v>
      </c>
      <c r="U325" s="960"/>
      <c r="V325" s="960"/>
      <c r="W325" s="960"/>
      <c r="X325" s="1482"/>
      <c r="Y325" s="960"/>
      <c r="Z325" s="1465"/>
      <c r="AA325" s="960"/>
      <c r="AB325" s="266" t="s">
        <v>1810</v>
      </c>
      <c r="AC325" s="749" t="s">
        <v>1811</v>
      </c>
      <c r="AD325" s="747" t="s">
        <v>784</v>
      </c>
      <c r="AE325" s="4765">
        <v>481.6606342563</v>
      </c>
      <c r="AF325" s="4765">
        <v>1768.9025642025</v>
      </c>
      <c r="AG325" s="4765">
        <f>AG324*_xlfn.SUMIFS(INDEX(Сценарии!$AE$25:$BF$109,,MATCH(AG$8,Сценарии!$AE$8:$BF$8,0)),Сценарии!$F$25:$F$109,$F325,Сценарии!$G$25:$G$109,"СВФОТ")/100</f>
        <v>0</v>
      </c>
      <c r="AH325" s="926">
        <f>AG325-AF325</f>
        <v>-1768.9025642025</v>
      </c>
      <c r="AI325" s="4750">
        <f>AI324*_xlfn.SUMIFS(INDEX(Сценарии!$AE$25:$BF$109,,MATCH(AG$8,Сценарии!$AE$8:$BF$8,0)),Сценарии!$F$25:$F$109,$F325,Сценарии!$G$25:$G$109,"СВФОТ")/100</f>
        <v>0</v>
      </c>
      <c r="AJ325" s="4743"/>
      <c r="AK325" s="925"/>
      <c r="AL325" s="925"/>
      <c r="AM325" s="925"/>
      <c r="AN325" s="925"/>
      <c r="AO325" s="925"/>
      <c r="AP325" s="925"/>
      <c r="AQ325" s="925"/>
      <c r="AR325" s="925"/>
      <c r="AS325" s="925"/>
      <c r="AT325" s="925"/>
      <c r="AU325" s="925"/>
      <c r="AV325" s="925"/>
      <c r="AW325" s="925"/>
      <c r="AX325" s="925"/>
      <c r="AY325" s="925"/>
      <c r="AZ325" s="925"/>
      <c r="BA325" s="925"/>
      <c r="BB325" s="925"/>
      <c r="BC325" s="925"/>
      <c r="BD325" s="925"/>
      <c r="BE325" s="925"/>
      <c r="BF325" s="925"/>
      <c r="BG325" s="925"/>
      <c r="BH325" s="925"/>
      <c r="BI325" s="925"/>
      <c r="BJ325" s="925"/>
      <c r="BK325" s="925"/>
      <c r="BL325" s="925"/>
      <c r="BM325" s="925"/>
      <c r="BN325" s="4782"/>
      <c r="BO325" s="4784" t="str">
        <f>IF(_xlfn.IFERROR(INDEX(ФОТ!$K$26:$L$102,MATCH($F325&amp;"2komm",ФОТ!$K$26:$K$102,0),2),"")=0,"",_xlfn.IFERROR(INDEX(ФОТ!$K$26:$L$102,MATCH($F325&amp;"2komm",ФОТ!$K$26:$K$102,0),2),""))</f>
        <v/>
      </c>
      <c r="BP325" s="4782"/>
      <c r="BQ325" s="960"/>
      <c r="BR325" s="960"/>
      <c r="BS325" s="1046" t="s">
        <v>1625</v>
      </c>
      <c r="BT325" s="1048"/>
      <c r="BU325" s="1048"/>
      <c r="BV325" s="962"/>
      <c r="BW325" s="962"/>
    </row>
    <row s="1621" customFormat="1" customHeight="1" ht="14.625">
      <c r="A326" s="960"/>
      <c r="B326" s="961"/>
      <c r="C326" s="960"/>
      <c r="D326" s="960"/>
      <c r="E326" s="683">
        <v>15</v>
      </c>
      <c r="F326" s="50" cm="1" t="str">
        <f t="array" ref="F326:F326">OFFSET(E326,-1,1)</f>
        <v>2</v>
      </c>
      <c r="G326" s="960"/>
      <c r="H326" s="345"/>
      <c r="I326" s="345" t="s">
        <v>1385</v>
      </c>
      <c r="J326" s="960"/>
      <c r="K326" s="345" t="s">
        <v>1385</v>
      </c>
      <c r="L326" s="963" t="s">
        <v>1627</v>
      </c>
      <c r="M326" s="73"/>
      <c r="N326" s="960"/>
      <c r="O326" s="960"/>
      <c r="P326" s="960"/>
      <c r="Q326" s="124" t="s">
        <v>2093</v>
      </c>
      <c r="R326" s="127" t="s">
        <v>2093</v>
      </c>
      <c r="S326" s="960"/>
      <c r="T326" s="439" cm="1" t="str">
        <f t="array" ref="T326:T326">T325</f>
        <v>true</v>
      </c>
      <c r="U326" s="960"/>
      <c r="V326" s="960"/>
      <c r="W326" s="960"/>
      <c r="X326" s="1482"/>
      <c r="Y326" s="960"/>
      <c r="Z326" s="1465"/>
      <c r="AA326" s="960"/>
      <c r="AB326" s="266" t="s">
        <v>1601</v>
      </c>
      <c r="AC326" s="746" t="s">
        <v>1812</v>
      </c>
      <c r="AD326" s="747" t="s">
        <v>784</v>
      </c>
      <c r="AE326" s="4765">
        <v>308.4073518401</v>
      </c>
      <c r="AF326" s="4765">
        <v>400.9146104763</v>
      </c>
      <c r="AG326" s="4765"/>
      <c r="AH326" s="926">
        <f>AG326-AF326</f>
        <v>-400.9146104763</v>
      </c>
      <c r="AI326" s="4750"/>
      <c r="AJ326" s="4743"/>
      <c r="AK326" s="925"/>
      <c r="AL326" s="925"/>
      <c r="AM326" s="925"/>
      <c r="AN326" s="925"/>
      <c r="AO326" s="925"/>
      <c r="AP326" s="925"/>
      <c r="AQ326" s="925"/>
      <c r="AR326" s="925"/>
      <c r="AS326" s="925"/>
      <c r="AT326" s="925"/>
      <c r="AU326" s="925"/>
      <c r="AV326" s="925"/>
      <c r="AW326" s="925"/>
      <c r="AX326" s="925"/>
      <c r="AY326" s="925"/>
      <c r="AZ326" s="925"/>
      <c r="BA326" s="925"/>
      <c r="BB326" s="925"/>
      <c r="BC326" s="925"/>
      <c r="BD326" s="925"/>
      <c r="BE326" s="925"/>
      <c r="BF326" s="925"/>
      <c r="BG326" s="925"/>
      <c r="BH326" s="925"/>
      <c r="BI326" s="925"/>
      <c r="BJ326" s="925"/>
      <c r="BK326" s="925"/>
      <c r="BL326" s="925"/>
      <c r="BM326" s="925"/>
      <c r="BN326" s="4782"/>
      <c r="BO326" s="4782"/>
      <c r="BP326" s="4782"/>
      <c r="BQ326" s="960"/>
      <c r="BR326" s="960"/>
      <c r="BS326" s="1047" t="s">
        <v>1630</v>
      </c>
      <c r="BT326" s="1048"/>
      <c r="BU326" s="1048"/>
      <c r="BV326" s="962"/>
      <c r="BW326" s="962"/>
    </row>
    <row s="1621" customFormat="1" customHeight="1" ht="14.25">
      <c r="A327" s="960"/>
      <c r="B327" s="961"/>
      <c r="C327" s="960"/>
      <c r="D327" s="960"/>
      <c r="E327" s="683">
        <v>15</v>
      </c>
      <c r="F327" s="50" cm="1" t="str">
        <f t="array" ref="F327:F327">OFFSET(E327,-1,1)</f>
        <v>2</v>
      </c>
      <c r="G327" s="960"/>
      <c r="H327" s="345"/>
      <c r="I327" s="345" t="s">
        <v>1389</v>
      </c>
      <c r="J327" s="960"/>
      <c r="K327" s="345" t="s">
        <v>1389</v>
      </c>
      <c r="L327" s="963" t="s">
        <v>1631</v>
      </c>
      <c r="M327" s="960"/>
      <c r="N327" s="960"/>
      <c r="O327" s="960"/>
      <c r="P327" s="960"/>
      <c r="Q327" s="124" t="s">
        <v>2093</v>
      </c>
      <c r="R327" s="127" t="s">
        <v>2093</v>
      </c>
      <c r="S327" s="960"/>
      <c r="T327" s="439" cm="1" t="str">
        <f t="array" ref="T327:T327">T326</f>
        <v>true</v>
      </c>
      <c r="U327" s="960"/>
      <c r="V327" s="960"/>
      <c r="W327" s="960"/>
      <c r="X327" s="1482"/>
      <c r="Y327" s="960"/>
      <c r="Z327" s="1465"/>
      <c r="AA327" s="960"/>
      <c r="AB327" s="266" t="s">
        <v>1603</v>
      </c>
      <c r="AC327" s="746" t="s">
        <v>1813</v>
      </c>
      <c r="AD327" s="267" t="s">
        <v>784</v>
      </c>
      <c r="AE327" s="927">
        <f>SUM(AE328:AE334)</f>
        <v>681.8494</v>
      </c>
      <c r="AF327" s="927">
        <f>SUM(AF328:AF334)</f>
        <v>2559.4417880517</v>
      </c>
      <c r="AG327" s="927">
        <f>SUM(AG328:AG334)</f>
        <v>0</v>
      </c>
      <c r="AH327" s="926">
        <f>AG327-AF327</f>
        <v>-2559.4417880517</v>
      </c>
      <c r="AI327" s="4752">
        <f>SUM(AI328:AI334)</f>
        <v>0</v>
      </c>
      <c r="AJ327" s="4743"/>
      <c r="AK327" s="925"/>
      <c r="AL327" s="925"/>
      <c r="AM327" s="925"/>
      <c r="AN327" s="925"/>
      <c r="AO327" s="925"/>
      <c r="AP327" s="925"/>
      <c r="AQ327" s="925"/>
      <c r="AR327" s="925"/>
      <c r="AS327" s="925"/>
      <c r="AT327" s="925"/>
      <c r="AU327" s="925"/>
      <c r="AV327" s="925"/>
      <c r="AW327" s="925"/>
      <c r="AX327" s="925"/>
      <c r="AY327" s="925"/>
      <c r="AZ327" s="925"/>
      <c r="BA327" s="925"/>
      <c r="BB327" s="925"/>
      <c r="BC327" s="925"/>
      <c r="BD327" s="925"/>
      <c r="BE327" s="925"/>
      <c r="BF327" s="925"/>
      <c r="BG327" s="925"/>
      <c r="BH327" s="925"/>
      <c r="BI327" s="925"/>
      <c r="BJ327" s="925"/>
      <c r="BK327" s="925"/>
      <c r="BL327" s="925"/>
      <c r="BM327" s="925"/>
      <c r="BN327" s="4782"/>
      <c r="BO327" s="4782"/>
      <c r="BP327" s="4782"/>
      <c r="BQ327" s="960"/>
      <c r="BR327" s="960"/>
      <c r="BS327" s="1047" t="s">
        <v>1814</v>
      </c>
      <c r="BT327" s="1048"/>
      <c r="BU327" s="1048"/>
      <c r="BV327" s="962"/>
      <c r="BW327" s="962"/>
    </row>
    <row s="1621" customFormat="1" customHeight="1" ht="14.25">
      <c r="A328" s="960"/>
      <c r="B328" s="961"/>
      <c r="C328" s="960"/>
      <c r="D328" s="960"/>
      <c r="E328" s="683">
        <v>15</v>
      </c>
      <c r="F328" s="50" cm="1" t="str">
        <f t="array" ref="F328:F328">OFFSET(E328,-1,1)</f>
        <v>2</v>
      </c>
      <c r="G328" s="960"/>
      <c r="H328" s="345"/>
      <c r="I328" s="345" t="s">
        <v>1815</v>
      </c>
      <c r="J328" s="960"/>
      <c r="K328" s="345" t="s">
        <v>1815</v>
      </c>
      <c r="L328" s="963" t="s">
        <v>1631</v>
      </c>
      <c r="M328" s="73" t="s">
        <v>1639</v>
      </c>
      <c r="N328" s="960"/>
      <c r="O328" s="960"/>
      <c r="P328" s="960"/>
      <c r="Q328" s="124" t="s">
        <v>2093</v>
      </c>
      <c r="R328" s="127" t="s">
        <v>2093</v>
      </c>
      <c r="S328" s="960"/>
      <c r="T328" s="439" cm="1" t="str">
        <f t="array" ref="T328:T328">T327</f>
        <v>true</v>
      </c>
      <c r="U328" s="960"/>
      <c r="V328" s="960"/>
      <c r="W328" s="960"/>
      <c r="X328" s="1482"/>
      <c r="Y328" s="960"/>
      <c r="Z328" s="1465"/>
      <c r="AA328" s="960"/>
      <c r="AB328" s="266" t="s">
        <v>1816</v>
      </c>
      <c r="AC328" s="749" t="s">
        <v>1817</v>
      </c>
      <c r="AD328" s="267" t="s">
        <v>784</v>
      </c>
      <c r="AE328" s="4765"/>
      <c r="AF328" s="4765"/>
      <c r="AG328" s="4765"/>
      <c r="AH328" s="926">
        <f>AG328-AF328</f>
        <v>0</v>
      </c>
      <c r="AI328" s="4750"/>
      <c r="AJ328" s="4743"/>
      <c r="AK328" s="925"/>
      <c r="AL328" s="925"/>
      <c r="AM328" s="925"/>
      <c r="AN328" s="925"/>
      <c r="AO328" s="925"/>
      <c r="AP328" s="925"/>
      <c r="AQ328" s="925"/>
      <c r="AR328" s="925"/>
      <c r="AS328" s="925"/>
      <c r="AT328" s="925"/>
      <c r="AU328" s="925"/>
      <c r="AV328" s="925"/>
      <c r="AW328" s="925"/>
      <c r="AX328" s="925"/>
      <c r="AY328" s="925"/>
      <c r="AZ328" s="925"/>
      <c r="BA328" s="925"/>
      <c r="BB328" s="925"/>
      <c r="BC328" s="925"/>
      <c r="BD328" s="925"/>
      <c r="BE328" s="925"/>
      <c r="BF328" s="925"/>
      <c r="BG328" s="925"/>
      <c r="BH328" s="925"/>
      <c r="BI328" s="925"/>
      <c r="BJ328" s="925"/>
      <c r="BK328" s="925"/>
      <c r="BL328" s="925"/>
      <c r="BM328" s="925"/>
      <c r="BN328" s="4782"/>
      <c r="BO328" s="4782"/>
      <c r="BP328" s="4782"/>
      <c r="BQ328" s="960"/>
      <c r="BR328" s="960"/>
      <c r="BS328" s="1046" t="s">
        <v>1642</v>
      </c>
      <c r="BT328" s="1048"/>
      <c r="BU328" s="1048"/>
      <c r="BV328" s="962"/>
      <c r="BW328" s="962"/>
    </row>
    <row s="1621" customFormat="1" customHeight="1" ht="21.75">
      <c r="A329" s="960"/>
      <c r="B329" s="961"/>
      <c r="C329" s="960"/>
      <c r="D329" s="960"/>
      <c r="E329" s="683">
        <v>22.5</v>
      </c>
      <c r="F329" s="50" cm="1" t="str">
        <f t="array" ref="F329:F329">OFFSET(E329,-1,1)</f>
        <v>2</v>
      </c>
      <c r="G329" s="960"/>
      <c r="H329" s="345"/>
      <c r="I329" s="345" t="s">
        <v>1818</v>
      </c>
      <c r="J329" s="960"/>
      <c r="K329" s="345" t="s">
        <v>1818</v>
      </c>
      <c r="L329" s="963" t="s">
        <v>1631</v>
      </c>
      <c r="M329" s="73" t="s">
        <v>1635</v>
      </c>
      <c r="N329" s="960"/>
      <c r="O329" s="960"/>
      <c r="P329" s="960"/>
      <c r="Q329" s="124" t="s">
        <v>2093</v>
      </c>
      <c r="R329" s="127" t="s">
        <v>2093</v>
      </c>
      <c r="S329" s="960"/>
      <c r="T329" s="439" cm="1" t="str">
        <f t="array" ref="T329:T329">T328</f>
        <v>true</v>
      </c>
      <c r="U329" s="960"/>
      <c r="V329" s="960"/>
      <c r="W329" s="960"/>
      <c r="X329" s="1482"/>
      <c r="Y329" s="960"/>
      <c r="Z329" s="1465"/>
      <c r="AA329" s="960"/>
      <c r="AB329" s="266" t="s">
        <v>1819</v>
      </c>
      <c r="AC329" s="749" t="s">
        <v>1820</v>
      </c>
      <c r="AD329" s="267" t="s">
        <v>784</v>
      </c>
      <c r="AE329" s="4765"/>
      <c r="AF329" s="4765"/>
      <c r="AG329" s="4765"/>
      <c r="AH329" s="926">
        <f>AG329-AF329</f>
        <v>0</v>
      </c>
      <c r="AI329" s="4750"/>
      <c r="AJ329" s="4743"/>
      <c r="AK329" s="925"/>
      <c r="AL329" s="925"/>
      <c r="AM329" s="925"/>
      <c r="AN329" s="925"/>
      <c r="AO329" s="925"/>
      <c r="AP329" s="925"/>
      <c r="AQ329" s="925"/>
      <c r="AR329" s="925"/>
      <c r="AS329" s="925"/>
      <c r="AT329" s="925"/>
      <c r="AU329" s="925"/>
      <c r="AV329" s="925"/>
      <c r="AW329" s="925"/>
      <c r="AX329" s="925"/>
      <c r="AY329" s="925"/>
      <c r="AZ329" s="925"/>
      <c r="BA329" s="925"/>
      <c r="BB329" s="925"/>
      <c r="BC329" s="925"/>
      <c r="BD329" s="925"/>
      <c r="BE329" s="925"/>
      <c r="BF329" s="925"/>
      <c r="BG329" s="925"/>
      <c r="BH329" s="925"/>
      <c r="BI329" s="925"/>
      <c r="BJ329" s="925"/>
      <c r="BK329" s="925"/>
      <c r="BL329" s="925"/>
      <c r="BM329" s="925"/>
      <c r="BN329" s="4782"/>
      <c r="BO329" s="4782"/>
      <c r="BP329" s="4782"/>
      <c r="BQ329" s="960"/>
      <c r="BR329" s="960"/>
      <c r="BS329" s="1048" t="s">
        <v>1821</v>
      </c>
      <c r="BT329" s="1048"/>
      <c r="BU329" s="1048"/>
      <c r="BV329" s="962"/>
      <c r="BW329" s="962"/>
    </row>
    <row s="1621" customFormat="1" customHeight="1" ht="21.75">
      <c r="A330" s="960"/>
      <c r="B330" s="961"/>
      <c r="C330" s="960"/>
      <c r="D330" s="960"/>
      <c r="E330" s="683">
        <v>22.5</v>
      </c>
      <c r="F330" s="50" cm="1" t="str">
        <f t="array" ref="F330:F330">OFFSET(E330,-1,1)</f>
        <v>2</v>
      </c>
      <c r="G330" s="960"/>
      <c r="H330" s="345"/>
      <c r="I330" s="345" t="s">
        <v>1822</v>
      </c>
      <c r="J330" s="960"/>
      <c r="K330" s="345" t="s">
        <v>1822</v>
      </c>
      <c r="L330" s="960"/>
      <c r="M330" s="960"/>
      <c r="N330" s="960"/>
      <c r="O330" s="960"/>
      <c r="P330" s="960"/>
      <c r="Q330" s="124" t="s">
        <v>2093</v>
      </c>
      <c r="R330" s="127" t="s">
        <v>2093</v>
      </c>
      <c r="S330" s="960"/>
      <c r="T330" s="439" cm="1" t="str">
        <f t="array" ref="T330:T330">T329</f>
        <v>true</v>
      </c>
      <c r="U330" s="960"/>
      <c r="V330" s="960"/>
      <c r="W330" s="960"/>
      <c r="X330" s="1482"/>
      <c r="Y330" s="960"/>
      <c r="Z330" s="1465"/>
      <c r="AA330" s="960"/>
      <c r="AB330" s="266" t="s">
        <v>1823</v>
      </c>
      <c r="AC330" s="750" t="s">
        <v>1824</v>
      </c>
      <c r="AD330" s="267" t="s">
        <v>784</v>
      </c>
      <c r="AE330" s="4765"/>
      <c r="AF330" s="4765"/>
      <c r="AG330" s="4765"/>
      <c r="AH330" s="926">
        <f>AG330-AF330</f>
        <v>0</v>
      </c>
      <c r="AI330" s="4750"/>
      <c r="AJ330" s="4743"/>
      <c r="AK330" s="925"/>
      <c r="AL330" s="925"/>
      <c r="AM330" s="925"/>
      <c r="AN330" s="925"/>
      <c r="AO330" s="925"/>
      <c r="AP330" s="925"/>
      <c r="AQ330" s="925"/>
      <c r="AR330" s="925"/>
      <c r="AS330" s="925"/>
      <c r="AT330" s="925"/>
      <c r="AU330" s="925"/>
      <c r="AV330" s="925"/>
      <c r="AW330" s="925"/>
      <c r="AX330" s="925"/>
      <c r="AY330" s="925"/>
      <c r="AZ330" s="925"/>
      <c r="BA330" s="925"/>
      <c r="BB330" s="925"/>
      <c r="BC330" s="925"/>
      <c r="BD330" s="925"/>
      <c r="BE330" s="925"/>
      <c r="BF330" s="925"/>
      <c r="BG330" s="925"/>
      <c r="BH330" s="925"/>
      <c r="BI330" s="925"/>
      <c r="BJ330" s="925"/>
      <c r="BK330" s="925"/>
      <c r="BL330" s="925"/>
      <c r="BM330" s="925"/>
      <c r="BN330" s="4782"/>
      <c r="BO330" s="4782"/>
      <c r="BP330" s="4782"/>
      <c r="BQ330" s="960"/>
      <c r="BR330" s="960"/>
      <c r="BS330" s="1048" t="s">
        <v>1825</v>
      </c>
      <c r="BT330" s="1048"/>
      <c r="BU330" s="1048"/>
      <c r="BV330" s="962"/>
      <c r="BW330" s="962"/>
    </row>
    <row s="1621" customFormat="1" customHeight="1" ht="21.75">
      <c r="A331" s="960"/>
      <c r="B331" s="961"/>
      <c r="C331" s="960"/>
      <c r="D331" s="960"/>
      <c r="E331" s="683">
        <v>22.5</v>
      </c>
      <c r="F331" s="50" cm="1" t="str">
        <f t="array" ref="F331:F331">OFFSET(E331,-1,1)</f>
        <v>2</v>
      </c>
      <c r="G331" s="960"/>
      <c r="H331" s="345"/>
      <c r="I331" s="345" t="s">
        <v>1826</v>
      </c>
      <c r="J331" s="960"/>
      <c r="K331" s="345" t="s">
        <v>1826</v>
      </c>
      <c r="L331" s="963"/>
      <c r="M331" s="960"/>
      <c r="N331" s="960"/>
      <c r="O331" s="960"/>
      <c r="P331" s="960"/>
      <c r="Q331" s="124" t="s">
        <v>2093</v>
      </c>
      <c r="R331" s="127" t="s">
        <v>2093</v>
      </c>
      <c r="S331" s="960"/>
      <c r="T331" s="439" cm="1" t="str">
        <f t="array" ref="T331:T331">T330</f>
        <v>true</v>
      </c>
      <c r="U331" s="960"/>
      <c r="V331" s="960"/>
      <c r="W331" s="960"/>
      <c r="X331" s="1482"/>
      <c r="Y331" s="960"/>
      <c r="Z331" s="1465"/>
      <c r="AA331" s="960"/>
      <c r="AB331" s="266" t="s">
        <v>1827</v>
      </c>
      <c r="AC331" s="750" t="s">
        <v>1828</v>
      </c>
      <c r="AD331" s="267" t="s">
        <v>784</v>
      </c>
      <c r="AE331" s="4765"/>
      <c r="AF331" s="4765"/>
      <c r="AG331" s="4765"/>
      <c r="AH331" s="926">
        <f>AG331-AF331</f>
        <v>0</v>
      </c>
      <c r="AI331" s="4750"/>
      <c r="AJ331" s="4743"/>
      <c r="AK331" s="925"/>
      <c r="AL331" s="925"/>
      <c r="AM331" s="925"/>
      <c r="AN331" s="925"/>
      <c r="AO331" s="925"/>
      <c r="AP331" s="925"/>
      <c r="AQ331" s="925"/>
      <c r="AR331" s="925"/>
      <c r="AS331" s="925"/>
      <c r="AT331" s="925"/>
      <c r="AU331" s="925"/>
      <c r="AV331" s="925"/>
      <c r="AW331" s="925"/>
      <c r="AX331" s="925"/>
      <c r="AY331" s="925"/>
      <c r="AZ331" s="925"/>
      <c r="BA331" s="925"/>
      <c r="BB331" s="925"/>
      <c r="BC331" s="925"/>
      <c r="BD331" s="925"/>
      <c r="BE331" s="925"/>
      <c r="BF331" s="925"/>
      <c r="BG331" s="925"/>
      <c r="BH331" s="925"/>
      <c r="BI331" s="925"/>
      <c r="BJ331" s="925"/>
      <c r="BK331" s="925"/>
      <c r="BL331" s="925"/>
      <c r="BM331" s="925"/>
      <c r="BN331" s="4782"/>
      <c r="BO331" s="4782"/>
      <c r="BP331" s="4782"/>
      <c r="BQ331" s="960"/>
      <c r="BR331" s="960"/>
      <c r="BS331" s="1048" t="s">
        <v>1829</v>
      </c>
      <c r="BT331" s="1048"/>
      <c r="BU331" s="1048"/>
      <c r="BV331" s="962"/>
      <c r="BW331" s="962"/>
    </row>
    <row s="1621" customFormat="1" customHeight="1" ht="43.5">
      <c r="A332" s="960"/>
      <c r="B332" s="961"/>
      <c r="C332" s="960"/>
      <c r="D332" s="960"/>
      <c r="E332" s="683">
        <v>45</v>
      </c>
      <c r="F332" s="50" cm="1" t="str">
        <f t="array" ref="F332:F332">OFFSET(E332,-1,1)</f>
        <v>2</v>
      </c>
      <c r="G332" s="960"/>
      <c r="H332" s="345"/>
      <c r="I332" s="345" t="s">
        <v>1830</v>
      </c>
      <c r="J332" s="960"/>
      <c r="K332" s="345" t="s">
        <v>1830</v>
      </c>
      <c r="L332" s="963" t="s">
        <v>1631</v>
      </c>
      <c r="M332" s="73" t="s">
        <v>1643</v>
      </c>
      <c r="N332" s="960"/>
      <c r="O332" s="960"/>
      <c r="P332" s="960"/>
      <c r="Q332" s="124" t="s">
        <v>2093</v>
      </c>
      <c r="R332" s="127" t="s">
        <v>2093</v>
      </c>
      <c r="S332" s="960"/>
      <c r="T332" s="439" cm="1" t="str">
        <f t="array" ref="T332:T332">T331</f>
        <v>true</v>
      </c>
      <c r="U332" s="960"/>
      <c r="V332" s="960"/>
      <c r="W332" s="960"/>
      <c r="X332" s="1482"/>
      <c r="Y332" s="960"/>
      <c r="Z332" s="1465"/>
      <c r="AA332" s="960"/>
      <c r="AB332" s="266" t="s">
        <v>1831</v>
      </c>
      <c r="AC332" s="749" t="s">
        <v>1832</v>
      </c>
      <c r="AD332" s="267" t="s">
        <v>784</v>
      </c>
      <c r="AE332" s="4765"/>
      <c r="AF332" s="4765"/>
      <c r="AG332" s="4765"/>
      <c r="AH332" s="926">
        <f>AG332-AF332</f>
        <v>0</v>
      </c>
      <c r="AI332" s="4750"/>
      <c r="AJ332" s="4743"/>
      <c r="AK332" s="925"/>
      <c r="AL332" s="925"/>
      <c r="AM332" s="925"/>
      <c r="AN332" s="925"/>
      <c r="AO332" s="925"/>
      <c r="AP332" s="925"/>
      <c r="AQ332" s="925"/>
      <c r="AR332" s="925"/>
      <c r="AS332" s="925"/>
      <c r="AT332" s="925"/>
      <c r="AU332" s="925"/>
      <c r="AV332" s="925"/>
      <c r="AW332" s="925"/>
      <c r="AX332" s="925"/>
      <c r="AY332" s="925"/>
      <c r="AZ332" s="925"/>
      <c r="BA332" s="925"/>
      <c r="BB332" s="925"/>
      <c r="BC332" s="925"/>
      <c r="BD332" s="925"/>
      <c r="BE332" s="925"/>
      <c r="BF332" s="925"/>
      <c r="BG332" s="925"/>
      <c r="BH332" s="925"/>
      <c r="BI332" s="925"/>
      <c r="BJ332" s="925"/>
      <c r="BK332" s="925"/>
      <c r="BL332" s="925"/>
      <c r="BM332" s="925"/>
      <c r="BN332" s="4782"/>
      <c r="BO332" s="4782"/>
      <c r="BP332" s="4782"/>
      <c r="BQ332" s="960"/>
      <c r="BR332" s="960"/>
      <c r="BS332" s="1048" t="s">
        <v>1646</v>
      </c>
      <c r="BT332" s="1048"/>
      <c r="BU332" s="1048"/>
      <c r="BV332" s="962"/>
      <c r="BW332" s="962"/>
    </row>
    <row s="1621" customFormat="1" customHeight="1" ht="14.25">
      <c r="A333" s="960"/>
      <c r="B333" s="961"/>
      <c r="C333" s="960"/>
      <c r="D333" s="960"/>
      <c r="E333" s="683">
        <v>15</v>
      </c>
      <c r="F333" s="50" cm="1" t="str">
        <f t="array" ref="F333:F333">OFFSET(E333,-1,1)</f>
        <v>2</v>
      </c>
      <c r="G333" s="960"/>
      <c r="H333" s="345"/>
      <c r="I333" s="345" t="s">
        <v>1833</v>
      </c>
      <c r="J333" s="960"/>
      <c r="K333" s="345" t="s">
        <v>1833</v>
      </c>
      <c r="L333" s="963" t="s">
        <v>1631</v>
      </c>
      <c r="M333" s="73" t="s">
        <v>1647</v>
      </c>
      <c r="N333" s="960"/>
      <c r="O333" s="960"/>
      <c r="P333" s="960"/>
      <c r="Q333" s="124" t="s">
        <v>2093</v>
      </c>
      <c r="R333" s="127" t="s">
        <v>2093</v>
      </c>
      <c r="S333" s="960"/>
      <c r="T333" s="439" cm="1" t="str">
        <f t="array" ref="T333:T333">T332</f>
        <v>true</v>
      </c>
      <c r="U333" s="960"/>
      <c r="V333" s="960"/>
      <c r="W333" s="960"/>
      <c r="X333" s="1482"/>
      <c r="Y333" s="960"/>
      <c r="Z333" s="1465"/>
      <c r="AA333" s="960"/>
      <c r="AB333" s="266" t="s">
        <v>1834</v>
      </c>
      <c r="AC333" s="749" t="s">
        <v>1649</v>
      </c>
      <c r="AD333" s="267" t="s">
        <v>784</v>
      </c>
      <c r="AE333" s="4765"/>
      <c r="AF333" s="4765"/>
      <c r="AG333" s="4765"/>
      <c r="AH333" s="926">
        <f>AG333-AF333</f>
        <v>0</v>
      </c>
      <c r="AI333" s="4750"/>
      <c r="AJ333" s="4743"/>
      <c r="AK333" s="925"/>
      <c r="AL333" s="925"/>
      <c r="AM333" s="925"/>
      <c r="AN333" s="925"/>
      <c r="AO333" s="925"/>
      <c r="AP333" s="925"/>
      <c r="AQ333" s="925"/>
      <c r="AR333" s="925"/>
      <c r="AS333" s="925"/>
      <c r="AT333" s="925"/>
      <c r="AU333" s="925"/>
      <c r="AV333" s="925"/>
      <c r="AW333" s="925"/>
      <c r="AX333" s="925"/>
      <c r="AY333" s="925"/>
      <c r="AZ333" s="925"/>
      <c r="BA333" s="925"/>
      <c r="BB333" s="925"/>
      <c r="BC333" s="925"/>
      <c r="BD333" s="925"/>
      <c r="BE333" s="925"/>
      <c r="BF333" s="925"/>
      <c r="BG333" s="925"/>
      <c r="BH333" s="925"/>
      <c r="BI333" s="925"/>
      <c r="BJ333" s="925"/>
      <c r="BK333" s="925"/>
      <c r="BL333" s="925"/>
      <c r="BM333" s="925"/>
      <c r="BN333" s="4782"/>
      <c r="BO333" s="4782"/>
      <c r="BP333" s="4782"/>
      <c r="BQ333" s="960"/>
      <c r="BR333" s="960"/>
      <c r="BS333" s="1048" t="s">
        <v>1650</v>
      </c>
      <c r="BT333" s="1048"/>
      <c r="BU333" s="1048"/>
      <c r="BV333" s="962"/>
      <c r="BW333" s="962"/>
    </row>
    <row s="1621" customFormat="1" customHeight="1" ht="14.625">
      <c r="A334" s="960"/>
      <c r="B334" s="961"/>
      <c r="C334" s="960"/>
      <c r="D334" s="960"/>
      <c r="E334" s="683">
        <v>15</v>
      </c>
      <c r="F334" s="50" cm="1" t="str">
        <f t="array" ref="F334:F334">OFFSET(E334,-1,1)</f>
        <v>2</v>
      </c>
      <c r="G334" s="960"/>
      <c r="H334" s="345"/>
      <c r="I334" s="345" t="s">
        <v>1835</v>
      </c>
      <c r="J334" s="960"/>
      <c r="K334" s="345" t="s">
        <v>1835</v>
      </c>
      <c r="L334" s="963"/>
      <c r="M334" s="73"/>
      <c r="N334" s="960"/>
      <c r="O334" s="960"/>
      <c r="P334" s="960"/>
      <c r="Q334" s="124" t="s">
        <v>2093</v>
      </c>
      <c r="R334" s="127" t="s">
        <v>2093</v>
      </c>
      <c r="S334" s="960"/>
      <c r="T334" s="439" cm="1" t="str">
        <f t="array" ref="T334:T334">T333</f>
        <v>true</v>
      </c>
      <c r="U334" s="960"/>
      <c r="V334" s="960"/>
      <c r="W334" s="960"/>
      <c r="X334" s="1482"/>
      <c r="Y334" s="960"/>
      <c r="Z334" s="1465"/>
      <c r="AA334" s="960"/>
      <c r="AB334" s="266" t="s">
        <v>1836</v>
      </c>
      <c r="AC334" s="749" t="s">
        <v>1837</v>
      </c>
      <c r="AD334" s="267" t="s">
        <v>784</v>
      </c>
      <c r="AE334" s="4765">
        <v>681.8494</v>
      </c>
      <c r="AF334" s="4765">
        <v>2559.4417880517</v>
      </c>
      <c r="AG334" s="4765"/>
      <c r="AH334" s="926">
        <f>AG334-AF334</f>
        <v>-2559.4417880517</v>
      </c>
      <c r="AI334" s="4750"/>
      <c r="AJ334" s="1392"/>
      <c r="AK334" s="925"/>
      <c r="AL334" s="925"/>
      <c r="AM334" s="925"/>
      <c r="AN334" s="925"/>
      <c r="AO334" s="925"/>
      <c r="AP334" s="925"/>
      <c r="AQ334" s="925"/>
      <c r="AR334" s="925"/>
      <c r="AS334" s="925"/>
      <c r="AT334" s="925"/>
      <c r="AU334" s="925"/>
      <c r="AV334" s="925"/>
      <c r="AW334" s="925"/>
      <c r="AX334" s="925"/>
      <c r="AY334" s="925"/>
      <c r="AZ334" s="925"/>
      <c r="BA334" s="925"/>
      <c r="BB334" s="925"/>
      <c r="BC334" s="925"/>
      <c r="BD334" s="925"/>
      <c r="BE334" s="925"/>
      <c r="BF334" s="925"/>
      <c r="BG334" s="925"/>
      <c r="BH334" s="925"/>
      <c r="BI334" s="925"/>
      <c r="BJ334" s="925"/>
      <c r="BK334" s="925"/>
      <c r="BL334" s="925"/>
      <c r="BM334" s="925"/>
      <c r="BN334" s="4782"/>
      <c r="BO334" s="4782"/>
      <c r="BP334" s="4782"/>
      <c r="BQ334" s="960"/>
      <c r="BR334" s="960"/>
      <c r="BS334" s="1048" t="s">
        <v>1634</v>
      </c>
      <c r="BT334" s="1048"/>
      <c r="BU334" s="1048"/>
      <c r="BV334" s="962"/>
      <c r="BW334" s="962"/>
    </row>
    <row s="4847" customFormat="1" customHeight="1" ht="20.25">
      <c r="A335" s="680"/>
      <c r="B335" s="408"/>
      <c r="C335" s="680"/>
      <c r="D335" s="680"/>
      <c r="E335" s="687">
        <v>21</v>
      </c>
      <c r="F335" s="50" cm="1" t="str">
        <f t="array" ref="F335:F335">OFFSET(E335,-1,1)</f>
        <v>2</v>
      </c>
      <c r="G335" s="680"/>
      <c r="H335" s="345"/>
      <c r="I335" s="345" t="s">
        <v>448</v>
      </c>
      <c r="J335" s="680"/>
      <c r="K335" s="345" t="s">
        <v>448</v>
      </c>
      <c r="L335" s="968"/>
      <c r="M335" s="75"/>
      <c r="N335" s="680"/>
      <c r="O335" s="680"/>
      <c r="P335" s="680"/>
      <c r="Q335" s="124" t="s">
        <v>2093</v>
      </c>
      <c r="R335" s="127" t="s">
        <v>2093</v>
      </c>
      <c r="S335" s="680"/>
      <c r="T335" s="439" cm="1" t="str">
        <f t="array" ref="T335:T335">T334</f>
        <v>true</v>
      </c>
      <c r="U335" s="680"/>
      <c r="V335" s="680"/>
      <c r="W335" s="680"/>
      <c r="X335" s="1482"/>
      <c r="Y335" s="680"/>
      <c r="Z335" s="1465"/>
      <c r="AA335" s="680"/>
      <c r="AB335" s="185" t="s">
        <v>851</v>
      </c>
      <c r="AC335" s="328" t="s">
        <v>1654</v>
      </c>
      <c r="AD335" s="178" t="s">
        <v>784</v>
      </c>
      <c r="AE335" s="751">
        <f>AE336+AE337+AE338</f>
        <v>1539.3080286101</v>
      </c>
      <c r="AF335" s="751">
        <f>AF336+AF337+AF338</f>
        <v>9817.5378519247</v>
      </c>
      <c r="AG335" s="751">
        <f>AG336+AG337+AG338</f>
        <v>0</v>
      </c>
      <c r="AH335" s="742">
        <f>AG335-AF335</f>
        <v>-9817.5378519247</v>
      </c>
      <c r="AI335" s="4756">
        <f>AI336+AI337+AI338</f>
        <v>0</v>
      </c>
      <c r="AJ335" s="4743"/>
      <c r="AK335" s="745"/>
      <c r="AL335" s="745"/>
      <c r="AM335" s="745"/>
      <c r="AN335" s="745"/>
      <c r="AO335" s="745"/>
      <c r="AP335" s="745"/>
      <c r="AQ335" s="745"/>
      <c r="AR335" s="745"/>
      <c r="AS335" s="745"/>
      <c r="AT335" s="745"/>
      <c r="AU335" s="745"/>
      <c r="AV335" s="745"/>
      <c r="AW335" s="745"/>
      <c r="AX335" s="745"/>
      <c r="AY335" s="745"/>
      <c r="AZ335" s="745"/>
      <c r="BA335" s="745"/>
      <c r="BB335" s="745"/>
      <c r="BC335" s="745"/>
      <c r="BD335" s="745"/>
      <c r="BE335" s="745"/>
      <c r="BF335" s="745"/>
      <c r="BG335" s="745"/>
      <c r="BH335" s="745"/>
      <c r="BI335" s="745"/>
      <c r="BJ335" s="745"/>
      <c r="BK335" s="745"/>
      <c r="BL335" s="745"/>
      <c r="BM335" s="745"/>
      <c r="BN335" s="4783"/>
      <c r="BO335" s="4783"/>
      <c r="BP335" s="4783"/>
      <c r="BQ335" s="680"/>
      <c r="BR335" s="680"/>
      <c r="BS335" s="1047" t="s">
        <v>1655</v>
      </c>
      <c r="BT335" s="1054"/>
      <c r="BU335" s="1054"/>
      <c r="BV335" s="687"/>
      <c r="BW335" s="687"/>
    </row>
    <row s="1621" customFormat="1" customHeight="1" ht="23.25">
      <c r="A336" s="960"/>
      <c r="B336" s="961"/>
      <c r="C336" s="960"/>
      <c r="D336" s="960"/>
      <c r="E336" s="683">
        <v>22.5</v>
      </c>
      <c r="F336" s="50" cm="1" t="str">
        <f t="array" ref="F336:F336">OFFSET(E336,-1,1)</f>
        <v>2</v>
      </c>
      <c r="G336" s="960"/>
      <c r="H336" s="345"/>
      <c r="I336" s="345" t="s">
        <v>1232</v>
      </c>
      <c r="J336" s="960"/>
      <c r="K336" s="345" t="s">
        <v>1232</v>
      </c>
      <c r="L336" s="963"/>
      <c r="M336" s="73"/>
      <c r="N336" s="960"/>
      <c r="O336" s="960"/>
      <c r="P336" s="960"/>
      <c r="Q336" s="124" t="s">
        <v>2093</v>
      </c>
      <c r="R336" s="127" t="s">
        <v>2093</v>
      </c>
      <c r="S336" s="960"/>
      <c r="T336" s="439" cm="1" t="str">
        <f t="array" ref="T336:T336">T335</f>
        <v>true</v>
      </c>
      <c r="U336" s="960"/>
      <c r="V336" s="960"/>
      <c r="W336" s="960"/>
      <c r="X336" s="1482"/>
      <c r="Y336" s="960"/>
      <c r="Z336" s="1465"/>
      <c r="AA336" s="960"/>
      <c r="AB336" s="266" t="s">
        <v>1233</v>
      </c>
      <c r="AC336" s="746" t="s">
        <v>1838</v>
      </c>
      <c r="AD336" s="267" t="s">
        <v>784</v>
      </c>
      <c r="AE336" s="4765">
        <v>550</v>
      </c>
      <c r="AF336" s="4765">
        <v>6783.56454</v>
      </c>
      <c r="AG336" s="4765"/>
      <c r="AH336" s="926">
        <f>AG336-AF336</f>
        <v>-6783.56454</v>
      </c>
      <c r="AI336" s="4750"/>
      <c r="AJ336" s="4743"/>
      <c r="AK336" s="925"/>
      <c r="AL336" s="925"/>
      <c r="AM336" s="925"/>
      <c r="AN336" s="925"/>
      <c r="AO336" s="925"/>
      <c r="AP336" s="925"/>
      <c r="AQ336" s="925"/>
      <c r="AR336" s="925"/>
      <c r="AS336" s="925"/>
      <c r="AT336" s="925"/>
      <c r="AU336" s="925"/>
      <c r="AV336" s="925"/>
      <c r="AW336" s="925"/>
      <c r="AX336" s="925"/>
      <c r="AY336" s="925"/>
      <c r="AZ336" s="925"/>
      <c r="BA336" s="925"/>
      <c r="BB336" s="925"/>
      <c r="BC336" s="925"/>
      <c r="BD336" s="925"/>
      <c r="BE336" s="925"/>
      <c r="BF336" s="925"/>
      <c r="BG336" s="925"/>
      <c r="BH336" s="925"/>
      <c r="BI336" s="925"/>
      <c r="BJ336" s="925"/>
      <c r="BK336" s="925"/>
      <c r="BL336" s="925"/>
      <c r="BM336" s="925"/>
      <c r="BN336" s="4782"/>
      <c r="BO336" s="4782"/>
      <c r="BP336" s="4782"/>
      <c r="BQ336" s="960"/>
      <c r="BR336" s="960"/>
      <c r="BS336" s="1046" t="s">
        <v>1657</v>
      </c>
      <c r="BT336" s="1048"/>
      <c r="BU336" s="1048"/>
      <c r="BV336" s="962"/>
      <c r="BW336" s="962"/>
    </row>
    <row s="1621" customFormat="1" customHeight="1" ht="23.25">
      <c r="A337" s="960"/>
      <c r="B337" s="961"/>
      <c r="C337" s="960"/>
      <c r="D337" s="960"/>
      <c r="E337" s="683">
        <v>22.5</v>
      </c>
      <c r="F337" s="50" cm="1" t="str">
        <f t="array" ref="F337:F337">OFFSET(E337,-1,1)</f>
        <v>2</v>
      </c>
      <c r="G337" s="960"/>
      <c r="H337" s="345"/>
      <c r="I337" s="345" t="s">
        <v>1236</v>
      </c>
      <c r="J337" s="960"/>
      <c r="K337" s="345" t="s">
        <v>1236</v>
      </c>
      <c r="L337" s="963"/>
      <c r="M337" s="73"/>
      <c r="N337" s="960"/>
      <c r="O337" s="960"/>
      <c r="P337" s="960"/>
      <c r="Q337" s="124" t="s">
        <v>2093</v>
      </c>
      <c r="R337" s="127" t="s">
        <v>2093</v>
      </c>
      <c r="S337" s="960"/>
      <c r="T337" s="439" cm="1" t="str">
        <f t="array" ref="T337:T337">T336</f>
        <v>true</v>
      </c>
      <c r="U337" s="960"/>
      <c r="V337" s="960"/>
      <c r="W337" s="960"/>
      <c r="X337" s="1482"/>
      <c r="Y337" s="960"/>
      <c r="Z337" s="1465"/>
      <c r="AA337" s="960"/>
      <c r="AB337" s="266" t="s">
        <v>1237</v>
      </c>
      <c r="AC337" s="746" t="s">
        <v>1839</v>
      </c>
      <c r="AD337" s="267" t="s">
        <v>784</v>
      </c>
      <c r="AE337" s="4765">
        <v>0</v>
      </c>
      <c r="AF337" s="4765">
        <v>97.6</v>
      </c>
      <c r="AG337" s="4765"/>
      <c r="AH337" s="926">
        <f>AG337-AF337</f>
        <v>-97.6</v>
      </c>
      <c r="AI337" s="4750"/>
      <c r="AJ337" s="4743"/>
      <c r="AK337" s="925"/>
      <c r="AL337" s="925"/>
      <c r="AM337" s="925"/>
      <c r="AN337" s="925"/>
      <c r="AO337" s="925"/>
      <c r="AP337" s="925"/>
      <c r="AQ337" s="925"/>
      <c r="AR337" s="925"/>
      <c r="AS337" s="925"/>
      <c r="AT337" s="925"/>
      <c r="AU337" s="925"/>
      <c r="AV337" s="925"/>
      <c r="AW337" s="925"/>
      <c r="AX337" s="925"/>
      <c r="AY337" s="925"/>
      <c r="AZ337" s="925"/>
      <c r="BA337" s="925"/>
      <c r="BB337" s="925"/>
      <c r="BC337" s="925"/>
      <c r="BD337" s="925"/>
      <c r="BE337" s="925"/>
      <c r="BF337" s="925"/>
      <c r="BG337" s="925"/>
      <c r="BH337" s="925"/>
      <c r="BI337" s="925"/>
      <c r="BJ337" s="925"/>
      <c r="BK337" s="925"/>
      <c r="BL337" s="925"/>
      <c r="BM337" s="925"/>
      <c r="BN337" s="4782"/>
      <c r="BO337" s="4782"/>
      <c r="BP337" s="4782"/>
      <c r="BQ337" s="960"/>
      <c r="BR337" s="960"/>
      <c r="BS337" s="1048" t="s">
        <v>1840</v>
      </c>
      <c r="BT337" s="1048"/>
      <c r="BU337" s="1048"/>
      <c r="BV337" s="962"/>
      <c r="BW337" s="962"/>
    </row>
    <row s="1621" customFormat="1" customHeight="1" ht="23.25">
      <c r="A338" s="960"/>
      <c r="B338" s="961"/>
      <c r="C338" s="960"/>
      <c r="D338" s="960"/>
      <c r="E338" s="683">
        <v>22.5</v>
      </c>
      <c r="F338" s="50" cm="1" t="str">
        <f t="array" ref="F338:F338">OFFSET(E338,-1,1)</f>
        <v>2</v>
      </c>
      <c r="G338" s="960"/>
      <c r="H338" s="345"/>
      <c r="I338" s="345" t="s">
        <v>1240</v>
      </c>
      <c r="J338" s="960"/>
      <c r="K338" s="345" t="s">
        <v>1240</v>
      </c>
      <c r="L338" s="963" t="s">
        <v>462</v>
      </c>
      <c r="M338" s="73"/>
      <c r="N338" s="960"/>
      <c r="O338" s="960"/>
      <c r="P338" s="960"/>
      <c r="Q338" s="124" t="s">
        <v>2093</v>
      </c>
      <c r="R338" s="127" t="s">
        <v>2093</v>
      </c>
      <c r="S338" s="960"/>
      <c r="T338" s="439" cm="1" t="str">
        <f t="array" ref="T338:T338">T337</f>
        <v>true</v>
      </c>
      <c r="U338" s="960"/>
      <c r="V338" s="960"/>
      <c r="W338" s="960"/>
      <c r="X338" s="1482"/>
      <c r="Y338" s="960"/>
      <c r="Z338" s="1465"/>
      <c r="AA338" s="960"/>
      <c r="AB338" s="266" t="s">
        <v>1241</v>
      </c>
      <c r="AC338" s="746" t="s">
        <v>1841</v>
      </c>
      <c r="AD338" s="267" t="s">
        <v>784</v>
      </c>
      <c r="AE338" s="4765">
        <v>989.3080286101</v>
      </c>
      <c r="AF338" s="4765">
        <v>2936.3733119247</v>
      </c>
      <c r="AG338" s="4765"/>
      <c r="AH338" s="926">
        <f>AG338-AF338</f>
        <v>-2936.3733119247</v>
      </c>
      <c r="AI338" s="4750"/>
      <c r="AJ338" s="4743"/>
      <c r="AK338" s="925"/>
      <c r="AL338" s="925"/>
      <c r="AM338" s="925"/>
      <c r="AN338" s="925"/>
      <c r="AO338" s="925"/>
      <c r="AP338" s="925"/>
      <c r="AQ338" s="925"/>
      <c r="AR338" s="925"/>
      <c r="AS338" s="925"/>
      <c r="AT338" s="925"/>
      <c r="AU338" s="925"/>
      <c r="AV338" s="925"/>
      <c r="AW338" s="925"/>
      <c r="AX338" s="925"/>
      <c r="AY338" s="925"/>
      <c r="AZ338" s="925"/>
      <c r="BA338" s="925"/>
      <c r="BB338" s="925"/>
      <c r="BC338" s="925"/>
      <c r="BD338" s="925"/>
      <c r="BE338" s="925"/>
      <c r="BF338" s="925"/>
      <c r="BG338" s="925"/>
      <c r="BH338" s="925"/>
      <c r="BI338" s="925"/>
      <c r="BJ338" s="925"/>
      <c r="BK338" s="925"/>
      <c r="BL338" s="925"/>
      <c r="BM338" s="925"/>
      <c r="BN338" s="4782"/>
      <c r="BO338" s="4782"/>
      <c r="BP338" s="4782"/>
      <c r="BQ338" s="960"/>
      <c r="BR338" s="960"/>
      <c r="BS338" s="1046" t="s">
        <v>1659</v>
      </c>
      <c r="BT338" s="1048"/>
      <c r="BU338" s="1048"/>
      <c r="BV338" s="962"/>
      <c r="BW338" s="962"/>
    </row>
    <row s="1621" customFormat="1" customHeight="1" ht="14.625">
      <c r="A339" s="960"/>
      <c r="B339" s="961"/>
      <c r="C339" s="960"/>
      <c r="D339" s="960"/>
      <c r="E339" s="683">
        <v>15</v>
      </c>
      <c r="F339" s="50" cm="1" t="str">
        <f t="array" ref="F339:F339">OFFSET(E339,-1,1)</f>
        <v>2</v>
      </c>
      <c r="G339" s="49" t="s">
        <v>1053</v>
      </c>
      <c r="H339" s="345"/>
      <c r="I339" s="345" t="s">
        <v>1842</v>
      </c>
      <c r="J339" s="960"/>
      <c r="K339" s="345" t="s">
        <v>1842</v>
      </c>
      <c r="L339" s="963" t="s">
        <v>1660</v>
      </c>
      <c r="M339" s="73"/>
      <c r="N339" s="960"/>
      <c r="O339" s="960"/>
      <c r="P339" s="960"/>
      <c r="Q339" s="124" t="s">
        <v>2093</v>
      </c>
      <c r="R339" s="127" t="s">
        <v>2093</v>
      </c>
      <c r="S339" s="960"/>
      <c r="T339" s="439" cm="1" t="str">
        <f t="array" ref="T339:T339">T338</f>
        <v>true</v>
      </c>
      <c r="U339" s="960"/>
      <c r="V339" s="960"/>
      <c r="W339" s="960"/>
      <c r="X339" s="1482"/>
      <c r="Y339" s="960"/>
      <c r="Z339" s="1465"/>
      <c r="AA339" s="960"/>
      <c r="AB339" s="266" t="s">
        <v>1843</v>
      </c>
      <c r="AC339" s="749" t="s">
        <v>1661</v>
      </c>
      <c r="AD339" s="267" t="s">
        <v>784</v>
      </c>
      <c r="AE339" s="4765">
        <v>757.1041774012</v>
      </c>
      <c r="AF339" s="4765">
        <v>2307.5069024788</v>
      </c>
      <c r="AG339" s="4765"/>
      <c r="AH339" s="926">
        <f>AG339-AF339</f>
        <v>-2307.5069024788</v>
      </c>
      <c r="AI339" s="4750"/>
      <c r="AJ339" s="4743"/>
      <c r="AK339" s="925"/>
      <c r="AL339" s="925"/>
      <c r="AM339" s="925"/>
      <c r="AN339" s="925"/>
      <c r="AO339" s="925"/>
      <c r="AP339" s="925"/>
      <c r="AQ339" s="925"/>
      <c r="AR339" s="925"/>
      <c r="AS339" s="925"/>
      <c r="AT339" s="925"/>
      <c r="AU339" s="925"/>
      <c r="AV339" s="925"/>
      <c r="AW339" s="925"/>
      <c r="AX339" s="925"/>
      <c r="AY339" s="925"/>
      <c r="AZ339" s="925"/>
      <c r="BA339" s="925"/>
      <c r="BB339" s="925"/>
      <c r="BC339" s="925"/>
      <c r="BD339" s="925"/>
      <c r="BE339" s="925"/>
      <c r="BF339" s="925"/>
      <c r="BG339" s="925"/>
      <c r="BH339" s="925"/>
      <c r="BI339" s="925"/>
      <c r="BJ339" s="925"/>
      <c r="BK339" s="925"/>
      <c r="BL339" s="925"/>
      <c r="BM339" s="925"/>
      <c r="BN339" s="4782"/>
      <c r="BO339" s="4784" t="str">
        <f>IF(_xlfn.IFERROR(INDEX(ФОТ!$K$26:$L$102,MATCH($F339&amp;"3komm",ФОТ!$K$26:$K$102,0),2),"")=0,"",_xlfn.IFERROR(INDEX(ФОТ!$K$26:$L$102,MATCH($F339&amp;"3komm",ФОТ!$K$26:$K$102,0),2),""))</f>
        <v/>
      </c>
      <c r="BP339" s="4782"/>
      <c r="BQ339" s="960"/>
      <c r="BR339" s="960"/>
      <c r="BS339" s="1046" t="s">
        <v>1662</v>
      </c>
      <c r="BT339" s="1048"/>
      <c r="BU339" s="1048"/>
      <c r="BV339" s="962"/>
      <c r="BW339" s="962"/>
    </row>
    <row s="1621" customFormat="1" customHeight="1" ht="21.9375">
      <c r="A340" s="960"/>
      <c r="B340" s="961"/>
      <c r="C340" s="960"/>
      <c r="D340" s="960"/>
      <c r="E340" s="683">
        <v>22.5</v>
      </c>
      <c r="F340" s="50" cm="1" t="str">
        <f t="array" ref="F340:F340">OFFSET(E340,-1,1)</f>
        <v>2</v>
      </c>
      <c r="G340" s="49" t="s">
        <v>1058</v>
      </c>
      <c r="H340" s="345"/>
      <c r="I340" s="345" t="s">
        <v>1844</v>
      </c>
      <c r="J340" s="960"/>
      <c r="K340" s="345" t="s">
        <v>1844</v>
      </c>
      <c r="L340" s="963" t="s">
        <v>1663</v>
      </c>
      <c r="M340" s="73"/>
      <c r="N340" s="960"/>
      <c r="O340" s="960"/>
      <c r="P340" s="960"/>
      <c r="Q340" s="124" t="s">
        <v>2093</v>
      </c>
      <c r="R340" s="127" t="s">
        <v>2093</v>
      </c>
      <c r="S340" s="960"/>
      <c r="T340" s="439" cm="1" t="str">
        <f t="array" ref="T340:T340">T339</f>
        <v>true</v>
      </c>
      <c r="U340" s="960"/>
      <c r="V340" s="960"/>
      <c r="W340" s="960"/>
      <c r="X340" s="1482"/>
      <c r="Y340" s="960"/>
      <c r="Z340" s="1465"/>
      <c r="AA340" s="960"/>
      <c r="AB340" s="266" t="s">
        <v>1845</v>
      </c>
      <c r="AC340" s="749" t="s">
        <v>1846</v>
      </c>
      <c r="AD340" s="267" t="s">
        <v>784</v>
      </c>
      <c r="AE340" s="4765">
        <v>232.2038512089</v>
      </c>
      <c r="AF340" s="4765">
        <v>628.8664094459</v>
      </c>
      <c r="AG340" s="4765">
        <f>AG339*_xlfn.SUMIFS(INDEX(Сценарии!$AE$25:$BF$109,,MATCH(AG$8,Сценарии!$AE$8:$BF$8,0)),Сценарии!$F$25:$F$109,$F340,Сценарии!$G$25:$G$109,"СВФОТ")/100</f>
        <v>0</v>
      </c>
      <c r="AH340" s="926">
        <f>AG340-AF340</f>
        <v>-628.8664094459</v>
      </c>
      <c r="AI340" s="4750">
        <f>AI339*_xlfn.SUMIFS(INDEX(Сценарии!$AE$25:$BF$109,,MATCH(AG$8,Сценарии!$AE$8:$BF$8,0)),Сценарии!$F$25:$F$109,$F340,Сценарии!$G$25:$G$109,"СВФОТ")/100</f>
        <v>0</v>
      </c>
      <c r="AJ340" s="4743"/>
      <c r="AK340" s="925"/>
      <c r="AL340" s="925"/>
      <c r="AM340" s="925"/>
      <c r="AN340" s="925"/>
      <c r="AO340" s="925"/>
      <c r="AP340" s="925"/>
      <c r="AQ340" s="925"/>
      <c r="AR340" s="925"/>
      <c r="AS340" s="925"/>
      <c r="AT340" s="925"/>
      <c r="AU340" s="925"/>
      <c r="AV340" s="925"/>
      <c r="AW340" s="925"/>
      <c r="AX340" s="925"/>
      <c r="AY340" s="925"/>
      <c r="AZ340" s="925"/>
      <c r="BA340" s="925"/>
      <c r="BB340" s="925"/>
      <c r="BC340" s="925"/>
      <c r="BD340" s="925"/>
      <c r="BE340" s="925"/>
      <c r="BF340" s="925"/>
      <c r="BG340" s="925"/>
      <c r="BH340" s="925"/>
      <c r="BI340" s="925"/>
      <c r="BJ340" s="925"/>
      <c r="BK340" s="925"/>
      <c r="BL340" s="925"/>
      <c r="BM340" s="925"/>
      <c r="BN340" s="4782"/>
      <c r="BO340" s="4784" t="str">
        <f>IF(_xlfn.IFERROR(INDEX(ФОТ!$K$26:$L$102,MATCH($F340&amp;"4komm",ФОТ!$K$26:$K$102,0),2),"")=0,"",_xlfn.IFERROR(INDEX(ФОТ!$K$26:$L$102,MATCH($F340&amp;"4komm",ФОТ!$K$26:$K$102,0),2),""))</f>
        <v/>
      </c>
      <c r="BP340" s="4782"/>
      <c r="BQ340" s="960"/>
      <c r="BR340" s="960"/>
      <c r="BS340" s="1046" t="s">
        <v>1665</v>
      </c>
      <c r="BT340" s="1048"/>
      <c r="BU340" s="1048"/>
      <c r="BV340" s="962"/>
      <c r="BW340" s="962"/>
    </row>
    <row s="4848" customFormat="1" customHeight="1" ht="20.25">
      <c r="A341" s="680"/>
      <c r="B341" s="408"/>
      <c r="C341" s="680"/>
      <c r="D341" s="680"/>
      <c r="E341" s="687">
        <v>21</v>
      </c>
      <c r="F341" s="50" cm="1" t="str">
        <f t="array" ref="F341:F341">OFFSET(E341,-1,1)</f>
        <v>2</v>
      </c>
      <c r="G341" s="680"/>
      <c r="H341" s="345"/>
      <c r="I341" s="345" t="s">
        <v>452</v>
      </c>
      <c r="J341" s="680"/>
      <c r="K341" s="345" t="s">
        <v>452</v>
      </c>
      <c r="L341" s="968" t="s">
        <v>327</v>
      </c>
      <c r="M341" s="75"/>
      <c r="N341" s="680"/>
      <c r="O341" s="680"/>
      <c r="P341" s="680"/>
      <c r="Q341" s="124" t="s">
        <v>2093</v>
      </c>
      <c r="R341" s="127" t="s">
        <v>2093</v>
      </c>
      <c r="S341" s="680"/>
      <c r="T341" s="439" cm="1" t="str">
        <f t="array" ref="T341:T341">T340</f>
        <v>true</v>
      </c>
      <c r="U341" s="680"/>
      <c r="V341" s="680"/>
      <c r="W341" s="680"/>
      <c r="X341" s="1482"/>
      <c r="Y341" s="680"/>
      <c r="Z341" s="1465"/>
      <c r="AA341" s="680"/>
      <c r="AB341" s="185" t="s">
        <v>854</v>
      </c>
      <c r="AC341" s="328" t="s">
        <v>1847</v>
      </c>
      <c r="AD341" s="178" t="s">
        <v>784</v>
      </c>
      <c r="AE341" s="751">
        <f>AE342+AE350+AE353+AE354+AE355+AE356+AE357</f>
        <v>0</v>
      </c>
      <c r="AF341" s="751">
        <f>AF342+AF350+AF353+AF354+AF355+AF356+AF357</f>
        <v>11.310083685</v>
      </c>
      <c r="AG341" s="751">
        <f>AG342+AG350+AG353+AG354+AG355+AG356+AG357</f>
        <v>0</v>
      </c>
      <c r="AH341" s="742">
        <f>AG341-AF341</f>
        <v>-11.310083685</v>
      </c>
      <c r="AI341" s="4756">
        <f>AI342+AI350+AI353+AI354+AI355+AI356+AI357</f>
        <v>0</v>
      </c>
      <c r="AJ341" s="4743"/>
      <c r="AK341" s="745"/>
      <c r="AL341" s="745"/>
      <c r="AM341" s="745"/>
      <c r="AN341" s="745"/>
      <c r="AO341" s="745"/>
      <c r="AP341" s="745"/>
      <c r="AQ341" s="745"/>
      <c r="AR341" s="745"/>
      <c r="AS341" s="745"/>
      <c r="AT341" s="745"/>
      <c r="AU341" s="745"/>
      <c r="AV341" s="745"/>
      <c r="AW341" s="745"/>
      <c r="AX341" s="745"/>
      <c r="AY341" s="745"/>
      <c r="AZ341" s="745"/>
      <c r="BA341" s="745"/>
      <c r="BB341" s="745"/>
      <c r="BC341" s="745"/>
      <c r="BD341" s="745"/>
      <c r="BE341" s="745"/>
      <c r="BF341" s="745"/>
      <c r="BG341" s="745"/>
      <c r="BH341" s="745"/>
      <c r="BI341" s="745"/>
      <c r="BJ341" s="745"/>
      <c r="BK341" s="745"/>
      <c r="BL341" s="745"/>
      <c r="BM341" s="745"/>
      <c r="BN341" s="4783"/>
      <c r="BO341" s="4783"/>
      <c r="BP341" s="4783"/>
      <c r="BQ341" s="680"/>
      <c r="BR341" s="680"/>
      <c r="BS341" s="1047" t="s">
        <v>1667</v>
      </c>
      <c r="BT341" s="1054"/>
      <c r="BU341" s="1054"/>
      <c r="BV341" s="687"/>
      <c r="BW341" s="687"/>
    </row>
    <row s="1621" customFormat="1" customHeight="1" ht="21.75">
      <c r="A342" s="960"/>
      <c r="B342" s="961"/>
      <c r="C342" s="960"/>
      <c r="D342" s="960"/>
      <c r="E342" s="683">
        <v>22.5</v>
      </c>
      <c r="F342" s="50" cm="1" t="str">
        <f t="array" ref="F342:F342">OFFSET(E342,-1,1)</f>
        <v>2</v>
      </c>
      <c r="G342" s="124" t="s">
        <v>1079</v>
      </c>
      <c r="H342" s="345"/>
      <c r="I342" s="345" t="s">
        <v>1246</v>
      </c>
      <c r="J342" s="960"/>
      <c r="K342" s="345" t="s">
        <v>1246</v>
      </c>
      <c r="L342" s="963" t="s">
        <v>875</v>
      </c>
      <c r="M342" s="73"/>
      <c r="N342" s="960"/>
      <c r="O342" s="960"/>
      <c r="P342" s="960"/>
      <c r="Q342" s="124" t="s">
        <v>2093</v>
      </c>
      <c r="R342" s="127" t="s">
        <v>2093</v>
      </c>
      <c r="S342" s="960"/>
      <c r="T342" s="439" cm="1" t="str">
        <f t="array" ref="T342:T342">T341</f>
        <v>true</v>
      </c>
      <c r="U342" s="960"/>
      <c r="V342" s="960"/>
      <c r="W342" s="960"/>
      <c r="X342" s="1482"/>
      <c r="Y342" s="960"/>
      <c r="Z342" s="1465"/>
      <c r="AA342" s="960"/>
      <c r="AB342" s="266" t="s">
        <v>971</v>
      </c>
      <c r="AC342" s="746" t="s">
        <v>1848</v>
      </c>
      <c r="AD342" s="267" t="s">
        <v>784</v>
      </c>
      <c r="AE342" s="927">
        <f>SUM(AE343:AE349)</f>
        <v>0</v>
      </c>
      <c r="AF342" s="927">
        <f>SUM(AF343:AF349)</f>
        <v>0</v>
      </c>
      <c r="AG342" s="927">
        <f>SUM(AG343:AG349)</f>
        <v>0</v>
      </c>
      <c r="AH342" s="926">
        <f>AG342-AF342</f>
        <v>0</v>
      </c>
      <c r="AI342" s="4752">
        <f>SUM(AI343:AI349)</f>
        <v>0</v>
      </c>
      <c r="AJ342" s="4743"/>
      <c r="AK342" s="925"/>
      <c r="AL342" s="925"/>
      <c r="AM342" s="925"/>
      <c r="AN342" s="925"/>
      <c r="AO342" s="925"/>
      <c r="AP342" s="925"/>
      <c r="AQ342" s="925"/>
      <c r="AR342" s="925"/>
      <c r="AS342" s="925"/>
      <c r="AT342" s="925"/>
      <c r="AU342" s="925"/>
      <c r="AV342" s="925"/>
      <c r="AW342" s="925"/>
      <c r="AX342" s="925"/>
      <c r="AY342" s="925"/>
      <c r="AZ342" s="925"/>
      <c r="BA342" s="925"/>
      <c r="BB342" s="925"/>
      <c r="BC342" s="925"/>
      <c r="BD342" s="925"/>
      <c r="BE342" s="925"/>
      <c r="BF342" s="925"/>
      <c r="BG342" s="925"/>
      <c r="BH342" s="925"/>
      <c r="BI342" s="925"/>
      <c r="BJ342" s="925"/>
      <c r="BK342" s="925"/>
      <c r="BL342" s="925"/>
      <c r="BM342" s="925"/>
      <c r="BN342" s="4782"/>
      <c r="BO342" s="4784" t="str">
        <f>IF(_xlfn.IFERROR(INDEX(Административные!$K$26:$L$84,MATCH($F342&amp;"17komm",Административные!$K$26:$K$84,0),2),"")=0,"",_xlfn.IFERROR(INDEX(Административные!$K$26:$L$84,MATCH($F342&amp;"17komm",Административные!$K$26:$K$84,0),2),""))</f>
        <v/>
      </c>
      <c r="BP342" s="4782"/>
      <c r="BQ342" s="960"/>
      <c r="BR342" s="960"/>
      <c r="BS342" s="1046" t="s">
        <v>1081</v>
      </c>
      <c r="BT342" s="1048"/>
      <c r="BU342" s="1048"/>
      <c r="BV342" s="962"/>
      <c r="BW342" s="962"/>
    </row>
    <row s="1621" customFormat="1" customHeight="1" ht="14.625">
      <c r="A343" s="960"/>
      <c r="B343" s="961"/>
      <c r="C343" s="960"/>
      <c r="D343" s="960"/>
      <c r="E343" s="683">
        <v>15</v>
      </c>
      <c r="F343" s="50" cm="1" t="str">
        <f t="array" ref="F343:F343">OFFSET(E343,-1,1)</f>
        <v>2</v>
      </c>
      <c r="G343" s="124" t="s">
        <v>1082</v>
      </c>
      <c r="H343" s="345"/>
      <c r="I343" s="345" t="s">
        <v>1849</v>
      </c>
      <c r="J343" s="960"/>
      <c r="K343" s="345" t="s">
        <v>1849</v>
      </c>
      <c r="L343" s="963"/>
      <c r="M343" s="73"/>
      <c r="N343" s="960"/>
      <c r="O343" s="960"/>
      <c r="P343" s="960"/>
      <c r="Q343" s="124" t="s">
        <v>2093</v>
      </c>
      <c r="R343" s="127" t="s">
        <v>2093</v>
      </c>
      <c r="S343" s="960"/>
      <c r="T343" s="439" cm="1" t="str">
        <f t="array" ref="T343:T343">T342</f>
        <v>true</v>
      </c>
      <c r="U343" s="960"/>
      <c r="V343" s="960"/>
      <c r="W343" s="960"/>
      <c r="X343" s="1482"/>
      <c r="Y343" s="960"/>
      <c r="Z343" s="1465"/>
      <c r="AA343" s="960"/>
      <c r="AB343" s="266" t="s">
        <v>1850</v>
      </c>
      <c r="AC343" s="749" t="s">
        <v>1083</v>
      </c>
      <c r="AD343" s="267" t="s">
        <v>784</v>
      </c>
      <c r="AE343" s="4765">
        <v>0</v>
      </c>
      <c r="AF343" s="4765"/>
      <c r="AG343" s="4765"/>
      <c r="AH343" s="926">
        <f>AG343-AF343</f>
        <v>0</v>
      </c>
      <c r="AI343" s="4750"/>
      <c r="AJ343" s="4743"/>
      <c r="AK343" s="925"/>
      <c r="AL343" s="925"/>
      <c r="AM343" s="925"/>
      <c r="AN343" s="925"/>
      <c r="AO343" s="925"/>
      <c r="AP343" s="925"/>
      <c r="AQ343" s="925"/>
      <c r="AR343" s="925"/>
      <c r="AS343" s="925"/>
      <c r="AT343" s="925"/>
      <c r="AU343" s="925"/>
      <c r="AV343" s="925"/>
      <c r="AW343" s="925"/>
      <c r="AX343" s="925"/>
      <c r="AY343" s="925"/>
      <c r="AZ343" s="925"/>
      <c r="BA343" s="925"/>
      <c r="BB343" s="925"/>
      <c r="BC343" s="925"/>
      <c r="BD343" s="925"/>
      <c r="BE343" s="925"/>
      <c r="BF343" s="925"/>
      <c r="BG343" s="925"/>
      <c r="BH343" s="925"/>
      <c r="BI343" s="925"/>
      <c r="BJ343" s="925"/>
      <c r="BK343" s="925"/>
      <c r="BL343" s="925"/>
      <c r="BM343" s="925"/>
      <c r="BN343" s="4782"/>
      <c r="BO343" s="4784" t="str">
        <f>IF(_xlfn.IFERROR(INDEX(Административные!$K$26:$L$84,MATCH($F343&amp;"18komm",Административные!$K$26:$K$84,0),2),"")=0,"",_xlfn.IFERROR(INDEX(Административные!$K$26:$L$84,MATCH($F343&amp;"18komm",Административные!$K$26:$K$84,0),2),""))</f>
        <v/>
      </c>
      <c r="BP343" s="4782"/>
      <c r="BQ343" s="960"/>
      <c r="BR343" s="960"/>
      <c r="BS343" s="1048" t="s">
        <v>1084</v>
      </c>
      <c r="BT343" s="1048"/>
      <c r="BU343" s="1048"/>
      <c r="BV343" s="962"/>
      <c r="BW343" s="962"/>
    </row>
    <row s="1621" customFormat="1" customHeight="1" ht="14.625">
      <c r="A344" s="960"/>
      <c r="B344" s="961"/>
      <c r="C344" s="960"/>
      <c r="D344" s="960"/>
      <c r="E344" s="683">
        <v>15</v>
      </c>
      <c r="F344" s="50" cm="1" t="str">
        <f t="array" ref="F344:F344">OFFSET(E344,-1,1)</f>
        <v>2</v>
      </c>
      <c r="G344" s="124" t="s">
        <v>1085</v>
      </c>
      <c r="H344" s="345"/>
      <c r="I344" s="345" t="s">
        <v>1851</v>
      </c>
      <c r="J344" s="960"/>
      <c r="K344" s="345" t="s">
        <v>1851</v>
      </c>
      <c r="L344" s="963"/>
      <c r="M344" s="73"/>
      <c r="N344" s="960"/>
      <c r="O344" s="960"/>
      <c r="P344" s="960"/>
      <c r="Q344" s="124" t="s">
        <v>2093</v>
      </c>
      <c r="R344" s="127" t="s">
        <v>2093</v>
      </c>
      <c r="S344" s="960"/>
      <c r="T344" s="439" cm="1" t="str">
        <f t="array" ref="T344:T344">T343</f>
        <v>true</v>
      </c>
      <c r="U344" s="960"/>
      <c r="V344" s="960"/>
      <c r="W344" s="960"/>
      <c r="X344" s="1482"/>
      <c r="Y344" s="960"/>
      <c r="Z344" s="1465"/>
      <c r="AA344" s="960"/>
      <c r="AB344" s="266" t="s">
        <v>1852</v>
      </c>
      <c r="AC344" s="749" t="s">
        <v>1086</v>
      </c>
      <c r="AD344" s="267" t="s">
        <v>784</v>
      </c>
      <c r="AE344" s="4765">
        <v>0</v>
      </c>
      <c r="AF344" s="4765"/>
      <c r="AG344" s="4765"/>
      <c r="AH344" s="926">
        <f>AG344-AF344</f>
        <v>0</v>
      </c>
      <c r="AI344" s="4750"/>
      <c r="AJ344" s="4743"/>
      <c r="AK344" s="925"/>
      <c r="AL344" s="925"/>
      <c r="AM344" s="925"/>
      <c r="AN344" s="925"/>
      <c r="AO344" s="925"/>
      <c r="AP344" s="925"/>
      <c r="AQ344" s="925"/>
      <c r="AR344" s="925"/>
      <c r="AS344" s="925"/>
      <c r="AT344" s="925"/>
      <c r="AU344" s="925"/>
      <c r="AV344" s="925"/>
      <c r="AW344" s="925"/>
      <c r="AX344" s="925"/>
      <c r="AY344" s="925"/>
      <c r="AZ344" s="925"/>
      <c r="BA344" s="925"/>
      <c r="BB344" s="925"/>
      <c r="BC344" s="925"/>
      <c r="BD344" s="925"/>
      <c r="BE344" s="925"/>
      <c r="BF344" s="925"/>
      <c r="BG344" s="925"/>
      <c r="BH344" s="925"/>
      <c r="BI344" s="925"/>
      <c r="BJ344" s="925"/>
      <c r="BK344" s="925"/>
      <c r="BL344" s="925"/>
      <c r="BM344" s="925"/>
      <c r="BN344" s="4782"/>
      <c r="BO344" s="4784" t="str">
        <f>IF(_xlfn.IFERROR(INDEX(Административные!$K$26:$L$84,MATCH($F344&amp;"11komm",Административные!$K$26:$K$84,0),2),"")=0,"",_xlfn.IFERROR(INDEX(Административные!$K$26:$L$84,MATCH($F344&amp;"11komm",Административные!$K$26:$K$84,0),2),""))</f>
        <v/>
      </c>
      <c r="BP344" s="4782"/>
      <c r="BQ344" s="960"/>
      <c r="BR344" s="960"/>
      <c r="BS344" s="1048" t="s">
        <v>1087</v>
      </c>
      <c r="BT344" s="1048"/>
      <c r="BU344" s="1048"/>
      <c r="BV344" s="962"/>
      <c r="BW344" s="962"/>
    </row>
    <row s="1621" customFormat="1" customHeight="1" ht="14.625">
      <c r="A345" s="960"/>
      <c r="B345" s="961"/>
      <c r="C345" s="960"/>
      <c r="D345" s="960"/>
      <c r="E345" s="683">
        <v>15</v>
      </c>
      <c r="F345" s="50" cm="1" t="str">
        <f t="array" ref="F345:F345">OFFSET(E345,-1,1)</f>
        <v>2</v>
      </c>
      <c r="G345" s="124" t="s">
        <v>1088</v>
      </c>
      <c r="H345" s="345"/>
      <c r="I345" s="345" t="s">
        <v>1853</v>
      </c>
      <c r="J345" s="960"/>
      <c r="K345" s="345" t="s">
        <v>1853</v>
      </c>
      <c r="L345" s="963"/>
      <c r="M345" s="73"/>
      <c r="N345" s="960"/>
      <c r="O345" s="960"/>
      <c r="P345" s="960"/>
      <c r="Q345" s="124" t="s">
        <v>2093</v>
      </c>
      <c r="R345" s="127" t="s">
        <v>2093</v>
      </c>
      <c r="S345" s="960"/>
      <c r="T345" s="439" cm="1" t="str">
        <f t="array" ref="T345:T345">T344</f>
        <v>true</v>
      </c>
      <c r="U345" s="960"/>
      <c r="V345" s="960"/>
      <c r="W345" s="960"/>
      <c r="X345" s="1482"/>
      <c r="Y345" s="960"/>
      <c r="Z345" s="1465"/>
      <c r="AA345" s="960"/>
      <c r="AB345" s="266" t="s">
        <v>1854</v>
      </c>
      <c r="AC345" s="749" t="s">
        <v>1089</v>
      </c>
      <c r="AD345" s="267" t="s">
        <v>784</v>
      </c>
      <c r="AE345" s="4765">
        <v>0</v>
      </c>
      <c r="AF345" s="4765"/>
      <c r="AG345" s="4765"/>
      <c r="AH345" s="926">
        <f>AG345-AF345</f>
        <v>0</v>
      </c>
      <c r="AI345" s="4750"/>
      <c r="AJ345" s="4743"/>
      <c r="AK345" s="925"/>
      <c r="AL345" s="925"/>
      <c r="AM345" s="925"/>
      <c r="AN345" s="925"/>
      <c r="AO345" s="925"/>
      <c r="AP345" s="925"/>
      <c r="AQ345" s="925"/>
      <c r="AR345" s="925"/>
      <c r="AS345" s="925"/>
      <c r="AT345" s="925"/>
      <c r="AU345" s="925"/>
      <c r="AV345" s="925"/>
      <c r="AW345" s="925"/>
      <c r="AX345" s="925"/>
      <c r="AY345" s="925"/>
      <c r="AZ345" s="925"/>
      <c r="BA345" s="925"/>
      <c r="BB345" s="925"/>
      <c r="BC345" s="925"/>
      <c r="BD345" s="925"/>
      <c r="BE345" s="925"/>
      <c r="BF345" s="925"/>
      <c r="BG345" s="925"/>
      <c r="BH345" s="925"/>
      <c r="BI345" s="925"/>
      <c r="BJ345" s="925"/>
      <c r="BK345" s="925"/>
      <c r="BL345" s="925"/>
      <c r="BM345" s="925"/>
      <c r="BN345" s="4782"/>
      <c r="BO345" s="4784" t="str">
        <f>IF(_xlfn.IFERROR(INDEX(Административные!$K$26:$L$84,MATCH($F345&amp;"12komm",Административные!$K$26:$K$84,0),2),"")=0,"",_xlfn.IFERROR(INDEX(Административные!$K$26:$L$84,MATCH($F345&amp;"12komm",Административные!$K$26:$K$84,0),2),""))</f>
        <v/>
      </c>
      <c r="BP345" s="4782"/>
      <c r="BQ345" s="960"/>
      <c r="BR345" s="960"/>
      <c r="BS345" s="1048" t="s">
        <v>1090</v>
      </c>
      <c r="BT345" s="1048"/>
      <c r="BU345" s="1048"/>
      <c r="BV345" s="962"/>
      <c r="BW345" s="962"/>
    </row>
    <row s="1621" customFormat="1" customHeight="1" ht="14.625">
      <c r="A346" s="960"/>
      <c r="B346" s="961"/>
      <c r="C346" s="960"/>
      <c r="D346" s="960"/>
      <c r="E346" s="683">
        <v>15</v>
      </c>
      <c r="F346" s="50" cm="1" t="str">
        <f t="array" ref="F346:F346">OFFSET(E346,-1,1)</f>
        <v>2</v>
      </c>
      <c r="G346" s="124" t="s">
        <v>1091</v>
      </c>
      <c r="H346" s="345"/>
      <c r="I346" s="345" t="s">
        <v>1855</v>
      </c>
      <c r="J346" s="960"/>
      <c r="K346" s="345" t="s">
        <v>1855</v>
      </c>
      <c r="L346" s="963"/>
      <c r="M346" s="73"/>
      <c r="N346" s="960"/>
      <c r="O346" s="960"/>
      <c r="P346" s="960"/>
      <c r="Q346" s="124" t="s">
        <v>2093</v>
      </c>
      <c r="R346" s="127" t="s">
        <v>2093</v>
      </c>
      <c r="S346" s="960"/>
      <c r="T346" s="439" cm="1" t="str">
        <f t="array" ref="T346:T346">T345</f>
        <v>true</v>
      </c>
      <c r="U346" s="960"/>
      <c r="V346" s="960"/>
      <c r="W346" s="960"/>
      <c r="X346" s="1482"/>
      <c r="Y346" s="960"/>
      <c r="Z346" s="1465"/>
      <c r="AA346" s="960"/>
      <c r="AB346" s="266" t="s">
        <v>1856</v>
      </c>
      <c r="AC346" s="749" t="s">
        <v>1092</v>
      </c>
      <c r="AD346" s="267" t="s">
        <v>784</v>
      </c>
      <c r="AE346" s="4765">
        <v>0</v>
      </c>
      <c r="AF346" s="4765"/>
      <c r="AG346" s="4765"/>
      <c r="AH346" s="926">
        <f>AG346-AF346</f>
        <v>0</v>
      </c>
      <c r="AI346" s="4750"/>
      <c r="AJ346" s="4743"/>
      <c r="AK346" s="925"/>
      <c r="AL346" s="925"/>
      <c r="AM346" s="925"/>
      <c r="AN346" s="925"/>
      <c r="AO346" s="925"/>
      <c r="AP346" s="925"/>
      <c r="AQ346" s="925"/>
      <c r="AR346" s="925"/>
      <c r="AS346" s="925"/>
      <c r="AT346" s="925"/>
      <c r="AU346" s="925"/>
      <c r="AV346" s="925"/>
      <c r="AW346" s="925"/>
      <c r="AX346" s="925"/>
      <c r="AY346" s="925"/>
      <c r="AZ346" s="925"/>
      <c r="BA346" s="925"/>
      <c r="BB346" s="925"/>
      <c r="BC346" s="925"/>
      <c r="BD346" s="925"/>
      <c r="BE346" s="925"/>
      <c r="BF346" s="925"/>
      <c r="BG346" s="925"/>
      <c r="BH346" s="925"/>
      <c r="BI346" s="925"/>
      <c r="BJ346" s="925"/>
      <c r="BK346" s="925"/>
      <c r="BL346" s="925"/>
      <c r="BM346" s="925"/>
      <c r="BN346" s="4782"/>
      <c r="BO346" s="4784" t="str">
        <f>IF(_xlfn.IFERROR(INDEX(Административные!$K$26:$L$84,MATCH($F346&amp;"13komm",Административные!$K$26:$K$84,0),2),"")=0,"",_xlfn.IFERROR(INDEX(Административные!$K$26:$L$84,MATCH($F346&amp;"13komm",Административные!$K$26:$K$84,0),2),""))</f>
        <v/>
      </c>
      <c r="BP346" s="4782"/>
      <c r="BQ346" s="960"/>
      <c r="BR346" s="960"/>
      <c r="BS346" s="1048" t="s">
        <v>1093</v>
      </c>
      <c r="BT346" s="1048"/>
      <c r="BU346" s="1048"/>
      <c r="BV346" s="962"/>
      <c r="BW346" s="962"/>
    </row>
    <row s="1621" customFormat="1" customHeight="1" ht="14.625">
      <c r="A347" s="960"/>
      <c r="B347" s="961"/>
      <c r="C347" s="960"/>
      <c r="D347" s="960"/>
      <c r="E347" s="683">
        <v>15</v>
      </c>
      <c r="F347" s="50" cm="1" t="str">
        <f t="array" ref="F347:F347">OFFSET(E347,-1,1)</f>
        <v>2</v>
      </c>
      <c r="G347" s="124" t="s">
        <v>1094</v>
      </c>
      <c r="H347" s="345"/>
      <c r="I347" s="345" t="s">
        <v>1857</v>
      </c>
      <c r="J347" s="960"/>
      <c r="K347" s="345" t="s">
        <v>1857</v>
      </c>
      <c r="L347" s="963"/>
      <c r="M347" s="73"/>
      <c r="N347" s="960"/>
      <c r="O347" s="960"/>
      <c r="P347" s="960"/>
      <c r="Q347" s="124" t="s">
        <v>2093</v>
      </c>
      <c r="R347" s="127" t="s">
        <v>2093</v>
      </c>
      <c r="S347" s="960"/>
      <c r="T347" s="439" cm="1" t="str">
        <f t="array" ref="T347:T347">T346</f>
        <v>true</v>
      </c>
      <c r="U347" s="960"/>
      <c r="V347" s="960"/>
      <c r="W347" s="960"/>
      <c r="X347" s="1482"/>
      <c r="Y347" s="960"/>
      <c r="Z347" s="1465"/>
      <c r="AA347" s="960"/>
      <c r="AB347" s="266" t="s">
        <v>1858</v>
      </c>
      <c r="AC347" s="749" t="s">
        <v>1095</v>
      </c>
      <c r="AD347" s="267" t="s">
        <v>784</v>
      </c>
      <c r="AE347" s="4765">
        <v>0</v>
      </c>
      <c r="AF347" s="4765"/>
      <c r="AG347" s="4765"/>
      <c r="AH347" s="926">
        <f>AG347-AF347</f>
        <v>0</v>
      </c>
      <c r="AI347" s="4750"/>
      <c r="AJ347" s="4743"/>
      <c r="AK347" s="925"/>
      <c r="AL347" s="925"/>
      <c r="AM347" s="925"/>
      <c r="AN347" s="925"/>
      <c r="AO347" s="925"/>
      <c r="AP347" s="925"/>
      <c r="AQ347" s="925"/>
      <c r="AR347" s="925"/>
      <c r="AS347" s="925"/>
      <c r="AT347" s="925"/>
      <c r="AU347" s="925"/>
      <c r="AV347" s="925"/>
      <c r="AW347" s="925"/>
      <c r="AX347" s="925"/>
      <c r="AY347" s="925"/>
      <c r="AZ347" s="925"/>
      <c r="BA347" s="925"/>
      <c r="BB347" s="925"/>
      <c r="BC347" s="925"/>
      <c r="BD347" s="925"/>
      <c r="BE347" s="925"/>
      <c r="BF347" s="925"/>
      <c r="BG347" s="925"/>
      <c r="BH347" s="925"/>
      <c r="BI347" s="925"/>
      <c r="BJ347" s="925"/>
      <c r="BK347" s="925"/>
      <c r="BL347" s="925"/>
      <c r="BM347" s="925"/>
      <c r="BN347" s="4782"/>
      <c r="BO347" s="4784" t="str">
        <f>IF(_xlfn.IFERROR(INDEX(Административные!$K$26:$L$84,MATCH($F347&amp;"14komm",Административные!$K$26:$K$84,0),2),"")=0,"",_xlfn.IFERROR(INDEX(Административные!$K$26:$L$84,MATCH($F347&amp;"14komm",Административные!$K$26:$K$84,0),2),""))</f>
        <v/>
      </c>
      <c r="BP347" s="4782"/>
      <c r="BQ347" s="960"/>
      <c r="BR347" s="960"/>
      <c r="BS347" s="1048" t="s">
        <v>1859</v>
      </c>
      <c r="BT347" s="1048"/>
      <c r="BU347" s="1048"/>
      <c r="BV347" s="962"/>
      <c r="BW347" s="962"/>
    </row>
    <row s="1621" customFormat="1" customHeight="1" ht="14.625">
      <c r="A348" s="960"/>
      <c r="B348" s="961"/>
      <c r="C348" s="960"/>
      <c r="D348" s="960"/>
      <c r="E348" s="683">
        <v>15</v>
      </c>
      <c r="F348" s="50" cm="1" t="str">
        <f t="array" ref="F348:F348">OFFSET(E348,-1,1)</f>
        <v>2</v>
      </c>
      <c r="G348" s="124" t="s">
        <v>1097</v>
      </c>
      <c r="H348" s="345"/>
      <c r="I348" s="345" t="s">
        <v>1860</v>
      </c>
      <c r="J348" s="960"/>
      <c r="K348" s="345" t="s">
        <v>1860</v>
      </c>
      <c r="L348" s="963"/>
      <c r="M348" s="73"/>
      <c r="N348" s="960"/>
      <c r="O348" s="960"/>
      <c r="P348" s="960"/>
      <c r="Q348" s="124" t="s">
        <v>2093</v>
      </c>
      <c r="R348" s="127" t="s">
        <v>2093</v>
      </c>
      <c r="S348" s="960"/>
      <c r="T348" s="439" cm="1" t="str">
        <f t="array" ref="T348:T348">T347</f>
        <v>true</v>
      </c>
      <c r="U348" s="960"/>
      <c r="V348" s="960"/>
      <c r="W348" s="960"/>
      <c r="X348" s="1482"/>
      <c r="Y348" s="960"/>
      <c r="Z348" s="1465"/>
      <c r="AA348" s="960"/>
      <c r="AB348" s="266" t="s">
        <v>1861</v>
      </c>
      <c r="AC348" s="749" t="s">
        <v>1100</v>
      </c>
      <c r="AD348" s="267" t="s">
        <v>784</v>
      </c>
      <c r="AE348" s="4765">
        <v>0</v>
      </c>
      <c r="AF348" s="4765"/>
      <c r="AG348" s="4765"/>
      <c r="AH348" s="926">
        <f>AG348-AF348</f>
        <v>0</v>
      </c>
      <c r="AI348" s="4750"/>
      <c r="AJ348" s="4743"/>
      <c r="AK348" s="925"/>
      <c r="AL348" s="925"/>
      <c r="AM348" s="925"/>
      <c r="AN348" s="925"/>
      <c r="AO348" s="925"/>
      <c r="AP348" s="925"/>
      <c r="AQ348" s="925"/>
      <c r="AR348" s="925"/>
      <c r="AS348" s="925"/>
      <c r="AT348" s="925"/>
      <c r="AU348" s="925"/>
      <c r="AV348" s="925"/>
      <c r="AW348" s="925"/>
      <c r="AX348" s="925"/>
      <c r="AY348" s="925"/>
      <c r="AZ348" s="925"/>
      <c r="BA348" s="925"/>
      <c r="BB348" s="925"/>
      <c r="BC348" s="925"/>
      <c r="BD348" s="925"/>
      <c r="BE348" s="925"/>
      <c r="BF348" s="925"/>
      <c r="BG348" s="925"/>
      <c r="BH348" s="925"/>
      <c r="BI348" s="925"/>
      <c r="BJ348" s="925"/>
      <c r="BK348" s="925"/>
      <c r="BL348" s="925"/>
      <c r="BM348" s="925"/>
      <c r="BN348" s="4782"/>
      <c r="BO348" s="4784" t="str">
        <f>IF(_xlfn.IFERROR(INDEX(Административные!$K$26:$L$84,MATCH($F348&amp;"15komm",Административные!$K$26:$K$84,0),2),"")=0,"",_xlfn.IFERROR(INDEX(Административные!$K$26:$L$84,MATCH($F348&amp;"15komm",Административные!$K$26:$K$84,0),2),""))</f>
        <v/>
      </c>
      <c r="BP348" s="4782"/>
      <c r="BQ348" s="960"/>
      <c r="BR348" s="960"/>
      <c r="BS348" s="1048" t="s">
        <v>1101</v>
      </c>
      <c r="BT348" s="1048"/>
      <c r="BU348" s="1048"/>
      <c r="BV348" s="962"/>
      <c r="BW348" s="962"/>
    </row>
    <row s="1621" customFormat="1" customHeight="1" ht="14.625">
      <c r="A349" s="960"/>
      <c r="B349" s="961"/>
      <c r="C349" s="960"/>
      <c r="D349" s="960"/>
      <c r="E349" s="683">
        <v>15</v>
      </c>
      <c r="F349" s="50" cm="1" t="str">
        <f t="array" ref="F349:F349">OFFSET(E349,-1,1)</f>
        <v>2</v>
      </c>
      <c r="G349" s="124" t="s">
        <v>1102</v>
      </c>
      <c r="H349" s="345"/>
      <c r="I349" s="345" t="s">
        <v>1862</v>
      </c>
      <c r="J349" s="960"/>
      <c r="K349" s="345" t="s">
        <v>1862</v>
      </c>
      <c r="L349" s="963"/>
      <c r="M349" s="73"/>
      <c r="N349" s="960"/>
      <c r="O349" s="960"/>
      <c r="P349" s="960"/>
      <c r="Q349" s="124" t="s">
        <v>2093</v>
      </c>
      <c r="R349" s="127" t="s">
        <v>2093</v>
      </c>
      <c r="S349" s="960"/>
      <c r="T349" s="439" cm="1" t="str">
        <f t="array" ref="T349:T349">T348</f>
        <v>true</v>
      </c>
      <c r="U349" s="960"/>
      <c r="V349" s="960"/>
      <c r="W349" s="960"/>
      <c r="X349" s="1482"/>
      <c r="Y349" s="960"/>
      <c r="Z349" s="1465"/>
      <c r="AA349" s="960"/>
      <c r="AB349" s="266" t="s">
        <v>1863</v>
      </c>
      <c r="AC349" s="749" t="s">
        <v>1105</v>
      </c>
      <c r="AD349" s="267" t="s">
        <v>784</v>
      </c>
      <c r="AE349" s="4765">
        <v>0</v>
      </c>
      <c r="AF349" s="4765"/>
      <c r="AG349" s="4765"/>
      <c r="AH349" s="926">
        <f>AG349-AF349</f>
        <v>0</v>
      </c>
      <c r="AI349" s="4750"/>
      <c r="AJ349" s="4743"/>
      <c r="AK349" s="925"/>
      <c r="AL349" s="925"/>
      <c r="AM349" s="925"/>
      <c r="AN349" s="925"/>
      <c r="AO349" s="925"/>
      <c r="AP349" s="925"/>
      <c r="AQ349" s="925"/>
      <c r="AR349" s="925"/>
      <c r="AS349" s="925"/>
      <c r="AT349" s="925"/>
      <c r="AU349" s="925"/>
      <c r="AV349" s="925"/>
      <c r="AW349" s="925"/>
      <c r="AX349" s="925"/>
      <c r="AY349" s="925"/>
      <c r="AZ349" s="925"/>
      <c r="BA349" s="925"/>
      <c r="BB349" s="925"/>
      <c r="BC349" s="925"/>
      <c r="BD349" s="925"/>
      <c r="BE349" s="925"/>
      <c r="BF349" s="925"/>
      <c r="BG349" s="925"/>
      <c r="BH349" s="925"/>
      <c r="BI349" s="925"/>
      <c r="BJ349" s="925"/>
      <c r="BK349" s="925"/>
      <c r="BL349" s="925"/>
      <c r="BM349" s="925"/>
      <c r="BN349" s="4782"/>
      <c r="BO349" s="4784" t="str">
        <f>IF(_xlfn.IFERROR(INDEX(Административные!$K$26:$L$84,MATCH($F349&amp;"16komm",Административные!$K$26:$K$84,0),2),"")=0,"",_xlfn.IFERROR(INDEX(Административные!$K$26:$L$84,MATCH($F349&amp;"16komm",Административные!$K$26:$K$84,0),2),""))</f>
        <v/>
      </c>
      <c r="BP349" s="4782"/>
      <c r="BQ349" s="960"/>
      <c r="BR349" s="960"/>
      <c r="BS349" s="1048" t="s">
        <v>1864</v>
      </c>
      <c r="BT349" s="1048"/>
      <c r="BU349" s="1048"/>
      <c r="BV349" s="962"/>
      <c r="BW349" s="962"/>
    </row>
    <row s="1621" customFormat="1" customHeight="1" ht="21.75">
      <c r="A350" s="960"/>
      <c r="B350" s="961"/>
      <c r="C350" s="960"/>
      <c r="D350" s="960"/>
      <c r="E350" s="683">
        <v>22.5</v>
      </c>
      <c r="F350" s="50" cm="1" t="str">
        <f t="array" ref="F350:F350">OFFSET(E350,-1,1)</f>
        <v>2</v>
      </c>
      <c r="G350" s="960"/>
      <c r="H350" s="345"/>
      <c r="I350" s="345" t="s">
        <v>1247</v>
      </c>
      <c r="J350" s="960"/>
      <c r="K350" s="345" t="s">
        <v>1247</v>
      </c>
      <c r="L350" s="963" t="s">
        <v>877</v>
      </c>
      <c r="M350" s="73"/>
      <c r="N350" s="960"/>
      <c r="O350" s="960"/>
      <c r="P350" s="960"/>
      <c r="Q350" s="124" t="s">
        <v>2093</v>
      </c>
      <c r="R350" s="127" t="s">
        <v>2093</v>
      </c>
      <c r="S350" s="960"/>
      <c r="T350" s="439" cm="1" t="str">
        <f t="array" ref="T350:T350">T349</f>
        <v>true</v>
      </c>
      <c r="U350" s="960"/>
      <c r="V350" s="960"/>
      <c r="W350" s="960"/>
      <c r="X350" s="1482"/>
      <c r="Y350" s="960"/>
      <c r="Z350" s="1465"/>
      <c r="AA350" s="960"/>
      <c r="AB350" s="266" t="s">
        <v>974</v>
      </c>
      <c r="AC350" s="746" t="s">
        <v>1865</v>
      </c>
      <c r="AD350" s="267" t="s">
        <v>784</v>
      </c>
      <c r="AE350" s="927">
        <f>AE351+AE352</f>
        <v>0</v>
      </c>
      <c r="AF350" s="927">
        <f>AF351+AF352</f>
        <v>0</v>
      </c>
      <c r="AG350" s="927">
        <f>AG351+AG352</f>
        <v>0</v>
      </c>
      <c r="AH350" s="926">
        <f>AG350-AF350</f>
        <v>0</v>
      </c>
      <c r="AI350" s="4752">
        <f>AI351+AI352</f>
        <v>0</v>
      </c>
      <c r="AJ350" s="4743"/>
      <c r="AK350" s="925"/>
      <c r="AL350" s="925"/>
      <c r="AM350" s="925"/>
      <c r="AN350" s="925"/>
      <c r="AO350" s="925"/>
      <c r="AP350" s="925"/>
      <c r="AQ350" s="925"/>
      <c r="AR350" s="925"/>
      <c r="AS350" s="925"/>
      <c r="AT350" s="925"/>
      <c r="AU350" s="925"/>
      <c r="AV350" s="925"/>
      <c r="AW350" s="925"/>
      <c r="AX350" s="925"/>
      <c r="AY350" s="925"/>
      <c r="AZ350" s="925"/>
      <c r="BA350" s="925"/>
      <c r="BB350" s="925"/>
      <c r="BC350" s="925"/>
      <c r="BD350" s="925"/>
      <c r="BE350" s="925"/>
      <c r="BF350" s="925"/>
      <c r="BG350" s="925"/>
      <c r="BH350" s="925"/>
      <c r="BI350" s="925"/>
      <c r="BJ350" s="925"/>
      <c r="BK350" s="925"/>
      <c r="BL350" s="925"/>
      <c r="BM350" s="925"/>
      <c r="BN350" s="4782"/>
      <c r="BO350" s="4782"/>
      <c r="BP350" s="4782"/>
      <c r="BQ350" s="960"/>
      <c r="BR350" s="960"/>
      <c r="BS350" s="1046" t="s">
        <v>1670</v>
      </c>
      <c r="BT350" s="1048"/>
      <c r="BU350" s="1048"/>
      <c r="BV350" s="962"/>
      <c r="BW350" s="962"/>
    </row>
    <row s="1621" customFormat="1" customHeight="1" ht="14.625">
      <c r="A351" s="960"/>
      <c r="B351" s="961"/>
      <c r="C351" s="960"/>
      <c r="D351" s="960"/>
      <c r="E351" s="683">
        <v>15</v>
      </c>
      <c r="F351" s="50" cm="1" t="str">
        <f t="array" ref="F351:F351">OFFSET(E351,-1,1)</f>
        <v>2</v>
      </c>
      <c r="G351" s="124" t="s">
        <v>1061</v>
      </c>
      <c r="H351" s="345"/>
      <c r="I351" s="345" t="s">
        <v>1866</v>
      </c>
      <c r="J351" s="960"/>
      <c r="K351" s="345" t="s">
        <v>1866</v>
      </c>
      <c r="L351" s="963" t="s">
        <v>477</v>
      </c>
      <c r="M351" s="73"/>
      <c r="N351" s="960"/>
      <c r="O351" s="960"/>
      <c r="P351" s="960"/>
      <c r="Q351" s="124" t="s">
        <v>2093</v>
      </c>
      <c r="R351" s="127" t="s">
        <v>2093</v>
      </c>
      <c r="S351" s="960"/>
      <c r="T351" s="439" cm="1" t="str">
        <f t="array" ref="T351:T351">T350</f>
        <v>true</v>
      </c>
      <c r="U351" s="960"/>
      <c r="V351" s="960"/>
      <c r="W351" s="960"/>
      <c r="X351" s="1482"/>
      <c r="Y351" s="960"/>
      <c r="Z351" s="1465"/>
      <c r="AA351" s="960"/>
      <c r="AB351" s="266" t="s">
        <v>1867</v>
      </c>
      <c r="AC351" s="749" t="s">
        <v>1671</v>
      </c>
      <c r="AD351" s="752" t="s">
        <v>784</v>
      </c>
      <c r="AE351" s="4765">
        <v>0</v>
      </c>
      <c r="AF351" s="4765"/>
      <c r="AG351" s="4765"/>
      <c r="AH351" s="926">
        <f>AG351-AF351</f>
        <v>0</v>
      </c>
      <c r="AI351" s="4750"/>
      <c r="AJ351" s="4743"/>
      <c r="AK351" s="925"/>
      <c r="AL351" s="925"/>
      <c r="AM351" s="925"/>
      <c r="AN351" s="925"/>
      <c r="AO351" s="925"/>
      <c r="AP351" s="925"/>
      <c r="AQ351" s="925"/>
      <c r="AR351" s="925"/>
      <c r="AS351" s="925"/>
      <c r="AT351" s="925"/>
      <c r="AU351" s="925"/>
      <c r="AV351" s="925"/>
      <c r="AW351" s="925"/>
      <c r="AX351" s="925"/>
      <c r="AY351" s="925"/>
      <c r="AZ351" s="925"/>
      <c r="BA351" s="925"/>
      <c r="BB351" s="925"/>
      <c r="BC351" s="925"/>
      <c r="BD351" s="925"/>
      <c r="BE351" s="925"/>
      <c r="BF351" s="925"/>
      <c r="BG351" s="925"/>
      <c r="BH351" s="925"/>
      <c r="BI351" s="925"/>
      <c r="BJ351" s="925"/>
      <c r="BK351" s="925"/>
      <c r="BL351" s="925"/>
      <c r="BM351" s="925"/>
      <c r="BN351" s="4782"/>
      <c r="BO351" s="4784" t="str">
        <f>IF(_xlfn.IFERROR(INDEX(ФОТ!$K$26:$L$102,MATCH($F351&amp;"5komm",ФОТ!$K$26:$K$102,0),2),"")=0,"",_xlfn.IFERROR(INDEX(ФОТ!$K$26:$L$102,MATCH($F351&amp;"5komm",ФОТ!$K$26:$K$102,0),2),""))</f>
        <v/>
      </c>
      <c r="BP351" s="4782"/>
      <c r="BQ351" s="960"/>
      <c r="BR351" s="960"/>
      <c r="BS351" s="1046" t="s">
        <v>1078</v>
      </c>
      <c r="BT351" s="1048"/>
      <c r="BU351" s="1048"/>
      <c r="BV351" s="962"/>
      <c r="BW351" s="962"/>
    </row>
    <row s="1621" customFormat="1" customHeight="1" ht="21.75">
      <c r="A352" s="960"/>
      <c r="B352" s="961"/>
      <c r="C352" s="960"/>
      <c r="D352" s="960"/>
      <c r="E352" s="683">
        <v>22.5</v>
      </c>
      <c r="F352" s="50" cm="1" t="str">
        <f t="array" ref="F352:F352">OFFSET(E352,-1,1)</f>
        <v>2</v>
      </c>
      <c r="G352" s="124" t="s">
        <v>1066</v>
      </c>
      <c r="H352" s="345"/>
      <c r="I352" s="345" t="s">
        <v>1868</v>
      </c>
      <c r="J352" s="960"/>
      <c r="K352" s="345" t="s">
        <v>1868</v>
      </c>
      <c r="L352" s="963" t="s">
        <v>482</v>
      </c>
      <c r="M352" s="73"/>
      <c r="N352" s="960"/>
      <c r="O352" s="960"/>
      <c r="P352" s="960"/>
      <c r="Q352" s="124" t="s">
        <v>2093</v>
      </c>
      <c r="R352" s="127" t="s">
        <v>2093</v>
      </c>
      <c r="S352" s="960"/>
      <c r="T352" s="439" cm="1" t="str">
        <f t="array" ref="T352:T352">T351</f>
        <v>true</v>
      </c>
      <c r="U352" s="960"/>
      <c r="V352" s="960"/>
      <c r="W352" s="960"/>
      <c r="X352" s="1482"/>
      <c r="Y352" s="960"/>
      <c r="Z352" s="1465"/>
      <c r="AA352" s="960"/>
      <c r="AB352" s="266" t="s">
        <v>1869</v>
      </c>
      <c r="AC352" s="749" t="s">
        <v>1870</v>
      </c>
      <c r="AD352" s="267" t="s">
        <v>784</v>
      </c>
      <c r="AE352" s="4765">
        <f>AE351*_xlfn.SUMIFS(INDEX(Сценарии!$AE$25:$BF$109,,MATCH(AE$8,Сценарии!$AE$8:$BF$8,0)),Сценарии!$F$25:$F$109,$F352,Сценарии!$G$25:$G$109,"СВФОТ")/100</f>
        <v>0</v>
      </c>
      <c r="AF352" s="4765">
        <f>AF351*_xlfn.SUMIFS(INDEX(Сценарии!$AE$25:$BF$109,,MATCH(AF$8,Сценарии!$AE$8:$BF$8,0)),Сценарии!$F$25:$F$109,$F352,Сценарии!$G$25:$G$109,"СВФОТ")/100</f>
        <v>0</v>
      </c>
      <c r="AG352" s="4765">
        <f>AG351*_xlfn.SUMIFS(INDEX(Сценарии!$AE$25:$BF$109,,MATCH(AG$8,Сценарии!$AE$8:$BF$8,0)),Сценарии!$F$25:$F$109,$F352,Сценарии!$G$25:$G$109,"СВФОТ")/100</f>
        <v>0</v>
      </c>
      <c r="AH352" s="926">
        <f>AG352-AF352</f>
        <v>0</v>
      </c>
      <c r="AI352" s="4750">
        <f>AI351*_xlfn.SUMIFS(INDEX(Сценарии!$AE$25:$BF$109,,MATCH(AG$8,Сценарии!$AE$8:$BF$8,0)),Сценарии!$F$25:$F$109,$F352,Сценарии!$G$25:$G$109,"СВФОТ")/100</f>
        <v>0</v>
      </c>
      <c r="AJ352" s="4743"/>
      <c r="AK352" s="925"/>
      <c r="AL352" s="925"/>
      <c r="AM352" s="925"/>
      <c r="AN352" s="925"/>
      <c r="AO352" s="925"/>
      <c r="AP352" s="925"/>
      <c r="AQ352" s="925"/>
      <c r="AR352" s="925"/>
      <c r="AS352" s="925"/>
      <c r="AT352" s="925"/>
      <c r="AU352" s="925"/>
      <c r="AV352" s="925"/>
      <c r="AW352" s="925"/>
      <c r="AX352" s="925"/>
      <c r="AY352" s="925"/>
      <c r="AZ352" s="925"/>
      <c r="BA352" s="925"/>
      <c r="BB352" s="925"/>
      <c r="BC352" s="925"/>
      <c r="BD352" s="925"/>
      <c r="BE352" s="925"/>
      <c r="BF352" s="925"/>
      <c r="BG352" s="925"/>
      <c r="BH352" s="925"/>
      <c r="BI352" s="925"/>
      <c r="BJ352" s="925"/>
      <c r="BK352" s="925"/>
      <c r="BL352" s="925"/>
      <c r="BM352" s="925"/>
      <c r="BN352" s="4782"/>
      <c r="BO352" s="4784" t="str">
        <f>IF(_xlfn.IFERROR(INDEX(ФОТ!$K$26:$L$102,MATCH($F352&amp;"6komm",ФОТ!$K$26:$K$102,0),2),"")=0,"",_xlfn.IFERROR(INDEX(ФОТ!$K$26:$L$102,MATCH($F352&amp;"6komm",ФОТ!$K$26:$K$102,0),2),""))</f>
        <v/>
      </c>
      <c r="BP352" s="4782"/>
      <c r="BQ352" s="960"/>
      <c r="BR352" s="960"/>
      <c r="BS352" s="1046" t="s">
        <v>1673</v>
      </c>
      <c r="BT352" s="1048"/>
      <c r="BU352" s="1048"/>
      <c r="BV352" s="962"/>
      <c r="BW352" s="962"/>
    </row>
    <row s="1621" customFormat="1" customHeight="1" ht="33.75">
      <c r="A353" s="960"/>
      <c r="B353" s="961"/>
      <c r="C353" s="960"/>
      <c r="D353" s="960"/>
      <c r="E353" s="683">
        <v>33.75</v>
      </c>
      <c r="F353" s="50" cm="1" t="str">
        <f t="array" ref="F353:F353">OFFSET(E353,-1,1)</f>
        <v>2</v>
      </c>
      <c r="G353" s="49" t="s">
        <v>1107</v>
      </c>
      <c r="H353" s="345"/>
      <c r="I353" s="345" t="s">
        <v>1250</v>
      </c>
      <c r="J353" s="960"/>
      <c r="K353" s="345" t="s">
        <v>1250</v>
      </c>
      <c r="L353" s="963" t="s">
        <v>879</v>
      </c>
      <c r="M353" s="73"/>
      <c r="N353" s="960"/>
      <c r="O353" s="960"/>
      <c r="P353" s="960"/>
      <c r="Q353" s="124" t="s">
        <v>2093</v>
      </c>
      <c r="R353" s="127" t="s">
        <v>2093</v>
      </c>
      <c r="S353" s="960"/>
      <c r="T353" s="439" cm="1" t="str">
        <f t="array" ref="T353:T353">T352</f>
        <v>true</v>
      </c>
      <c r="U353" s="960"/>
      <c r="V353" s="960"/>
      <c r="W353" s="960"/>
      <c r="X353" s="1482"/>
      <c r="Y353" s="960"/>
      <c r="Z353" s="1465"/>
      <c r="AA353" s="960"/>
      <c r="AB353" s="266" t="s">
        <v>1251</v>
      </c>
      <c r="AC353" s="746" t="s">
        <v>1871</v>
      </c>
      <c r="AD353" s="267" t="s">
        <v>784</v>
      </c>
      <c r="AE353" s="4765">
        <v>0</v>
      </c>
      <c r="AF353" s="4765"/>
      <c r="AG353" s="4765"/>
      <c r="AH353" s="926">
        <f>AG353-AF353</f>
        <v>0</v>
      </c>
      <c r="AI353" s="4750"/>
      <c r="AJ353" s="4743"/>
      <c r="AK353" s="925"/>
      <c r="AL353" s="925"/>
      <c r="AM353" s="925"/>
      <c r="AN353" s="925"/>
      <c r="AO353" s="925"/>
      <c r="AP353" s="925"/>
      <c r="AQ353" s="925"/>
      <c r="AR353" s="925"/>
      <c r="AS353" s="925"/>
      <c r="AT353" s="925"/>
      <c r="AU353" s="925"/>
      <c r="AV353" s="925"/>
      <c r="AW353" s="925"/>
      <c r="AX353" s="925"/>
      <c r="AY353" s="925"/>
      <c r="AZ353" s="925"/>
      <c r="BA353" s="925"/>
      <c r="BB353" s="925"/>
      <c r="BC353" s="925"/>
      <c r="BD353" s="925"/>
      <c r="BE353" s="925"/>
      <c r="BF353" s="925"/>
      <c r="BG353" s="925"/>
      <c r="BH353" s="925"/>
      <c r="BI353" s="925"/>
      <c r="BJ353" s="925"/>
      <c r="BK353" s="925"/>
      <c r="BL353" s="925"/>
      <c r="BM353" s="925"/>
      <c r="BN353" s="4782"/>
      <c r="BO353" s="4784" t="str">
        <f>IF(_xlfn.IFERROR(INDEX(Административные!$K$26:$L$84,MATCH($F353&amp;"2komm",Административные!$K$26:$K$84,0),2),"")=0,"",_xlfn.IFERROR(INDEX(Административные!$K$26:$L$84,MATCH($F353&amp;"2komm",Административные!$K$26:$K$84,0),2),""))</f>
        <v/>
      </c>
      <c r="BP353" s="4782"/>
      <c r="BQ353" s="960"/>
      <c r="BR353" s="960"/>
      <c r="BS353" s="1046" t="s">
        <v>1109</v>
      </c>
      <c r="BT353" s="1048"/>
      <c r="BU353" s="1048"/>
      <c r="BV353" s="962"/>
      <c r="BW353" s="962"/>
    </row>
    <row s="1621" customFormat="1" customHeight="1" ht="14.625">
      <c r="A354" s="960"/>
      <c r="B354" s="961"/>
      <c r="C354" s="960"/>
      <c r="D354" s="960"/>
      <c r="E354" s="683">
        <v>15</v>
      </c>
      <c r="F354" s="50" cm="1" t="str">
        <f t="array" ref="F354:F354">OFFSET(E354,-1,1)</f>
        <v>2</v>
      </c>
      <c r="G354" s="49" t="s">
        <v>1110</v>
      </c>
      <c r="H354" s="345"/>
      <c r="I354" s="345" t="s">
        <v>1254</v>
      </c>
      <c r="J354" s="960"/>
      <c r="K354" s="345" t="s">
        <v>1254</v>
      </c>
      <c r="L354" s="963" t="s">
        <v>881</v>
      </c>
      <c r="M354" s="73"/>
      <c r="N354" s="960"/>
      <c r="O354" s="960"/>
      <c r="P354" s="960"/>
      <c r="Q354" s="124" t="s">
        <v>2093</v>
      </c>
      <c r="R354" s="127" t="s">
        <v>2093</v>
      </c>
      <c r="S354" s="960"/>
      <c r="T354" s="439" cm="1" t="str">
        <f t="array" ref="T354:T354">T353</f>
        <v>true</v>
      </c>
      <c r="U354" s="960"/>
      <c r="V354" s="960"/>
      <c r="W354" s="960"/>
      <c r="X354" s="1482"/>
      <c r="Y354" s="960"/>
      <c r="Z354" s="1465"/>
      <c r="AA354" s="960"/>
      <c r="AB354" s="266" t="s">
        <v>1255</v>
      </c>
      <c r="AC354" s="746" t="s">
        <v>1872</v>
      </c>
      <c r="AD354" s="267" t="s">
        <v>784</v>
      </c>
      <c r="AE354" s="4765">
        <v>0</v>
      </c>
      <c r="AF354" s="4765">
        <v>8.888113685</v>
      </c>
      <c r="AG354" s="4765"/>
      <c r="AH354" s="926">
        <f>AG354-AF354</f>
        <v>-8.888113685</v>
      </c>
      <c r="AI354" s="4750"/>
      <c r="AJ354" s="4743"/>
      <c r="AK354" s="925"/>
      <c r="AL354" s="925"/>
      <c r="AM354" s="925"/>
      <c r="AN354" s="925"/>
      <c r="AO354" s="925"/>
      <c r="AP354" s="925"/>
      <c r="AQ354" s="925"/>
      <c r="AR354" s="925"/>
      <c r="AS354" s="925"/>
      <c r="AT354" s="925"/>
      <c r="AU354" s="925"/>
      <c r="AV354" s="925"/>
      <c r="AW354" s="925"/>
      <c r="AX354" s="925"/>
      <c r="AY354" s="925"/>
      <c r="AZ354" s="925"/>
      <c r="BA354" s="925"/>
      <c r="BB354" s="925"/>
      <c r="BC354" s="925"/>
      <c r="BD354" s="925"/>
      <c r="BE354" s="925"/>
      <c r="BF354" s="925"/>
      <c r="BG354" s="925"/>
      <c r="BH354" s="925"/>
      <c r="BI354" s="925"/>
      <c r="BJ354" s="925"/>
      <c r="BK354" s="925"/>
      <c r="BL354" s="925"/>
      <c r="BM354" s="925"/>
      <c r="BN354" s="4782"/>
      <c r="BO354" s="4784" t="str">
        <f>IF(_xlfn.IFERROR(INDEX(Административные!$K$26:$L$84,MATCH($F354&amp;"3komm",Административные!$K$26:$K$84,0),2),"")=0,"",_xlfn.IFERROR(INDEX(Административные!$K$26:$L$84,MATCH($F354&amp;"3komm",Административные!$K$26:$K$84,0),2),""))</f>
        <v/>
      </c>
      <c r="BP354" s="4782"/>
      <c r="BQ354" s="960"/>
      <c r="BR354" s="960"/>
      <c r="BS354" s="1046" t="s">
        <v>1112</v>
      </c>
      <c r="BT354" s="1048"/>
      <c r="BU354" s="1048"/>
      <c r="BV354" s="962"/>
      <c r="BW354" s="962"/>
    </row>
    <row s="1621" customFormat="1" customHeight="1" ht="14.625">
      <c r="A355" s="960"/>
      <c r="B355" s="961"/>
      <c r="C355" s="960"/>
      <c r="D355" s="960"/>
      <c r="E355" s="683">
        <v>15</v>
      </c>
      <c r="F355" s="50" cm="1" t="str">
        <f t="array" ref="F355:F355">OFFSET(E355,-1,1)</f>
        <v>2</v>
      </c>
      <c r="G355" s="49" t="s">
        <v>1113</v>
      </c>
      <c r="H355" s="345"/>
      <c r="I355" s="345" t="s">
        <v>1873</v>
      </c>
      <c r="J355" s="960"/>
      <c r="K355" s="345" t="s">
        <v>1873</v>
      </c>
      <c r="L355" s="963" t="s">
        <v>884</v>
      </c>
      <c r="M355" s="73"/>
      <c r="N355" s="960"/>
      <c r="O355" s="960"/>
      <c r="P355" s="960"/>
      <c r="Q355" s="124" t="s">
        <v>2093</v>
      </c>
      <c r="R355" s="127" t="s">
        <v>2093</v>
      </c>
      <c r="S355" s="960"/>
      <c r="T355" s="439" cm="1" t="str">
        <f t="array" ref="T355:T355">T354</f>
        <v>true</v>
      </c>
      <c r="U355" s="960"/>
      <c r="V355" s="960"/>
      <c r="W355" s="960"/>
      <c r="X355" s="1482"/>
      <c r="Y355" s="960"/>
      <c r="Z355" s="1465"/>
      <c r="AA355" s="960"/>
      <c r="AB355" s="266" t="s">
        <v>1874</v>
      </c>
      <c r="AC355" s="746" t="s">
        <v>1875</v>
      </c>
      <c r="AD355" s="267" t="s">
        <v>784</v>
      </c>
      <c r="AE355" s="4765">
        <v>0</v>
      </c>
      <c r="AF355" s="4765">
        <v>2.42197</v>
      </c>
      <c r="AG355" s="4765"/>
      <c r="AH355" s="926">
        <f>AG355-AF355</f>
        <v>-2.42197</v>
      </c>
      <c r="AI355" s="4750"/>
      <c r="AJ355" s="4743"/>
      <c r="AK355" s="925"/>
      <c r="AL355" s="925"/>
      <c r="AM355" s="925"/>
      <c r="AN355" s="925"/>
      <c r="AO355" s="925"/>
      <c r="AP355" s="925"/>
      <c r="AQ355" s="925"/>
      <c r="AR355" s="925"/>
      <c r="AS355" s="925"/>
      <c r="AT355" s="925"/>
      <c r="AU355" s="925"/>
      <c r="AV355" s="925"/>
      <c r="AW355" s="925"/>
      <c r="AX355" s="925"/>
      <c r="AY355" s="925"/>
      <c r="AZ355" s="925"/>
      <c r="BA355" s="925"/>
      <c r="BB355" s="925"/>
      <c r="BC355" s="925"/>
      <c r="BD355" s="925"/>
      <c r="BE355" s="925"/>
      <c r="BF355" s="925"/>
      <c r="BG355" s="925"/>
      <c r="BH355" s="925"/>
      <c r="BI355" s="925"/>
      <c r="BJ355" s="925"/>
      <c r="BK355" s="925"/>
      <c r="BL355" s="925"/>
      <c r="BM355" s="925"/>
      <c r="BN355" s="4782"/>
      <c r="BO355" s="4784" t="str">
        <f>IF(_xlfn.IFERROR(INDEX(Административные!$K$26:$L$84,MATCH($F355&amp;"4komm",Административные!$K$26:$K$84,0),2),"")=0,"",_xlfn.IFERROR(INDEX(Административные!$K$26:$L$84,MATCH($F355&amp;"4komm",Административные!$K$26:$K$84,0),2),""))</f>
        <v/>
      </c>
      <c r="BP355" s="4782"/>
      <c r="BQ355" s="960"/>
      <c r="BR355" s="960"/>
      <c r="BS355" s="1046" t="s">
        <v>1115</v>
      </c>
      <c r="BT355" s="1048"/>
      <c r="BU355" s="1048"/>
      <c r="BV355" s="962"/>
      <c r="BW355" s="962"/>
    </row>
    <row s="1621" customFormat="1" customHeight="1" ht="14.625">
      <c r="A356" s="960"/>
      <c r="B356" s="961"/>
      <c r="C356" s="960"/>
      <c r="D356" s="960"/>
      <c r="E356" s="683">
        <v>15</v>
      </c>
      <c r="F356" s="50" cm="1" t="str">
        <f t="array" ref="F356:F356">OFFSET(E356,-1,1)</f>
        <v>2</v>
      </c>
      <c r="G356" s="49" t="s">
        <v>1116</v>
      </c>
      <c r="H356" s="345"/>
      <c r="I356" s="345" t="s">
        <v>1876</v>
      </c>
      <c r="J356" s="960"/>
      <c r="K356" s="345" t="s">
        <v>1876</v>
      </c>
      <c r="L356" s="963" t="s">
        <v>1098</v>
      </c>
      <c r="M356" s="73"/>
      <c r="N356" s="960"/>
      <c r="O356" s="960"/>
      <c r="P356" s="960"/>
      <c r="Q356" s="124" t="s">
        <v>2093</v>
      </c>
      <c r="R356" s="127" t="s">
        <v>2093</v>
      </c>
      <c r="S356" s="960"/>
      <c r="T356" s="439" cm="1" t="str">
        <f t="array" ref="T356:T356">T355</f>
        <v>true</v>
      </c>
      <c r="U356" s="960"/>
      <c r="V356" s="960"/>
      <c r="W356" s="960"/>
      <c r="X356" s="1482"/>
      <c r="Y356" s="960"/>
      <c r="Z356" s="1465"/>
      <c r="AA356" s="960"/>
      <c r="AB356" s="266" t="s">
        <v>1877</v>
      </c>
      <c r="AC356" s="746" t="s">
        <v>1878</v>
      </c>
      <c r="AD356" s="267" t="s">
        <v>784</v>
      </c>
      <c r="AE356" s="4765">
        <v>0</v>
      </c>
      <c r="AF356" s="4765"/>
      <c r="AG356" s="4765"/>
      <c r="AH356" s="926">
        <f>AG356-AF356</f>
        <v>0</v>
      </c>
      <c r="AI356" s="4750"/>
      <c r="AJ356" s="4743"/>
      <c r="AK356" s="925"/>
      <c r="AL356" s="925"/>
      <c r="AM356" s="925"/>
      <c r="AN356" s="925"/>
      <c r="AO356" s="925"/>
      <c r="AP356" s="925"/>
      <c r="AQ356" s="925"/>
      <c r="AR356" s="925"/>
      <c r="AS356" s="925"/>
      <c r="AT356" s="925"/>
      <c r="AU356" s="925"/>
      <c r="AV356" s="925"/>
      <c r="AW356" s="925"/>
      <c r="AX356" s="925"/>
      <c r="AY356" s="925"/>
      <c r="AZ356" s="925"/>
      <c r="BA356" s="925"/>
      <c r="BB356" s="925"/>
      <c r="BC356" s="925"/>
      <c r="BD356" s="925"/>
      <c r="BE356" s="925"/>
      <c r="BF356" s="925"/>
      <c r="BG356" s="925"/>
      <c r="BH356" s="925"/>
      <c r="BI356" s="925"/>
      <c r="BJ356" s="925"/>
      <c r="BK356" s="925"/>
      <c r="BL356" s="925"/>
      <c r="BM356" s="925"/>
      <c r="BN356" s="4782"/>
      <c r="BO356" s="4784" t="str">
        <f>IF(_xlfn.IFERROR(INDEX(Административные!$K$26:$L$84,MATCH($F356&amp;"5komm",Административные!$K$26:$K$84,0),2),"")=0,"",_xlfn.IFERROR(INDEX(Административные!$K$26:$L$84,MATCH($F356&amp;"5komm",Административные!$K$26:$K$84,0),2),""))</f>
        <v/>
      </c>
      <c r="BP356" s="4782"/>
      <c r="BQ356" s="960"/>
      <c r="BR356" s="960"/>
      <c r="BS356" s="1046" t="s">
        <v>1675</v>
      </c>
      <c r="BT356" s="1048"/>
      <c r="BU356" s="1048"/>
      <c r="BV356" s="962"/>
      <c r="BW356" s="962"/>
    </row>
    <row s="1621" customFormat="1" customHeight="1" ht="14.25">
      <c r="A357" s="960"/>
      <c r="B357" s="961"/>
      <c r="C357" s="960"/>
      <c r="D357" s="960"/>
      <c r="E357" s="683">
        <v>15</v>
      </c>
      <c r="F357" s="50" cm="1" t="str">
        <f t="array" ref="F357:F357">OFFSET(E357,-1,1)</f>
        <v>2</v>
      </c>
      <c r="G357" s="49" t="s">
        <v>1119</v>
      </c>
      <c r="H357" s="345"/>
      <c r="I357" s="345" t="s">
        <v>1879</v>
      </c>
      <c r="J357" s="960"/>
      <c r="K357" s="345" t="s">
        <v>1879</v>
      </c>
      <c r="L357" s="963" t="s">
        <v>1103</v>
      </c>
      <c r="M357" s="73"/>
      <c r="N357" s="960"/>
      <c r="O357" s="960"/>
      <c r="P357" s="960"/>
      <c r="Q357" s="124" t="s">
        <v>2093</v>
      </c>
      <c r="R357" s="127" t="s">
        <v>2093</v>
      </c>
      <c r="S357" s="960"/>
      <c r="T357" s="439" cm="1" t="str">
        <f t="array" ref="T357:T357">T356</f>
        <v>true</v>
      </c>
      <c r="U357" s="960"/>
      <c r="V357" s="960"/>
      <c r="W357" s="960"/>
      <c r="X357" s="1482"/>
      <c r="Y357" s="960"/>
      <c r="Z357" s="1465"/>
      <c r="AA357" s="960"/>
      <c r="AB357" s="266" t="s">
        <v>1880</v>
      </c>
      <c r="AC357" s="746" t="s">
        <v>1881</v>
      </c>
      <c r="AD357" s="267" t="s">
        <v>784</v>
      </c>
      <c r="AE357" s="926">
        <f>SUM(AE358:AE360)</f>
        <v>0</v>
      </c>
      <c r="AF357" s="926">
        <f>SUM(AF358:AF360)</f>
        <v>0</v>
      </c>
      <c r="AG357" s="926">
        <f>SUM(AG358:AG360)</f>
        <v>0</v>
      </c>
      <c r="AH357" s="926">
        <f>AG357-AF357</f>
        <v>0</v>
      </c>
      <c r="AI357" s="4748">
        <f>SUM(AI358:AI360)</f>
        <v>0</v>
      </c>
      <c r="AJ357" s="4743"/>
      <c r="AK357" s="925"/>
      <c r="AL357" s="925"/>
      <c r="AM357" s="925"/>
      <c r="AN357" s="925"/>
      <c r="AO357" s="925"/>
      <c r="AP357" s="925"/>
      <c r="AQ357" s="925"/>
      <c r="AR357" s="925"/>
      <c r="AS357" s="925"/>
      <c r="AT357" s="925"/>
      <c r="AU357" s="925"/>
      <c r="AV357" s="925"/>
      <c r="AW357" s="925"/>
      <c r="AX357" s="925"/>
      <c r="AY357" s="925"/>
      <c r="AZ357" s="925"/>
      <c r="BA357" s="925"/>
      <c r="BB357" s="925"/>
      <c r="BC357" s="925"/>
      <c r="BD357" s="925"/>
      <c r="BE357" s="925"/>
      <c r="BF357" s="925"/>
      <c r="BG357" s="925"/>
      <c r="BH357" s="925"/>
      <c r="BI357" s="925"/>
      <c r="BJ357" s="925"/>
      <c r="BK357" s="925"/>
      <c r="BL357" s="925"/>
      <c r="BM357" s="925"/>
      <c r="BN357" s="4782"/>
      <c r="BO357" s="4784" t="str">
        <f>IF(_xlfn.IFERROR(INDEX(Административные!$K$26:$L$84,MATCH($F357&amp;"6komm",Административные!$K$26:$K$84,0),2),"")=0,"",_xlfn.IFERROR(INDEX(Административные!$K$26:$L$84,MATCH($F357&amp;"6komm",Административные!$K$26:$K$84,0),2),""))</f>
        <v/>
      </c>
      <c r="BP357" s="4782"/>
      <c r="BQ357" s="960"/>
      <c r="BR357" s="960"/>
      <c r="BS357" s="1046" t="s">
        <v>1677</v>
      </c>
      <c r="BT357" s="1048"/>
      <c r="BU357" s="1048"/>
      <c r="BV357" s="962"/>
      <c r="BW357" s="962"/>
    </row>
    <row s="1621" customFormat="1" customHeight="1" ht="14.625">
      <c r="A358" s="960"/>
      <c r="B358" s="961"/>
      <c r="C358" s="960"/>
      <c r="D358" s="960"/>
      <c r="E358" s="683">
        <v>15</v>
      </c>
      <c r="F358" s="50" cm="1" t="str">
        <f t="array" ref="F358:F358">OFFSET(E358,-1,1)</f>
        <v>2</v>
      </c>
      <c r="G358" s="49" t="s">
        <v>1121</v>
      </c>
      <c r="H358" s="345"/>
      <c r="I358" s="345" t="s">
        <v>1882</v>
      </c>
      <c r="J358" s="960"/>
      <c r="K358" s="345" t="s">
        <v>1882</v>
      </c>
      <c r="L358" s="963" t="s">
        <v>1678</v>
      </c>
      <c r="M358" s="73"/>
      <c r="N358" s="960"/>
      <c r="O358" s="960"/>
      <c r="P358" s="960"/>
      <c r="Q358" s="124" t="s">
        <v>2093</v>
      </c>
      <c r="R358" s="127" t="s">
        <v>2093</v>
      </c>
      <c r="S358" s="960"/>
      <c r="T358" s="439" cm="1" t="str">
        <f t="array" ref="T358:T358">T357</f>
        <v>true</v>
      </c>
      <c r="U358" s="960"/>
      <c r="V358" s="960"/>
      <c r="W358" s="960"/>
      <c r="X358" s="1482"/>
      <c r="Y358" s="960"/>
      <c r="Z358" s="1465"/>
      <c r="AA358" s="960"/>
      <c r="AB358" s="266" t="s">
        <v>1883</v>
      </c>
      <c r="AC358" s="749" t="s">
        <v>1680</v>
      </c>
      <c r="AD358" s="267" t="s">
        <v>784</v>
      </c>
      <c r="AE358" s="4765">
        <v>0</v>
      </c>
      <c r="AF358" s="4765"/>
      <c r="AG358" s="4765"/>
      <c r="AH358" s="926">
        <f>AG358-AF358</f>
        <v>0</v>
      </c>
      <c r="AI358" s="4750"/>
      <c r="AJ358" s="4743"/>
      <c r="AK358" s="925"/>
      <c r="AL358" s="925"/>
      <c r="AM358" s="925"/>
      <c r="AN358" s="925"/>
      <c r="AO358" s="925"/>
      <c r="AP358" s="925"/>
      <c r="AQ358" s="925"/>
      <c r="AR358" s="925"/>
      <c r="AS358" s="925"/>
      <c r="AT358" s="925"/>
      <c r="AU358" s="925"/>
      <c r="AV358" s="925"/>
      <c r="AW358" s="925"/>
      <c r="AX358" s="925"/>
      <c r="AY358" s="925"/>
      <c r="AZ358" s="925"/>
      <c r="BA358" s="925"/>
      <c r="BB358" s="925"/>
      <c r="BC358" s="925"/>
      <c r="BD358" s="925"/>
      <c r="BE358" s="925"/>
      <c r="BF358" s="925"/>
      <c r="BG358" s="925"/>
      <c r="BH358" s="925"/>
      <c r="BI358" s="925"/>
      <c r="BJ358" s="925"/>
      <c r="BK358" s="925"/>
      <c r="BL358" s="925"/>
      <c r="BM358" s="925"/>
      <c r="BN358" s="4782"/>
      <c r="BO358" s="4784" t="str">
        <f>IF(_xlfn.IFERROR(INDEX(Административные!$K$26:$L$84,MATCH($F358&amp;"7komm",Административные!$K$26:$K$84,0),2),"")=0,"",_xlfn.IFERROR(INDEX(Административные!$K$26:$L$84,MATCH($F358&amp;"7komm",Административные!$K$26:$K$84,0),2),""))</f>
        <v/>
      </c>
      <c r="BP358" s="4782"/>
      <c r="BQ358" s="960"/>
      <c r="BR358" s="960"/>
      <c r="BS358" s="1046" t="s">
        <v>1681</v>
      </c>
      <c r="BT358" s="1048"/>
      <c r="BU358" s="1048"/>
      <c r="BV358" s="962"/>
      <c r="BW358" s="962"/>
    </row>
    <row s="1621" customFormat="1" customHeight="1" ht="14.625">
      <c r="A359" s="960"/>
      <c r="B359" s="961"/>
      <c r="C359" s="960"/>
      <c r="D359" s="960"/>
      <c r="E359" s="683">
        <v>15</v>
      </c>
      <c r="F359" s="50" cm="1" t="str">
        <f t="array" ref="F359:F359">OFFSET(E359,-1,1)</f>
        <v>2</v>
      </c>
      <c r="G359" s="49" t="s">
        <v>1124</v>
      </c>
      <c r="H359" s="345"/>
      <c r="I359" s="345" t="s">
        <v>1884</v>
      </c>
      <c r="J359" s="960"/>
      <c r="K359" s="345" t="s">
        <v>1884</v>
      </c>
      <c r="L359" s="963" t="s">
        <v>1682</v>
      </c>
      <c r="M359" s="73"/>
      <c r="N359" s="960"/>
      <c r="O359" s="960"/>
      <c r="P359" s="960"/>
      <c r="Q359" s="124" t="s">
        <v>2093</v>
      </c>
      <c r="R359" s="127" t="s">
        <v>2093</v>
      </c>
      <c r="S359" s="960"/>
      <c r="T359" s="439" cm="1" t="str">
        <f t="array" ref="T359:T359">T358</f>
        <v>true</v>
      </c>
      <c r="U359" s="960"/>
      <c r="V359" s="960"/>
      <c r="W359" s="960"/>
      <c r="X359" s="1482"/>
      <c r="Y359" s="960"/>
      <c r="Z359" s="1465"/>
      <c r="AA359" s="960"/>
      <c r="AB359" s="266" t="s">
        <v>1885</v>
      </c>
      <c r="AC359" s="749" t="s">
        <v>1125</v>
      </c>
      <c r="AD359" s="267" t="s">
        <v>784</v>
      </c>
      <c r="AE359" s="4765">
        <v>0</v>
      </c>
      <c r="AF359" s="4765"/>
      <c r="AG359" s="4765"/>
      <c r="AH359" s="926">
        <f>AG359-AF359</f>
        <v>0</v>
      </c>
      <c r="AI359" s="4750"/>
      <c r="AJ359" s="4743"/>
      <c r="AK359" s="925"/>
      <c r="AL359" s="925"/>
      <c r="AM359" s="925"/>
      <c r="AN359" s="925"/>
      <c r="AO359" s="925"/>
      <c r="AP359" s="925"/>
      <c r="AQ359" s="925"/>
      <c r="AR359" s="925"/>
      <c r="AS359" s="925"/>
      <c r="AT359" s="925"/>
      <c r="AU359" s="925"/>
      <c r="AV359" s="925"/>
      <c r="AW359" s="925"/>
      <c r="AX359" s="925"/>
      <c r="AY359" s="925"/>
      <c r="AZ359" s="925"/>
      <c r="BA359" s="925"/>
      <c r="BB359" s="925"/>
      <c r="BC359" s="925"/>
      <c r="BD359" s="925"/>
      <c r="BE359" s="925"/>
      <c r="BF359" s="925"/>
      <c r="BG359" s="925"/>
      <c r="BH359" s="925"/>
      <c r="BI359" s="925"/>
      <c r="BJ359" s="925"/>
      <c r="BK359" s="925"/>
      <c r="BL359" s="925"/>
      <c r="BM359" s="925"/>
      <c r="BN359" s="4782"/>
      <c r="BO359" s="4784" t="str">
        <f>IF(_xlfn.IFERROR(INDEX(Административные!$K$26:$L$84,MATCH($F359&amp;"8komm",Административные!$K$26:$K$84,0),2),"")=0,"",_xlfn.IFERROR(INDEX(Административные!$K$26:$L$84,MATCH($F359&amp;"8komm",Административные!$K$26:$K$84,0),2),""))</f>
        <v/>
      </c>
      <c r="BP359" s="4782"/>
      <c r="BQ359" s="960"/>
      <c r="BR359" s="960"/>
      <c r="BS359" s="1046" t="s">
        <v>1684</v>
      </c>
      <c r="BT359" s="1048"/>
      <c r="BU359" s="1048"/>
      <c r="BV359" s="962"/>
      <c r="BW359" s="962"/>
    </row>
    <row s="1621" customFormat="1" customHeight="1" ht="14.625">
      <c r="A360" s="960"/>
      <c r="B360" s="961"/>
      <c r="C360" s="960"/>
      <c r="D360" s="960"/>
      <c r="E360" s="683">
        <v>15</v>
      </c>
      <c r="F360" s="50" cm="1" t="str">
        <f t="array" ref="F360:F360">OFFSET(E360,-1,1)</f>
        <v>2</v>
      </c>
      <c r="G360" s="124" t="s">
        <v>1127</v>
      </c>
      <c r="H360" s="345"/>
      <c r="I360" s="345" t="s">
        <v>1886</v>
      </c>
      <c r="J360" s="960"/>
      <c r="K360" s="345" t="s">
        <v>1886</v>
      </c>
      <c r="L360" s="963" t="s">
        <v>1685</v>
      </c>
      <c r="M360" s="73"/>
      <c r="N360" s="960"/>
      <c r="O360" s="960"/>
      <c r="P360" s="960"/>
      <c r="Q360" s="124" t="s">
        <v>2093</v>
      </c>
      <c r="R360" s="127" t="s">
        <v>2093</v>
      </c>
      <c r="S360" s="960"/>
      <c r="T360" s="439" cm="1" t="str">
        <f t="array" ref="T360:T360">T359</f>
        <v>true</v>
      </c>
      <c r="U360" s="960"/>
      <c r="V360" s="960"/>
      <c r="W360" s="960"/>
      <c r="X360" s="1482"/>
      <c r="Y360" s="960"/>
      <c r="Z360" s="1465"/>
      <c r="AA360" s="960"/>
      <c r="AB360" s="266" t="s">
        <v>1887</v>
      </c>
      <c r="AC360" s="749" t="s">
        <v>1128</v>
      </c>
      <c r="AD360" s="267" t="s">
        <v>784</v>
      </c>
      <c r="AE360" s="4765">
        <v>0</v>
      </c>
      <c r="AF360" s="4765"/>
      <c r="AG360" s="4765"/>
      <c r="AH360" s="926">
        <f>AG360-AF360</f>
        <v>0</v>
      </c>
      <c r="AI360" s="4750"/>
      <c r="AJ360" s="1392"/>
      <c r="AK360" s="925"/>
      <c r="AL360" s="925"/>
      <c r="AM360" s="925"/>
      <c r="AN360" s="925"/>
      <c r="AO360" s="925"/>
      <c r="AP360" s="925"/>
      <c r="AQ360" s="925"/>
      <c r="AR360" s="925"/>
      <c r="AS360" s="925"/>
      <c r="AT360" s="925"/>
      <c r="AU360" s="925"/>
      <c r="AV360" s="925"/>
      <c r="AW360" s="925"/>
      <c r="AX360" s="925"/>
      <c r="AY360" s="925"/>
      <c r="AZ360" s="925"/>
      <c r="BA360" s="925"/>
      <c r="BB360" s="925"/>
      <c r="BC360" s="925"/>
      <c r="BD360" s="925"/>
      <c r="BE360" s="925"/>
      <c r="BF360" s="925"/>
      <c r="BG360" s="925"/>
      <c r="BH360" s="925"/>
      <c r="BI360" s="925"/>
      <c r="BJ360" s="925"/>
      <c r="BK360" s="925"/>
      <c r="BL360" s="925"/>
      <c r="BM360" s="925"/>
      <c r="BN360" s="4782"/>
      <c r="BO360" s="4784" t="str">
        <f>IF(_xlfn.IFERROR(INDEX(Административные!$K$26:$L$84,MATCH($F360&amp;"9komm",Административные!$K$26:$K$84,0),2),"")=0,"",_xlfn.IFERROR(INDEX(Административные!$K$26:$L$84,MATCH($F360&amp;"9komm",Административные!$K$26:$K$84,0),2),""))</f>
        <v/>
      </c>
      <c r="BP360" s="4782"/>
      <c r="BQ360" s="960"/>
      <c r="BR360" s="960"/>
      <c r="BS360" s="1046" t="s">
        <v>1687</v>
      </c>
      <c r="BT360" s="1048"/>
      <c r="BU360" s="1048"/>
      <c r="BV360" s="962"/>
      <c r="BW360" s="962"/>
    </row>
    <row s="1621" customFormat="1" customHeight="1" ht="21.75" hidden="1">
      <c r="A361" s="960"/>
      <c r="B361" s="405">
        <f>STATUS_GO="да"</f>
        <v>0</v>
      </c>
      <c r="C361" s="960"/>
      <c r="D361" s="960"/>
      <c r="E361" s="683">
        <v>22.5</v>
      </c>
      <c r="F361" s="50" cm="1" t="str">
        <f t="array" ref="F361:F361">OFFSET(E361,-1,1)</f>
        <v>2</v>
      </c>
      <c r="G361" s="960"/>
      <c r="H361" s="345"/>
      <c r="I361" s="345" t="s">
        <v>857</v>
      </c>
      <c r="J361" s="960"/>
      <c r="K361" s="345" t="s">
        <v>857</v>
      </c>
      <c r="L361" s="963" t="s">
        <v>329</v>
      </c>
      <c r="M361" s="73"/>
      <c r="N361" s="960"/>
      <c r="O361" s="960"/>
      <c r="P361" s="960"/>
      <c r="Q361" s="124" t="s">
        <v>2093</v>
      </c>
      <c r="R361" s="127" t="s">
        <v>2093</v>
      </c>
      <c r="S361" s="960"/>
      <c r="T361" s="439" cm="1" t="str">
        <f t="array" ref="T361:T361">T360</f>
        <v>true</v>
      </c>
      <c r="U361" s="960"/>
      <c r="V361" s="960"/>
      <c r="W361" s="960"/>
      <c r="X361" s="1482"/>
      <c r="Y361" s="960"/>
      <c r="Z361" s="1465"/>
      <c r="AA361" s="960"/>
      <c r="AB361" s="266" t="s">
        <v>858</v>
      </c>
      <c r="AC361" s="743" t="s">
        <v>1888</v>
      </c>
      <c r="AD361" s="267" t="s">
        <v>784</v>
      </c>
      <c r="AE361" s="1280"/>
      <c r="AF361" s="1280"/>
      <c r="AG361" s="1280"/>
      <c r="AH361" s="926">
        <f>AG361-AF361</f>
        <v>0</v>
      </c>
      <c r="AI361" s="4750"/>
      <c r="AJ361" s="4743"/>
      <c r="AK361" s="925"/>
      <c r="AL361" s="925"/>
      <c r="AM361" s="925"/>
      <c r="AN361" s="925"/>
      <c r="AO361" s="925"/>
      <c r="AP361" s="925"/>
      <c r="AQ361" s="925"/>
      <c r="AR361" s="925"/>
      <c r="AS361" s="925"/>
      <c r="AT361" s="925"/>
      <c r="AU361" s="925"/>
      <c r="AV361" s="925"/>
      <c r="AW361" s="925"/>
      <c r="AX361" s="925"/>
      <c r="AY361" s="925"/>
      <c r="AZ361" s="925"/>
      <c r="BA361" s="925"/>
      <c r="BB361" s="925"/>
      <c r="BC361" s="925"/>
      <c r="BD361" s="925"/>
      <c r="BE361" s="925"/>
      <c r="BF361" s="925"/>
      <c r="BG361" s="925"/>
      <c r="BH361" s="925"/>
      <c r="BI361" s="925"/>
      <c r="BJ361" s="925"/>
      <c r="BK361" s="925"/>
      <c r="BL361" s="925"/>
      <c r="BM361" s="925"/>
      <c r="BN361" s="1278"/>
      <c r="BO361" s="1278"/>
      <c r="BP361" s="1278"/>
      <c r="BQ361" s="960"/>
      <c r="BR361" s="960"/>
      <c r="BS361" s="1047" t="s">
        <v>1689</v>
      </c>
      <c r="BT361" s="1048"/>
      <c r="BU361" s="1048"/>
      <c r="BV361" s="962"/>
      <c r="BW361" s="962"/>
    </row>
    <row s="1621" customFormat="1" customHeight="1" ht="14.25">
      <c r="A362" s="960"/>
      <c r="B362" s="961"/>
      <c r="C362" s="960"/>
      <c r="D362" s="960"/>
      <c r="E362" s="683">
        <v>15</v>
      </c>
      <c r="F362" s="50" cm="1" t="str">
        <f t="array" ref="F362:F362">OFFSET(E362,-1,1)</f>
        <v>2</v>
      </c>
      <c r="G362" s="960"/>
      <c r="H362" s="345"/>
      <c r="I362" s="345" t="s">
        <v>1627</v>
      </c>
      <c r="J362" s="960"/>
      <c r="K362" s="345" t="s">
        <v>1627</v>
      </c>
      <c r="L362" s="963"/>
      <c r="M362" s="73"/>
      <c r="N362" s="960"/>
      <c r="O362" s="960"/>
      <c r="P362" s="960"/>
      <c r="Q362" s="124" t="s">
        <v>2093</v>
      </c>
      <c r="R362" s="127" t="s">
        <v>2093</v>
      </c>
      <c r="S362" s="960"/>
      <c r="T362" s="439" cm="1" t="str">
        <f t="array" ref="T362:T362">T361</f>
        <v>true</v>
      </c>
      <c r="U362" s="960"/>
      <c r="V362" s="960"/>
      <c r="W362" s="960"/>
      <c r="X362" s="1482"/>
      <c r="Y362" s="960"/>
      <c r="Z362" s="1465"/>
      <c r="AA362" s="960"/>
      <c r="AB362" s="266" t="s">
        <v>1628</v>
      </c>
      <c r="AC362" s="743" t="s">
        <v>1889</v>
      </c>
      <c r="AD362" s="267" t="s">
        <v>784</v>
      </c>
      <c r="AE362" s="4765"/>
      <c r="AF362" s="4765"/>
      <c r="AG362" s="4765"/>
      <c r="AH362" s="926">
        <f>AG362-AF362</f>
        <v>0</v>
      </c>
      <c r="AI362" s="4750"/>
      <c r="AJ362" s="4743"/>
      <c r="AK362" s="925"/>
      <c r="AL362" s="925"/>
      <c r="AM362" s="925"/>
      <c r="AN362" s="925"/>
      <c r="AO362" s="925"/>
      <c r="AP362" s="925"/>
      <c r="AQ362" s="925"/>
      <c r="AR362" s="925"/>
      <c r="AS362" s="925"/>
      <c r="AT362" s="925"/>
      <c r="AU362" s="925"/>
      <c r="AV362" s="925"/>
      <c r="AW362" s="925"/>
      <c r="AX362" s="925"/>
      <c r="AY362" s="925"/>
      <c r="AZ362" s="925"/>
      <c r="BA362" s="925"/>
      <c r="BB362" s="925"/>
      <c r="BC362" s="925"/>
      <c r="BD362" s="925"/>
      <c r="BE362" s="925"/>
      <c r="BF362" s="925"/>
      <c r="BG362" s="925"/>
      <c r="BH362" s="925"/>
      <c r="BI362" s="925"/>
      <c r="BJ362" s="925"/>
      <c r="BK362" s="925"/>
      <c r="BL362" s="925"/>
      <c r="BM362" s="925"/>
      <c r="BN362" s="4782"/>
      <c r="BO362" s="4782"/>
      <c r="BP362" s="4782"/>
      <c r="BQ362" s="960"/>
      <c r="BR362" s="960"/>
      <c r="BS362" s="1048" t="s">
        <v>1890</v>
      </c>
      <c r="BT362" s="1048"/>
      <c r="BU362" s="1048"/>
      <c r="BV362" s="962"/>
      <c r="BW362" s="962"/>
    </row>
    <row s="4849" customFormat="1" customHeight="1" ht="20.25">
      <c r="A363" s="680"/>
      <c r="B363" s="408"/>
      <c r="C363" s="680"/>
      <c r="D363" s="680"/>
      <c r="E363" s="687">
        <v>21</v>
      </c>
      <c r="F363" s="50" cm="1" t="str">
        <f t="array" ref="F363:F363">OFFSET(E363,-1,1)</f>
        <v>2</v>
      </c>
      <c r="G363" s="680"/>
      <c r="H363" s="345"/>
      <c r="I363" s="345" t="s">
        <v>1631</v>
      </c>
      <c r="J363" s="680"/>
      <c r="K363" s="345" t="s">
        <v>1631</v>
      </c>
      <c r="L363" s="968"/>
      <c r="M363" s="75"/>
      <c r="N363" s="680"/>
      <c r="O363" s="680"/>
      <c r="P363" s="680"/>
      <c r="Q363" s="124" t="s">
        <v>2093</v>
      </c>
      <c r="R363" s="127" t="s">
        <v>2093</v>
      </c>
      <c r="S363" s="680"/>
      <c r="T363" s="439" cm="1" t="str">
        <f t="array" ref="T363:T363">T362</f>
        <v>true</v>
      </c>
      <c r="U363" s="680"/>
      <c r="V363" s="680"/>
      <c r="W363" s="680"/>
      <c r="X363" s="1482"/>
      <c r="Y363" s="680"/>
      <c r="Z363" s="1465"/>
      <c r="AA363" s="680"/>
      <c r="AB363" s="185" t="s">
        <v>1632</v>
      </c>
      <c r="AC363" s="328" t="s">
        <v>1891</v>
      </c>
      <c r="AD363" s="178" t="s">
        <v>784</v>
      </c>
      <c r="AE363" s="751">
        <f>SUM(AE364:AE365)</f>
        <v>0</v>
      </c>
      <c r="AF363" s="751">
        <f>SUM(AF364:AF365)</f>
        <v>0</v>
      </c>
      <c r="AG363" s="751">
        <f>SUM(AG364:AG365)</f>
        <v>0</v>
      </c>
      <c r="AH363" s="742">
        <f>AG363-AF363</f>
        <v>0</v>
      </c>
      <c r="AI363" s="4756">
        <f>SUM(AI364:AI365)</f>
        <v>0</v>
      </c>
      <c r="AJ363" s="4743"/>
      <c r="AK363" s="745"/>
      <c r="AL363" s="745"/>
      <c r="AM363" s="745"/>
      <c r="AN363" s="745"/>
      <c r="AO363" s="745"/>
      <c r="AP363" s="745"/>
      <c r="AQ363" s="745"/>
      <c r="AR363" s="745"/>
      <c r="AS363" s="745"/>
      <c r="AT363" s="925"/>
      <c r="AU363" s="925"/>
      <c r="AV363" s="745"/>
      <c r="AW363" s="745"/>
      <c r="AX363" s="745"/>
      <c r="AY363" s="745"/>
      <c r="AZ363" s="745"/>
      <c r="BA363" s="745"/>
      <c r="BB363" s="745"/>
      <c r="BC363" s="745"/>
      <c r="BD363" s="745"/>
      <c r="BE363" s="745"/>
      <c r="BF363" s="745"/>
      <c r="BG363" s="745"/>
      <c r="BH363" s="745"/>
      <c r="BI363" s="745"/>
      <c r="BJ363" s="745"/>
      <c r="BK363" s="745"/>
      <c r="BL363" s="745"/>
      <c r="BM363" s="745"/>
      <c r="BN363" s="4783"/>
      <c r="BO363" s="4783"/>
      <c r="BP363" s="4783"/>
      <c r="BQ363" s="680"/>
      <c r="BR363" s="680"/>
      <c r="BS363" s="1054" t="s">
        <v>1892</v>
      </c>
      <c r="BT363" s="1054"/>
      <c r="BU363" s="1054"/>
      <c r="BV363" s="687"/>
      <c r="BW363" s="687"/>
    </row>
    <row s="1621" customFormat="1" customHeight="1" ht="14.25" hidden="1">
      <c r="A364" s="960"/>
      <c r="B364" s="961"/>
      <c r="C364" s="960"/>
      <c r="D364" s="960"/>
      <c r="E364" s="683">
        <v>15</v>
      </c>
      <c r="F364" s="50" cm="1" t="str">
        <f t="array" ref="F364:F364">OFFSET(E364,-1,1)</f>
        <v>2</v>
      </c>
      <c r="G364" s="960"/>
      <c r="H364" s="960"/>
      <c r="I364" s="345" t="s">
        <v>1631</v>
      </c>
      <c r="J364" s="124" cm="1" t="str">
        <f t="array" ref="J364:J364">AC364</f>
        <v>0</v>
      </c>
      <c r="K364" s="345" t="s">
        <v>1631</v>
      </c>
      <c r="L364" s="963"/>
      <c r="M364" s="73"/>
      <c r="N364" s="960"/>
      <c r="O364" s="960"/>
      <c r="P364" s="960"/>
      <c r="Q364" s="124" t="s">
        <v>2093</v>
      </c>
      <c r="R364" s="127" t="s">
        <v>2093</v>
      </c>
      <c r="S364" s="960"/>
      <c r="T364" s="439">
        <f>AND(F364&gt;0,Y364&gt;0)</f>
        <v>0</v>
      </c>
      <c r="U364" s="960"/>
      <c r="V364" s="960"/>
      <c r="W364" s="124" t="s">
        <v>173</v>
      </c>
      <c r="X364" s="1482"/>
      <c r="Y364" s="124">
        <v>0</v>
      </c>
      <c r="Z364" s="1465"/>
      <c r="AA364" s="393" t="s">
        <v>174</v>
      </c>
      <c r="AB364" s="267" t="str">
        <f>"1.7."&amp;Y364</f>
        <v>1.7.0</v>
      </c>
      <c r="AC364" s="1270"/>
      <c r="AD364" s="267" t="s">
        <v>784</v>
      </c>
      <c r="AE364" s="1282"/>
      <c r="AF364" s="1282"/>
      <c r="AG364" s="1282"/>
      <c r="AH364" s="226">
        <f>AG364-AF364</f>
        <v>0</v>
      </c>
      <c r="AI364" s="4758"/>
      <c r="AJ364" s="4759"/>
      <c r="AK364" s="928"/>
      <c r="AL364" s="928"/>
      <c r="AM364" s="928"/>
      <c r="AN364" s="928"/>
      <c r="AO364" s="928"/>
      <c r="AP364" s="928"/>
      <c r="AQ364" s="928"/>
      <c r="AR364" s="928"/>
      <c r="AS364" s="928"/>
      <c r="AT364" s="925"/>
      <c r="AU364" s="928"/>
      <c r="AV364" s="928"/>
      <c r="AW364" s="928"/>
      <c r="AX364" s="928"/>
      <c r="AY364" s="928"/>
      <c r="AZ364" s="928"/>
      <c r="BA364" s="928"/>
      <c r="BB364" s="928"/>
      <c r="BC364" s="928"/>
      <c r="BD364" s="745"/>
      <c r="BE364" s="928"/>
      <c r="BF364" s="928"/>
      <c r="BG364" s="928"/>
      <c r="BH364" s="928"/>
      <c r="BI364" s="928"/>
      <c r="BJ364" s="928"/>
      <c r="BK364" s="928"/>
      <c r="BL364" s="928"/>
      <c r="BM364" s="928"/>
      <c r="BN364" s="1283"/>
      <c r="BO364" s="1283"/>
      <c r="BP364" s="1283"/>
      <c r="BQ364" s="960"/>
      <c r="BR364" s="960"/>
      <c r="BS364" s="1048" t="s">
        <v>1892</v>
      </c>
      <c r="BT364" s="1048" t="s">
        <v>1893</v>
      </c>
      <c r="BU364" s="1048" cm="1" t="str">
        <f t="array" ref="BU364:BU364">AC364</f>
        <v>0</v>
      </c>
      <c r="BV364" s="962"/>
      <c r="BW364" s="683" t="b">
        <v>1</v>
      </c>
    </row>
    <row s="1621" customFormat="1" customHeight="1" ht="14.25">
      <c r="A365" s="960"/>
      <c r="B365" s="961"/>
      <c r="C365" s="960"/>
      <c r="D365" s="960"/>
      <c r="E365" s="683">
        <v>15</v>
      </c>
      <c r="F365" s="50" cm="1" t="str">
        <f t="array" ref="F365:F365">OFFSET(E365,-1,1)</f>
        <v>2</v>
      </c>
      <c r="G365" s="331"/>
      <c r="H365" s="960"/>
      <c r="I365" s="960"/>
      <c r="J365" s="124" t="s">
        <v>1894</v>
      </c>
      <c r="K365" s="960"/>
      <c r="L365" s="963"/>
      <c r="M365" s="73"/>
      <c r="N365" s="960"/>
      <c r="O365" s="960"/>
      <c r="P365" s="960"/>
      <c r="Q365" s="960"/>
      <c r="R365" s="960"/>
      <c r="S365" s="960"/>
      <c r="T365" s="439">
        <f>F365&gt;0</f>
        <v>1</v>
      </c>
      <c r="U365" s="960"/>
      <c r="V365" s="960"/>
      <c r="W365" s="682" t="s">
        <v>2094</v>
      </c>
      <c r="X365" s="1482"/>
      <c r="Y365" s="960"/>
      <c r="Z365" s="1465"/>
      <c r="AA365" s="960"/>
      <c r="AB365" s="756"/>
      <c r="AC365" s="227" t="s">
        <v>177</v>
      </c>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757"/>
      <c r="BL365" s="757"/>
      <c r="BM365" s="757"/>
      <c r="BN365" s="757"/>
      <c r="BO365" s="757"/>
      <c r="BP365" s="758"/>
      <c r="BQ365" s="960"/>
      <c r="BR365" s="960"/>
      <c r="BS365" s="1048"/>
      <c r="BT365" s="1048"/>
      <c r="BU365" s="1048"/>
      <c r="BV365" s="683" t="s">
        <v>1893</v>
      </c>
      <c r="BW365" s="962"/>
    </row>
    <row s="4891" customFormat="1" customHeight="1" ht="107.25">
      <c r="A366" s="680"/>
      <c r="B366" s="408"/>
      <c r="C366" s="680"/>
      <c r="D366" s="680"/>
      <c r="E366" s="687">
        <v>21</v>
      </c>
      <c r="F366" s="50" cm="1" t="str">
        <f t="array" ref="F366:F366">OFFSET(E366,-1,1)</f>
        <v>2</v>
      </c>
      <c r="G366" s="680"/>
      <c r="H366" s="124"/>
      <c r="I366" s="124" t="s">
        <v>326</v>
      </c>
      <c r="J366" s="680"/>
      <c r="K366" s="124" t="s">
        <v>326</v>
      </c>
      <c r="L366" s="968"/>
      <c r="M366" s="75"/>
      <c r="N366" s="680"/>
      <c r="O366" s="680"/>
      <c r="P366" s="680"/>
      <c r="Q366" s="680"/>
      <c r="R366" s="680"/>
      <c r="S366" s="680"/>
      <c r="T366" s="439" cm="1" t="str">
        <f t="array" ref="T366:T366">T365</f>
        <v>true</v>
      </c>
      <c r="U366" s="680"/>
      <c r="V366" s="680"/>
      <c r="W366" s="680"/>
      <c r="X366" s="1482"/>
      <c r="Y366" s="680"/>
      <c r="Z366" s="1465"/>
      <c r="AA366" s="680"/>
      <c r="AB366" s="214" t="s">
        <v>283</v>
      </c>
      <c r="AC366" s="179" t="s">
        <v>1895</v>
      </c>
      <c r="AD366" s="201" t="s">
        <v>784</v>
      </c>
      <c r="AE366" s="180">
        <f>AE367+AE379+AE380++AE391+AE392+AE393+AE395+AE396+AE397+AE398+AE401</f>
        <v>0.26489</v>
      </c>
      <c r="AF366" s="180">
        <f>AF367+AF379+AF380++AF391+AF392+AF393+AF395+AF396+AF397+AF398+AF401</f>
        <v>1463.87518634</v>
      </c>
      <c r="AG366" s="180">
        <f>AG367+AG379+AG380++AG391+AG392+AG393+AG395+AG396+AG397+AG398+AG401</f>
        <v>0</v>
      </c>
      <c r="AH366" s="742">
        <f>AG366-AF366</f>
        <v>-1463.87518634</v>
      </c>
      <c r="AI366" s="751">
        <f>AI367+AI379+AI380++AI391+AI392+AI393+AI395+AI396+AI397+AI398+AI401</f>
        <v>-761.10359</v>
      </c>
      <c r="AJ366" s="751">
        <f>AJ367+AJ379+AJ380++AJ391+AJ392+AJ393+AJ395+AJ396+AJ397+AJ398+AJ401</f>
        <v>1335.0137169634</v>
      </c>
      <c r="AK366" s="751">
        <f>AK367+AK379+AK380++AK391+AK392+AK393+AK395+AK396+AK397+AK398+AK401</f>
        <v>0</v>
      </c>
      <c r="AL366" s="751">
        <f>AL367+AL379+AL380++AL391+AL392+AL393+AL395+AL396+AL397+AL398+AL401</f>
        <v>0</v>
      </c>
      <c r="AM366" s="751">
        <f>AM367+AM379+AM380++AM391+AM392+AM393+AM395+AM396+AM397+AM398+AM401</f>
        <v>0</v>
      </c>
      <c r="AN366" s="751">
        <f>AN367+AN379+AN380++AN391+AN392+AN393+AN395+AN396+AN397+AN398+AN401</f>
        <v>0</v>
      </c>
      <c r="AO366" s="751">
        <f>AO367+AO379+AO380++AO391+AO392+AO393+AO395+AO396+AO397+AO398+AO401</f>
        <v>0</v>
      </c>
      <c r="AP366" s="751">
        <f>AP367+AP379+AP380++AP391+AP392+AP393+AP395+AP396+AP397+AP398+AP401</f>
        <v>0</v>
      </c>
      <c r="AQ366" s="751">
        <f>AQ367+AQ379+AQ380++AQ391+AQ392+AQ393+AQ395+AQ396+AQ397+AQ398+AQ401</f>
        <v>0</v>
      </c>
      <c r="AR366" s="751">
        <f>AR367+AR379+AR380++AR391+AR392+AR393+AR395+AR396+AR397+AR398+AR401</f>
        <v>0</v>
      </c>
      <c r="AS366" s="751">
        <f>AS367+AS379+AS380++AS391+AS392+AS393+AS395+AS396+AS397+AS398+AS401</f>
        <v>0</v>
      </c>
      <c r="AT366" s="751">
        <f>AT367+AT379+AT380++AT391+AT392+AT393+AT395+AT396+AT397+AT398+AT401</f>
        <v>0.37351</v>
      </c>
      <c r="AU366" s="751">
        <f>AU367+AU379+AU380++AU391+AU392+AU393+AU395+AU396+AU397+AU398+AU401</f>
        <v>0</v>
      </c>
      <c r="AV366" s="751">
        <f>AV367+AV379+AV380++AV391+AV392+AV393+AV395+AV396+AV397+AV398+AV401</f>
        <v>0</v>
      </c>
      <c r="AW366" s="751">
        <f>AW367+AW379+AW380++AW391+AW392+AW393+AW395+AW396+AW397+AW398+AW401</f>
        <v>0</v>
      </c>
      <c r="AX366" s="751">
        <f>AX367+AX379+AX380++AX391+AX392+AX393+AX395+AX396+AX397+AX398+AX401</f>
        <v>0</v>
      </c>
      <c r="AY366" s="751">
        <f>AY367+AY379+AY380++AY391+AY392+AY393+AY395+AY396+AY397+AY398+AY401</f>
        <v>0</v>
      </c>
      <c r="AZ366" s="751">
        <f>AZ367+AZ379+AZ380++AZ391+AZ392+AZ393+AZ395+AZ396+AZ397+AZ398+AZ401</f>
        <v>0</v>
      </c>
      <c r="BA366" s="751">
        <f>BA367+BA379+BA380++BA391+BA392+BA393+BA395+BA396+BA397+BA398+BA401</f>
        <v>0</v>
      </c>
      <c r="BB366" s="751">
        <f>BB367+BB379+BB380++BB391+BB392+BB393+BB395+BB396+BB397+BB398+BB401</f>
        <v>0</v>
      </c>
      <c r="BC366" s="751">
        <f>BC367+BC379+BC380++BC391+BC392+BC393+BC395+BC396+BC397+BC398+BC401</f>
        <v>0</v>
      </c>
      <c r="BD366" s="742">
        <f>IF(AI366=0,0,(AT366-AI366)/AI366*100)</f>
        <v>-100.049074791514</v>
      </c>
      <c r="BE366" s="742">
        <f>IF(AT366=0,0,(AU366-AT366)/AT366*100)</f>
        <v>-100</v>
      </c>
      <c r="BF366" s="742">
        <f>IF(AU366=0,0,(AV366-AU366)/AU366*100)</f>
        <v>0</v>
      </c>
      <c r="BG366" s="742">
        <f>IF(AV366=0,0,(AW366-AV366)/AV366*100)</f>
        <v>0</v>
      </c>
      <c r="BH366" s="742">
        <f>IF(AW366=0,0,(AX366-AW366)/AW366*100)</f>
        <v>0</v>
      </c>
      <c r="BI366" s="742">
        <f>IF(AX366=0,0,(AY366-AX366)/AX366*100)</f>
        <v>0</v>
      </c>
      <c r="BJ366" s="742">
        <f>IF(AY366=0,0,(AZ366-AY366)/AY366*100)</f>
        <v>0</v>
      </c>
      <c r="BK366" s="742">
        <f>IF(AZ366=0,0,(BA366-AZ366)/AZ366*100)</f>
        <v>0</v>
      </c>
      <c r="BL366" s="742">
        <f>IF(BA366=0,0,(BB366-BA366)/BA366*100)</f>
        <v>0</v>
      </c>
      <c r="BM366" s="742">
        <f>IF(BB366=0,0,(BC366-BB366)/BB366*100)</f>
        <v>0</v>
      </c>
      <c r="BN366" s="4830"/>
      <c r="BO366" s="4830" t="s">
        <v>2076</v>
      </c>
      <c r="BP366" s="4830"/>
      <c r="BQ366" s="126"/>
      <c r="BR366" s="680"/>
      <c r="BS366" s="1054" t="s">
        <v>1896</v>
      </c>
      <c r="BT366" s="1054"/>
      <c r="BU366" s="1054"/>
      <c r="BV366" s="687"/>
      <c r="BW366" s="687"/>
    </row>
    <row s="4892" customFormat="1" customHeight="1" ht="21.75">
      <c r="A367" s="680"/>
      <c r="B367" s="408"/>
      <c r="C367" s="680"/>
      <c r="D367" s="680"/>
      <c r="E367" s="687">
        <v>22.5</v>
      </c>
      <c r="F367" s="50" cm="1" t="str">
        <f t="array" ref="F367:F367">OFFSET(E367,-1,1)</f>
        <v>2</v>
      </c>
      <c r="G367" s="680"/>
      <c r="H367" s="124"/>
      <c r="I367" s="124" t="s">
        <v>459</v>
      </c>
      <c r="J367" s="680"/>
      <c r="K367" s="124" t="s">
        <v>459</v>
      </c>
      <c r="L367" s="968" t="s">
        <v>445</v>
      </c>
      <c r="M367" s="75"/>
      <c r="N367" s="680"/>
      <c r="O367" s="680"/>
      <c r="P367" s="680"/>
      <c r="Q367" s="680"/>
      <c r="R367" s="680"/>
      <c r="S367" s="680"/>
      <c r="T367" s="439" cm="1" t="str">
        <f t="array" ref="T367:T367">T366</f>
        <v>true</v>
      </c>
      <c r="U367" s="680"/>
      <c r="V367" s="680"/>
      <c r="W367" s="680"/>
      <c r="X367" s="1482"/>
      <c r="Y367" s="680"/>
      <c r="Z367" s="1465"/>
      <c r="AA367" s="680"/>
      <c r="AB367" s="185" t="s">
        <v>515</v>
      </c>
      <c r="AC367" s="328" t="s">
        <v>1897</v>
      </c>
      <c r="AD367" s="178" t="s">
        <v>784</v>
      </c>
      <c r="AE367" s="180">
        <f>SUM(AE368:AE378)</f>
        <v>0</v>
      </c>
      <c r="AF367" s="180">
        <f>SUM(AF368:AF378)</f>
        <v>0</v>
      </c>
      <c r="AG367" s="180">
        <f>SUM(AG368:AG378)</f>
        <v>0</v>
      </c>
      <c r="AH367" s="742">
        <f>AG367-AF367</f>
        <v>0</v>
      </c>
      <c r="AI367" s="180">
        <f>SUM(AI368:AI378)</f>
        <v>0</v>
      </c>
      <c r="AJ367" s="180">
        <f>SUM(AJ368:AJ378)</f>
        <v>0</v>
      </c>
      <c r="AK367" s="180">
        <f>SUM(AK368:AK378)</f>
        <v>0</v>
      </c>
      <c r="AL367" s="180">
        <f>SUM(AL368:AL378)</f>
        <v>0</v>
      </c>
      <c r="AM367" s="180">
        <f>SUM(AM368:AM378)</f>
        <v>0</v>
      </c>
      <c r="AN367" s="180">
        <f>SUM(AN368:AN378)</f>
        <v>0</v>
      </c>
      <c r="AO367" s="180">
        <f>SUM(AO368:AO378)</f>
        <v>0</v>
      </c>
      <c r="AP367" s="180">
        <f>SUM(AP368:AP378)</f>
        <v>0</v>
      </c>
      <c r="AQ367" s="180">
        <f>SUM(AQ368:AQ378)</f>
        <v>0</v>
      </c>
      <c r="AR367" s="180">
        <f>SUM(AR368:AR378)</f>
        <v>0</v>
      </c>
      <c r="AS367" s="180">
        <f>SUM(AS368:AS378)</f>
        <v>0</v>
      </c>
      <c r="AT367" s="180">
        <f>SUM(AT368:AT378)</f>
        <v>0</v>
      </c>
      <c r="AU367" s="180">
        <f>SUM(AU368:AU378)</f>
        <v>0</v>
      </c>
      <c r="AV367" s="180">
        <f>SUM(AV368:AV378)</f>
        <v>0</v>
      </c>
      <c r="AW367" s="180">
        <f>SUM(AW368:AW378)</f>
        <v>0</v>
      </c>
      <c r="AX367" s="180">
        <f>SUM(AX368:AX378)</f>
        <v>0</v>
      </c>
      <c r="AY367" s="180">
        <f>SUM(AY368:AY378)</f>
        <v>0</v>
      </c>
      <c r="AZ367" s="180">
        <f>SUM(AZ368:AZ378)</f>
        <v>0</v>
      </c>
      <c r="BA367" s="180">
        <f>SUM(BA368:BA378)</f>
        <v>0</v>
      </c>
      <c r="BB367" s="180">
        <f>SUM(BB368:BB378)</f>
        <v>0</v>
      </c>
      <c r="BC367" s="180">
        <f>SUM(BC368:BC378)</f>
        <v>0</v>
      </c>
      <c r="BD367" s="742">
        <f>IF(AI367=0,0,(AT367-AI367)/AI367*100)</f>
        <v>0</v>
      </c>
      <c r="BE367" s="742">
        <f>IF(AT367=0,0,(AU367-AT367)/AT367*100)</f>
        <v>0</v>
      </c>
      <c r="BF367" s="742">
        <f>IF(AU367=0,0,(AV367-AU367)/AU367*100)</f>
        <v>0</v>
      </c>
      <c r="BG367" s="742">
        <f>IF(AV367=0,0,(AW367-AV367)/AV367*100)</f>
        <v>0</v>
      </c>
      <c r="BH367" s="742">
        <f>IF(AW367=0,0,(AX367-AW367)/AW367*100)</f>
        <v>0</v>
      </c>
      <c r="BI367" s="742">
        <f>IF(AX367=0,0,(AY367-AX367)/AX367*100)</f>
        <v>0</v>
      </c>
      <c r="BJ367" s="742">
        <f>IF(AY367=0,0,(AZ367-AY367)/AY367*100)</f>
        <v>0</v>
      </c>
      <c r="BK367" s="742">
        <f>IF(AZ367=0,0,(BA367-AZ367)/AZ367*100)</f>
        <v>0</v>
      </c>
      <c r="BL367" s="742">
        <f>IF(BA367=0,0,(BB367-BA367)/BA367*100)</f>
        <v>0</v>
      </c>
      <c r="BM367" s="742">
        <f>IF(BB367=0,0,(BC367-BB367)/BB367*100)</f>
        <v>0</v>
      </c>
      <c r="BN367" s="4618"/>
      <c r="BO367" s="4618"/>
      <c r="BP367" s="4618"/>
      <c r="BQ367" s="680"/>
      <c r="BR367" s="680"/>
      <c r="BS367" s="1054" t="s">
        <v>1619</v>
      </c>
      <c r="BT367" s="1054"/>
      <c r="BU367" s="1054"/>
      <c r="BV367" s="687"/>
      <c r="BW367" s="687"/>
    </row>
    <row s="1621" customFormat="1" customHeight="1" ht="14.25">
      <c r="A368" s="960"/>
      <c r="B368" s="961"/>
      <c r="C368" s="960"/>
      <c r="D368" s="960"/>
      <c r="E368" s="683">
        <v>15</v>
      </c>
      <c r="F368" s="50" cm="1" t="str">
        <f t="array" ref="F368:F368">OFFSET(E368,-1,1)</f>
        <v>2</v>
      </c>
      <c r="G368" s="124" t="s">
        <v>1028</v>
      </c>
      <c r="H368" s="960"/>
      <c r="I368" s="124" t="s">
        <v>1445</v>
      </c>
      <c r="J368" s="960"/>
      <c r="K368" s="124" t="s">
        <v>1445</v>
      </c>
      <c r="L368" s="963" t="s">
        <v>1222</v>
      </c>
      <c r="M368" s="73"/>
      <c r="N368" s="960"/>
      <c r="O368" s="960"/>
      <c r="P368" s="960"/>
      <c r="Q368" s="960"/>
      <c r="R368" s="960"/>
      <c r="S368" s="960"/>
      <c r="T368" s="439" cm="1" t="str">
        <f t="array" ref="T368:T368">T367</f>
        <v>true</v>
      </c>
      <c r="U368" s="960"/>
      <c r="V368" s="960"/>
      <c r="W368" s="960"/>
      <c r="X368" s="1482"/>
      <c r="Y368" s="960"/>
      <c r="Z368" s="1465"/>
      <c r="AA368" s="960"/>
      <c r="AB368" s="266" t="s">
        <v>467</v>
      </c>
      <c r="AC368" s="746" t="s">
        <v>1898</v>
      </c>
      <c r="AD368" s="267" t="s">
        <v>784</v>
      </c>
      <c r="AE368" s="226">
        <f>_xlfn.SUMIFS(Покупка!AE$25:AE$117,Покупка!$F$25:$F$117,$F368,Покупка!$AC$25:$AC$117,$G368)</f>
        <v>0</v>
      </c>
      <c r="AF368" s="226">
        <f>_xlfn.SUMIFS(Покупка!AF$25:AF$117,Покупка!$F$25:$F$117,$F368,Покупка!$AC$25:$AC$117,$G368)</f>
        <v>0</v>
      </c>
      <c r="AG368" s="226">
        <f>_xlfn.SUMIFS(Покупка!AG$25:AG$117,Покупка!$F$25:$F$117,$F368,Покупка!$AC$25:$AC$117,$G368)</f>
        <v>0</v>
      </c>
      <c r="AH368" s="926">
        <f>AG368-AF368</f>
        <v>0</v>
      </c>
      <c r="AI368" s="926">
        <f>_xlfn.SUMIFS(Покупка!AH$25:AH$117,Покупка!$F$25:$F$117,$F368,Покупка!$AC$25:$AC$117,$G368)</f>
        <v>0</v>
      </c>
      <c r="AJ368" s="926">
        <f>_xlfn.SUMIFS(Покупка!AI$25:AI$117,Покупка!$F$25:$F$117,$F368,Покупка!$AC$25:$AC$117,$G368)</f>
        <v>0</v>
      </c>
      <c r="AK368" s="926">
        <f>_xlfn.SUMIFS(Покупка!AJ$25:AJ$117,Покупка!$F$25:$F$117,$F368,Покупка!$AC$25:$AC$117,$G368)</f>
        <v>0</v>
      </c>
      <c r="AL368" s="926">
        <f>_xlfn.SUMIFS(Покупка!AK$25:AK$117,Покупка!$F$25:$F$117,$F368,Покупка!$AC$25:$AC$117,$G368)</f>
        <v>0</v>
      </c>
      <c r="AM368" s="926">
        <f>_xlfn.SUMIFS(Покупка!AL$25:AL$117,Покупка!$F$25:$F$117,$F368,Покупка!$AC$25:$AC$117,$G368)</f>
        <v>0</v>
      </c>
      <c r="AN368" s="926">
        <f>_xlfn.SUMIFS(Покупка!AM$25:AM$117,Покупка!$F$25:$F$117,$F368,Покупка!$AC$25:$AC$117,$G368)</f>
        <v>0</v>
      </c>
      <c r="AO368" s="926">
        <f>_xlfn.SUMIFS(Покупка!AN$25:AN$117,Покупка!$F$25:$F$117,$F368,Покупка!$AC$25:$AC$117,$G368)</f>
        <v>0</v>
      </c>
      <c r="AP368" s="926">
        <f>_xlfn.SUMIFS(Покупка!AO$25:AO$117,Покупка!$F$25:$F$117,$F368,Покупка!$AC$25:$AC$117,$G368)</f>
        <v>0</v>
      </c>
      <c r="AQ368" s="926">
        <f>_xlfn.SUMIFS(Покупка!AP$25:AP$117,Покупка!$F$25:$F$117,$F368,Покупка!$AC$25:$AC$117,$G368)</f>
        <v>0</v>
      </c>
      <c r="AR368" s="926">
        <f>_xlfn.SUMIFS(Покупка!AQ$25:AQ$117,Покупка!$F$25:$F$117,$F368,Покупка!$AC$25:$AC$117,$G368)</f>
        <v>0</v>
      </c>
      <c r="AS368" s="926">
        <f>_xlfn.SUMIFS(Покупка!AR$25:AR$117,Покупка!$F$25:$F$117,$F368,Покупка!$AC$25:$AC$117,$G368)</f>
        <v>0</v>
      </c>
      <c r="AT368" s="926">
        <f>_xlfn.SUMIFS(Покупка!AS$25:AS$117,Покупка!$F$25:$F$117,$F368,Покупка!$AC$25:$AC$117,$G368)</f>
        <v>0</v>
      </c>
      <c r="AU368" s="926">
        <f>_xlfn.SUMIFS(Покупка!AT$25:AT$117,Покупка!$F$25:$F$117,$F368,Покупка!$AC$25:$AC$117,$G368)</f>
        <v>0</v>
      </c>
      <c r="AV368" s="926">
        <f>_xlfn.SUMIFS(Покупка!AU$25:AU$117,Покупка!$F$25:$F$117,$F368,Покупка!$AC$25:$AC$117,$G368)</f>
        <v>0</v>
      </c>
      <c r="AW368" s="926">
        <f>_xlfn.SUMIFS(Покупка!AV$25:AV$117,Покупка!$F$25:$F$117,$F368,Покупка!$AC$25:$AC$117,$G368)</f>
        <v>0</v>
      </c>
      <c r="AX368" s="926">
        <f>_xlfn.SUMIFS(Покупка!AW$25:AW$117,Покупка!$F$25:$F$117,$F368,Покупка!$AC$25:$AC$117,$G368)</f>
        <v>0</v>
      </c>
      <c r="AY368" s="926">
        <f>_xlfn.SUMIFS(Покупка!AX$25:AX$117,Покупка!$F$25:$F$117,$F368,Покупка!$AC$25:$AC$117,$G368)</f>
        <v>0</v>
      </c>
      <c r="AZ368" s="926">
        <f>_xlfn.SUMIFS(Покупка!AY$25:AY$117,Покупка!$F$25:$F$117,$F368,Покупка!$AC$25:$AC$117,$G368)</f>
        <v>0</v>
      </c>
      <c r="BA368" s="926">
        <f>_xlfn.SUMIFS(Покупка!AZ$25:AZ$117,Покупка!$F$25:$F$117,$F368,Покупка!$AC$25:$AC$117,$G368)</f>
        <v>0</v>
      </c>
      <c r="BB368" s="926">
        <f>_xlfn.SUMIFS(Покупка!BA$25:BA$117,Покупка!$F$25:$F$117,$F368,Покупка!$AC$25:$AC$117,$G368)</f>
        <v>0</v>
      </c>
      <c r="BC368" s="926">
        <f>_xlfn.SUMIFS(Покупка!BB$25:BB$117,Покупка!$F$25:$F$117,$F368,Покупка!$AC$25:$AC$117,$G368)</f>
        <v>0</v>
      </c>
      <c r="BD368" s="926">
        <f>IF(AI368=0,0,(AT368-AI368)/AI368*100)</f>
        <v>0</v>
      </c>
      <c r="BE368" s="926">
        <f>IF(AT368=0,0,(AU368-AT368)/AT368*100)</f>
        <v>0</v>
      </c>
      <c r="BF368" s="926">
        <f>IF(AU368=0,0,(AV368-AU368)/AU368*100)</f>
        <v>0</v>
      </c>
      <c r="BG368" s="926">
        <f>IF(AV368=0,0,(AW368-AV368)/AV368*100)</f>
        <v>0</v>
      </c>
      <c r="BH368" s="926">
        <f>IF(AW368=0,0,(AX368-AW368)/AW368*100)</f>
        <v>0</v>
      </c>
      <c r="BI368" s="926">
        <f>IF(AX368=0,0,(AY368-AX368)/AX368*100)</f>
        <v>0</v>
      </c>
      <c r="BJ368" s="926">
        <f>IF(AY368=0,0,(AZ368-AY368)/AY368*100)</f>
        <v>0</v>
      </c>
      <c r="BK368" s="926">
        <f>IF(AZ368=0,0,(BA368-AZ368)/AZ368*100)</f>
        <v>0</v>
      </c>
      <c r="BL368" s="926">
        <f>IF(BA368=0,0,(BB368-BA368)/BA368*100)</f>
        <v>0</v>
      </c>
      <c r="BM368" s="926">
        <f>IF(BB368=0,0,(BC368-BB368)/BB368*100)</f>
        <v>0</v>
      </c>
      <c r="BN368" s="4830"/>
      <c r="BO368" s="4784" t="str">
        <f>IF(_xlfn.IFERROR(INDEX(Покупка!$K$26:$L$117,MATCH($F368&amp;"6komm",Покупка!$K$26:$K$117,0),2),"")=0,"",_xlfn.IFERROR(INDEX(Покупка!$K$26:$L$117,MATCH($F368&amp;"6komm",Покупка!$K$26:$K$117,0),2),""))</f>
        <v/>
      </c>
      <c r="BP368" s="4830"/>
      <c r="BQ368" s="960"/>
      <c r="BR368" s="960"/>
      <c r="BS368" s="1048" t="s">
        <v>1029</v>
      </c>
      <c r="BT368" s="1048"/>
      <c r="BU368" s="1048"/>
      <c r="BV368" s="962"/>
      <c r="BW368" s="962"/>
    </row>
    <row s="1621" customFormat="1" customHeight="1" ht="14.25">
      <c r="A369" s="960"/>
      <c r="B369" s="62"/>
      <c r="C369" s="73"/>
      <c r="D369" s="73"/>
      <c r="E369" s="600">
        <v>15</v>
      </c>
      <c r="F369" s="50" cm="1" t="str">
        <f t="array" ref="F369:F369">OFFSET(E369,-1,1)</f>
        <v>2</v>
      </c>
      <c r="G369" s="73" t="s">
        <v>1030</v>
      </c>
      <c r="H369" s="73"/>
      <c r="I369" s="73" t="s">
        <v>1449</v>
      </c>
      <c r="J369" s="73"/>
      <c r="K369" s="73" t="s">
        <v>1449</v>
      </c>
      <c r="L369" s="963" t="s">
        <v>1226</v>
      </c>
      <c r="M369" s="73"/>
      <c r="N369" s="73"/>
      <c r="O369" s="73"/>
      <c r="P369" s="73"/>
      <c r="Q369" s="73"/>
      <c r="R369" s="73"/>
      <c r="S369" s="73"/>
      <c r="T369" s="439" cm="1" t="str">
        <f t="array" ref="T369:T369">T368</f>
        <v>true</v>
      </c>
      <c r="U369" s="73"/>
      <c r="V369" s="73"/>
      <c r="W369" s="960"/>
      <c r="X369" s="1482"/>
      <c r="Y369" s="960"/>
      <c r="Z369" s="1465"/>
      <c r="AA369" s="960"/>
      <c r="AB369" s="266" t="s">
        <v>1899</v>
      </c>
      <c r="AC369" s="746" t="s">
        <v>1900</v>
      </c>
      <c r="AD369" s="267" t="s">
        <v>784</v>
      </c>
      <c r="AE369" s="226">
        <f>_xlfn.SUMIFS(Покупка!AE$25:AE$117,Покупка!$F$25:$F$117,$F369,Покупка!$AC$25:$AC$117,$G369)</f>
        <v>0</v>
      </c>
      <c r="AF369" s="226">
        <f>_xlfn.SUMIFS(Покупка!AF$25:AF$117,Покупка!$F$25:$F$117,$F369,Покупка!$AC$25:$AC$117,$G369)</f>
        <v>0</v>
      </c>
      <c r="AG369" s="226">
        <f>_xlfn.SUMIFS(Покупка!AG$25:AG$117,Покупка!$F$25:$F$117,$F369,Покупка!$AC$25:$AC$117,$G369)</f>
        <v>0</v>
      </c>
      <c r="AH369" s="926">
        <f>AG369-AF369</f>
        <v>0</v>
      </c>
      <c r="AI369" s="926">
        <f>_xlfn.SUMIFS(Покупка!AH$25:AH$117,Покупка!$F$25:$F$117,$F369,Покупка!$AC$25:$AC$117,$G369)</f>
        <v>0</v>
      </c>
      <c r="AJ369" s="926">
        <f>_xlfn.SUMIFS(Покупка!AI$25:AI$117,Покупка!$F$25:$F$117,$F369,Покупка!$AC$25:$AC$117,$G369)</f>
        <v>0</v>
      </c>
      <c r="AK369" s="926">
        <f>_xlfn.SUMIFS(Покупка!AJ$25:AJ$117,Покупка!$F$25:$F$117,$F369,Покупка!$AC$25:$AC$117,$G369)</f>
        <v>0</v>
      </c>
      <c r="AL369" s="926">
        <f>_xlfn.SUMIFS(Покупка!AK$25:AK$117,Покупка!$F$25:$F$117,$F369,Покупка!$AC$25:$AC$117,$G369)</f>
        <v>0</v>
      </c>
      <c r="AM369" s="926">
        <f>_xlfn.SUMIFS(Покупка!AL$25:AL$117,Покупка!$F$25:$F$117,$F369,Покупка!$AC$25:$AC$117,$G369)</f>
        <v>0</v>
      </c>
      <c r="AN369" s="926">
        <f>_xlfn.SUMIFS(Покупка!AM$25:AM$117,Покупка!$F$25:$F$117,$F369,Покупка!$AC$25:$AC$117,$G369)</f>
        <v>0</v>
      </c>
      <c r="AO369" s="926">
        <f>_xlfn.SUMIFS(Покупка!AN$25:AN$117,Покупка!$F$25:$F$117,$F369,Покупка!$AC$25:$AC$117,$G369)</f>
        <v>0</v>
      </c>
      <c r="AP369" s="926">
        <f>_xlfn.SUMIFS(Покупка!AO$25:AO$117,Покупка!$F$25:$F$117,$F369,Покупка!$AC$25:$AC$117,$G369)</f>
        <v>0</v>
      </c>
      <c r="AQ369" s="926">
        <f>_xlfn.SUMIFS(Покупка!AP$25:AP$117,Покупка!$F$25:$F$117,$F369,Покупка!$AC$25:$AC$117,$G369)</f>
        <v>0</v>
      </c>
      <c r="AR369" s="926">
        <f>_xlfn.SUMIFS(Покупка!AQ$25:AQ$117,Покупка!$F$25:$F$117,$F369,Покупка!$AC$25:$AC$117,$G369)</f>
        <v>0</v>
      </c>
      <c r="AS369" s="926">
        <f>_xlfn.SUMIFS(Покупка!AR$25:AR$117,Покупка!$F$25:$F$117,$F369,Покупка!$AC$25:$AC$117,$G369)</f>
        <v>0</v>
      </c>
      <c r="AT369" s="926">
        <f>_xlfn.SUMIFS(Покупка!AS$25:AS$117,Покупка!$F$25:$F$117,$F369,Покупка!$AC$25:$AC$117,$G369)</f>
        <v>0</v>
      </c>
      <c r="AU369" s="926">
        <f>_xlfn.SUMIFS(Покупка!AT$25:AT$117,Покупка!$F$25:$F$117,$F369,Покупка!$AC$25:$AC$117,$G369)</f>
        <v>0</v>
      </c>
      <c r="AV369" s="926">
        <f>_xlfn.SUMIFS(Покупка!AU$25:AU$117,Покупка!$F$25:$F$117,$F369,Покупка!$AC$25:$AC$117,$G369)</f>
        <v>0</v>
      </c>
      <c r="AW369" s="926">
        <f>_xlfn.SUMIFS(Покупка!AV$25:AV$117,Покупка!$F$25:$F$117,$F369,Покупка!$AC$25:$AC$117,$G369)</f>
        <v>0</v>
      </c>
      <c r="AX369" s="926">
        <f>_xlfn.SUMIFS(Покупка!AW$25:AW$117,Покупка!$F$25:$F$117,$F369,Покупка!$AC$25:$AC$117,$G369)</f>
        <v>0</v>
      </c>
      <c r="AY369" s="926">
        <f>_xlfn.SUMIFS(Покупка!AX$25:AX$117,Покупка!$F$25:$F$117,$F369,Покупка!$AC$25:$AC$117,$G369)</f>
        <v>0</v>
      </c>
      <c r="AZ369" s="926">
        <f>_xlfn.SUMIFS(Покупка!AY$25:AY$117,Покупка!$F$25:$F$117,$F369,Покупка!$AC$25:$AC$117,$G369)</f>
        <v>0</v>
      </c>
      <c r="BA369" s="926">
        <f>_xlfn.SUMIFS(Покупка!AZ$25:AZ$117,Покупка!$F$25:$F$117,$F369,Покупка!$AC$25:$AC$117,$G369)</f>
        <v>0</v>
      </c>
      <c r="BB369" s="926">
        <f>_xlfn.SUMIFS(Покупка!BA$25:BA$117,Покупка!$F$25:$F$117,$F369,Покупка!$AC$25:$AC$117,$G369)</f>
        <v>0</v>
      </c>
      <c r="BC369" s="926">
        <f>_xlfn.SUMIFS(Покупка!BB$25:BB$117,Покупка!$F$25:$F$117,$F369,Покупка!$AC$25:$AC$117,$G369)</f>
        <v>0</v>
      </c>
      <c r="BD369" s="926">
        <f>IF(AI369=0,0,(AT369-AI369)/AI369*100)</f>
        <v>0</v>
      </c>
      <c r="BE369" s="926">
        <f>IF(AT369=0,0,(AU369-AT369)/AT369*100)</f>
        <v>0</v>
      </c>
      <c r="BF369" s="926">
        <f>IF(AU369=0,0,(AV369-AU369)/AU369*100)</f>
        <v>0</v>
      </c>
      <c r="BG369" s="926">
        <f>IF(AV369=0,0,(AW369-AV369)/AV369*100)</f>
        <v>0</v>
      </c>
      <c r="BH369" s="926">
        <f>IF(AW369=0,0,(AX369-AW369)/AW369*100)</f>
        <v>0</v>
      </c>
      <c r="BI369" s="926">
        <f>IF(AX369=0,0,(AY369-AX369)/AX369*100)</f>
        <v>0</v>
      </c>
      <c r="BJ369" s="926">
        <f>IF(AY369=0,0,(AZ369-AY369)/AY369*100)</f>
        <v>0</v>
      </c>
      <c r="BK369" s="926">
        <f>IF(AZ369=0,0,(BA369-AZ369)/AZ369*100)</f>
        <v>0</v>
      </c>
      <c r="BL369" s="926">
        <f>IF(BA369=0,0,(BB369-BA369)/BA369*100)</f>
        <v>0</v>
      </c>
      <c r="BM369" s="926">
        <f>IF(BB369=0,0,(BC369-BB369)/BB369*100)</f>
        <v>0</v>
      </c>
      <c r="BN369" s="4830"/>
      <c r="BO369" s="4784" t="str">
        <f>IF(_xlfn.IFERROR(INDEX(Покупка!$K$26:$L$117,MATCH($F369&amp;"7komm",Покупка!$K$26:$K$117,0),2),"")=0,"",_xlfn.IFERROR(INDEX(Покупка!$K$26:$L$117,MATCH($F369&amp;"7komm",Покупка!$K$26:$K$117,0),2),""))</f>
        <v/>
      </c>
      <c r="BP369" s="4830"/>
      <c r="BQ369" s="960"/>
      <c r="BR369" s="960"/>
      <c r="BS369" s="1048" t="s">
        <v>1031</v>
      </c>
      <c r="BT369" s="1048"/>
      <c r="BU369" s="1048"/>
      <c r="BV369" s="962"/>
      <c r="BW369" s="962"/>
    </row>
    <row s="1621" customFormat="1" customHeight="1" ht="14.25">
      <c r="A370" s="960"/>
      <c r="B370" s="62"/>
      <c r="C370" s="73"/>
      <c r="D370" s="73"/>
      <c r="E370" s="600">
        <v>15</v>
      </c>
      <c r="F370" s="50" cm="1" t="str">
        <f t="array" ref="F370:F370">OFFSET(E370,-1,1)</f>
        <v>2</v>
      </c>
      <c r="G370" s="73" t="s">
        <v>1005</v>
      </c>
      <c r="H370" s="73"/>
      <c r="I370" s="73" t="s">
        <v>1531</v>
      </c>
      <c r="J370" s="73"/>
      <c r="K370" s="73" t="s">
        <v>1531</v>
      </c>
      <c r="L370" s="963" t="s">
        <v>1394</v>
      </c>
      <c r="M370" s="73"/>
      <c r="N370" s="73"/>
      <c r="O370" s="73"/>
      <c r="P370" s="73"/>
      <c r="Q370" s="73"/>
      <c r="R370" s="73"/>
      <c r="S370" s="73"/>
      <c r="T370" s="439" cm="1" t="str">
        <f t="array" ref="T370:T370">T369</f>
        <v>true</v>
      </c>
      <c r="U370" s="73"/>
      <c r="V370" s="73"/>
      <c r="W370" s="960"/>
      <c r="X370" s="1482"/>
      <c r="Y370" s="960"/>
      <c r="Z370" s="1465"/>
      <c r="AA370" s="960"/>
      <c r="AB370" s="266" t="s">
        <v>1901</v>
      </c>
      <c r="AC370" s="746" t="s">
        <v>1902</v>
      </c>
      <c r="AD370" s="267" t="s">
        <v>784</v>
      </c>
      <c r="AE370" s="226">
        <f>_xlfn.SUMIFS(Покупка!AE$25:AE$117,Покупка!$F$25:$F$117,$F370,Покупка!$AC$25:$AC$117,$G370)</f>
        <v>0</v>
      </c>
      <c r="AF370" s="226">
        <f>_xlfn.SUMIFS(Покупка!AF$25:AF$117,Покупка!$F$25:$F$117,$F370,Покупка!$AC$25:$AC$117,$G370)</f>
        <v>0</v>
      </c>
      <c r="AG370" s="226">
        <f>_xlfn.SUMIFS(Покупка!AG$25:AG$117,Покупка!$F$25:$F$117,$F370,Покупка!$AC$25:$AC$117,$G370)</f>
        <v>0</v>
      </c>
      <c r="AH370" s="926">
        <f>AG370-AF370</f>
        <v>0</v>
      </c>
      <c r="AI370" s="926">
        <f>_xlfn.SUMIFS(Покупка!AH$25:AH$117,Покупка!$F$25:$F$117,$F370,Покупка!$AC$25:$AC$117,$G370)</f>
        <v>0</v>
      </c>
      <c r="AJ370" s="926">
        <f>_xlfn.SUMIFS(Покупка!AI$25:AI$117,Покупка!$F$25:$F$117,$F370,Покупка!$AC$25:$AC$117,$G370)</f>
        <v>0</v>
      </c>
      <c r="AK370" s="926">
        <f>_xlfn.SUMIFS(Покупка!AJ$25:AJ$117,Покупка!$F$25:$F$117,$F370,Покупка!$AC$25:$AC$117,$G370)</f>
        <v>0</v>
      </c>
      <c r="AL370" s="926">
        <f>_xlfn.SUMIFS(Покупка!AK$25:AK$117,Покупка!$F$25:$F$117,$F370,Покупка!$AC$25:$AC$117,$G370)</f>
        <v>0</v>
      </c>
      <c r="AM370" s="926">
        <f>_xlfn.SUMIFS(Покупка!AL$25:AL$117,Покупка!$F$25:$F$117,$F370,Покупка!$AC$25:$AC$117,$G370)</f>
        <v>0</v>
      </c>
      <c r="AN370" s="926">
        <f>_xlfn.SUMIFS(Покупка!AM$25:AM$117,Покупка!$F$25:$F$117,$F370,Покупка!$AC$25:$AC$117,$G370)</f>
        <v>0</v>
      </c>
      <c r="AO370" s="926">
        <f>_xlfn.SUMIFS(Покупка!AN$25:AN$117,Покупка!$F$25:$F$117,$F370,Покупка!$AC$25:$AC$117,$G370)</f>
        <v>0</v>
      </c>
      <c r="AP370" s="926">
        <f>_xlfn.SUMIFS(Покупка!AO$25:AO$117,Покупка!$F$25:$F$117,$F370,Покупка!$AC$25:$AC$117,$G370)</f>
        <v>0</v>
      </c>
      <c r="AQ370" s="926">
        <f>_xlfn.SUMIFS(Покупка!AP$25:AP$117,Покупка!$F$25:$F$117,$F370,Покупка!$AC$25:$AC$117,$G370)</f>
        <v>0</v>
      </c>
      <c r="AR370" s="926">
        <f>_xlfn.SUMIFS(Покупка!AQ$25:AQ$117,Покупка!$F$25:$F$117,$F370,Покупка!$AC$25:$AC$117,$G370)</f>
        <v>0</v>
      </c>
      <c r="AS370" s="926">
        <f>_xlfn.SUMIFS(Покупка!AR$25:AR$117,Покупка!$F$25:$F$117,$F370,Покупка!$AC$25:$AC$117,$G370)</f>
        <v>0</v>
      </c>
      <c r="AT370" s="926">
        <f>_xlfn.SUMIFS(Покупка!AS$25:AS$117,Покупка!$F$25:$F$117,$F370,Покупка!$AC$25:$AC$117,$G370)</f>
        <v>0</v>
      </c>
      <c r="AU370" s="926">
        <f>_xlfn.SUMIFS(Покупка!AT$25:AT$117,Покупка!$F$25:$F$117,$F370,Покупка!$AC$25:$AC$117,$G370)</f>
        <v>0</v>
      </c>
      <c r="AV370" s="926">
        <f>_xlfn.SUMIFS(Покупка!AU$25:AU$117,Покупка!$F$25:$F$117,$F370,Покупка!$AC$25:$AC$117,$G370)</f>
        <v>0</v>
      </c>
      <c r="AW370" s="926">
        <f>_xlfn.SUMIFS(Покупка!AV$25:AV$117,Покупка!$F$25:$F$117,$F370,Покупка!$AC$25:$AC$117,$G370)</f>
        <v>0</v>
      </c>
      <c r="AX370" s="926">
        <f>_xlfn.SUMIFS(Покупка!AW$25:AW$117,Покупка!$F$25:$F$117,$F370,Покупка!$AC$25:$AC$117,$G370)</f>
        <v>0</v>
      </c>
      <c r="AY370" s="926">
        <f>_xlfn.SUMIFS(Покупка!AX$25:AX$117,Покупка!$F$25:$F$117,$F370,Покупка!$AC$25:$AC$117,$G370)</f>
        <v>0</v>
      </c>
      <c r="AZ370" s="926">
        <f>_xlfn.SUMIFS(Покупка!AY$25:AY$117,Покупка!$F$25:$F$117,$F370,Покупка!$AC$25:$AC$117,$G370)</f>
        <v>0</v>
      </c>
      <c r="BA370" s="926">
        <f>_xlfn.SUMIFS(Покупка!AZ$25:AZ$117,Покупка!$F$25:$F$117,$F370,Покупка!$AC$25:$AC$117,$G370)</f>
        <v>0</v>
      </c>
      <c r="BB370" s="926">
        <f>_xlfn.SUMIFS(Покупка!BA$25:BA$117,Покупка!$F$25:$F$117,$F370,Покупка!$AC$25:$AC$117,$G370)</f>
        <v>0</v>
      </c>
      <c r="BC370" s="926">
        <f>_xlfn.SUMIFS(Покупка!BB$25:BB$117,Покупка!$F$25:$F$117,$F370,Покупка!$AC$25:$AC$117,$G370)</f>
        <v>0</v>
      </c>
      <c r="BD370" s="926">
        <f>IF(AI370=0,0,(AT370-AI370)/AI370*100)</f>
        <v>0</v>
      </c>
      <c r="BE370" s="926">
        <f>IF(AT370=0,0,(AU370-AT370)/AT370*100)</f>
        <v>0</v>
      </c>
      <c r="BF370" s="926">
        <f>IF(AU370=0,0,(AV370-AU370)/AU370*100)</f>
        <v>0</v>
      </c>
      <c r="BG370" s="926">
        <f>IF(AV370=0,0,(AW370-AV370)/AV370*100)</f>
        <v>0</v>
      </c>
      <c r="BH370" s="926">
        <f>IF(AW370=0,0,(AX370-AW370)/AW370*100)</f>
        <v>0</v>
      </c>
      <c r="BI370" s="926">
        <f>IF(AX370=0,0,(AY370-AX370)/AX370*100)</f>
        <v>0</v>
      </c>
      <c r="BJ370" s="926">
        <f>IF(AY370=0,0,(AZ370-AY370)/AY370*100)</f>
        <v>0</v>
      </c>
      <c r="BK370" s="926">
        <f>IF(AZ370=0,0,(BA370-AZ370)/AZ370*100)</f>
        <v>0</v>
      </c>
      <c r="BL370" s="926">
        <f>IF(BA370=0,0,(BB370-BA370)/BA370*100)</f>
        <v>0</v>
      </c>
      <c r="BM370" s="926">
        <f>IF(BB370=0,0,(BC370-BB370)/BB370*100)</f>
        <v>0</v>
      </c>
      <c r="BN370" s="4830"/>
      <c r="BO370" s="4784" t="str">
        <f>IF(_xlfn.IFERROR(INDEX(Покупка!$K$26:$L$117,MATCH($F370&amp;"2komm",Покупка!$K$26:$K$117,0),2),"")=0,"",_xlfn.IFERROR(INDEX(Покупка!$K$26:$L$117,MATCH($F370&amp;"2komm",Покупка!$K$26:$K$117,0),2),""))</f>
        <v/>
      </c>
      <c r="BP370" s="4830"/>
      <c r="BQ370" s="960"/>
      <c r="BR370" s="960"/>
      <c r="BS370" s="1048" t="s">
        <v>1903</v>
      </c>
      <c r="BT370" s="1048"/>
      <c r="BU370" s="1048"/>
      <c r="BV370" s="962"/>
      <c r="BW370" s="962"/>
    </row>
    <row s="1621" customFormat="1" customHeight="1" ht="14.25">
      <c r="A371" s="960"/>
      <c r="B371" s="62"/>
      <c r="C371" s="73"/>
      <c r="D371" s="73"/>
      <c r="E371" s="600">
        <v>15</v>
      </c>
      <c r="F371" s="50" cm="1" t="str">
        <f t="array" ref="F371:F371">OFFSET(E371,-1,1)</f>
        <v>2</v>
      </c>
      <c r="G371" s="73" t="s">
        <v>996</v>
      </c>
      <c r="H371" s="73"/>
      <c r="I371" s="73" t="s">
        <v>1533</v>
      </c>
      <c r="J371" s="73"/>
      <c r="K371" s="73" t="s">
        <v>1533</v>
      </c>
      <c r="L371" s="963" t="s">
        <v>1389</v>
      </c>
      <c r="M371" s="73"/>
      <c r="N371" s="73"/>
      <c r="O371" s="73"/>
      <c r="P371" s="73"/>
      <c r="Q371" s="73"/>
      <c r="R371" s="73"/>
      <c r="S371" s="73"/>
      <c r="T371" s="439" cm="1" t="str">
        <f t="array" ref="T371:T371">T370</f>
        <v>true</v>
      </c>
      <c r="U371" s="73"/>
      <c r="V371" s="73"/>
      <c r="W371" s="960"/>
      <c r="X371" s="1482"/>
      <c r="Y371" s="960"/>
      <c r="Z371" s="1465"/>
      <c r="AA371" s="960"/>
      <c r="AB371" s="266" t="s">
        <v>1904</v>
      </c>
      <c r="AC371" s="746" t="s">
        <v>1905</v>
      </c>
      <c r="AD371" s="267" t="s">
        <v>784</v>
      </c>
      <c r="AE371" s="226">
        <f>_xlfn.SUMIFS(Покупка!AE$25:AE$117,Покупка!$F$25:$F$117,$F371,Покупка!$AC$25:$AC$117,$G371)</f>
        <v>0</v>
      </c>
      <c r="AF371" s="226">
        <f>_xlfn.SUMIFS(Покупка!AF$25:AF$117,Покупка!$F$25:$F$117,$F371,Покупка!$AC$25:$AC$117,$G371)</f>
        <v>0</v>
      </c>
      <c r="AG371" s="226">
        <f>_xlfn.SUMIFS(Покупка!AG$25:AG$117,Покупка!$F$25:$F$117,$F371,Покупка!$AC$25:$AC$117,$G371)</f>
        <v>0</v>
      </c>
      <c r="AH371" s="926">
        <f>AG371-AF371</f>
        <v>0</v>
      </c>
      <c r="AI371" s="926">
        <f>_xlfn.SUMIFS(Покупка!AH$25:AH$117,Покупка!$F$25:$F$117,$F371,Покупка!$AC$25:$AC$117,$G371)</f>
        <v>0</v>
      </c>
      <c r="AJ371" s="926">
        <f>_xlfn.SUMIFS(Покупка!AI$25:AI$117,Покупка!$F$25:$F$117,$F371,Покупка!$AC$25:$AC$117,$G371)</f>
        <v>0</v>
      </c>
      <c r="AK371" s="926">
        <f>_xlfn.SUMIFS(Покупка!AJ$25:AJ$117,Покупка!$F$25:$F$117,$F371,Покупка!$AC$25:$AC$117,$G371)</f>
        <v>0</v>
      </c>
      <c r="AL371" s="926">
        <f>_xlfn.SUMIFS(Покупка!AK$25:AK$117,Покупка!$F$25:$F$117,$F371,Покупка!$AC$25:$AC$117,$G371)</f>
        <v>0</v>
      </c>
      <c r="AM371" s="926">
        <f>_xlfn.SUMIFS(Покупка!AL$25:AL$117,Покупка!$F$25:$F$117,$F371,Покупка!$AC$25:$AC$117,$G371)</f>
        <v>0</v>
      </c>
      <c r="AN371" s="926">
        <f>_xlfn.SUMIFS(Покупка!AM$25:AM$117,Покупка!$F$25:$F$117,$F371,Покупка!$AC$25:$AC$117,$G371)</f>
        <v>0</v>
      </c>
      <c r="AO371" s="926">
        <f>_xlfn.SUMIFS(Покупка!AN$25:AN$117,Покупка!$F$25:$F$117,$F371,Покупка!$AC$25:$AC$117,$G371)</f>
        <v>0</v>
      </c>
      <c r="AP371" s="926">
        <f>_xlfn.SUMIFS(Покупка!AO$25:AO$117,Покупка!$F$25:$F$117,$F371,Покупка!$AC$25:$AC$117,$G371)</f>
        <v>0</v>
      </c>
      <c r="AQ371" s="926">
        <f>_xlfn.SUMIFS(Покупка!AP$25:AP$117,Покупка!$F$25:$F$117,$F371,Покупка!$AC$25:$AC$117,$G371)</f>
        <v>0</v>
      </c>
      <c r="AR371" s="926">
        <f>_xlfn.SUMIFS(Покупка!AQ$25:AQ$117,Покупка!$F$25:$F$117,$F371,Покупка!$AC$25:$AC$117,$G371)</f>
        <v>0</v>
      </c>
      <c r="AS371" s="926">
        <f>_xlfn.SUMIFS(Покупка!AR$25:AR$117,Покупка!$F$25:$F$117,$F371,Покупка!$AC$25:$AC$117,$G371)</f>
        <v>0</v>
      </c>
      <c r="AT371" s="926">
        <f>_xlfn.SUMIFS(Покупка!AS$25:AS$117,Покупка!$F$25:$F$117,$F371,Покупка!$AC$25:$AC$117,$G371)</f>
        <v>0</v>
      </c>
      <c r="AU371" s="926">
        <f>_xlfn.SUMIFS(Покупка!AT$25:AT$117,Покупка!$F$25:$F$117,$F371,Покупка!$AC$25:$AC$117,$G371)</f>
        <v>0</v>
      </c>
      <c r="AV371" s="926">
        <f>_xlfn.SUMIFS(Покупка!AU$25:AU$117,Покупка!$F$25:$F$117,$F371,Покупка!$AC$25:$AC$117,$G371)</f>
        <v>0</v>
      </c>
      <c r="AW371" s="926">
        <f>_xlfn.SUMIFS(Покупка!AV$25:AV$117,Покупка!$F$25:$F$117,$F371,Покупка!$AC$25:$AC$117,$G371)</f>
        <v>0</v>
      </c>
      <c r="AX371" s="926">
        <f>_xlfn.SUMIFS(Покупка!AW$25:AW$117,Покупка!$F$25:$F$117,$F371,Покупка!$AC$25:$AC$117,$G371)</f>
        <v>0</v>
      </c>
      <c r="AY371" s="926">
        <f>_xlfn.SUMIFS(Покупка!AX$25:AX$117,Покупка!$F$25:$F$117,$F371,Покупка!$AC$25:$AC$117,$G371)</f>
        <v>0</v>
      </c>
      <c r="AZ371" s="926">
        <f>_xlfn.SUMIFS(Покупка!AY$25:AY$117,Покупка!$F$25:$F$117,$F371,Покупка!$AC$25:$AC$117,$G371)</f>
        <v>0</v>
      </c>
      <c r="BA371" s="926">
        <f>_xlfn.SUMIFS(Покупка!AZ$25:AZ$117,Покупка!$F$25:$F$117,$F371,Покупка!$AC$25:$AC$117,$G371)</f>
        <v>0</v>
      </c>
      <c r="BB371" s="926">
        <f>_xlfn.SUMIFS(Покупка!BA$25:BA$117,Покупка!$F$25:$F$117,$F371,Покупка!$AC$25:$AC$117,$G371)</f>
        <v>0</v>
      </c>
      <c r="BC371" s="926">
        <f>_xlfn.SUMIFS(Покупка!BB$25:BB$117,Покупка!$F$25:$F$117,$F371,Покупка!$AC$25:$AC$117,$G371)</f>
        <v>0</v>
      </c>
      <c r="BD371" s="926">
        <f>IF(AI371=0,0,(AT371-AI371)/AI371*100)</f>
        <v>0</v>
      </c>
      <c r="BE371" s="926">
        <f>IF(AT371=0,0,(AU371-AT371)/AT371*100)</f>
        <v>0</v>
      </c>
      <c r="BF371" s="926">
        <f>IF(AU371=0,0,(AV371-AU371)/AU371*100)</f>
        <v>0</v>
      </c>
      <c r="BG371" s="926">
        <f>IF(AV371=0,0,(AW371-AV371)/AV371*100)</f>
        <v>0</v>
      </c>
      <c r="BH371" s="926">
        <f>IF(AW371=0,0,(AX371-AW371)/AW371*100)</f>
        <v>0</v>
      </c>
      <c r="BI371" s="926">
        <f>IF(AX371=0,0,(AY371-AX371)/AX371*100)</f>
        <v>0</v>
      </c>
      <c r="BJ371" s="926">
        <f>IF(AY371=0,0,(AZ371-AY371)/AY371*100)</f>
        <v>0</v>
      </c>
      <c r="BK371" s="926">
        <f>IF(AZ371=0,0,(BA371-AZ371)/AZ371*100)</f>
        <v>0</v>
      </c>
      <c r="BL371" s="926">
        <f>IF(BA371=0,0,(BB371-BA371)/BA371*100)</f>
        <v>0</v>
      </c>
      <c r="BM371" s="926">
        <f>IF(BB371=0,0,(BC371-BB371)/BB371*100)</f>
        <v>0</v>
      </c>
      <c r="BN371" s="4830"/>
      <c r="BO371" s="4784" t="str">
        <f>IF(_xlfn.IFERROR(INDEX(Покупка!$K$26:$L$117,MATCH($F371&amp;"1komm",Покупка!$K$26:$K$117,0),2),"")=0,"",_xlfn.IFERROR(INDEX(Покупка!$K$26:$L$117,MATCH($F371&amp;"1komm",Покупка!$K$26:$K$117,0),2),""))</f>
        <v/>
      </c>
      <c r="BP371" s="4830"/>
      <c r="BQ371" s="960"/>
      <c r="BR371" s="960"/>
      <c r="BS371" s="1048" t="s">
        <v>1906</v>
      </c>
      <c r="BT371" s="1048"/>
      <c r="BU371" s="1048"/>
      <c r="BV371" s="962"/>
      <c r="BW371" s="962"/>
    </row>
    <row s="1621" customFormat="1" customHeight="1" ht="14.25">
      <c r="A372" s="960"/>
      <c r="B372" s="62"/>
      <c r="C372" s="73"/>
      <c r="D372" s="73"/>
      <c r="E372" s="600">
        <v>15</v>
      </c>
      <c r="F372" s="50" cm="1" t="str">
        <f t="array" ref="F372:F372">OFFSET(E372,-1,1)</f>
        <v>2</v>
      </c>
      <c r="G372" s="73" t="s">
        <v>1032</v>
      </c>
      <c r="H372" s="73"/>
      <c r="I372" s="73" t="s">
        <v>1536</v>
      </c>
      <c r="J372" s="73"/>
      <c r="K372" s="73" t="s">
        <v>1536</v>
      </c>
      <c r="L372" s="963"/>
      <c r="M372" s="73"/>
      <c r="N372" s="73"/>
      <c r="O372" s="73"/>
      <c r="P372" s="73"/>
      <c r="Q372" s="73"/>
      <c r="R372" s="73"/>
      <c r="S372" s="73"/>
      <c r="T372" s="439" cm="1" t="str">
        <f t="array" ref="T372:T372">T371</f>
        <v>true</v>
      </c>
      <c r="U372" s="73"/>
      <c r="V372" s="73"/>
      <c r="W372" s="960"/>
      <c r="X372" s="1482"/>
      <c r="Y372" s="960"/>
      <c r="Z372" s="1465"/>
      <c r="AA372" s="960"/>
      <c r="AB372" s="266" t="s">
        <v>1907</v>
      </c>
      <c r="AC372" s="746" t="s">
        <v>1908</v>
      </c>
      <c r="AD372" s="267" t="s">
        <v>784</v>
      </c>
      <c r="AE372" s="226">
        <f>_xlfn.SUMIFS(Покупка!AE$25:AE$117,Покупка!$F$25:$F$117,$F372,Покупка!$AC$25:$AC$117,$G372)</f>
        <v>0</v>
      </c>
      <c r="AF372" s="226">
        <f>_xlfn.SUMIFS(Покупка!AF$25:AF$117,Покупка!$F$25:$F$117,$F372,Покупка!$AC$25:$AC$117,$G372)</f>
        <v>0</v>
      </c>
      <c r="AG372" s="226">
        <f>_xlfn.SUMIFS(Покупка!AG$25:AG$117,Покупка!$F$25:$F$117,$F372,Покупка!$AC$25:$AC$117,$G372)</f>
        <v>0</v>
      </c>
      <c r="AH372" s="926">
        <f>AG372-AF372</f>
        <v>0</v>
      </c>
      <c r="AI372" s="926">
        <f>_xlfn.SUMIFS(Покупка!AH$25:AH$117,Покупка!$F$25:$F$117,$F372,Покупка!$AC$25:$AC$117,$G372)</f>
        <v>0</v>
      </c>
      <c r="AJ372" s="926">
        <f>_xlfn.SUMIFS(Покупка!AI$25:AI$117,Покупка!$F$25:$F$117,$F372,Покупка!$AC$25:$AC$117,$G372)</f>
        <v>0</v>
      </c>
      <c r="AK372" s="926">
        <f>_xlfn.SUMIFS(Покупка!AJ$25:AJ$117,Покупка!$F$25:$F$117,$F372,Покупка!$AC$25:$AC$117,$G372)</f>
        <v>0</v>
      </c>
      <c r="AL372" s="926">
        <f>_xlfn.SUMIFS(Покупка!AK$25:AK$117,Покупка!$F$25:$F$117,$F372,Покупка!$AC$25:$AC$117,$G372)</f>
        <v>0</v>
      </c>
      <c r="AM372" s="926">
        <f>_xlfn.SUMIFS(Покупка!AL$25:AL$117,Покупка!$F$25:$F$117,$F372,Покупка!$AC$25:$AC$117,$G372)</f>
        <v>0</v>
      </c>
      <c r="AN372" s="926">
        <f>_xlfn.SUMIFS(Покупка!AM$25:AM$117,Покупка!$F$25:$F$117,$F372,Покупка!$AC$25:$AC$117,$G372)</f>
        <v>0</v>
      </c>
      <c r="AO372" s="926">
        <f>_xlfn.SUMIFS(Покупка!AN$25:AN$117,Покупка!$F$25:$F$117,$F372,Покупка!$AC$25:$AC$117,$G372)</f>
        <v>0</v>
      </c>
      <c r="AP372" s="926">
        <f>_xlfn.SUMIFS(Покупка!AO$25:AO$117,Покупка!$F$25:$F$117,$F372,Покупка!$AC$25:$AC$117,$G372)</f>
        <v>0</v>
      </c>
      <c r="AQ372" s="926">
        <f>_xlfn.SUMIFS(Покупка!AP$25:AP$117,Покупка!$F$25:$F$117,$F372,Покупка!$AC$25:$AC$117,$G372)</f>
        <v>0</v>
      </c>
      <c r="AR372" s="926">
        <f>_xlfn.SUMIFS(Покупка!AQ$25:AQ$117,Покупка!$F$25:$F$117,$F372,Покупка!$AC$25:$AC$117,$G372)</f>
        <v>0</v>
      </c>
      <c r="AS372" s="926">
        <f>_xlfn.SUMIFS(Покупка!AR$25:AR$117,Покупка!$F$25:$F$117,$F372,Покупка!$AC$25:$AC$117,$G372)</f>
        <v>0</v>
      </c>
      <c r="AT372" s="926">
        <f>_xlfn.SUMIFS(Покупка!AS$25:AS$117,Покупка!$F$25:$F$117,$F372,Покупка!$AC$25:$AC$117,$G372)</f>
        <v>0</v>
      </c>
      <c r="AU372" s="926">
        <f>_xlfn.SUMIFS(Покупка!AT$25:AT$117,Покупка!$F$25:$F$117,$F372,Покупка!$AC$25:$AC$117,$G372)</f>
        <v>0</v>
      </c>
      <c r="AV372" s="926">
        <f>_xlfn.SUMIFS(Покупка!AU$25:AU$117,Покупка!$F$25:$F$117,$F372,Покупка!$AC$25:$AC$117,$G372)</f>
        <v>0</v>
      </c>
      <c r="AW372" s="926">
        <f>_xlfn.SUMIFS(Покупка!AV$25:AV$117,Покупка!$F$25:$F$117,$F372,Покупка!$AC$25:$AC$117,$G372)</f>
        <v>0</v>
      </c>
      <c r="AX372" s="926">
        <f>_xlfn.SUMIFS(Покупка!AW$25:AW$117,Покупка!$F$25:$F$117,$F372,Покупка!$AC$25:$AC$117,$G372)</f>
        <v>0</v>
      </c>
      <c r="AY372" s="926">
        <f>_xlfn.SUMIFS(Покупка!AX$25:AX$117,Покупка!$F$25:$F$117,$F372,Покупка!$AC$25:$AC$117,$G372)</f>
        <v>0</v>
      </c>
      <c r="AZ372" s="926">
        <f>_xlfn.SUMIFS(Покупка!AY$25:AY$117,Покупка!$F$25:$F$117,$F372,Покупка!$AC$25:$AC$117,$G372)</f>
        <v>0</v>
      </c>
      <c r="BA372" s="926">
        <f>_xlfn.SUMIFS(Покупка!AZ$25:AZ$117,Покупка!$F$25:$F$117,$F372,Покупка!$AC$25:$AC$117,$G372)</f>
        <v>0</v>
      </c>
      <c r="BB372" s="926">
        <f>_xlfn.SUMIFS(Покупка!BA$25:BA$117,Покупка!$F$25:$F$117,$F372,Покупка!$AC$25:$AC$117,$G372)</f>
        <v>0</v>
      </c>
      <c r="BC372" s="926">
        <f>_xlfn.SUMIFS(Покупка!BB$25:BB$117,Покупка!$F$25:$F$117,$F372,Покупка!$AC$25:$AC$117,$G372)</f>
        <v>0</v>
      </c>
      <c r="BD372" s="926">
        <f>IF(AI372=0,0,(AT372-AI372)/AI372*100)</f>
        <v>0</v>
      </c>
      <c r="BE372" s="926">
        <f>IF(AT372=0,0,(AU372-AT372)/AT372*100)</f>
        <v>0</v>
      </c>
      <c r="BF372" s="926">
        <f>IF(AU372=0,0,(AV372-AU372)/AU372*100)</f>
        <v>0</v>
      </c>
      <c r="BG372" s="926">
        <f>IF(AV372=0,0,(AW372-AV372)/AV372*100)</f>
        <v>0</v>
      </c>
      <c r="BH372" s="926">
        <f>IF(AW372=0,0,(AX372-AW372)/AW372*100)</f>
        <v>0</v>
      </c>
      <c r="BI372" s="926">
        <f>IF(AX372=0,0,(AY372-AX372)/AX372*100)</f>
        <v>0</v>
      </c>
      <c r="BJ372" s="926">
        <f>IF(AY372=0,0,(AZ372-AY372)/AY372*100)</f>
        <v>0</v>
      </c>
      <c r="BK372" s="926">
        <f>IF(AZ372=0,0,(BA372-AZ372)/AZ372*100)</f>
        <v>0</v>
      </c>
      <c r="BL372" s="926">
        <f>IF(BA372=0,0,(BB372-BA372)/BA372*100)</f>
        <v>0</v>
      </c>
      <c r="BM372" s="926">
        <f>IF(BB372=0,0,(BC372-BB372)/BB372*100)</f>
        <v>0</v>
      </c>
      <c r="BN372" s="4830"/>
      <c r="BO372" s="4784" t="str">
        <f>IF(_xlfn.IFERROR(INDEX(Покупка!$K$26:$L$117,MATCH($F372&amp;"8komm",Покупка!$K$26:$K$117,0),2),"")=0,"",_xlfn.IFERROR(INDEX(Покупка!$K$26:$L$117,MATCH($F372&amp;"8komm",Покупка!$K$26:$K$117,0),2),""))</f>
        <v/>
      </c>
      <c r="BP372" s="4830"/>
      <c r="BQ372" s="960"/>
      <c r="BR372" s="960"/>
      <c r="BS372" s="1048" t="s">
        <v>1033</v>
      </c>
      <c r="BT372" s="1048"/>
      <c r="BU372" s="1048"/>
      <c r="BV372" s="962"/>
      <c r="BW372" s="962"/>
    </row>
    <row s="1621" customFormat="1" customHeight="1" ht="14.25">
      <c r="A373" s="960"/>
      <c r="B373" s="62"/>
      <c r="C373" s="73"/>
      <c r="D373" s="73"/>
      <c r="E373" s="600">
        <v>15</v>
      </c>
      <c r="F373" s="50" cm="1" t="str">
        <f t="array" ref="F373:F373">OFFSET(E373,-1,1)</f>
        <v>2</v>
      </c>
      <c r="G373" s="73"/>
      <c r="H373" s="73"/>
      <c r="I373" s="73" t="s">
        <v>1909</v>
      </c>
      <c r="J373" s="73"/>
      <c r="K373" s="73" t="s">
        <v>1909</v>
      </c>
      <c r="L373" s="963"/>
      <c r="M373" s="73"/>
      <c r="N373" s="73"/>
      <c r="O373" s="73"/>
      <c r="P373" s="73"/>
      <c r="Q373" s="73"/>
      <c r="R373" s="73"/>
      <c r="S373" s="73"/>
      <c r="T373" s="439" cm="1" t="str">
        <f t="array" ref="T373:T373">T372</f>
        <v>true</v>
      </c>
      <c r="U373" s="73"/>
      <c r="V373" s="73"/>
      <c r="W373" s="960"/>
      <c r="X373" s="1482"/>
      <c r="Y373" s="960"/>
      <c r="Z373" s="1465"/>
      <c r="AA373" s="960"/>
      <c r="AB373" s="266" t="s">
        <v>1910</v>
      </c>
      <c r="AC373" s="746" t="s">
        <v>1911</v>
      </c>
      <c r="AD373" s="267" t="s">
        <v>784</v>
      </c>
      <c r="AE373" s="4759"/>
      <c r="AF373" s="4759"/>
      <c r="AG373" s="4759"/>
      <c r="AH373" s="926">
        <f>AG373-AF373</f>
        <v>0</v>
      </c>
      <c r="AI373" s="4765"/>
      <c r="AJ373" s="4765"/>
      <c r="AK373" s="1280"/>
      <c r="AL373" s="1280"/>
      <c r="AM373" s="4765"/>
      <c r="AN373" s="4765"/>
      <c r="AO373" s="4765"/>
      <c r="AP373" s="4765"/>
      <c r="AQ373" s="4765"/>
      <c r="AR373" s="4765"/>
      <c r="AS373" s="4765"/>
      <c r="AT373" s="4765"/>
      <c r="AU373" s="1280"/>
      <c r="AV373" s="1280"/>
      <c r="AW373" s="4765"/>
      <c r="AX373" s="4765"/>
      <c r="AY373" s="4765"/>
      <c r="AZ373" s="4765"/>
      <c r="BA373" s="4765"/>
      <c r="BB373" s="4765"/>
      <c r="BC373" s="4765"/>
      <c r="BD373" s="926">
        <f>IF(AI373=0,0,(AT373-AI373)/AI373*100)</f>
        <v>0</v>
      </c>
      <c r="BE373" s="926">
        <f>IF(AT373=0,0,(AU373-AT373)/AT373*100)</f>
        <v>0</v>
      </c>
      <c r="BF373" s="926">
        <f>IF(AU373=0,0,(AV373-AU373)/AU373*100)</f>
        <v>0</v>
      </c>
      <c r="BG373" s="926">
        <f>IF(AV373=0,0,(AW373-AV373)/AV373*100)</f>
        <v>0</v>
      </c>
      <c r="BH373" s="926">
        <f>IF(AW373=0,0,(AX373-AW373)/AW373*100)</f>
        <v>0</v>
      </c>
      <c r="BI373" s="926">
        <f>IF(AX373=0,0,(AY373-AX373)/AX373*100)</f>
        <v>0</v>
      </c>
      <c r="BJ373" s="926">
        <f>IF(AY373=0,0,(AZ373-AY373)/AY373*100)</f>
        <v>0</v>
      </c>
      <c r="BK373" s="926">
        <f>IF(AZ373=0,0,(BA373-AZ373)/AZ373*100)</f>
        <v>0</v>
      </c>
      <c r="BL373" s="926">
        <f>IF(BA373=0,0,(BB373-BA373)/BA373*100)</f>
        <v>0</v>
      </c>
      <c r="BM373" s="926">
        <f>IF(BB373=0,0,(BC373-BB373)/BB373*100)</f>
        <v>0</v>
      </c>
      <c r="BN373" s="4830"/>
      <c r="BO373" s="4830"/>
      <c r="BP373" s="4830"/>
      <c r="BQ373" s="960"/>
      <c r="BR373" s="960"/>
      <c r="BS373" s="1048" t="s">
        <v>1912</v>
      </c>
      <c r="BT373" s="1048"/>
      <c r="BU373" s="1048"/>
      <c r="BV373" s="962"/>
      <c r="BW373" s="962"/>
    </row>
    <row s="1621" customFormat="1" customHeight="1" ht="14.25">
      <c r="A374" s="960"/>
      <c r="B374" s="62"/>
      <c r="C374" s="73"/>
      <c r="D374" s="73"/>
      <c r="E374" s="600">
        <v>15</v>
      </c>
      <c r="F374" s="50" cm="1" t="str">
        <f t="array" ref="F374:F374">OFFSET(E374,-1,1)</f>
        <v>2</v>
      </c>
      <c r="G374" s="73"/>
      <c r="H374" s="73"/>
      <c r="I374" s="73" t="s">
        <v>1913</v>
      </c>
      <c r="J374" s="73"/>
      <c r="K374" s="73" t="s">
        <v>1913</v>
      </c>
      <c r="L374" s="963"/>
      <c r="M374" s="73"/>
      <c r="N374" s="73"/>
      <c r="O374" s="73"/>
      <c r="P374" s="73"/>
      <c r="Q374" s="73"/>
      <c r="R374" s="73"/>
      <c r="S374" s="73"/>
      <c r="T374" s="439" cm="1" t="str">
        <f t="array" ref="T374:T374">T373</f>
        <v>true</v>
      </c>
      <c r="U374" s="73"/>
      <c r="V374" s="73"/>
      <c r="W374" s="960"/>
      <c r="X374" s="1482"/>
      <c r="Y374" s="960"/>
      <c r="Z374" s="1465"/>
      <c r="AA374" s="960"/>
      <c r="AB374" s="266" t="s">
        <v>1914</v>
      </c>
      <c r="AC374" s="746" t="s">
        <v>1915</v>
      </c>
      <c r="AD374" s="267" t="s">
        <v>784</v>
      </c>
      <c r="AE374" s="4759"/>
      <c r="AF374" s="4759"/>
      <c r="AG374" s="4759"/>
      <c r="AH374" s="926">
        <f>AG374-AF374</f>
        <v>0</v>
      </c>
      <c r="AI374" s="4765"/>
      <c r="AJ374" s="4765"/>
      <c r="AK374" s="1280"/>
      <c r="AL374" s="1280"/>
      <c r="AM374" s="4765"/>
      <c r="AN374" s="4765"/>
      <c r="AO374" s="4765"/>
      <c r="AP374" s="4765"/>
      <c r="AQ374" s="4765"/>
      <c r="AR374" s="4765"/>
      <c r="AS374" s="4765"/>
      <c r="AT374" s="4765"/>
      <c r="AU374" s="1280"/>
      <c r="AV374" s="1280"/>
      <c r="AW374" s="4765"/>
      <c r="AX374" s="4765"/>
      <c r="AY374" s="4765"/>
      <c r="AZ374" s="4765"/>
      <c r="BA374" s="4765"/>
      <c r="BB374" s="4765"/>
      <c r="BC374" s="4765"/>
      <c r="BD374" s="926">
        <f>IF(AI374=0,0,(AT374-AI374)/AI374*100)</f>
        <v>0</v>
      </c>
      <c r="BE374" s="926">
        <f>IF(AT374=0,0,(AU374-AT374)/AT374*100)</f>
        <v>0</v>
      </c>
      <c r="BF374" s="926">
        <f>IF(AU374=0,0,(AV374-AU374)/AU374*100)</f>
        <v>0</v>
      </c>
      <c r="BG374" s="926">
        <f>IF(AV374=0,0,(AW374-AV374)/AV374*100)</f>
        <v>0</v>
      </c>
      <c r="BH374" s="926">
        <f>IF(AW374=0,0,(AX374-AW374)/AW374*100)</f>
        <v>0</v>
      </c>
      <c r="BI374" s="926">
        <f>IF(AX374=0,0,(AY374-AX374)/AX374*100)</f>
        <v>0</v>
      </c>
      <c r="BJ374" s="926">
        <f>IF(AY374=0,0,(AZ374-AY374)/AY374*100)</f>
        <v>0</v>
      </c>
      <c r="BK374" s="926">
        <f>IF(AZ374=0,0,(BA374-AZ374)/AZ374*100)</f>
        <v>0</v>
      </c>
      <c r="BL374" s="926">
        <f>IF(BA374=0,0,(BB374-BA374)/BA374*100)</f>
        <v>0</v>
      </c>
      <c r="BM374" s="926">
        <f>IF(BB374=0,0,(BC374-BB374)/BB374*100)</f>
        <v>0</v>
      </c>
      <c r="BN374" s="4830"/>
      <c r="BO374" s="4830"/>
      <c r="BP374" s="4830"/>
      <c r="BQ374" s="960"/>
      <c r="BR374" s="960"/>
      <c r="BS374" s="1048" t="s">
        <v>1916</v>
      </c>
      <c r="BT374" s="1048"/>
      <c r="BU374" s="1048"/>
      <c r="BV374" s="962"/>
      <c r="BW374" s="962"/>
    </row>
    <row s="1621" customFormat="1" customHeight="1" ht="14.25">
      <c r="A375" s="960"/>
      <c r="B375" s="62"/>
      <c r="C375" s="73"/>
      <c r="D375" s="73"/>
      <c r="E375" s="600">
        <v>15</v>
      </c>
      <c r="F375" s="50" cm="1" t="str">
        <f t="array" ref="F375:F375">OFFSET(E375,-1,1)</f>
        <v>2</v>
      </c>
      <c r="G375" s="73" t="s">
        <v>1010</v>
      </c>
      <c r="H375" s="73"/>
      <c r="I375" s="73" t="s">
        <v>1917</v>
      </c>
      <c r="J375" s="73"/>
      <c r="K375" s="73" t="s">
        <v>1917</v>
      </c>
      <c r="L375" s="963" t="s">
        <v>1403</v>
      </c>
      <c r="M375" s="73"/>
      <c r="N375" s="73"/>
      <c r="O375" s="73"/>
      <c r="P375" s="73"/>
      <c r="Q375" s="73"/>
      <c r="R375" s="73"/>
      <c r="S375" s="73"/>
      <c r="T375" s="439" cm="1" t="str">
        <f t="array" ref="T375:T375">T374</f>
        <v>true</v>
      </c>
      <c r="U375" s="73"/>
      <c r="V375" s="73"/>
      <c r="W375" s="960"/>
      <c r="X375" s="1482"/>
      <c r="Y375" s="960"/>
      <c r="Z375" s="1465"/>
      <c r="AA375" s="960"/>
      <c r="AB375" s="266" t="s">
        <v>1918</v>
      </c>
      <c r="AC375" s="746" t="s">
        <v>1919</v>
      </c>
      <c r="AD375" s="267" t="s">
        <v>784</v>
      </c>
      <c r="AE375" s="226">
        <f>_xlfn.SUMIFS(Покупка!AE$25:AE$117,Покупка!$F$25:$F$117,$F375,Покупка!$AC$25:$AC$117,$G375)</f>
        <v>0</v>
      </c>
      <c r="AF375" s="226">
        <f>_xlfn.SUMIFS(Покупка!AF$25:AF$117,Покупка!$F$25:$F$117,$F375,Покупка!$AC$25:$AC$117,$G375)</f>
        <v>0</v>
      </c>
      <c r="AG375" s="226">
        <f>_xlfn.SUMIFS(Покупка!AG$25:AG$117,Покупка!$F$25:$F$117,$F375,Покупка!$AC$25:$AC$117,$G375)</f>
        <v>0</v>
      </c>
      <c r="AH375" s="926">
        <f>AG375-AF375</f>
        <v>0</v>
      </c>
      <c r="AI375" s="926">
        <f>_xlfn.SUMIFS(Покупка!AH$25:AH$117,Покупка!$F$25:$F$117,$F375,Покупка!$AC$25:$AC$117,$G375)</f>
        <v>0</v>
      </c>
      <c r="AJ375" s="926">
        <f>_xlfn.SUMIFS(Покупка!AI$25:AI$117,Покупка!$F$25:$F$117,$F375,Покупка!$AC$25:$AC$117,$G375)</f>
        <v>0</v>
      </c>
      <c r="AK375" s="926">
        <f>_xlfn.SUMIFS(Покупка!AJ$25:AJ$117,Покупка!$F$25:$F$117,$F375,Покупка!$AC$25:$AC$117,$G375)</f>
        <v>0</v>
      </c>
      <c r="AL375" s="926">
        <f>_xlfn.SUMIFS(Покупка!AK$25:AK$117,Покупка!$F$25:$F$117,$F375,Покупка!$AC$25:$AC$117,$G375)</f>
        <v>0</v>
      </c>
      <c r="AM375" s="926">
        <f>_xlfn.SUMIFS(Покупка!AL$25:AL$117,Покупка!$F$25:$F$117,$F375,Покупка!$AC$25:$AC$117,$G375)</f>
        <v>0</v>
      </c>
      <c r="AN375" s="926">
        <f>_xlfn.SUMIFS(Покупка!AM$25:AM$117,Покупка!$F$25:$F$117,$F375,Покупка!$AC$25:$AC$117,$G375)</f>
        <v>0</v>
      </c>
      <c r="AO375" s="926">
        <f>_xlfn.SUMIFS(Покупка!AN$25:AN$117,Покупка!$F$25:$F$117,$F375,Покупка!$AC$25:$AC$117,$G375)</f>
        <v>0</v>
      </c>
      <c r="AP375" s="926">
        <f>_xlfn.SUMIFS(Покупка!AO$25:AO$117,Покупка!$F$25:$F$117,$F375,Покупка!$AC$25:$AC$117,$G375)</f>
        <v>0</v>
      </c>
      <c r="AQ375" s="926">
        <f>_xlfn.SUMIFS(Покупка!AP$25:AP$117,Покупка!$F$25:$F$117,$F375,Покупка!$AC$25:$AC$117,$G375)</f>
        <v>0</v>
      </c>
      <c r="AR375" s="926">
        <f>_xlfn.SUMIFS(Покупка!AQ$25:AQ$117,Покупка!$F$25:$F$117,$F375,Покупка!$AC$25:$AC$117,$G375)</f>
        <v>0</v>
      </c>
      <c r="AS375" s="926">
        <f>_xlfn.SUMIFS(Покупка!AR$25:AR$117,Покупка!$F$25:$F$117,$F375,Покупка!$AC$25:$AC$117,$G375)</f>
        <v>0</v>
      </c>
      <c r="AT375" s="926">
        <f>_xlfn.SUMIFS(Покупка!AS$25:AS$117,Покупка!$F$25:$F$117,$F375,Покупка!$AC$25:$AC$117,$G375)</f>
        <v>0</v>
      </c>
      <c r="AU375" s="926">
        <f>_xlfn.SUMIFS(Покупка!AT$25:AT$117,Покупка!$F$25:$F$117,$F375,Покупка!$AC$25:$AC$117,$G375)</f>
        <v>0</v>
      </c>
      <c r="AV375" s="926">
        <f>_xlfn.SUMIFS(Покупка!AU$25:AU$117,Покупка!$F$25:$F$117,$F375,Покупка!$AC$25:$AC$117,$G375)</f>
        <v>0</v>
      </c>
      <c r="AW375" s="926">
        <f>_xlfn.SUMIFS(Покупка!AV$25:AV$117,Покупка!$F$25:$F$117,$F375,Покупка!$AC$25:$AC$117,$G375)</f>
        <v>0</v>
      </c>
      <c r="AX375" s="926">
        <f>_xlfn.SUMIFS(Покупка!AW$25:AW$117,Покупка!$F$25:$F$117,$F375,Покупка!$AC$25:$AC$117,$G375)</f>
        <v>0</v>
      </c>
      <c r="AY375" s="926">
        <f>_xlfn.SUMIFS(Покупка!AX$25:AX$117,Покупка!$F$25:$F$117,$F375,Покупка!$AC$25:$AC$117,$G375)</f>
        <v>0</v>
      </c>
      <c r="AZ375" s="926">
        <f>_xlfn.SUMIFS(Покупка!AY$25:AY$117,Покупка!$F$25:$F$117,$F375,Покупка!$AC$25:$AC$117,$G375)</f>
        <v>0</v>
      </c>
      <c r="BA375" s="926">
        <f>_xlfn.SUMIFS(Покупка!AZ$25:AZ$117,Покупка!$F$25:$F$117,$F375,Покупка!$AC$25:$AC$117,$G375)</f>
        <v>0</v>
      </c>
      <c r="BB375" s="926">
        <f>_xlfn.SUMIFS(Покупка!BA$25:BA$117,Покупка!$F$25:$F$117,$F375,Покупка!$AC$25:$AC$117,$G375)</f>
        <v>0</v>
      </c>
      <c r="BC375" s="926">
        <f>_xlfn.SUMIFS(Покупка!BB$25:BB$117,Покупка!$F$25:$F$117,$F375,Покупка!$AC$25:$AC$117,$G375)</f>
        <v>0</v>
      </c>
      <c r="BD375" s="926">
        <f>IF(AI375=0,0,(AT375-AI375)/AI375*100)</f>
        <v>0</v>
      </c>
      <c r="BE375" s="926">
        <f>IF(AT375=0,0,(AU375-AT375)/AT375*100)</f>
        <v>0</v>
      </c>
      <c r="BF375" s="926">
        <f>IF(AU375=0,0,(AV375-AU375)/AU375*100)</f>
        <v>0</v>
      </c>
      <c r="BG375" s="926">
        <f>IF(AV375=0,0,(AW375-AV375)/AV375*100)</f>
        <v>0</v>
      </c>
      <c r="BH375" s="926">
        <f>IF(AW375=0,0,(AX375-AW375)/AW375*100)</f>
        <v>0</v>
      </c>
      <c r="BI375" s="926">
        <f>IF(AX375=0,0,(AY375-AX375)/AX375*100)</f>
        <v>0</v>
      </c>
      <c r="BJ375" s="926">
        <f>IF(AY375=0,0,(AZ375-AY375)/AY375*100)</f>
        <v>0</v>
      </c>
      <c r="BK375" s="926">
        <f>IF(AZ375=0,0,(BA375-AZ375)/AZ375*100)</f>
        <v>0</v>
      </c>
      <c r="BL375" s="926">
        <f>IF(BA375=0,0,(BB375-BA375)/BA375*100)</f>
        <v>0</v>
      </c>
      <c r="BM375" s="926">
        <f>IF(BB375=0,0,(BC375-BB375)/BB375*100)</f>
        <v>0</v>
      </c>
      <c r="BN375" s="4830"/>
      <c r="BO375" s="4784" t="str">
        <f>IF(_xlfn.IFERROR(INDEX(Покупка!$K$26:$L$117,MATCH($F375&amp;"3komm",Покупка!$K$26:$K$117,0),2),"")=0,"",_xlfn.IFERROR(INDEX(Покупка!$K$26:$L$117,MATCH($F375&amp;"3komm",Покупка!$K$26:$K$117,0),2),""))</f>
        <v/>
      </c>
      <c r="BP375" s="4830"/>
      <c r="BQ375" s="960"/>
      <c r="BR375" s="960"/>
      <c r="BS375" s="1048" t="s">
        <v>1611</v>
      </c>
      <c r="BT375" s="1048"/>
      <c r="BU375" s="1048"/>
      <c r="BV375" s="962"/>
      <c r="BW375" s="962"/>
    </row>
    <row s="1621" customFormat="1" customHeight="1" ht="14.25">
      <c r="A376" s="960"/>
      <c r="B376" s="62"/>
      <c r="C376" s="73"/>
      <c r="D376" s="73"/>
      <c r="E376" s="600">
        <v>15</v>
      </c>
      <c r="F376" s="50" cm="1" t="str">
        <f t="array" ref="F376:F376">OFFSET(E376,-1,1)</f>
        <v>2</v>
      </c>
      <c r="G376" s="73" t="s">
        <v>1016</v>
      </c>
      <c r="H376" s="73"/>
      <c r="I376" s="73" t="s">
        <v>1920</v>
      </c>
      <c r="J376" s="73"/>
      <c r="K376" s="73" t="s">
        <v>1920</v>
      </c>
      <c r="L376" s="963" t="s">
        <v>1408</v>
      </c>
      <c r="M376" s="73"/>
      <c r="N376" s="73"/>
      <c r="O376" s="73"/>
      <c r="P376" s="73"/>
      <c r="Q376" s="73"/>
      <c r="R376" s="73"/>
      <c r="S376" s="73"/>
      <c r="T376" s="439" cm="1" t="str">
        <f t="array" ref="T376:T376">T375</f>
        <v>true</v>
      </c>
      <c r="U376" s="73"/>
      <c r="V376" s="73"/>
      <c r="W376" s="960"/>
      <c r="X376" s="1482"/>
      <c r="Y376" s="960"/>
      <c r="Z376" s="1465"/>
      <c r="AA376" s="960"/>
      <c r="AB376" s="266" t="s">
        <v>1921</v>
      </c>
      <c r="AC376" s="746" t="s">
        <v>1922</v>
      </c>
      <c r="AD376" s="267" t="s">
        <v>784</v>
      </c>
      <c r="AE376" s="226">
        <f>_xlfn.SUMIFS(Покупка!AE$25:AE$117,Покупка!$F$25:$F$117,$F376,Покупка!$AC$25:$AC$117,$G376)</f>
        <v>0</v>
      </c>
      <c r="AF376" s="226">
        <f>_xlfn.SUMIFS(Покупка!AF$25:AF$117,Покупка!$F$25:$F$117,$F376,Покупка!$AC$25:$AC$117,$G376)</f>
        <v>0</v>
      </c>
      <c r="AG376" s="226">
        <f>_xlfn.SUMIFS(Покупка!AG$25:AG$117,Покупка!$F$25:$F$117,$F376,Покупка!$AC$25:$AC$117,$G376)</f>
        <v>0</v>
      </c>
      <c r="AH376" s="926">
        <f>AG376-AF376</f>
        <v>0</v>
      </c>
      <c r="AI376" s="926">
        <f>_xlfn.SUMIFS(Покупка!AH$25:AH$117,Покупка!$F$25:$F$117,$F376,Покупка!$AC$25:$AC$117,$G376)</f>
        <v>0</v>
      </c>
      <c r="AJ376" s="926">
        <f>_xlfn.SUMIFS(Покупка!AI$25:AI$117,Покупка!$F$25:$F$117,$F376,Покупка!$AC$25:$AC$117,$G376)</f>
        <v>0</v>
      </c>
      <c r="AK376" s="926">
        <f>_xlfn.SUMIFS(Покупка!AJ$25:AJ$117,Покупка!$F$25:$F$117,$F376,Покупка!$AC$25:$AC$117,$G376)</f>
        <v>0</v>
      </c>
      <c r="AL376" s="926">
        <f>_xlfn.SUMIFS(Покупка!AK$25:AK$117,Покупка!$F$25:$F$117,$F376,Покупка!$AC$25:$AC$117,$G376)</f>
        <v>0</v>
      </c>
      <c r="AM376" s="926">
        <f>_xlfn.SUMIFS(Покупка!AL$25:AL$117,Покупка!$F$25:$F$117,$F376,Покупка!$AC$25:$AC$117,$G376)</f>
        <v>0</v>
      </c>
      <c r="AN376" s="926">
        <f>_xlfn.SUMIFS(Покупка!AM$25:AM$117,Покупка!$F$25:$F$117,$F376,Покупка!$AC$25:$AC$117,$G376)</f>
        <v>0</v>
      </c>
      <c r="AO376" s="926">
        <f>_xlfn.SUMIFS(Покупка!AN$25:AN$117,Покупка!$F$25:$F$117,$F376,Покупка!$AC$25:$AC$117,$G376)</f>
        <v>0</v>
      </c>
      <c r="AP376" s="926">
        <f>_xlfn.SUMIFS(Покупка!AO$25:AO$117,Покупка!$F$25:$F$117,$F376,Покупка!$AC$25:$AC$117,$G376)</f>
        <v>0</v>
      </c>
      <c r="AQ376" s="926">
        <f>_xlfn.SUMIFS(Покупка!AP$25:AP$117,Покупка!$F$25:$F$117,$F376,Покупка!$AC$25:$AC$117,$G376)</f>
        <v>0</v>
      </c>
      <c r="AR376" s="926">
        <f>_xlfn.SUMIFS(Покупка!AQ$25:AQ$117,Покупка!$F$25:$F$117,$F376,Покупка!$AC$25:$AC$117,$G376)</f>
        <v>0</v>
      </c>
      <c r="AS376" s="926">
        <f>_xlfn.SUMIFS(Покупка!AR$25:AR$117,Покупка!$F$25:$F$117,$F376,Покупка!$AC$25:$AC$117,$G376)</f>
        <v>0</v>
      </c>
      <c r="AT376" s="926">
        <f>_xlfn.SUMIFS(Покупка!AS$25:AS$117,Покупка!$F$25:$F$117,$F376,Покупка!$AC$25:$AC$117,$G376)</f>
        <v>0</v>
      </c>
      <c r="AU376" s="926">
        <f>_xlfn.SUMIFS(Покупка!AT$25:AT$117,Покупка!$F$25:$F$117,$F376,Покупка!$AC$25:$AC$117,$G376)</f>
        <v>0</v>
      </c>
      <c r="AV376" s="926">
        <f>_xlfn.SUMIFS(Покупка!AU$25:AU$117,Покупка!$F$25:$F$117,$F376,Покупка!$AC$25:$AC$117,$G376)</f>
        <v>0</v>
      </c>
      <c r="AW376" s="926">
        <f>_xlfn.SUMIFS(Покупка!AV$25:AV$117,Покупка!$F$25:$F$117,$F376,Покупка!$AC$25:$AC$117,$G376)</f>
        <v>0</v>
      </c>
      <c r="AX376" s="926">
        <f>_xlfn.SUMIFS(Покупка!AW$25:AW$117,Покупка!$F$25:$F$117,$F376,Покупка!$AC$25:$AC$117,$G376)</f>
        <v>0</v>
      </c>
      <c r="AY376" s="926">
        <f>_xlfn.SUMIFS(Покупка!AX$25:AX$117,Покупка!$F$25:$F$117,$F376,Покупка!$AC$25:$AC$117,$G376)</f>
        <v>0</v>
      </c>
      <c r="AZ376" s="926">
        <f>_xlfn.SUMIFS(Покупка!AY$25:AY$117,Покупка!$F$25:$F$117,$F376,Покупка!$AC$25:$AC$117,$G376)</f>
        <v>0</v>
      </c>
      <c r="BA376" s="926">
        <f>_xlfn.SUMIFS(Покупка!AZ$25:AZ$117,Покупка!$F$25:$F$117,$F376,Покупка!$AC$25:$AC$117,$G376)</f>
        <v>0</v>
      </c>
      <c r="BB376" s="926">
        <f>_xlfn.SUMIFS(Покупка!BA$25:BA$117,Покупка!$F$25:$F$117,$F376,Покупка!$AC$25:$AC$117,$G376)</f>
        <v>0</v>
      </c>
      <c r="BC376" s="926">
        <f>_xlfn.SUMIFS(Покупка!BB$25:BB$117,Покупка!$F$25:$F$117,$F376,Покупка!$AC$25:$AC$117,$G376)</f>
        <v>0</v>
      </c>
      <c r="BD376" s="926">
        <f>IF(AI376=0,0,(AT376-AI376)/AI376*100)</f>
        <v>0</v>
      </c>
      <c r="BE376" s="926">
        <f>IF(AT376=0,0,(AU376-AT376)/AT376*100)</f>
        <v>0</v>
      </c>
      <c r="BF376" s="926">
        <f>IF(AU376=0,0,(AV376-AU376)/AU376*100)</f>
        <v>0</v>
      </c>
      <c r="BG376" s="926">
        <f>IF(AV376=0,0,(AW376-AV376)/AV376*100)</f>
        <v>0</v>
      </c>
      <c r="BH376" s="926">
        <f>IF(AW376=0,0,(AX376-AW376)/AW376*100)</f>
        <v>0</v>
      </c>
      <c r="BI376" s="926">
        <f>IF(AX376=0,0,(AY376-AX376)/AX376*100)</f>
        <v>0</v>
      </c>
      <c r="BJ376" s="926">
        <f>IF(AY376=0,0,(AZ376-AY376)/AY376*100)</f>
        <v>0</v>
      </c>
      <c r="BK376" s="926">
        <f>IF(AZ376=0,0,(BA376-AZ376)/AZ376*100)</f>
        <v>0</v>
      </c>
      <c r="BL376" s="926">
        <f>IF(BA376=0,0,(BB376-BA376)/BA376*100)</f>
        <v>0</v>
      </c>
      <c r="BM376" s="926">
        <f>IF(BB376=0,0,(BC376-BB376)/BB376*100)</f>
        <v>0</v>
      </c>
      <c r="BN376" s="4830"/>
      <c r="BO376" s="4784" t="str">
        <f>IF(_xlfn.IFERROR(INDEX(Покупка!$K$26:$L$117,MATCH($F376&amp;"4komm",Покупка!$K$26:$K$117,0),2),"")=0,"",_xlfn.IFERROR(INDEX(Покупка!$K$26:$L$117,MATCH($F375&amp;"3komm",Покупка!$K$26:$K$117,0),2),""))</f>
        <v/>
      </c>
      <c r="BP376" s="4830"/>
      <c r="BQ376" s="960"/>
      <c r="BR376" s="960"/>
      <c r="BS376" s="1048" t="s">
        <v>1614</v>
      </c>
      <c r="BT376" s="1048"/>
      <c r="BU376" s="1048"/>
      <c r="BV376" s="962"/>
      <c r="BW376" s="962"/>
    </row>
    <row s="1621" customFormat="1" customHeight="1" ht="14.25">
      <c r="A377" s="960"/>
      <c r="B377" s="62"/>
      <c r="C377" s="73"/>
      <c r="D377" s="73"/>
      <c r="E377" s="600">
        <v>15</v>
      </c>
      <c r="F377" s="50" cm="1" t="str">
        <f t="array" ref="F377:F377">OFFSET(E377,-1,1)</f>
        <v>2</v>
      </c>
      <c r="G377" s="73" t="s">
        <v>1022</v>
      </c>
      <c r="H377" s="73"/>
      <c r="I377" s="73" t="s">
        <v>1923</v>
      </c>
      <c r="J377" s="73"/>
      <c r="K377" s="73" t="s">
        <v>1923</v>
      </c>
      <c r="L377" s="963" t="s">
        <v>1418</v>
      </c>
      <c r="M377" s="73"/>
      <c r="N377" s="73"/>
      <c r="O377" s="73"/>
      <c r="P377" s="73"/>
      <c r="Q377" s="73"/>
      <c r="R377" s="73"/>
      <c r="S377" s="73"/>
      <c r="T377" s="439" cm="1" t="str">
        <f t="array" ref="T377:T377">T376</f>
        <v>true</v>
      </c>
      <c r="U377" s="73"/>
      <c r="V377" s="73"/>
      <c r="W377" s="960"/>
      <c r="X377" s="1482"/>
      <c r="Y377" s="960"/>
      <c r="Z377" s="1465"/>
      <c r="AA377" s="960"/>
      <c r="AB377" s="266" t="s">
        <v>1924</v>
      </c>
      <c r="AC377" s="746" t="s">
        <v>1925</v>
      </c>
      <c r="AD377" s="267" t="s">
        <v>784</v>
      </c>
      <c r="AE377" s="226">
        <f>_xlfn.SUMIFS(Покупка!AE$25:AE$117,Покупка!$F$25:$F$117,$F377,Покупка!$AC$25:$AC$117,$G377)</f>
        <v>0</v>
      </c>
      <c r="AF377" s="226">
        <f>_xlfn.SUMIFS(Покупка!AF$25:AF$117,Покупка!$F$25:$F$117,$F377,Покупка!$AC$25:$AC$117,$G377)</f>
        <v>0</v>
      </c>
      <c r="AG377" s="226">
        <f>_xlfn.SUMIFS(Покупка!AG$25:AG$117,Покупка!$F$25:$F$117,$F377,Покупка!$AC$25:$AC$117,$G377)</f>
        <v>0</v>
      </c>
      <c r="AH377" s="926">
        <f>AG377-AF377</f>
        <v>0</v>
      </c>
      <c r="AI377" s="926">
        <f>_xlfn.SUMIFS(Покупка!AH$25:AH$117,Покупка!$F$25:$F$117,$F377,Покупка!$AC$25:$AC$117,$G377)</f>
        <v>0</v>
      </c>
      <c r="AJ377" s="926">
        <f>_xlfn.SUMIFS(Покупка!AI$25:AI$117,Покупка!$F$25:$F$117,$F377,Покупка!$AC$25:$AC$117,$G377)</f>
        <v>0</v>
      </c>
      <c r="AK377" s="926">
        <f>_xlfn.SUMIFS(Покупка!AJ$25:AJ$117,Покупка!$F$25:$F$117,$F377,Покупка!$AC$25:$AC$117,$G377)</f>
        <v>0</v>
      </c>
      <c r="AL377" s="926">
        <f>_xlfn.SUMIFS(Покупка!AK$25:AK$117,Покупка!$F$25:$F$117,$F377,Покупка!$AC$25:$AC$117,$G377)</f>
        <v>0</v>
      </c>
      <c r="AM377" s="926">
        <f>_xlfn.SUMIFS(Покупка!AL$25:AL$117,Покупка!$F$25:$F$117,$F377,Покупка!$AC$25:$AC$117,$G377)</f>
        <v>0</v>
      </c>
      <c r="AN377" s="926">
        <f>_xlfn.SUMIFS(Покупка!AM$25:AM$117,Покупка!$F$25:$F$117,$F377,Покупка!$AC$25:$AC$117,$G377)</f>
        <v>0</v>
      </c>
      <c r="AO377" s="926">
        <f>_xlfn.SUMIFS(Покупка!AN$25:AN$117,Покупка!$F$25:$F$117,$F377,Покупка!$AC$25:$AC$117,$G377)</f>
        <v>0</v>
      </c>
      <c r="AP377" s="926">
        <f>_xlfn.SUMIFS(Покупка!AO$25:AO$117,Покупка!$F$25:$F$117,$F377,Покупка!$AC$25:$AC$117,$G377)</f>
        <v>0</v>
      </c>
      <c r="AQ377" s="926">
        <f>_xlfn.SUMIFS(Покупка!AP$25:AP$117,Покупка!$F$25:$F$117,$F377,Покупка!$AC$25:$AC$117,$G377)</f>
        <v>0</v>
      </c>
      <c r="AR377" s="926">
        <f>_xlfn.SUMIFS(Покупка!AQ$25:AQ$117,Покупка!$F$25:$F$117,$F377,Покупка!$AC$25:$AC$117,$G377)</f>
        <v>0</v>
      </c>
      <c r="AS377" s="926">
        <f>_xlfn.SUMIFS(Покупка!AR$25:AR$117,Покупка!$F$25:$F$117,$F377,Покупка!$AC$25:$AC$117,$G377)</f>
        <v>0</v>
      </c>
      <c r="AT377" s="926">
        <f>_xlfn.SUMIFS(Покупка!AS$25:AS$117,Покупка!$F$25:$F$117,$F377,Покупка!$AC$25:$AC$117,$G377)</f>
        <v>0</v>
      </c>
      <c r="AU377" s="926">
        <f>_xlfn.SUMIFS(Покупка!AT$25:AT$117,Покупка!$F$25:$F$117,$F377,Покупка!$AC$25:$AC$117,$G377)</f>
        <v>0</v>
      </c>
      <c r="AV377" s="926">
        <f>_xlfn.SUMIFS(Покупка!AU$25:AU$117,Покупка!$F$25:$F$117,$F377,Покупка!$AC$25:$AC$117,$G377)</f>
        <v>0</v>
      </c>
      <c r="AW377" s="926">
        <f>_xlfn.SUMIFS(Покупка!AV$25:AV$117,Покупка!$F$25:$F$117,$F377,Покупка!$AC$25:$AC$117,$G377)</f>
        <v>0</v>
      </c>
      <c r="AX377" s="926">
        <f>_xlfn.SUMIFS(Покупка!AW$25:AW$117,Покупка!$F$25:$F$117,$F377,Покупка!$AC$25:$AC$117,$G377)</f>
        <v>0</v>
      </c>
      <c r="AY377" s="926">
        <f>_xlfn.SUMIFS(Покупка!AX$25:AX$117,Покупка!$F$25:$F$117,$F377,Покупка!$AC$25:$AC$117,$G377)</f>
        <v>0</v>
      </c>
      <c r="AZ377" s="926">
        <f>_xlfn.SUMIFS(Покупка!AY$25:AY$117,Покупка!$F$25:$F$117,$F377,Покупка!$AC$25:$AC$117,$G377)</f>
        <v>0</v>
      </c>
      <c r="BA377" s="926">
        <f>_xlfn.SUMIFS(Покупка!AZ$25:AZ$117,Покупка!$F$25:$F$117,$F377,Покупка!$AC$25:$AC$117,$G377)</f>
        <v>0</v>
      </c>
      <c r="BB377" s="926">
        <f>_xlfn.SUMIFS(Покупка!BA$25:BA$117,Покупка!$F$25:$F$117,$F377,Покупка!$AC$25:$AC$117,$G377)</f>
        <v>0</v>
      </c>
      <c r="BC377" s="926">
        <f>_xlfn.SUMIFS(Покупка!BB$25:BB$117,Покупка!$F$25:$F$117,$F377,Покупка!$AC$25:$AC$117,$G377)</f>
        <v>0</v>
      </c>
      <c r="BD377" s="926">
        <f>IF(AI377=0,0,(AT377-AI377)/AI377*100)</f>
        <v>0</v>
      </c>
      <c r="BE377" s="926">
        <f>IF(AT377=0,0,(AU377-AT377)/AT377*100)</f>
        <v>0</v>
      </c>
      <c r="BF377" s="926">
        <f>IF(AU377=0,0,(AV377-AU377)/AU377*100)</f>
        <v>0</v>
      </c>
      <c r="BG377" s="926">
        <f>IF(AV377=0,0,(AW377-AV377)/AV377*100)</f>
        <v>0</v>
      </c>
      <c r="BH377" s="926">
        <f>IF(AW377=0,0,(AX377-AW377)/AW377*100)</f>
        <v>0</v>
      </c>
      <c r="BI377" s="926">
        <f>IF(AX377=0,0,(AY377-AX377)/AX377*100)</f>
        <v>0</v>
      </c>
      <c r="BJ377" s="926">
        <f>IF(AY377=0,0,(AZ377-AY377)/AY377*100)</f>
        <v>0</v>
      </c>
      <c r="BK377" s="926">
        <f>IF(AZ377=0,0,(BA377-AZ377)/AZ377*100)</f>
        <v>0</v>
      </c>
      <c r="BL377" s="926">
        <f>IF(BA377=0,0,(BB377-BA377)/BA377*100)</f>
        <v>0</v>
      </c>
      <c r="BM377" s="926">
        <f>IF(BB377=0,0,(BC377-BB377)/BB377*100)</f>
        <v>0</v>
      </c>
      <c r="BN377" s="4830"/>
      <c r="BO377" s="4784" t="str">
        <f>IF(_xlfn.IFERROR(INDEX(Покупка!$K$26:$L$117,MATCH($F377&amp;"5komm",Покупка!$K$26:$K$117,0),2),"")=0,"",_xlfn.IFERROR(INDEX(Покупка!$K$26:$L$117,MATCH($F377&amp;"5komm",Покупка!$K$26:$K$117,0),2),""))</f>
        <v/>
      </c>
      <c r="BP377" s="4830"/>
      <c r="BQ377" s="960"/>
      <c r="BR377" s="960"/>
      <c r="BS377" s="1048" t="s">
        <v>1617</v>
      </c>
      <c r="BT377" s="1048"/>
      <c r="BU377" s="1048"/>
      <c r="BV377" s="962"/>
      <c r="BW377" s="962"/>
    </row>
    <row s="1260" customFormat="1" customHeight="1" ht="14.25">
      <c r="A378" s="1260"/>
      <c r="B378" s="62"/>
      <c r="C378" s="73"/>
      <c r="D378" s="73"/>
      <c r="E378" s="600">
        <v>15</v>
      </c>
      <c r="F378" s="50" cm="1" t="str">
        <f t="array" ref="F378:F378">OFFSET(E378,-1,1)</f>
        <v>2</v>
      </c>
      <c r="G378" s="73" t="s">
        <v>1034</v>
      </c>
      <c r="H378" s="73"/>
      <c r="I378" s="73"/>
      <c r="J378" s="73"/>
      <c r="K378" s="73"/>
      <c r="L378" s="963" t="s">
        <v>1385</v>
      </c>
      <c r="M378" s="73"/>
      <c r="N378" s="73"/>
      <c r="O378" s="73"/>
      <c r="P378" s="73"/>
      <c r="Q378" s="73"/>
      <c r="R378" s="73"/>
      <c r="S378" s="73"/>
      <c r="T378" s="439" cm="1" t="str">
        <f t="array" ref="T378:T378">T377</f>
        <v>true</v>
      </c>
      <c r="U378" s="73"/>
      <c r="V378" s="73"/>
      <c r="W378" s="1260"/>
      <c r="X378" s="1482"/>
      <c r="Y378" s="1260"/>
      <c r="Z378" s="1465"/>
      <c r="AA378" s="1260"/>
      <c r="AB378" s="266" t="s">
        <v>1926</v>
      </c>
      <c r="AC378" s="746" t="s">
        <v>1927</v>
      </c>
      <c r="AD378" s="267" t="s">
        <v>784</v>
      </c>
      <c r="AE378" s="226">
        <f>_xlfn.SUMIFS(Покупка!AE$25:AE$117,Покупка!$F$25:$F$117,$F378,Покупка!$AC$25:$AC$117,$G378)</f>
        <v>0</v>
      </c>
      <c r="AF378" s="226">
        <f>_xlfn.SUMIFS(Покупка!AF$25:AF$117,Покупка!$F$25:$F$117,$F378,Покупка!$AC$25:$AC$117,$G378)</f>
        <v>0</v>
      </c>
      <c r="AG378" s="226">
        <f>_xlfn.SUMIFS(Покупка!AG$25:AG$117,Покупка!$F$25:$F$117,$F378,Покупка!$AC$25:$AC$117,$G378)</f>
        <v>0</v>
      </c>
      <c r="AH378" s="926">
        <f>AG378-AF378</f>
        <v>0</v>
      </c>
      <c r="AI378" s="926">
        <f>_xlfn.SUMIFS(Покупка!AH$25:AH$117,Покупка!$F$25:$F$117,$F378,Покупка!$AC$25:$AC$117,$G378)</f>
        <v>0</v>
      </c>
      <c r="AJ378" s="1101">
        <f>_xlfn.SUMIFS(Покупка!AI$25:AI$117,Покупка!$F$25:$F$117,$F378,Покупка!$AC$25:$AC$117,$G378)</f>
        <v>0</v>
      </c>
      <c r="AK378" s="1101">
        <f>_xlfn.SUMIFS(Покупка!AJ$25:AJ$117,Покупка!$F$25:$F$117,$F378,Покупка!$AC$25:$AC$117,$G378)</f>
        <v>0</v>
      </c>
      <c r="AL378" s="1101">
        <f>_xlfn.SUMIFS(Покупка!AK$25:AK$117,Покупка!$F$25:$F$117,$F378,Покупка!$AC$25:$AC$117,$G378)</f>
        <v>0</v>
      </c>
      <c r="AM378" s="1101">
        <f>_xlfn.SUMIFS(Покупка!AL$25:AL$117,Покупка!$F$25:$F$117,$F378,Покупка!$AC$25:$AC$117,$G378)</f>
        <v>0</v>
      </c>
      <c r="AN378" s="1101">
        <f>_xlfn.SUMIFS(Покупка!AM$25:AM$117,Покупка!$F$25:$F$117,$F378,Покупка!$AC$25:$AC$117,$G378)</f>
        <v>0</v>
      </c>
      <c r="AO378" s="1101">
        <f>_xlfn.SUMIFS(Покупка!AN$25:AN$117,Покупка!$F$25:$F$117,$F378,Покупка!$AC$25:$AC$117,$G378)</f>
        <v>0</v>
      </c>
      <c r="AP378" s="1101">
        <f>_xlfn.SUMIFS(Покупка!AO$25:AO$117,Покупка!$F$25:$F$117,$F378,Покупка!$AC$25:$AC$117,$G378)</f>
        <v>0</v>
      </c>
      <c r="AQ378" s="1101">
        <f>_xlfn.SUMIFS(Покупка!AP$25:AP$117,Покупка!$F$25:$F$117,$F378,Покупка!$AC$25:$AC$117,$G378)</f>
        <v>0</v>
      </c>
      <c r="AR378" s="1101">
        <f>_xlfn.SUMIFS(Покупка!AQ$25:AQ$117,Покупка!$F$25:$F$117,$F378,Покупка!$AC$25:$AC$117,$G378)</f>
        <v>0</v>
      </c>
      <c r="AS378" s="1101">
        <f>_xlfn.SUMIFS(Покупка!AR$25:AR$117,Покупка!$F$25:$F$117,$F378,Покупка!$AC$25:$AC$117,$G378)</f>
        <v>0</v>
      </c>
      <c r="AT378" s="1101">
        <f>_xlfn.SUMIFS(Покупка!AS$25:AS$117,Покупка!$F$25:$F$117,$F378,Покупка!$AC$25:$AC$117,$G378)</f>
        <v>0</v>
      </c>
      <c r="AU378" s="1101">
        <f>_xlfn.SUMIFS(Покупка!AT$25:AT$117,Покупка!$F$25:$F$117,$F378,Покупка!$AC$25:$AC$117,$G378)</f>
        <v>0</v>
      </c>
      <c r="AV378" s="1101">
        <f>_xlfn.SUMIFS(Покупка!AU$25:AU$117,Покупка!$F$25:$F$117,$F378,Покупка!$AC$25:$AC$117,$G378)</f>
        <v>0</v>
      </c>
      <c r="AW378" s="1101">
        <f>_xlfn.SUMIFS(Покупка!AV$25:AV$117,Покупка!$F$25:$F$117,$F378,Покупка!$AC$25:$AC$117,$G378)</f>
        <v>0</v>
      </c>
      <c r="AX378" s="1101">
        <f>_xlfn.SUMIFS(Покупка!AW$25:AW$117,Покупка!$F$25:$F$117,$F378,Покупка!$AC$25:$AC$117,$G378)</f>
        <v>0</v>
      </c>
      <c r="AY378" s="1101">
        <f>_xlfn.SUMIFS(Покупка!AX$25:AX$117,Покупка!$F$25:$F$117,$F378,Покупка!$AC$25:$AC$117,$G378)</f>
        <v>0</v>
      </c>
      <c r="AZ378" s="1101">
        <f>_xlfn.SUMIFS(Покупка!AY$25:AY$117,Покупка!$F$25:$F$117,$F378,Покупка!$AC$25:$AC$117,$G378)</f>
        <v>0</v>
      </c>
      <c r="BA378" s="1101">
        <f>_xlfn.SUMIFS(Покупка!AZ$25:AZ$117,Покупка!$F$25:$F$117,$F378,Покупка!$AC$25:$AC$117,$G378)</f>
        <v>0</v>
      </c>
      <c r="BB378" s="1101">
        <f>_xlfn.SUMIFS(Покупка!BA$25:BA$117,Покупка!$F$25:$F$117,$F378,Покупка!$AC$25:$AC$117,$G378)</f>
        <v>0</v>
      </c>
      <c r="BC378" s="1101">
        <f>_xlfn.SUMIFS(Покупка!BB$25:BB$117,Покупка!$F$25:$F$117,$F378,Покупка!$AC$25:$AC$117,$G378)</f>
        <v>0</v>
      </c>
      <c r="BD378" s="926">
        <f>IF(AI378=0,0,(AT378-AI378)/AI378*100)</f>
        <v>0</v>
      </c>
      <c r="BE378" s="926">
        <f>IF(AT378=0,0,(AU378-AT378)/AT378*100)</f>
        <v>0</v>
      </c>
      <c r="BF378" s="926">
        <f>IF(AU378=0,0,(AV378-AU378)/AU378*100)</f>
        <v>0</v>
      </c>
      <c r="BG378" s="926">
        <f>IF(AV378=0,0,(AW378-AV378)/AV378*100)</f>
        <v>0</v>
      </c>
      <c r="BH378" s="926">
        <f>IF(AW378=0,0,(AX378-AW378)/AW378*100)</f>
        <v>0</v>
      </c>
      <c r="BI378" s="926">
        <f>IF(AX378=0,0,(AY378-AX378)/AX378*100)</f>
        <v>0</v>
      </c>
      <c r="BJ378" s="926">
        <f>IF(AY378=0,0,(AZ378-AY378)/AY378*100)</f>
        <v>0</v>
      </c>
      <c r="BK378" s="926">
        <f>IF(AZ378=0,0,(BA378-AZ378)/AZ378*100)</f>
        <v>0</v>
      </c>
      <c r="BL378" s="926">
        <f>IF(BA378=0,0,(BB378-BA378)/BA378*100)</f>
        <v>0</v>
      </c>
      <c r="BM378" s="926">
        <f>IF(BB378=0,0,(BC378-BB378)/BB378*100)</f>
        <v>0</v>
      </c>
      <c r="BN378" s="4830"/>
      <c r="BO378" s="4784" t="str">
        <f>IF(_xlfn.IFERROR(INDEX(Покупка!$K$26:$L$117,MATCH($F378&amp;"9komm",Покупка!$K$26:$K$117,0),2),"")=0,"",_xlfn.IFERROR(INDEX(Покупка!$K$26:$L$117,MATCH($F378&amp;"9komm",Покупка!$K$26:$K$117,0),2),""))</f>
        <v/>
      </c>
      <c r="BP378" s="4830"/>
      <c r="BQ378" s="1260"/>
      <c r="BR378" s="1260"/>
      <c r="BS378" s="1048" t="s">
        <v>1035</v>
      </c>
      <c r="BT378" s="1048"/>
      <c r="BU378" s="1048"/>
      <c r="BV378" s="683"/>
      <c r="BW378" s="683"/>
    </row>
    <row s="1621" customFormat="1" customHeight="1" ht="14.25">
      <c r="A379" s="960"/>
      <c r="B379" s="62"/>
      <c r="C379" s="73"/>
      <c r="D379" s="73"/>
      <c r="E379" s="600">
        <v>15</v>
      </c>
      <c r="F379" s="50" cm="1" t="str">
        <f t="array" ref="F379:F379">OFFSET(E379,-1,1)</f>
        <v>2</v>
      </c>
      <c r="G379" s="73"/>
      <c r="H379" s="73"/>
      <c r="I379" s="73" t="s">
        <v>462</v>
      </c>
      <c r="J379" s="73"/>
      <c r="K379" s="73" t="s">
        <v>462</v>
      </c>
      <c r="L379" s="963"/>
      <c r="M379" s="73"/>
      <c r="N379" s="73"/>
      <c r="O379" s="73"/>
      <c r="P379" s="73"/>
      <c r="Q379" s="73"/>
      <c r="R379" s="73"/>
      <c r="S379" s="73"/>
      <c r="T379" s="439" cm="1" t="str">
        <f t="array" ref="T379:T379">T378</f>
        <v>true</v>
      </c>
      <c r="U379" s="73"/>
      <c r="V379" s="73"/>
      <c r="W379" s="960"/>
      <c r="X379" s="1482"/>
      <c r="Y379" s="960"/>
      <c r="Z379" s="1465"/>
      <c r="AA379" s="960"/>
      <c r="AB379" s="266" t="s">
        <v>519</v>
      </c>
      <c r="AC379" s="743" t="s">
        <v>1928</v>
      </c>
      <c r="AD379" s="760" t="s">
        <v>784</v>
      </c>
      <c r="AE379" s="226">
        <f>_xlfn.SUMIFS('Сырье и материалы'!AE$25:AE$39,'Сырье и материалы'!$F$25:$F$39,$F379,'Сырье и материалы'!$AC$25:$AC$39,"Всего по тарифу")</f>
        <v>0</v>
      </c>
      <c r="AF379" s="226">
        <f>_xlfn.SUMIFS('Сырье и материалы'!AF$25:AF$39,'Сырье и материалы'!$F$25:$F$39,$F379,'Сырье и материалы'!$AC$25:$AC$39,"Всего по тарифу")</f>
        <v>0</v>
      </c>
      <c r="AG379" s="226">
        <f>_xlfn.SUMIFS('Сырье и материалы'!AG$25:AG$39,'Сырье и материалы'!$F$25:$F$39,$F379,'Сырье и материалы'!$AC$25:$AC$39,"Всего по тарифу")</f>
        <v>0</v>
      </c>
      <c r="AH379" s="926">
        <f>AG379-AF379</f>
        <v>0</v>
      </c>
      <c r="AI379" s="926">
        <f>_xlfn.SUMIFS('Сырье и материалы'!AH$25:AH$39,'Сырье и материалы'!$F$25:$F$39,$F379,'Сырье и материалы'!$AC$25:$AC$39,"Всего по тарифу")</f>
        <v>0</v>
      </c>
      <c r="AJ379" s="926">
        <f>_xlfn.SUMIFS('Сырье и материалы'!AI$25:AI$39,'Сырье и материалы'!$F$25:$F$39,$F379,'Сырье и материалы'!$AC$25:$AC$39,"Всего по тарифу")</f>
        <v>0</v>
      </c>
      <c r="AK379" s="926">
        <f>_xlfn.SUMIFS('Сырье и материалы'!AJ$25:AJ$39,'Сырье и материалы'!$F$25:$F$39,$F379,'Сырье и материалы'!$AC$25:$AC$39,"Всего по тарифу")</f>
        <v>0</v>
      </c>
      <c r="AL379" s="926">
        <f>_xlfn.SUMIFS('Сырье и материалы'!AK$25:AK$39,'Сырье и материалы'!$F$25:$F$39,$F379,'Сырье и материалы'!$AC$25:$AC$39,"Всего по тарифу")</f>
        <v>0</v>
      </c>
      <c r="AM379" s="926">
        <f>_xlfn.SUMIFS('Сырье и материалы'!AL$25:AL$39,'Сырье и материалы'!$F$25:$F$39,$F379,'Сырье и материалы'!$AC$25:$AC$39,"Всего по тарифу")</f>
        <v>0</v>
      </c>
      <c r="AN379" s="926">
        <f>_xlfn.SUMIFS('Сырье и материалы'!AM$25:AM$39,'Сырье и материалы'!$F$25:$F$39,$F379,'Сырье и материалы'!$AC$25:$AC$39,"Всего по тарифу")</f>
        <v>0</v>
      </c>
      <c r="AO379" s="926">
        <f>_xlfn.SUMIFS('Сырье и материалы'!AN$25:AN$39,'Сырье и материалы'!$F$25:$F$39,$F379,'Сырье и материалы'!$AC$25:$AC$39,"Всего по тарифу")</f>
        <v>0</v>
      </c>
      <c r="AP379" s="926">
        <f>_xlfn.SUMIFS('Сырье и материалы'!AO$25:AO$39,'Сырье и материалы'!$F$25:$F$39,$F379,'Сырье и материалы'!$AC$25:$AC$39,"Всего по тарифу")</f>
        <v>0</v>
      </c>
      <c r="AQ379" s="926">
        <f>_xlfn.SUMIFS('Сырье и материалы'!AP$25:AP$39,'Сырье и материалы'!$F$25:$F$39,$F379,'Сырье и материалы'!$AC$25:$AC$39,"Всего по тарифу")</f>
        <v>0</v>
      </c>
      <c r="AR379" s="926">
        <f>_xlfn.SUMIFS('Сырье и материалы'!AQ$25:AQ$39,'Сырье и материалы'!$F$25:$F$39,$F379,'Сырье и материалы'!$AC$25:$AC$39,"Всего по тарифу")</f>
        <v>0</v>
      </c>
      <c r="AS379" s="926">
        <f>_xlfn.SUMIFS('Сырье и материалы'!AR$25:AR$39,'Сырье и материалы'!$F$25:$F$39,$F379,'Сырье и материалы'!$AC$25:$AC$39,"Всего по тарифу")</f>
        <v>0</v>
      </c>
      <c r="AT379" s="926">
        <f>_xlfn.SUMIFS('Сырье и материалы'!AS$25:AS$39,'Сырье и материалы'!$F$25:$F$39,$F379,'Сырье и материалы'!$AC$25:$AC$39,"Всего по тарифу")</f>
        <v>0</v>
      </c>
      <c r="AU379" s="926">
        <f>_xlfn.SUMIFS('Сырье и материалы'!AT$25:AT$39,'Сырье и материалы'!$F$25:$F$39,$F379,'Сырье и материалы'!$AC$25:$AC$39,"Всего по тарифу")</f>
        <v>0</v>
      </c>
      <c r="AV379" s="926">
        <f>_xlfn.SUMIFS('Сырье и материалы'!AU$25:AU$39,'Сырье и материалы'!$F$25:$F$39,$F379,'Сырье и материалы'!$AC$25:$AC$39,"Всего по тарифу")</f>
        <v>0</v>
      </c>
      <c r="AW379" s="926">
        <f>_xlfn.SUMIFS('Сырье и материалы'!AV$25:AV$39,'Сырье и материалы'!$F$25:$F$39,$F379,'Сырье и материалы'!$AC$25:$AC$39,"Всего по тарифу")</f>
        <v>0</v>
      </c>
      <c r="AX379" s="926">
        <f>_xlfn.SUMIFS('Сырье и материалы'!AW$25:AW$39,'Сырье и материалы'!$F$25:$F$39,$F379,'Сырье и материалы'!$AC$25:$AC$39,"Всего по тарифу")</f>
        <v>0</v>
      </c>
      <c r="AY379" s="926">
        <f>_xlfn.SUMIFS('Сырье и материалы'!AX$25:AX$39,'Сырье и материалы'!$F$25:$F$39,$F379,'Сырье и материалы'!$AC$25:$AC$39,"Всего по тарифу")</f>
        <v>0</v>
      </c>
      <c r="AZ379" s="926">
        <f>_xlfn.SUMIFS('Сырье и материалы'!AY$25:AY$39,'Сырье и материалы'!$F$25:$F$39,$F379,'Сырье и материалы'!$AC$25:$AC$39,"Всего по тарифу")</f>
        <v>0</v>
      </c>
      <c r="BA379" s="926">
        <f>_xlfn.SUMIFS('Сырье и материалы'!AZ$25:AZ$39,'Сырье и материалы'!$F$25:$F$39,$F379,'Сырье и материалы'!$AC$25:$AC$39,"Всего по тарифу")</f>
        <v>0</v>
      </c>
      <c r="BB379" s="926">
        <f>_xlfn.SUMIFS('Сырье и материалы'!BA$25:BA$39,'Сырье и материалы'!$F$25:$F$39,$F379,'Сырье и материалы'!$AC$25:$AC$39,"Всего по тарифу")</f>
        <v>0</v>
      </c>
      <c r="BC379" s="926">
        <f>_xlfn.SUMIFS('Сырье и материалы'!BB$25:BB$39,'Сырье и материалы'!$F$25:$F$39,$F379,'Сырье и материалы'!$AC$25:$AC$39,"Всего по тарифу")</f>
        <v>0</v>
      </c>
      <c r="BD379" s="926">
        <f>IF(AI379=0,0,(AT379-AI379)/AI379*100)</f>
        <v>0</v>
      </c>
      <c r="BE379" s="926">
        <f>IF(AT379=0,0,(AU379-AT379)/AT379*100)</f>
        <v>0</v>
      </c>
      <c r="BF379" s="926">
        <f>IF(AU379=0,0,(AV379-AU379)/AU379*100)</f>
        <v>0</v>
      </c>
      <c r="BG379" s="926">
        <f>IF(AV379=0,0,(AW379-AV379)/AV379*100)</f>
        <v>0</v>
      </c>
      <c r="BH379" s="926">
        <f>IF(AW379=0,0,(AX379-AW379)/AW379*100)</f>
        <v>0</v>
      </c>
      <c r="BI379" s="926">
        <f>IF(AX379=0,0,(AY379-AX379)/AX379*100)</f>
        <v>0</v>
      </c>
      <c r="BJ379" s="926">
        <f>IF(AY379=0,0,(AZ379-AY379)/AY379*100)</f>
        <v>0</v>
      </c>
      <c r="BK379" s="926">
        <f>IF(AZ379=0,0,(BA379-AZ379)/AZ379*100)</f>
        <v>0</v>
      </c>
      <c r="BL379" s="926">
        <f>IF(BA379=0,0,(BB379-BA379)/BA379*100)</f>
        <v>0</v>
      </c>
      <c r="BM379" s="926">
        <f>IF(BB379=0,0,(BC379-BB379)/BB379*100)</f>
        <v>0</v>
      </c>
      <c r="BN379" s="4830"/>
      <c r="BO379" s="4784" t="str">
        <f>IF(_xlfn.IFERROR(INDEX('Сырье и материалы'!$K$26:$L$39,MATCH($F379&amp;"komm",'Сырье и материалы'!$K$26:$K$39,0),2),"")=0,"",_xlfn.IFERROR(INDEX('Сырье и материалы'!$K$26:$L$39,MATCH($F379&amp;"komm",'Сырье и материалы'!$K$26:$K$39,0),2),""))</f>
        <v/>
      </c>
      <c r="BP379" s="4830"/>
      <c r="BQ379" s="960"/>
      <c r="BR379" s="960"/>
      <c r="BS379" s="1048" t="s">
        <v>1590</v>
      </c>
      <c r="BT379" s="1048"/>
      <c r="BU379" s="1048"/>
      <c r="BV379" s="962"/>
      <c r="BW379" s="962"/>
    </row>
    <row s="4893" customFormat="1" customHeight="1" ht="107.25">
      <c r="A380" s="680"/>
      <c r="B380" s="77"/>
      <c r="C380" s="75"/>
      <c r="D380" s="75"/>
      <c r="E380" s="807">
        <v>21</v>
      </c>
      <c r="F380" s="50" cm="1" t="str">
        <f t="array" ref="F380:F380">OFFSET(E380,-1,1)</f>
        <v>2</v>
      </c>
      <c r="G380" s="75"/>
      <c r="H380" s="73"/>
      <c r="I380" s="73" t="s">
        <v>865</v>
      </c>
      <c r="J380" s="75"/>
      <c r="K380" s="73" t="s">
        <v>865</v>
      </c>
      <c r="L380" s="968" t="s">
        <v>495</v>
      </c>
      <c r="M380" s="75"/>
      <c r="N380" s="75"/>
      <c r="O380" s="75"/>
      <c r="P380" s="75"/>
      <c r="Q380" s="75"/>
      <c r="R380" s="75"/>
      <c r="S380" s="75"/>
      <c r="T380" s="439" cm="1" t="str">
        <f t="array" ref="T380:T380">T379</f>
        <v>true</v>
      </c>
      <c r="U380" s="75"/>
      <c r="V380" s="75"/>
      <c r="W380" s="680"/>
      <c r="X380" s="1482"/>
      <c r="Y380" s="680"/>
      <c r="Z380" s="1465"/>
      <c r="AA380" s="680"/>
      <c r="AB380" s="185" t="s">
        <v>523</v>
      </c>
      <c r="AC380" s="328" t="s">
        <v>1929</v>
      </c>
      <c r="AD380" s="178" t="s">
        <v>784</v>
      </c>
      <c r="AE380" s="759">
        <f>SUM(AE381:AE390)</f>
        <v>0.26489</v>
      </c>
      <c r="AF380" s="759">
        <f>SUM(AF381:AF390)</f>
        <v>1463.87518634</v>
      </c>
      <c r="AG380" s="759">
        <f>SUM(AG381:AG390)</f>
        <v>0</v>
      </c>
      <c r="AH380" s="742">
        <f>AG380-AF380</f>
        <v>-1463.87518634</v>
      </c>
      <c r="AI380" s="742">
        <f>SUM(AI381:AI390)</f>
        <v>0.39641</v>
      </c>
      <c r="AJ380" s="751">
        <f>SUM(AJ381:AJ390)</f>
        <v>1335.0137169634</v>
      </c>
      <c r="AK380" s="742">
        <f>SUM(AK381:AK390)</f>
        <v>0</v>
      </c>
      <c r="AL380" s="742">
        <f>SUM(AL381:AL390)</f>
        <v>0</v>
      </c>
      <c r="AM380" s="742">
        <f>SUM(AM381:AM390)</f>
        <v>0</v>
      </c>
      <c r="AN380" s="742">
        <f>SUM(AN381:AN390)</f>
        <v>0</v>
      </c>
      <c r="AO380" s="742">
        <f>SUM(AO381:AO390)</f>
        <v>0</v>
      </c>
      <c r="AP380" s="742">
        <f>SUM(AP381:AP390)</f>
        <v>0</v>
      </c>
      <c r="AQ380" s="742">
        <f>SUM(AQ381:AQ390)</f>
        <v>0</v>
      </c>
      <c r="AR380" s="742">
        <f>SUM(AR381:AR390)</f>
        <v>0</v>
      </c>
      <c r="AS380" s="742">
        <f>SUM(AS381:AS390)</f>
        <v>0</v>
      </c>
      <c r="AT380" s="751">
        <f>SUM(AT381:AT390)</f>
        <v>0.37351</v>
      </c>
      <c r="AU380" s="742">
        <f>SUM(AU381:AU390)</f>
        <v>0</v>
      </c>
      <c r="AV380" s="742">
        <f>SUM(AV381:AV390)</f>
        <v>0</v>
      </c>
      <c r="AW380" s="742">
        <f>SUM(AW381:AW390)</f>
        <v>0</v>
      </c>
      <c r="AX380" s="742">
        <f>SUM(AX381:AX390)</f>
        <v>0</v>
      </c>
      <c r="AY380" s="742">
        <f>SUM(AY381:AY390)</f>
        <v>0</v>
      </c>
      <c r="AZ380" s="742">
        <f>SUM(AZ381:AZ390)</f>
        <v>0</v>
      </c>
      <c r="BA380" s="742">
        <f>SUM(BA381:BA390)</f>
        <v>0</v>
      </c>
      <c r="BB380" s="742">
        <f>SUM(BB381:BB390)</f>
        <v>0</v>
      </c>
      <c r="BC380" s="742">
        <f>SUM(BC381:BC390)</f>
        <v>0</v>
      </c>
      <c r="BD380" s="742">
        <f>IF(AI380=0,0,(AT380-AI380)/AI380*100)</f>
        <v>-5.77684720365278</v>
      </c>
      <c r="BE380" s="742">
        <f>IF(AT380=0,0,(AU380-AT380)/AT380*100)</f>
        <v>-100</v>
      </c>
      <c r="BF380" s="742">
        <f>IF(AU380=0,0,(AV380-AU380)/AU380*100)</f>
        <v>0</v>
      </c>
      <c r="BG380" s="742">
        <f>IF(AV380=0,0,(AW380-AV380)/AV380*100)</f>
        <v>0</v>
      </c>
      <c r="BH380" s="742">
        <f>IF(AW380=0,0,(AX380-AW380)/AW380*100)</f>
        <v>0</v>
      </c>
      <c r="BI380" s="742">
        <f>IF(AX380=0,0,(AY380-AX380)/AX380*100)</f>
        <v>0</v>
      </c>
      <c r="BJ380" s="742">
        <f>IF(AY380=0,0,(AZ380-AY380)/AY380*100)</f>
        <v>0</v>
      </c>
      <c r="BK380" s="742">
        <f>IF(AZ380=0,0,(BA380-AZ380)/AZ380*100)</f>
        <v>0</v>
      </c>
      <c r="BL380" s="742">
        <f>IF(BA380=0,0,(BB380-BA380)/BA380*100)</f>
        <v>0</v>
      </c>
      <c r="BM380" s="742">
        <f>IF(BB380=0,0,(BC380-BB380)/BB380*100)</f>
        <v>0</v>
      </c>
      <c r="BN380" s="4618"/>
      <c r="BO380" s="4784" t="s">
        <v>2077</v>
      </c>
      <c r="BP380" s="4618" t="s">
        <v>2078</v>
      </c>
      <c r="BQ380" s="680"/>
      <c r="BR380" s="680"/>
      <c r="BS380" s="1054" t="s">
        <v>1151</v>
      </c>
      <c r="BT380" s="1054"/>
      <c r="BU380" s="1054"/>
      <c r="BV380" s="687"/>
      <c r="BW380" s="687"/>
    </row>
    <row s="1621" customFormat="1" customHeight="1" ht="14.25">
      <c r="A381" s="960"/>
      <c r="B381" s="62"/>
      <c r="C381" s="73"/>
      <c r="D381" s="73"/>
      <c r="E381" s="600">
        <v>15</v>
      </c>
      <c r="F381" s="50" cm="1" t="str">
        <f t="array" ref="F381:F381">OFFSET(E381,-1,1)</f>
        <v>2</v>
      </c>
      <c r="G381" s="904">
        <v>7</v>
      </c>
      <c r="H381" s="73"/>
      <c r="I381" s="73" t="s">
        <v>1930</v>
      </c>
      <c r="J381" s="73"/>
      <c r="K381" s="73" t="s">
        <v>1930</v>
      </c>
      <c r="L381" s="963"/>
      <c r="M381" s="73"/>
      <c r="N381" s="73"/>
      <c r="O381" s="73"/>
      <c r="P381" s="73"/>
      <c r="Q381" s="73"/>
      <c r="R381" s="73"/>
      <c r="S381" s="73"/>
      <c r="T381" s="439" cm="1" t="str">
        <f t="array" ref="T381:T381">T380</f>
        <v>true</v>
      </c>
      <c r="U381" s="73"/>
      <c r="V381" s="73"/>
      <c r="W381" s="960"/>
      <c r="X381" s="1482"/>
      <c r="Y381" s="960"/>
      <c r="Z381" s="1465"/>
      <c r="AA381" s="960"/>
      <c r="AB381" s="266" t="s">
        <v>478</v>
      </c>
      <c r="AC381" s="746" t="s">
        <v>1165</v>
      </c>
      <c r="AD381" s="267" t="s">
        <v>784</v>
      </c>
      <c r="AE381" s="226">
        <f>_xlfn.SUMIFS(Налоги!AE$25:AE$69,Налоги!$F$25:$F$69,$F381,Налоги!$AB$25:$AB$69,$G381)</f>
        <v>0</v>
      </c>
      <c r="AF381" s="226">
        <f>_xlfn.SUMIFS(Налоги!AF$25:AF$69,Налоги!$F$25:$F$69,$F381,Налоги!$AB$25:$AB$69,$G381)</f>
        <v>0</v>
      </c>
      <c r="AG381" s="226">
        <f>_xlfn.SUMIFS(Налоги!AG$25:AG$69,Налоги!$F$25:$F$69,$F381,Налоги!$AB$25:$AB$69,$G381)</f>
        <v>0</v>
      </c>
      <c r="AH381" s="926">
        <f>AG381-AF381</f>
        <v>0</v>
      </c>
      <c r="AI381" s="926">
        <f>_xlfn.SUMIFS(Налоги!AH$25:AH$69,Налоги!$F$25:$F$69,$F381,Налоги!$AB$25:$AB$69,$G381)</f>
        <v>0</v>
      </c>
      <c r="AJ381" s="926">
        <f>_xlfn.SUMIFS(Налоги!AI$25:AI$69,Налоги!$F$25:$F$69,$F381,Налоги!$AB$25:$AB$69,$G381)</f>
        <v>0</v>
      </c>
      <c r="AK381" s="926">
        <f>_xlfn.SUMIFS(Налоги!AJ$25:AJ$69,Налоги!$F$25:$F$69,$F381,Налоги!$AB$25:$AB$69,$G381)</f>
        <v>0</v>
      </c>
      <c r="AL381" s="926">
        <f>_xlfn.SUMIFS(Налоги!AK$25:AK$69,Налоги!$F$25:$F$69,$F381,Налоги!$AB$25:$AB$69,$G381)</f>
        <v>0</v>
      </c>
      <c r="AM381" s="926">
        <f>_xlfn.SUMIFS(Налоги!AL$25:AL$69,Налоги!$F$25:$F$69,$F381,Налоги!$AB$25:$AB$69,$G381)</f>
        <v>0</v>
      </c>
      <c r="AN381" s="926">
        <f>_xlfn.SUMIFS(Налоги!AM$25:AM$69,Налоги!$F$25:$F$69,$F381,Налоги!$AB$25:$AB$69,$G381)</f>
        <v>0</v>
      </c>
      <c r="AO381" s="926">
        <f>_xlfn.SUMIFS(Налоги!AN$25:AN$69,Налоги!$F$25:$F$69,$F381,Налоги!$AB$25:$AB$69,$G381)</f>
        <v>0</v>
      </c>
      <c r="AP381" s="926">
        <f>_xlfn.SUMIFS(Налоги!AO$25:AO$69,Налоги!$F$25:$F$69,$F381,Налоги!$AB$25:$AB$69,$G381)</f>
        <v>0</v>
      </c>
      <c r="AQ381" s="926">
        <f>_xlfn.SUMIFS(Налоги!AP$25:AP$69,Налоги!$F$25:$F$69,$F381,Налоги!$AB$25:$AB$69,$G381)</f>
        <v>0</v>
      </c>
      <c r="AR381" s="926">
        <f>_xlfn.SUMIFS(Налоги!AQ$25:AQ$69,Налоги!$F$25:$F$69,$F381,Налоги!$AB$25:$AB$69,$G381)</f>
        <v>0</v>
      </c>
      <c r="AS381" s="926">
        <f>_xlfn.SUMIFS(Налоги!AR$25:AR$69,Налоги!$F$25:$F$69,$F381,Налоги!$AB$25:$AB$69,$G381)</f>
        <v>0</v>
      </c>
      <c r="AT381" s="926">
        <f>_xlfn.SUMIFS(Налоги!AS$25:AS$69,Налоги!$F$25:$F$69,$F381,Налоги!$AB$25:$AB$69,$G381)</f>
        <v>0</v>
      </c>
      <c r="AU381" s="926">
        <f>_xlfn.SUMIFS(Налоги!AT$25:AT$69,Налоги!$F$25:$F$69,$F381,Налоги!$AB$25:$AB$69,$G381)</f>
        <v>0</v>
      </c>
      <c r="AV381" s="926">
        <f>_xlfn.SUMIFS(Налоги!AU$25:AU$69,Налоги!$F$25:$F$69,$F381,Налоги!$AB$25:$AB$69,$G381)</f>
        <v>0</v>
      </c>
      <c r="AW381" s="926">
        <f>_xlfn.SUMIFS(Налоги!AV$25:AV$69,Налоги!$F$25:$F$69,$F381,Налоги!$AB$25:$AB$69,$G381)</f>
        <v>0</v>
      </c>
      <c r="AX381" s="926">
        <f>_xlfn.SUMIFS(Налоги!AW$25:AW$69,Налоги!$F$25:$F$69,$F381,Налоги!$AB$25:$AB$69,$G381)</f>
        <v>0</v>
      </c>
      <c r="AY381" s="926">
        <f>_xlfn.SUMIFS(Налоги!AX$25:AX$69,Налоги!$F$25:$F$69,$F381,Налоги!$AB$25:$AB$69,$G381)</f>
        <v>0</v>
      </c>
      <c r="AZ381" s="926">
        <f>_xlfn.SUMIFS(Налоги!AY$25:AY$69,Налоги!$F$25:$F$69,$F381,Налоги!$AB$25:$AB$69,$G381)</f>
        <v>0</v>
      </c>
      <c r="BA381" s="926">
        <f>_xlfn.SUMIFS(Налоги!AZ$25:AZ$69,Налоги!$F$25:$F$69,$F381,Налоги!$AB$25:$AB$69,$G381)</f>
        <v>0</v>
      </c>
      <c r="BB381" s="926">
        <f>_xlfn.SUMIFS(Налоги!BA$25:BA$69,Налоги!$F$25:$F$69,$F381,Налоги!$AB$25:$AB$69,$G381)</f>
        <v>0</v>
      </c>
      <c r="BC381" s="926">
        <f>_xlfn.SUMIFS(Налоги!BB$25:BB$69,Налоги!$F$25:$F$69,$F381,Налоги!$AB$25:$AB$69,$G381)</f>
        <v>0</v>
      </c>
      <c r="BD381" s="926">
        <f>IF(AI381=0,0,(AT381-AI381)/AI381*100)</f>
        <v>0</v>
      </c>
      <c r="BE381" s="926">
        <f>IF(AT381=0,0,(AU381-AT381)/AT381*100)</f>
        <v>0</v>
      </c>
      <c r="BF381" s="926">
        <f>IF(AU381=0,0,(AV381-AU381)/AU381*100)</f>
        <v>0</v>
      </c>
      <c r="BG381" s="926">
        <f>IF(AV381=0,0,(AW381-AV381)/AV381*100)</f>
        <v>0</v>
      </c>
      <c r="BH381" s="926">
        <f>IF(AW381=0,0,(AX381-AW381)/AW381*100)</f>
        <v>0</v>
      </c>
      <c r="BI381" s="926">
        <f>IF(AX381=0,0,(AY381-AX381)/AX381*100)</f>
        <v>0</v>
      </c>
      <c r="BJ381" s="926">
        <f>IF(AY381=0,0,(AZ381-AY381)/AY381*100)</f>
        <v>0</v>
      </c>
      <c r="BK381" s="926">
        <f>IF(AZ381=0,0,(BA381-AZ381)/AZ381*100)</f>
        <v>0</v>
      </c>
      <c r="BL381" s="926">
        <f>IF(BA381=0,0,(BB381-BA381)/BA381*100)</f>
        <v>0</v>
      </c>
      <c r="BM381" s="926">
        <f>IF(BB381=0,0,(BC381-BB381)/BB381*100)</f>
        <v>0</v>
      </c>
      <c r="BN381" s="4830"/>
      <c r="BO381" s="4784" t="str">
        <f>IF(_xlfn.IFERROR(INDEX(Налоги!$K$26:$L$69,MATCH($F381&amp;"7komm",Налоги!$K$26:$K$69,0),2),"")=0,"",_xlfn.IFERROR(INDEX(Налоги!$K$26:$L$69,MATCH($F381&amp;"7komm",Налоги!$K$26:$K$69,0),2),""))</f>
        <v/>
      </c>
      <c r="BP381" s="4830"/>
      <c r="BQ381" s="960"/>
      <c r="BR381" s="960"/>
      <c r="BS381" s="1048" t="s">
        <v>1931</v>
      </c>
      <c r="BT381" s="1048"/>
      <c r="BU381" s="1048"/>
      <c r="BV381" s="962"/>
      <c r="BW381" s="962"/>
    </row>
    <row s="1621" customFormat="1" customHeight="1" ht="14.25">
      <c r="A382" s="960"/>
      <c r="B382" s="62"/>
      <c r="C382" s="73"/>
      <c r="D382" s="73"/>
      <c r="E382" s="600">
        <v>15</v>
      </c>
      <c r="F382" s="50" cm="1" t="str">
        <f t="array" ref="F382:F382">OFFSET(E382,-1,1)</f>
        <v>2</v>
      </c>
      <c r="G382" s="904">
        <v>6</v>
      </c>
      <c r="H382" s="73"/>
      <c r="I382" s="73" t="s">
        <v>1932</v>
      </c>
      <c r="J382" s="73"/>
      <c r="K382" s="73" t="s">
        <v>1932</v>
      </c>
      <c r="L382" s="963"/>
      <c r="M382" s="73"/>
      <c r="N382" s="73"/>
      <c r="O382" s="73"/>
      <c r="P382" s="73"/>
      <c r="Q382" s="73"/>
      <c r="R382" s="73"/>
      <c r="S382" s="73"/>
      <c r="T382" s="439" cm="1" t="str">
        <f t="array" ref="T382:T382">T381</f>
        <v>true</v>
      </c>
      <c r="U382" s="73"/>
      <c r="V382" s="73"/>
      <c r="W382" s="960"/>
      <c r="X382" s="1482"/>
      <c r="Y382" s="960"/>
      <c r="Z382" s="1465"/>
      <c r="AA382" s="960"/>
      <c r="AB382" s="266" t="s">
        <v>1375</v>
      </c>
      <c r="AC382" s="746" t="s">
        <v>1933</v>
      </c>
      <c r="AD382" s="267" t="s">
        <v>784</v>
      </c>
      <c r="AE382" s="226">
        <f>_xlfn.SUMIFS(Налоги!AE$25:AE$69,Налоги!$F$25:$F$69,$F382,Налоги!$AB$25:$AB$69,$G382)</f>
        <v>0</v>
      </c>
      <c r="AF382" s="226">
        <f>_xlfn.SUMIFS(Налоги!AF$25:AF$69,Налоги!$F$25:$F$69,$F382,Налоги!$AB$25:$AB$69,$G382)</f>
        <v>1463.50167634</v>
      </c>
      <c r="AG382" s="226">
        <f>_xlfn.SUMIFS(Налоги!AG$25:AG$69,Налоги!$F$25:$F$69,$F382,Налоги!$AB$25:$AB$69,$G382)</f>
        <v>0</v>
      </c>
      <c r="AH382" s="926">
        <f>AG382-AF382</f>
        <v>-1463.50167634</v>
      </c>
      <c r="AI382" s="926">
        <f>_xlfn.SUMIFS(Налоги!AH$25:AH$69,Налоги!$F$25:$F$69,$F382,Налоги!$AB$25:$AB$69,$G382)</f>
        <v>0</v>
      </c>
      <c r="AJ382" s="926">
        <f>_xlfn.SUMIFS(Налоги!AI$25:AI$69,Налоги!$F$25:$F$69,$F382,Налоги!$AB$25:$AB$69,$G382)</f>
        <v>1334.3691757</v>
      </c>
      <c r="AK382" s="926">
        <f>_xlfn.SUMIFS(Налоги!AJ$25:AJ$69,Налоги!$F$25:$F$69,$F382,Налоги!$AB$25:$AB$69,$G382)</f>
        <v>0</v>
      </c>
      <c r="AL382" s="926">
        <f>_xlfn.SUMIFS(Налоги!AK$25:AK$69,Налоги!$F$25:$F$69,$F382,Налоги!$AB$25:$AB$69,$G382)</f>
        <v>0</v>
      </c>
      <c r="AM382" s="926">
        <f>_xlfn.SUMIFS(Налоги!AL$25:AL$69,Налоги!$F$25:$F$69,$F382,Налоги!$AB$25:$AB$69,$G382)</f>
        <v>0</v>
      </c>
      <c r="AN382" s="926">
        <f>_xlfn.SUMIFS(Налоги!AM$25:AM$69,Налоги!$F$25:$F$69,$F382,Налоги!$AB$25:$AB$69,$G382)</f>
        <v>0</v>
      </c>
      <c r="AO382" s="926">
        <f>_xlfn.SUMIFS(Налоги!AN$25:AN$69,Налоги!$F$25:$F$69,$F382,Налоги!$AB$25:$AB$69,$G382)</f>
        <v>0</v>
      </c>
      <c r="AP382" s="926">
        <f>_xlfn.SUMIFS(Налоги!AO$25:AO$69,Налоги!$F$25:$F$69,$F382,Налоги!$AB$25:$AB$69,$G382)</f>
        <v>0</v>
      </c>
      <c r="AQ382" s="926">
        <f>_xlfn.SUMIFS(Налоги!AP$25:AP$69,Налоги!$F$25:$F$69,$F382,Налоги!$AB$25:$AB$69,$G382)</f>
        <v>0</v>
      </c>
      <c r="AR382" s="926">
        <f>_xlfn.SUMIFS(Налоги!AQ$25:AQ$69,Налоги!$F$25:$F$69,$F382,Налоги!$AB$25:$AB$69,$G382)</f>
        <v>0</v>
      </c>
      <c r="AS382" s="926">
        <f>_xlfn.SUMIFS(Налоги!AR$25:AR$69,Налоги!$F$25:$F$69,$F382,Налоги!$AB$25:$AB$69,$G382)</f>
        <v>0</v>
      </c>
      <c r="AT382" s="926">
        <f>_xlfn.SUMIFS(Налоги!AS$25:AS$69,Налоги!$F$25:$F$69,$F382,Налоги!$AB$25:$AB$69,$G382)</f>
        <v>0</v>
      </c>
      <c r="AU382" s="926">
        <f>_xlfn.SUMIFS(Налоги!AT$25:AT$69,Налоги!$F$25:$F$69,$F382,Налоги!$AB$25:$AB$69,$G382)</f>
        <v>0</v>
      </c>
      <c r="AV382" s="926">
        <f>_xlfn.SUMIFS(Налоги!AU$25:AU$69,Налоги!$F$25:$F$69,$F382,Налоги!$AB$25:$AB$69,$G382)</f>
        <v>0</v>
      </c>
      <c r="AW382" s="926">
        <f>_xlfn.SUMIFS(Налоги!AV$25:AV$69,Налоги!$F$25:$F$69,$F382,Налоги!$AB$25:$AB$69,$G382)</f>
        <v>0</v>
      </c>
      <c r="AX382" s="926">
        <f>_xlfn.SUMIFS(Налоги!AW$25:AW$69,Налоги!$F$25:$F$69,$F382,Налоги!$AB$25:$AB$69,$G382)</f>
        <v>0</v>
      </c>
      <c r="AY382" s="926">
        <f>_xlfn.SUMIFS(Налоги!AX$25:AX$69,Налоги!$F$25:$F$69,$F382,Налоги!$AB$25:$AB$69,$G382)</f>
        <v>0</v>
      </c>
      <c r="AZ382" s="926">
        <f>_xlfn.SUMIFS(Налоги!AY$25:AY$69,Налоги!$F$25:$F$69,$F382,Налоги!$AB$25:$AB$69,$G382)</f>
        <v>0</v>
      </c>
      <c r="BA382" s="926">
        <f>_xlfn.SUMIFS(Налоги!AZ$25:AZ$69,Налоги!$F$25:$F$69,$F382,Налоги!$AB$25:$AB$69,$G382)</f>
        <v>0</v>
      </c>
      <c r="BB382" s="926">
        <f>_xlfn.SUMIFS(Налоги!BA$25:BA$69,Налоги!$F$25:$F$69,$F382,Налоги!$AB$25:$AB$69,$G382)</f>
        <v>0</v>
      </c>
      <c r="BC382" s="926">
        <f>_xlfn.SUMIFS(Налоги!BB$25:BB$69,Налоги!$F$25:$F$69,$F382,Налоги!$AB$25:$AB$69,$G382)</f>
        <v>0</v>
      </c>
      <c r="BD382" s="926">
        <f>IF(AI382=0,0,(AT382-AI382)/AI382*100)</f>
        <v>0</v>
      </c>
      <c r="BE382" s="926">
        <f>IF(AT382=0,0,(AU382-AT382)/AT382*100)</f>
        <v>0</v>
      </c>
      <c r="BF382" s="926">
        <f>IF(AU382=0,0,(AV382-AU382)/AU382*100)</f>
        <v>0</v>
      </c>
      <c r="BG382" s="926">
        <f>IF(AV382=0,0,(AW382-AV382)/AV382*100)</f>
        <v>0</v>
      </c>
      <c r="BH382" s="926">
        <f>IF(AW382=0,0,(AX382-AW382)/AW382*100)</f>
        <v>0</v>
      </c>
      <c r="BI382" s="926">
        <f>IF(AX382=0,0,(AY382-AX382)/AX382*100)</f>
        <v>0</v>
      </c>
      <c r="BJ382" s="926">
        <f>IF(AY382=0,0,(AZ382-AY382)/AY382*100)</f>
        <v>0</v>
      </c>
      <c r="BK382" s="926">
        <f>IF(AZ382=0,0,(BA382-AZ382)/AZ382*100)</f>
        <v>0</v>
      </c>
      <c r="BL382" s="926">
        <f>IF(BA382=0,0,(BB382-BA382)/BA382*100)</f>
        <v>0</v>
      </c>
      <c r="BM382" s="926">
        <f>IF(BB382=0,0,(BC382-BB382)/BB382*100)</f>
        <v>0</v>
      </c>
      <c r="BN382" s="4830"/>
      <c r="BO382" s="4784"/>
      <c r="BP382" s="4830"/>
      <c r="BQ382" s="960"/>
      <c r="BR382" s="960"/>
      <c r="BS382" s="1048" t="s">
        <v>1934</v>
      </c>
      <c r="BT382" s="1048"/>
      <c r="BU382" s="1048"/>
      <c r="BV382" s="962"/>
      <c r="BW382" s="962"/>
    </row>
    <row s="1621" customFormat="1" customHeight="1" ht="14.25">
      <c r="A383" s="960"/>
      <c r="B383" s="62"/>
      <c r="C383" s="73"/>
      <c r="D383" s="73"/>
      <c r="E383" s="600">
        <v>15</v>
      </c>
      <c r="F383" s="50" cm="1" t="str">
        <f t="array" ref="F383:F383">OFFSET(E383,-1,1)</f>
        <v>2</v>
      </c>
      <c r="G383" s="904">
        <v>2</v>
      </c>
      <c r="H383" s="73"/>
      <c r="I383" s="73" t="s">
        <v>1935</v>
      </c>
      <c r="J383" s="73"/>
      <c r="K383" s="73" t="s">
        <v>1935</v>
      </c>
      <c r="L383" s="963"/>
      <c r="M383" s="73"/>
      <c r="N383" s="73"/>
      <c r="O383" s="73"/>
      <c r="P383" s="73"/>
      <c r="Q383" s="73"/>
      <c r="R383" s="73"/>
      <c r="S383" s="73"/>
      <c r="T383" s="439" cm="1" t="str">
        <f t="array" ref="T383:T383">T382</f>
        <v>true</v>
      </c>
      <c r="U383" s="73"/>
      <c r="V383" s="73"/>
      <c r="W383" s="960"/>
      <c r="X383" s="1482"/>
      <c r="Y383" s="960"/>
      <c r="Z383" s="1465"/>
      <c r="AA383" s="960"/>
      <c r="AB383" s="266" t="s">
        <v>1380</v>
      </c>
      <c r="AC383" s="746" t="s">
        <v>1936</v>
      </c>
      <c r="AD383" s="267" t="s">
        <v>784</v>
      </c>
      <c r="AE383" s="226">
        <f>_xlfn.SUMIFS(Налоги!AE$25:AE$69,Налоги!$F$25:$F$69,$F383,Налоги!$AB$25:$AB$69,$G383)</f>
        <v>0</v>
      </c>
      <c r="AF383" s="226">
        <f>_xlfn.SUMIFS(Налоги!AF$25:AF$69,Налоги!$F$25:$F$69,$F383,Налоги!$AB$25:$AB$69,$G383)</f>
        <v>0</v>
      </c>
      <c r="AG383" s="226">
        <f>_xlfn.SUMIFS(Налоги!AG$25:AG$69,Налоги!$F$25:$F$69,$F383,Налоги!$AB$25:$AB$69,$G383)</f>
        <v>0</v>
      </c>
      <c r="AH383" s="926">
        <f>AG383-AF383</f>
        <v>0</v>
      </c>
      <c r="AI383" s="926">
        <f>_xlfn.SUMIFS(Налоги!AH$25:AH$69,Налоги!$F$25:$F$69,$F383,Налоги!$AB$25:$AB$69,$G383)</f>
        <v>0</v>
      </c>
      <c r="AJ383" s="926">
        <f>_xlfn.SUMIFS(Налоги!AI$25:AI$69,Налоги!$F$25:$F$69,$F383,Налоги!$AB$25:$AB$69,$G383)</f>
        <v>0</v>
      </c>
      <c r="AK383" s="926">
        <f>_xlfn.SUMIFS(Налоги!AJ$25:AJ$69,Налоги!$F$25:$F$69,$F383,Налоги!$AB$25:$AB$69,$G383)</f>
        <v>0</v>
      </c>
      <c r="AL383" s="926">
        <f>_xlfn.SUMIFS(Налоги!AK$25:AK$69,Налоги!$F$25:$F$69,$F383,Налоги!$AB$25:$AB$69,$G383)</f>
        <v>0</v>
      </c>
      <c r="AM383" s="926">
        <f>_xlfn.SUMIFS(Налоги!AL$25:AL$69,Налоги!$F$25:$F$69,$F383,Налоги!$AB$25:$AB$69,$G383)</f>
        <v>0</v>
      </c>
      <c r="AN383" s="926">
        <f>_xlfn.SUMIFS(Налоги!AM$25:AM$69,Налоги!$F$25:$F$69,$F383,Налоги!$AB$25:$AB$69,$G383)</f>
        <v>0</v>
      </c>
      <c r="AO383" s="926">
        <f>_xlfn.SUMIFS(Налоги!AN$25:AN$69,Налоги!$F$25:$F$69,$F383,Налоги!$AB$25:$AB$69,$G383)</f>
        <v>0</v>
      </c>
      <c r="AP383" s="926">
        <f>_xlfn.SUMIFS(Налоги!AO$25:AO$69,Налоги!$F$25:$F$69,$F383,Налоги!$AB$25:$AB$69,$G383)</f>
        <v>0</v>
      </c>
      <c r="AQ383" s="926">
        <f>_xlfn.SUMIFS(Налоги!AP$25:AP$69,Налоги!$F$25:$F$69,$F383,Налоги!$AB$25:$AB$69,$G383)</f>
        <v>0</v>
      </c>
      <c r="AR383" s="926">
        <f>_xlfn.SUMIFS(Налоги!AQ$25:AQ$69,Налоги!$F$25:$F$69,$F383,Налоги!$AB$25:$AB$69,$G383)</f>
        <v>0</v>
      </c>
      <c r="AS383" s="926">
        <f>_xlfn.SUMIFS(Налоги!AR$25:AR$69,Налоги!$F$25:$F$69,$F383,Налоги!$AB$25:$AB$69,$G383)</f>
        <v>0</v>
      </c>
      <c r="AT383" s="926">
        <f>_xlfn.SUMIFS(Налоги!AS$25:AS$69,Налоги!$F$25:$F$69,$F383,Налоги!$AB$25:$AB$69,$G383)</f>
        <v>0</v>
      </c>
      <c r="AU383" s="926">
        <f>_xlfn.SUMIFS(Налоги!AT$25:AT$69,Налоги!$F$25:$F$69,$F383,Налоги!$AB$25:$AB$69,$G383)</f>
        <v>0</v>
      </c>
      <c r="AV383" s="926">
        <f>_xlfn.SUMIFS(Налоги!AU$25:AU$69,Налоги!$F$25:$F$69,$F383,Налоги!$AB$25:$AB$69,$G383)</f>
        <v>0</v>
      </c>
      <c r="AW383" s="926">
        <f>_xlfn.SUMIFS(Налоги!AV$25:AV$69,Налоги!$F$25:$F$69,$F383,Налоги!$AB$25:$AB$69,$G383)</f>
        <v>0</v>
      </c>
      <c r="AX383" s="926">
        <f>_xlfn.SUMIFS(Налоги!AW$25:AW$69,Налоги!$F$25:$F$69,$F383,Налоги!$AB$25:$AB$69,$G383)</f>
        <v>0</v>
      </c>
      <c r="AY383" s="926">
        <f>_xlfn.SUMIFS(Налоги!AX$25:AX$69,Налоги!$F$25:$F$69,$F383,Налоги!$AB$25:$AB$69,$G383)</f>
        <v>0</v>
      </c>
      <c r="AZ383" s="926">
        <f>_xlfn.SUMIFS(Налоги!AY$25:AY$69,Налоги!$F$25:$F$69,$F383,Налоги!$AB$25:$AB$69,$G383)</f>
        <v>0</v>
      </c>
      <c r="BA383" s="926">
        <f>_xlfn.SUMIFS(Налоги!AZ$25:AZ$69,Налоги!$F$25:$F$69,$F383,Налоги!$AB$25:$AB$69,$G383)</f>
        <v>0</v>
      </c>
      <c r="BB383" s="926">
        <f>_xlfn.SUMIFS(Налоги!BA$25:BA$69,Налоги!$F$25:$F$69,$F383,Налоги!$AB$25:$AB$69,$G383)</f>
        <v>0</v>
      </c>
      <c r="BC383" s="926">
        <f>_xlfn.SUMIFS(Налоги!BB$25:BB$69,Налоги!$F$25:$F$69,$F383,Налоги!$AB$25:$AB$69,$G383)</f>
        <v>0</v>
      </c>
      <c r="BD383" s="926">
        <f>IF(AI383=0,0,(AT383-AI383)/AI383*100)</f>
        <v>0</v>
      </c>
      <c r="BE383" s="926">
        <f>IF(AT383=0,0,(AU383-AT383)/AT383*100)</f>
        <v>0</v>
      </c>
      <c r="BF383" s="926">
        <f>IF(AU383=0,0,(AV383-AU383)/AU383*100)</f>
        <v>0</v>
      </c>
      <c r="BG383" s="926">
        <f>IF(AV383=0,0,(AW383-AV383)/AV383*100)</f>
        <v>0</v>
      </c>
      <c r="BH383" s="926">
        <f>IF(AW383=0,0,(AX383-AW383)/AW383*100)</f>
        <v>0</v>
      </c>
      <c r="BI383" s="926">
        <f>IF(AX383=0,0,(AY383-AX383)/AX383*100)</f>
        <v>0</v>
      </c>
      <c r="BJ383" s="926">
        <f>IF(AY383=0,0,(AZ383-AY383)/AY383*100)</f>
        <v>0</v>
      </c>
      <c r="BK383" s="926">
        <f>IF(AZ383=0,0,(BA383-AZ383)/AZ383*100)</f>
        <v>0</v>
      </c>
      <c r="BL383" s="926">
        <f>IF(BA383=0,0,(BB383-BA383)/BA383*100)</f>
        <v>0</v>
      </c>
      <c r="BM383" s="926">
        <f>IF(BB383=0,0,(BC383-BB383)/BB383*100)</f>
        <v>0</v>
      </c>
      <c r="BN383" s="4830"/>
      <c r="BO383" s="4784" t="str">
        <f>IF(_xlfn.IFERROR(INDEX(Налоги!$K$26:$L$69,MATCH($F383&amp;"2komm",Налоги!$K$26:$K$69,0),2),"")=0,"",_xlfn.IFERROR(INDEX(Налоги!$K$26:$L$69,MATCH($F383&amp;"2komm",Налоги!$K$26:$K$69,0),2),""))</f>
        <v/>
      </c>
      <c r="BP383" s="4830"/>
      <c r="BQ383" s="960"/>
      <c r="BR383" s="960"/>
      <c r="BS383" s="1048" t="s">
        <v>1937</v>
      </c>
      <c r="BT383" s="1048"/>
      <c r="BU383" s="1048"/>
      <c r="BV383" s="962"/>
      <c r="BW383" s="962"/>
    </row>
    <row s="1621" customFormat="1" customHeight="1" ht="14.25">
      <c r="A384" s="960"/>
      <c r="B384" s="62"/>
      <c r="C384" s="73"/>
      <c r="D384" s="73"/>
      <c r="E384" s="600">
        <v>15</v>
      </c>
      <c r="F384" s="50" cm="1" t="str">
        <f t="array" ref="F384:F384">OFFSET(E384,-1,1)</f>
        <v>2</v>
      </c>
      <c r="G384" s="904">
        <v>4</v>
      </c>
      <c r="H384" s="73"/>
      <c r="I384" s="73" t="s">
        <v>1938</v>
      </c>
      <c r="J384" s="73"/>
      <c r="K384" s="73" t="s">
        <v>1938</v>
      </c>
      <c r="L384" s="963"/>
      <c r="M384" s="73"/>
      <c r="N384" s="73"/>
      <c r="O384" s="73"/>
      <c r="P384" s="73"/>
      <c r="Q384" s="73"/>
      <c r="R384" s="73"/>
      <c r="S384" s="73"/>
      <c r="T384" s="439" cm="1" t="str">
        <f t="array" ref="T384:T384">T383</f>
        <v>true</v>
      </c>
      <c r="U384" s="73"/>
      <c r="V384" s="73"/>
      <c r="W384" s="960"/>
      <c r="X384" s="1482"/>
      <c r="Y384" s="960"/>
      <c r="Z384" s="1465"/>
      <c r="AA384" s="960"/>
      <c r="AB384" s="266" t="s">
        <v>1939</v>
      </c>
      <c r="AC384" s="746" t="s">
        <v>1940</v>
      </c>
      <c r="AD384" s="267" t="s">
        <v>784</v>
      </c>
      <c r="AE384" s="226">
        <f>_xlfn.SUMIFS(Налоги!AE$25:AE$69,Налоги!$F$25:$F$69,$F384,Налоги!$AB$25:$AB$69,$G384)</f>
        <v>0</v>
      </c>
      <c r="AF384" s="226">
        <f>_xlfn.SUMIFS(Налоги!AF$25:AF$69,Налоги!$F$25:$F$69,$F384,Налоги!$AB$25:$AB$69,$G384)</f>
        <v>0</v>
      </c>
      <c r="AG384" s="226">
        <f>_xlfn.SUMIFS(Налоги!AG$25:AG$69,Налоги!$F$25:$F$69,$F384,Налоги!$AB$25:$AB$69,$G384)</f>
        <v>0</v>
      </c>
      <c r="AH384" s="926">
        <f>AG384-AF384</f>
        <v>0</v>
      </c>
      <c r="AI384" s="926">
        <f>_xlfn.SUMIFS(Налоги!AH$25:AH$69,Налоги!$F$25:$F$69,$F384,Налоги!$AB$25:$AB$69,$G384)</f>
        <v>0</v>
      </c>
      <c r="AJ384" s="926">
        <f>_xlfn.SUMIFS(Налоги!AI$25:AI$69,Налоги!$F$25:$F$69,$F384,Налоги!$AB$25:$AB$69,$G384)</f>
        <v>0</v>
      </c>
      <c r="AK384" s="926">
        <f>_xlfn.SUMIFS(Налоги!AJ$25:AJ$69,Налоги!$F$25:$F$69,$F384,Налоги!$AB$25:$AB$69,$G384)</f>
        <v>0</v>
      </c>
      <c r="AL384" s="926">
        <f>_xlfn.SUMIFS(Налоги!AK$25:AK$69,Налоги!$F$25:$F$69,$F384,Налоги!$AB$25:$AB$69,$G384)</f>
        <v>0</v>
      </c>
      <c r="AM384" s="926">
        <f>_xlfn.SUMIFS(Налоги!AL$25:AL$69,Налоги!$F$25:$F$69,$F384,Налоги!$AB$25:$AB$69,$G384)</f>
        <v>0</v>
      </c>
      <c r="AN384" s="926">
        <f>_xlfn.SUMIFS(Налоги!AM$25:AM$69,Налоги!$F$25:$F$69,$F384,Налоги!$AB$25:$AB$69,$G384)</f>
        <v>0</v>
      </c>
      <c r="AO384" s="926">
        <f>_xlfn.SUMIFS(Налоги!AN$25:AN$69,Налоги!$F$25:$F$69,$F384,Налоги!$AB$25:$AB$69,$G384)</f>
        <v>0</v>
      </c>
      <c r="AP384" s="926">
        <f>_xlfn.SUMIFS(Налоги!AO$25:AO$69,Налоги!$F$25:$F$69,$F384,Налоги!$AB$25:$AB$69,$G384)</f>
        <v>0</v>
      </c>
      <c r="AQ384" s="926">
        <f>_xlfn.SUMIFS(Налоги!AP$25:AP$69,Налоги!$F$25:$F$69,$F384,Налоги!$AB$25:$AB$69,$G384)</f>
        <v>0</v>
      </c>
      <c r="AR384" s="926">
        <f>_xlfn.SUMIFS(Налоги!AQ$25:AQ$69,Налоги!$F$25:$F$69,$F384,Налоги!$AB$25:$AB$69,$G384)</f>
        <v>0</v>
      </c>
      <c r="AS384" s="926">
        <f>_xlfn.SUMIFS(Налоги!AR$25:AR$69,Налоги!$F$25:$F$69,$F384,Налоги!$AB$25:$AB$69,$G384)</f>
        <v>0</v>
      </c>
      <c r="AT384" s="926">
        <f>_xlfn.SUMIFS(Налоги!AS$25:AS$69,Налоги!$F$25:$F$69,$F384,Налоги!$AB$25:$AB$69,$G384)</f>
        <v>0</v>
      </c>
      <c r="AU384" s="926">
        <f>_xlfn.SUMIFS(Налоги!AT$25:AT$69,Налоги!$F$25:$F$69,$F384,Налоги!$AB$25:$AB$69,$G384)</f>
        <v>0</v>
      </c>
      <c r="AV384" s="926">
        <f>_xlfn.SUMIFS(Налоги!AU$25:AU$69,Налоги!$F$25:$F$69,$F384,Налоги!$AB$25:$AB$69,$G384)</f>
        <v>0</v>
      </c>
      <c r="AW384" s="926">
        <f>_xlfn.SUMIFS(Налоги!AV$25:AV$69,Налоги!$F$25:$F$69,$F384,Налоги!$AB$25:$AB$69,$G384)</f>
        <v>0</v>
      </c>
      <c r="AX384" s="926">
        <f>_xlfn.SUMIFS(Налоги!AW$25:AW$69,Налоги!$F$25:$F$69,$F384,Налоги!$AB$25:$AB$69,$G384)</f>
        <v>0</v>
      </c>
      <c r="AY384" s="926">
        <f>_xlfn.SUMIFS(Налоги!AX$25:AX$69,Налоги!$F$25:$F$69,$F384,Налоги!$AB$25:$AB$69,$G384)</f>
        <v>0</v>
      </c>
      <c r="AZ384" s="926">
        <f>_xlfn.SUMIFS(Налоги!AY$25:AY$69,Налоги!$F$25:$F$69,$F384,Налоги!$AB$25:$AB$69,$G384)</f>
        <v>0</v>
      </c>
      <c r="BA384" s="926">
        <f>_xlfn.SUMIFS(Налоги!AZ$25:AZ$69,Налоги!$F$25:$F$69,$F384,Налоги!$AB$25:$AB$69,$G384)</f>
        <v>0</v>
      </c>
      <c r="BB384" s="926">
        <f>_xlfn.SUMIFS(Налоги!BA$25:BA$69,Налоги!$F$25:$F$69,$F384,Налоги!$AB$25:$AB$69,$G384)</f>
        <v>0</v>
      </c>
      <c r="BC384" s="926">
        <f>_xlfn.SUMIFS(Налоги!BB$25:BB$69,Налоги!$F$25:$F$69,$F384,Налоги!$AB$25:$AB$69,$G384)</f>
        <v>0</v>
      </c>
      <c r="BD384" s="926">
        <f>IF(AI384=0,0,(AT384-AI384)/AI384*100)</f>
        <v>0</v>
      </c>
      <c r="BE384" s="926">
        <f>IF(AT384=0,0,(AU384-AT384)/AT384*100)</f>
        <v>0</v>
      </c>
      <c r="BF384" s="926">
        <f>IF(AU384=0,0,(AV384-AU384)/AU384*100)</f>
        <v>0</v>
      </c>
      <c r="BG384" s="926">
        <f>IF(AV384=0,0,(AW384-AV384)/AV384*100)</f>
        <v>0</v>
      </c>
      <c r="BH384" s="926">
        <f>IF(AW384=0,0,(AX384-AW384)/AW384*100)</f>
        <v>0</v>
      </c>
      <c r="BI384" s="926">
        <f>IF(AX384=0,0,(AY384-AX384)/AX384*100)</f>
        <v>0</v>
      </c>
      <c r="BJ384" s="926">
        <f>IF(AY384=0,0,(AZ384-AY384)/AY384*100)</f>
        <v>0</v>
      </c>
      <c r="BK384" s="926">
        <f>IF(AZ384=0,0,(BA384-AZ384)/AZ384*100)</f>
        <v>0</v>
      </c>
      <c r="BL384" s="926">
        <f>IF(BA384=0,0,(BB384-BA384)/BA384*100)</f>
        <v>0</v>
      </c>
      <c r="BM384" s="926">
        <f>IF(BB384=0,0,(BC384-BB384)/BB384*100)</f>
        <v>0</v>
      </c>
      <c r="BN384" s="4830"/>
      <c r="BO384" s="4784" t="str">
        <f>IF(_xlfn.IFERROR(INDEX(Налоги!$K$26:$L$69,MATCH($F384&amp;"4komm",Налоги!$K$26:$K$69,0),2),"")=0,"",_xlfn.IFERROR(INDEX(Налоги!$K$26:$L$69,MATCH($F384&amp;"4komm",Налоги!$K$26:$K$69,0),2),""))</f>
        <v/>
      </c>
      <c r="BP384" s="4830"/>
      <c r="BQ384" s="960"/>
      <c r="BR384" s="960"/>
      <c r="BS384" s="1048" t="s">
        <v>1941</v>
      </c>
      <c r="BT384" s="1048"/>
      <c r="BU384" s="1048"/>
      <c r="BV384" s="962"/>
      <c r="BW384" s="962"/>
    </row>
    <row s="1621" customFormat="1" customHeight="1" ht="14.25">
      <c r="A385" s="960"/>
      <c r="B385" s="62"/>
      <c r="C385" s="73"/>
      <c r="D385" s="73"/>
      <c r="E385" s="600">
        <v>15</v>
      </c>
      <c r="F385" s="50" cm="1" t="str">
        <f t="array" ref="F385:F385">OFFSET(E385,-1,1)</f>
        <v>2</v>
      </c>
      <c r="G385" s="904">
        <v>5</v>
      </c>
      <c r="H385" s="73"/>
      <c r="I385" s="73" t="s">
        <v>1942</v>
      </c>
      <c r="J385" s="73"/>
      <c r="K385" s="73" t="s">
        <v>1942</v>
      </c>
      <c r="L385" s="963"/>
      <c r="M385" s="73"/>
      <c r="N385" s="73"/>
      <c r="O385" s="73"/>
      <c r="P385" s="73"/>
      <c r="Q385" s="73"/>
      <c r="R385" s="73"/>
      <c r="S385" s="73"/>
      <c r="T385" s="439" cm="1" t="str">
        <f t="array" ref="T385:T385">T384</f>
        <v>true</v>
      </c>
      <c r="U385" s="73"/>
      <c r="V385" s="73"/>
      <c r="W385" s="960"/>
      <c r="X385" s="1482"/>
      <c r="Y385" s="960"/>
      <c r="Z385" s="1465"/>
      <c r="AA385" s="960"/>
      <c r="AB385" s="266" t="s">
        <v>1943</v>
      </c>
      <c r="AC385" s="746" t="s">
        <v>1944</v>
      </c>
      <c r="AD385" s="267" t="s">
        <v>784</v>
      </c>
      <c r="AE385" s="226">
        <f>_xlfn.SUMIFS(Налоги!AE$25:AE$69,Налоги!$F$25:$F$69,$F385,Налоги!$AB$25:$AB$69,$G385)</f>
        <v>0</v>
      </c>
      <c r="AF385" s="226">
        <f>_xlfn.SUMIFS(Налоги!AF$25:AF$69,Налоги!$F$25:$F$69,$F385,Налоги!$AB$25:$AB$69,$G385)</f>
        <v>0</v>
      </c>
      <c r="AG385" s="226">
        <f>_xlfn.SUMIFS(Налоги!AG$25:AG$69,Налоги!$F$25:$F$69,$F385,Налоги!$AB$25:$AB$69,$G385)</f>
        <v>0</v>
      </c>
      <c r="AH385" s="926">
        <f>AG385-AF385</f>
        <v>0</v>
      </c>
      <c r="AI385" s="926">
        <f>_xlfn.SUMIFS(Налоги!AH$25:AH$69,Налоги!$F$25:$F$69,$F385,Налоги!$AB$25:$AB$69,$G385)</f>
        <v>0</v>
      </c>
      <c r="AJ385" s="926">
        <f>_xlfn.SUMIFS(Налоги!AI$25:AI$69,Налоги!$F$25:$F$69,$F385,Налоги!$AB$25:$AB$69,$G385)</f>
        <v>0</v>
      </c>
      <c r="AK385" s="926">
        <f>_xlfn.SUMIFS(Налоги!AJ$25:AJ$69,Налоги!$F$25:$F$69,$F385,Налоги!$AB$25:$AB$69,$G385)</f>
        <v>0</v>
      </c>
      <c r="AL385" s="926">
        <f>_xlfn.SUMIFS(Налоги!AK$25:AK$69,Налоги!$F$25:$F$69,$F385,Налоги!$AB$25:$AB$69,$G385)</f>
        <v>0</v>
      </c>
      <c r="AM385" s="926">
        <f>_xlfn.SUMIFS(Налоги!AL$25:AL$69,Налоги!$F$25:$F$69,$F385,Налоги!$AB$25:$AB$69,$G385)</f>
        <v>0</v>
      </c>
      <c r="AN385" s="926">
        <f>_xlfn.SUMIFS(Налоги!AM$25:AM$69,Налоги!$F$25:$F$69,$F385,Налоги!$AB$25:$AB$69,$G385)</f>
        <v>0</v>
      </c>
      <c r="AO385" s="926">
        <f>_xlfn.SUMIFS(Налоги!AN$25:AN$69,Налоги!$F$25:$F$69,$F385,Налоги!$AB$25:$AB$69,$G385)</f>
        <v>0</v>
      </c>
      <c r="AP385" s="926">
        <f>_xlfn.SUMIFS(Налоги!AO$25:AO$69,Налоги!$F$25:$F$69,$F385,Налоги!$AB$25:$AB$69,$G385)</f>
        <v>0</v>
      </c>
      <c r="AQ385" s="926">
        <f>_xlfn.SUMIFS(Налоги!AP$25:AP$69,Налоги!$F$25:$F$69,$F385,Налоги!$AB$25:$AB$69,$G385)</f>
        <v>0</v>
      </c>
      <c r="AR385" s="926">
        <f>_xlfn.SUMIFS(Налоги!AQ$25:AQ$69,Налоги!$F$25:$F$69,$F385,Налоги!$AB$25:$AB$69,$G385)</f>
        <v>0</v>
      </c>
      <c r="AS385" s="926">
        <f>_xlfn.SUMIFS(Налоги!AR$25:AR$69,Налоги!$F$25:$F$69,$F385,Налоги!$AB$25:$AB$69,$G385)</f>
        <v>0</v>
      </c>
      <c r="AT385" s="926">
        <f>_xlfn.SUMIFS(Налоги!AS$25:AS$69,Налоги!$F$25:$F$69,$F385,Налоги!$AB$25:$AB$69,$G385)</f>
        <v>0</v>
      </c>
      <c r="AU385" s="926">
        <f>_xlfn.SUMIFS(Налоги!AT$25:AT$69,Налоги!$F$25:$F$69,$F385,Налоги!$AB$25:$AB$69,$G385)</f>
        <v>0</v>
      </c>
      <c r="AV385" s="926">
        <f>_xlfn.SUMIFS(Налоги!AU$25:AU$69,Налоги!$F$25:$F$69,$F385,Налоги!$AB$25:$AB$69,$G385)</f>
        <v>0</v>
      </c>
      <c r="AW385" s="926">
        <f>_xlfn.SUMIFS(Налоги!AV$25:AV$69,Налоги!$F$25:$F$69,$F385,Налоги!$AB$25:$AB$69,$G385)</f>
        <v>0</v>
      </c>
      <c r="AX385" s="926">
        <f>_xlfn.SUMIFS(Налоги!AW$25:AW$69,Налоги!$F$25:$F$69,$F385,Налоги!$AB$25:$AB$69,$G385)</f>
        <v>0</v>
      </c>
      <c r="AY385" s="926">
        <f>_xlfn.SUMIFS(Налоги!AX$25:AX$69,Налоги!$F$25:$F$69,$F385,Налоги!$AB$25:$AB$69,$G385)</f>
        <v>0</v>
      </c>
      <c r="AZ385" s="926">
        <f>_xlfn.SUMIFS(Налоги!AY$25:AY$69,Налоги!$F$25:$F$69,$F385,Налоги!$AB$25:$AB$69,$G385)</f>
        <v>0</v>
      </c>
      <c r="BA385" s="926">
        <f>_xlfn.SUMIFS(Налоги!AZ$25:AZ$69,Налоги!$F$25:$F$69,$F385,Налоги!$AB$25:$AB$69,$G385)</f>
        <v>0</v>
      </c>
      <c r="BB385" s="926">
        <f>_xlfn.SUMIFS(Налоги!BA$25:BA$69,Налоги!$F$25:$F$69,$F385,Налоги!$AB$25:$AB$69,$G385)</f>
        <v>0</v>
      </c>
      <c r="BC385" s="926">
        <f>_xlfn.SUMIFS(Налоги!BB$25:BB$69,Налоги!$F$25:$F$69,$F385,Налоги!$AB$25:$AB$69,$G385)</f>
        <v>0</v>
      </c>
      <c r="BD385" s="926">
        <f>IF(AI385=0,0,(AT385-AI385)/AI385*100)</f>
        <v>0</v>
      </c>
      <c r="BE385" s="926">
        <f>IF(AT385=0,0,(AU385-AT385)/AT385*100)</f>
        <v>0</v>
      </c>
      <c r="BF385" s="926">
        <f>IF(AU385=0,0,(AV385-AU385)/AU385*100)</f>
        <v>0</v>
      </c>
      <c r="BG385" s="926">
        <f>IF(AV385=0,0,(AW385-AV385)/AV385*100)</f>
        <v>0</v>
      </c>
      <c r="BH385" s="926">
        <f>IF(AW385=0,0,(AX385-AW385)/AW385*100)</f>
        <v>0</v>
      </c>
      <c r="BI385" s="926">
        <f>IF(AX385=0,0,(AY385-AX385)/AX385*100)</f>
        <v>0</v>
      </c>
      <c r="BJ385" s="926">
        <f>IF(AY385=0,0,(AZ385-AY385)/AY385*100)</f>
        <v>0</v>
      </c>
      <c r="BK385" s="926">
        <f>IF(AZ385=0,0,(BA385-AZ385)/AZ385*100)</f>
        <v>0</v>
      </c>
      <c r="BL385" s="926">
        <f>IF(BA385=0,0,(BB385-BA385)/BA385*100)</f>
        <v>0</v>
      </c>
      <c r="BM385" s="926">
        <f>IF(BB385=0,0,(BC385-BB385)/BB385*100)</f>
        <v>0</v>
      </c>
      <c r="BN385" s="4830"/>
      <c r="BO385" s="4784" t="str">
        <f>IF(_xlfn.IFERROR(INDEX(Налоги!$K$26:$L$69,MATCH($F385&amp;"5komm",Налоги!$K$26:$K$69,0),2),"")=0,"",_xlfn.IFERROR(INDEX(Налоги!$K$26:$L$69,MATCH($F385&amp;"5komm",Налоги!$K$26:$K$69,0),2),""))</f>
        <v/>
      </c>
      <c r="BP385" s="4830"/>
      <c r="BQ385" s="960"/>
      <c r="BR385" s="960"/>
      <c r="BS385" s="1048" t="s">
        <v>1945</v>
      </c>
      <c r="BT385" s="1048"/>
      <c r="BU385" s="1048"/>
      <c r="BV385" s="962"/>
      <c r="BW385" s="962"/>
    </row>
    <row s="1621" customFormat="1" customHeight="1" ht="14.25">
      <c r="A386" s="960"/>
      <c r="B386" s="62"/>
      <c r="C386" s="73"/>
      <c r="D386" s="73"/>
      <c r="E386" s="600">
        <v>15</v>
      </c>
      <c r="F386" s="50" cm="1" t="str">
        <f t="array" ref="F386:F386">OFFSET(E386,-1,1)</f>
        <v>2</v>
      </c>
      <c r="G386" s="904">
        <v>1</v>
      </c>
      <c r="H386" s="73"/>
      <c r="I386" s="73" t="s">
        <v>1946</v>
      </c>
      <c r="J386" s="73"/>
      <c r="K386" s="73" t="s">
        <v>1946</v>
      </c>
      <c r="L386" s="963"/>
      <c r="M386" s="73"/>
      <c r="N386" s="73"/>
      <c r="O386" s="73"/>
      <c r="P386" s="73"/>
      <c r="Q386" s="73"/>
      <c r="R386" s="73"/>
      <c r="S386" s="73"/>
      <c r="T386" s="439" cm="1" t="str">
        <f t="array" ref="T386:T386">T385</f>
        <v>true</v>
      </c>
      <c r="U386" s="73"/>
      <c r="V386" s="73"/>
      <c r="W386" s="960"/>
      <c r="X386" s="1482"/>
      <c r="Y386" s="960"/>
      <c r="Z386" s="1465"/>
      <c r="AA386" s="960"/>
      <c r="AB386" s="266" t="s">
        <v>1947</v>
      </c>
      <c r="AC386" s="746" t="s">
        <v>1948</v>
      </c>
      <c r="AD386" s="267" t="s">
        <v>784</v>
      </c>
      <c r="AE386" s="226">
        <f>_xlfn.SUMIFS(Налоги!AE$25:AE$69,Налоги!$F$25:$F$69,$F386,Налоги!$AB$25:$AB$69,$G386)</f>
        <v>0</v>
      </c>
      <c r="AF386" s="226">
        <f>_xlfn.SUMIFS(Налоги!AF$25:AF$69,Налоги!$F$25:$F$69,$F386,Налоги!$AB$25:$AB$69,$G386)</f>
        <v>0</v>
      </c>
      <c r="AG386" s="226">
        <f>_xlfn.SUMIFS(Налоги!AG$25:AG$69,Налоги!$F$25:$F$69,$F386,Налоги!$AB$25:$AB$69,$G386)</f>
        <v>0</v>
      </c>
      <c r="AH386" s="926">
        <f>AG386-AF386</f>
        <v>0</v>
      </c>
      <c r="AI386" s="926">
        <f>_xlfn.SUMIFS(Налоги!AH$25:AH$69,Налоги!$F$25:$F$69,$F386,Налоги!$AB$25:$AB$69,$G386)</f>
        <v>0</v>
      </c>
      <c r="AJ386" s="926">
        <f>_xlfn.SUMIFS(Налоги!AI$25:AI$69,Налоги!$F$25:$F$69,$F386,Налоги!$AB$25:$AB$69,$G386)</f>
        <v>0</v>
      </c>
      <c r="AK386" s="926">
        <f>_xlfn.SUMIFS(Налоги!AJ$25:AJ$69,Налоги!$F$25:$F$69,$F386,Налоги!$AB$25:$AB$69,$G386)</f>
        <v>0</v>
      </c>
      <c r="AL386" s="926">
        <f>_xlfn.SUMIFS(Налоги!AK$25:AK$69,Налоги!$F$25:$F$69,$F386,Налоги!$AB$25:$AB$69,$G386)</f>
        <v>0</v>
      </c>
      <c r="AM386" s="926">
        <f>_xlfn.SUMIFS(Налоги!AL$25:AL$69,Налоги!$F$25:$F$69,$F386,Налоги!$AB$25:$AB$69,$G386)</f>
        <v>0</v>
      </c>
      <c r="AN386" s="926">
        <f>_xlfn.SUMIFS(Налоги!AM$25:AM$69,Налоги!$F$25:$F$69,$F386,Налоги!$AB$25:$AB$69,$G386)</f>
        <v>0</v>
      </c>
      <c r="AO386" s="926">
        <f>_xlfn.SUMIFS(Налоги!AN$25:AN$69,Налоги!$F$25:$F$69,$F386,Налоги!$AB$25:$AB$69,$G386)</f>
        <v>0</v>
      </c>
      <c r="AP386" s="926">
        <f>_xlfn.SUMIFS(Налоги!AO$25:AO$69,Налоги!$F$25:$F$69,$F386,Налоги!$AB$25:$AB$69,$G386)</f>
        <v>0</v>
      </c>
      <c r="AQ386" s="926">
        <f>_xlfn.SUMIFS(Налоги!AP$25:AP$69,Налоги!$F$25:$F$69,$F386,Налоги!$AB$25:$AB$69,$G386)</f>
        <v>0</v>
      </c>
      <c r="AR386" s="926">
        <f>_xlfn.SUMIFS(Налоги!AQ$25:AQ$69,Налоги!$F$25:$F$69,$F386,Налоги!$AB$25:$AB$69,$G386)</f>
        <v>0</v>
      </c>
      <c r="AS386" s="926">
        <f>_xlfn.SUMIFS(Налоги!AR$25:AR$69,Налоги!$F$25:$F$69,$F386,Налоги!$AB$25:$AB$69,$G386)</f>
        <v>0</v>
      </c>
      <c r="AT386" s="926">
        <f>_xlfn.SUMIFS(Налоги!AS$25:AS$69,Налоги!$F$25:$F$69,$F386,Налоги!$AB$25:$AB$69,$G386)</f>
        <v>0</v>
      </c>
      <c r="AU386" s="926">
        <f>_xlfn.SUMIFS(Налоги!AT$25:AT$69,Налоги!$F$25:$F$69,$F386,Налоги!$AB$25:$AB$69,$G386)</f>
        <v>0</v>
      </c>
      <c r="AV386" s="926">
        <f>_xlfn.SUMIFS(Налоги!AU$25:AU$69,Налоги!$F$25:$F$69,$F386,Налоги!$AB$25:$AB$69,$G386)</f>
        <v>0</v>
      </c>
      <c r="AW386" s="926">
        <f>_xlfn.SUMIFS(Налоги!AV$25:AV$69,Налоги!$F$25:$F$69,$F386,Налоги!$AB$25:$AB$69,$G386)</f>
        <v>0</v>
      </c>
      <c r="AX386" s="926">
        <f>_xlfn.SUMIFS(Налоги!AW$25:AW$69,Налоги!$F$25:$F$69,$F386,Налоги!$AB$25:$AB$69,$G386)</f>
        <v>0</v>
      </c>
      <c r="AY386" s="926">
        <f>_xlfn.SUMIFS(Налоги!AX$25:AX$69,Налоги!$F$25:$F$69,$F386,Налоги!$AB$25:$AB$69,$G386)</f>
        <v>0</v>
      </c>
      <c r="AZ386" s="926">
        <f>_xlfn.SUMIFS(Налоги!AY$25:AY$69,Налоги!$F$25:$F$69,$F386,Налоги!$AB$25:$AB$69,$G386)</f>
        <v>0</v>
      </c>
      <c r="BA386" s="926">
        <f>_xlfn.SUMIFS(Налоги!AZ$25:AZ$69,Налоги!$F$25:$F$69,$F386,Налоги!$AB$25:$AB$69,$G386)</f>
        <v>0</v>
      </c>
      <c r="BB386" s="926">
        <f>_xlfn.SUMIFS(Налоги!BA$25:BA$69,Налоги!$F$25:$F$69,$F386,Налоги!$AB$25:$AB$69,$G386)</f>
        <v>0</v>
      </c>
      <c r="BC386" s="926">
        <f>_xlfn.SUMIFS(Налоги!BB$25:BB$69,Налоги!$F$25:$F$69,$F386,Налоги!$AB$25:$AB$69,$G386)</f>
        <v>0</v>
      </c>
      <c r="BD386" s="926">
        <f>IF(AI386=0,0,(AT386-AI386)/AI386*100)</f>
        <v>0</v>
      </c>
      <c r="BE386" s="926">
        <f>IF(AT386=0,0,(AU386-AT386)/AT386*100)</f>
        <v>0</v>
      </c>
      <c r="BF386" s="926">
        <f>IF(AU386=0,0,(AV386-AU386)/AU386*100)</f>
        <v>0</v>
      </c>
      <c r="BG386" s="926">
        <f>IF(AV386=0,0,(AW386-AV386)/AV386*100)</f>
        <v>0</v>
      </c>
      <c r="BH386" s="926">
        <f>IF(AW386=0,0,(AX386-AW386)/AW386*100)</f>
        <v>0</v>
      </c>
      <c r="BI386" s="926">
        <f>IF(AX386=0,0,(AY386-AX386)/AX386*100)</f>
        <v>0</v>
      </c>
      <c r="BJ386" s="926">
        <f>IF(AY386=0,0,(AZ386-AY386)/AY386*100)</f>
        <v>0</v>
      </c>
      <c r="BK386" s="926">
        <f>IF(AZ386=0,0,(BA386-AZ386)/AZ386*100)</f>
        <v>0</v>
      </c>
      <c r="BL386" s="926">
        <f>IF(BA386=0,0,(BB386-BA386)/BA386*100)</f>
        <v>0</v>
      </c>
      <c r="BM386" s="926">
        <f>IF(BB386=0,0,(BC386-BB386)/BB386*100)</f>
        <v>0</v>
      </c>
      <c r="BN386" s="4830"/>
      <c r="BO386" s="4784" t="str">
        <f>IF(_xlfn.IFERROR(INDEX(Налоги!$K$26:$L$69,MATCH($F386&amp;"1komm",Налоги!$K$26:$K$69,0),2),"")=0,"",_xlfn.IFERROR(INDEX(Налоги!$K$26:$L$69,MATCH($F386&amp;"1komm",Налоги!$K$26:$K$69,0),2),""))</f>
        <v/>
      </c>
      <c r="BP386" s="4830"/>
      <c r="BQ386" s="960"/>
      <c r="BR386" s="960"/>
      <c r="BS386" s="1048" t="s">
        <v>1949</v>
      </c>
      <c r="BT386" s="1048"/>
      <c r="BU386" s="1048"/>
      <c r="BV386" s="962"/>
      <c r="BW386" s="962"/>
    </row>
    <row s="1621" customFormat="1" customHeight="1" ht="14.625">
      <c r="A387" s="960"/>
      <c r="B387" s="62"/>
      <c r="C387" s="73"/>
      <c r="D387" s="73"/>
      <c r="E387" s="600">
        <v>15</v>
      </c>
      <c r="F387" s="50" cm="1" t="str">
        <f t="array" ref="F387:F387">OFFSET(E387,-1,1)</f>
        <v>2</v>
      </c>
      <c r="G387" s="904">
        <v>3</v>
      </c>
      <c r="H387" s="73"/>
      <c r="I387" s="73" t="s">
        <v>1950</v>
      </c>
      <c r="J387" s="73"/>
      <c r="K387" s="73" t="s">
        <v>1950</v>
      </c>
      <c r="L387" s="963"/>
      <c r="M387" s="73"/>
      <c r="N387" s="73"/>
      <c r="O387" s="73"/>
      <c r="P387" s="73"/>
      <c r="Q387" s="73"/>
      <c r="R387" s="73"/>
      <c r="S387" s="73"/>
      <c r="T387" s="439" cm="1" t="str">
        <f t="array" ref="T387:T387">T386</f>
        <v>true</v>
      </c>
      <c r="U387" s="73"/>
      <c r="V387" s="73"/>
      <c r="W387" s="960"/>
      <c r="X387" s="1482"/>
      <c r="Y387" s="960"/>
      <c r="Z387" s="1465"/>
      <c r="AA387" s="960"/>
      <c r="AB387" s="266" t="s">
        <v>1951</v>
      </c>
      <c r="AC387" s="746" t="s">
        <v>1952</v>
      </c>
      <c r="AD387" s="267" t="s">
        <v>784</v>
      </c>
      <c r="AE387" s="4759">
        <v>0.26489</v>
      </c>
      <c r="AF387" s="4759">
        <v>0.37351</v>
      </c>
      <c r="AG387" s="4759">
        <f>_xlfn.SUMIFS(Налоги!AG$25:AG$69,Налоги!$F$25:$F$69,$F387,Налоги!$AB$25:$AB$69,$G387)</f>
        <v>0</v>
      </c>
      <c r="AH387" s="926">
        <f>AG387-AF387</f>
        <v>-0.37351</v>
      </c>
      <c r="AI387" s="4765">
        <v>0.39641</v>
      </c>
      <c r="AJ387" s="4765">
        <v>0.6445412634</v>
      </c>
      <c r="AK387" s="1280">
        <f>_xlfn.SUMIFS(Налоги!AJ$25:AJ$69,Налоги!$F$25:$F$69,$F387,Налоги!$AB$25:$AB$69,$G387)</f>
        <v>0</v>
      </c>
      <c r="AL387" s="1280">
        <f>_xlfn.SUMIFS(Налоги!AK$25:AK$69,Налоги!$F$25:$F$69,$F387,Налоги!$AB$25:$AB$69,$G387)</f>
        <v>0</v>
      </c>
      <c r="AM387" s="4765">
        <f>_xlfn.SUMIFS(Налоги!AL$25:AL$69,Налоги!$F$25:$F$69,$F387,Налоги!$AB$25:$AB$69,$G387)</f>
        <v>0</v>
      </c>
      <c r="AN387" s="4765">
        <f>_xlfn.SUMIFS(Налоги!AM$25:AM$69,Налоги!$F$25:$F$69,$F387,Налоги!$AB$25:$AB$69,$G387)</f>
        <v>0</v>
      </c>
      <c r="AO387" s="4765">
        <f>_xlfn.SUMIFS(Налоги!AN$25:AN$69,Налоги!$F$25:$F$69,$F387,Налоги!$AB$25:$AB$69,$G387)</f>
        <v>0</v>
      </c>
      <c r="AP387" s="4765">
        <f>_xlfn.SUMIFS(Налоги!AO$25:AO$69,Налоги!$F$25:$F$69,$F387,Налоги!$AB$25:$AB$69,$G387)</f>
        <v>0</v>
      </c>
      <c r="AQ387" s="4765">
        <f>_xlfn.SUMIFS(Налоги!AP$25:AP$69,Налоги!$F$25:$F$69,$F387,Налоги!$AB$25:$AB$69,$G387)</f>
        <v>0</v>
      </c>
      <c r="AR387" s="4765">
        <f>_xlfn.SUMIFS(Налоги!AQ$25:AQ$69,Налоги!$F$25:$F$69,$F387,Налоги!$AB$25:$AB$69,$G387)</f>
        <v>0</v>
      </c>
      <c r="AS387" s="4765">
        <f>_xlfn.SUMIFS(Налоги!AR$25:AR$69,Налоги!$F$25:$F$69,$F387,Налоги!$AB$25:$AB$69,$G387)</f>
        <v>0</v>
      </c>
      <c r="AT387" s="4765">
        <v>0.37351</v>
      </c>
      <c r="AU387" s="1280">
        <f>_xlfn.SUMIFS(Налоги!AT$25:AT$69,Налоги!$F$25:$F$69,$F387,Налоги!$AB$25:$AB$69,$G387)</f>
        <v>0</v>
      </c>
      <c r="AV387" s="1280">
        <f>_xlfn.SUMIFS(Налоги!AU$25:AU$69,Налоги!$F$25:$F$69,$F387,Налоги!$AB$25:$AB$69,$G387)</f>
        <v>0</v>
      </c>
      <c r="AW387" s="4765">
        <f>_xlfn.SUMIFS(Налоги!AV$25:AV$69,Налоги!$F$25:$F$69,$F387,Налоги!$AB$25:$AB$69,$G387)</f>
        <v>0</v>
      </c>
      <c r="AX387" s="4765">
        <f>_xlfn.SUMIFS(Налоги!AW$25:AW$69,Налоги!$F$25:$F$69,$F387,Налоги!$AB$25:$AB$69,$G387)</f>
        <v>0</v>
      </c>
      <c r="AY387" s="4765">
        <f>_xlfn.SUMIFS(Налоги!AX$25:AX$69,Налоги!$F$25:$F$69,$F387,Налоги!$AB$25:$AB$69,$G387)</f>
        <v>0</v>
      </c>
      <c r="AZ387" s="4765">
        <f>_xlfn.SUMIFS(Налоги!AY$25:AY$69,Налоги!$F$25:$F$69,$F387,Налоги!$AB$25:$AB$69,$G387)</f>
        <v>0</v>
      </c>
      <c r="BA387" s="4765">
        <f>_xlfn.SUMIFS(Налоги!AZ$25:AZ$69,Налоги!$F$25:$F$69,$F387,Налоги!$AB$25:$AB$69,$G387)</f>
        <v>0</v>
      </c>
      <c r="BB387" s="4765">
        <f>_xlfn.SUMIFS(Налоги!BA$25:BA$69,Налоги!$F$25:$F$69,$F387,Налоги!$AB$25:$AB$69,$G387)</f>
        <v>0</v>
      </c>
      <c r="BC387" s="4765">
        <f>_xlfn.SUMIFS(Налоги!BB$25:BB$69,Налоги!$F$25:$F$69,$F387,Налоги!$AB$25:$AB$69,$G387)</f>
        <v>0</v>
      </c>
      <c r="BD387" s="926">
        <f>IF(AI387=0,0,(AT387-AI387)/AI387*100)</f>
        <v>-5.77684720365278</v>
      </c>
      <c r="BE387" s="926">
        <f>IF(AT387=0,0,(AU387-AT387)/AT387*100)</f>
        <v>-100</v>
      </c>
      <c r="BF387" s="926">
        <f>IF(AU387=0,0,(AV387-AU387)/AU387*100)</f>
        <v>0</v>
      </c>
      <c r="BG387" s="926">
        <f>IF(AV387=0,0,(AW387-AV387)/AV387*100)</f>
        <v>0</v>
      </c>
      <c r="BH387" s="926">
        <f>IF(AW387=0,0,(AX387-AW387)/AW387*100)</f>
        <v>0</v>
      </c>
      <c r="BI387" s="926">
        <f>IF(AX387=0,0,(AY387-AX387)/AX387*100)</f>
        <v>0</v>
      </c>
      <c r="BJ387" s="926">
        <f>IF(AY387=0,0,(AZ387-AY387)/AY387*100)</f>
        <v>0</v>
      </c>
      <c r="BK387" s="926">
        <f>IF(AZ387=0,0,(BA387-AZ387)/AZ387*100)</f>
        <v>0</v>
      </c>
      <c r="BL387" s="926">
        <f>IF(BA387=0,0,(BB387-BA387)/BA387*100)</f>
        <v>0</v>
      </c>
      <c r="BM387" s="926">
        <f>IF(BB387=0,0,(BC387-BB387)/BB387*100)</f>
        <v>0</v>
      </c>
      <c r="BN387" s="4830"/>
      <c r="BO387" s="4784" t="str">
        <f>IF(_xlfn.IFERROR(INDEX(Налоги!$K$26:$L$69,MATCH($F387&amp;"5komm",Налоги!$K$26:$K$69,0),2),"")=0,"",_xlfn.IFERROR(INDEX(Налоги!$K$26:$L$69,MATCH($F387&amp;"5komm",Налоги!$K$26:$K$69,0),2),""))</f>
        <v/>
      </c>
      <c r="BP387" s="4830"/>
      <c r="BQ387" s="960"/>
      <c r="BR387" s="960"/>
      <c r="BS387" s="1048" t="s">
        <v>1953</v>
      </c>
      <c r="BT387" s="1048"/>
      <c r="BU387" s="1048"/>
      <c r="BV387" s="962"/>
      <c r="BW387" s="962"/>
    </row>
    <row s="1621" customFormat="1" customHeight="1" ht="14.25">
      <c r="A388" s="960"/>
      <c r="B388" s="62"/>
      <c r="C388" s="73"/>
      <c r="D388" s="73"/>
      <c r="E388" s="600">
        <v>15</v>
      </c>
      <c r="F388" s="50" cm="1" t="str">
        <f t="array" ref="F388:F388">OFFSET(E388,-1,1)</f>
        <v>2</v>
      </c>
      <c r="G388" s="904">
        <v>8</v>
      </c>
      <c r="H388" s="73"/>
      <c r="I388" s="73" t="s">
        <v>1954</v>
      </c>
      <c r="J388" s="73"/>
      <c r="K388" s="73" t="s">
        <v>1954</v>
      </c>
      <c r="L388" s="963"/>
      <c r="M388" s="73"/>
      <c r="N388" s="73"/>
      <c r="O388" s="73"/>
      <c r="P388" s="73"/>
      <c r="Q388" s="73"/>
      <c r="R388" s="73"/>
      <c r="S388" s="73"/>
      <c r="T388" s="439" cm="1" t="str">
        <f t="array" ref="T388:T388">T387</f>
        <v>true</v>
      </c>
      <c r="U388" s="73"/>
      <c r="V388" s="73"/>
      <c r="W388" s="960"/>
      <c r="X388" s="1482"/>
      <c r="Y388" s="960"/>
      <c r="Z388" s="1465"/>
      <c r="AA388" s="960"/>
      <c r="AB388" s="266" t="s">
        <v>1955</v>
      </c>
      <c r="AC388" s="746" t="s">
        <v>1956</v>
      </c>
      <c r="AD388" s="267" t="s">
        <v>784</v>
      </c>
      <c r="AE388" s="226">
        <f>_xlfn.SUMIFS(Налоги!AE$25:AE$69,Налоги!$F$25:$F$69,$F388,Налоги!$AB$25:$AB$69,$G388)</f>
        <v>0</v>
      </c>
      <c r="AF388" s="226">
        <f>_xlfn.SUMIFS(Налоги!AF$25:AF$69,Налоги!$F$25:$F$69,$F388,Налоги!$AB$25:$AB$69,$G388)</f>
        <v>0</v>
      </c>
      <c r="AG388" s="226">
        <f>_xlfn.SUMIFS(Налоги!AG$25:AG$69,Налоги!$F$25:$F$69,$F388,Налоги!$AB$25:$AB$69,$G388)</f>
        <v>0</v>
      </c>
      <c r="AH388" s="926">
        <f>AG388-AF388</f>
        <v>0</v>
      </c>
      <c r="AI388" s="926">
        <f>_xlfn.SUMIFS(Налоги!AH$25:AH$69,Налоги!$F$25:$F$69,$F388,Налоги!$AB$25:$AB$69,$G388)</f>
        <v>0</v>
      </c>
      <c r="AJ388" s="926">
        <f>_xlfn.SUMIFS(Налоги!AI$25:AI$69,Налоги!$F$25:$F$69,$F388,Налоги!$AB$25:$AB$69,$G388)</f>
        <v>0</v>
      </c>
      <c r="AK388" s="926">
        <f>_xlfn.SUMIFS(Налоги!AJ$25:AJ$69,Налоги!$F$25:$F$69,$F388,Налоги!$AB$25:$AB$69,$G388)</f>
        <v>0</v>
      </c>
      <c r="AL388" s="926">
        <f>_xlfn.SUMIFS(Налоги!AK$25:AK$69,Налоги!$F$25:$F$69,$F388,Налоги!$AB$25:$AB$69,$G388)</f>
        <v>0</v>
      </c>
      <c r="AM388" s="926">
        <f>_xlfn.SUMIFS(Налоги!AL$25:AL$69,Налоги!$F$25:$F$69,$F388,Налоги!$AB$25:$AB$69,$G388)</f>
        <v>0</v>
      </c>
      <c r="AN388" s="926">
        <f>_xlfn.SUMIFS(Налоги!AM$25:AM$69,Налоги!$F$25:$F$69,$F388,Налоги!$AB$25:$AB$69,$G388)</f>
        <v>0</v>
      </c>
      <c r="AO388" s="926">
        <f>_xlfn.SUMIFS(Налоги!AN$25:AN$69,Налоги!$F$25:$F$69,$F388,Налоги!$AB$25:$AB$69,$G388)</f>
        <v>0</v>
      </c>
      <c r="AP388" s="926">
        <f>_xlfn.SUMIFS(Налоги!AO$25:AO$69,Налоги!$F$25:$F$69,$F388,Налоги!$AB$25:$AB$69,$G388)</f>
        <v>0</v>
      </c>
      <c r="AQ388" s="926">
        <f>_xlfn.SUMIFS(Налоги!AP$25:AP$69,Налоги!$F$25:$F$69,$F388,Налоги!$AB$25:$AB$69,$G388)</f>
        <v>0</v>
      </c>
      <c r="AR388" s="926">
        <f>_xlfn.SUMIFS(Налоги!AQ$25:AQ$69,Налоги!$F$25:$F$69,$F388,Налоги!$AB$25:$AB$69,$G388)</f>
        <v>0</v>
      </c>
      <c r="AS388" s="926">
        <f>_xlfn.SUMIFS(Налоги!AR$25:AR$69,Налоги!$F$25:$F$69,$F388,Налоги!$AB$25:$AB$69,$G388)</f>
        <v>0</v>
      </c>
      <c r="AT388" s="926">
        <f>_xlfn.SUMIFS(Налоги!AS$25:AS$69,Налоги!$F$25:$F$69,$F388,Налоги!$AB$25:$AB$69,$G388)</f>
        <v>0</v>
      </c>
      <c r="AU388" s="926">
        <f>_xlfn.SUMIFS(Налоги!AT$25:AT$69,Налоги!$F$25:$F$69,$F388,Налоги!$AB$25:$AB$69,$G388)</f>
        <v>0</v>
      </c>
      <c r="AV388" s="926">
        <f>_xlfn.SUMIFS(Налоги!AU$25:AU$69,Налоги!$F$25:$F$69,$F388,Налоги!$AB$25:$AB$69,$G388)</f>
        <v>0</v>
      </c>
      <c r="AW388" s="926">
        <f>_xlfn.SUMIFS(Налоги!AV$25:AV$69,Налоги!$F$25:$F$69,$F388,Налоги!$AB$25:$AB$69,$G388)</f>
        <v>0</v>
      </c>
      <c r="AX388" s="926">
        <f>_xlfn.SUMIFS(Налоги!AW$25:AW$69,Налоги!$F$25:$F$69,$F388,Налоги!$AB$25:$AB$69,$G388)</f>
        <v>0</v>
      </c>
      <c r="AY388" s="926">
        <f>_xlfn.SUMIFS(Налоги!AX$25:AX$69,Налоги!$F$25:$F$69,$F388,Налоги!$AB$25:$AB$69,$G388)</f>
        <v>0</v>
      </c>
      <c r="AZ388" s="926">
        <f>_xlfn.SUMIFS(Налоги!AY$25:AY$69,Налоги!$F$25:$F$69,$F388,Налоги!$AB$25:$AB$69,$G388)</f>
        <v>0</v>
      </c>
      <c r="BA388" s="926">
        <f>_xlfn.SUMIFS(Налоги!AZ$25:AZ$69,Налоги!$F$25:$F$69,$F388,Налоги!$AB$25:$AB$69,$G388)</f>
        <v>0</v>
      </c>
      <c r="BB388" s="926">
        <f>_xlfn.SUMIFS(Налоги!BA$25:BA$69,Налоги!$F$25:$F$69,$F388,Налоги!$AB$25:$AB$69,$G388)</f>
        <v>0</v>
      </c>
      <c r="BC388" s="926">
        <f>_xlfn.SUMIFS(Налоги!BB$25:BB$69,Налоги!$F$25:$F$69,$F388,Налоги!$AB$25:$AB$69,$G388)</f>
        <v>0</v>
      </c>
      <c r="BD388" s="926">
        <f>IF(AI388=0,0,(AT388-AI388)/AI388*100)</f>
        <v>0</v>
      </c>
      <c r="BE388" s="926">
        <f>IF(AT388=0,0,(AU388-AT388)/AT388*100)</f>
        <v>0</v>
      </c>
      <c r="BF388" s="926">
        <f>IF(AU388=0,0,(AV388-AU388)/AU388*100)</f>
        <v>0</v>
      </c>
      <c r="BG388" s="926">
        <f>IF(AV388=0,0,(AW388-AV388)/AV388*100)</f>
        <v>0</v>
      </c>
      <c r="BH388" s="926">
        <f>IF(AW388=0,0,(AX388-AW388)/AW388*100)</f>
        <v>0</v>
      </c>
      <c r="BI388" s="926">
        <f>IF(AX388=0,0,(AY388-AX388)/AX388*100)</f>
        <v>0</v>
      </c>
      <c r="BJ388" s="926">
        <f>IF(AY388=0,0,(AZ388-AY388)/AY388*100)</f>
        <v>0</v>
      </c>
      <c r="BK388" s="926">
        <f>IF(AZ388=0,0,(BA388-AZ388)/AZ388*100)</f>
        <v>0</v>
      </c>
      <c r="BL388" s="926">
        <f>IF(BA388=0,0,(BB388-BA388)/BA388*100)</f>
        <v>0</v>
      </c>
      <c r="BM388" s="926">
        <f>IF(BB388=0,0,(BC388-BB388)/BB388*100)</f>
        <v>0</v>
      </c>
      <c r="BN388" s="4830"/>
      <c r="BO388" s="4784" t="str">
        <f>IF(_xlfn.IFERROR(INDEX(Налоги!$K$26:$L$69,MATCH($F388&amp;"8komm",Налоги!$K$26:$K$69,0),2),"")=0,"",_xlfn.IFERROR(INDEX(Налоги!$K$26:$L$69,MATCH($F388&amp;"8komm",Налоги!$K$26:$K$69,0),2),""))</f>
        <v/>
      </c>
      <c r="BP388" s="4830"/>
      <c r="BQ388" s="960"/>
      <c r="BR388" s="960"/>
      <c r="BS388" s="1048" t="s">
        <v>1169</v>
      </c>
      <c r="BT388" s="1048"/>
      <c r="BU388" s="1048"/>
      <c r="BV388" s="962"/>
      <c r="BW388" s="962"/>
    </row>
    <row s="1260" customFormat="1" customHeight="1" ht="14.25">
      <c r="A389" s="1260"/>
      <c r="B389" s="62"/>
      <c r="C389" s="73"/>
      <c r="D389" s="73"/>
      <c r="E389" s="600">
        <v>15</v>
      </c>
      <c r="F389" s="50" cm="1" t="str">
        <f t="array" ref="F389:F389">OFFSET(E389,-1,1)</f>
        <v>2</v>
      </c>
      <c r="G389" s="904">
        <v>9</v>
      </c>
      <c r="H389" s="73"/>
      <c r="I389" s="73"/>
      <c r="J389" s="73"/>
      <c r="K389" s="73"/>
      <c r="L389" s="963"/>
      <c r="M389" s="73"/>
      <c r="N389" s="73"/>
      <c r="O389" s="73"/>
      <c r="P389" s="73"/>
      <c r="Q389" s="73"/>
      <c r="R389" s="73"/>
      <c r="S389" s="73"/>
      <c r="T389" s="439" cm="1" t="str">
        <f t="array" ref="T389:T389">T388</f>
        <v>true</v>
      </c>
      <c r="U389" s="73"/>
      <c r="V389" s="73"/>
      <c r="W389" s="1260"/>
      <c r="X389" s="1482"/>
      <c r="Y389" s="1260"/>
      <c r="Z389" s="1465"/>
      <c r="AA389" s="1260"/>
      <c r="AB389" s="266" t="s">
        <v>1957</v>
      </c>
      <c r="AC389" s="761" t="s">
        <v>1958</v>
      </c>
      <c r="AD389" s="267" t="s">
        <v>784</v>
      </c>
      <c r="AE389" s="226">
        <f>_xlfn.SUMIFS(Налоги!AE$25:AE$69,Налоги!$F$25:$F$69,$F389,Налоги!$AB$25:$AB$69,$G389)</f>
        <v>0</v>
      </c>
      <c r="AF389" s="226">
        <f>_xlfn.SUMIFS(Налоги!AF$25:AF$69,Налоги!$F$25:$F$69,$F389,Налоги!$AB$25:$AB$69,$G389)</f>
        <v>0</v>
      </c>
      <c r="AG389" s="226">
        <f>_xlfn.SUMIFS(Налоги!AG$25:AG$69,Налоги!$F$25:$F$69,$F389,Налоги!$AB$25:$AB$69,$G389)</f>
        <v>0</v>
      </c>
      <c r="AH389" s="926">
        <f>AG389-AF389</f>
        <v>0</v>
      </c>
      <c r="AI389" s="926">
        <f>_xlfn.SUMIFS(Налоги!AH$25:AH$69,Налоги!$F$25:$F$69,$F389,Налоги!$AB$25:$AB$69,$G389)</f>
        <v>0</v>
      </c>
      <c r="AJ389" s="926">
        <f>_xlfn.SUMIFS(Налоги!AI$25:AI$69,Налоги!$F$25:$F$69,$F389,Налоги!$AB$25:$AB$69,$G389)</f>
        <v>0</v>
      </c>
      <c r="AK389" s="926">
        <f>_xlfn.SUMIFS(Налоги!AJ$25:AJ$69,Налоги!$F$25:$F$69,$F389,Налоги!$AB$25:$AB$69,$G389)</f>
        <v>0</v>
      </c>
      <c r="AL389" s="926">
        <f>_xlfn.SUMIFS(Налоги!AK$25:AK$69,Налоги!$F$25:$F$69,$F389,Налоги!$AB$25:$AB$69,$G389)</f>
        <v>0</v>
      </c>
      <c r="AM389" s="926">
        <f>_xlfn.SUMIFS(Налоги!AL$25:AL$69,Налоги!$F$25:$F$69,$F389,Налоги!$AB$25:$AB$69,$G389)</f>
        <v>0</v>
      </c>
      <c r="AN389" s="926">
        <f>_xlfn.SUMIFS(Налоги!AM$25:AM$69,Налоги!$F$25:$F$69,$F389,Налоги!$AB$25:$AB$69,$G389)</f>
        <v>0</v>
      </c>
      <c r="AO389" s="926">
        <f>_xlfn.SUMIFS(Налоги!AN$25:AN$69,Налоги!$F$25:$F$69,$F389,Налоги!$AB$25:$AB$69,$G389)</f>
        <v>0</v>
      </c>
      <c r="AP389" s="926">
        <f>_xlfn.SUMIFS(Налоги!AO$25:AO$69,Налоги!$F$25:$F$69,$F389,Налоги!$AB$25:$AB$69,$G389)</f>
        <v>0</v>
      </c>
      <c r="AQ389" s="926">
        <f>_xlfn.SUMIFS(Налоги!AP$25:AP$69,Налоги!$F$25:$F$69,$F389,Налоги!$AB$25:$AB$69,$G389)</f>
        <v>0</v>
      </c>
      <c r="AR389" s="926">
        <f>_xlfn.SUMIFS(Налоги!AQ$25:AQ$69,Налоги!$F$25:$F$69,$F389,Налоги!$AB$25:$AB$69,$G389)</f>
        <v>0</v>
      </c>
      <c r="AS389" s="926">
        <f>_xlfn.SUMIFS(Налоги!AR$25:AR$69,Налоги!$F$25:$F$69,$F389,Налоги!$AB$25:$AB$69,$G389)</f>
        <v>0</v>
      </c>
      <c r="AT389" s="926">
        <f>_xlfn.SUMIFS(Налоги!AS$25:AS$69,Налоги!$F$25:$F$69,$F389,Налоги!$AB$25:$AB$69,$G389)</f>
        <v>0</v>
      </c>
      <c r="AU389" s="926">
        <f>_xlfn.SUMIFS(Налоги!AT$25:AT$69,Налоги!$F$25:$F$69,$F389,Налоги!$AB$25:$AB$69,$G389)</f>
        <v>0</v>
      </c>
      <c r="AV389" s="926">
        <f>_xlfn.SUMIFS(Налоги!AU$25:AU$69,Налоги!$F$25:$F$69,$F389,Налоги!$AB$25:$AB$69,$G389)</f>
        <v>0</v>
      </c>
      <c r="AW389" s="926">
        <f>_xlfn.SUMIFS(Налоги!AV$25:AV$69,Налоги!$F$25:$F$69,$F389,Налоги!$AB$25:$AB$69,$G389)</f>
        <v>0</v>
      </c>
      <c r="AX389" s="926">
        <f>_xlfn.SUMIFS(Налоги!AW$25:AW$69,Налоги!$F$25:$F$69,$F389,Налоги!$AB$25:$AB$69,$G389)</f>
        <v>0</v>
      </c>
      <c r="AY389" s="926">
        <f>_xlfn.SUMIFS(Налоги!AX$25:AX$69,Налоги!$F$25:$F$69,$F389,Налоги!$AB$25:$AB$69,$G389)</f>
        <v>0</v>
      </c>
      <c r="AZ389" s="926">
        <f>_xlfn.SUMIFS(Налоги!AY$25:AY$69,Налоги!$F$25:$F$69,$F389,Налоги!$AB$25:$AB$69,$G389)</f>
        <v>0</v>
      </c>
      <c r="BA389" s="926">
        <f>_xlfn.SUMIFS(Налоги!AZ$25:AZ$69,Налоги!$F$25:$F$69,$F389,Налоги!$AB$25:$AB$69,$G389)</f>
        <v>0</v>
      </c>
      <c r="BB389" s="926">
        <f>_xlfn.SUMIFS(Налоги!BA$25:BA$69,Налоги!$F$25:$F$69,$F389,Налоги!$AB$25:$AB$69,$G389)</f>
        <v>0</v>
      </c>
      <c r="BC389" s="926">
        <f>_xlfn.SUMIFS(Налоги!BB$25:BB$69,Налоги!$F$25:$F$69,$F389,Налоги!$AB$25:$AB$69,$G389)</f>
        <v>0</v>
      </c>
      <c r="BD389" s="926">
        <f>IF(AI389=0,0,(AT389-AI389)/AI389*100)</f>
        <v>0</v>
      </c>
      <c r="BE389" s="926">
        <f>IF(AT389=0,0,(AU389-AT389)/AT389*100)</f>
        <v>0</v>
      </c>
      <c r="BF389" s="926">
        <f>IF(AU389=0,0,(AV389-AU389)/AU389*100)</f>
        <v>0</v>
      </c>
      <c r="BG389" s="926">
        <f>IF(AV389=0,0,(AW389-AV389)/AV389*100)</f>
        <v>0</v>
      </c>
      <c r="BH389" s="926">
        <f>IF(AW389=0,0,(AX389-AW389)/AW389*100)</f>
        <v>0</v>
      </c>
      <c r="BI389" s="926">
        <f>IF(AX389=0,0,(AY389-AX389)/AX389*100)</f>
        <v>0</v>
      </c>
      <c r="BJ389" s="926">
        <f>IF(AY389=0,0,(AZ389-AY389)/AY389*100)</f>
        <v>0</v>
      </c>
      <c r="BK389" s="926">
        <f>IF(AZ389=0,0,(BA389-AZ389)/AZ389*100)</f>
        <v>0</v>
      </c>
      <c r="BL389" s="926">
        <f>IF(BA389=0,0,(BB389-BA389)/BA389*100)</f>
        <v>0</v>
      </c>
      <c r="BM389" s="926">
        <f>IF(BB389=0,0,(BC389-BB389)/BB389*100)</f>
        <v>0</v>
      </c>
      <c r="BN389" s="4830"/>
      <c r="BO389" s="4784" t="str">
        <f>IF(_xlfn.IFERROR(INDEX(Налоги!$K$26:$L$69,MATCH($F389&amp;"9komm",Налоги!$K$26:$K$69,0),2),"")=0,"",_xlfn.IFERROR(INDEX(Налоги!$K$26:$L$69,MATCH($F389&amp;"9komm",Налоги!$K$26:$K$69,0),2),""))</f>
        <v/>
      </c>
      <c r="BP389" s="4830"/>
      <c r="BQ389" s="1260"/>
      <c r="BR389" s="1260"/>
      <c r="BS389" s="1055" t="s">
        <v>1959</v>
      </c>
      <c r="BT389" s="1055"/>
      <c r="BU389" s="1055"/>
      <c r="BV389" s="1056"/>
      <c r="BW389" s="1056"/>
    </row>
    <row s="1621" customFormat="1" customHeight="1" ht="14.25">
      <c r="A390" s="960"/>
      <c r="B390" s="62"/>
      <c r="C390" s="73"/>
      <c r="D390" s="73"/>
      <c r="E390" s="600">
        <v>15</v>
      </c>
      <c r="F390" s="50" cm="1" t="str">
        <f t="array" ref="F390:F390">OFFSET(E390,-1,1)</f>
        <v>2</v>
      </c>
      <c r="G390" s="904">
        <v>10</v>
      </c>
      <c r="H390" s="73"/>
      <c r="I390" s="73" t="s">
        <v>1960</v>
      </c>
      <c r="J390" s="73"/>
      <c r="K390" s="73" t="s">
        <v>1960</v>
      </c>
      <c r="L390" s="963"/>
      <c r="M390" s="73"/>
      <c r="N390" s="73"/>
      <c r="O390" s="73"/>
      <c r="P390" s="73"/>
      <c r="Q390" s="73"/>
      <c r="R390" s="73"/>
      <c r="S390" s="73"/>
      <c r="T390" s="439" cm="1" t="str">
        <f t="array" ref="T390:T390">T389</f>
        <v>true</v>
      </c>
      <c r="U390" s="73"/>
      <c r="V390" s="73"/>
      <c r="W390" s="960"/>
      <c r="X390" s="1482"/>
      <c r="Y390" s="960"/>
      <c r="Z390" s="1465"/>
      <c r="AA390" s="960"/>
      <c r="AB390" s="266" t="s">
        <v>1961</v>
      </c>
      <c r="AC390" s="762" t="s">
        <v>1962</v>
      </c>
      <c r="AD390" s="267" t="s">
        <v>784</v>
      </c>
      <c r="AE390" s="226">
        <f>_xlfn.SUMIFS(Налоги!AE$25:AE$69,Налоги!$F$25:$F$69,$F390,Налоги!$AB$25:$AB$69,$G390)</f>
        <v>0</v>
      </c>
      <c r="AF390" s="226">
        <f>_xlfn.SUMIFS(Налоги!AF$25:AF$69,Налоги!$F$25:$F$69,$F390,Налоги!$AB$25:$AB$69,$G390)</f>
        <v>0</v>
      </c>
      <c r="AG390" s="226">
        <f>_xlfn.SUMIFS(Налоги!AG$25:AG$69,Налоги!$F$25:$F$69,$F390,Налоги!$AB$25:$AB$69,$G390)</f>
        <v>0</v>
      </c>
      <c r="AH390" s="926">
        <f>AG390-AF390</f>
        <v>0</v>
      </c>
      <c r="AI390" s="926">
        <f>_xlfn.SUMIFS(Налоги!AH$25:AH$69,Налоги!$F$25:$F$69,$F390,Налоги!$AB$25:$AB$69,$G390)</f>
        <v>0</v>
      </c>
      <c r="AJ390" s="926">
        <f>_xlfn.SUMIFS(Налоги!AI$25:AI$69,Налоги!$F$25:$F$69,$F390,Налоги!$AB$25:$AB$69,$G390)</f>
        <v>0</v>
      </c>
      <c r="AK390" s="926">
        <f>_xlfn.SUMIFS(Налоги!AJ$25:AJ$69,Налоги!$F$25:$F$69,$F390,Налоги!$AB$25:$AB$69,$G390)</f>
        <v>0</v>
      </c>
      <c r="AL390" s="926">
        <f>_xlfn.SUMIFS(Налоги!AK$25:AK$69,Налоги!$F$25:$F$69,$F390,Налоги!$AB$25:$AB$69,$G390)</f>
        <v>0</v>
      </c>
      <c r="AM390" s="926">
        <f>_xlfn.SUMIFS(Налоги!AL$25:AL$69,Налоги!$F$25:$F$69,$F390,Налоги!$AB$25:$AB$69,$G390)</f>
        <v>0</v>
      </c>
      <c r="AN390" s="926">
        <f>_xlfn.SUMIFS(Налоги!AM$25:AM$69,Налоги!$F$25:$F$69,$F390,Налоги!$AB$25:$AB$69,$G390)</f>
        <v>0</v>
      </c>
      <c r="AO390" s="926">
        <f>_xlfn.SUMIFS(Налоги!AN$25:AN$69,Налоги!$F$25:$F$69,$F390,Налоги!$AB$25:$AB$69,$G390)</f>
        <v>0</v>
      </c>
      <c r="AP390" s="926">
        <f>_xlfn.SUMIFS(Налоги!AO$25:AO$69,Налоги!$F$25:$F$69,$F390,Налоги!$AB$25:$AB$69,$G390)</f>
        <v>0</v>
      </c>
      <c r="AQ390" s="926">
        <f>_xlfn.SUMIFS(Налоги!AP$25:AP$69,Налоги!$F$25:$F$69,$F390,Налоги!$AB$25:$AB$69,$G390)</f>
        <v>0</v>
      </c>
      <c r="AR390" s="926">
        <f>_xlfn.SUMIFS(Налоги!AQ$25:AQ$69,Налоги!$F$25:$F$69,$F390,Налоги!$AB$25:$AB$69,$G390)</f>
        <v>0</v>
      </c>
      <c r="AS390" s="926">
        <f>_xlfn.SUMIFS(Налоги!AR$25:AR$69,Налоги!$F$25:$F$69,$F390,Налоги!$AB$25:$AB$69,$G390)</f>
        <v>0</v>
      </c>
      <c r="AT390" s="926">
        <f>_xlfn.SUMIFS(Налоги!AS$25:AS$69,Налоги!$F$25:$F$69,$F390,Налоги!$AB$25:$AB$69,$G390)</f>
        <v>0</v>
      </c>
      <c r="AU390" s="926">
        <f>_xlfn.SUMIFS(Налоги!AT$25:AT$69,Налоги!$F$25:$F$69,$F390,Налоги!$AB$25:$AB$69,$G390)</f>
        <v>0</v>
      </c>
      <c r="AV390" s="926">
        <f>_xlfn.SUMIFS(Налоги!AU$25:AU$69,Налоги!$F$25:$F$69,$F390,Налоги!$AB$25:$AB$69,$G390)</f>
        <v>0</v>
      </c>
      <c r="AW390" s="926">
        <f>_xlfn.SUMIFS(Налоги!AV$25:AV$69,Налоги!$F$25:$F$69,$F390,Налоги!$AB$25:$AB$69,$G390)</f>
        <v>0</v>
      </c>
      <c r="AX390" s="926">
        <f>_xlfn.SUMIFS(Налоги!AW$25:AW$69,Налоги!$F$25:$F$69,$F390,Налоги!$AB$25:$AB$69,$G390)</f>
        <v>0</v>
      </c>
      <c r="AY390" s="926">
        <f>_xlfn.SUMIFS(Налоги!AX$25:AX$69,Налоги!$F$25:$F$69,$F390,Налоги!$AB$25:$AB$69,$G390)</f>
        <v>0</v>
      </c>
      <c r="AZ390" s="926">
        <f>_xlfn.SUMIFS(Налоги!AY$25:AY$69,Налоги!$F$25:$F$69,$F390,Налоги!$AB$25:$AB$69,$G390)</f>
        <v>0</v>
      </c>
      <c r="BA390" s="926">
        <f>_xlfn.SUMIFS(Налоги!AZ$25:AZ$69,Налоги!$F$25:$F$69,$F390,Налоги!$AB$25:$AB$69,$G390)</f>
        <v>0</v>
      </c>
      <c r="BB390" s="926">
        <f>_xlfn.SUMIFS(Налоги!BA$25:BA$69,Налоги!$F$25:$F$69,$F390,Налоги!$AB$25:$AB$69,$G390)</f>
        <v>0</v>
      </c>
      <c r="BC390" s="926">
        <f>_xlfn.SUMIFS(Налоги!BB$25:BB$69,Налоги!$F$25:$F$69,$F390,Налоги!$AB$25:$AB$69,$G390)</f>
        <v>0</v>
      </c>
      <c r="BD390" s="926">
        <f>IF(AI390=0,0,(AT390-AI390)/AI390*100)</f>
        <v>0</v>
      </c>
      <c r="BE390" s="926">
        <f>IF(AT390=0,0,(AU390-AT390)/AT390*100)</f>
        <v>0</v>
      </c>
      <c r="BF390" s="926">
        <f>IF(AU390=0,0,(AV390-AU390)/AU390*100)</f>
        <v>0</v>
      </c>
      <c r="BG390" s="926">
        <f>IF(AV390=0,0,(AW390-AV390)/AV390*100)</f>
        <v>0</v>
      </c>
      <c r="BH390" s="926">
        <f>IF(AW390=0,0,(AX390-AW390)/AW390*100)</f>
        <v>0</v>
      </c>
      <c r="BI390" s="926">
        <f>IF(AX390=0,0,(AY390-AX390)/AX390*100)</f>
        <v>0</v>
      </c>
      <c r="BJ390" s="926">
        <f>IF(AY390=0,0,(AZ390-AY390)/AY390*100)</f>
        <v>0</v>
      </c>
      <c r="BK390" s="926">
        <f>IF(AZ390=0,0,(BA390-AZ390)/AZ390*100)</f>
        <v>0</v>
      </c>
      <c r="BL390" s="926">
        <f>IF(BA390=0,0,(BB390-BA390)/BA390*100)</f>
        <v>0</v>
      </c>
      <c r="BM390" s="926">
        <f>IF(BB390=0,0,(BC390-BB390)/BB390*100)</f>
        <v>0</v>
      </c>
      <c r="BN390" s="4830"/>
      <c r="BO390" s="4784" t="str">
        <f>IF(_xlfn.IFERROR(INDEX(Налоги!$K$26:$L$69,MATCH($F390&amp;"10komm",Налоги!$K$26:$K$69,0),2),"")=0,"",_xlfn.IFERROR(INDEX(Налоги!$K$26:$L$69,MATCH($F390&amp;"10komm",Налоги!$K$26:$K$69,0),2),""))</f>
        <v/>
      </c>
      <c r="BP390" s="4830"/>
      <c r="BQ390" s="960"/>
      <c r="BR390" s="960"/>
      <c r="BS390" s="1048" t="s">
        <v>1963</v>
      </c>
      <c r="BT390" s="1048"/>
      <c r="BU390" s="1048"/>
      <c r="BV390" s="962"/>
      <c r="BW390" s="962"/>
    </row>
    <row s="1621" customFormat="1" customHeight="1" ht="65.25">
      <c r="A391" s="960"/>
      <c r="B391" s="961"/>
      <c r="C391" s="960"/>
      <c r="D391" s="960"/>
      <c r="E391" s="683">
        <v>67.5</v>
      </c>
      <c r="F391" s="50" cm="1" t="str">
        <f t="array" ref="F391:F391">OFFSET(E391,-1,1)</f>
        <v>2</v>
      </c>
      <c r="G391" s="124" t="s">
        <v>1328</v>
      </c>
      <c r="H391" s="960"/>
      <c r="I391" s="124" t="s">
        <v>867</v>
      </c>
      <c r="J391" s="960"/>
      <c r="K391" s="124" t="s">
        <v>867</v>
      </c>
      <c r="L391" s="963"/>
      <c r="M391" s="73"/>
      <c r="N391" s="960"/>
      <c r="O391" s="960"/>
      <c r="P391" s="960"/>
      <c r="Q391" s="960"/>
      <c r="R391" s="960"/>
      <c r="S391" s="960"/>
      <c r="T391" s="439" cm="1" t="str">
        <f t="array" ref="T391:T391">T390</f>
        <v>true</v>
      </c>
      <c r="U391" s="960"/>
      <c r="V391" s="960"/>
      <c r="W391" s="960"/>
      <c r="X391" s="1482"/>
      <c r="Y391" s="960"/>
      <c r="Z391" s="1465"/>
      <c r="AA391" s="960"/>
      <c r="AB391" s="266" t="s">
        <v>868</v>
      </c>
      <c r="AC391" s="763" t="s">
        <v>1331</v>
      </c>
      <c r="AD391" s="267" t="s">
        <v>784</v>
      </c>
      <c r="AE391" s="4833"/>
      <c r="AF391" s="4833"/>
      <c r="AG391" s="4833"/>
      <c r="AH391" s="926">
        <f>AG391-AF391</f>
        <v>0</v>
      </c>
      <c r="AI391" s="4769"/>
      <c r="AJ391" s="4769"/>
      <c r="AK391" s="1285"/>
      <c r="AL391" s="1285"/>
      <c r="AM391" s="4769"/>
      <c r="AN391" s="4769"/>
      <c r="AO391" s="4769"/>
      <c r="AP391" s="4769"/>
      <c r="AQ391" s="4769"/>
      <c r="AR391" s="4769"/>
      <c r="AS391" s="4769"/>
      <c r="AT391" s="4769"/>
      <c r="AU391" s="1285"/>
      <c r="AV391" s="1285"/>
      <c r="AW391" s="4769"/>
      <c r="AX391" s="4769"/>
      <c r="AY391" s="4769"/>
      <c r="AZ391" s="4769"/>
      <c r="BA391" s="4769"/>
      <c r="BB391" s="4769"/>
      <c r="BC391" s="4769"/>
      <c r="BD391" s="926">
        <f>IF(AI391=0,0,(AT391-AI391)/AI391*100)</f>
        <v>0</v>
      </c>
      <c r="BE391" s="926">
        <f>IF(AT391=0,0,(AU391-AT391)/AT391*100)</f>
        <v>0</v>
      </c>
      <c r="BF391" s="926">
        <f>IF(AU391=0,0,(AV391-AU391)/AU391*100)</f>
        <v>0</v>
      </c>
      <c r="BG391" s="926">
        <f>IF(AV391=0,0,(AW391-AV391)/AV391*100)</f>
        <v>0</v>
      </c>
      <c r="BH391" s="926">
        <f>IF(AW391=0,0,(AX391-AW391)/AW391*100)</f>
        <v>0</v>
      </c>
      <c r="BI391" s="926">
        <f>IF(AX391=0,0,(AY391-AX391)/AX391*100)</f>
        <v>0</v>
      </c>
      <c r="BJ391" s="926">
        <f>IF(AY391=0,0,(AZ391-AY391)/AY391*100)</f>
        <v>0</v>
      </c>
      <c r="BK391" s="926">
        <f>IF(AZ391=0,0,(BA391-AZ391)/AZ391*100)</f>
        <v>0</v>
      </c>
      <c r="BL391" s="926">
        <f>IF(BA391=0,0,(BB391-BA391)/BA391*100)</f>
        <v>0</v>
      </c>
      <c r="BM391" s="926">
        <f>IF(BB391=0,0,(BC391-BB391)/BB391*100)</f>
        <v>0</v>
      </c>
      <c r="BN391" s="4830"/>
      <c r="BO391" s="4830"/>
      <c r="BP391" s="4830"/>
      <c r="BQ391" s="960"/>
      <c r="BR391" s="960"/>
      <c r="BS391" s="1048" t="s">
        <v>1964</v>
      </c>
      <c r="BT391" s="1048"/>
      <c r="BU391" s="1048"/>
      <c r="BV391" s="962"/>
      <c r="BW391" s="962"/>
    </row>
    <row s="1621" customFormat="1" customHeight="1" ht="14.25">
      <c r="A392" s="960"/>
      <c r="B392" s="961"/>
      <c r="C392" s="960"/>
      <c r="D392" s="960"/>
      <c r="E392" s="683">
        <v>15</v>
      </c>
      <c r="F392" s="50" cm="1" t="str">
        <f t="array" ref="F392:F392">OFFSET(E392,-1,1)</f>
        <v>2</v>
      </c>
      <c r="G392" s="124" t="s">
        <v>949</v>
      </c>
      <c r="H392" s="960"/>
      <c r="I392" s="124" t="s">
        <v>870</v>
      </c>
      <c r="J392" s="960"/>
      <c r="K392" s="124" t="s">
        <v>870</v>
      </c>
      <c r="L392" s="963" t="s">
        <v>491</v>
      </c>
      <c r="M392" s="73"/>
      <c r="N392" s="960"/>
      <c r="O392" s="960"/>
      <c r="P392" s="960"/>
      <c r="Q392" s="960"/>
      <c r="R392" s="960"/>
      <c r="S392" s="960"/>
      <c r="T392" s="439" cm="1" t="str">
        <f t="array" ref="T392:T392">T391</f>
        <v>true</v>
      </c>
      <c r="U392" s="960"/>
      <c r="V392" s="960"/>
      <c r="W392" s="960"/>
      <c r="X392" s="1482"/>
      <c r="Y392" s="960"/>
      <c r="Z392" s="1465"/>
      <c r="AA392" s="960"/>
      <c r="AB392" s="266" t="s">
        <v>871</v>
      </c>
      <c r="AC392" s="743" t="s">
        <v>949</v>
      </c>
      <c r="AD392" s="267" t="s">
        <v>784</v>
      </c>
      <c r="AE392" s="226">
        <f>_xlfn.SUMIFS(Аренда!AE$25:AE$57,Аренда!$F$25:$F$57,$F392,Аренда!$G$25:$G$57,"Арендная и концессионная плата, лизинговые платежи")</f>
        <v>0</v>
      </c>
      <c r="AF392" s="226">
        <f>_xlfn.SUMIFS(Аренда!AF$25:AF$57,Аренда!$F$25:$F$57,$F392,Аренда!$G$25:$G$57,"Арендная и концессионная плата, лизинговые платежи")</f>
        <v>0</v>
      </c>
      <c r="AG392" s="226">
        <f>_xlfn.SUMIFS(Аренда!AG$25:AG$57,Аренда!$F$25:$F$57,$F392,Аренда!$G$25:$G$57,"Арендная и концессионная плата, лизинговые платежи")</f>
        <v>0</v>
      </c>
      <c r="AH392" s="926">
        <f>AG392-AF392</f>
        <v>0</v>
      </c>
      <c r="AI392" s="226">
        <f>_xlfn.SUMIFS(Аренда!AH$25:AH$57,Аренда!$F$25:$F$57,$F392,Аренда!$G$25:$G$57,"Арендная и концессионная плата, лизинговые платежи")</f>
        <v>0</v>
      </c>
      <c r="AJ392" s="226">
        <f>_xlfn.SUMIFS(Аренда!AI$25:AI$57,Аренда!$F$25:$F$57,$F392,Аренда!$G$25:$G$57,"Арендная и концессионная плата, лизинговые платежи")</f>
        <v>0</v>
      </c>
      <c r="AK392" s="226">
        <f>_xlfn.SUMIFS(Аренда!AJ$25:AJ$57,Аренда!$F$25:$F$57,$F392,Аренда!$G$25:$G$57,"Арендная и концессионная плата, лизинговые платежи")</f>
        <v>0</v>
      </c>
      <c r="AL392" s="226">
        <f>_xlfn.SUMIFS(Аренда!AK$25:AK$57,Аренда!$F$25:$F$57,$F392,Аренда!$G$25:$G$57,"Арендная и концессионная плата, лизинговые платежи")</f>
        <v>0</v>
      </c>
      <c r="AM392" s="226">
        <f>_xlfn.SUMIFS(Аренда!AL$25:AL$57,Аренда!$F$25:$F$57,$F392,Аренда!$G$25:$G$57,"Арендная и концессионная плата, лизинговые платежи")</f>
        <v>0</v>
      </c>
      <c r="AN392" s="226">
        <f>_xlfn.SUMIFS(Аренда!AM$25:AM$57,Аренда!$F$25:$F$57,$F392,Аренда!$G$25:$G$57,"Арендная и концессионная плата, лизинговые платежи")</f>
        <v>0</v>
      </c>
      <c r="AO392" s="226">
        <f>_xlfn.SUMIFS(Аренда!AN$25:AN$57,Аренда!$F$25:$F$57,$F392,Аренда!$G$25:$G$57,"Арендная и концессионная плата, лизинговые платежи")</f>
        <v>0</v>
      </c>
      <c r="AP392" s="226">
        <f>_xlfn.SUMIFS(Аренда!AO$25:AO$57,Аренда!$F$25:$F$57,$F392,Аренда!$G$25:$G$57,"Арендная и концессионная плата, лизинговые платежи")</f>
        <v>0</v>
      </c>
      <c r="AQ392" s="226">
        <f>_xlfn.SUMIFS(Аренда!AP$25:AP$57,Аренда!$F$25:$F$57,$F392,Аренда!$G$25:$G$57,"Арендная и концессионная плата, лизинговые платежи")</f>
        <v>0</v>
      </c>
      <c r="AR392" s="226">
        <f>_xlfn.SUMIFS(Аренда!AQ$25:AQ$57,Аренда!$F$25:$F$57,$F392,Аренда!$G$25:$G$57,"Арендная и концессионная плата, лизинговые платежи")</f>
        <v>0</v>
      </c>
      <c r="AS392" s="226">
        <f>_xlfn.SUMIFS(Аренда!AR$25:AR$57,Аренда!$F$25:$F$57,$F392,Аренда!$G$25:$G$57,"Арендная и концессионная плата, лизинговые платежи")</f>
        <v>0</v>
      </c>
      <c r="AT392" s="226">
        <f>_xlfn.SUMIFS(Аренда!AS$25:AS$57,Аренда!$F$25:$F$57,$F392,Аренда!$G$25:$G$57,"Арендная и концессионная плата, лизинговые платежи")</f>
        <v>0</v>
      </c>
      <c r="AU392" s="226">
        <f>_xlfn.SUMIFS(Аренда!AT$25:AT$57,Аренда!$F$25:$F$57,$F392,Аренда!$G$25:$G$57,"Арендная и концессионная плата, лизинговые платежи")</f>
        <v>0</v>
      </c>
      <c r="AV392" s="226">
        <f>_xlfn.SUMIFS(Аренда!AU$25:AU$57,Аренда!$F$25:$F$57,$F392,Аренда!$G$25:$G$57,"Арендная и концессионная плата, лизинговые платежи")</f>
        <v>0</v>
      </c>
      <c r="AW392" s="226">
        <f>_xlfn.SUMIFS(Аренда!AV$25:AV$57,Аренда!$F$25:$F$57,$F392,Аренда!$G$25:$G$57,"Арендная и концессионная плата, лизинговые платежи")</f>
        <v>0</v>
      </c>
      <c r="AX392" s="226">
        <f>_xlfn.SUMIFS(Аренда!AW$25:AW$57,Аренда!$F$25:$F$57,$F392,Аренда!$G$25:$G$57,"Арендная и концессионная плата, лизинговые платежи")</f>
        <v>0</v>
      </c>
      <c r="AY392" s="226">
        <f>_xlfn.SUMIFS(Аренда!AX$25:AX$57,Аренда!$F$25:$F$57,$F392,Аренда!$G$25:$G$57,"Арендная и концессионная плата, лизинговые платежи")</f>
        <v>0</v>
      </c>
      <c r="AZ392" s="226">
        <f>_xlfn.SUMIFS(Аренда!AY$25:AY$57,Аренда!$F$25:$F$57,$F392,Аренда!$G$25:$G$57,"Арендная и концессионная плата, лизинговые платежи")</f>
        <v>0</v>
      </c>
      <c r="BA392" s="226">
        <f>_xlfn.SUMIFS(Аренда!AZ$25:AZ$57,Аренда!$F$25:$F$57,$F392,Аренда!$G$25:$G$57,"Арендная и концессионная плата, лизинговые платежи")</f>
        <v>0</v>
      </c>
      <c r="BB392" s="226">
        <f>_xlfn.SUMIFS(Аренда!BA$25:BA$57,Аренда!$F$25:$F$57,$F392,Аренда!$G$25:$G$57,"Арендная и концессионная плата, лизинговые платежи")</f>
        <v>0</v>
      </c>
      <c r="BC392" s="226">
        <f>_xlfn.SUMIFS(Аренда!BB$25:BB$57,Аренда!$F$25:$F$57,$F392,Аренда!$G$25:$G$57,"Арендная и концессионная плата, лизинговые платежи")</f>
        <v>0</v>
      </c>
      <c r="BD392" s="926">
        <f>IF(AI392=0,0,(AT392-AI392)/AI392*100)</f>
        <v>0</v>
      </c>
      <c r="BE392" s="926">
        <f>IF(AT392=0,0,(AU392-AT392)/AT392*100)</f>
        <v>0</v>
      </c>
      <c r="BF392" s="926">
        <f>IF(AU392=0,0,(AV392-AU392)/AU392*100)</f>
        <v>0</v>
      </c>
      <c r="BG392" s="926">
        <f>IF(AV392=0,0,(AW392-AV392)/AV392*100)</f>
        <v>0</v>
      </c>
      <c r="BH392" s="926">
        <f>IF(AW392=0,0,(AX392-AW392)/AW392*100)</f>
        <v>0</v>
      </c>
      <c r="BI392" s="926">
        <f>IF(AX392=0,0,(AY392-AX392)/AX392*100)</f>
        <v>0</v>
      </c>
      <c r="BJ392" s="926">
        <f>IF(AY392=0,0,(AZ392-AY392)/AY392*100)</f>
        <v>0</v>
      </c>
      <c r="BK392" s="926">
        <f>IF(AZ392=0,0,(BA392-AZ392)/AZ392*100)</f>
        <v>0</v>
      </c>
      <c r="BL392" s="926">
        <f>IF(BA392=0,0,(BB392-BA392)/BA392*100)</f>
        <v>0</v>
      </c>
      <c r="BM392" s="926">
        <f>IF(BB392=0,0,(BC392-BB392)/BB392*100)</f>
        <v>0</v>
      </c>
      <c r="BN392" s="4830"/>
      <c r="BO392" s="4834" t="str">
        <f>IF(_xlfn.IFERROR(INDEX(Аренда!$K$26:$L$57,MATCH($F392&amp;"komm",Аренда!$K$26:$K$57,0),2),"")=0,"",_xlfn.IFERROR(INDEX(Аренда!$K$26:$L$57,MATCH($F392&amp;"komm",Аренда!$K$26:$K$57,0),2),""))</f>
        <v/>
      </c>
      <c r="BP392" s="4830"/>
      <c r="BQ392" s="960"/>
      <c r="BR392" s="960"/>
      <c r="BS392" s="1048" t="s">
        <v>1965</v>
      </c>
      <c r="BT392" s="1048"/>
      <c r="BU392" s="1048"/>
      <c r="BV392" s="962"/>
      <c r="BW392" s="962"/>
    </row>
    <row s="1621" customFormat="1" customHeight="1" ht="14.25" hidden="1">
      <c r="A393" s="960"/>
      <c r="B393" s="405">
        <f>STATUS_GO="да"</f>
        <v>0</v>
      </c>
      <c r="C393" s="960"/>
      <c r="D393" s="960"/>
      <c r="E393" s="683">
        <v>15</v>
      </c>
      <c r="F393" s="50" cm="1" t="str">
        <f t="array" ref="F393:F393">OFFSET(E393,-1,1)</f>
        <v>2</v>
      </c>
      <c r="G393" s="960"/>
      <c r="H393" s="960"/>
      <c r="I393" s="124" t="s">
        <v>1966</v>
      </c>
      <c r="J393" s="960"/>
      <c r="K393" s="124" t="s">
        <v>1966</v>
      </c>
      <c r="L393" s="963"/>
      <c r="M393" s="73"/>
      <c r="N393" s="960"/>
      <c r="O393" s="960"/>
      <c r="P393" s="960"/>
      <c r="Q393" s="960"/>
      <c r="R393" s="960"/>
      <c r="S393" s="960"/>
      <c r="T393" s="439" cm="1" t="str">
        <f t="array" ref="T393:T393">T392</f>
        <v>true</v>
      </c>
      <c r="U393" s="960"/>
      <c r="V393" s="960"/>
      <c r="W393" s="960"/>
      <c r="X393" s="1482"/>
      <c r="Y393" s="960"/>
      <c r="Z393" s="1465"/>
      <c r="AA393" s="960"/>
      <c r="AB393" s="266" t="s">
        <v>1395</v>
      </c>
      <c r="AC393" s="743" t="s">
        <v>1967</v>
      </c>
      <c r="AD393" s="267" t="s">
        <v>784</v>
      </c>
      <c r="AE393" s="1282"/>
      <c r="AF393" s="1282"/>
      <c r="AG393" s="1282"/>
      <c r="AH393" s="926">
        <f>AG393-AF393</f>
        <v>0</v>
      </c>
      <c r="AI393" s="1280"/>
      <c r="AJ393" s="4765"/>
      <c r="AK393" s="1280"/>
      <c r="AL393" s="1280"/>
      <c r="AM393" s="1280"/>
      <c r="AN393" s="1280"/>
      <c r="AO393" s="1280"/>
      <c r="AP393" s="1280"/>
      <c r="AQ393" s="1280"/>
      <c r="AR393" s="1280"/>
      <c r="AS393" s="1280"/>
      <c r="AT393" s="4765"/>
      <c r="AU393" s="1280"/>
      <c r="AV393" s="1280"/>
      <c r="AW393" s="1280"/>
      <c r="AX393" s="1280"/>
      <c r="AY393" s="1280"/>
      <c r="AZ393" s="1280"/>
      <c r="BA393" s="1280"/>
      <c r="BB393" s="1280"/>
      <c r="BC393" s="1280"/>
      <c r="BD393" s="926">
        <f>IF(AI393=0,0,(AT393-AI393)/AI393*100)</f>
        <v>0</v>
      </c>
      <c r="BE393" s="926">
        <f>IF(AT393=0,0,(AU393-AT393)/AT393*100)</f>
        <v>0</v>
      </c>
      <c r="BF393" s="926">
        <f>IF(AU393=0,0,(AV393-AU393)/AU393*100)</f>
        <v>0</v>
      </c>
      <c r="BG393" s="926">
        <f>IF(AV393=0,0,(AW393-AV393)/AV393*100)</f>
        <v>0</v>
      </c>
      <c r="BH393" s="926">
        <f>IF(AW393=0,0,(AX393-AW393)/AW393*100)</f>
        <v>0</v>
      </c>
      <c r="BI393" s="926">
        <f>IF(AX393=0,0,(AY393-AX393)/AX393*100)</f>
        <v>0</v>
      </c>
      <c r="BJ393" s="926">
        <f>IF(AY393=0,0,(AZ393-AY393)/AY393*100)</f>
        <v>0</v>
      </c>
      <c r="BK393" s="926">
        <f>IF(AZ393=0,0,(BA393-AZ393)/AZ393*100)</f>
        <v>0</v>
      </c>
      <c r="BL393" s="926">
        <f>IF(BA393=0,0,(BB393-BA393)/BA393*100)</f>
        <v>0</v>
      </c>
      <c r="BM393" s="926">
        <f>IF(BB393=0,0,(BC393-BB393)/BB393*100)</f>
        <v>0</v>
      </c>
      <c r="BN393" s="1283"/>
      <c r="BO393" s="1283"/>
      <c r="BP393" s="1283"/>
      <c r="BQ393" s="960"/>
      <c r="BR393" s="960"/>
      <c r="BS393" s="1048" t="s">
        <v>1689</v>
      </c>
      <c r="BT393" s="1048"/>
      <c r="BU393" s="1048"/>
      <c r="BV393" s="962"/>
      <c r="BW393" s="962"/>
    </row>
    <row s="1621" customFormat="1" customHeight="1" ht="14.25" hidden="1">
      <c r="A394" s="960"/>
      <c r="B394" s="405">
        <f>STATUS_GO="да"</f>
        <v>0</v>
      </c>
      <c r="C394" s="960"/>
      <c r="D394" s="960"/>
      <c r="E394" s="683">
        <v>15</v>
      </c>
      <c r="F394" s="50" cm="1" t="str">
        <f t="array" ref="F394:F394">OFFSET(E394,-1,1)</f>
        <v>2</v>
      </c>
      <c r="G394" s="124" t="s">
        <v>1337</v>
      </c>
      <c r="H394" s="960"/>
      <c r="I394" s="124" t="s">
        <v>1968</v>
      </c>
      <c r="J394" s="960"/>
      <c r="K394" s="124" t="s">
        <v>1968</v>
      </c>
      <c r="L394" s="963"/>
      <c r="M394" s="73"/>
      <c r="N394" s="960"/>
      <c r="O394" s="960"/>
      <c r="P394" s="960"/>
      <c r="Q394" s="960"/>
      <c r="R394" s="960"/>
      <c r="S394" s="960"/>
      <c r="T394" s="439" cm="1" t="str">
        <f t="array" ref="T394:T394">T393</f>
        <v>true</v>
      </c>
      <c r="U394" s="960"/>
      <c r="V394" s="960"/>
      <c r="W394" s="960"/>
      <c r="X394" s="1482"/>
      <c r="Y394" s="960"/>
      <c r="Z394" s="1465"/>
      <c r="AA394" s="960"/>
      <c r="AB394" s="266" t="s">
        <v>1969</v>
      </c>
      <c r="AC394" s="746" t="s">
        <v>1337</v>
      </c>
      <c r="AD394" s="267" t="s">
        <v>784</v>
      </c>
      <c r="AE394" s="1282"/>
      <c r="AF394" s="1282"/>
      <c r="AG394" s="1282"/>
      <c r="AH394" s="926">
        <f>AG394-AF394</f>
        <v>0</v>
      </c>
      <c r="AI394" s="1280"/>
      <c r="AJ394" s="4765"/>
      <c r="AK394" s="1280"/>
      <c r="AL394" s="1280"/>
      <c r="AM394" s="1280"/>
      <c r="AN394" s="1280"/>
      <c r="AO394" s="1280"/>
      <c r="AP394" s="1280"/>
      <c r="AQ394" s="1280"/>
      <c r="AR394" s="1280"/>
      <c r="AS394" s="1280"/>
      <c r="AT394" s="4765"/>
      <c r="AU394" s="1280"/>
      <c r="AV394" s="1280"/>
      <c r="AW394" s="1280"/>
      <c r="AX394" s="1280"/>
      <c r="AY394" s="1280"/>
      <c r="AZ394" s="1280"/>
      <c r="BA394" s="1280"/>
      <c r="BB394" s="1280"/>
      <c r="BC394" s="1280"/>
      <c r="BD394" s="926">
        <f>IF(AI394=0,0,(AT394-AI394)/AI394*100)</f>
        <v>0</v>
      </c>
      <c r="BE394" s="926">
        <f>IF(AT394=0,0,(AU394-AT394)/AT394*100)</f>
        <v>0</v>
      </c>
      <c r="BF394" s="926">
        <f>IF(AU394=0,0,(AV394-AU394)/AU394*100)</f>
        <v>0</v>
      </c>
      <c r="BG394" s="926">
        <f>IF(AV394=0,0,(AW394-AV394)/AV394*100)</f>
        <v>0</v>
      </c>
      <c r="BH394" s="926">
        <f>IF(AW394=0,0,(AX394-AW394)/AW394*100)</f>
        <v>0</v>
      </c>
      <c r="BI394" s="926">
        <f>IF(AX394=0,0,(AY394-AX394)/AX394*100)</f>
        <v>0</v>
      </c>
      <c r="BJ394" s="926">
        <f>IF(AY394=0,0,(AZ394-AY394)/AY394*100)</f>
        <v>0</v>
      </c>
      <c r="BK394" s="926">
        <f>IF(AZ394=0,0,(BA394-AZ394)/AZ394*100)</f>
        <v>0</v>
      </c>
      <c r="BL394" s="926">
        <f>IF(BA394=0,0,(BB394-BA394)/BA394*100)</f>
        <v>0</v>
      </c>
      <c r="BM394" s="926">
        <f>IF(BB394=0,0,(BC394-BB394)/BB394*100)</f>
        <v>0</v>
      </c>
      <c r="BN394" s="1283"/>
      <c r="BO394" s="1286" t="str">
        <f>IF(_xlfn.IFERROR(INDEX('Сбытовые расходы ГО'!$K$26:$M$63,MATCH($F394&amp;"komm",'Сбытовые расходы ГО'!$K$26:$K$63,0),2),"")=0,"",_xlfn.IFERROR(INDEX('Сбытовые расходы ГО'!$K$26:$M$63,MATCH($F394&amp;"komm",'Сбытовые расходы ГО'!$K$26:$K$63,0),2),""))</f>
        <v/>
      </c>
      <c r="BP394" s="1283"/>
      <c r="BQ394" s="960"/>
      <c r="BR394" s="960"/>
      <c r="BS394" s="1048" t="s">
        <v>1970</v>
      </c>
      <c r="BT394" s="1048"/>
      <c r="BU394" s="1048"/>
      <c r="BV394" s="962"/>
      <c r="BW394" s="962"/>
    </row>
    <row s="1621" customFormat="1" customHeight="1" ht="14.625">
      <c r="A395" s="960"/>
      <c r="B395" s="961"/>
      <c r="C395" s="960"/>
      <c r="D395" s="960"/>
      <c r="E395" s="683">
        <v>15</v>
      </c>
      <c r="F395" s="50" cm="1" t="str">
        <f t="array" ref="F395:F395">OFFSET(E395,-1,1)</f>
        <v>2</v>
      </c>
      <c r="G395" s="124" t="s">
        <v>1342</v>
      </c>
      <c r="H395" s="960"/>
      <c r="I395" s="124" t="s">
        <v>1971</v>
      </c>
      <c r="J395" s="960"/>
      <c r="K395" s="124" t="s">
        <v>1971</v>
      </c>
      <c r="L395" s="963"/>
      <c r="M395" s="73"/>
      <c r="N395" s="960"/>
      <c r="O395" s="960"/>
      <c r="P395" s="960"/>
      <c r="Q395" s="960"/>
      <c r="R395" s="960"/>
      <c r="S395" s="960"/>
      <c r="T395" s="439" cm="1" t="str">
        <f t="array" ref="T395:T395">T394</f>
        <v>true</v>
      </c>
      <c r="U395" s="960"/>
      <c r="V395" s="960"/>
      <c r="W395" s="960"/>
      <c r="X395" s="1482"/>
      <c r="Y395" s="960"/>
      <c r="Z395" s="1465"/>
      <c r="AA395" s="960"/>
      <c r="AB395" s="266" t="s">
        <v>1400</v>
      </c>
      <c r="AC395" s="743" t="s">
        <v>1342</v>
      </c>
      <c r="AD395" s="267" t="s">
        <v>784</v>
      </c>
      <c r="AE395" s="4759">
        <v>0</v>
      </c>
      <c r="AF395" s="4759"/>
      <c r="AG395" s="4759"/>
      <c r="AH395" s="926">
        <f>AG395-AF395</f>
        <v>0</v>
      </c>
      <c r="AI395" s="4765">
        <v>-761.5</v>
      </c>
      <c r="AJ395" s="4765">
        <f>_xlfn.SUMIFS(Экономия_корр!AE$25:AE$51,Экономия_корр!$F$25:$F$51,$F395,Экономия_корр!$AC$25:$AC$51,"Экономия расходов с учетом ИПЦ")</f>
        <v>0</v>
      </c>
      <c r="AK395" s="1280">
        <f>_xlfn.SUMIFS(Экономия_корр!AF$25:AF$51,Экономия_корр!$F$25:$F$51,$F395,Экономия_корр!$AC$25:$AC$51,"Экономия расходов с учетом ИПЦ")</f>
        <v>0</v>
      </c>
      <c r="AL395" s="1280">
        <f>_xlfn.SUMIFS(Экономия_корр!AG$25:AG$51,Экономия_корр!$F$25:$F$51,$F395,Экономия_корр!$AC$25:$AC$51,"Экономия расходов с учетом ИПЦ")</f>
        <v>0</v>
      </c>
      <c r="AM395" s="4765">
        <f>_xlfn.SUMIFS(Экономия_корр!AH$25:AH$51,Экономия_корр!$F$25:$F$51,$F395,Экономия_корр!$AC$25:$AC$51,"Экономия расходов с учетом ИПЦ")</f>
        <v>0</v>
      </c>
      <c r="AN395" s="4765">
        <f>_xlfn.SUMIFS(Экономия_корр!AI$25:AI$51,Экономия_корр!$F$25:$F$51,$F395,Экономия_корр!$AC$25:$AC$51,"Экономия расходов с учетом ИПЦ")</f>
        <v>0</v>
      </c>
      <c r="AO395" s="4765">
        <f>_xlfn.SUMIFS(Экономия_корр!AJ$25:AJ$51,Экономия_корр!$F$25:$F$51,$F395,Экономия_корр!$AC$25:$AC$51,"Экономия расходов с учетом ИПЦ")</f>
        <v>0</v>
      </c>
      <c r="AP395" s="4765">
        <f>_xlfn.SUMIFS(Экономия_корр!AK$25:AK$51,Экономия_корр!$F$25:$F$51,$F395,Экономия_корр!$AC$25:$AC$51,"Экономия расходов с учетом ИПЦ")</f>
        <v>0</v>
      </c>
      <c r="AQ395" s="4765">
        <f>_xlfn.SUMIFS(Экономия_корр!AL$25:AL$51,Экономия_корр!$F$25:$F$51,$F395,Экономия_корр!$AC$25:$AC$51,"Экономия расходов с учетом ИПЦ")</f>
        <v>0</v>
      </c>
      <c r="AR395" s="4765">
        <f>_xlfn.SUMIFS(Экономия_корр!AM$25:AM$51,Экономия_корр!$F$25:$F$51,$F395,Экономия_корр!$AC$25:$AC$51,"Экономия расходов с учетом ИПЦ")</f>
        <v>0</v>
      </c>
      <c r="AS395" s="4765">
        <f>_xlfn.SUMIFS(Экономия_корр!AN$25:AN$51,Экономия_корр!$F$25:$F$51,$F395,Экономия_корр!$AC$25:$AC$51,"Экономия расходов с учетом ИПЦ")</f>
        <v>0</v>
      </c>
      <c r="AT395" s="4765">
        <f>_xlfn.SUMIFS(Экономия_корр!AO$25:AO$51,Экономия_корр!$F$25:$F$51,$F395,Экономия_корр!$AC$25:$AC$51,"Экономия расходов с учетом ИПЦ")</f>
        <v>0</v>
      </c>
      <c r="AU395" s="1280">
        <f>_xlfn.SUMIFS(Экономия_корр!AP$25:AP$51,Экономия_корр!$F$25:$F$51,$F395,Экономия_корр!$AC$25:$AC$51,"Экономия расходов с учетом ИПЦ")</f>
        <v>0</v>
      </c>
      <c r="AV395" s="1280">
        <f>_xlfn.SUMIFS(Экономия_корр!AQ$25:AQ$51,Экономия_корр!$F$25:$F$51,$F395,Экономия_корр!$AC$25:$AC$51,"Экономия расходов с учетом ИПЦ")</f>
        <v>0</v>
      </c>
      <c r="AW395" s="4765">
        <f>_xlfn.SUMIFS(Экономия_корр!AR$25:AR$51,Экономия_корр!$F$25:$F$51,$F395,Экономия_корр!$AC$25:$AC$51,"Экономия расходов с учетом ИПЦ")</f>
        <v>0</v>
      </c>
      <c r="AX395" s="4765">
        <f>_xlfn.SUMIFS(Экономия_корр!AS$25:AS$51,Экономия_корр!$F$25:$F$51,$F395,Экономия_корр!$AC$25:$AC$51,"Экономия расходов с учетом ИПЦ")</f>
        <v>0</v>
      </c>
      <c r="AY395" s="4765">
        <f>_xlfn.SUMIFS(Экономия_корр!AT$25:AT$51,Экономия_корр!$F$25:$F$51,$F395,Экономия_корр!$AC$25:$AC$51,"Экономия расходов с учетом ИПЦ")</f>
        <v>0</v>
      </c>
      <c r="AZ395" s="4765">
        <f>_xlfn.SUMIFS(Экономия_корр!AU$25:AU$51,Экономия_корр!$F$25:$F$51,$F395,Экономия_корр!$AC$25:$AC$51,"Экономия расходов с учетом ИПЦ")</f>
        <v>0</v>
      </c>
      <c r="BA395" s="4765">
        <f>_xlfn.SUMIFS(Экономия_корр!AV$25:AV$51,Экономия_корр!$F$25:$F$51,$F395,Экономия_корр!$AC$25:$AC$51,"Экономия расходов с учетом ИПЦ")</f>
        <v>0</v>
      </c>
      <c r="BB395" s="4765">
        <f>_xlfn.SUMIFS(Экономия_корр!AW$25:AW$51,Экономия_корр!$F$25:$F$51,$F395,Экономия_корр!$AC$25:$AC$51,"Экономия расходов с учетом ИПЦ")</f>
        <v>0</v>
      </c>
      <c r="BC395" s="4765">
        <f>_xlfn.SUMIFS(Экономия_корр!AX$25:AX$51,Экономия_корр!$F$25:$F$51,$F395,Экономия_корр!$AC$25:$AC$51,"Экономия расходов с учетом ИПЦ")</f>
        <v>0</v>
      </c>
      <c r="BD395" s="926">
        <f>IF(AI395=0,0,(AT395-AI395)/AI395*100)</f>
        <v>-100</v>
      </c>
      <c r="BE395" s="926">
        <f>IF(AT395=0,0,(AU395-AT395)/AT395*100)</f>
        <v>0</v>
      </c>
      <c r="BF395" s="926">
        <f>IF(AU395=0,0,(AV395-AU395)/AU395*100)</f>
        <v>0</v>
      </c>
      <c r="BG395" s="926">
        <f>IF(AV395=0,0,(AW395-AV395)/AV395*100)</f>
        <v>0</v>
      </c>
      <c r="BH395" s="926">
        <f>IF(AW395=0,0,(AX395-AW395)/AW395*100)</f>
        <v>0</v>
      </c>
      <c r="BI395" s="926">
        <f>IF(AX395=0,0,(AY395-AX395)/AX395*100)</f>
        <v>0</v>
      </c>
      <c r="BJ395" s="926">
        <f>IF(AY395=0,0,(AZ395-AY395)/AY395*100)</f>
        <v>0</v>
      </c>
      <c r="BK395" s="926">
        <f>IF(AZ395=0,0,(BA395-AZ395)/AZ395*100)</f>
        <v>0</v>
      </c>
      <c r="BL395" s="926">
        <f>IF(BA395=0,0,(BB395-BA395)/BA395*100)</f>
        <v>0</v>
      </c>
      <c r="BM395" s="926">
        <f>IF(BB395=0,0,(BC395-BB395)/BB395*100)</f>
        <v>0</v>
      </c>
      <c r="BN395" s="4830"/>
      <c r="BO395" s="4830"/>
      <c r="BP395" s="4830"/>
      <c r="BQ395" s="960"/>
      <c r="BR395" s="960"/>
      <c r="BS395" s="1048" t="s">
        <v>1972</v>
      </c>
      <c r="BT395" s="1048"/>
      <c r="BU395" s="1048"/>
      <c r="BV395" s="962"/>
      <c r="BW395" s="962"/>
    </row>
    <row s="1621" customFormat="1" customHeight="1" ht="14.25">
      <c r="A396" s="960"/>
      <c r="B396" s="961"/>
      <c r="C396" s="960"/>
      <c r="D396" s="960"/>
      <c r="E396" s="683">
        <v>15</v>
      </c>
      <c r="F396" s="50" cm="1" t="str">
        <f t="array" ref="F396:F396">OFFSET(E396,-1,1)</f>
        <v>2</v>
      </c>
      <c r="G396" s="124" t="s">
        <v>1347</v>
      </c>
      <c r="H396" s="960"/>
      <c r="I396" s="124" t="s">
        <v>1973</v>
      </c>
      <c r="J396" s="960"/>
      <c r="K396" s="124" t="s">
        <v>1973</v>
      </c>
      <c r="L396" s="963"/>
      <c r="M396" s="73"/>
      <c r="N396" s="960"/>
      <c r="O396" s="960"/>
      <c r="P396" s="960"/>
      <c r="Q396" s="960"/>
      <c r="R396" s="960"/>
      <c r="S396" s="960"/>
      <c r="T396" s="439" cm="1" t="str">
        <f t="array" ref="T396:T396">T395</f>
        <v>true</v>
      </c>
      <c r="U396" s="960"/>
      <c r="V396" s="960"/>
      <c r="W396" s="960"/>
      <c r="X396" s="1482"/>
      <c r="Y396" s="960"/>
      <c r="Z396" s="1465"/>
      <c r="AA396" s="960"/>
      <c r="AB396" s="266" t="s">
        <v>1974</v>
      </c>
      <c r="AC396" s="743" t="s">
        <v>1347</v>
      </c>
      <c r="AD396" s="267" t="s">
        <v>784</v>
      </c>
      <c r="AE396" s="4759"/>
      <c r="AF396" s="4759"/>
      <c r="AG396" s="4759"/>
      <c r="AH396" s="926">
        <f>AG396-AF396</f>
        <v>0</v>
      </c>
      <c r="AI396" s="4765"/>
      <c r="AJ396" s="4765"/>
      <c r="AK396" s="1280"/>
      <c r="AL396" s="1280"/>
      <c r="AM396" s="4765"/>
      <c r="AN396" s="4765"/>
      <c r="AO396" s="4765"/>
      <c r="AP396" s="4765"/>
      <c r="AQ396" s="4765"/>
      <c r="AR396" s="4765"/>
      <c r="AS396" s="4765"/>
      <c r="AT396" s="4765"/>
      <c r="AU396" s="1280"/>
      <c r="AV396" s="1280"/>
      <c r="AW396" s="4765"/>
      <c r="AX396" s="4765"/>
      <c r="AY396" s="4765"/>
      <c r="AZ396" s="4765"/>
      <c r="BA396" s="4765"/>
      <c r="BB396" s="4765"/>
      <c r="BC396" s="4765"/>
      <c r="BD396" s="926">
        <f>IF(AI396=0,0,(AT396-AI396)/AI396*100)</f>
        <v>0</v>
      </c>
      <c r="BE396" s="926">
        <f>IF(AT396=0,0,(AU396-AT396)/AT396*100)</f>
        <v>0</v>
      </c>
      <c r="BF396" s="926">
        <f>IF(AU396=0,0,(AV396-AU396)/AU396*100)</f>
        <v>0</v>
      </c>
      <c r="BG396" s="926">
        <f>IF(AV396=0,0,(AW396-AV396)/AV396*100)</f>
        <v>0</v>
      </c>
      <c r="BH396" s="926">
        <f>IF(AW396=0,0,(AX396-AW396)/AW396*100)</f>
        <v>0</v>
      </c>
      <c r="BI396" s="926">
        <f>IF(AX396=0,0,(AY396-AX396)/AX396*100)</f>
        <v>0</v>
      </c>
      <c r="BJ396" s="926">
        <f>IF(AY396=0,0,(AZ396-AY396)/AY396*100)</f>
        <v>0</v>
      </c>
      <c r="BK396" s="926">
        <f>IF(AZ396=0,0,(BA396-AZ396)/AZ396*100)</f>
        <v>0</v>
      </c>
      <c r="BL396" s="926">
        <f>IF(BA396=0,0,(BB396-BA396)/BA396*100)</f>
        <v>0</v>
      </c>
      <c r="BM396" s="926">
        <f>IF(BB396=0,0,(BC396-BB396)/BB396*100)</f>
        <v>0</v>
      </c>
      <c r="BN396" s="4830"/>
      <c r="BO396" s="4830"/>
      <c r="BP396" s="4830"/>
      <c r="BQ396" s="960"/>
      <c r="BR396" s="960"/>
      <c r="BS396" s="1048" t="s">
        <v>1704</v>
      </c>
      <c r="BT396" s="1048"/>
      <c r="BU396" s="1048"/>
      <c r="BV396" s="962"/>
      <c r="BW396" s="962"/>
    </row>
    <row s="1621" customFormat="1" customHeight="1" ht="14.25">
      <c r="A397" s="960"/>
      <c r="B397" s="961"/>
      <c r="C397" s="960"/>
      <c r="D397" s="960"/>
      <c r="E397" s="683">
        <v>15</v>
      </c>
      <c r="F397" s="50" cm="1" t="str">
        <f t="array" ref="F397:F397">OFFSET(E397,-1,1)</f>
        <v>2</v>
      </c>
      <c r="G397" s="124" t="s">
        <v>1352</v>
      </c>
      <c r="H397" s="960"/>
      <c r="I397" s="124" t="s">
        <v>1975</v>
      </c>
      <c r="J397" s="960"/>
      <c r="K397" s="124" t="s">
        <v>1975</v>
      </c>
      <c r="L397" s="963"/>
      <c r="M397" s="73"/>
      <c r="N397" s="960"/>
      <c r="O397" s="960"/>
      <c r="P397" s="960"/>
      <c r="Q397" s="960"/>
      <c r="R397" s="960"/>
      <c r="S397" s="960"/>
      <c r="T397" s="439" cm="1" t="str">
        <f t="array" ref="T397:T397">T396</f>
        <v>true</v>
      </c>
      <c r="U397" s="960"/>
      <c r="V397" s="960"/>
      <c r="W397" s="960"/>
      <c r="X397" s="1482"/>
      <c r="Y397" s="960"/>
      <c r="Z397" s="1465"/>
      <c r="AA397" s="960"/>
      <c r="AB397" s="266" t="s">
        <v>1419</v>
      </c>
      <c r="AC397" s="743" t="s">
        <v>1352</v>
      </c>
      <c r="AD397" s="267" t="s">
        <v>784</v>
      </c>
      <c r="AE397" s="4759"/>
      <c r="AF397" s="4759"/>
      <c r="AG397" s="4759"/>
      <c r="AH397" s="926">
        <f>AG397-AF397</f>
        <v>0</v>
      </c>
      <c r="AI397" s="4765"/>
      <c r="AJ397" s="4765"/>
      <c r="AK397" s="1280"/>
      <c r="AL397" s="1280"/>
      <c r="AM397" s="4765"/>
      <c r="AN397" s="4765"/>
      <c r="AO397" s="4765"/>
      <c r="AP397" s="4765"/>
      <c r="AQ397" s="4765"/>
      <c r="AR397" s="4765"/>
      <c r="AS397" s="4765"/>
      <c r="AT397" s="4765"/>
      <c r="AU397" s="1280"/>
      <c r="AV397" s="1280"/>
      <c r="AW397" s="4765"/>
      <c r="AX397" s="4765"/>
      <c r="AY397" s="4765"/>
      <c r="AZ397" s="4765"/>
      <c r="BA397" s="4765"/>
      <c r="BB397" s="4765"/>
      <c r="BC397" s="4765"/>
      <c r="BD397" s="926">
        <f>IF(AI397=0,0,(AT397-AI397)/AI397*100)</f>
        <v>0</v>
      </c>
      <c r="BE397" s="926">
        <f>IF(AT397=0,0,(AU397-AT397)/AT397*100)</f>
        <v>0</v>
      </c>
      <c r="BF397" s="926">
        <f>IF(AU397=0,0,(AV397-AU397)/AU397*100)</f>
        <v>0</v>
      </c>
      <c r="BG397" s="926">
        <f>IF(AV397=0,0,(AW397-AV397)/AV397*100)</f>
        <v>0</v>
      </c>
      <c r="BH397" s="926">
        <f>IF(AW397=0,0,(AX397-AW397)/AW397*100)</f>
        <v>0</v>
      </c>
      <c r="BI397" s="926">
        <f>IF(AX397=0,0,(AY397-AX397)/AX397*100)</f>
        <v>0</v>
      </c>
      <c r="BJ397" s="926">
        <f>IF(AY397=0,0,(AZ397-AY397)/AY397*100)</f>
        <v>0</v>
      </c>
      <c r="BK397" s="926">
        <f>IF(AZ397=0,0,(BA397-AZ397)/AZ397*100)</f>
        <v>0</v>
      </c>
      <c r="BL397" s="926">
        <f>IF(BA397=0,0,(BB397-BA397)/BA397*100)</f>
        <v>0</v>
      </c>
      <c r="BM397" s="926">
        <f>IF(BB397=0,0,(BC397-BB397)/BB397*100)</f>
        <v>0</v>
      </c>
      <c r="BN397" s="4830"/>
      <c r="BO397" s="4830"/>
      <c r="BP397" s="4830"/>
      <c r="BQ397" s="960"/>
      <c r="BR397" s="960"/>
      <c r="BS397" s="1048" t="s">
        <v>1976</v>
      </c>
      <c r="BT397" s="1048"/>
      <c r="BU397" s="1048"/>
      <c r="BV397" s="962"/>
      <c r="BW397" s="962"/>
    </row>
    <row s="1621" customFormat="1" customHeight="1" ht="14.25">
      <c r="A398" s="960"/>
      <c r="B398" s="961"/>
      <c r="C398" s="960"/>
      <c r="D398" s="960"/>
      <c r="E398" s="683">
        <v>15</v>
      </c>
      <c r="F398" s="50" cm="1" t="str">
        <f t="array" ref="F398:F398">OFFSET(E398,-1,1)</f>
        <v>2</v>
      </c>
      <c r="G398" s="124" t="s">
        <v>1357</v>
      </c>
      <c r="H398" s="960"/>
      <c r="I398" s="124" t="s">
        <v>1977</v>
      </c>
      <c r="J398" s="960"/>
      <c r="K398" s="124" t="s">
        <v>1977</v>
      </c>
      <c r="L398" s="963"/>
      <c r="M398" s="73"/>
      <c r="N398" s="960"/>
      <c r="O398" s="960"/>
      <c r="P398" s="960"/>
      <c r="Q398" s="960"/>
      <c r="R398" s="960"/>
      <c r="S398" s="960"/>
      <c r="T398" s="439" cm="1" t="str">
        <f t="array" ref="T398:T398">T397</f>
        <v>true</v>
      </c>
      <c r="U398" s="960"/>
      <c r="V398" s="960"/>
      <c r="W398" s="960"/>
      <c r="X398" s="1482"/>
      <c r="Y398" s="960"/>
      <c r="Z398" s="1465"/>
      <c r="AA398" s="960"/>
      <c r="AB398" s="266" t="s">
        <v>1423</v>
      </c>
      <c r="AC398" s="743" t="s">
        <v>1357</v>
      </c>
      <c r="AD398" s="267" t="s">
        <v>784</v>
      </c>
      <c r="AE398" s="320">
        <f>SUM(AE399,AE400)</f>
        <v>0</v>
      </c>
      <c r="AF398" s="226">
        <f>SUM(AF399,AF400)</f>
        <v>0</v>
      </c>
      <c r="AG398" s="226">
        <f>SUM(AG399,AG400)</f>
        <v>0</v>
      </c>
      <c r="AH398" s="926">
        <f>AG398-AF398</f>
        <v>0</v>
      </c>
      <c r="AI398" s="926">
        <f>SUM(AI399,AI400)</f>
        <v>0</v>
      </c>
      <c r="AJ398" s="927">
        <f>SUM(AJ399,AJ400)</f>
        <v>0</v>
      </c>
      <c r="AK398" s="926">
        <f>SUM(AK399,AK400)</f>
        <v>0</v>
      </c>
      <c r="AL398" s="926">
        <f>SUM(AL399,AL400)</f>
        <v>0</v>
      </c>
      <c r="AM398" s="926">
        <f>SUM(AM399,AM400)</f>
        <v>0</v>
      </c>
      <c r="AN398" s="926">
        <f>SUM(AN399,AN400)</f>
        <v>0</v>
      </c>
      <c r="AO398" s="926">
        <f>SUM(AO399,AO400)</f>
        <v>0</v>
      </c>
      <c r="AP398" s="926">
        <f>SUM(AP399,AP400)</f>
        <v>0</v>
      </c>
      <c r="AQ398" s="926">
        <f>SUM(AQ399,AQ400)</f>
        <v>0</v>
      </c>
      <c r="AR398" s="926">
        <f>SUM(AR399,AR400)</f>
        <v>0</v>
      </c>
      <c r="AS398" s="926">
        <f>SUM(AS399,AS400)</f>
        <v>0</v>
      </c>
      <c r="AT398" s="927">
        <f>SUM(AT399,AT400)</f>
        <v>0</v>
      </c>
      <c r="AU398" s="926">
        <f>SUM(AU399,AU400)</f>
        <v>0</v>
      </c>
      <c r="AV398" s="926">
        <f>SUM(AV399,AV400)</f>
        <v>0</v>
      </c>
      <c r="AW398" s="926">
        <f>SUM(AW399,AW400)</f>
        <v>0</v>
      </c>
      <c r="AX398" s="926">
        <f>SUM(AX399,AX400)</f>
        <v>0</v>
      </c>
      <c r="AY398" s="926">
        <f>SUM(AY399,AY400)</f>
        <v>0</v>
      </c>
      <c r="AZ398" s="926">
        <f>SUM(AZ399,AZ400)</f>
        <v>0</v>
      </c>
      <c r="BA398" s="926">
        <f>SUM(BA399,BA400)</f>
        <v>0</v>
      </c>
      <c r="BB398" s="926">
        <f>SUM(BB399,BB400)</f>
        <v>0</v>
      </c>
      <c r="BC398" s="926">
        <f>SUM(BC399,BC400)</f>
        <v>0</v>
      </c>
      <c r="BD398" s="926">
        <f>IF(AI398=0,0,(AT398-AI398)/AI398*100)</f>
        <v>0</v>
      </c>
      <c r="BE398" s="926">
        <f>IF(AT398=0,0,(AU398-AT398)/AT398*100)</f>
        <v>0</v>
      </c>
      <c r="BF398" s="926">
        <f>IF(AU398=0,0,(AV398-AU398)/AU398*100)</f>
        <v>0</v>
      </c>
      <c r="BG398" s="926">
        <f>IF(AV398=0,0,(AW398-AV398)/AV398*100)</f>
        <v>0</v>
      </c>
      <c r="BH398" s="926">
        <f>IF(AW398=0,0,(AX398-AW398)/AW398*100)</f>
        <v>0</v>
      </c>
      <c r="BI398" s="926">
        <f>IF(AX398=0,0,(AY398-AX398)/AX398*100)</f>
        <v>0</v>
      </c>
      <c r="BJ398" s="926">
        <f>IF(AY398=0,0,(AZ398-AY398)/AY398*100)</f>
        <v>0</v>
      </c>
      <c r="BK398" s="926">
        <f>IF(AZ398=0,0,(BA398-AZ398)/AZ398*100)</f>
        <v>0</v>
      </c>
      <c r="BL398" s="926">
        <f>IF(BA398=0,0,(BB398-BA398)/BA398*100)</f>
        <v>0</v>
      </c>
      <c r="BM398" s="926">
        <f>IF(BB398=0,0,(BC398-BB398)/BB398*100)</f>
        <v>0</v>
      </c>
      <c r="BN398" s="4830"/>
      <c r="BO398" s="4830"/>
      <c r="BP398" s="4830"/>
      <c r="BQ398" s="960"/>
      <c r="BR398" s="960"/>
      <c r="BS398" s="1048" t="s">
        <v>1978</v>
      </c>
      <c r="BT398" s="1048"/>
      <c r="BU398" s="1048"/>
      <c r="BV398" s="962"/>
      <c r="BW398" s="962"/>
    </row>
    <row s="1621" customFormat="1" customHeight="1" ht="14.25">
      <c r="A399" s="960"/>
      <c r="B399" s="961"/>
      <c r="C399" s="960"/>
      <c r="D399" s="960"/>
      <c r="E399" s="683">
        <v>15</v>
      </c>
      <c r="F399" s="50" cm="1" t="str">
        <f t="array" ref="F399:F399">OFFSET(E399,-1,1)</f>
        <v>2</v>
      </c>
      <c r="G399" s="960"/>
      <c r="H399" s="960"/>
      <c r="I399" s="124" t="s">
        <v>1979</v>
      </c>
      <c r="J399" s="960"/>
      <c r="K399" s="124" t="s">
        <v>1979</v>
      </c>
      <c r="L399" s="963"/>
      <c r="M399" s="73"/>
      <c r="N399" s="960"/>
      <c r="O399" s="960"/>
      <c r="P399" s="960"/>
      <c r="Q399" s="960"/>
      <c r="R399" s="960"/>
      <c r="S399" s="960"/>
      <c r="T399" s="439" cm="1" t="str">
        <f t="array" ref="T399:T399">T398</f>
        <v>true</v>
      </c>
      <c r="U399" s="960"/>
      <c r="V399" s="960"/>
      <c r="W399" s="960"/>
      <c r="X399" s="1482"/>
      <c r="Y399" s="960"/>
      <c r="Z399" s="1465"/>
      <c r="AA399" s="960"/>
      <c r="AB399" s="266" t="s">
        <v>1980</v>
      </c>
      <c r="AC399" s="746" t="s">
        <v>1981</v>
      </c>
      <c r="AD399" s="267" t="s">
        <v>784</v>
      </c>
      <c r="AE399" s="4759"/>
      <c r="AF399" s="4759"/>
      <c r="AG399" s="4759"/>
      <c r="AH399" s="926">
        <f>AG399-AF399</f>
        <v>0</v>
      </c>
      <c r="AI399" s="4765"/>
      <c r="AJ399" s="4765"/>
      <c r="AK399" s="1280"/>
      <c r="AL399" s="1280"/>
      <c r="AM399" s="4765"/>
      <c r="AN399" s="4765"/>
      <c r="AO399" s="4765"/>
      <c r="AP399" s="4765"/>
      <c r="AQ399" s="4765"/>
      <c r="AR399" s="4765"/>
      <c r="AS399" s="4765"/>
      <c r="AT399" s="4765"/>
      <c r="AU399" s="1280"/>
      <c r="AV399" s="1280"/>
      <c r="AW399" s="4765"/>
      <c r="AX399" s="4765"/>
      <c r="AY399" s="4765"/>
      <c r="AZ399" s="4765"/>
      <c r="BA399" s="4765"/>
      <c r="BB399" s="4765"/>
      <c r="BC399" s="4765"/>
      <c r="BD399" s="926">
        <f>IF(AI399=0,0,(AT399-AI399)/AI399*100)</f>
        <v>0</v>
      </c>
      <c r="BE399" s="926">
        <f>IF(AT399=0,0,(AU399-AT399)/AT399*100)</f>
        <v>0</v>
      </c>
      <c r="BF399" s="926">
        <f>IF(AU399=0,0,(AV399-AU399)/AU399*100)</f>
        <v>0</v>
      </c>
      <c r="BG399" s="926">
        <f>IF(AV399=0,0,(AW399-AV399)/AV399*100)</f>
        <v>0</v>
      </c>
      <c r="BH399" s="926">
        <f>IF(AW399=0,0,(AX399-AW399)/AW399*100)</f>
        <v>0</v>
      </c>
      <c r="BI399" s="926">
        <f>IF(AX399=0,0,(AY399-AX399)/AX399*100)</f>
        <v>0</v>
      </c>
      <c r="BJ399" s="926">
        <f>IF(AY399=0,0,(AZ399-AY399)/AY399*100)</f>
        <v>0</v>
      </c>
      <c r="BK399" s="926">
        <f>IF(AZ399=0,0,(BA399-AZ399)/AZ399*100)</f>
        <v>0</v>
      </c>
      <c r="BL399" s="926">
        <f>IF(BA399=0,0,(BB399-BA399)/BA399*100)</f>
        <v>0</v>
      </c>
      <c r="BM399" s="926">
        <f>IF(BB399=0,0,(BC399-BB399)/BB399*100)</f>
        <v>0</v>
      </c>
      <c r="BN399" s="4830"/>
      <c r="BO399" s="4830"/>
      <c r="BP399" s="4830"/>
      <c r="BQ399" s="960"/>
      <c r="BR399" s="960"/>
      <c r="BS399" s="1048" t="s">
        <v>1144</v>
      </c>
      <c r="BT399" s="1048"/>
      <c r="BU399" s="1048"/>
      <c r="BV399" s="962"/>
      <c r="BW399" s="962"/>
    </row>
    <row s="1621" customFormat="1" customHeight="1" ht="14.25">
      <c r="A400" s="960"/>
      <c r="B400" s="961"/>
      <c r="C400" s="960"/>
      <c r="D400" s="960"/>
      <c r="E400" s="683">
        <v>15</v>
      </c>
      <c r="F400" s="50" cm="1" t="str">
        <f t="array" ref="F400:F400">OFFSET(E400,-1,1)</f>
        <v>2</v>
      </c>
      <c r="G400" s="960"/>
      <c r="H400" s="960"/>
      <c r="I400" s="124" t="s">
        <v>1982</v>
      </c>
      <c r="J400" s="960"/>
      <c r="K400" s="124" t="s">
        <v>1982</v>
      </c>
      <c r="L400" s="963" t="s">
        <v>857</v>
      </c>
      <c r="M400" s="73"/>
      <c r="N400" s="960"/>
      <c r="O400" s="960"/>
      <c r="P400" s="960"/>
      <c r="Q400" s="960"/>
      <c r="R400" s="960"/>
      <c r="S400" s="960"/>
      <c r="T400" s="439" cm="1" t="str">
        <f t="array" ref="T400:T400">T399</f>
        <v>true</v>
      </c>
      <c r="U400" s="960"/>
      <c r="V400" s="960"/>
      <c r="W400" s="960"/>
      <c r="X400" s="1482"/>
      <c r="Y400" s="960"/>
      <c r="Z400" s="1465"/>
      <c r="AA400" s="960"/>
      <c r="AB400" s="266" t="s">
        <v>1983</v>
      </c>
      <c r="AC400" s="746" t="s">
        <v>1984</v>
      </c>
      <c r="AD400" s="267" t="s">
        <v>784</v>
      </c>
      <c r="AE400" s="4759"/>
      <c r="AF400" s="4759"/>
      <c r="AG400" s="4759"/>
      <c r="AH400" s="926">
        <f>AG400-AF400</f>
        <v>0</v>
      </c>
      <c r="AI400" s="4765"/>
      <c r="AJ400" s="4765"/>
      <c r="AK400" s="1280"/>
      <c r="AL400" s="1280"/>
      <c r="AM400" s="4765"/>
      <c r="AN400" s="4765"/>
      <c r="AO400" s="4765"/>
      <c r="AP400" s="4765"/>
      <c r="AQ400" s="4765"/>
      <c r="AR400" s="4765"/>
      <c r="AS400" s="4765"/>
      <c r="AT400" s="4765"/>
      <c r="AU400" s="1280"/>
      <c r="AV400" s="1280"/>
      <c r="AW400" s="4765"/>
      <c r="AX400" s="4765"/>
      <c r="AY400" s="4765"/>
      <c r="AZ400" s="4765"/>
      <c r="BA400" s="4765"/>
      <c r="BB400" s="4765"/>
      <c r="BC400" s="4765"/>
      <c r="BD400" s="926">
        <f>IF(AI400=0,0,(AT400-AI400)/AI400*100)</f>
        <v>0</v>
      </c>
      <c r="BE400" s="926">
        <f>IF(AT400=0,0,(AU400-AT400)/AT400*100)</f>
        <v>0</v>
      </c>
      <c r="BF400" s="926">
        <f>IF(AU400=0,0,(AV400-AU400)/AU400*100)</f>
        <v>0</v>
      </c>
      <c r="BG400" s="926">
        <f>IF(AV400=0,0,(AW400-AV400)/AV400*100)</f>
        <v>0</v>
      </c>
      <c r="BH400" s="926">
        <f>IF(AW400=0,0,(AX400-AW400)/AW400*100)</f>
        <v>0</v>
      </c>
      <c r="BI400" s="926">
        <f>IF(AX400=0,0,(AY400-AX400)/AX400*100)</f>
        <v>0</v>
      </c>
      <c r="BJ400" s="926">
        <f>IF(AY400=0,0,(AZ400-AY400)/AY400*100)</f>
        <v>0</v>
      </c>
      <c r="BK400" s="926">
        <f>IF(AZ400=0,0,(BA400-AZ400)/AZ400*100)</f>
        <v>0</v>
      </c>
      <c r="BL400" s="926">
        <f>IF(BA400=0,0,(BB400-BA400)/BA400*100)</f>
        <v>0</v>
      </c>
      <c r="BM400" s="926">
        <f>IF(BB400=0,0,(BC400-BB400)/BB400*100)</f>
        <v>0</v>
      </c>
      <c r="BN400" s="4830"/>
      <c r="BO400" s="4830"/>
      <c r="BP400" s="4830"/>
      <c r="BQ400" s="960"/>
      <c r="BR400" s="960"/>
      <c r="BS400" s="1048" t="s">
        <v>1985</v>
      </c>
      <c r="BT400" s="1048"/>
      <c r="BU400" s="1048"/>
      <c r="BV400" s="962"/>
      <c r="BW400" s="962"/>
    </row>
    <row s="1621" customFormat="1" customHeight="1" ht="21.75">
      <c r="A401" s="960"/>
      <c r="B401" s="961"/>
      <c r="C401" s="960"/>
      <c r="D401" s="960"/>
      <c r="E401" s="683">
        <v>22.5</v>
      </c>
      <c r="F401" s="50" cm="1" t="str">
        <f t="array" ref="F401:F401">OFFSET(E401,-1,1)</f>
        <v>2</v>
      </c>
      <c r="G401" s="124" t="s">
        <v>1362</v>
      </c>
      <c r="H401" s="960"/>
      <c r="I401" s="124" t="s">
        <v>1986</v>
      </c>
      <c r="J401" s="960"/>
      <c r="K401" s="124" t="s">
        <v>1986</v>
      </c>
      <c r="L401" s="963"/>
      <c r="M401" s="73"/>
      <c r="N401" s="960"/>
      <c r="O401" s="960"/>
      <c r="P401" s="960"/>
      <c r="Q401" s="960"/>
      <c r="R401" s="960"/>
      <c r="S401" s="960"/>
      <c r="T401" s="439" cm="1" t="str">
        <f t="array" ref="T401:T401">T400</f>
        <v>true</v>
      </c>
      <c r="U401" s="960"/>
      <c r="V401" s="960"/>
      <c r="W401" s="960"/>
      <c r="X401" s="1482"/>
      <c r="Y401" s="960"/>
      <c r="Z401" s="1465"/>
      <c r="AA401" s="960"/>
      <c r="AB401" s="266" t="s">
        <v>1426</v>
      </c>
      <c r="AC401" s="743" t="s">
        <v>1987</v>
      </c>
      <c r="AD401" s="267" t="s">
        <v>784</v>
      </c>
      <c r="AE401" s="4759"/>
      <c r="AF401" s="4759"/>
      <c r="AG401" s="4759"/>
      <c r="AH401" s="926">
        <f>AG401-AF401</f>
        <v>0</v>
      </c>
      <c r="AI401" s="4765"/>
      <c r="AJ401" s="4765"/>
      <c r="AK401" s="1280"/>
      <c r="AL401" s="1280"/>
      <c r="AM401" s="4765"/>
      <c r="AN401" s="4765"/>
      <c r="AO401" s="4765"/>
      <c r="AP401" s="4765"/>
      <c r="AQ401" s="4765"/>
      <c r="AR401" s="4765"/>
      <c r="AS401" s="4765"/>
      <c r="AT401" s="4765"/>
      <c r="AU401" s="1280"/>
      <c r="AV401" s="1280"/>
      <c r="AW401" s="4765"/>
      <c r="AX401" s="4765"/>
      <c r="AY401" s="4765"/>
      <c r="AZ401" s="4765"/>
      <c r="BA401" s="4765"/>
      <c r="BB401" s="4765"/>
      <c r="BC401" s="4765"/>
      <c r="BD401" s="926">
        <f>IF(AI401=0,0,(AT401-AI401)/AI401*100)</f>
        <v>0</v>
      </c>
      <c r="BE401" s="926">
        <f>IF(AT401=0,0,(AU401-AT401)/AT401*100)</f>
        <v>0</v>
      </c>
      <c r="BF401" s="926">
        <f>IF(AU401=0,0,(AV401-AU401)/AU401*100)</f>
        <v>0</v>
      </c>
      <c r="BG401" s="926">
        <f>IF(AV401=0,0,(AW401-AV401)/AV401*100)</f>
        <v>0</v>
      </c>
      <c r="BH401" s="926">
        <f>IF(AW401=0,0,(AX401-AW401)/AW401*100)</f>
        <v>0</v>
      </c>
      <c r="BI401" s="926">
        <f>IF(AX401=0,0,(AY401-AX401)/AX401*100)</f>
        <v>0</v>
      </c>
      <c r="BJ401" s="926">
        <f>IF(AY401=0,0,(AZ401-AY401)/AY401*100)</f>
        <v>0</v>
      </c>
      <c r="BK401" s="926">
        <f>IF(AZ401=0,0,(BA401-AZ401)/AZ401*100)</f>
        <v>0</v>
      </c>
      <c r="BL401" s="926">
        <f>IF(BA401=0,0,(BB401-BA401)/BA401*100)</f>
        <v>0</v>
      </c>
      <c r="BM401" s="926">
        <f>IF(BB401=0,0,(BC401-BB401)/BB401*100)</f>
        <v>0</v>
      </c>
      <c r="BN401" s="4830"/>
      <c r="BO401" s="4830"/>
      <c r="BP401" s="4830"/>
      <c r="BQ401" s="960"/>
      <c r="BR401" s="960"/>
      <c r="BS401" s="1048" t="s">
        <v>1988</v>
      </c>
      <c r="BT401" s="1048"/>
      <c r="BU401" s="1048"/>
      <c r="BV401" s="962"/>
      <c r="BW401" s="962"/>
    </row>
    <row s="4894" customFormat="1" customHeight="1" ht="138.75">
      <c r="A402" s="680"/>
      <c r="B402" s="408"/>
      <c r="C402" s="680"/>
      <c r="D402" s="680"/>
      <c r="E402" s="687">
        <v>21</v>
      </c>
      <c r="F402" s="50" cm="1" t="str">
        <f t="array" ref="F402:F402">OFFSET(E402,-1,1)</f>
        <v>2</v>
      </c>
      <c r="G402" s="124" t="s">
        <v>1989</v>
      </c>
      <c r="H402" s="124"/>
      <c r="I402" s="124" t="s">
        <v>327</v>
      </c>
      <c r="J402" s="680"/>
      <c r="K402" s="124" t="s">
        <v>327</v>
      </c>
      <c r="L402" s="968" t="s">
        <v>1219</v>
      </c>
      <c r="M402" s="75"/>
      <c r="N402" s="680"/>
      <c r="O402" s="680"/>
      <c r="P402" s="680"/>
      <c r="Q402" s="680"/>
      <c r="R402" s="680"/>
      <c r="S402" s="680"/>
      <c r="T402" s="439" cm="1" t="str">
        <f t="array" ref="T402:T402">T401</f>
        <v>true</v>
      </c>
      <c r="U402" s="680"/>
      <c r="V402" s="680"/>
      <c r="W402" s="680"/>
      <c r="X402" s="1482"/>
      <c r="Y402" s="680"/>
      <c r="Z402" s="1465"/>
      <c r="AA402" s="680"/>
      <c r="AB402" s="185" t="s">
        <v>323</v>
      </c>
      <c r="AC402" s="179" t="s">
        <v>1990</v>
      </c>
      <c r="AD402" s="178" t="s">
        <v>784</v>
      </c>
      <c r="AE402" s="759">
        <f>_xlfn.SUMIFS(ЭЭ!AE$25:AE$93,ЭЭ!$F$25:$F$93,$F402,ЭЭ!$AC$25:$AC$93,"Всего по тарифу")</f>
        <v>515.5806411857</v>
      </c>
      <c r="AF402" s="759">
        <f>_xlfn.SUMIFS(ЭЭ!AF$25:AF$93,ЭЭ!$F$25:$F$93,$F402,ЭЭ!$AC$25:$AC$93,"Всего по тарифу")</f>
        <v>301.8922260161</v>
      </c>
      <c r="AG402" s="759">
        <f>_xlfn.SUMIFS(ЭЭ!AG$25:AG$93,ЭЭ!$F$25:$F$93,$F402,ЭЭ!$AC$25:$AC$93,"Всего по тарифу")</f>
        <v>301.8922260161</v>
      </c>
      <c r="AH402" s="742">
        <f>AG402-AF402</f>
        <v>0</v>
      </c>
      <c r="AI402" s="742">
        <f>_xlfn.SUMIFS(ЭЭ!AH$25:AH$93,ЭЭ!$F$25:$F$93,$F402,ЭЭ!$AC$25:$AC$93,"Всего по тарифу")</f>
        <v>590.1692517201</v>
      </c>
      <c r="AJ402" s="742">
        <f>_xlfn.SUMIFS(ЭЭ!AI$25:AI$93,ЭЭ!$F$25:$F$93,$F402,ЭЭ!$AC$25:$AC$93,"Всего по тарифу")</f>
        <v>313.6659</v>
      </c>
      <c r="AK402" s="742">
        <f>_xlfn.SUMIFS(ЭЭ!AJ$25:AJ$93,ЭЭ!$F$25:$F$93,$F402,ЭЭ!$AC$25:$AC$93,"Всего по тарифу")</f>
        <v>0</v>
      </c>
      <c r="AL402" s="742">
        <f>_xlfn.SUMIFS(ЭЭ!AK$25:AK$93,ЭЭ!$F$25:$F$93,$F402,ЭЭ!$AC$25:$AC$93,"Всего по тарифу")</f>
        <v>0</v>
      </c>
      <c r="AM402" s="742">
        <f>_xlfn.SUMIFS(ЭЭ!AL$25:AL$93,ЭЭ!$F$25:$F$93,$F402,ЭЭ!$AC$25:$AC$93,"Всего по тарифу")</f>
        <v>0</v>
      </c>
      <c r="AN402" s="742">
        <f>_xlfn.SUMIFS(ЭЭ!AM$25:AM$93,ЭЭ!$F$25:$F$93,$F402,ЭЭ!$AC$25:$AC$93,"Всего по тарифу")</f>
        <v>0</v>
      </c>
      <c r="AO402" s="742">
        <f>_xlfn.SUMIFS(ЭЭ!AN$25:AN$93,ЭЭ!$F$25:$F$93,$F402,ЭЭ!$AC$25:$AC$93,"Всего по тарифу")</f>
        <v>0</v>
      </c>
      <c r="AP402" s="742">
        <f>_xlfn.SUMIFS(ЭЭ!AO$25:AO$93,ЭЭ!$F$25:$F$93,$F402,ЭЭ!$AC$25:$AC$93,"Всего по тарифу")</f>
        <v>0</v>
      </c>
      <c r="AQ402" s="742">
        <f>_xlfn.SUMIFS(ЭЭ!AP$25:AP$93,ЭЭ!$F$25:$F$93,$F402,ЭЭ!$AC$25:$AC$93,"Всего по тарифу")</f>
        <v>0</v>
      </c>
      <c r="AR402" s="742">
        <f>_xlfn.SUMIFS(ЭЭ!AQ$25:AQ$93,ЭЭ!$F$25:$F$93,$F402,ЭЭ!$AC$25:$AC$93,"Всего по тарифу")</f>
        <v>0</v>
      </c>
      <c r="AS402" s="742">
        <f>_xlfn.SUMIFS(ЭЭ!AR$25:AR$93,ЭЭ!$F$25:$F$93,$F402,ЭЭ!$AC$25:$AC$93,"Всего по тарифу")</f>
        <v>0</v>
      </c>
      <c r="AT402" s="742">
        <f>_xlfn.SUMIFS(ЭЭ!AS$25:AS$93,ЭЭ!$F$25:$F$93,$F402,ЭЭ!$AC$25:$AC$93,"Всего по тарифу")</f>
        <v>602.6409307544</v>
      </c>
      <c r="AU402" s="742">
        <f>_xlfn.SUMIFS(ЭЭ!AT$25:AT$93,ЭЭ!$F$25:$F$93,$F402,ЭЭ!$AC$25:$AC$93,"Всего по тарифу")</f>
        <v>0</v>
      </c>
      <c r="AV402" s="742">
        <f>_xlfn.SUMIFS(ЭЭ!AU$25:AU$93,ЭЭ!$F$25:$F$93,$F402,ЭЭ!$AC$25:$AC$93,"Всего по тарифу")</f>
        <v>0</v>
      </c>
      <c r="AW402" s="742">
        <f>_xlfn.SUMIFS(ЭЭ!AV$25:AV$93,ЭЭ!$F$25:$F$93,$F402,ЭЭ!$AC$25:$AC$93,"Всего по тарифу")</f>
        <v>0</v>
      </c>
      <c r="AX402" s="742">
        <f>_xlfn.SUMIFS(ЭЭ!AW$25:AW$93,ЭЭ!$F$25:$F$93,$F402,ЭЭ!$AC$25:$AC$93,"Всего по тарифу")</f>
        <v>0</v>
      </c>
      <c r="AY402" s="742">
        <f>_xlfn.SUMIFS(ЭЭ!AX$25:AX$93,ЭЭ!$F$25:$F$93,$F402,ЭЭ!$AC$25:$AC$93,"Всего по тарифу")</f>
        <v>0</v>
      </c>
      <c r="AZ402" s="742">
        <f>_xlfn.SUMIFS(ЭЭ!AY$25:AY$93,ЭЭ!$F$25:$F$93,$F402,ЭЭ!$AC$25:$AC$93,"Всего по тарифу")</f>
        <v>0</v>
      </c>
      <c r="BA402" s="742">
        <f>_xlfn.SUMIFS(ЭЭ!AZ$25:AZ$93,ЭЭ!$F$25:$F$93,$F402,ЭЭ!$AC$25:$AC$93,"Всего по тарифу")</f>
        <v>0</v>
      </c>
      <c r="BB402" s="742">
        <f>_xlfn.SUMIFS(ЭЭ!BA$25:BA$93,ЭЭ!$F$25:$F$93,$F402,ЭЭ!$AC$25:$AC$93,"Всего по тарифу")</f>
        <v>0</v>
      </c>
      <c r="BC402" s="742">
        <f>_xlfn.SUMIFS(ЭЭ!BB$25:BB$93,ЭЭ!$F$25:$F$93,$F402,ЭЭ!$AC$25:$AC$93,"Всего по тарифу")</f>
        <v>0</v>
      </c>
      <c r="BD402" s="742">
        <f>IF(AI402=0,0,(AT402-AI402)/AI402*100)</f>
        <v>2.11323768528269</v>
      </c>
      <c r="BE402" s="742">
        <f>IF(AT402=0,0,(AU402-AT402)/AT402*100)</f>
        <v>-100</v>
      </c>
      <c r="BF402" s="742">
        <f>IF(AU402=0,0,(AV402-AU402)/AU402*100)</f>
        <v>0</v>
      </c>
      <c r="BG402" s="742">
        <f>IF(AV402=0,0,(AW402-AV402)/AV402*100)</f>
        <v>0</v>
      </c>
      <c r="BH402" s="742">
        <f>IF(AW402=0,0,(AX402-AW402)/AW402*100)</f>
        <v>0</v>
      </c>
      <c r="BI402" s="742">
        <f>IF(AX402=0,0,(AY402-AX402)/AX402*100)</f>
        <v>0</v>
      </c>
      <c r="BJ402" s="742">
        <f>IF(AY402=0,0,(AZ402-AY402)/AY402*100)</f>
        <v>0</v>
      </c>
      <c r="BK402" s="742">
        <f>IF(AZ402=0,0,(BA402-AZ402)/AZ402*100)</f>
        <v>0</v>
      </c>
      <c r="BL402" s="742">
        <f>IF(BA402=0,0,(BB402-BA402)/BA402*100)</f>
        <v>0</v>
      </c>
      <c r="BM402" s="742">
        <f>IF(BB402=0,0,(BC402-BB402)/BB402*100)</f>
        <v>0</v>
      </c>
      <c r="BN402" s="4830"/>
      <c r="BO402" s="4834" t="s">
        <v>840</v>
      </c>
      <c r="BP402" s="4830" t="s">
        <v>2080</v>
      </c>
      <c r="BQ402" s="680"/>
      <c r="BR402" s="680"/>
      <c r="BS402" s="1054" t="s">
        <v>1598</v>
      </c>
      <c r="BT402" s="1054"/>
      <c r="BU402" s="1054"/>
      <c r="BV402" s="687"/>
      <c r="BW402" s="687"/>
    </row>
    <row s="4895" customFormat="1" customHeight="1" ht="243.75">
      <c r="A403" s="680"/>
      <c r="B403" s="128">
        <f>method_reg="Метод индексации"</f>
        <v>1</v>
      </c>
      <c r="C403" s="680"/>
      <c r="D403" s="680"/>
      <c r="E403" s="687">
        <v>22.5</v>
      </c>
      <c r="F403" s="50" cm="1" t="str">
        <f t="array" ref="F403:F403">OFFSET(E403,-1,1)</f>
        <v>2</v>
      </c>
      <c r="G403" s="124" t="s">
        <v>1384</v>
      </c>
      <c r="H403" s="124"/>
      <c r="I403" s="124" t="s">
        <v>329</v>
      </c>
      <c r="J403" s="680"/>
      <c r="K403" s="124" t="s">
        <v>329</v>
      </c>
      <c r="L403" s="968" t="s">
        <v>328</v>
      </c>
      <c r="M403" s="75"/>
      <c r="N403" s="680"/>
      <c r="O403" s="680"/>
      <c r="P403" s="680"/>
      <c r="Q403" s="680"/>
      <c r="R403" s="680"/>
      <c r="S403" s="680"/>
      <c r="T403" s="439" cm="1" t="str">
        <f t="array" ref="T403:T403">T402</f>
        <v>true</v>
      </c>
      <c r="U403" s="680"/>
      <c r="V403" s="680"/>
      <c r="W403" s="680"/>
      <c r="X403" s="1482"/>
      <c r="Y403" s="680"/>
      <c r="Z403" s="1465"/>
      <c r="AA403" s="680"/>
      <c r="AB403" s="185" t="s">
        <v>536</v>
      </c>
      <c r="AC403" s="179" t="s">
        <v>1991</v>
      </c>
      <c r="AD403" s="178" t="s">
        <v>784</v>
      </c>
      <c r="AE403" s="759">
        <f>_xlfn.SUMIFS(Амортизация!AE$25:AE$174,Амортизация!$F$25:$F$174,$F403,Амортизация!$AC$25:$AC$174,"Сумма амортизационных отчислений")</f>
        <v>0</v>
      </c>
      <c r="AF403" s="759">
        <f>_xlfn.SUMIFS(Амортизация!AF$25:AF$174,Амортизация!$F$25:$F$174,$F403,Амортизация!$AC$25:$AC$174,"Сумма амортизационных отчислений")</f>
        <v>3149.81176</v>
      </c>
      <c r="AG403" s="759">
        <f>_xlfn.SUMIFS(Амортизация!AG$25:AG$174,Амортизация!$F$25:$F$174,$F403,Амортизация!$AC$25:$AC$174,"Сумма амортизационных отчислений")</f>
        <v>19.3129358333</v>
      </c>
      <c r="AH403" s="742">
        <f>AG403-AF403</f>
        <v>-3130.4988241667</v>
      </c>
      <c r="AI403" s="742">
        <f>_xlfn.SUMIFS(Амортизация!AH$25:AH$174,Амортизация!$F$25:$F$174,$F403,Амортизация!$AC$25:$AC$174,"Сумма амортизационных отчислений")</f>
        <v>19.3129358333</v>
      </c>
      <c r="AJ403" s="742">
        <f>_xlfn.SUMIFS(Амортизация!AI$25:AI$174,Амортизация!$F$25:$F$174,$F403,Амортизация!$AC$25:$AC$174,"Сумма амортизационных отчислений")</f>
        <v>3144.4416</v>
      </c>
      <c r="AK403" s="742">
        <f>_xlfn.SUMIFS(Амортизация!AJ$25:AJ$174,Амортизация!$F$25:$F$174,$F403,Амортизация!$AC$25:$AC$174,"Сумма амортизационных отчислений")</f>
        <v>0</v>
      </c>
      <c r="AL403" s="742">
        <f>_xlfn.SUMIFS(Амортизация!AK$25:AK$174,Амортизация!$F$25:$F$174,$F403,Амортизация!$AC$25:$AC$174,"Сумма амортизационных отчислений")</f>
        <v>0</v>
      </c>
      <c r="AM403" s="742">
        <f>_xlfn.SUMIFS(Амортизация!AL$25:AL$174,Амортизация!$F$25:$F$174,$F403,Амортизация!$AC$25:$AC$174,"Сумма амортизационных отчислений")</f>
        <v>0</v>
      </c>
      <c r="AN403" s="742">
        <f>_xlfn.SUMIFS(Амортизация!AM$25:AM$174,Амортизация!$F$25:$F$174,$F403,Амортизация!$AC$25:$AC$174,"Сумма амортизационных отчислений")</f>
        <v>0</v>
      </c>
      <c r="AO403" s="742">
        <f>_xlfn.SUMIFS(Амортизация!AN$25:AN$174,Амортизация!$F$25:$F$174,$F403,Амортизация!$AC$25:$AC$174,"Сумма амортизационных отчислений")</f>
        <v>0</v>
      </c>
      <c r="AP403" s="742">
        <f>_xlfn.SUMIFS(Амортизация!AO$25:AO$174,Амортизация!$F$25:$F$174,$F403,Амортизация!$AC$25:$AC$174,"Сумма амортизационных отчислений")</f>
        <v>0</v>
      </c>
      <c r="AQ403" s="742">
        <f>_xlfn.SUMIFS(Амортизация!AP$25:AP$174,Амортизация!$F$25:$F$174,$F403,Амортизация!$AC$25:$AC$174,"Сумма амортизационных отчислений")</f>
        <v>0</v>
      </c>
      <c r="AR403" s="742">
        <f>_xlfn.SUMIFS(Амортизация!AQ$25:AQ$174,Амортизация!$F$25:$F$174,$F403,Амортизация!$AC$25:$AC$174,"Сумма амортизационных отчислений")</f>
        <v>0</v>
      </c>
      <c r="AS403" s="742">
        <f>_xlfn.SUMIFS(Амортизация!AR$25:AR$174,Амортизация!$F$25:$F$174,$F403,Амортизация!$AC$25:$AC$174,"Сумма амортизационных отчислений")</f>
        <v>0</v>
      </c>
      <c r="AT403" s="742">
        <f>_xlfn.SUMIFS(Амортизация!AS$25:AS$174,Амортизация!$F$25:$F$174,$F403,Амортизация!$AC$25:$AC$174,"Сумма амортизационных отчислений")</f>
        <v>19.3129358333</v>
      </c>
      <c r="AU403" s="742">
        <f>_xlfn.SUMIFS(Амортизация!AT$25:AT$174,Амортизация!$F$25:$F$174,$F403,Амортизация!$AC$25:$AC$174,"Сумма амортизационных отчислений")</f>
        <v>0</v>
      </c>
      <c r="AV403" s="742">
        <f>_xlfn.SUMIFS(Амортизация!AU$25:AU$174,Амортизация!$F$25:$F$174,$F403,Амортизация!$AC$25:$AC$174,"Сумма амортизационных отчислений")</f>
        <v>0</v>
      </c>
      <c r="AW403" s="742">
        <f>_xlfn.SUMIFS(Амортизация!AV$25:AV$174,Амортизация!$F$25:$F$174,$F403,Амортизация!$AC$25:$AC$174,"Сумма амортизационных отчислений")</f>
        <v>0</v>
      </c>
      <c r="AX403" s="742">
        <f>_xlfn.SUMIFS(Амортизация!AW$25:AW$174,Амортизация!$F$25:$F$174,$F403,Амортизация!$AC$25:$AC$174,"Сумма амортизационных отчислений")</f>
        <v>0</v>
      </c>
      <c r="AY403" s="742">
        <f>_xlfn.SUMIFS(Амортизация!AX$25:AX$174,Амортизация!$F$25:$F$174,$F403,Амортизация!$AC$25:$AC$174,"Сумма амортизационных отчислений")</f>
        <v>0</v>
      </c>
      <c r="AZ403" s="742">
        <f>_xlfn.SUMIFS(Амортизация!AY$25:AY$174,Амортизация!$F$25:$F$174,$F403,Амортизация!$AC$25:$AC$174,"Сумма амортизационных отчислений")</f>
        <v>0</v>
      </c>
      <c r="BA403" s="742">
        <f>_xlfn.SUMIFS(Амортизация!AZ$25:AZ$174,Амортизация!$F$25:$F$174,$F403,Амортизация!$AC$25:$AC$174,"Сумма амортизационных отчислений")</f>
        <v>0</v>
      </c>
      <c r="BB403" s="742">
        <f>_xlfn.SUMIFS(Амортизация!BA$25:BA$174,Амортизация!$F$25:$F$174,$F403,Амортизация!$AC$25:$AC$174,"Сумма амортизационных отчислений")</f>
        <v>0</v>
      </c>
      <c r="BC403" s="742">
        <f>_xlfn.SUMIFS(Амортизация!BB$25:BB$174,Амортизация!$F$25:$F$174,$F403,Амортизация!$AC$25:$AC$174,"Сумма амортизационных отчислений")</f>
        <v>0</v>
      </c>
      <c r="BD403" s="742">
        <f>IF(AI403=0,0,(AT403-AI403)/AI403*100)</f>
        <v>0</v>
      </c>
      <c r="BE403" s="742">
        <f>IF(AT403=0,0,(AU403-AT403)/AT403*100)</f>
        <v>-100</v>
      </c>
      <c r="BF403" s="742">
        <f>IF(AU403=0,0,(AV403-AU403)/AU403*100)</f>
        <v>0</v>
      </c>
      <c r="BG403" s="742">
        <f>IF(AV403=0,0,(AW403-AV403)/AV403*100)</f>
        <v>0</v>
      </c>
      <c r="BH403" s="742">
        <f>IF(AW403=0,0,(AX403-AW403)/AW403*100)</f>
        <v>0</v>
      </c>
      <c r="BI403" s="742">
        <f>IF(AX403=0,0,(AY403-AX403)/AX403*100)</f>
        <v>0</v>
      </c>
      <c r="BJ403" s="742">
        <f>IF(AY403=0,0,(AZ403-AY403)/AY403*100)</f>
        <v>0</v>
      </c>
      <c r="BK403" s="742">
        <f>IF(AZ403=0,0,(BA403-AZ403)/AZ403*100)</f>
        <v>0</v>
      </c>
      <c r="BL403" s="742">
        <f>IF(BA403=0,0,(BB403-BA403)/BA403*100)</f>
        <v>0</v>
      </c>
      <c r="BM403" s="742">
        <f>IF(BB403=0,0,(BC403-BB403)/BB403*100)</f>
        <v>0</v>
      </c>
      <c r="BN403" s="4830"/>
      <c r="BO403" s="4784" t="s">
        <v>2081</v>
      </c>
      <c r="BP403" s="4830" t="s">
        <v>2082</v>
      </c>
      <c r="BQ403" s="680"/>
      <c r="BR403" s="680"/>
      <c r="BS403" s="1054" t="s">
        <v>1123</v>
      </c>
      <c r="BT403" s="1054"/>
      <c r="BU403" s="1054"/>
      <c r="BV403" s="687"/>
      <c r="BW403" s="687"/>
    </row>
    <row s="1621" customFormat="1" customHeight="1" ht="14.25">
      <c r="A404" s="960"/>
      <c r="B404" s="405" cm="1" t="str">
        <f t="array" ref="B404:B404">B403</f>
        <v>true</v>
      </c>
      <c r="C404" s="960"/>
      <c r="D404" s="960"/>
      <c r="E404" s="683">
        <v>15</v>
      </c>
      <c r="F404" s="50" cm="1" t="str">
        <f t="array" ref="F404:F404">OFFSET(E404,-1,1)</f>
        <v>2</v>
      </c>
      <c r="G404" s="960"/>
      <c r="H404" s="960"/>
      <c r="I404" s="124" t="s">
        <v>514</v>
      </c>
      <c r="J404" s="960"/>
      <c r="K404" s="124" t="s">
        <v>514</v>
      </c>
      <c r="L404" s="963" t="s">
        <v>528</v>
      </c>
      <c r="M404" s="73"/>
      <c r="N404" s="960"/>
      <c r="O404" s="960"/>
      <c r="P404" s="960"/>
      <c r="Q404" s="960"/>
      <c r="R404" s="960"/>
      <c r="S404" s="960"/>
      <c r="T404" s="439" cm="1" t="str">
        <f t="array" ref="T404:T404">T403</f>
        <v>true</v>
      </c>
      <c r="U404" s="960"/>
      <c r="V404" s="960"/>
      <c r="W404" s="960"/>
      <c r="X404" s="1482"/>
      <c r="Y404" s="960"/>
      <c r="Z404" s="1465"/>
      <c r="AA404" s="960"/>
      <c r="AB404" s="266" t="s">
        <v>652</v>
      </c>
      <c r="AC404" s="743" t="s">
        <v>1691</v>
      </c>
      <c r="AD404" s="267" t="s">
        <v>784</v>
      </c>
      <c r="AE404" s="4759">
        <f>_xlfn.SUMIFS('ИП + источники'!AF$27:AF$116,'ИП + источники'!$F$27:$F$116,$F404,'ИП + источники'!$AC$27:$AC$116,"Амортизационные отчисления")+_xlfn.SUMIFS('ИП + источники'!AF$27:AF$116,'ИП + источники'!$F$27:$F$116,$F404,'ИП + источники'!$AC$27:$AC$116,"погашение займов и кредитов из амортизации")</f>
        <v>0</v>
      </c>
      <c r="AF404" s="4759">
        <f>_xlfn.SUMIFS('ИП + источники'!AG$27:AG$116,'ИП + источники'!$F$27:$F$116,$F404,'ИП + источники'!$AC$27:$AC$116,"Амортизационные отчисления")+_xlfn.SUMIFS('ИП + источники'!AG$27:AG$116,'ИП + источники'!$F$27:$F$116,$F404,'ИП + источники'!$AC$27:$AC$116,"погашение займов и кредитов из амортизации")</f>
        <v>0</v>
      </c>
      <c r="AG404" s="4759">
        <f>_xlfn.SUMIFS('ИП + источники'!AH$27:AH$116,'ИП + источники'!$F$27:$F$116,$F404,'ИП + источники'!$AC$27:$AC$116,"Амортизационные отчисления")+_xlfn.SUMIFS('ИП + источники'!AH$27:AH$116,'ИП + источники'!$F$27:$F$116,$F404,'ИП + источники'!$AC$27:$AC$116,"погашение займов и кредитов из амортизации")</f>
        <v>0</v>
      </c>
      <c r="AH404" s="926">
        <f>AG404-AF404</f>
        <v>0</v>
      </c>
      <c r="AI404" s="4765">
        <f>_xlfn.SUMIFS('ИП + источники'!AJ$27:AJ$116,'ИП + источники'!$F$27:$F$116,$F404,'ИП + источники'!$AC$27:$AC$116,"Амортизационные отчисления")+_xlfn.SUMIFS('ИП + источники'!AJ$27:AJ$116,'ИП + источники'!$F$27:$F$116,$F404,'ИП + источники'!$AC$27:$AC$116,"погашение займов и кредитов из амортизации")</f>
        <v>0</v>
      </c>
      <c r="AJ404" s="4765">
        <f>_xlfn.SUMIFS('ИП + источники'!AK$27:AK$116,'ИП + источники'!$F$27:$F$116,$F404,'ИП + источники'!$AC$27:$AC$116,"Амортизационные отчисления")+_xlfn.SUMIFS('ИП + источники'!AK$27:AK$116,'ИП + источники'!$F$27:$F$116,$F404,'ИП + источники'!$AC$27:$AC$116,"погашение займов и кредитов из амортизации")</f>
        <v>0</v>
      </c>
      <c r="AK404" s="1280">
        <f>_xlfn.SUMIFS('ИП + источники'!AL$27:AL$116,'ИП + источники'!$F$27:$F$116,$F404,'ИП + источники'!$AC$27:$AC$116,"Амортизационные отчисления")+_xlfn.SUMIFS('ИП + источники'!AL$27:AL$116,'ИП + источники'!$F$27:$F$116,$F404,'ИП + источники'!$AC$27:$AC$116,"погашение займов и кредитов из амортизации")</f>
        <v>0</v>
      </c>
      <c r="AL404" s="1280">
        <f>_xlfn.SUMIFS('ИП + источники'!AM$27:AM$116,'ИП + источники'!$F$27:$F$116,$F404,'ИП + источники'!$AC$27:$AC$116,"Амортизационные отчисления")+_xlfn.SUMIFS('ИП + источники'!AM$27:AM$116,'ИП + источники'!$F$27:$F$116,$F404,'ИП + источники'!$AC$27:$AC$116,"погашение займов и кредитов из амортизации")</f>
        <v>0</v>
      </c>
      <c r="AM404" s="4765">
        <f>_xlfn.SUMIFS('ИП + источники'!AN$27:AN$116,'ИП + источники'!$F$27:$F$116,$F404,'ИП + источники'!$AC$27:$AC$116,"Амортизационные отчисления")+_xlfn.SUMIFS('ИП + источники'!AN$27:AN$116,'ИП + источники'!$F$27:$F$116,$F404,'ИП + источники'!$AC$27:$AC$116,"погашение займов и кредитов из амортизации")</f>
        <v>0</v>
      </c>
      <c r="AN404" s="4765">
        <f>_xlfn.SUMIFS('ИП + источники'!AO$27:AO$116,'ИП + источники'!$F$27:$F$116,$F404,'ИП + источники'!$AC$27:$AC$116,"Амортизационные отчисления")+_xlfn.SUMIFS('ИП + источники'!AO$27:AO$116,'ИП + источники'!$F$27:$F$116,$F404,'ИП + источники'!$AC$27:$AC$116,"погашение займов и кредитов из амортизации")</f>
        <v>0</v>
      </c>
      <c r="AO404" s="4765">
        <f>_xlfn.SUMIFS('ИП + источники'!AP$27:AP$116,'ИП + источники'!$F$27:$F$116,$F404,'ИП + источники'!$AC$27:$AC$116,"Амортизационные отчисления")+_xlfn.SUMIFS('ИП + источники'!AP$27:AP$116,'ИП + источники'!$F$27:$F$116,$F404,'ИП + источники'!$AC$27:$AC$116,"погашение займов и кредитов из амортизации")</f>
        <v>0</v>
      </c>
      <c r="AP404" s="4765">
        <f>_xlfn.SUMIFS('ИП + источники'!AQ$27:AQ$116,'ИП + источники'!$F$27:$F$116,$F404,'ИП + источники'!$AC$27:$AC$116,"Амортизационные отчисления")+_xlfn.SUMIFS('ИП + источники'!AQ$27:AQ$116,'ИП + источники'!$F$27:$F$116,$F404,'ИП + источники'!$AC$27:$AC$116,"погашение займов и кредитов из амортизации")</f>
        <v>0</v>
      </c>
      <c r="AQ404" s="4765">
        <f>_xlfn.SUMIFS('ИП + источники'!AR$27:AR$116,'ИП + источники'!$F$27:$F$116,$F404,'ИП + источники'!$AC$27:$AC$116,"Амортизационные отчисления")+_xlfn.SUMIFS('ИП + источники'!AR$27:AR$116,'ИП + источники'!$F$27:$F$116,$F404,'ИП + источники'!$AC$27:$AC$116,"погашение займов и кредитов из амортизации")</f>
        <v>0</v>
      </c>
      <c r="AR404" s="4765">
        <f>_xlfn.SUMIFS('ИП + источники'!AS$27:AS$116,'ИП + источники'!$F$27:$F$116,$F404,'ИП + источники'!$AC$27:$AC$116,"Амортизационные отчисления")+_xlfn.SUMIFS('ИП + источники'!AS$27:AS$116,'ИП + источники'!$F$27:$F$116,$F404,'ИП + источники'!$AC$27:$AC$116,"погашение займов и кредитов из амортизации")</f>
        <v>0</v>
      </c>
      <c r="AS404" s="4765">
        <f>_xlfn.SUMIFS('ИП + источники'!AT$27:AT$116,'ИП + источники'!$F$27:$F$116,$F404,'ИП + источники'!$AC$27:$AC$116,"Амортизационные отчисления")+_xlfn.SUMIFS('ИП + источники'!AT$27:AT$116,'ИП + источники'!$F$27:$F$116,$F404,'ИП + источники'!$AC$27:$AC$116,"погашение займов и кредитов из амортизации")</f>
        <v>0</v>
      </c>
      <c r="AT404" s="4765">
        <f>_xlfn.SUMIFS('ИП + источники'!AU$27:AU$116,'ИП + источники'!$F$27:$F$116,$F404,'ИП + источники'!$AC$27:$AC$116,"Амортизационные отчисления")+_xlfn.SUMIFS('ИП + источники'!AU$27:AU$116,'ИП + источники'!$F$27:$F$116,$F404,'ИП + источники'!$AC$27:$AC$116,"погашение займов и кредитов из амортизации")</f>
        <v>0</v>
      </c>
      <c r="AU404" s="1280">
        <f>_xlfn.SUMIFS('ИП + источники'!AV$27:AV$116,'ИП + источники'!$F$27:$F$116,$F404,'ИП + источники'!$AC$27:$AC$116,"Амортизационные отчисления")+_xlfn.SUMIFS('ИП + источники'!AV$27:AV$116,'ИП + источники'!$F$27:$F$116,$F404,'ИП + источники'!$AC$27:$AC$116,"погашение займов и кредитов из амортизации")</f>
        <v>0</v>
      </c>
      <c r="AV404" s="1280">
        <f>_xlfn.SUMIFS('ИП + источники'!AW$27:AW$116,'ИП + источники'!$F$27:$F$116,$F404,'ИП + источники'!$AC$27:$AC$116,"Амортизационные отчисления")+_xlfn.SUMIFS('ИП + источники'!AW$27:AW$116,'ИП + источники'!$F$27:$F$116,$F404,'ИП + источники'!$AC$27:$AC$116,"погашение займов и кредитов из амортизации")</f>
        <v>0</v>
      </c>
      <c r="AW404" s="4765">
        <f>_xlfn.SUMIFS('ИП + источники'!AX$27:AX$116,'ИП + источники'!$F$27:$F$116,$F404,'ИП + источники'!$AC$27:$AC$116,"Амортизационные отчисления")+_xlfn.SUMIFS('ИП + источники'!AX$27:AX$116,'ИП + источники'!$F$27:$F$116,$F404,'ИП + источники'!$AC$27:$AC$116,"погашение займов и кредитов из амортизации")</f>
        <v>0</v>
      </c>
      <c r="AX404" s="4765">
        <f>_xlfn.SUMIFS('ИП + источники'!AY$27:AY$116,'ИП + источники'!$F$27:$F$116,$F404,'ИП + источники'!$AC$27:$AC$116,"Амортизационные отчисления")+_xlfn.SUMIFS('ИП + источники'!AY$27:AY$116,'ИП + источники'!$F$27:$F$116,$F404,'ИП + источники'!$AC$27:$AC$116,"погашение займов и кредитов из амортизации")</f>
        <v>0</v>
      </c>
      <c r="AY404" s="4765">
        <f>_xlfn.SUMIFS('ИП + источники'!AZ$27:AZ$116,'ИП + источники'!$F$27:$F$116,$F404,'ИП + источники'!$AC$27:$AC$116,"Амортизационные отчисления")+_xlfn.SUMIFS('ИП + источники'!AZ$27:AZ$116,'ИП + источники'!$F$27:$F$116,$F404,'ИП + источники'!$AC$27:$AC$116,"погашение займов и кредитов из амортизации")</f>
        <v>0</v>
      </c>
      <c r="AZ404" s="4765">
        <f>_xlfn.SUMIFS('ИП + источники'!BA$27:BA$116,'ИП + источники'!$F$27:$F$116,$F404,'ИП + источники'!$AC$27:$AC$116,"Амортизационные отчисления")+_xlfn.SUMIFS('ИП + источники'!BA$27:BA$116,'ИП + источники'!$F$27:$F$116,$F404,'ИП + источники'!$AC$27:$AC$116,"погашение займов и кредитов из амортизации")</f>
        <v>0</v>
      </c>
      <c r="BA404" s="4765">
        <f>_xlfn.SUMIFS('ИП + источники'!BB$27:BB$116,'ИП + источники'!$F$27:$F$116,$F404,'ИП + источники'!$AC$27:$AC$116,"Амортизационные отчисления")+_xlfn.SUMIFS('ИП + источники'!BB$27:BB$116,'ИП + источники'!$F$27:$F$116,$F404,'ИП + источники'!$AC$27:$AC$116,"погашение займов и кредитов из амортизации")</f>
        <v>0</v>
      </c>
      <c r="BB404" s="4765">
        <f>_xlfn.SUMIFS('ИП + источники'!BC$27:BC$116,'ИП + источники'!$F$27:$F$116,$F404,'ИП + источники'!$AC$27:$AC$116,"Амортизационные отчисления")+_xlfn.SUMIFS('ИП + источники'!BC$27:BC$116,'ИП + источники'!$F$27:$F$116,$F404,'ИП + источники'!$AC$27:$AC$116,"погашение займов и кредитов из амортизации")</f>
        <v>0</v>
      </c>
      <c r="BC404" s="4765">
        <f>_xlfn.SUMIFS('ИП + источники'!BD$27:BD$116,'ИП + источники'!$F$27:$F$116,$F404,'ИП + источники'!$AC$27:$AC$116,"Амортизационные отчисления")+_xlfn.SUMIFS('ИП + источники'!BD$27:BD$116,'ИП + источники'!$F$27:$F$116,$F404,'ИП + источники'!$AC$27:$AC$116,"погашение займов и кредитов из амортизации")</f>
        <v>0</v>
      </c>
      <c r="BD404" s="926">
        <f>IF(AI404=0,0,(AT404-AI404)/AI404*100)</f>
        <v>0</v>
      </c>
      <c r="BE404" s="926">
        <f>IF(AT404=0,0,(AU404-AT404)/AT404*100)</f>
        <v>0</v>
      </c>
      <c r="BF404" s="926">
        <f>IF(AU404=0,0,(AV404-AU404)/AU404*100)</f>
        <v>0</v>
      </c>
      <c r="BG404" s="926">
        <f>IF(AV404=0,0,(AW404-AV404)/AV404*100)</f>
        <v>0</v>
      </c>
      <c r="BH404" s="926">
        <f>IF(AW404=0,0,(AX404-AW404)/AW404*100)</f>
        <v>0</v>
      </c>
      <c r="BI404" s="926">
        <f>IF(AX404=0,0,(AY404-AX404)/AX404*100)</f>
        <v>0</v>
      </c>
      <c r="BJ404" s="926">
        <f>IF(AY404=0,0,(AZ404-AY404)/AY404*100)</f>
        <v>0</v>
      </c>
      <c r="BK404" s="926">
        <f>IF(AZ404=0,0,(BA404-AZ404)/AZ404*100)</f>
        <v>0</v>
      </c>
      <c r="BL404" s="926">
        <f>IF(BA404=0,0,(BB404-BA404)/BA404*100)</f>
        <v>0</v>
      </c>
      <c r="BM404" s="926">
        <f>IF(BB404=0,0,(BC404-BB404)/BB404*100)</f>
        <v>0</v>
      </c>
      <c r="BN404" s="4830"/>
      <c r="BO404" s="4830"/>
      <c r="BP404" s="4830"/>
      <c r="BQ404" s="960"/>
      <c r="BR404" s="960"/>
      <c r="BS404" s="1048" t="s">
        <v>1692</v>
      </c>
      <c r="BT404" s="1048"/>
      <c r="BU404" s="1048"/>
      <c r="BV404" s="962"/>
      <c r="BW404" s="962"/>
    </row>
    <row s="4896" customFormat="1" customHeight="1" ht="20.25">
      <c r="A405" s="680"/>
      <c r="B405" s="405" cm="1" t="str">
        <f t="array" ref="B405:B405">B404</f>
        <v>true</v>
      </c>
      <c r="C405" s="680"/>
      <c r="D405" s="680"/>
      <c r="E405" s="687">
        <v>21</v>
      </c>
      <c r="F405" s="50" cm="1" t="str">
        <f t="array" ref="F405:F405">OFFSET(E405,-1,1)</f>
        <v>2</v>
      </c>
      <c r="G405" s="124" t="s">
        <v>1388</v>
      </c>
      <c r="H405" s="124"/>
      <c r="I405" s="124" t="s">
        <v>328</v>
      </c>
      <c r="J405" s="680"/>
      <c r="K405" s="124" t="s">
        <v>328</v>
      </c>
      <c r="L405" s="968" t="s">
        <v>541</v>
      </c>
      <c r="M405" s="75"/>
      <c r="N405" s="680"/>
      <c r="O405" s="680"/>
      <c r="P405" s="680"/>
      <c r="Q405" s="680"/>
      <c r="R405" s="680"/>
      <c r="S405" s="680"/>
      <c r="T405" s="439" cm="1" t="str">
        <f t="array" ref="T405:T405">T404</f>
        <v>true</v>
      </c>
      <c r="U405" s="680"/>
      <c r="V405" s="680"/>
      <c r="W405" s="680"/>
      <c r="X405" s="1482"/>
      <c r="Y405" s="680"/>
      <c r="Z405" s="1465"/>
      <c r="AA405" s="680"/>
      <c r="AB405" s="185" t="s">
        <v>492</v>
      </c>
      <c r="AC405" s="179" t="s">
        <v>1388</v>
      </c>
      <c r="AD405" s="201" t="s">
        <v>784</v>
      </c>
      <c r="AE405" s="180">
        <f>AE406+AE407+AE408+AE409</f>
        <v>0</v>
      </c>
      <c r="AF405" s="180">
        <f>AF406+AF407+AF408+AF409</f>
        <v>0</v>
      </c>
      <c r="AG405" s="180">
        <f>AG406+AG407+AG408+AG409</f>
        <v>0</v>
      </c>
      <c r="AH405" s="751">
        <f>AG405-AF405</f>
        <v>0</v>
      </c>
      <c r="AI405" s="751">
        <f>AI406+AI407+AI408+AI409</f>
        <v>0</v>
      </c>
      <c r="AJ405" s="751">
        <f>AJ406+AJ407+AJ408+AJ409</f>
        <v>0</v>
      </c>
      <c r="AK405" s="751">
        <f>AK406+AK407+AK408+AK409</f>
        <v>0</v>
      </c>
      <c r="AL405" s="751">
        <f>AL406+AL407+AL408+AL409</f>
        <v>0</v>
      </c>
      <c r="AM405" s="751">
        <f>AM406+AM407+AM408+AM409</f>
        <v>0</v>
      </c>
      <c r="AN405" s="751">
        <f>AN406+AN407+AN408+AN409</f>
        <v>0</v>
      </c>
      <c r="AO405" s="751">
        <f>AO406+AO407+AO408+AO409</f>
        <v>0</v>
      </c>
      <c r="AP405" s="751">
        <f>AP406+AP407+AP408+AP409</f>
        <v>0</v>
      </c>
      <c r="AQ405" s="751">
        <f>AQ406+AQ407+AQ408+AQ409</f>
        <v>0</v>
      </c>
      <c r="AR405" s="751">
        <f>AR406+AR407+AR408+AR409</f>
        <v>0</v>
      </c>
      <c r="AS405" s="751">
        <f>AS406+AS407+AS408+AS409</f>
        <v>0</v>
      </c>
      <c r="AT405" s="751">
        <f>AT406+AT407+AT408+AT409</f>
        <v>0</v>
      </c>
      <c r="AU405" s="751">
        <f>AU406+AU407+AU408+AU409</f>
        <v>0</v>
      </c>
      <c r="AV405" s="751">
        <f>AV406+AV407+AV408+AV409</f>
        <v>0</v>
      </c>
      <c r="AW405" s="751">
        <f>AW406+AW407+AW408+AW409</f>
        <v>0</v>
      </c>
      <c r="AX405" s="751">
        <f>AX406+AX407+AX408+AX409</f>
        <v>0</v>
      </c>
      <c r="AY405" s="751">
        <f>AY406+AY407+AY408+AY409</f>
        <v>0</v>
      </c>
      <c r="AZ405" s="751">
        <f>AZ406+AZ407+AZ408+AZ409</f>
        <v>0</v>
      </c>
      <c r="BA405" s="751">
        <f>BA406+BA407+BA408+BA409</f>
        <v>0</v>
      </c>
      <c r="BB405" s="751">
        <f>BB406+BB407+BB408+BB409</f>
        <v>0</v>
      </c>
      <c r="BC405" s="751">
        <f>BC406+BC407+BC408+BC409</f>
        <v>0</v>
      </c>
      <c r="BD405" s="742">
        <f>IF(AI405=0,0,(AT405-AI405)/AI405*100)</f>
        <v>0</v>
      </c>
      <c r="BE405" s="742">
        <f>IF(AT405=0,0,(AU405-AT405)/AT405*100)</f>
        <v>0</v>
      </c>
      <c r="BF405" s="742">
        <f>IF(AU405=0,0,(AV405-AU405)/AU405*100)</f>
        <v>0</v>
      </c>
      <c r="BG405" s="742">
        <f>IF(AV405=0,0,(AW405-AV405)/AV405*100)</f>
        <v>0</v>
      </c>
      <c r="BH405" s="742">
        <f>IF(AW405=0,0,(AX405-AW405)/AW405*100)</f>
        <v>0</v>
      </c>
      <c r="BI405" s="742">
        <f>IF(AX405=0,0,(AY405-AX405)/AX405*100)</f>
        <v>0</v>
      </c>
      <c r="BJ405" s="742">
        <f>IF(AY405=0,0,(AZ405-AY405)/AY405*100)</f>
        <v>0</v>
      </c>
      <c r="BK405" s="742">
        <f>IF(AZ405=0,0,(BA405-AZ405)/AZ405*100)</f>
        <v>0</v>
      </c>
      <c r="BL405" s="742">
        <f>IF(BA405=0,0,(BB405-BA405)/BA405*100)</f>
        <v>0</v>
      </c>
      <c r="BM405" s="742">
        <f>IF(BB405=0,0,(BC405-BB405)/BB405*100)</f>
        <v>0</v>
      </c>
      <c r="BN405" s="4830"/>
      <c r="BO405" s="4830"/>
      <c r="BP405" s="4830"/>
      <c r="BQ405" s="680"/>
      <c r="BR405" s="680"/>
      <c r="BS405" s="1047" t="s">
        <v>1392</v>
      </c>
      <c r="BT405" s="1054"/>
      <c r="BU405" s="1054"/>
      <c r="BV405" s="687"/>
      <c r="BW405" s="687"/>
    </row>
    <row s="1621" customFormat="1" customHeight="1" ht="14.25">
      <c r="A406" s="960"/>
      <c r="B406" s="405" cm="1" t="str">
        <f t="array" ref="B406:B406">B405</f>
        <v>true</v>
      </c>
      <c r="C406" s="960"/>
      <c r="D406" s="960"/>
      <c r="E406" s="683">
        <v>15</v>
      </c>
      <c r="F406" s="50" cm="1" t="str">
        <f t="array" ref="F406:F406">OFFSET(E406,-1,1)</f>
        <v>2</v>
      </c>
      <c r="G406" s="960"/>
      <c r="H406" s="960"/>
      <c r="I406" s="124" t="s">
        <v>528</v>
      </c>
      <c r="J406" s="960"/>
      <c r="K406" s="124" t="s">
        <v>528</v>
      </c>
      <c r="L406" s="963"/>
      <c r="M406" s="73"/>
      <c r="N406" s="960"/>
      <c r="O406" s="960"/>
      <c r="P406" s="960"/>
      <c r="Q406" s="960"/>
      <c r="R406" s="960"/>
      <c r="S406" s="960"/>
      <c r="T406" s="439" cm="1" t="str">
        <f t="array" ref="T406:T406">T405</f>
        <v>true</v>
      </c>
      <c r="U406" s="960"/>
      <c r="V406" s="960"/>
      <c r="W406" s="960"/>
      <c r="X406" s="1482"/>
      <c r="Y406" s="960"/>
      <c r="Z406" s="1465"/>
      <c r="AA406" s="960"/>
      <c r="AB406" s="266" t="s">
        <v>659</v>
      </c>
      <c r="AC406" s="743" t="s">
        <v>1992</v>
      </c>
      <c r="AD406" s="267" t="s">
        <v>784</v>
      </c>
      <c r="AE406" s="4759">
        <f>_xlfn.SUMIFS('ИП + источники'!AF$27:AF$116,'ИП + источники'!$F$27:$F$116,$F406,'ИП + источники'!$AC$27:$AC$116,"погашение займов и кредитов из нормативной прибыли")</f>
        <v>0</v>
      </c>
      <c r="AF406" s="4759">
        <f>_xlfn.SUMIFS('ИП + источники'!AG$27:AG$116,'ИП + источники'!$F$27:$F$116,$F406,'ИП + источники'!$AC$27:$AC$116,"погашение займов и кредитов из нормативной прибыли")</f>
        <v>0</v>
      </c>
      <c r="AG406" s="4759">
        <f>_xlfn.SUMIFS('ИП + источники'!AH$27:AH$116,'ИП + источники'!$F$27:$F$116,$F406,'ИП + источники'!$AC$27:$AC$116,"погашение займов и кредитов из нормативной прибыли")</f>
        <v>0</v>
      </c>
      <c r="AH406" s="926">
        <f>AG406-AF406</f>
        <v>0</v>
      </c>
      <c r="AI406" s="4765">
        <f>_xlfn.SUMIFS('ИП + источники'!AJ$27:AJ$116,'ИП + источники'!$F$27:$F$116,$F406,'ИП + источники'!$AC$27:$AC$116,"погашение займов и кредитов из нормативной прибыли")</f>
        <v>0</v>
      </c>
      <c r="AJ406" s="4765">
        <f>_xlfn.SUMIFS('ИП + источники'!AK$27:AK$116,'ИП + источники'!$F$27:$F$116,$F406,'ИП + источники'!$AC$27:$AC$116,"погашение займов и кредитов из нормативной прибыли")</f>
        <v>0</v>
      </c>
      <c r="AK406" s="1280">
        <f>_xlfn.SUMIFS('ИП + источники'!AL$27:AL$116,'ИП + источники'!$F$27:$F$116,$F406,'ИП + источники'!$AC$27:$AC$116,"погашение займов и кредитов из нормативной прибыли")</f>
        <v>0</v>
      </c>
      <c r="AL406" s="1280">
        <f>_xlfn.SUMIFS('ИП + источники'!AM$27:AM$116,'ИП + источники'!$F$27:$F$116,$F406,'ИП + источники'!$AC$27:$AC$116,"погашение займов и кредитов из нормативной прибыли")</f>
        <v>0</v>
      </c>
      <c r="AM406" s="4765">
        <f>_xlfn.SUMIFS('ИП + источники'!AN$27:AN$116,'ИП + источники'!$F$27:$F$116,$F406,'ИП + источники'!$AC$27:$AC$116,"погашение займов и кредитов из нормативной прибыли")</f>
        <v>0</v>
      </c>
      <c r="AN406" s="4765">
        <f>_xlfn.SUMIFS('ИП + источники'!AO$27:AO$116,'ИП + источники'!$F$27:$F$116,$F406,'ИП + источники'!$AC$27:$AC$116,"погашение займов и кредитов из нормативной прибыли")</f>
        <v>0</v>
      </c>
      <c r="AO406" s="4765">
        <f>_xlfn.SUMIFS('ИП + источники'!AP$27:AP$116,'ИП + источники'!$F$27:$F$116,$F406,'ИП + источники'!$AC$27:$AC$116,"погашение займов и кредитов из нормативной прибыли")</f>
        <v>0</v>
      </c>
      <c r="AP406" s="4765">
        <f>_xlfn.SUMIFS('ИП + источники'!AQ$27:AQ$116,'ИП + источники'!$F$27:$F$116,$F406,'ИП + источники'!$AC$27:$AC$116,"погашение займов и кредитов из нормативной прибыли")</f>
        <v>0</v>
      </c>
      <c r="AQ406" s="4765">
        <f>_xlfn.SUMIFS('ИП + источники'!AR$27:AR$116,'ИП + источники'!$F$27:$F$116,$F406,'ИП + источники'!$AC$27:$AC$116,"погашение займов и кредитов из нормативной прибыли")</f>
        <v>0</v>
      </c>
      <c r="AR406" s="4765">
        <f>_xlfn.SUMIFS('ИП + источники'!AS$27:AS$116,'ИП + источники'!$F$27:$F$116,$F406,'ИП + источники'!$AC$27:$AC$116,"погашение займов и кредитов из нормативной прибыли")</f>
        <v>0</v>
      </c>
      <c r="AS406" s="4765">
        <f>_xlfn.SUMIFS('ИП + источники'!AT$27:AT$116,'ИП + источники'!$F$27:$F$116,$F406,'ИП + источники'!$AC$27:$AC$116,"погашение займов и кредитов из нормативной прибыли")</f>
        <v>0</v>
      </c>
      <c r="AT406" s="4765">
        <f>_xlfn.SUMIFS('ИП + источники'!AU$27:AU$116,'ИП + источники'!$F$27:$F$116,$F406,'ИП + источники'!$AC$27:$AC$116,"погашение займов и кредитов из нормативной прибыли")</f>
        <v>0</v>
      </c>
      <c r="AU406" s="1280">
        <f>_xlfn.SUMIFS('ИП + источники'!AV$27:AV$116,'ИП + источники'!$F$27:$F$116,$F406,'ИП + источники'!$AC$27:$AC$116,"погашение займов и кредитов из нормативной прибыли")</f>
        <v>0</v>
      </c>
      <c r="AV406" s="1280">
        <f>_xlfn.SUMIFS('ИП + источники'!AW$27:AW$116,'ИП + источники'!$F$27:$F$116,$F406,'ИП + источники'!$AC$27:$AC$116,"погашение займов и кредитов из нормативной прибыли")</f>
        <v>0</v>
      </c>
      <c r="AW406" s="4765">
        <f>_xlfn.SUMIFS('ИП + источники'!AX$27:AX$116,'ИП + источники'!$F$27:$F$116,$F406,'ИП + источники'!$AC$27:$AC$116,"погашение займов и кредитов из нормативной прибыли")</f>
        <v>0</v>
      </c>
      <c r="AX406" s="4765">
        <f>_xlfn.SUMIFS('ИП + источники'!AY$27:AY$116,'ИП + источники'!$F$27:$F$116,$F406,'ИП + источники'!$AC$27:$AC$116,"погашение займов и кредитов из нормативной прибыли")</f>
        <v>0</v>
      </c>
      <c r="AY406" s="4765">
        <f>_xlfn.SUMIFS('ИП + источники'!AZ$27:AZ$116,'ИП + источники'!$F$27:$F$116,$F406,'ИП + источники'!$AC$27:$AC$116,"погашение займов и кредитов из нормативной прибыли")</f>
        <v>0</v>
      </c>
      <c r="AZ406" s="4765">
        <f>_xlfn.SUMIFS('ИП + источники'!BA$27:BA$116,'ИП + источники'!$F$27:$F$116,$F406,'ИП + источники'!$AC$27:$AC$116,"погашение займов и кредитов из нормативной прибыли")</f>
        <v>0</v>
      </c>
      <c r="BA406" s="4765">
        <f>_xlfn.SUMIFS('ИП + источники'!BB$27:BB$116,'ИП + источники'!$F$27:$F$116,$F406,'ИП + источники'!$AC$27:$AC$116,"погашение займов и кредитов из нормативной прибыли")</f>
        <v>0</v>
      </c>
      <c r="BB406" s="4765">
        <f>_xlfn.SUMIFS('ИП + источники'!BC$27:BC$116,'ИП + источники'!$F$27:$F$116,$F406,'ИП + источники'!$AC$27:$AC$116,"погашение займов и кредитов из нормативной прибыли")</f>
        <v>0</v>
      </c>
      <c r="BC406" s="4765">
        <f>_xlfn.SUMIFS('ИП + источники'!BD$27:BD$116,'ИП + источники'!$F$27:$F$116,$F406,'ИП + источники'!$AC$27:$AC$116,"погашение займов и кредитов из нормативной прибыли")</f>
        <v>0</v>
      </c>
      <c r="BD406" s="926">
        <f>IF(AI406=0,0,(AT406-AI406)/AI406*100)</f>
        <v>0</v>
      </c>
      <c r="BE406" s="926">
        <f>IF(AT406=0,0,(AU406-AT406)/AT406*100)</f>
        <v>0</v>
      </c>
      <c r="BF406" s="926">
        <f>IF(AU406=0,0,(AV406-AU406)/AU406*100)</f>
        <v>0</v>
      </c>
      <c r="BG406" s="926">
        <f>IF(AV406=0,0,(AW406-AV406)/AV406*100)</f>
        <v>0</v>
      </c>
      <c r="BH406" s="926">
        <f>IF(AW406=0,0,(AX406-AW406)/AW406*100)</f>
        <v>0</v>
      </c>
      <c r="BI406" s="926">
        <f>IF(AX406=0,0,(AY406-AX406)/AX406*100)</f>
        <v>0</v>
      </c>
      <c r="BJ406" s="926">
        <f>IF(AY406=0,0,(AZ406-AY406)/AY406*100)</f>
        <v>0</v>
      </c>
      <c r="BK406" s="926">
        <f>IF(AZ406=0,0,(BA406-AZ406)/AZ406*100)</f>
        <v>0</v>
      </c>
      <c r="BL406" s="926">
        <f>IF(BA406=0,0,(BB406-BA406)/BA406*100)</f>
        <v>0</v>
      </c>
      <c r="BM406" s="926">
        <f>IF(BB406=0,0,(BC406-BB406)/BB406*100)</f>
        <v>0</v>
      </c>
      <c r="BN406" s="4830"/>
      <c r="BO406" s="4784" t="str">
        <f>IF(_xlfn.IFERROR(INDEX('ИП + источники'!$K$28:$L$116,MATCH($F406&amp;"2komm",'ИП + источники'!$K$28:$K$116,0),2),"")=0,"",_xlfn.IFERROR(INDEX('ИП + источники'!$K$28:$L$116,MATCH($F406&amp;"2komm",'ИП + источники'!$K$28:$K$116,0),2),""))</f>
        <v/>
      </c>
      <c r="BP406" s="4830"/>
      <c r="BQ406" s="960"/>
      <c r="BR406" s="960"/>
      <c r="BS406" s="1048" t="s">
        <v>1993</v>
      </c>
      <c r="BT406" s="1048"/>
      <c r="BU406" s="1048"/>
      <c r="BV406" s="962"/>
      <c r="BW406" s="962"/>
    </row>
    <row s="1621" customFormat="1" customHeight="1" ht="14.25">
      <c r="A407" s="960"/>
      <c r="B407" s="405" cm="1" t="str">
        <f t="array" ref="B407:B407">B406</f>
        <v>true</v>
      </c>
      <c r="C407" s="960"/>
      <c r="D407" s="960"/>
      <c r="E407" s="683">
        <v>15</v>
      </c>
      <c r="F407" s="50" cm="1" t="str">
        <f t="array" ref="F407:F407">OFFSET(E407,-1,1)</f>
        <v>2</v>
      </c>
      <c r="G407" s="960"/>
      <c r="H407" s="960"/>
      <c r="I407" s="124" t="s">
        <v>532</v>
      </c>
      <c r="J407" s="960"/>
      <c r="K407" s="124" t="s">
        <v>532</v>
      </c>
      <c r="L407" s="963"/>
      <c r="M407" s="73"/>
      <c r="N407" s="960"/>
      <c r="O407" s="960"/>
      <c r="P407" s="960"/>
      <c r="Q407" s="960"/>
      <c r="R407" s="960"/>
      <c r="S407" s="960"/>
      <c r="T407" s="439" cm="1" t="str">
        <f t="array" ref="T407:T407">T406</f>
        <v>true</v>
      </c>
      <c r="U407" s="960"/>
      <c r="V407" s="960"/>
      <c r="W407" s="960"/>
      <c r="X407" s="1482"/>
      <c r="Y407" s="960"/>
      <c r="Z407" s="1465"/>
      <c r="AA407" s="960"/>
      <c r="AB407" s="266" t="s">
        <v>662</v>
      </c>
      <c r="AC407" s="743" t="s">
        <v>1994</v>
      </c>
      <c r="AD407" s="267" t="s">
        <v>784</v>
      </c>
      <c r="AE407" s="4759">
        <f>_xlfn.SUMIFS('ИП + источники'!AF$27:AF$116,'ИП + источники'!$F$27:$F$116,$F407,'ИП + источники'!$AC$27:$AC$116,"уплата процентов по кредитам из нормативной прибыли")</f>
        <v>0</v>
      </c>
      <c r="AF407" s="4759">
        <f>_xlfn.SUMIFS('ИП + источники'!AG$27:AG$116,'ИП + источники'!$F$27:$F$116,$F407,'ИП + источники'!$AC$27:$AC$116,"уплата процентов по кредитам из нормативной прибыли")</f>
        <v>0</v>
      </c>
      <c r="AG407" s="4759">
        <f>_xlfn.SUMIFS('ИП + источники'!AH$27:AH$116,'ИП + источники'!$F$27:$F$116,$F407,'ИП + источники'!$AC$27:$AC$116,"уплата процентов по кредитам из нормативной прибыли")</f>
        <v>0</v>
      </c>
      <c r="AH407" s="926">
        <f>AG407-AF407</f>
        <v>0</v>
      </c>
      <c r="AI407" s="4765">
        <f>_xlfn.SUMIFS('ИП + источники'!AJ$27:AJ$116,'ИП + источники'!$F$27:$F$116,$F407,'ИП + источники'!$AC$27:$AC$116,"уплата процентов по кредитам из нормативной прибыли")</f>
        <v>0</v>
      </c>
      <c r="AJ407" s="4765">
        <f>_xlfn.SUMIFS('ИП + источники'!AK$27:AK$116,'ИП + источники'!$F$27:$F$116,$F407,'ИП + источники'!$AC$27:$AC$116,"уплата процентов по кредитам из нормативной прибыли")</f>
        <v>0</v>
      </c>
      <c r="AK407" s="1280">
        <f>_xlfn.SUMIFS('ИП + источники'!AL$27:AL$116,'ИП + источники'!$F$27:$F$116,$F407,'ИП + источники'!$AC$27:$AC$116,"уплата процентов по кредитам из нормативной прибыли")</f>
        <v>0</v>
      </c>
      <c r="AL407" s="1280">
        <f>_xlfn.SUMIFS('ИП + источники'!AM$27:AM$116,'ИП + источники'!$F$27:$F$116,$F407,'ИП + источники'!$AC$27:$AC$116,"уплата процентов по кредитам из нормативной прибыли")</f>
        <v>0</v>
      </c>
      <c r="AM407" s="4765">
        <f>_xlfn.SUMIFS('ИП + источники'!AN$27:AN$116,'ИП + источники'!$F$27:$F$116,$F407,'ИП + источники'!$AC$27:$AC$116,"уплата процентов по кредитам из нормативной прибыли")</f>
        <v>0</v>
      </c>
      <c r="AN407" s="4765">
        <f>_xlfn.SUMIFS('ИП + источники'!AO$27:AO$116,'ИП + источники'!$F$27:$F$116,$F407,'ИП + источники'!$AC$27:$AC$116,"уплата процентов по кредитам из нормативной прибыли")</f>
        <v>0</v>
      </c>
      <c r="AO407" s="4765">
        <f>_xlfn.SUMIFS('ИП + источники'!AP$27:AP$116,'ИП + источники'!$F$27:$F$116,$F407,'ИП + источники'!$AC$27:$AC$116,"уплата процентов по кредитам из нормативной прибыли")</f>
        <v>0</v>
      </c>
      <c r="AP407" s="4765">
        <f>_xlfn.SUMIFS('ИП + источники'!AQ$27:AQ$116,'ИП + источники'!$F$27:$F$116,$F407,'ИП + источники'!$AC$27:$AC$116,"уплата процентов по кредитам из нормативной прибыли")</f>
        <v>0</v>
      </c>
      <c r="AQ407" s="4765">
        <f>_xlfn.SUMIFS('ИП + источники'!AR$27:AR$116,'ИП + источники'!$F$27:$F$116,$F407,'ИП + источники'!$AC$27:$AC$116,"уплата процентов по кредитам из нормативной прибыли")</f>
        <v>0</v>
      </c>
      <c r="AR407" s="4765">
        <f>_xlfn.SUMIFS('ИП + источники'!AS$27:AS$116,'ИП + источники'!$F$27:$F$116,$F407,'ИП + источники'!$AC$27:$AC$116,"уплата процентов по кредитам из нормативной прибыли")</f>
        <v>0</v>
      </c>
      <c r="AS407" s="4765">
        <f>_xlfn.SUMIFS('ИП + источники'!AT$27:AT$116,'ИП + источники'!$F$27:$F$116,$F407,'ИП + источники'!$AC$27:$AC$116,"уплата процентов по кредитам из нормативной прибыли")</f>
        <v>0</v>
      </c>
      <c r="AT407" s="4765">
        <f>_xlfn.SUMIFS('ИП + источники'!AU$27:AU$116,'ИП + источники'!$F$27:$F$116,$F407,'ИП + источники'!$AC$27:$AC$116,"уплата процентов по кредитам из нормативной прибыли")</f>
        <v>0</v>
      </c>
      <c r="AU407" s="1280">
        <f>_xlfn.SUMIFS('ИП + источники'!AV$27:AV$116,'ИП + источники'!$F$27:$F$116,$F407,'ИП + источники'!$AC$27:$AC$116,"уплата процентов по кредитам из нормативной прибыли")</f>
        <v>0</v>
      </c>
      <c r="AV407" s="1280">
        <f>_xlfn.SUMIFS('ИП + источники'!AW$27:AW$116,'ИП + источники'!$F$27:$F$116,$F407,'ИП + источники'!$AC$27:$AC$116,"уплата процентов по кредитам из нормативной прибыли")</f>
        <v>0</v>
      </c>
      <c r="AW407" s="4765">
        <f>_xlfn.SUMIFS('ИП + источники'!AX$27:AX$116,'ИП + источники'!$F$27:$F$116,$F407,'ИП + источники'!$AC$27:$AC$116,"уплата процентов по кредитам из нормативной прибыли")</f>
        <v>0</v>
      </c>
      <c r="AX407" s="4765">
        <f>_xlfn.SUMIFS('ИП + источники'!AY$27:AY$116,'ИП + источники'!$F$27:$F$116,$F407,'ИП + источники'!$AC$27:$AC$116,"уплата процентов по кредитам из нормативной прибыли")</f>
        <v>0</v>
      </c>
      <c r="AY407" s="4765">
        <f>_xlfn.SUMIFS('ИП + источники'!AZ$27:AZ$116,'ИП + источники'!$F$27:$F$116,$F407,'ИП + источники'!$AC$27:$AC$116,"уплата процентов по кредитам из нормативной прибыли")</f>
        <v>0</v>
      </c>
      <c r="AZ407" s="4765">
        <f>_xlfn.SUMIFS('ИП + источники'!BA$27:BA$116,'ИП + источники'!$F$27:$F$116,$F407,'ИП + источники'!$AC$27:$AC$116,"уплата процентов по кредитам из нормативной прибыли")</f>
        <v>0</v>
      </c>
      <c r="BA407" s="4765">
        <f>_xlfn.SUMIFS('ИП + источники'!BB$27:BB$116,'ИП + источники'!$F$27:$F$116,$F407,'ИП + источники'!$AC$27:$AC$116,"уплата процентов по кредитам из нормативной прибыли")</f>
        <v>0</v>
      </c>
      <c r="BB407" s="4765">
        <f>_xlfn.SUMIFS('ИП + источники'!BC$27:BC$116,'ИП + источники'!$F$27:$F$116,$F407,'ИП + источники'!$AC$27:$AC$116,"уплата процентов по кредитам из нормативной прибыли")</f>
        <v>0</v>
      </c>
      <c r="BC407" s="4765">
        <f>_xlfn.SUMIFS('ИП + источники'!BD$27:BD$116,'ИП + источники'!$F$27:$F$116,$F407,'ИП + источники'!$AC$27:$AC$116,"уплата процентов по кредитам из нормативной прибыли")</f>
        <v>0</v>
      </c>
      <c r="BD407" s="926">
        <f>IF(AI407=0,0,(AT407-AI407)/AI407*100)</f>
        <v>0</v>
      </c>
      <c r="BE407" s="926">
        <f>IF(AT407=0,0,(AU407-AT407)/AT407*100)</f>
        <v>0</v>
      </c>
      <c r="BF407" s="926">
        <f>IF(AU407=0,0,(AV407-AU407)/AU407*100)</f>
        <v>0</v>
      </c>
      <c r="BG407" s="926">
        <f>IF(AV407=0,0,(AW407-AV407)/AV407*100)</f>
        <v>0</v>
      </c>
      <c r="BH407" s="926">
        <f>IF(AW407=0,0,(AX407-AW407)/AW407*100)</f>
        <v>0</v>
      </c>
      <c r="BI407" s="926">
        <f>IF(AX407=0,0,(AY407-AX407)/AX407*100)</f>
        <v>0</v>
      </c>
      <c r="BJ407" s="926">
        <f>IF(AY407=0,0,(AZ407-AY407)/AY407*100)</f>
        <v>0</v>
      </c>
      <c r="BK407" s="926">
        <f>IF(AZ407=0,0,(BA407-AZ407)/AZ407*100)</f>
        <v>0</v>
      </c>
      <c r="BL407" s="926">
        <f>IF(BA407=0,0,(BB407-BA407)/BA407*100)</f>
        <v>0</v>
      </c>
      <c r="BM407" s="926">
        <f>IF(BB407=0,0,(BC407-BB407)/BB407*100)</f>
        <v>0</v>
      </c>
      <c r="BN407" s="4830"/>
      <c r="BO407" s="4784" t="str">
        <f>IF(_xlfn.IFERROR(INDEX('ИП + источники'!$K$28:$L$116,MATCH($F407&amp;"3komm",'ИП + источники'!$K$28:$K$116,0),2),"")=0,"",_xlfn.IFERROR(INDEX('ИП + источники'!$K$28:$L$116,MATCH($F407&amp;"3komm",'ИП + источники'!$K$28:$K$116,0),2),""))</f>
        <v/>
      </c>
      <c r="BP407" s="4830"/>
      <c r="BQ407" s="960"/>
      <c r="BR407" s="960"/>
      <c r="BS407" s="1048" t="s">
        <v>1995</v>
      </c>
      <c r="BT407" s="1048"/>
      <c r="BU407" s="1048"/>
      <c r="BV407" s="962"/>
      <c r="BW407" s="962"/>
    </row>
    <row s="1621" customFormat="1" customHeight="1" ht="14.25">
      <c r="A408" s="960"/>
      <c r="B408" s="405" cm="1" t="str">
        <f t="array" ref="B408:B408">B407</f>
        <v>true</v>
      </c>
      <c r="C408" s="960"/>
      <c r="D408" s="960"/>
      <c r="E408" s="683">
        <v>15</v>
      </c>
      <c r="F408" s="50" cm="1" t="str">
        <f t="array" ref="F408:F408">OFFSET(E408,-1,1)</f>
        <v>2</v>
      </c>
      <c r="G408" s="960"/>
      <c r="H408" s="960"/>
      <c r="I408" s="124" t="s">
        <v>749</v>
      </c>
      <c r="J408" s="960"/>
      <c r="K408" s="124" t="s">
        <v>749</v>
      </c>
      <c r="L408" s="963" t="s">
        <v>548</v>
      </c>
      <c r="M408" s="73"/>
      <c r="N408" s="960"/>
      <c r="O408" s="960"/>
      <c r="P408" s="960"/>
      <c r="Q408" s="960"/>
      <c r="R408" s="960"/>
      <c r="S408" s="960"/>
      <c r="T408" s="439" cm="1" t="str">
        <f t="array" ref="T408:T408">T407</f>
        <v>true</v>
      </c>
      <c r="U408" s="960"/>
      <c r="V408" s="960"/>
      <c r="W408" s="960"/>
      <c r="X408" s="1482"/>
      <c r="Y408" s="960"/>
      <c r="Z408" s="1465"/>
      <c r="AA408" s="960"/>
      <c r="AB408" s="266" t="s">
        <v>900</v>
      </c>
      <c r="AC408" s="743" t="s">
        <v>1996</v>
      </c>
      <c r="AD408" s="267" t="s">
        <v>784</v>
      </c>
      <c r="AE408" s="4759">
        <f>_xlfn.SUMIFS('ИП + источники'!AF$27:AF$116,'ИП + источники'!$F$27:$F$116,$F408,'ИП + источники'!$AC$27:$AC$116,"Прибыль на капвложения")</f>
        <v>0</v>
      </c>
      <c r="AF408" s="4759">
        <f>_xlfn.SUMIFS('ИП + источники'!AG$27:AG$116,'ИП + источники'!$F$27:$F$116,$F408,'ИП + источники'!$AC$27:$AC$116,"Прибыль на капвложения")</f>
        <v>0</v>
      </c>
      <c r="AG408" s="4759">
        <f>_xlfn.SUMIFS('ИП + источники'!AH$27:AH$116,'ИП + источники'!$F$27:$F$116,$F408,'ИП + источники'!$AC$27:$AC$116,"Прибыль на капвложения")</f>
        <v>0</v>
      </c>
      <c r="AH408" s="926">
        <f>AG408-AF408</f>
        <v>0</v>
      </c>
      <c r="AI408" s="4765">
        <f>_xlfn.SUMIFS('ИП + источники'!AJ$27:AJ$116,'ИП + источники'!$F$27:$F$116,$F408,'ИП + источники'!$AC$27:$AC$116,"Прибыль на капвложения")</f>
        <v>0</v>
      </c>
      <c r="AJ408" s="4765">
        <f>_xlfn.SUMIFS('ИП + источники'!AK$27:AK$116,'ИП + источники'!$F$27:$F$116,$F408,'ИП + источники'!$AC$27:$AC$116,"Прибыль на капвложения")</f>
        <v>0</v>
      </c>
      <c r="AK408" s="1280">
        <f>_xlfn.SUMIFS('ИП + источники'!AL$27:AL$116,'ИП + источники'!$F$27:$F$116,$F408,'ИП + источники'!$AC$27:$AC$116,"Прибыль на капвложения")</f>
        <v>0</v>
      </c>
      <c r="AL408" s="1280">
        <f>_xlfn.SUMIFS('ИП + источники'!AM$27:AM$116,'ИП + источники'!$F$27:$F$116,$F408,'ИП + источники'!$AC$27:$AC$116,"Прибыль на капвложения")</f>
        <v>0</v>
      </c>
      <c r="AM408" s="4765">
        <f>_xlfn.SUMIFS('ИП + источники'!AN$27:AN$116,'ИП + источники'!$F$27:$F$116,$F408,'ИП + источники'!$AC$27:$AC$116,"Прибыль на капвложения")</f>
        <v>0</v>
      </c>
      <c r="AN408" s="4765">
        <f>_xlfn.SUMIFS('ИП + источники'!AO$27:AO$116,'ИП + источники'!$F$27:$F$116,$F408,'ИП + источники'!$AC$27:$AC$116,"Прибыль на капвложения")</f>
        <v>0</v>
      </c>
      <c r="AO408" s="4765">
        <f>_xlfn.SUMIFS('ИП + источники'!AP$27:AP$116,'ИП + источники'!$F$27:$F$116,$F408,'ИП + источники'!$AC$27:$AC$116,"Прибыль на капвложения")</f>
        <v>0</v>
      </c>
      <c r="AP408" s="4765">
        <f>_xlfn.SUMIFS('ИП + источники'!AQ$27:AQ$116,'ИП + источники'!$F$27:$F$116,$F408,'ИП + источники'!$AC$27:$AC$116,"Прибыль на капвложения")</f>
        <v>0</v>
      </c>
      <c r="AQ408" s="4765">
        <f>_xlfn.SUMIFS('ИП + источники'!AR$27:AR$116,'ИП + источники'!$F$27:$F$116,$F408,'ИП + источники'!$AC$27:$AC$116,"Прибыль на капвложения")</f>
        <v>0</v>
      </c>
      <c r="AR408" s="4765">
        <f>_xlfn.SUMIFS('ИП + источники'!AS$27:AS$116,'ИП + источники'!$F$27:$F$116,$F408,'ИП + источники'!$AC$27:$AC$116,"Прибыль на капвложения")</f>
        <v>0</v>
      </c>
      <c r="AS408" s="4765">
        <f>_xlfn.SUMIFS('ИП + источники'!AT$27:AT$116,'ИП + источники'!$F$27:$F$116,$F408,'ИП + источники'!$AC$27:$AC$116,"Прибыль на капвложения")</f>
        <v>0</v>
      </c>
      <c r="AT408" s="4765">
        <f>_xlfn.SUMIFS('ИП + источники'!AU$27:AU$116,'ИП + источники'!$F$27:$F$116,$F408,'ИП + источники'!$AC$27:$AC$116,"Прибыль на капвложения")</f>
        <v>0</v>
      </c>
      <c r="AU408" s="1280">
        <f>_xlfn.SUMIFS('ИП + источники'!AV$27:AV$116,'ИП + источники'!$F$27:$F$116,$F408,'ИП + источники'!$AC$27:$AC$116,"Прибыль на капвложения")</f>
        <v>0</v>
      </c>
      <c r="AV408" s="1280">
        <f>_xlfn.SUMIFS('ИП + источники'!AW$27:AW$116,'ИП + источники'!$F$27:$F$116,$F408,'ИП + источники'!$AC$27:$AC$116,"Прибыль на капвложения")</f>
        <v>0</v>
      </c>
      <c r="AW408" s="4765">
        <f>_xlfn.SUMIFS('ИП + источники'!AX$27:AX$116,'ИП + источники'!$F$27:$F$116,$F408,'ИП + источники'!$AC$27:$AC$116,"Прибыль на капвложения")</f>
        <v>0</v>
      </c>
      <c r="AX408" s="4765">
        <f>_xlfn.SUMIFS('ИП + источники'!AY$27:AY$116,'ИП + источники'!$F$27:$F$116,$F408,'ИП + источники'!$AC$27:$AC$116,"Прибыль на капвложения")</f>
        <v>0</v>
      </c>
      <c r="AY408" s="4765">
        <f>_xlfn.SUMIFS('ИП + источники'!AZ$27:AZ$116,'ИП + источники'!$F$27:$F$116,$F408,'ИП + источники'!$AC$27:$AC$116,"Прибыль на капвложения")</f>
        <v>0</v>
      </c>
      <c r="AZ408" s="4765">
        <f>_xlfn.SUMIFS('ИП + источники'!BA$27:BA$116,'ИП + источники'!$F$27:$F$116,$F408,'ИП + источники'!$AC$27:$AC$116,"Прибыль на капвложения")</f>
        <v>0</v>
      </c>
      <c r="BA408" s="4765">
        <f>_xlfn.SUMIFS('ИП + источники'!BB$27:BB$116,'ИП + источники'!$F$27:$F$116,$F408,'ИП + источники'!$AC$27:$AC$116,"Прибыль на капвложения")</f>
        <v>0</v>
      </c>
      <c r="BB408" s="4765">
        <f>_xlfn.SUMIFS('ИП + источники'!BC$27:BC$116,'ИП + источники'!$F$27:$F$116,$F408,'ИП + источники'!$AC$27:$AC$116,"Прибыль на капвложения")</f>
        <v>0</v>
      </c>
      <c r="BC408" s="4765">
        <f>_xlfn.SUMIFS('ИП + источники'!BD$27:BD$116,'ИП + источники'!$F$27:$F$116,$F408,'ИП + источники'!$AC$27:$AC$116,"Прибыль на капвложения")</f>
        <v>0</v>
      </c>
      <c r="BD408" s="926">
        <f>IF(AI408=0,0,(AT408-AI408)/AI408*100)</f>
        <v>0</v>
      </c>
      <c r="BE408" s="926">
        <f>IF(AT408=0,0,(AU408-AT408)/AT408*100)</f>
        <v>0</v>
      </c>
      <c r="BF408" s="926">
        <f>IF(AU408=0,0,(AV408-AU408)/AU408*100)</f>
        <v>0</v>
      </c>
      <c r="BG408" s="926">
        <f>IF(AV408=0,0,(AW408-AV408)/AV408*100)</f>
        <v>0</v>
      </c>
      <c r="BH408" s="926">
        <f>IF(AW408=0,0,(AX408-AW408)/AW408*100)</f>
        <v>0</v>
      </c>
      <c r="BI408" s="926">
        <f>IF(AX408=0,0,(AY408-AX408)/AX408*100)</f>
        <v>0</v>
      </c>
      <c r="BJ408" s="926">
        <f>IF(AY408=0,0,(AZ408-AY408)/AY408*100)</f>
        <v>0</v>
      </c>
      <c r="BK408" s="926">
        <f>IF(AZ408=0,0,(BA408-AZ408)/AZ408*100)</f>
        <v>0</v>
      </c>
      <c r="BL408" s="926">
        <f>IF(BA408=0,0,(BB408-BA408)/BA408*100)</f>
        <v>0</v>
      </c>
      <c r="BM408" s="926">
        <f>IF(BB408=0,0,(BC408-BB408)/BB408*100)</f>
        <v>0</v>
      </c>
      <c r="BN408" s="4830"/>
      <c r="BO408" s="4784" t="str">
        <f>IF(_xlfn.IFERROR(INDEX('ИП + источники'!$K$28:$L$116,MATCH($F408&amp;"1komm",'ИП + источники'!$K$28:$K$116,0),2),"")=0,"",_xlfn.IFERROR(INDEX('ИП + источники'!$K$28:$L$116,MATCH($F408&amp;"1komm",'ИП + источники'!$K$28:$K$116,0),2),""))</f>
        <v/>
      </c>
      <c r="BP408" s="4830"/>
      <c r="BQ408" s="960"/>
      <c r="BR408" s="960"/>
      <c r="BS408" s="1048" t="s">
        <v>1699</v>
      </c>
      <c r="BT408" s="1048"/>
      <c r="BU408" s="1048"/>
      <c r="BV408" s="962"/>
      <c r="BW408" s="962"/>
    </row>
    <row s="1621" customFormat="1" customHeight="1" ht="21.75">
      <c r="A409" s="960"/>
      <c r="B409" s="405" cm="1" t="str">
        <f t="array" ref="B409:B409">B408</f>
        <v>true</v>
      </c>
      <c r="C409" s="960"/>
      <c r="D409" s="960"/>
      <c r="E409" s="683">
        <v>22.5</v>
      </c>
      <c r="F409" s="50" cm="1" t="str">
        <f t="array" ref="F409:F409">OFFSET(E409,-1,1)</f>
        <v>2</v>
      </c>
      <c r="G409" s="124" t="s">
        <v>1997</v>
      </c>
      <c r="H409" s="960"/>
      <c r="I409" s="124" t="s">
        <v>902</v>
      </c>
      <c r="J409" s="960"/>
      <c r="K409" s="124" t="s">
        <v>902</v>
      </c>
      <c r="L409" s="963" t="s">
        <v>552</v>
      </c>
      <c r="M409" s="73"/>
      <c r="N409" s="960"/>
      <c r="O409" s="960"/>
      <c r="P409" s="960"/>
      <c r="Q409" s="960"/>
      <c r="R409" s="960"/>
      <c r="S409" s="960"/>
      <c r="T409" s="439" cm="1" t="str">
        <f t="array" ref="T409:T409">T408</f>
        <v>true</v>
      </c>
      <c r="U409" s="960"/>
      <c r="V409" s="960"/>
      <c r="W409" s="960"/>
      <c r="X409" s="1482"/>
      <c r="Y409" s="960"/>
      <c r="Z409" s="1465"/>
      <c r="AA409" s="960"/>
      <c r="AB409" s="266" t="s">
        <v>903</v>
      </c>
      <c r="AC409" s="743" t="s">
        <v>1998</v>
      </c>
      <c r="AD409" s="267" t="s">
        <v>784</v>
      </c>
      <c r="AE409" s="4759"/>
      <c r="AF409" s="4759"/>
      <c r="AG409" s="4759"/>
      <c r="AH409" s="926">
        <f>AG409-AF409</f>
        <v>0</v>
      </c>
      <c r="AI409" s="4765"/>
      <c r="AJ409" s="4765"/>
      <c r="AK409" s="1280"/>
      <c r="AL409" s="1280"/>
      <c r="AM409" s="4765"/>
      <c r="AN409" s="4765"/>
      <c r="AO409" s="4765"/>
      <c r="AP409" s="4765"/>
      <c r="AQ409" s="4765"/>
      <c r="AR409" s="4765"/>
      <c r="AS409" s="4765"/>
      <c r="AT409" s="4765"/>
      <c r="AU409" s="1280"/>
      <c r="AV409" s="1280"/>
      <c r="AW409" s="4765"/>
      <c r="AX409" s="4765"/>
      <c r="AY409" s="4765"/>
      <c r="AZ409" s="4765"/>
      <c r="BA409" s="4765"/>
      <c r="BB409" s="4765"/>
      <c r="BC409" s="4765"/>
      <c r="BD409" s="926">
        <f>IF(AI409=0,0,(AT409-AI409)/AI409*100)</f>
        <v>0</v>
      </c>
      <c r="BE409" s="926">
        <f>IF(AT409=0,0,(AU409-AT409)/AT409*100)</f>
        <v>0</v>
      </c>
      <c r="BF409" s="926">
        <f>IF(AU409=0,0,(AV409-AU409)/AU409*100)</f>
        <v>0</v>
      </c>
      <c r="BG409" s="926">
        <f>IF(AV409=0,0,(AW409-AV409)/AV409*100)</f>
        <v>0</v>
      </c>
      <c r="BH409" s="926">
        <f>IF(AW409=0,0,(AX409-AW409)/AW409*100)</f>
        <v>0</v>
      </c>
      <c r="BI409" s="926">
        <f>IF(AX409=0,0,(AY409-AX409)/AX409*100)</f>
        <v>0</v>
      </c>
      <c r="BJ409" s="926">
        <f>IF(AY409=0,0,(AZ409-AY409)/AY409*100)</f>
        <v>0</v>
      </c>
      <c r="BK409" s="926">
        <f>IF(AZ409=0,0,(BA409-AZ409)/AZ409*100)</f>
        <v>0</v>
      </c>
      <c r="BL409" s="926">
        <f>IF(BA409=0,0,(BB409-BA409)/BA409*100)</f>
        <v>0</v>
      </c>
      <c r="BM409" s="926">
        <f>IF(BB409=0,0,(BC409-BB409)/BB409*100)</f>
        <v>0</v>
      </c>
      <c r="BN409" s="4830"/>
      <c r="BO409" s="4830"/>
      <c r="BP409" s="4830"/>
      <c r="BQ409" s="960"/>
      <c r="BR409" s="960"/>
      <c r="BS409" s="1048" t="s">
        <v>1999</v>
      </c>
      <c r="BT409" s="1048"/>
      <c r="BU409" s="1048"/>
      <c r="BV409" s="962"/>
      <c r="BW409" s="962"/>
    </row>
    <row s="1621" customFormat="1" customHeight="1" ht="14.25" hidden="1">
      <c r="A410" s="960"/>
      <c r="B410" s="405">
        <f>AND(method_reg="Метод индексации",STATUS_GO="да")</f>
        <v>0</v>
      </c>
      <c r="C410" s="960"/>
      <c r="D410" s="960"/>
      <c r="E410" s="683">
        <v>15</v>
      </c>
      <c r="F410" s="50" cm="1" t="str">
        <f t="array" ref="F410:F410">OFFSET(E410,-1,1)</f>
        <v>2</v>
      </c>
      <c r="G410" s="124" t="s">
        <v>1702</v>
      </c>
      <c r="H410" s="960"/>
      <c r="I410" s="124" t="s">
        <v>491</v>
      </c>
      <c r="J410" s="960"/>
      <c r="K410" s="124" t="s">
        <v>491</v>
      </c>
      <c r="L410" s="963" t="s">
        <v>556</v>
      </c>
      <c r="M410" s="73"/>
      <c r="N410" s="960"/>
      <c r="O410" s="960"/>
      <c r="P410" s="960"/>
      <c r="Q410" s="960"/>
      <c r="R410" s="960"/>
      <c r="S410" s="960"/>
      <c r="T410" s="439" cm="1" t="str">
        <f t="array" ref="T410:T410">T409</f>
        <v>true</v>
      </c>
      <c r="U410" s="960"/>
      <c r="V410" s="960"/>
      <c r="W410" s="960"/>
      <c r="X410" s="1482"/>
      <c r="Y410" s="960"/>
      <c r="Z410" s="1465"/>
      <c r="AA410" s="960"/>
      <c r="AB410" s="266" t="s">
        <v>496</v>
      </c>
      <c r="AC410" s="425" t="s">
        <v>1702</v>
      </c>
      <c r="AD410" s="267" t="s">
        <v>784</v>
      </c>
      <c r="AE410" s="1282"/>
      <c r="AF410" s="1282"/>
      <c r="AG410" s="1282"/>
      <c r="AH410" s="926">
        <f>AG410-AF410</f>
        <v>0</v>
      </c>
      <c r="AI410" s="1280"/>
      <c r="AJ410" s="4765"/>
      <c r="AK410" s="1280"/>
      <c r="AL410" s="1280"/>
      <c r="AM410" s="1280"/>
      <c r="AN410" s="1280"/>
      <c r="AO410" s="1280"/>
      <c r="AP410" s="1280"/>
      <c r="AQ410" s="1280"/>
      <c r="AR410" s="1280"/>
      <c r="AS410" s="1280"/>
      <c r="AT410" s="4765"/>
      <c r="AU410" s="1280"/>
      <c r="AV410" s="1280"/>
      <c r="AW410" s="1280"/>
      <c r="AX410" s="1280"/>
      <c r="AY410" s="1280"/>
      <c r="AZ410" s="1280"/>
      <c r="BA410" s="1280"/>
      <c r="BB410" s="1280"/>
      <c r="BC410" s="1280"/>
      <c r="BD410" s="926">
        <f>IF(AI410=0,0,(AT410-AI410)/AI410*100)</f>
        <v>0</v>
      </c>
      <c r="BE410" s="926">
        <f>IF(AT410=0,0,(AU410-AT410)/AT410*100)</f>
        <v>0</v>
      </c>
      <c r="BF410" s="926">
        <f>IF(AU410=0,0,(AV410-AU410)/AU410*100)</f>
        <v>0</v>
      </c>
      <c r="BG410" s="926">
        <f>IF(AV410=0,0,(AW410-AV410)/AV410*100)</f>
        <v>0</v>
      </c>
      <c r="BH410" s="926">
        <f>IF(AW410=0,0,(AX410-AW410)/AW410*100)</f>
        <v>0</v>
      </c>
      <c r="BI410" s="926">
        <f>IF(AX410=0,0,(AY410-AX410)/AX410*100)</f>
        <v>0</v>
      </c>
      <c r="BJ410" s="926">
        <f>IF(AY410=0,0,(AZ410-AY410)/AY410*100)</f>
        <v>0</v>
      </c>
      <c r="BK410" s="926">
        <f>IF(AZ410=0,0,(BA410-AZ410)/AZ410*100)</f>
        <v>0</v>
      </c>
      <c r="BL410" s="926">
        <f>IF(BA410=0,0,(BB410-BA410)/BA410*100)</f>
        <v>0</v>
      </c>
      <c r="BM410" s="926">
        <f>IF(BB410=0,0,(BC410-BB410)/BB410*100)</f>
        <v>0</v>
      </c>
      <c r="BN410" s="1283"/>
      <c r="BO410" s="1283"/>
      <c r="BP410" s="1283"/>
      <c r="BQ410" s="960"/>
      <c r="BR410" s="960"/>
      <c r="BS410" s="1048" t="s">
        <v>1703</v>
      </c>
      <c r="BT410" s="1048"/>
      <c r="BU410" s="1048"/>
      <c r="BV410" s="962"/>
      <c r="BW410" s="962"/>
    </row>
    <row s="1621" customFormat="1" customHeight="1" ht="14.25" hidden="1">
      <c r="A411" s="960"/>
      <c r="B411" s="958">
        <f>method_reg="Метод обеспечения доходности инвестированного капитала"</f>
        <v>0</v>
      </c>
      <c r="C411" s="960"/>
      <c r="D411" s="960"/>
      <c r="E411" s="683">
        <v>15</v>
      </c>
      <c r="F411" s="50" cm="1" t="str">
        <f t="array" ref="F411:F411">OFFSET(E411,-1,1)</f>
        <v>2</v>
      </c>
      <c r="G411" s="960"/>
      <c r="H411" s="960"/>
      <c r="I411" s="960"/>
      <c r="J411" s="960"/>
      <c r="K411" s="73" t="s">
        <v>329</v>
      </c>
      <c r="L411" s="963"/>
      <c r="M411" s="73"/>
      <c r="N411" s="960"/>
      <c r="O411" s="960"/>
      <c r="P411" s="960"/>
      <c r="Q411" s="960"/>
      <c r="R411" s="960"/>
      <c r="S411" s="960"/>
      <c r="T411" s="439" cm="1" t="str">
        <f t="array" ref="T411:T411">T410</f>
        <v>true</v>
      </c>
      <c r="U411" s="960"/>
      <c r="V411" s="960"/>
      <c r="W411" s="960"/>
      <c r="X411" s="1482"/>
      <c r="Y411" s="960"/>
      <c r="Z411" s="1465"/>
      <c r="AA411" s="960"/>
      <c r="AB411" s="773" t="s">
        <v>536</v>
      </c>
      <c r="AC411" s="774" t="s">
        <v>2000</v>
      </c>
      <c r="AD411" s="775" t="s">
        <v>784</v>
      </c>
      <c r="AE411" s="1273"/>
      <c r="AF411" s="1273"/>
      <c r="AG411" s="1273"/>
      <c r="AH411" s="742">
        <f>AG411-AF411</f>
        <v>0</v>
      </c>
      <c r="AI411" s="1273"/>
      <c r="AJ411" s="4595"/>
      <c r="AK411" s="1273"/>
      <c r="AL411" s="1273"/>
      <c r="AM411" s="1273"/>
      <c r="AN411" s="1273"/>
      <c r="AO411" s="1273"/>
      <c r="AP411" s="1273"/>
      <c r="AQ411" s="1273"/>
      <c r="AR411" s="1273"/>
      <c r="AS411" s="1273"/>
      <c r="AT411" s="4595"/>
      <c r="AU411" s="1273"/>
      <c r="AV411" s="1273"/>
      <c r="AW411" s="1273"/>
      <c r="AX411" s="1273"/>
      <c r="AY411" s="1273"/>
      <c r="AZ411" s="1273"/>
      <c r="BA411" s="1273"/>
      <c r="BB411" s="1273"/>
      <c r="BC411" s="1273"/>
      <c r="BD411" s="742">
        <f>IF(AI411=0,0,(AT411-AI411)/AI411*100)</f>
        <v>0</v>
      </c>
      <c r="BE411" s="742">
        <f>IF(AT411=0,0,(AU411-AT411)/AT411*100)</f>
        <v>0</v>
      </c>
      <c r="BF411" s="742">
        <f>IF(AU411=0,0,(AV411-AU411)/AU411*100)</f>
        <v>0</v>
      </c>
      <c r="BG411" s="742">
        <f>IF(AV411=0,0,(AW411-AV411)/AV411*100)</f>
        <v>0</v>
      </c>
      <c r="BH411" s="742">
        <f>IF(AW411=0,0,(AX411-AW411)/AW411*100)</f>
        <v>0</v>
      </c>
      <c r="BI411" s="742">
        <f>IF(AX411=0,0,(AY411-AX411)/AX411*100)</f>
        <v>0</v>
      </c>
      <c r="BJ411" s="742">
        <f>IF(AY411=0,0,(AZ411-AY411)/AY411*100)</f>
        <v>0</v>
      </c>
      <c r="BK411" s="742">
        <f>IF(AZ411=0,0,(BA411-AZ411)/AZ411*100)</f>
        <v>0</v>
      </c>
      <c r="BL411" s="742">
        <f>IF(BA411=0,0,(BB411-BA411)/BA411*100)</f>
        <v>0</v>
      </c>
      <c r="BM411" s="742">
        <f>IF(BB411=0,0,(BC411-BB411)/BB411*100)</f>
        <v>0</v>
      </c>
      <c r="BN411" s="1274"/>
      <c r="BO411" s="1274"/>
      <c r="BP411" s="1274"/>
      <c r="BQ411" s="960"/>
      <c r="BR411" s="960"/>
      <c r="BS411" s="1048" t="s">
        <v>2001</v>
      </c>
      <c r="BT411" s="1048"/>
      <c r="BU411" s="1048"/>
      <c r="BV411" s="962"/>
      <c r="BW411" s="962"/>
    </row>
    <row s="1621" customFormat="1" customHeight="1" ht="14.25" hidden="1">
      <c r="A412" s="960"/>
      <c r="B412" s="958" cm="1" t="str">
        <f t="array" ref="B412:B412">B411</f>
        <v>false</v>
      </c>
      <c r="C412" s="960"/>
      <c r="D412" s="960"/>
      <c r="E412" s="683">
        <v>15</v>
      </c>
      <c r="F412" s="50" cm="1" t="str">
        <f t="array" ref="F412:F412">OFFSET(E412,-1,1)</f>
        <v>2</v>
      </c>
      <c r="G412" s="960"/>
      <c r="H412" s="960"/>
      <c r="I412" s="960"/>
      <c r="J412" s="960"/>
      <c r="K412" s="73" t="s">
        <v>514</v>
      </c>
      <c r="L412" s="963"/>
      <c r="M412" s="73"/>
      <c r="N412" s="960"/>
      <c r="O412" s="960"/>
      <c r="P412" s="960"/>
      <c r="Q412" s="960"/>
      <c r="R412" s="960"/>
      <c r="S412" s="960"/>
      <c r="T412" s="439" cm="1" t="str">
        <f t="array" ref="T412:T412">T411</f>
        <v>true</v>
      </c>
      <c r="U412" s="960"/>
      <c r="V412" s="960"/>
      <c r="W412" s="960"/>
      <c r="X412" s="1482"/>
      <c r="Y412" s="960"/>
      <c r="Z412" s="1465"/>
      <c r="AA412" s="960"/>
      <c r="AB412" s="776" t="s">
        <v>652</v>
      </c>
      <c r="AC412" s="777" t="s">
        <v>2002</v>
      </c>
      <c r="AD412" s="778" t="s">
        <v>784</v>
      </c>
      <c r="AE412" s="1280"/>
      <c r="AF412" s="1280"/>
      <c r="AG412" s="1280"/>
      <c r="AH412" s="925"/>
      <c r="AI412" s="1280"/>
      <c r="AJ412" s="4765"/>
      <c r="AK412" s="1280"/>
      <c r="AL412" s="1280"/>
      <c r="AM412" s="1280"/>
      <c r="AN412" s="1280"/>
      <c r="AO412" s="1280"/>
      <c r="AP412" s="1280"/>
      <c r="AQ412" s="1280"/>
      <c r="AR412" s="1280"/>
      <c r="AS412" s="1280"/>
      <c r="AT412" s="4765"/>
      <c r="AU412" s="1280"/>
      <c r="AV412" s="1280"/>
      <c r="AW412" s="1280"/>
      <c r="AX412" s="1280"/>
      <c r="AY412" s="1280"/>
      <c r="AZ412" s="1280"/>
      <c r="BA412" s="1280"/>
      <c r="BB412" s="1280"/>
      <c r="BC412" s="1280"/>
      <c r="BD412" s="925"/>
      <c r="BE412" s="925"/>
      <c r="BF412" s="925"/>
      <c r="BG412" s="925"/>
      <c r="BH412" s="925"/>
      <c r="BI412" s="925"/>
      <c r="BJ412" s="925"/>
      <c r="BK412" s="925"/>
      <c r="BL412" s="925"/>
      <c r="BM412" s="925"/>
      <c r="BN412" s="1278"/>
      <c r="BO412" s="1278"/>
      <c r="BP412" s="1278"/>
      <c r="BQ412" s="960"/>
      <c r="BR412" s="960"/>
      <c r="BS412" s="1048" t="s">
        <v>2003</v>
      </c>
      <c r="BT412" s="1048"/>
      <c r="BU412" s="1048"/>
      <c r="BV412" s="962"/>
      <c r="BW412" s="962"/>
    </row>
    <row s="1621" customFormat="1" customHeight="1" ht="14.25" hidden="1">
      <c r="A413" s="960"/>
      <c r="B413" s="958" cm="1" t="str">
        <f t="array" ref="B413:B413">B412</f>
        <v>false</v>
      </c>
      <c r="C413" s="960"/>
      <c r="D413" s="960"/>
      <c r="E413" s="683">
        <v>15</v>
      </c>
      <c r="F413" s="50" cm="1" t="str">
        <f t="array" ref="F413:F413">OFFSET(E413,-1,1)</f>
        <v>2</v>
      </c>
      <c r="G413" s="960"/>
      <c r="H413" s="960"/>
      <c r="I413" s="960"/>
      <c r="J413" s="960"/>
      <c r="K413" s="73" t="s">
        <v>518</v>
      </c>
      <c r="L413" s="963"/>
      <c r="M413" s="73"/>
      <c r="N413" s="960"/>
      <c r="O413" s="960"/>
      <c r="P413" s="960"/>
      <c r="Q413" s="960"/>
      <c r="R413" s="960"/>
      <c r="S413" s="960"/>
      <c r="T413" s="439" cm="1" t="str">
        <f t="array" ref="T413:T413">T412</f>
        <v>true</v>
      </c>
      <c r="U413" s="960"/>
      <c r="V413" s="960"/>
      <c r="W413" s="960"/>
      <c r="X413" s="1482"/>
      <c r="Y413" s="960"/>
      <c r="Z413" s="1465"/>
      <c r="AA413" s="960"/>
      <c r="AB413" s="776" t="s">
        <v>655</v>
      </c>
      <c r="AC413" s="777" t="s">
        <v>2004</v>
      </c>
      <c r="AD413" s="778" t="s">
        <v>2005</v>
      </c>
      <c r="AE413" s="1280"/>
      <c r="AF413" s="1280"/>
      <c r="AG413" s="1280"/>
      <c r="AH413" s="925"/>
      <c r="AI413" s="1280"/>
      <c r="AJ413" s="4765"/>
      <c r="AK413" s="1280"/>
      <c r="AL413" s="1280"/>
      <c r="AM413" s="1280"/>
      <c r="AN413" s="1280"/>
      <c r="AO413" s="1280"/>
      <c r="AP413" s="1280"/>
      <c r="AQ413" s="1280"/>
      <c r="AR413" s="1280"/>
      <c r="AS413" s="1280"/>
      <c r="AT413" s="4765"/>
      <c r="AU413" s="1280"/>
      <c r="AV413" s="1280"/>
      <c r="AW413" s="1280"/>
      <c r="AX413" s="1280"/>
      <c r="AY413" s="1280"/>
      <c r="AZ413" s="1280"/>
      <c r="BA413" s="1280"/>
      <c r="BB413" s="1280"/>
      <c r="BC413" s="1280"/>
      <c r="BD413" s="925"/>
      <c r="BE413" s="925"/>
      <c r="BF413" s="925"/>
      <c r="BG413" s="925"/>
      <c r="BH413" s="925"/>
      <c r="BI413" s="925"/>
      <c r="BJ413" s="925"/>
      <c r="BK413" s="925"/>
      <c r="BL413" s="925"/>
      <c r="BM413" s="925"/>
      <c r="BN413" s="1278"/>
      <c r="BO413" s="1278"/>
      <c r="BP413" s="1278"/>
      <c r="BQ413" s="960"/>
      <c r="BR413" s="960"/>
      <c r="BS413" s="1048" t="s">
        <v>2006</v>
      </c>
      <c r="BT413" s="1048"/>
      <c r="BU413" s="1048"/>
      <c r="BV413" s="962"/>
      <c r="BW413" s="962"/>
    </row>
    <row s="1621" customFormat="1" customHeight="1" ht="14.25" hidden="1">
      <c r="A414" s="960"/>
      <c r="B414" s="958" cm="1" t="str">
        <f t="array" ref="B414:B414">B413</f>
        <v>false</v>
      </c>
      <c r="C414" s="960"/>
      <c r="D414" s="960"/>
      <c r="E414" s="683">
        <v>15</v>
      </c>
      <c r="F414" s="50" cm="1" t="str">
        <f t="array" ref="F414:F414">OFFSET(E414,-1,1)</f>
        <v>2</v>
      </c>
      <c r="G414" s="960"/>
      <c r="H414" s="960"/>
      <c r="I414" s="960"/>
      <c r="J414" s="960"/>
      <c r="K414" s="73" t="s">
        <v>328</v>
      </c>
      <c r="L414" s="963"/>
      <c r="M414" s="73"/>
      <c r="N414" s="960"/>
      <c r="O414" s="960"/>
      <c r="P414" s="960"/>
      <c r="Q414" s="960"/>
      <c r="R414" s="960"/>
      <c r="S414" s="960"/>
      <c r="T414" s="439" cm="1" t="str">
        <f t="array" ref="T414:T414">T413</f>
        <v>true</v>
      </c>
      <c r="U414" s="960"/>
      <c r="V414" s="960"/>
      <c r="W414" s="960"/>
      <c r="X414" s="1482"/>
      <c r="Y414" s="960"/>
      <c r="Z414" s="1465"/>
      <c r="AA414" s="960"/>
      <c r="AB414" s="773" t="s">
        <v>492</v>
      </c>
      <c r="AC414" s="774" t="s">
        <v>2007</v>
      </c>
      <c r="AD414" s="775" t="s">
        <v>784</v>
      </c>
      <c r="AE414" s="1273"/>
      <c r="AF414" s="1273"/>
      <c r="AG414" s="1273"/>
      <c r="AH414" s="742">
        <f>AG414-AF414</f>
        <v>0</v>
      </c>
      <c r="AI414" s="1273"/>
      <c r="AJ414" s="4595"/>
      <c r="AK414" s="1273"/>
      <c r="AL414" s="1273"/>
      <c r="AM414" s="1273"/>
      <c r="AN414" s="1273"/>
      <c r="AO414" s="1273"/>
      <c r="AP414" s="1273"/>
      <c r="AQ414" s="1273"/>
      <c r="AR414" s="1273"/>
      <c r="AS414" s="1273"/>
      <c r="AT414" s="4595"/>
      <c r="AU414" s="1273"/>
      <c r="AV414" s="1273"/>
      <c r="AW414" s="1273"/>
      <c r="AX414" s="1273"/>
      <c r="AY414" s="1273"/>
      <c r="AZ414" s="1273"/>
      <c r="BA414" s="1273"/>
      <c r="BB414" s="1273"/>
      <c r="BC414" s="1273"/>
      <c r="BD414" s="742">
        <f>IF(AI414=0,0,(AT414-AI414)/AI414*100)</f>
        <v>0</v>
      </c>
      <c r="BE414" s="742">
        <f>IF(AT414=0,0,(AU414-AT414)/AT414*100)</f>
        <v>0</v>
      </c>
      <c r="BF414" s="742">
        <f>IF(AU414=0,0,(AV414-AU414)/AU414*100)</f>
        <v>0</v>
      </c>
      <c r="BG414" s="742">
        <f>IF(AV414=0,0,(AW414-AV414)/AV414*100)</f>
        <v>0</v>
      </c>
      <c r="BH414" s="742">
        <f>IF(AW414=0,0,(AX414-AW414)/AW414*100)</f>
        <v>0</v>
      </c>
      <c r="BI414" s="742">
        <f>IF(AX414=0,0,(AY414-AX414)/AX414*100)</f>
        <v>0</v>
      </c>
      <c r="BJ414" s="742">
        <f>IF(AY414=0,0,(AZ414-AY414)/AY414*100)</f>
        <v>0</v>
      </c>
      <c r="BK414" s="742">
        <f>IF(AZ414=0,0,(BA414-AZ414)/AZ414*100)</f>
        <v>0</v>
      </c>
      <c r="BL414" s="742">
        <f>IF(BA414=0,0,(BB414-BA414)/BA414*100)</f>
        <v>0</v>
      </c>
      <c r="BM414" s="742">
        <f>IF(BB414=0,0,(BC414-BB414)/BB414*100)</f>
        <v>0</v>
      </c>
      <c r="BN414" s="1274"/>
      <c r="BO414" s="1274"/>
      <c r="BP414" s="1274"/>
      <c r="BQ414" s="960"/>
      <c r="BR414" s="960"/>
      <c r="BS414" s="1048" t="s">
        <v>2008</v>
      </c>
      <c r="BT414" s="1048"/>
      <c r="BU414" s="1048"/>
      <c r="BV414" s="962"/>
      <c r="BW414" s="962"/>
    </row>
    <row s="1621" customFormat="1" customHeight="1" ht="14.25" hidden="1">
      <c r="A415" s="960"/>
      <c r="B415" s="958" cm="1" t="str">
        <f t="array" ref="B415:B415">B414</f>
        <v>false</v>
      </c>
      <c r="C415" s="960"/>
      <c r="D415" s="960"/>
      <c r="E415" s="683">
        <v>15</v>
      </c>
      <c r="F415" s="50" cm="1" t="str">
        <f t="array" ref="F415:F415">OFFSET(E415,-1,1)</f>
        <v>2</v>
      </c>
      <c r="G415" s="960"/>
      <c r="H415" s="960"/>
      <c r="I415" s="960"/>
      <c r="J415" s="960"/>
      <c r="K415" s="73" t="s">
        <v>528</v>
      </c>
      <c r="L415" s="963"/>
      <c r="M415" s="73"/>
      <c r="N415" s="960"/>
      <c r="O415" s="960"/>
      <c r="P415" s="960"/>
      <c r="Q415" s="960"/>
      <c r="R415" s="960"/>
      <c r="S415" s="960"/>
      <c r="T415" s="439" cm="1" t="str">
        <f t="array" ref="T415:T415">T414</f>
        <v>true</v>
      </c>
      <c r="U415" s="960"/>
      <c r="V415" s="960"/>
      <c r="W415" s="960"/>
      <c r="X415" s="1482"/>
      <c r="Y415" s="960"/>
      <c r="Z415" s="1465"/>
      <c r="AA415" s="960"/>
      <c r="AB415" s="776" t="s">
        <v>659</v>
      </c>
      <c r="AC415" s="777" t="s">
        <v>2009</v>
      </c>
      <c r="AD415" s="778" t="s">
        <v>784</v>
      </c>
      <c r="AE415" s="1280"/>
      <c r="AF415" s="1280"/>
      <c r="AG415" s="1280"/>
      <c r="AH415" s="925"/>
      <c r="AI415" s="1280"/>
      <c r="AJ415" s="4765"/>
      <c r="AK415" s="1280"/>
      <c r="AL415" s="1280"/>
      <c r="AM415" s="1280"/>
      <c r="AN415" s="1280"/>
      <c r="AO415" s="1280"/>
      <c r="AP415" s="1280"/>
      <c r="AQ415" s="1280"/>
      <c r="AR415" s="1280"/>
      <c r="AS415" s="1280"/>
      <c r="AT415" s="4765"/>
      <c r="AU415" s="1280"/>
      <c r="AV415" s="1280"/>
      <c r="AW415" s="1280"/>
      <c r="AX415" s="1280"/>
      <c r="AY415" s="1280"/>
      <c r="AZ415" s="1280"/>
      <c r="BA415" s="1280"/>
      <c r="BB415" s="1280"/>
      <c r="BC415" s="1280"/>
      <c r="BD415" s="925"/>
      <c r="BE415" s="925"/>
      <c r="BF415" s="925"/>
      <c r="BG415" s="925"/>
      <c r="BH415" s="925"/>
      <c r="BI415" s="925"/>
      <c r="BJ415" s="925"/>
      <c r="BK415" s="925"/>
      <c r="BL415" s="925"/>
      <c r="BM415" s="925"/>
      <c r="BN415" s="1278"/>
      <c r="BO415" s="1278"/>
      <c r="BP415" s="1278"/>
      <c r="BQ415" s="960"/>
      <c r="BR415" s="960"/>
      <c r="BS415" s="1048" t="s">
        <v>2010</v>
      </c>
      <c r="BT415" s="1048"/>
      <c r="BU415" s="1048"/>
      <c r="BV415" s="962"/>
      <c r="BW415" s="962"/>
    </row>
    <row s="1621" customFormat="1" customHeight="1" ht="14.25" hidden="1">
      <c r="A416" s="960"/>
      <c r="B416" s="958" cm="1" t="str">
        <f t="array" ref="B416:B416">B415</f>
        <v>false</v>
      </c>
      <c r="C416" s="960"/>
      <c r="D416" s="960"/>
      <c r="E416" s="683">
        <v>15</v>
      </c>
      <c r="F416" s="50" cm="1" t="str">
        <f t="array" ref="F416:F416">OFFSET(E416,-1,1)</f>
        <v>2</v>
      </c>
      <c r="G416" s="960"/>
      <c r="H416" s="960"/>
      <c r="I416" s="960"/>
      <c r="J416" s="960"/>
      <c r="K416" s="73" t="s">
        <v>532</v>
      </c>
      <c r="L416" s="963"/>
      <c r="M416" s="73"/>
      <c r="N416" s="960"/>
      <c r="O416" s="960"/>
      <c r="P416" s="960"/>
      <c r="Q416" s="960"/>
      <c r="R416" s="960"/>
      <c r="S416" s="960"/>
      <c r="T416" s="439" cm="1" t="str">
        <f t="array" ref="T416:T416">T415</f>
        <v>true</v>
      </c>
      <c r="U416" s="960"/>
      <c r="V416" s="960"/>
      <c r="W416" s="960"/>
      <c r="X416" s="1482"/>
      <c r="Y416" s="960"/>
      <c r="Z416" s="1465"/>
      <c r="AA416" s="960"/>
      <c r="AB416" s="776" t="s">
        <v>662</v>
      </c>
      <c r="AC416" s="777" t="s">
        <v>2011</v>
      </c>
      <c r="AD416" s="778" t="s">
        <v>437</v>
      </c>
      <c r="AE416" s="1280"/>
      <c r="AF416" s="1280"/>
      <c r="AG416" s="1280"/>
      <c r="AH416" s="925"/>
      <c r="AI416" s="1280"/>
      <c r="AJ416" s="4765"/>
      <c r="AK416" s="1280"/>
      <c r="AL416" s="1280"/>
      <c r="AM416" s="1280"/>
      <c r="AN416" s="1280"/>
      <c r="AO416" s="1280"/>
      <c r="AP416" s="1280"/>
      <c r="AQ416" s="1280"/>
      <c r="AR416" s="1280"/>
      <c r="AS416" s="1280"/>
      <c r="AT416" s="4765"/>
      <c r="AU416" s="1280"/>
      <c r="AV416" s="1280"/>
      <c r="AW416" s="1280"/>
      <c r="AX416" s="1280"/>
      <c r="AY416" s="1280"/>
      <c r="AZ416" s="1280"/>
      <c r="BA416" s="1280"/>
      <c r="BB416" s="1280"/>
      <c r="BC416" s="1280"/>
      <c r="BD416" s="925"/>
      <c r="BE416" s="925"/>
      <c r="BF416" s="925"/>
      <c r="BG416" s="925"/>
      <c r="BH416" s="925"/>
      <c r="BI416" s="925"/>
      <c r="BJ416" s="925"/>
      <c r="BK416" s="925"/>
      <c r="BL416" s="925"/>
      <c r="BM416" s="925"/>
      <c r="BN416" s="1278"/>
      <c r="BO416" s="1278"/>
      <c r="BP416" s="1278"/>
      <c r="BQ416" s="960"/>
      <c r="BR416" s="960"/>
      <c r="BS416" s="1048" t="s">
        <v>2012</v>
      </c>
      <c r="BT416" s="1048"/>
      <c r="BU416" s="1048"/>
      <c r="BV416" s="962"/>
      <c r="BW416" s="962"/>
    </row>
    <row s="1621" customFormat="1" customHeight="1" ht="14.25" hidden="1">
      <c r="A417" s="960"/>
      <c r="B417" s="958" cm="1" t="str">
        <f t="array" ref="B417:B417">B416</f>
        <v>false</v>
      </c>
      <c r="C417" s="960"/>
      <c r="D417" s="960"/>
      <c r="E417" s="683">
        <v>15</v>
      </c>
      <c r="F417" s="50" cm="1" t="str">
        <f t="array" ref="F417:F417">OFFSET(E417,-1,1)</f>
        <v>2</v>
      </c>
      <c r="G417" s="960"/>
      <c r="H417" s="960"/>
      <c r="I417" s="960"/>
      <c r="J417" s="960"/>
      <c r="K417" s="73" t="s">
        <v>749</v>
      </c>
      <c r="L417" s="963"/>
      <c r="M417" s="73"/>
      <c r="N417" s="960"/>
      <c r="O417" s="960"/>
      <c r="P417" s="960"/>
      <c r="Q417" s="960"/>
      <c r="R417" s="960"/>
      <c r="S417" s="960"/>
      <c r="T417" s="439" cm="1" t="str">
        <f t="array" ref="T417:T417">T416</f>
        <v>true</v>
      </c>
      <c r="U417" s="960"/>
      <c r="V417" s="960"/>
      <c r="W417" s="960"/>
      <c r="X417" s="1482"/>
      <c r="Y417" s="960"/>
      <c r="Z417" s="1465"/>
      <c r="AA417" s="960"/>
      <c r="AB417" s="776" t="s">
        <v>900</v>
      </c>
      <c r="AC417" s="777" t="s">
        <v>2013</v>
      </c>
      <c r="AD417" s="778" t="s">
        <v>784</v>
      </c>
      <c r="AE417" s="1280"/>
      <c r="AF417" s="1280"/>
      <c r="AG417" s="1280"/>
      <c r="AH417" s="925"/>
      <c r="AI417" s="1280"/>
      <c r="AJ417" s="4765"/>
      <c r="AK417" s="1280"/>
      <c r="AL417" s="1280"/>
      <c r="AM417" s="1280"/>
      <c r="AN417" s="1280"/>
      <c r="AO417" s="1280"/>
      <c r="AP417" s="1280"/>
      <c r="AQ417" s="1280"/>
      <c r="AR417" s="1280"/>
      <c r="AS417" s="1280"/>
      <c r="AT417" s="4765"/>
      <c r="AU417" s="1280"/>
      <c r="AV417" s="1280"/>
      <c r="AW417" s="1280"/>
      <c r="AX417" s="1280"/>
      <c r="AY417" s="1280"/>
      <c r="AZ417" s="1280"/>
      <c r="BA417" s="1280"/>
      <c r="BB417" s="1280"/>
      <c r="BC417" s="1280"/>
      <c r="BD417" s="925"/>
      <c r="BE417" s="925"/>
      <c r="BF417" s="925"/>
      <c r="BG417" s="925"/>
      <c r="BH417" s="925"/>
      <c r="BI417" s="925"/>
      <c r="BJ417" s="925"/>
      <c r="BK417" s="925"/>
      <c r="BL417" s="925"/>
      <c r="BM417" s="925"/>
      <c r="BN417" s="1278"/>
      <c r="BO417" s="1278"/>
      <c r="BP417" s="1278"/>
      <c r="BQ417" s="960"/>
      <c r="BR417" s="960"/>
      <c r="BS417" s="1048" t="s">
        <v>2014</v>
      </c>
      <c r="BT417" s="1048"/>
      <c r="BU417" s="1048"/>
      <c r="BV417" s="962"/>
      <c r="BW417" s="962"/>
    </row>
    <row s="1621" customFormat="1" customHeight="1" ht="14.25" hidden="1">
      <c r="A418" s="960"/>
      <c r="B418" s="958" cm="1" t="str">
        <f t="array" ref="B418:B418">B417</f>
        <v>false</v>
      </c>
      <c r="C418" s="960"/>
      <c r="D418" s="960"/>
      <c r="E418" s="683">
        <v>15</v>
      </c>
      <c r="F418" s="50" cm="1" t="str">
        <f t="array" ref="F418:F418">OFFSET(E418,-1,1)</f>
        <v>2</v>
      </c>
      <c r="G418" s="960"/>
      <c r="H418" s="960"/>
      <c r="I418" s="960"/>
      <c r="J418" s="960"/>
      <c r="K418" s="73" t="s">
        <v>902</v>
      </c>
      <c r="L418" s="963"/>
      <c r="M418" s="73"/>
      <c r="N418" s="960"/>
      <c r="O418" s="960"/>
      <c r="P418" s="960"/>
      <c r="Q418" s="960"/>
      <c r="R418" s="960"/>
      <c r="S418" s="960"/>
      <c r="T418" s="439" cm="1" t="str">
        <f t="array" ref="T418:T418">T417</f>
        <v>true</v>
      </c>
      <c r="U418" s="960"/>
      <c r="V418" s="960"/>
      <c r="W418" s="960"/>
      <c r="X418" s="1482"/>
      <c r="Y418" s="960"/>
      <c r="Z418" s="1465"/>
      <c r="AA418" s="960"/>
      <c r="AB418" s="776" t="s">
        <v>903</v>
      </c>
      <c r="AC418" s="777" t="s">
        <v>2015</v>
      </c>
      <c r="AD418" s="778" t="s">
        <v>784</v>
      </c>
      <c r="AE418" s="1280"/>
      <c r="AF418" s="1280"/>
      <c r="AG418" s="1280"/>
      <c r="AH418" s="925"/>
      <c r="AI418" s="1280"/>
      <c r="AJ418" s="4765"/>
      <c r="AK418" s="1280"/>
      <c r="AL418" s="1280"/>
      <c r="AM418" s="1280"/>
      <c r="AN418" s="1280"/>
      <c r="AO418" s="1280"/>
      <c r="AP418" s="1280"/>
      <c r="AQ418" s="1280"/>
      <c r="AR418" s="1280"/>
      <c r="AS418" s="1280"/>
      <c r="AT418" s="4765"/>
      <c r="AU418" s="1280"/>
      <c r="AV418" s="1280"/>
      <c r="AW418" s="1280"/>
      <c r="AX418" s="1280"/>
      <c r="AY418" s="1280"/>
      <c r="AZ418" s="1280"/>
      <c r="BA418" s="1280"/>
      <c r="BB418" s="1280"/>
      <c r="BC418" s="1280"/>
      <c r="BD418" s="925"/>
      <c r="BE418" s="925"/>
      <c r="BF418" s="925"/>
      <c r="BG418" s="925"/>
      <c r="BH418" s="925"/>
      <c r="BI418" s="925"/>
      <c r="BJ418" s="925"/>
      <c r="BK418" s="925"/>
      <c r="BL418" s="925"/>
      <c r="BM418" s="925"/>
      <c r="BN418" s="1278"/>
      <c r="BO418" s="1278"/>
      <c r="BP418" s="1278"/>
      <c r="BQ418" s="960"/>
      <c r="BR418" s="960"/>
      <c r="BS418" s="1048" t="s">
        <v>2016</v>
      </c>
      <c r="BT418" s="1048"/>
      <c r="BU418" s="1048"/>
      <c r="BV418" s="962"/>
      <c r="BW418" s="962"/>
    </row>
    <row s="1621" customFormat="1" customHeight="1" ht="14.25" hidden="1">
      <c r="A419" s="960"/>
      <c r="B419" s="958" cm="1" t="str">
        <f t="array" ref="B419:B419">B418</f>
        <v>false</v>
      </c>
      <c r="C419" s="960"/>
      <c r="D419" s="960"/>
      <c r="E419" s="683">
        <v>15</v>
      </c>
      <c r="F419" s="50" cm="1" t="str">
        <f t="array" ref="F419:F419">OFFSET(E419,-1,1)</f>
        <v>2</v>
      </c>
      <c r="G419" s="960"/>
      <c r="H419" s="960"/>
      <c r="I419" s="960"/>
      <c r="J419" s="960"/>
      <c r="K419" s="73" t="s">
        <v>2017</v>
      </c>
      <c r="L419" s="963"/>
      <c r="M419" s="73"/>
      <c r="N419" s="960"/>
      <c r="O419" s="960"/>
      <c r="P419" s="960"/>
      <c r="Q419" s="960"/>
      <c r="R419" s="960"/>
      <c r="S419" s="960"/>
      <c r="T419" s="439" cm="1" t="str">
        <f t="array" ref="T419:T419">T418</f>
        <v>true</v>
      </c>
      <c r="U419" s="960"/>
      <c r="V419" s="960"/>
      <c r="W419" s="960"/>
      <c r="X419" s="1482"/>
      <c r="Y419" s="960"/>
      <c r="Z419" s="1465"/>
      <c r="AA419" s="960"/>
      <c r="AB419" s="776" t="s">
        <v>2018</v>
      </c>
      <c r="AC419" s="779" t="s">
        <v>2019</v>
      </c>
      <c r="AD419" s="778" t="s">
        <v>437</v>
      </c>
      <c r="AE419" s="1280"/>
      <c r="AF419" s="1280"/>
      <c r="AG419" s="1280"/>
      <c r="AH419" s="925"/>
      <c r="AI419" s="1280"/>
      <c r="AJ419" s="4765"/>
      <c r="AK419" s="1280"/>
      <c r="AL419" s="1280"/>
      <c r="AM419" s="1280"/>
      <c r="AN419" s="1280"/>
      <c r="AO419" s="1280"/>
      <c r="AP419" s="1280"/>
      <c r="AQ419" s="1280"/>
      <c r="AR419" s="1280"/>
      <c r="AS419" s="1280"/>
      <c r="AT419" s="4765"/>
      <c r="AU419" s="1280"/>
      <c r="AV419" s="1280"/>
      <c r="AW419" s="1280"/>
      <c r="AX419" s="1280"/>
      <c r="AY419" s="1280"/>
      <c r="AZ419" s="1280"/>
      <c r="BA419" s="1280"/>
      <c r="BB419" s="1280"/>
      <c r="BC419" s="1280"/>
      <c r="BD419" s="925"/>
      <c r="BE419" s="925"/>
      <c r="BF419" s="925"/>
      <c r="BG419" s="925"/>
      <c r="BH419" s="925"/>
      <c r="BI419" s="925"/>
      <c r="BJ419" s="925"/>
      <c r="BK419" s="925"/>
      <c r="BL419" s="925"/>
      <c r="BM419" s="925"/>
      <c r="BN419" s="1278"/>
      <c r="BO419" s="1278"/>
      <c r="BP419" s="1278"/>
      <c r="BQ419" s="960"/>
      <c r="BR419" s="960"/>
      <c r="BS419" s="1048" t="s">
        <v>2020</v>
      </c>
      <c r="BT419" s="1048"/>
      <c r="BU419" s="1048"/>
      <c r="BV419" s="962"/>
      <c r="BW419" s="962"/>
    </row>
    <row s="1621" customFormat="1" customHeight="1" ht="14.25" hidden="1">
      <c r="A420" s="960"/>
      <c r="B420" s="958" cm="1" t="str">
        <f t="array" ref="B420:B420">B419</f>
        <v>false</v>
      </c>
      <c r="C420" s="960"/>
      <c r="D420" s="960"/>
      <c r="E420" s="683">
        <v>15</v>
      </c>
      <c r="F420" s="50" cm="1" t="str">
        <f t="array" ref="F420:F420">OFFSET(E420,-1,1)</f>
        <v>2</v>
      </c>
      <c r="G420" s="960"/>
      <c r="H420" s="960"/>
      <c r="I420" s="960"/>
      <c r="J420" s="960"/>
      <c r="K420" s="73" t="s">
        <v>905</v>
      </c>
      <c r="L420" s="963"/>
      <c r="M420" s="73"/>
      <c r="N420" s="960"/>
      <c r="O420" s="960"/>
      <c r="P420" s="960"/>
      <c r="Q420" s="960"/>
      <c r="R420" s="960"/>
      <c r="S420" s="960"/>
      <c r="T420" s="439" cm="1" t="str">
        <f t="array" ref="T420:T420">T419</f>
        <v>true</v>
      </c>
      <c r="U420" s="960"/>
      <c r="V420" s="960"/>
      <c r="W420" s="960"/>
      <c r="X420" s="1482"/>
      <c r="Y420" s="960"/>
      <c r="Z420" s="1465"/>
      <c r="AA420" s="960"/>
      <c r="AB420" s="776" t="s">
        <v>906</v>
      </c>
      <c r="AC420" s="777" t="s">
        <v>2021</v>
      </c>
      <c r="AD420" s="778" t="s">
        <v>437</v>
      </c>
      <c r="AE420" s="1280"/>
      <c r="AF420" s="1280"/>
      <c r="AG420" s="1280"/>
      <c r="AH420" s="925"/>
      <c r="AI420" s="1280"/>
      <c r="AJ420" s="4765"/>
      <c r="AK420" s="1280"/>
      <c r="AL420" s="1280"/>
      <c r="AM420" s="1280"/>
      <c r="AN420" s="1280"/>
      <c r="AO420" s="1280"/>
      <c r="AP420" s="1280"/>
      <c r="AQ420" s="1280"/>
      <c r="AR420" s="1280"/>
      <c r="AS420" s="1280"/>
      <c r="AT420" s="4765"/>
      <c r="AU420" s="1280"/>
      <c r="AV420" s="1280"/>
      <c r="AW420" s="1280"/>
      <c r="AX420" s="1280"/>
      <c r="AY420" s="1280"/>
      <c r="AZ420" s="1280"/>
      <c r="BA420" s="1280"/>
      <c r="BB420" s="1280"/>
      <c r="BC420" s="1280"/>
      <c r="BD420" s="925"/>
      <c r="BE420" s="925"/>
      <c r="BF420" s="925"/>
      <c r="BG420" s="925"/>
      <c r="BH420" s="925"/>
      <c r="BI420" s="925"/>
      <c r="BJ420" s="925"/>
      <c r="BK420" s="925"/>
      <c r="BL420" s="925"/>
      <c r="BM420" s="925"/>
      <c r="BN420" s="1278"/>
      <c r="BO420" s="1278"/>
      <c r="BP420" s="1278"/>
      <c r="BQ420" s="960"/>
      <c r="BR420" s="960"/>
      <c r="BS420" s="1048" t="s">
        <v>2022</v>
      </c>
      <c r="BT420" s="1048"/>
      <c r="BU420" s="1048"/>
      <c r="BV420" s="962"/>
      <c r="BW420" s="962"/>
    </row>
    <row s="1621" customFormat="1" customHeight="1" ht="14.25" hidden="1">
      <c r="A421" s="960"/>
      <c r="B421" s="958" cm="1" t="str">
        <f t="array" ref="B421:B421">B420</f>
        <v>false</v>
      </c>
      <c r="C421" s="960"/>
      <c r="D421" s="960"/>
      <c r="E421" s="683">
        <v>15</v>
      </c>
      <c r="F421" s="50" cm="1" t="str">
        <f t="array" ref="F421:F421">OFFSET(E421,-1,1)</f>
        <v>2</v>
      </c>
      <c r="G421" s="960"/>
      <c r="H421" s="960"/>
      <c r="I421" s="960"/>
      <c r="J421" s="960"/>
      <c r="K421" s="73" t="s">
        <v>2023</v>
      </c>
      <c r="L421" s="963"/>
      <c r="M421" s="73"/>
      <c r="N421" s="960"/>
      <c r="O421" s="960"/>
      <c r="P421" s="960"/>
      <c r="Q421" s="960"/>
      <c r="R421" s="960"/>
      <c r="S421" s="960"/>
      <c r="T421" s="439" cm="1" t="str">
        <f t="array" ref="T421:T421">T420</f>
        <v>true</v>
      </c>
      <c r="U421" s="960"/>
      <c r="V421" s="960"/>
      <c r="W421" s="960"/>
      <c r="X421" s="1482"/>
      <c r="Y421" s="960"/>
      <c r="Z421" s="1465"/>
      <c r="AA421" s="960"/>
      <c r="AB421" s="776" t="s">
        <v>2024</v>
      </c>
      <c r="AC421" s="779" t="s">
        <v>2025</v>
      </c>
      <c r="AD421" s="778" t="s">
        <v>437</v>
      </c>
      <c r="AE421" s="1280"/>
      <c r="AF421" s="1280"/>
      <c r="AG421" s="1280"/>
      <c r="AH421" s="925"/>
      <c r="AI421" s="1280"/>
      <c r="AJ421" s="4765"/>
      <c r="AK421" s="1280"/>
      <c r="AL421" s="1280"/>
      <c r="AM421" s="1280"/>
      <c r="AN421" s="1280"/>
      <c r="AO421" s="1280"/>
      <c r="AP421" s="1280"/>
      <c r="AQ421" s="1280"/>
      <c r="AR421" s="1280"/>
      <c r="AS421" s="1280"/>
      <c r="AT421" s="4765"/>
      <c r="AU421" s="1280"/>
      <c r="AV421" s="1280"/>
      <c r="AW421" s="1280"/>
      <c r="AX421" s="1280"/>
      <c r="AY421" s="1280"/>
      <c r="AZ421" s="1280"/>
      <c r="BA421" s="1280"/>
      <c r="BB421" s="1280"/>
      <c r="BC421" s="1280"/>
      <c r="BD421" s="925"/>
      <c r="BE421" s="925"/>
      <c r="BF421" s="925"/>
      <c r="BG421" s="925"/>
      <c r="BH421" s="925"/>
      <c r="BI421" s="925"/>
      <c r="BJ421" s="925"/>
      <c r="BK421" s="925"/>
      <c r="BL421" s="925"/>
      <c r="BM421" s="925"/>
      <c r="BN421" s="1278"/>
      <c r="BO421" s="1278"/>
      <c r="BP421" s="1278"/>
      <c r="BQ421" s="960"/>
      <c r="BR421" s="960"/>
      <c r="BS421" s="1048" t="s">
        <v>2026</v>
      </c>
      <c r="BT421" s="1048"/>
      <c r="BU421" s="1048"/>
      <c r="BV421" s="962"/>
      <c r="BW421" s="962"/>
    </row>
    <row s="1621" customFormat="1" customHeight="1" ht="14.25" hidden="1">
      <c r="A422" s="960"/>
      <c r="B422" s="958" cm="1" t="str">
        <f t="array" ref="B422:B422">B421</f>
        <v>false</v>
      </c>
      <c r="C422" s="960"/>
      <c r="D422" s="960"/>
      <c r="E422" s="683">
        <v>15</v>
      </c>
      <c r="F422" s="50" cm="1" t="str">
        <f t="array" ref="F422:F422">OFFSET(E422,-1,1)</f>
        <v>2</v>
      </c>
      <c r="G422" s="960"/>
      <c r="H422" s="960"/>
      <c r="I422" s="960"/>
      <c r="J422" s="960"/>
      <c r="K422" s="73" t="s">
        <v>2027</v>
      </c>
      <c r="L422" s="963"/>
      <c r="M422" s="73"/>
      <c r="N422" s="960"/>
      <c r="O422" s="960"/>
      <c r="P422" s="960"/>
      <c r="Q422" s="960"/>
      <c r="R422" s="960"/>
      <c r="S422" s="960"/>
      <c r="T422" s="439" cm="1" t="str">
        <f t="array" ref="T422:T422">T421</f>
        <v>true</v>
      </c>
      <c r="U422" s="960"/>
      <c r="V422" s="960"/>
      <c r="W422" s="960"/>
      <c r="X422" s="1482"/>
      <c r="Y422" s="960"/>
      <c r="Z422" s="1465"/>
      <c r="AA422" s="960"/>
      <c r="AB422" s="776" t="s">
        <v>2028</v>
      </c>
      <c r="AC422" s="779" t="s">
        <v>2029</v>
      </c>
      <c r="AD422" s="778" t="s">
        <v>437</v>
      </c>
      <c r="AE422" s="1280"/>
      <c r="AF422" s="1280"/>
      <c r="AG422" s="1280"/>
      <c r="AH422" s="925"/>
      <c r="AI422" s="1280"/>
      <c r="AJ422" s="4765"/>
      <c r="AK422" s="1280"/>
      <c r="AL422" s="1280"/>
      <c r="AM422" s="1280"/>
      <c r="AN422" s="1280"/>
      <c r="AO422" s="1280"/>
      <c r="AP422" s="1280"/>
      <c r="AQ422" s="1280"/>
      <c r="AR422" s="1280"/>
      <c r="AS422" s="1280"/>
      <c r="AT422" s="4765"/>
      <c r="AU422" s="1280"/>
      <c r="AV422" s="1280"/>
      <c r="AW422" s="1280"/>
      <c r="AX422" s="1280"/>
      <c r="AY422" s="1280"/>
      <c r="AZ422" s="1280"/>
      <c r="BA422" s="1280"/>
      <c r="BB422" s="1280"/>
      <c r="BC422" s="1280"/>
      <c r="BD422" s="925"/>
      <c r="BE422" s="925"/>
      <c r="BF422" s="925"/>
      <c r="BG422" s="925"/>
      <c r="BH422" s="925"/>
      <c r="BI422" s="925"/>
      <c r="BJ422" s="925"/>
      <c r="BK422" s="925"/>
      <c r="BL422" s="925"/>
      <c r="BM422" s="925"/>
      <c r="BN422" s="1278"/>
      <c r="BO422" s="1278"/>
      <c r="BP422" s="1278"/>
      <c r="BQ422" s="960"/>
      <c r="BR422" s="960"/>
      <c r="BS422" s="1048" t="s">
        <v>2030</v>
      </c>
      <c r="BT422" s="1048"/>
      <c r="BU422" s="1048"/>
      <c r="BV422" s="962"/>
      <c r="BW422" s="962"/>
    </row>
    <row s="4897" customFormat="1" customHeight="1" ht="20.475">
      <c r="A423" s="680"/>
      <c r="B423" s="408"/>
      <c r="C423" s="680"/>
      <c r="D423" s="75" t="str">
        <f>IF(B422,"6","7")</f>
        <v>7</v>
      </c>
      <c r="E423" s="687">
        <v>21</v>
      </c>
      <c r="F423" s="50" cm="1" t="str">
        <f t="array" ref="F423:F423">OFFSET(E423,-1,1)</f>
        <v>2</v>
      </c>
      <c r="G423" s="124" t="s">
        <v>2031</v>
      </c>
      <c r="H423" s="124"/>
      <c r="I423" s="347" t="s">
        <v>2032</v>
      </c>
      <c r="J423" s="680"/>
      <c r="K423" s="347" t="s">
        <v>2032</v>
      </c>
      <c r="L423" s="968"/>
      <c r="M423" s="75"/>
      <c r="N423" s="680"/>
      <c r="O423" s="680"/>
      <c r="P423" s="680"/>
      <c r="Q423" s="680"/>
      <c r="R423" s="680"/>
      <c r="S423" s="680"/>
      <c r="T423" s="439" cm="1" t="str">
        <f t="array" ref="T423:T423">T422</f>
        <v>true</v>
      </c>
      <c r="U423" s="680"/>
      <c r="V423" s="680"/>
      <c r="W423" s="680"/>
      <c r="X423" s="1482"/>
      <c r="Y423" s="680"/>
      <c r="Z423" s="1465"/>
      <c r="AA423" s="680"/>
      <c r="AB423" s="178" cm="1" t="str">
        <f t="array" ref="AB423:AB423">D423</f>
        <v>7</v>
      </c>
      <c r="AC423" s="186" t="s">
        <v>1473</v>
      </c>
      <c r="AD423" s="178" t="s">
        <v>784</v>
      </c>
      <c r="AE423" s="4606">
        <v>-718.7</v>
      </c>
      <c r="AF423" s="4606"/>
      <c r="AG423" s="4606"/>
      <c r="AH423" s="742">
        <f>AG423-AF423</f>
        <v>0</v>
      </c>
      <c r="AI423" s="4595">
        <v>0</v>
      </c>
      <c r="AJ423" s="4765">
        <f>_xlfn.SUMIFS('Корректировка НВВ'!$AF$25:$AF$180,'Корректировка НВВ'!$F$25:$F$180,$F423,'Корректировка НВВ'!$I$25:$I$180,$G423)</f>
        <v>0</v>
      </c>
      <c r="AK423" s="1273"/>
      <c r="AL423" s="1273"/>
      <c r="AM423" s="4595"/>
      <c r="AN423" s="4595"/>
      <c r="AO423" s="4595"/>
      <c r="AP423" s="4595"/>
      <c r="AQ423" s="4595"/>
      <c r="AR423" s="4595"/>
      <c r="AS423" s="4595"/>
      <c r="AT423" s="4765">
        <v>-11.432715357</v>
      </c>
      <c r="AU423" s="1273"/>
      <c r="AV423" s="1273"/>
      <c r="AW423" s="4595"/>
      <c r="AX423" s="4595"/>
      <c r="AY423" s="4595"/>
      <c r="AZ423" s="4595"/>
      <c r="BA423" s="4595"/>
      <c r="BB423" s="4595"/>
      <c r="BC423" s="4595"/>
      <c r="BD423" s="742">
        <f>IF(AI423=0,0,(AT423-AI423)/AI423*100)</f>
        <v>0</v>
      </c>
      <c r="BE423" s="742">
        <f>IF(AT423=0,0,(AU423-AT423)/AT423*100)</f>
        <v>-100</v>
      </c>
      <c r="BF423" s="742">
        <f>IF(AU423=0,0,(AV423-AU423)/AU423*100)</f>
        <v>0</v>
      </c>
      <c r="BG423" s="742">
        <f>IF(AV423=0,0,(AW423-AV423)/AV423*100)</f>
        <v>0</v>
      </c>
      <c r="BH423" s="742">
        <f>IF(AW423=0,0,(AX423-AW423)/AW423*100)</f>
        <v>0</v>
      </c>
      <c r="BI423" s="742">
        <f>IF(AX423=0,0,(AY423-AX423)/AX423*100)</f>
        <v>0</v>
      </c>
      <c r="BJ423" s="742">
        <f>IF(AY423=0,0,(AZ423-AY423)/AY423*100)</f>
        <v>0</v>
      </c>
      <c r="BK423" s="742">
        <f>IF(AZ423=0,0,(BA423-AZ423)/AZ423*100)</f>
        <v>0</v>
      </c>
      <c r="BL423" s="742">
        <f>IF(BA423=0,0,(BB423-BA423)/BA423*100)</f>
        <v>0</v>
      </c>
      <c r="BM423" s="742">
        <f>IF(BB423=0,0,(BC423-BB423)/BB423*100)</f>
        <v>0</v>
      </c>
      <c r="BN423" s="4618"/>
      <c r="BO423" s="4784" t="str">
        <f>IF(_xlfn.IFERROR(INDEX('Корректировка НВВ'!$K$26:$L$180,MATCH($F423&amp;"11komm",'Корректировка НВВ'!$K$26:$K$180,0),2),"")=0,"",_xlfn.IFERROR(INDEX('Корректировка НВВ'!$K$26:$L$180,MATCH($F423&amp;"11komm",'Корректировка НВВ'!$K$26:$K$180,0),2),""))</f>
        <v/>
      </c>
      <c r="BP423" s="4618"/>
      <c r="BQ423" s="680"/>
      <c r="BR423" s="680"/>
      <c r="BS423" s="1054" t="s">
        <v>2033</v>
      </c>
      <c r="BT423" s="1054"/>
      <c r="BU423" s="1054"/>
      <c r="BV423" s="687"/>
      <c r="BW423" s="687"/>
    </row>
    <row s="1621" customFormat="1" customHeight="1" ht="14.25">
      <c r="A424" s="960"/>
      <c r="B424" s="961"/>
      <c r="C424" s="960"/>
      <c r="D424" s="73" cm="1" t="str">
        <f t="array" ref="D424:D424">D423</f>
        <v>7</v>
      </c>
      <c r="E424" s="683">
        <v>15</v>
      </c>
      <c r="F424" s="50" cm="1" t="str">
        <f t="array" ref="F424:F424">OFFSET(E424,-1,1)</f>
        <v>2</v>
      </c>
      <c r="G424" s="960"/>
      <c r="H424" s="960"/>
      <c r="I424" s="960"/>
      <c r="J424" s="960"/>
      <c r="K424" s="960"/>
      <c r="L424" s="963"/>
      <c r="M424" s="73"/>
      <c r="N424" s="960"/>
      <c r="O424" s="960"/>
      <c r="P424" s="960"/>
      <c r="Q424" s="960"/>
      <c r="R424" s="960"/>
      <c r="S424" s="960"/>
      <c r="T424" s="439" cm="1" t="str">
        <f t="array" ref="T424:T424">T423</f>
        <v>true</v>
      </c>
      <c r="U424" s="960"/>
      <c r="V424" s="960"/>
      <c r="W424" s="960"/>
      <c r="X424" s="1482"/>
      <c r="Y424" s="960"/>
      <c r="Z424" s="1465"/>
      <c r="AA424" s="960"/>
      <c r="AB424" s="267"/>
      <c r="AC424" s="425" t="s">
        <v>2034</v>
      </c>
      <c r="AD424" s="267"/>
      <c r="AE424" s="928"/>
      <c r="AF424" s="928"/>
      <c r="AG424" s="928"/>
      <c r="AH424" s="925"/>
      <c r="AI424" s="925"/>
      <c r="AJ424" s="925"/>
      <c r="AK424" s="925"/>
      <c r="AL424" s="925"/>
      <c r="AM424" s="925"/>
      <c r="AN424" s="925"/>
      <c r="AO424" s="925"/>
      <c r="AP424" s="925"/>
      <c r="AQ424" s="925"/>
      <c r="AR424" s="925"/>
      <c r="AS424" s="925"/>
      <c r="AT424" s="925"/>
      <c r="AU424" s="925"/>
      <c r="AV424" s="925"/>
      <c r="AW424" s="925"/>
      <c r="AX424" s="925"/>
      <c r="AY424" s="925"/>
      <c r="AZ424" s="925"/>
      <c r="BA424" s="925"/>
      <c r="BB424" s="925"/>
      <c r="BC424" s="925"/>
      <c r="BD424" s="925"/>
      <c r="BE424" s="925"/>
      <c r="BF424" s="925"/>
      <c r="BG424" s="925"/>
      <c r="BH424" s="925"/>
      <c r="BI424" s="925"/>
      <c r="BJ424" s="925"/>
      <c r="BK424" s="925"/>
      <c r="BL424" s="925"/>
      <c r="BM424" s="925"/>
      <c r="BN424" s="501"/>
      <c r="BO424" s="501"/>
      <c r="BP424" s="501"/>
      <c r="BQ424" s="960"/>
      <c r="BR424" s="960"/>
      <c r="BS424" s="1048"/>
      <c r="BT424" s="1048"/>
      <c r="BU424" s="1048"/>
      <c r="BV424" s="962"/>
      <c r="BW424" s="962"/>
    </row>
    <row s="1621" customFormat="1" customHeight="1" ht="23.25">
      <c r="A425" s="960"/>
      <c r="B425" s="961"/>
      <c r="C425" s="960"/>
      <c r="D425" s="73" cm="1" t="str">
        <f t="array" ref="D425:D425">D424</f>
        <v>7</v>
      </c>
      <c r="E425" s="683">
        <v>22.5</v>
      </c>
      <c r="F425" s="50" cm="1" t="str">
        <f t="array" ref="F425:F425">OFFSET(E425,-1,1)</f>
        <v>2</v>
      </c>
      <c r="G425" s="124" t="s">
        <v>368</v>
      </c>
      <c r="H425" s="960"/>
      <c r="I425" s="124" t="s">
        <v>495</v>
      </c>
      <c r="J425" s="960"/>
      <c r="K425" s="124" t="s">
        <v>495</v>
      </c>
      <c r="L425" s="963"/>
      <c r="M425" s="73"/>
      <c r="N425" s="960"/>
      <c r="O425" s="960"/>
      <c r="P425" s="960"/>
      <c r="Q425" s="960"/>
      <c r="R425" s="960"/>
      <c r="S425" s="960"/>
      <c r="T425" s="439" cm="1" t="str">
        <f t="array" ref="T425:T425">T424</f>
        <v>true</v>
      </c>
      <c r="U425" s="960"/>
      <c r="V425" s="960"/>
      <c r="W425" s="960"/>
      <c r="X425" s="1482"/>
      <c r="Y425" s="960"/>
      <c r="Z425" s="1465"/>
      <c r="AA425" s="960"/>
      <c r="AB425" s="267" t="str">
        <f>D425&amp;".1"</f>
        <v>7.1</v>
      </c>
      <c r="AC425" s="743" t="s">
        <v>2035</v>
      </c>
      <c r="AD425" s="267" t="s">
        <v>784</v>
      </c>
      <c r="AE425" s="4759">
        <v>0</v>
      </c>
      <c r="AF425" s="4759"/>
      <c r="AG425" s="4759"/>
      <c r="AH425" s="926">
        <f>AG425-AF425</f>
        <v>0</v>
      </c>
      <c r="AI425" s="4765">
        <v>0</v>
      </c>
      <c r="AJ425" s="4765">
        <f>_xlfn.SUMIFS('Корректировка НВВ'!$AF$25:$AF$180,'Корректировка НВВ'!$F$25:$F$180,$F425,'Корректировка НВВ'!$I$25:$I$180,$G425)</f>
        <v>0</v>
      </c>
      <c r="AK425" s="1280"/>
      <c r="AL425" s="1280"/>
      <c r="AM425" s="4765"/>
      <c r="AN425" s="4765"/>
      <c r="AO425" s="4765"/>
      <c r="AP425" s="4765"/>
      <c r="AQ425" s="4765"/>
      <c r="AR425" s="4765"/>
      <c r="AS425" s="4765"/>
      <c r="AT425" s="4765">
        <f>_xlfn.SUMIFS('Корректировка НВВ'!$AG$25:$AG$180,'Корректировка НВВ'!$F$25:$F$180,$F425,'Корректировка НВВ'!$I$25:$I$180,$G425)</f>
        <v>0</v>
      </c>
      <c r="AU425" s="1280"/>
      <c r="AV425" s="1280"/>
      <c r="AW425" s="4765"/>
      <c r="AX425" s="4765"/>
      <c r="AY425" s="4765"/>
      <c r="AZ425" s="4765"/>
      <c r="BA425" s="4765"/>
      <c r="BB425" s="4765"/>
      <c r="BC425" s="4765"/>
      <c r="BD425" s="925"/>
      <c r="BE425" s="925"/>
      <c r="BF425" s="925"/>
      <c r="BG425" s="925"/>
      <c r="BH425" s="925"/>
      <c r="BI425" s="925"/>
      <c r="BJ425" s="925"/>
      <c r="BK425" s="925"/>
      <c r="BL425" s="925"/>
      <c r="BM425" s="925"/>
      <c r="BN425" s="4830"/>
      <c r="BO425" s="4784" t="str">
        <f>IF(_xlfn.IFERROR(INDEX('Корректировка НВВ'!$K$26:$L$180,MATCH($F425&amp;"1komm",'Корректировка НВВ'!$K$26:$K$180,0),2),"")=0,"",_xlfn.IFERROR(INDEX('Корректировка НВВ'!$K$26:$L$180,MATCH($F425&amp;"1komm",'Корректировка НВВ'!$K$26:$K$180,0),2),""))</f>
        <v/>
      </c>
      <c r="BP425" s="4830"/>
      <c r="BQ425" s="960"/>
      <c r="BR425" s="960"/>
      <c r="BS425" s="1048" t="s">
        <v>2036</v>
      </c>
      <c r="BT425" s="1048"/>
      <c r="BU425" s="1048"/>
      <c r="BV425" s="962"/>
      <c r="BW425" s="962"/>
    </row>
    <row s="1621" customFormat="1" customHeight="1" ht="98.71875">
      <c r="A426" s="960"/>
      <c r="B426" s="961"/>
      <c r="C426" s="960"/>
      <c r="D426" s="73" cm="1" t="str">
        <f t="array" ref="D426:D426">D425</f>
        <v>7</v>
      </c>
      <c r="E426" s="683">
        <v>101.25</v>
      </c>
      <c r="F426" s="50" cm="1" t="str">
        <f t="array" ref="F426:F426">OFFSET(E426,-1,1)</f>
        <v>2</v>
      </c>
      <c r="G426" s="124" t="s">
        <v>2037</v>
      </c>
      <c r="H426" s="960"/>
      <c r="I426" s="124" t="s">
        <v>541</v>
      </c>
      <c r="J426" s="960"/>
      <c r="K426" s="124" t="s">
        <v>541</v>
      </c>
      <c r="L426" s="963"/>
      <c r="M426" s="73"/>
      <c r="N426" s="960"/>
      <c r="O426" s="960"/>
      <c r="P426" s="960"/>
      <c r="Q426" s="960"/>
      <c r="R426" s="960"/>
      <c r="S426" s="960"/>
      <c r="T426" s="439" cm="1" t="str">
        <f t="array" ref="T426:T426">T425</f>
        <v>true</v>
      </c>
      <c r="U426" s="960"/>
      <c r="V426" s="960"/>
      <c r="W426" s="960"/>
      <c r="X426" s="1482"/>
      <c r="Y426" s="960"/>
      <c r="Z426" s="1465"/>
      <c r="AA426" s="960"/>
      <c r="AB426" s="267" t="str">
        <f>D426&amp;".2"</f>
        <v>7.2</v>
      </c>
      <c r="AC426" s="743" t="s">
        <v>2038</v>
      </c>
      <c r="AD426" s="267" t="s">
        <v>784</v>
      </c>
      <c r="AE426" s="4759">
        <v>0</v>
      </c>
      <c r="AF426" s="4759"/>
      <c r="AG426" s="4759"/>
      <c r="AH426" s="926">
        <f>AG426-AF426</f>
        <v>0</v>
      </c>
      <c r="AI426" s="4765">
        <v>0</v>
      </c>
      <c r="AJ426" s="4765">
        <f>_xlfn.SUMIFS('Корректировка НВВ'!$AF$25:$AF$180,'Корректировка НВВ'!$F$25:$F$180,$F426,'Корректировка НВВ'!$I$25:$I$180,$G426)</f>
        <v>0</v>
      </c>
      <c r="AK426" s="1280"/>
      <c r="AL426" s="1280"/>
      <c r="AM426" s="4765"/>
      <c r="AN426" s="4765"/>
      <c r="AO426" s="4765"/>
      <c r="AP426" s="4765"/>
      <c r="AQ426" s="4765"/>
      <c r="AR426" s="4765"/>
      <c r="AS426" s="4765"/>
      <c r="AT426" s="4765">
        <f>_xlfn.SUMIFS('Корректировка НВВ'!$AG$25:$AG$180,'Корректировка НВВ'!$F$25:$F$180,$F426,'Корректировка НВВ'!$I$25:$I$180,$G426)</f>
        <v>0</v>
      </c>
      <c r="AU426" s="1280"/>
      <c r="AV426" s="1280"/>
      <c r="AW426" s="4765"/>
      <c r="AX426" s="4765"/>
      <c r="AY426" s="4765"/>
      <c r="AZ426" s="4765"/>
      <c r="BA426" s="4765"/>
      <c r="BB426" s="4765"/>
      <c r="BC426" s="4765"/>
      <c r="BD426" s="925"/>
      <c r="BE426" s="925"/>
      <c r="BF426" s="925"/>
      <c r="BG426" s="925"/>
      <c r="BH426" s="925"/>
      <c r="BI426" s="925"/>
      <c r="BJ426" s="925"/>
      <c r="BK426" s="925"/>
      <c r="BL426" s="925"/>
      <c r="BM426" s="925"/>
      <c r="BN426" s="4830"/>
      <c r="BO426" s="4784" t="str">
        <f>IF(_xlfn.IFERROR(INDEX('Корректировка НВВ'!$K$26:$L$180,MATCH($F426&amp;"2komm",'Корректировка НВВ'!$K$26:$K$180,0),2),"")=0,"",_xlfn.IFERROR(INDEX('Корректировка НВВ'!$K$26:$L$180,MATCH($F426&amp;"2komm",'Корректировка НВВ'!$K$26:$K$180,0),2),""))</f>
        <v/>
      </c>
      <c r="BP426" s="4830"/>
      <c r="BQ426" s="960"/>
      <c r="BR426" s="960"/>
      <c r="BS426" s="1048" t="s">
        <v>2039</v>
      </c>
      <c r="BT426" s="1048"/>
      <c r="BU426" s="1048"/>
      <c r="BV426" s="962"/>
      <c r="BW426" s="962"/>
    </row>
    <row s="1621" customFormat="1" customHeight="1" ht="43.875">
      <c r="A427" s="960"/>
      <c r="B427" s="961"/>
      <c r="C427" s="960"/>
      <c r="D427" s="73" cm="1" t="str">
        <f t="array" ref="D427:D427">D426</f>
        <v>7</v>
      </c>
      <c r="E427" s="683">
        <v>45</v>
      </c>
      <c r="F427" s="50" cm="1" t="str">
        <f t="array" ref="F427:F427">OFFSET(E427,-1,1)</f>
        <v>2</v>
      </c>
      <c r="G427" s="960"/>
      <c r="H427" s="960"/>
      <c r="I427" s="124" t="s">
        <v>556</v>
      </c>
      <c r="J427" s="960"/>
      <c r="K427" s="124" t="s">
        <v>556</v>
      </c>
      <c r="L427" s="963"/>
      <c r="M427" s="73"/>
      <c r="N427" s="960"/>
      <c r="O427" s="960"/>
      <c r="P427" s="960"/>
      <c r="Q427" s="960"/>
      <c r="R427" s="960"/>
      <c r="S427" s="960"/>
      <c r="T427" s="439" cm="1" t="str">
        <f t="array" ref="T427:T427">T426</f>
        <v>true</v>
      </c>
      <c r="U427" s="960"/>
      <c r="V427" s="960"/>
      <c r="W427" s="960"/>
      <c r="X427" s="1482"/>
      <c r="Y427" s="960"/>
      <c r="Z427" s="1465"/>
      <c r="AA427" s="960"/>
      <c r="AB427" s="267" t="str">
        <f>D427&amp;".3"</f>
        <v>7.3</v>
      </c>
      <c r="AC427" s="743" t="s">
        <v>2040</v>
      </c>
      <c r="AD427" s="267" t="s">
        <v>784</v>
      </c>
      <c r="AE427" s="4759">
        <v>0</v>
      </c>
      <c r="AF427" s="4759"/>
      <c r="AG427" s="4759"/>
      <c r="AH427" s="926">
        <f>AG427-AF427</f>
        <v>0</v>
      </c>
      <c r="AI427" s="4765">
        <v>0</v>
      </c>
      <c r="AJ427" s="4765">
        <f>_xlfn.SUMIFS('Корректировка НВВ'!$AF$25:$AF$180,'Корректировка НВВ'!$F$25:$F$180,$F427,'Корректировка НВВ'!$I$25:$I$180,"L1")+_xlfn.SUMIFS('Корректировка НВВ'!$AF$25:$AF$180,'Корректировка НВВ'!$F$25:$F$180,$F427,'Корректировка НВВ'!$I$25:$I$180,"L2")</f>
        <v>0</v>
      </c>
      <c r="AK427" s="1280"/>
      <c r="AL427" s="1280"/>
      <c r="AM427" s="4765"/>
      <c r="AN427" s="4765"/>
      <c r="AO427" s="4765"/>
      <c r="AP427" s="4765"/>
      <c r="AQ427" s="4765"/>
      <c r="AR427" s="4765"/>
      <c r="AS427" s="4765"/>
      <c r="AT427" s="4765">
        <v>-11.432715357</v>
      </c>
      <c r="AU427" s="1280"/>
      <c r="AV427" s="1280"/>
      <c r="AW427" s="4765"/>
      <c r="AX427" s="4765"/>
      <c r="AY427" s="4765"/>
      <c r="AZ427" s="4765"/>
      <c r="BA427" s="4765"/>
      <c r="BB427" s="4765"/>
      <c r="BC427" s="4765"/>
      <c r="BD427" s="925"/>
      <c r="BE427" s="925"/>
      <c r="BF427" s="925"/>
      <c r="BG427" s="925"/>
      <c r="BH427" s="925"/>
      <c r="BI427" s="925"/>
      <c r="BJ427" s="925"/>
      <c r="BK427" s="925"/>
      <c r="BL427" s="925"/>
      <c r="BM427" s="925"/>
      <c r="BN427" s="4830"/>
      <c r="BO427" s="4784"/>
      <c r="BP427" s="4830" t="s">
        <v>2084</v>
      </c>
      <c r="BQ427" s="960"/>
      <c r="BR427" s="960"/>
      <c r="BS427" s="1048" t="s">
        <v>2041</v>
      </c>
      <c r="BT427" s="1048"/>
      <c r="BU427" s="1048"/>
      <c r="BV427" s="962"/>
      <c r="BW427" s="962"/>
    </row>
    <row s="1621" customFormat="1" customHeight="1" ht="87.75">
      <c r="A428" s="960"/>
      <c r="B428" s="418">
        <f>S315="Водоотведение"</f>
        <v>1</v>
      </c>
      <c r="C428" s="960"/>
      <c r="D428" s="73" cm="1" t="str">
        <f t="array" ref="D428:D428">D427</f>
        <v>7</v>
      </c>
      <c r="E428" s="683">
        <v>90</v>
      </c>
      <c r="F428" s="50" cm="1" t="str">
        <f t="array" ref="F428:F428">OFFSET(E428,-1,1)</f>
        <v>2</v>
      </c>
      <c r="G428" s="124" t="s">
        <v>2042</v>
      </c>
      <c r="H428" s="49"/>
      <c r="I428" s="124" t="s">
        <v>725</v>
      </c>
      <c r="J428" s="960"/>
      <c r="K428" s="124" t="s">
        <v>725</v>
      </c>
      <c r="L428" s="963" t="s">
        <v>722</v>
      </c>
      <c r="M428" s="73"/>
      <c r="N428" s="960"/>
      <c r="O428" s="960"/>
      <c r="P428" s="960"/>
      <c r="Q428" s="960"/>
      <c r="R428" s="960"/>
      <c r="S428" s="960"/>
      <c r="T428" s="439" cm="1" t="str">
        <f t="array" ref="T428:T428">T427</f>
        <v>true</v>
      </c>
      <c r="U428" s="960"/>
      <c r="V428" s="960"/>
      <c r="W428" s="960"/>
      <c r="X428" s="1482"/>
      <c r="Y428" s="960"/>
      <c r="Z428" s="1465"/>
      <c r="AA428" s="960"/>
      <c r="AB428" s="267" t="str">
        <f>D428&amp;".4"</f>
        <v>7.4</v>
      </c>
      <c r="AC428" s="743" t="s">
        <v>1705</v>
      </c>
      <c r="AD428" s="747" t="s">
        <v>784</v>
      </c>
      <c r="AE428" s="4759">
        <v>0</v>
      </c>
      <c r="AF428" s="4759"/>
      <c r="AG428" s="4759"/>
      <c r="AH428" s="926">
        <f>AG428-AF428</f>
        <v>0</v>
      </c>
      <c r="AI428" s="4765">
        <v>0</v>
      </c>
      <c r="AJ428" s="4765">
        <f>_xlfn.SUMIFS('Корректировка НВВ'!$AF$25:$AF$180,'Корректировка НВВ'!$F$25:$F$180,$F428,'Корректировка НВВ'!$I$25:$I$180,$G428)</f>
        <v>0</v>
      </c>
      <c r="AK428" s="1280"/>
      <c r="AL428" s="1280"/>
      <c r="AM428" s="4765"/>
      <c r="AN428" s="4765"/>
      <c r="AO428" s="4765"/>
      <c r="AP428" s="4765"/>
      <c r="AQ428" s="4765"/>
      <c r="AR428" s="4765"/>
      <c r="AS428" s="4765"/>
      <c r="AT428" s="4765">
        <f>_xlfn.SUMIFS('Корректировка НВВ'!$AG$25:$AG$180,'Корректировка НВВ'!$F$25:$F$180,$F428,'Корректировка НВВ'!$I$25:$I$180,$G428)</f>
        <v>0</v>
      </c>
      <c r="AU428" s="1280"/>
      <c r="AV428" s="1280"/>
      <c r="AW428" s="4765"/>
      <c r="AX428" s="4765"/>
      <c r="AY428" s="4765"/>
      <c r="AZ428" s="4765"/>
      <c r="BA428" s="4765"/>
      <c r="BB428" s="4765"/>
      <c r="BC428" s="4765"/>
      <c r="BD428" s="925"/>
      <c r="BE428" s="925"/>
      <c r="BF428" s="925"/>
      <c r="BG428" s="925"/>
      <c r="BH428" s="925"/>
      <c r="BI428" s="925"/>
      <c r="BJ428" s="925"/>
      <c r="BK428" s="925"/>
      <c r="BL428" s="925"/>
      <c r="BM428" s="925"/>
      <c r="BN428" s="4830"/>
      <c r="BO428" s="4784" t="str">
        <f>IF(_xlfn.IFERROR(INDEX('Корректировка НВВ'!$K$26:$L$180,MATCH($F428&amp;"3komm",'Корректировка НВВ'!$K$26:$K$180,0),2),"")=0,"",_xlfn.IFERROR(INDEX('Корректировка НВВ'!$K$26:$L$180,MATCH($F428&amp;"3komm",'Корректировка НВВ'!$K$26:$K$180,0),2),""))</f>
        <v/>
      </c>
      <c r="BP428" s="4830"/>
      <c r="BQ428" s="960"/>
      <c r="BR428" s="960"/>
      <c r="BS428" s="1048" t="s">
        <v>1249</v>
      </c>
      <c r="BT428" s="1048"/>
      <c r="BU428" s="1048"/>
      <c r="BV428" s="962"/>
      <c r="BW428" s="962"/>
    </row>
    <row s="1621" customFormat="1" customHeight="1" ht="54.84375">
      <c r="A429" s="960"/>
      <c r="B429" s="418" cm="1" t="str">
        <f t="array" ref="B429:B429">B428</f>
        <v>true</v>
      </c>
      <c r="C429" s="960"/>
      <c r="D429" s="73" cm="1" t="str">
        <f t="array" ref="D429:D429">D428</f>
        <v>7</v>
      </c>
      <c r="E429" s="683">
        <v>56.25</v>
      </c>
      <c r="F429" s="50" cm="1" t="str">
        <f t="array" ref="F429:F429">OFFSET(E429,-1,1)</f>
        <v>2</v>
      </c>
      <c r="G429" s="124" t="s">
        <v>2043</v>
      </c>
      <c r="H429" s="49"/>
      <c r="I429" s="124" t="s">
        <v>762</v>
      </c>
      <c r="J429" s="960"/>
      <c r="K429" s="124" t="s">
        <v>762</v>
      </c>
      <c r="L429" s="963" t="s">
        <v>725</v>
      </c>
      <c r="M429" s="73"/>
      <c r="N429" s="960"/>
      <c r="O429" s="960"/>
      <c r="P429" s="960"/>
      <c r="Q429" s="960"/>
      <c r="R429" s="960"/>
      <c r="S429" s="960"/>
      <c r="T429" s="439" cm="1" t="str">
        <f t="array" ref="T429:T429">T428</f>
        <v>true</v>
      </c>
      <c r="U429" s="960"/>
      <c r="V429" s="960"/>
      <c r="W429" s="960"/>
      <c r="X429" s="1482"/>
      <c r="Y429" s="960"/>
      <c r="Z429" s="1465"/>
      <c r="AA429" s="960"/>
      <c r="AB429" s="267" t="str">
        <f>D429&amp;".5"</f>
        <v>7.5</v>
      </c>
      <c r="AC429" s="743" t="s">
        <v>1707</v>
      </c>
      <c r="AD429" s="747" t="s">
        <v>784</v>
      </c>
      <c r="AE429" s="4759">
        <v>0</v>
      </c>
      <c r="AF429" s="4759"/>
      <c r="AG429" s="4759"/>
      <c r="AH429" s="926">
        <f>AG429-AF429</f>
        <v>0</v>
      </c>
      <c r="AI429" s="4765">
        <v>0</v>
      </c>
      <c r="AJ429" s="4765">
        <f>_xlfn.SUMIFS('Корректировка НВВ'!$AF$25:$AF$180,'Корректировка НВВ'!$F$25:$F$180,$F429,'Корректировка НВВ'!$I$25:$I$180,$G429)</f>
        <v>0</v>
      </c>
      <c r="AK429" s="1280"/>
      <c r="AL429" s="1280"/>
      <c r="AM429" s="4765"/>
      <c r="AN429" s="4765"/>
      <c r="AO429" s="4765"/>
      <c r="AP429" s="4765"/>
      <c r="AQ429" s="4765"/>
      <c r="AR429" s="4765"/>
      <c r="AS429" s="4765"/>
      <c r="AT429" s="4765">
        <f>_xlfn.SUMIFS('Корректировка НВВ'!$AG$25:$AG$180,'Корректировка НВВ'!$F$25:$F$180,$F429,'Корректировка НВВ'!$I$25:$I$180,$G429)</f>
        <v>0</v>
      </c>
      <c r="AU429" s="1280"/>
      <c r="AV429" s="1280"/>
      <c r="AW429" s="4765"/>
      <c r="AX429" s="4765"/>
      <c r="AY429" s="4765"/>
      <c r="AZ429" s="4765"/>
      <c r="BA429" s="4765"/>
      <c r="BB429" s="4765"/>
      <c r="BC429" s="4765"/>
      <c r="BD429" s="925"/>
      <c r="BE429" s="925"/>
      <c r="BF429" s="925"/>
      <c r="BG429" s="925"/>
      <c r="BH429" s="925"/>
      <c r="BI429" s="925"/>
      <c r="BJ429" s="925"/>
      <c r="BK429" s="925"/>
      <c r="BL429" s="925"/>
      <c r="BM429" s="925"/>
      <c r="BN429" s="4830"/>
      <c r="BO429" s="4784" t="str">
        <f>IF(_xlfn.IFERROR(INDEX('Корректировка НВВ'!$K$26:$L$180,MATCH($F429&amp;"4komm",'Корректировка НВВ'!$K$26:$K$180,0),2),"")=0,"",_xlfn.IFERROR(INDEX('Корректировка НВВ'!$K$26:$L$180,MATCH($F429&amp;"4komm",'Корректировка НВВ'!$K$26:$K$180,0),2),""))</f>
        <v/>
      </c>
      <c r="BP429" s="4830"/>
      <c r="BQ429" s="960"/>
      <c r="BR429" s="960"/>
      <c r="BS429" s="1048" t="s">
        <v>1253</v>
      </c>
      <c r="BT429" s="1048"/>
      <c r="BU429" s="1048"/>
      <c r="BV429" s="962"/>
      <c r="BW429" s="962"/>
    </row>
    <row s="1621" customFormat="1" customHeight="1" ht="14.625">
      <c r="A430" s="960"/>
      <c r="B430" s="961"/>
      <c r="C430" s="960"/>
      <c r="D430" s="73" cm="1" t="str">
        <f t="array" ref="D430:D430">D429</f>
        <v>7</v>
      </c>
      <c r="E430" s="683">
        <v>15</v>
      </c>
      <c r="F430" s="50" cm="1" t="str">
        <f t="array" ref="F430:F430">OFFSET(E430,-1,1)</f>
        <v>2</v>
      </c>
      <c r="G430" s="124" t="s">
        <v>2044</v>
      </c>
      <c r="H430" s="960"/>
      <c r="I430" s="124" t="s">
        <v>763</v>
      </c>
      <c r="J430" s="960"/>
      <c r="K430" s="124" t="s">
        <v>763</v>
      </c>
      <c r="L430" s="963" t="s">
        <v>762</v>
      </c>
      <c r="M430" s="73"/>
      <c r="N430" s="960"/>
      <c r="O430" s="960"/>
      <c r="P430" s="960"/>
      <c r="Q430" s="960"/>
      <c r="R430" s="960"/>
      <c r="S430" s="960"/>
      <c r="T430" s="439" cm="1" t="str">
        <f t="array" ref="T430:T430">T429</f>
        <v>true</v>
      </c>
      <c r="U430" s="960"/>
      <c r="V430" s="960"/>
      <c r="W430" s="960"/>
      <c r="X430" s="1482"/>
      <c r="Y430" s="960"/>
      <c r="Z430" s="1465"/>
      <c r="AA430" s="960"/>
      <c r="AB430" s="267" t="str">
        <f>IF(B429,D430&amp;".6",D430&amp;".4")</f>
        <v>7.6</v>
      </c>
      <c r="AC430" s="743" t="s">
        <v>1466</v>
      </c>
      <c r="AD430" s="267" t="s">
        <v>784</v>
      </c>
      <c r="AE430" s="4759"/>
      <c r="AF430" s="4759"/>
      <c r="AG430" s="4759"/>
      <c r="AH430" s="926">
        <f>AG430-AF430</f>
        <v>0</v>
      </c>
      <c r="AI430" s="4765">
        <v>0</v>
      </c>
      <c r="AJ430" s="4765">
        <f>_xlfn.SUMIFS('Корректировка НВВ'!$AF$25:$AF$180,'Корректировка НВВ'!$F$25:$F$180,$F430,'Корректировка НВВ'!$I$25:$I$180,$G430)</f>
        <v>0</v>
      </c>
      <c r="AK430" s="1280"/>
      <c r="AL430" s="1280"/>
      <c r="AM430" s="4765"/>
      <c r="AN430" s="4765"/>
      <c r="AO430" s="4765"/>
      <c r="AP430" s="4765"/>
      <c r="AQ430" s="4765"/>
      <c r="AR430" s="4765"/>
      <c r="AS430" s="4765"/>
      <c r="AT430" s="4765">
        <f>_xlfn.SUMIFS('Корректировка НВВ'!$AG$25:$AG$180,'Корректировка НВВ'!$F$25:$F$180,$F430,'Корректировка НВВ'!$I$25:$I$180,$G430)</f>
        <v>0</v>
      </c>
      <c r="AU430" s="1280"/>
      <c r="AV430" s="1280"/>
      <c r="AW430" s="4765"/>
      <c r="AX430" s="4765"/>
      <c r="AY430" s="4765"/>
      <c r="AZ430" s="4765"/>
      <c r="BA430" s="4765"/>
      <c r="BB430" s="4765"/>
      <c r="BC430" s="4765"/>
      <c r="BD430" s="925"/>
      <c r="BE430" s="925"/>
      <c r="BF430" s="925"/>
      <c r="BG430" s="925"/>
      <c r="BH430" s="925"/>
      <c r="BI430" s="925"/>
      <c r="BJ430" s="925"/>
      <c r="BK430" s="925"/>
      <c r="BL430" s="925"/>
      <c r="BM430" s="925"/>
      <c r="BN430" s="4830"/>
      <c r="BO430" s="4784" t="str">
        <f>IF(_xlfn.IFERROR(INDEX('Корректировка НВВ'!$K$26:$L$180,MATCH($F430&amp;"5komm",'Корректировка НВВ'!$K$26:$K$180,0),2),"")=0,"",_xlfn.IFERROR(INDEX('Корректировка НВВ'!$K$26:$L$180,MATCH($F430&amp;"5komm",'Корректировка НВВ'!$K$26:$K$180,0),2),""))</f>
        <v/>
      </c>
      <c r="BP430" s="4830"/>
      <c r="BQ430" s="960"/>
      <c r="BR430" s="960"/>
      <c r="BS430" s="1048" t="s">
        <v>2045</v>
      </c>
      <c r="BT430" s="1048"/>
      <c r="BU430" s="1048"/>
      <c r="BV430" s="962"/>
      <c r="BW430" s="962"/>
    </row>
    <row s="1621" customFormat="1" customHeight="1" ht="14.625">
      <c r="A431" s="960"/>
      <c r="B431" s="961"/>
      <c r="C431" s="960"/>
      <c r="D431" s="73" cm="1" t="str">
        <f t="array" ref="D431:D431">D430</f>
        <v>7</v>
      </c>
      <c r="E431" s="683">
        <v>15</v>
      </c>
      <c r="F431" s="50" cm="1" t="str">
        <f t="array" ref="F431:F431">OFFSET(E431,-1,1)</f>
        <v>2</v>
      </c>
      <c r="G431" s="124" t="s">
        <v>2046</v>
      </c>
      <c r="H431" s="960"/>
      <c r="I431" s="124" t="s">
        <v>1717</v>
      </c>
      <c r="J431" s="960"/>
      <c r="K431" s="124" t="s">
        <v>1717</v>
      </c>
      <c r="L431" s="963" t="s">
        <v>763</v>
      </c>
      <c r="M431" s="73"/>
      <c r="N431" s="960"/>
      <c r="O431" s="960"/>
      <c r="P431" s="960"/>
      <c r="Q431" s="960"/>
      <c r="R431" s="960"/>
      <c r="S431" s="960"/>
      <c r="T431" s="439" cm="1" t="str">
        <f t="array" ref="T431:T431">T430</f>
        <v>true</v>
      </c>
      <c r="U431" s="960"/>
      <c r="V431" s="960"/>
      <c r="W431" s="960"/>
      <c r="X431" s="1482"/>
      <c r="Y431" s="960"/>
      <c r="Z431" s="1465"/>
      <c r="AA431" s="960"/>
      <c r="AB431" s="267" t="str">
        <f>IF(B429,D430&amp;".7",D430&amp;".5")</f>
        <v>7.7</v>
      </c>
      <c r="AC431" s="743" t="s">
        <v>1428</v>
      </c>
      <c r="AD431" s="267" t="s">
        <v>784</v>
      </c>
      <c r="AE431" s="4759">
        <v>718.7</v>
      </c>
      <c r="AF431" s="4759">
        <f>AF432+AF433</f>
        <v>0</v>
      </c>
      <c r="AG431" s="4759">
        <f>AG432+AG433</f>
        <v>0</v>
      </c>
      <c r="AH431" s="926">
        <f>AG431-AF431</f>
        <v>0</v>
      </c>
      <c r="AI431" s="4765">
        <f>AI432+AI433</f>
        <v>0</v>
      </c>
      <c r="AJ431" s="4765">
        <f>_xlfn.SUMIFS('Корректировка НВВ'!$AF$25:$AF$180,'Корректировка НВВ'!$F$25:$F$180,$F431,'Корректировка НВВ'!$I$25:$I$180,$G431)</f>
        <v>0</v>
      </c>
      <c r="AK431" s="1280">
        <f>AK432+AK433</f>
        <v>0</v>
      </c>
      <c r="AL431" s="1280">
        <f>AL432+AL433</f>
        <v>0</v>
      </c>
      <c r="AM431" s="4765">
        <f>AM432+AM433</f>
        <v>0</v>
      </c>
      <c r="AN431" s="4765">
        <f>AN432+AN433</f>
        <v>0</v>
      </c>
      <c r="AO431" s="4765">
        <f>AO432+AO433</f>
        <v>0</v>
      </c>
      <c r="AP431" s="4765">
        <f>AP432+AP433</f>
        <v>0</v>
      </c>
      <c r="AQ431" s="4765">
        <f>AQ432+AQ433</f>
        <v>0</v>
      </c>
      <c r="AR431" s="4765">
        <f>AR432+AR433</f>
        <v>0</v>
      </c>
      <c r="AS431" s="4765">
        <f>AS432+AS433</f>
        <v>0</v>
      </c>
      <c r="AT431" s="4765">
        <f>_xlfn.SUMIFS('Корректировка НВВ'!$AG$25:$AG$180,'Корректировка НВВ'!$F$25:$F$180,$F431,'Корректировка НВВ'!$I$25:$I$180,$G431)</f>
        <v>0</v>
      </c>
      <c r="AU431" s="1280">
        <f>AU432+AU433</f>
        <v>0</v>
      </c>
      <c r="AV431" s="1280">
        <f>AV432+AV433</f>
        <v>0</v>
      </c>
      <c r="AW431" s="4765">
        <f>AW432+AW433</f>
        <v>0</v>
      </c>
      <c r="AX431" s="4765">
        <f>AX432+AX433</f>
        <v>0</v>
      </c>
      <c r="AY431" s="4765">
        <f>AY432+AY433</f>
        <v>0</v>
      </c>
      <c r="AZ431" s="4765">
        <f>AZ432+AZ433</f>
        <v>0</v>
      </c>
      <c r="BA431" s="4765">
        <f>BA432+BA433</f>
        <v>0</v>
      </c>
      <c r="BB431" s="4765">
        <f>BB432+BB433</f>
        <v>0</v>
      </c>
      <c r="BC431" s="4765">
        <f>BC432+BC433</f>
        <v>0</v>
      </c>
      <c r="BD431" s="926">
        <f>IF(AI431=0,0,(AT431-AI431)/AI431*100)</f>
        <v>0</v>
      </c>
      <c r="BE431" s="926">
        <f>IF(AT431=0,0,(AU431-AT431)/AT431*100)</f>
        <v>0</v>
      </c>
      <c r="BF431" s="926">
        <f>IF(AU431=0,0,(AV431-AU431)/AU431*100)</f>
        <v>0</v>
      </c>
      <c r="BG431" s="926">
        <f>IF(AV431=0,0,(AW431-AV431)/AV431*100)</f>
        <v>0</v>
      </c>
      <c r="BH431" s="926">
        <f>IF(AW431=0,0,(AX431-AW431)/AW431*100)</f>
        <v>0</v>
      </c>
      <c r="BI431" s="926">
        <f>IF(AX431=0,0,(AY431-AX431)/AX431*100)</f>
        <v>0</v>
      </c>
      <c r="BJ431" s="926">
        <f>IF(AY431=0,0,(AZ431-AY431)/AY431*100)</f>
        <v>0</v>
      </c>
      <c r="BK431" s="926">
        <f>IF(AZ431=0,0,(BA431-AZ431)/AZ431*100)</f>
        <v>0</v>
      </c>
      <c r="BL431" s="926">
        <f>IF(BA431=0,0,(BB431-BA431)/BA431*100)</f>
        <v>0</v>
      </c>
      <c r="BM431" s="926">
        <f>IF(BB431=0,0,(BC431-BB431)/BB431*100)</f>
        <v>0</v>
      </c>
      <c r="BN431" s="4830"/>
      <c r="BO431" s="4784" t="str">
        <f>IF(_xlfn.IFERROR(INDEX('Корректировка НВВ'!$K$26:$L$180,MATCH($F431&amp;"6komm",'Корректировка НВВ'!$K$26:$K$180,0),2),"")=0,"",_xlfn.IFERROR(INDEX('Корректировка НВВ'!$K$26:$L$180,MATCH($F431&amp;"6komm",'Корректировка НВВ'!$K$26:$K$180,0),2),""))</f>
        <v/>
      </c>
      <c r="BP431" s="4830"/>
      <c r="BQ431" s="960"/>
      <c r="BR431" s="960"/>
      <c r="BS431" s="1048" t="s">
        <v>1430</v>
      </c>
      <c r="BT431" s="1048"/>
      <c r="BU431" s="1048"/>
      <c r="BV431" s="962"/>
      <c r="BW431" s="962"/>
    </row>
    <row s="1621" customFormat="1" customHeight="1" ht="21.9375">
      <c r="A432" s="960"/>
      <c r="B432" s="961"/>
      <c r="C432" s="960"/>
      <c r="D432" s="73" cm="1" t="str">
        <f t="array" ref="D432:D432">D431</f>
        <v>7</v>
      </c>
      <c r="E432" s="683">
        <v>22.5</v>
      </c>
      <c r="F432" s="50" cm="1" t="str">
        <f t="array" ref="F432:F432">OFFSET(E432,-1,1)</f>
        <v>2</v>
      </c>
      <c r="G432" s="124" t="s">
        <v>2047</v>
      </c>
      <c r="H432" s="960"/>
      <c r="I432" s="124" t="s">
        <v>2048</v>
      </c>
      <c r="J432" s="960"/>
      <c r="K432" s="124" t="s">
        <v>2048</v>
      </c>
      <c r="L432" s="963" t="s">
        <v>1712</v>
      </c>
      <c r="M432" s="73"/>
      <c r="N432" s="960"/>
      <c r="O432" s="960"/>
      <c r="P432" s="960"/>
      <c r="Q432" s="960"/>
      <c r="R432" s="960"/>
      <c r="S432" s="960"/>
      <c r="T432" s="439" cm="1" t="str">
        <f t="array" ref="T432:T432">T431</f>
        <v>true</v>
      </c>
      <c r="U432" s="960"/>
      <c r="V432" s="960"/>
      <c r="W432" s="960"/>
      <c r="X432" s="1482"/>
      <c r="Y432" s="960"/>
      <c r="Z432" s="1465"/>
      <c r="AA432" s="960"/>
      <c r="AB432" s="267" t="str">
        <f>AB431&amp;".1"</f>
        <v>7.7.1</v>
      </c>
      <c r="AC432" s="762" t="s">
        <v>1431</v>
      </c>
      <c r="AD432" s="267" t="s">
        <v>784</v>
      </c>
      <c r="AE432" s="4759">
        <v>718.7</v>
      </c>
      <c r="AF432" s="4759"/>
      <c r="AG432" s="4759"/>
      <c r="AH432" s="926">
        <f>AG432-AF432</f>
        <v>0</v>
      </c>
      <c r="AI432" s="4765"/>
      <c r="AJ432" s="4765">
        <f>_xlfn.SUMIFS('Корректировка НВВ'!$AF$25:$AF$180,'Корректировка НВВ'!$F$25:$F$180,$F432,'Корректировка НВВ'!$I$25:$I$180,$G432)</f>
        <v>0</v>
      </c>
      <c r="AK432" s="1280"/>
      <c r="AL432" s="1280"/>
      <c r="AM432" s="4765"/>
      <c r="AN432" s="4765"/>
      <c r="AO432" s="4765"/>
      <c r="AP432" s="4765"/>
      <c r="AQ432" s="4765"/>
      <c r="AR432" s="4765"/>
      <c r="AS432" s="4765"/>
      <c r="AT432" s="4765">
        <f>_xlfn.SUMIFS('Корректировка НВВ'!$AG$25:$AG$180,'Корректировка НВВ'!$F$25:$F$180,$F432,'Корректировка НВВ'!$I$25:$I$180,$G432)</f>
        <v>0</v>
      </c>
      <c r="AU432" s="1280"/>
      <c r="AV432" s="1280"/>
      <c r="AW432" s="4765"/>
      <c r="AX432" s="4765"/>
      <c r="AY432" s="4765"/>
      <c r="AZ432" s="4765"/>
      <c r="BA432" s="4765"/>
      <c r="BB432" s="4765"/>
      <c r="BC432" s="4765"/>
      <c r="BD432" s="925"/>
      <c r="BE432" s="925"/>
      <c r="BF432" s="925"/>
      <c r="BG432" s="925"/>
      <c r="BH432" s="925"/>
      <c r="BI432" s="925"/>
      <c r="BJ432" s="925"/>
      <c r="BK432" s="925"/>
      <c r="BL432" s="925"/>
      <c r="BM432" s="925"/>
      <c r="BN432" s="4830"/>
      <c r="BO432" s="4784" t="str">
        <f>IF(_xlfn.IFERROR(INDEX('Корректировка НВВ'!$K$26:$L$180,MATCH($F432&amp;"7komm",'Корректировка НВВ'!$K$26:$K$180,0),2),"")=0,"",_xlfn.IFERROR(INDEX('Корректировка НВВ'!$K$26:$L$180,MATCH($F432&amp;"7komm",'Корректировка НВВ'!$K$26:$K$180,0),2),""))</f>
        <v/>
      </c>
      <c r="BP432" s="4830"/>
      <c r="BQ432" s="960"/>
      <c r="BR432" s="960"/>
      <c r="BS432" s="1048" t="s">
        <v>1432</v>
      </c>
      <c r="BT432" s="1048"/>
      <c r="BU432" s="1048"/>
      <c r="BV432" s="962"/>
      <c r="BW432" s="962"/>
    </row>
    <row s="1621" customFormat="1" customHeight="1" ht="21.9375">
      <c r="A433" s="960"/>
      <c r="B433" s="961"/>
      <c r="C433" s="960"/>
      <c r="D433" s="73" cm="1" t="str">
        <f t="array" ref="D433:D433">D432</f>
        <v>7</v>
      </c>
      <c r="E433" s="683">
        <v>22.5</v>
      </c>
      <c r="F433" s="50" cm="1" t="str">
        <f t="array" ref="F433:F433">OFFSET(E433,-1,1)</f>
        <v>2</v>
      </c>
      <c r="G433" s="124" t="s">
        <v>2049</v>
      </c>
      <c r="H433" s="960"/>
      <c r="I433" s="124" t="s">
        <v>2050</v>
      </c>
      <c r="J433" s="960"/>
      <c r="K433" s="124" t="s">
        <v>2050</v>
      </c>
      <c r="L433" s="963" t="s">
        <v>1714</v>
      </c>
      <c r="M433" s="73"/>
      <c r="N433" s="960"/>
      <c r="O433" s="960"/>
      <c r="P433" s="960"/>
      <c r="Q433" s="960"/>
      <c r="R433" s="960"/>
      <c r="S433" s="960"/>
      <c r="T433" s="439" cm="1" t="str">
        <f t="array" ref="T433:T433">T432</f>
        <v>true</v>
      </c>
      <c r="U433" s="960"/>
      <c r="V433" s="960"/>
      <c r="W433" s="960"/>
      <c r="X433" s="1482"/>
      <c r="Y433" s="960"/>
      <c r="Z433" s="1465"/>
      <c r="AA433" s="960"/>
      <c r="AB433" s="267" t="str">
        <f>AB431&amp;".2"</f>
        <v>7.7.2</v>
      </c>
      <c r="AC433" s="762" t="s">
        <v>1433</v>
      </c>
      <c r="AD433" s="267" t="s">
        <v>784</v>
      </c>
      <c r="AE433" s="4759"/>
      <c r="AF433" s="4759"/>
      <c r="AG433" s="4759"/>
      <c r="AH433" s="926">
        <f>AG433-AF433</f>
        <v>0</v>
      </c>
      <c r="AI433" s="4765">
        <v>0</v>
      </c>
      <c r="AJ433" s="4765">
        <f>_xlfn.SUMIFS('Корректировка НВВ'!$AF$25:$AF$180,'Корректировка НВВ'!$F$25:$F$180,$F433,'Корректировка НВВ'!$I$25:$I$180,$G433)</f>
        <v>0</v>
      </c>
      <c r="AK433" s="1280"/>
      <c r="AL433" s="1280"/>
      <c r="AM433" s="4765"/>
      <c r="AN433" s="4765"/>
      <c r="AO433" s="4765"/>
      <c r="AP433" s="4765"/>
      <c r="AQ433" s="4765"/>
      <c r="AR433" s="4765"/>
      <c r="AS433" s="4765"/>
      <c r="AT433" s="4765">
        <f>_xlfn.SUMIFS('Корректировка НВВ'!$AG$25:$AG$180,'Корректировка НВВ'!$F$25:$F$180,$F433,'Корректировка НВВ'!$I$25:$I$180,$G433)</f>
        <v>0</v>
      </c>
      <c r="AU433" s="1280"/>
      <c r="AV433" s="1280"/>
      <c r="AW433" s="4765"/>
      <c r="AX433" s="4765"/>
      <c r="AY433" s="4765"/>
      <c r="AZ433" s="4765"/>
      <c r="BA433" s="4765"/>
      <c r="BB433" s="4765"/>
      <c r="BC433" s="4765"/>
      <c r="BD433" s="925"/>
      <c r="BE433" s="925"/>
      <c r="BF433" s="925"/>
      <c r="BG433" s="925"/>
      <c r="BH433" s="925"/>
      <c r="BI433" s="925"/>
      <c r="BJ433" s="925"/>
      <c r="BK433" s="925"/>
      <c r="BL433" s="925"/>
      <c r="BM433" s="925"/>
      <c r="BN433" s="4830"/>
      <c r="BO433" s="4784" t="str">
        <f>IF(_xlfn.IFERROR(INDEX('Корректировка НВВ'!$K$26:$L$180,MATCH($F433&amp;"8komm",'Корректировка НВВ'!$K$26:$K$180,0),2),"")=0,"",_xlfn.IFERROR(INDEX('Корректировка НВВ'!$K$26:$L$180,MATCH($F433&amp;"8komm",'Корректировка НВВ'!$K$26:$K$180,0),2),""))</f>
        <v/>
      </c>
      <c r="BP433" s="4830"/>
      <c r="BQ433" s="960"/>
      <c r="BR433" s="960"/>
      <c r="BS433" s="1048" t="s">
        <v>1434</v>
      </c>
      <c r="BT433" s="1048"/>
      <c r="BU433" s="1048"/>
      <c r="BV433" s="962"/>
      <c r="BW433" s="962"/>
    </row>
    <row s="1621" customFormat="1" customHeight="1" ht="14.625">
      <c r="A434" s="960"/>
      <c r="B434" s="961"/>
      <c r="C434" s="960"/>
      <c r="D434" s="73" cm="1" t="str">
        <f t="array" ref="D434:D434">D433</f>
        <v>7</v>
      </c>
      <c r="E434" s="683">
        <v>15</v>
      </c>
      <c r="F434" s="50" cm="1" t="str">
        <f t="array" ref="F434:F434">OFFSET(E434,-1,1)</f>
        <v>2</v>
      </c>
      <c r="G434" s="124" t="s">
        <v>312</v>
      </c>
      <c r="H434" s="960"/>
      <c r="I434" s="124" t="s">
        <v>1718</v>
      </c>
      <c r="J434" s="960"/>
      <c r="K434" s="124" t="s">
        <v>1718</v>
      </c>
      <c r="L434" s="963" t="s">
        <v>1717</v>
      </c>
      <c r="M434" s="73"/>
      <c r="N434" s="960"/>
      <c r="O434" s="960"/>
      <c r="P434" s="960"/>
      <c r="Q434" s="960"/>
      <c r="R434" s="960"/>
      <c r="S434" s="960"/>
      <c r="T434" s="439" cm="1" t="str">
        <f t="array" ref="T434:T434">T433</f>
        <v>true</v>
      </c>
      <c r="U434" s="960"/>
      <c r="V434" s="960"/>
      <c r="W434" s="960"/>
      <c r="X434" s="1482"/>
      <c r="Y434" s="960"/>
      <c r="Z434" s="1465"/>
      <c r="AA434" s="960"/>
      <c r="AB434" s="267" t="str">
        <f>IF(B429,D430&amp;".8",D430&amp;".6")</f>
        <v>7.8</v>
      </c>
      <c r="AC434" s="763" t="s">
        <v>1435</v>
      </c>
      <c r="AD434" s="267" t="s">
        <v>784</v>
      </c>
      <c r="AE434" s="4759"/>
      <c r="AF434" s="4759"/>
      <c r="AG434" s="4759"/>
      <c r="AH434" s="926">
        <f>AG434-AF434</f>
        <v>0</v>
      </c>
      <c r="AI434" s="4765">
        <v>0</v>
      </c>
      <c r="AJ434" s="4765">
        <f>_xlfn.SUMIFS('Корректировка НВВ'!$AF$25:$AF$180,'Корректировка НВВ'!$F$25:$F$180,$F434,'Корректировка НВВ'!$I$25:$I$180,$G434)</f>
        <v>0</v>
      </c>
      <c r="AK434" s="1280"/>
      <c r="AL434" s="1280"/>
      <c r="AM434" s="4765"/>
      <c r="AN434" s="4765"/>
      <c r="AO434" s="4765"/>
      <c r="AP434" s="4765"/>
      <c r="AQ434" s="4765"/>
      <c r="AR434" s="4765"/>
      <c r="AS434" s="4765"/>
      <c r="AT434" s="4765">
        <f>_xlfn.SUMIFS('Корректировка НВВ'!$AG$25:$AG$180,'Корректировка НВВ'!$F$25:$F$180,$F434,'Корректировка НВВ'!$I$25:$I$180,$G434)</f>
        <v>0</v>
      </c>
      <c r="AU434" s="1280"/>
      <c r="AV434" s="1280"/>
      <c r="AW434" s="4765"/>
      <c r="AX434" s="4765"/>
      <c r="AY434" s="4765"/>
      <c r="AZ434" s="4765"/>
      <c r="BA434" s="4765"/>
      <c r="BB434" s="4765"/>
      <c r="BC434" s="4765"/>
      <c r="BD434" s="925"/>
      <c r="BE434" s="925"/>
      <c r="BF434" s="925"/>
      <c r="BG434" s="925"/>
      <c r="BH434" s="925"/>
      <c r="BI434" s="925"/>
      <c r="BJ434" s="925"/>
      <c r="BK434" s="925"/>
      <c r="BL434" s="925"/>
      <c r="BM434" s="925"/>
      <c r="BN434" s="4830"/>
      <c r="BO434" s="4784" t="str">
        <f>IF(_xlfn.IFERROR(INDEX('Корректировка НВВ'!$K$26:$L$180,MATCH($F434&amp;"9komm",'Корректировка НВВ'!$K$26:$K$180,0),2),"")=0,"",_xlfn.IFERROR(INDEX('Корректировка НВВ'!$K$26:$L$180,MATCH($F434&amp;"9komm",'Корректировка НВВ'!$K$26:$K$180,0),2),""))</f>
        <v/>
      </c>
      <c r="BP434" s="4830"/>
      <c r="BQ434" s="960"/>
      <c r="BR434" s="960"/>
      <c r="BS434" s="1048" t="s">
        <v>2051</v>
      </c>
      <c r="BT434" s="1048"/>
      <c r="BU434" s="1048"/>
      <c r="BV434" s="962"/>
      <c r="BW434" s="962"/>
    </row>
    <row s="1621" customFormat="1" customHeight="1" ht="14.625">
      <c r="A435" s="960"/>
      <c r="B435" s="961"/>
      <c r="C435" s="960"/>
      <c r="D435" s="73" cm="1" t="str">
        <f t="array" ref="D435:D435">D434</f>
        <v>7</v>
      </c>
      <c r="E435" s="683">
        <v>15</v>
      </c>
      <c r="F435" s="50" cm="1" t="str">
        <f t="array" ref="F435:F435">OFFSET(E435,-1,1)</f>
        <v>2</v>
      </c>
      <c r="G435" s="124" t="s">
        <v>2052</v>
      </c>
      <c r="H435" s="960"/>
      <c r="I435" s="124" t="s">
        <v>1720</v>
      </c>
      <c r="J435" s="960"/>
      <c r="K435" s="124" t="s">
        <v>1720</v>
      </c>
      <c r="L435" s="963" t="s">
        <v>1718</v>
      </c>
      <c r="M435" s="73"/>
      <c r="N435" s="960"/>
      <c r="O435" s="960"/>
      <c r="P435" s="960"/>
      <c r="Q435" s="960"/>
      <c r="R435" s="960"/>
      <c r="S435" s="960"/>
      <c r="T435" s="439" cm="1" t="str">
        <f t="array" ref="T435:T435">T434</f>
        <v>true</v>
      </c>
      <c r="U435" s="960"/>
      <c r="V435" s="960"/>
      <c r="W435" s="960"/>
      <c r="X435" s="1482"/>
      <c r="Y435" s="960"/>
      <c r="Z435" s="1465"/>
      <c r="AA435" s="960"/>
      <c r="AB435" s="267" t="str">
        <f>IF(B429,D430&amp;".9",D430&amp;".7")</f>
        <v>7.9</v>
      </c>
      <c r="AC435" s="763" t="s">
        <v>1437</v>
      </c>
      <c r="AD435" s="267" t="s">
        <v>784</v>
      </c>
      <c r="AE435" s="4759"/>
      <c r="AF435" s="4759"/>
      <c r="AG435" s="4759"/>
      <c r="AH435" s="926">
        <f>AG435-AF435</f>
        <v>0</v>
      </c>
      <c r="AI435" s="4765">
        <v>0</v>
      </c>
      <c r="AJ435" s="4765">
        <f>_xlfn.SUMIFS('Корректировка НВВ'!$AF$25:$AF$180,'Корректировка НВВ'!$F$25:$F$180,$F435,'Корректировка НВВ'!$I$25:$I$180,$G435)</f>
        <v>0</v>
      </c>
      <c r="AK435" s="1280"/>
      <c r="AL435" s="1280"/>
      <c r="AM435" s="4765"/>
      <c r="AN435" s="4765"/>
      <c r="AO435" s="4765"/>
      <c r="AP435" s="4765"/>
      <c r="AQ435" s="4765"/>
      <c r="AR435" s="4765"/>
      <c r="AS435" s="4765"/>
      <c r="AT435" s="4765">
        <f>_xlfn.SUMIFS('Корректировка НВВ'!$AG$25:$AG$180,'Корректировка НВВ'!$F$25:$F$180,$F435,'Корректировка НВВ'!$I$25:$I$180,$G435)</f>
        <v>0</v>
      </c>
      <c r="AU435" s="1280"/>
      <c r="AV435" s="1280"/>
      <c r="AW435" s="4765"/>
      <c r="AX435" s="4765"/>
      <c r="AY435" s="4765"/>
      <c r="AZ435" s="4765"/>
      <c r="BA435" s="4765"/>
      <c r="BB435" s="4765"/>
      <c r="BC435" s="4765"/>
      <c r="BD435" s="925"/>
      <c r="BE435" s="925"/>
      <c r="BF435" s="925"/>
      <c r="BG435" s="925"/>
      <c r="BH435" s="925"/>
      <c r="BI435" s="925"/>
      <c r="BJ435" s="925"/>
      <c r="BK435" s="925"/>
      <c r="BL435" s="925"/>
      <c r="BM435" s="925"/>
      <c r="BN435" s="4830"/>
      <c r="BO435" s="4784" t="str">
        <f>IF(_xlfn.IFERROR(INDEX('Корректировка НВВ'!$K$26:$L$180,MATCH($F435&amp;"10komm",'Корректировка НВВ'!$K$26:$K$180,0),2),"")=0,"",_xlfn.IFERROR(INDEX('Корректировка НВВ'!$K$26:$L$180,MATCH($F435&amp;"10komm",'Корректировка НВВ'!$K$26:$K$180,0),2),""))</f>
        <v/>
      </c>
      <c r="BP435" s="4830"/>
      <c r="BQ435" s="960"/>
      <c r="BR435" s="960"/>
      <c r="BS435" s="1048" t="s">
        <v>1438</v>
      </c>
      <c r="BT435" s="1048"/>
      <c r="BU435" s="1048"/>
      <c r="BV435" s="962"/>
      <c r="BW435" s="962"/>
    </row>
    <row s="4898" customFormat="1" customHeight="1" ht="222.75">
      <c r="A436" s="680"/>
      <c r="B436" s="408"/>
      <c r="C436" s="680"/>
      <c r="D436" s="75">
        <f>D435+1</f>
        <v>8</v>
      </c>
      <c r="E436" s="687">
        <v>21</v>
      </c>
      <c r="F436" s="50" cm="1" t="str">
        <f t="array" ref="F436:F436">OFFSET(E436,-1,1)</f>
        <v>2</v>
      </c>
      <c r="G436" s="680"/>
      <c r="H436" s="680"/>
      <c r="I436" s="128" t="s">
        <v>564</v>
      </c>
      <c r="J436" s="680"/>
      <c r="K436" s="128" t="s">
        <v>564</v>
      </c>
      <c r="L436" s="968"/>
      <c r="M436" s="75"/>
      <c r="N436" s="680"/>
      <c r="O436" s="680"/>
      <c r="P436" s="680"/>
      <c r="Q436" s="680"/>
      <c r="R436" s="680"/>
      <c r="S436" s="680"/>
      <c r="T436" s="439" cm="1" t="str">
        <f t="array" ref="T436:T436">T435</f>
        <v>true</v>
      </c>
      <c r="U436" s="680"/>
      <c r="V436" s="680"/>
      <c r="W436" s="680"/>
      <c r="X436" s="1482"/>
      <c r="Y436" s="680"/>
      <c r="Z436" s="1465"/>
      <c r="AA436" s="680"/>
      <c r="AB436" s="178" cm="1" t="str">
        <f t="array" ref="AB436:AB436">D436</f>
        <v>8</v>
      </c>
      <c r="AC436" s="179" t="s">
        <v>2053</v>
      </c>
      <c r="AD436" s="178" t="s">
        <v>784</v>
      </c>
      <c r="AE436" s="4606">
        <v>-681.87</v>
      </c>
      <c r="AF436" s="4606"/>
      <c r="AG436" s="4606"/>
      <c r="AH436" s="742">
        <f>AG436-AF436</f>
        <v>0</v>
      </c>
      <c r="AI436" s="4595">
        <v>-274.41</v>
      </c>
      <c r="AJ436" s="4595"/>
      <c r="AK436" s="1273"/>
      <c r="AL436" s="1273"/>
      <c r="AM436" s="4595"/>
      <c r="AN436" s="4595"/>
      <c r="AO436" s="4595"/>
      <c r="AP436" s="4595"/>
      <c r="AQ436" s="4595"/>
      <c r="AR436" s="4595"/>
      <c r="AS436" s="4595"/>
      <c r="AT436" s="4595">
        <v>-687.26</v>
      </c>
      <c r="AU436" s="1273"/>
      <c r="AV436" s="1273"/>
      <c r="AW436" s="4595"/>
      <c r="AX436" s="4595"/>
      <c r="AY436" s="4595"/>
      <c r="AZ436" s="4595"/>
      <c r="BA436" s="4595"/>
      <c r="BB436" s="4595"/>
      <c r="BC436" s="4595"/>
      <c r="BD436" s="745"/>
      <c r="BE436" s="745"/>
      <c r="BF436" s="745"/>
      <c r="BG436" s="745"/>
      <c r="BH436" s="745"/>
      <c r="BI436" s="745"/>
      <c r="BJ436" s="745"/>
      <c r="BK436" s="745"/>
      <c r="BL436" s="745"/>
      <c r="BM436" s="745"/>
      <c r="BN436" s="4618"/>
      <c r="BO436" s="4618" t="s">
        <v>2085</v>
      </c>
      <c r="BP436" s="4618" t="s">
        <v>2096</v>
      </c>
      <c r="BQ436" s="680"/>
      <c r="BR436" s="680"/>
      <c r="BS436" s="1054" t="s">
        <v>2054</v>
      </c>
      <c r="BT436" s="1054"/>
      <c r="BU436" s="1054"/>
      <c r="BV436" s="687"/>
      <c r="BW436" s="687"/>
    </row>
    <row s="1621" customFormat="1" customHeight="1" ht="14.25">
      <c r="A437" s="960"/>
      <c r="B437" s="961"/>
      <c r="C437" s="960"/>
      <c r="D437" s="75" cm="1" t="str">
        <f t="array" ref="D437:D437">D436</f>
        <v>8</v>
      </c>
      <c r="E437" s="683">
        <v>15</v>
      </c>
      <c r="F437" s="50" cm="1" t="str">
        <f t="array" ref="F437:F437">OFFSET(E437,-1,1)</f>
        <v>2</v>
      </c>
      <c r="G437" s="960"/>
      <c r="H437" s="960"/>
      <c r="I437" s="124" t="s">
        <v>568</v>
      </c>
      <c r="J437" s="960"/>
      <c r="K437" s="124" t="s">
        <v>568</v>
      </c>
      <c r="L437" s="963"/>
      <c r="M437" s="73"/>
      <c r="N437" s="960"/>
      <c r="O437" s="960"/>
      <c r="P437" s="960"/>
      <c r="Q437" s="960"/>
      <c r="R437" s="960"/>
      <c r="S437" s="960"/>
      <c r="T437" s="439" cm="1" t="str">
        <f t="array" ref="T437:T437">T436</f>
        <v>true</v>
      </c>
      <c r="U437" s="960"/>
      <c r="V437" s="960"/>
      <c r="W437" s="960"/>
      <c r="X437" s="1482"/>
      <c r="Y437" s="960"/>
      <c r="Z437" s="1465"/>
      <c r="AA437" s="960"/>
      <c r="AB437" s="267" t="str">
        <f>D437&amp;".1"</f>
        <v>8.1</v>
      </c>
      <c r="AC437" s="743" t="s">
        <v>2055</v>
      </c>
      <c r="AD437" s="267" t="s">
        <v>437</v>
      </c>
      <c r="AE437" s="226">
        <f>IF(AE438=0,0,AE436/(AE438+AE423)*100)</f>
        <v>-15.5652441769735</v>
      </c>
      <c r="AF437" s="226">
        <f>IF(AF438=0,0,AF436/(AF438+AF423)*100)</f>
        <v>0</v>
      </c>
      <c r="AG437" s="226">
        <f>IF(AG438=0,0,AG436/(AG438+AG423)*100)</f>
        <v>0</v>
      </c>
      <c r="AH437" s="926">
        <f>AG437-AF437</f>
        <v>0</v>
      </c>
      <c r="AI437" s="926">
        <f>IF(AI438=0,0,AI436/(AI438+AI423)*100)</f>
        <v>-5.99579971848456</v>
      </c>
      <c r="AJ437" s="926">
        <f>IF(AJ438=0,0,AJ436/(AJ438+AJ423)*100)</f>
        <v>0</v>
      </c>
      <c r="AK437" s="926">
        <f>IF(AK438=0,0,AK436/(AK438+AK423)*100)</f>
        <v>0</v>
      </c>
      <c r="AL437" s="926">
        <f>IF(AL438=0,0,AL436/(AL438+AL423)*100)</f>
        <v>0</v>
      </c>
      <c r="AM437" s="926">
        <f>IF(AM438=0,0,AM436/(AM438+AM423)*100)</f>
        <v>0</v>
      </c>
      <c r="AN437" s="926">
        <f>IF(AN438=0,0,AN436/(AN438+AN423)*100)</f>
        <v>0</v>
      </c>
      <c r="AO437" s="926">
        <f>IF(AO438=0,0,AO436/(AO438+AO423)*100)</f>
        <v>0</v>
      </c>
      <c r="AP437" s="926">
        <f>IF(AP438=0,0,AP436/(AP438+AP423)*100)</f>
        <v>0</v>
      </c>
      <c r="AQ437" s="926">
        <f>IF(AQ438=0,0,AQ436/(AQ438+AQ423)*100)</f>
        <v>0</v>
      </c>
      <c r="AR437" s="926">
        <f>IF(AR438=0,0,AR436/(AR438+AR423)*100)</f>
        <v>0</v>
      </c>
      <c r="AS437" s="926">
        <f>IF(AS438=0,0,AS436/(AS438+AS423)*100)</f>
        <v>0</v>
      </c>
      <c r="AT437" s="926">
        <f>IF(AT438=0,0,AT436/(AT438+AT423)*100)</f>
        <v>-12.3426102642107</v>
      </c>
      <c r="AU437" s="926">
        <f>IF(AU438=0,0,AU436/(AU438+AU423)*100)</f>
        <v>0</v>
      </c>
      <c r="AV437" s="926">
        <f>IF(AV438=0,0,AV436/(AV438+AV423)*100)</f>
        <v>0</v>
      </c>
      <c r="AW437" s="926">
        <f>IF(AW438=0,0,AW436/(AW438+AW423)*100)</f>
        <v>0</v>
      </c>
      <c r="AX437" s="926">
        <f>IF(AX438=0,0,AX436/(AX438+AX423)*100)</f>
        <v>0</v>
      </c>
      <c r="AY437" s="926">
        <f>IF(AY438=0,0,AY436/(AY438+AY423)*100)</f>
        <v>0</v>
      </c>
      <c r="AZ437" s="926">
        <f>IF(AZ438=0,0,AZ436/(AZ438+AZ423)*100)</f>
        <v>0</v>
      </c>
      <c r="BA437" s="926">
        <f>IF(BA438=0,0,BA436/(BA438+BA423)*100)</f>
        <v>0</v>
      </c>
      <c r="BB437" s="926">
        <f>IF(BB438=0,0,BB436/(BB438+BB423)*100)</f>
        <v>0</v>
      </c>
      <c r="BC437" s="926">
        <f>IF(BC438=0,0,BC436/(BC438+BC423)*100)</f>
        <v>0</v>
      </c>
      <c r="BD437" s="925"/>
      <c r="BE437" s="925"/>
      <c r="BF437" s="925"/>
      <c r="BG437" s="925"/>
      <c r="BH437" s="925"/>
      <c r="BI437" s="925"/>
      <c r="BJ437" s="925"/>
      <c r="BK437" s="925"/>
      <c r="BL437" s="925"/>
      <c r="BM437" s="925"/>
      <c r="BN437" s="4830"/>
      <c r="BO437" s="4830"/>
      <c r="BP437" s="4830"/>
      <c r="BQ437" s="960"/>
      <c r="BR437" s="960"/>
      <c r="BS437" s="1048" t="s">
        <v>2056</v>
      </c>
      <c r="BT437" s="1048"/>
      <c r="BU437" s="1048"/>
      <c r="BV437" s="962"/>
      <c r="BW437" s="962"/>
    </row>
    <row s="4899" customFormat="1" customHeight="1" ht="20.25">
      <c r="A438" s="680"/>
      <c r="B438" s="408"/>
      <c r="C438" s="680"/>
      <c r="D438" s="75">
        <f>D437+1</f>
        <v>9</v>
      </c>
      <c r="E438" s="687">
        <v>21</v>
      </c>
      <c r="F438" s="50" cm="1" t="str">
        <f t="array" ref="F438:F438">OFFSET(E438,-1,1)</f>
        <v>2</v>
      </c>
      <c r="G438" s="680"/>
      <c r="H438" s="124"/>
      <c r="I438" s="124" t="s">
        <v>722</v>
      </c>
      <c r="J438" s="680"/>
      <c r="K438" s="124" t="s">
        <v>722</v>
      </c>
      <c r="L438" s="968" t="s">
        <v>1720</v>
      </c>
      <c r="M438" s="75"/>
      <c r="N438" s="680"/>
      <c r="O438" s="680"/>
      <c r="P438" s="680"/>
      <c r="Q438" s="680"/>
      <c r="R438" s="680"/>
      <c r="S438" s="680"/>
      <c r="T438" s="439" cm="1" t="str">
        <f t="array" ref="T438:T438">T437</f>
        <v>true</v>
      </c>
      <c r="U438" s="680"/>
      <c r="V438" s="680"/>
      <c r="W438" s="680"/>
      <c r="X438" s="1482"/>
      <c r="Y438" s="680"/>
      <c r="Z438" s="1465"/>
      <c r="AA438" s="680"/>
      <c r="AB438" s="178" cm="1" t="str">
        <f t="array" ref="AB438:AB438">D438</f>
        <v>9</v>
      </c>
      <c r="AC438" s="179" t="s">
        <v>1722</v>
      </c>
      <c r="AD438" s="201" t="s">
        <v>784</v>
      </c>
      <c r="AE438" s="180">
        <f>AE316+AE366+AE402+AE403+AE405+AE410+AE411+AE414</f>
        <v>5099.4215116402</v>
      </c>
      <c r="AF438" s="180">
        <f>AF316+AF366+AF402+AF403+AF405+AF410+AF411+AF414</f>
        <v>25972.2492960251</v>
      </c>
      <c r="AG438" s="180">
        <f>AG316+AG366+AG402+AG403+AG405+AG410+AG411+AG414</f>
        <v>321.2051618494</v>
      </c>
      <c r="AH438" s="742">
        <f>AG438-AF438</f>
        <v>-25651.0441341757</v>
      </c>
      <c r="AI438" s="180">
        <f>AI316+AI366+AI402+AI403+AI405+AI410+AI411+AI414</f>
        <v>4576.7039074707</v>
      </c>
      <c r="AJ438" s="180">
        <f>AJ316+AJ366+AJ402+AJ403+AJ405+AJ410+AJ411+AJ414</f>
        <v>9734.221165827</v>
      </c>
      <c r="AK438" s="180">
        <f>AK316+AK366+AK402+AK403+AK405+AK410+AK411+AK414</f>
        <v>4941.0999488636</v>
      </c>
      <c r="AL438" s="180">
        <f>AL316+AL366+AL402+AL403+AL405+AL410+AL411+AL414</f>
        <v>4941.0999488636</v>
      </c>
      <c r="AM438" s="180">
        <f>AM316+AM366+AM402+AM403+AM405+AM410+AM411+AM414</f>
        <v>4941.0999488636</v>
      </c>
      <c r="AN438" s="180">
        <f>AN316+AN366+AN402+AN403+AN405+AN410+AN411+AN414</f>
        <v>4941.0999488636</v>
      </c>
      <c r="AO438" s="180">
        <f>AO316+AO366+AO402+AO403+AO405+AO410+AO411+AO414</f>
        <v>4941.0999488636</v>
      </c>
      <c r="AP438" s="180">
        <f>AP316+AP366+AP402+AP403+AP405+AP410+AP411+AP414</f>
        <v>4941.0999488636</v>
      </c>
      <c r="AQ438" s="180">
        <f>AQ316+AQ366+AQ402+AQ403+AQ405+AQ410+AQ411+AQ414</f>
        <v>4941.0999488636</v>
      </c>
      <c r="AR438" s="180">
        <f>AR316+AR366+AR402+AR403+AR405+AR410+AR411+AR414</f>
        <v>4941.0999488636</v>
      </c>
      <c r="AS438" s="180">
        <f>AS316+AS366+AS402+AS403+AS405+AS410+AS411+AS414</f>
        <v>4941.0999488636</v>
      </c>
      <c r="AT438" s="180">
        <f>AT316+AT366+AT402+AT403+AT405+AT410+AT411+AT414</f>
        <v>5579.6227925631</v>
      </c>
      <c r="AU438" s="180">
        <f>AU316+AU366+AU402+AU403+AU405+AU410+AU411+AU414</f>
        <v>4957.2954159754</v>
      </c>
      <c r="AV438" s="180">
        <f>AV316+AV366+AV402+AV403+AV405+AV410+AV411+AV414</f>
        <v>4957.2954159754</v>
      </c>
      <c r="AW438" s="180">
        <f>AW316+AW366+AW402+AW403+AW405+AW410+AW411+AW414</f>
        <v>4957.2954159754</v>
      </c>
      <c r="AX438" s="180">
        <f>AX316+AX366+AX402+AX403+AX405+AX410+AX411+AX414</f>
        <v>4957.2954159754</v>
      </c>
      <c r="AY438" s="180">
        <f>AY316+AY366+AY402+AY403+AY405+AY410+AY411+AY414</f>
        <v>4957.2954159754</v>
      </c>
      <c r="AZ438" s="180">
        <f>AZ316+AZ366+AZ402+AZ403+AZ405+AZ410+AZ411+AZ414</f>
        <v>4957.2954159754</v>
      </c>
      <c r="BA438" s="180">
        <f>BA316+BA366+BA402+BA403+BA405+BA410+BA411+BA414</f>
        <v>4957.2954159754</v>
      </c>
      <c r="BB438" s="180">
        <f>BB316+BB366+BB402+BB403+BB405+BB410+BB411+BB414</f>
        <v>4957.2954159754</v>
      </c>
      <c r="BC438" s="180">
        <f>BC316+BC366+BC402+BC403+BC405+BC410+BC411+BC414</f>
        <v>4957.2954159754</v>
      </c>
      <c r="BD438" s="742">
        <f>IF(AI438=0,0,(AT438-AI438)/AI438*100)</f>
        <v>21.9135628034687</v>
      </c>
      <c r="BE438" s="742">
        <f>IF(AT438=0,0,(AU438-AT438)/AT438*100)</f>
        <v>-11.1535743494557</v>
      </c>
      <c r="BF438" s="742">
        <f>IF(AU438=0,0,(AV438-AU438)/AU438*100)</f>
        <v>0</v>
      </c>
      <c r="BG438" s="742">
        <f>IF(AV438=0,0,(AW438-AV438)/AV438*100)</f>
        <v>0</v>
      </c>
      <c r="BH438" s="742">
        <f>IF(AW438=0,0,(AX438-AW438)/AW438*100)</f>
        <v>0</v>
      </c>
      <c r="BI438" s="742">
        <f>IF(AX438=0,0,(AY438-AX438)/AX438*100)</f>
        <v>0</v>
      </c>
      <c r="BJ438" s="742">
        <f>IF(AY438=0,0,(AZ438-AY438)/AY438*100)</f>
        <v>0</v>
      </c>
      <c r="BK438" s="742">
        <f>IF(AZ438=0,0,(BA438-AZ438)/AZ438*100)</f>
        <v>0</v>
      </c>
      <c r="BL438" s="742">
        <f>IF(BA438=0,0,(BB438-BA438)/BA438*100)</f>
        <v>0</v>
      </c>
      <c r="BM438" s="742">
        <f>IF(BB438=0,0,(BC438-BB438)/BB438*100)</f>
        <v>0</v>
      </c>
      <c r="BN438" s="4830"/>
      <c r="BO438" s="4830"/>
      <c r="BP438" s="4830"/>
      <c r="BQ438" s="680"/>
      <c r="BR438" s="680"/>
      <c r="BS438" s="1054" t="s">
        <v>1723</v>
      </c>
      <c r="BT438" s="1054"/>
      <c r="BU438" s="1054"/>
      <c r="BV438" s="687"/>
      <c r="BW438" s="687"/>
    </row>
    <row s="4900" customFormat="1" customHeight="1" ht="20.25">
      <c r="A439" s="680"/>
      <c r="B439" s="408"/>
      <c r="C439" s="680"/>
      <c r="D439" s="75">
        <f>D438+1</f>
        <v>10</v>
      </c>
      <c r="E439" s="687">
        <v>21</v>
      </c>
      <c r="F439" s="50" cm="1" t="str">
        <f t="array" ref="F439:F439">OFFSET(E439,-1,1)</f>
        <v>2</v>
      </c>
      <c r="G439" s="680"/>
      <c r="H439" s="124"/>
      <c r="I439" s="124" t="s">
        <v>1732</v>
      </c>
      <c r="J439" s="680"/>
      <c r="K439" s="124" t="s">
        <v>1732</v>
      </c>
      <c r="L439" s="968"/>
      <c r="M439" s="75"/>
      <c r="N439" s="680"/>
      <c r="O439" s="680"/>
      <c r="P439" s="680"/>
      <c r="Q439" s="680"/>
      <c r="R439" s="680"/>
      <c r="S439" s="680"/>
      <c r="T439" s="439" cm="1" t="str">
        <f t="array" ref="T439:T439">T438</f>
        <v>true</v>
      </c>
      <c r="U439" s="680"/>
      <c r="V439" s="680"/>
      <c r="W439" s="680"/>
      <c r="X439" s="1482"/>
      <c r="Y439" s="680"/>
      <c r="Z439" s="1465"/>
      <c r="AA439" s="680"/>
      <c r="AB439" s="178" cm="1" t="str">
        <f t="array" ref="AB439:AB439">D439</f>
        <v>10</v>
      </c>
      <c r="AC439" s="179" t="s">
        <v>2057</v>
      </c>
      <c r="AD439" s="178" t="s">
        <v>784</v>
      </c>
      <c r="AE439" s="180">
        <f>AE438+AE423+AE436</f>
        <v>3698.8515116402</v>
      </c>
      <c r="AF439" s="180">
        <f>AF438+AF423+AF436</f>
        <v>25972.2492960251</v>
      </c>
      <c r="AG439" s="180">
        <f>AG438+AG423+AG436</f>
        <v>321.2051618494</v>
      </c>
      <c r="AH439" s="751">
        <f>AH438+AH423+AH436</f>
        <v>-25651.0441341757</v>
      </c>
      <c r="AI439" s="751">
        <f>AI438+AI423+AI436</f>
        <v>4302.2939074707</v>
      </c>
      <c r="AJ439" s="751">
        <f>AJ438+AJ423+AJ436</f>
        <v>9734.221165827</v>
      </c>
      <c r="AK439" s="751">
        <f>AK438+AK423+AK436</f>
        <v>4941.0999488636</v>
      </c>
      <c r="AL439" s="751">
        <f>AL438+AL423+AL436</f>
        <v>4941.0999488636</v>
      </c>
      <c r="AM439" s="751">
        <f>AM438+AM423+AM436</f>
        <v>4941.0999488636</v>
      </c>
      <c r="AN439" s="751">
        <f>AN438+AN423+AN436</f>
        <v>4941.0999488636</v>
      </c>
      <c r="AO439" s="751">
        <f>AO438+AO423+AO436</f>
        <v>4941.0999488636</v>
      </c>
      <c r="AP439" s="751">
        <f>AP438+AP423+AP436</f>
        <v>4941.0999488636</v>
      </c>
      <c r="AQ439" s="751">
        <f>AQ438+AQ423+AQ436</f>
        <v>4941.0999488636</v>
      </c>
      <c r="AR439" s="751">
        <f>AR438+AR423+AR436</f>
        <v>4941.0999488636</v>
      </c>
      <c r="AS439" s="751">
        <f>AS438+AS423+AS436</f>
        <v>4941.0999488636</v>
      </c>
      <c r="AT439" s="751">
        <f>AT438+AT423+AT436</f>
        <v>4880.9300772061</v>
      </c>
      <c r="AU439" s="751">
        <f>AU438+AU423+AU436</f>
        <v>4957.2954159754</v>
      </c>
      <c r="AV439" s="751">
        <f>AV438+AV423+AV436</f>
        <v>4957.2954159754</v>
      </c>
      <c r="AW439" s="751">
        <f>AW438+AW423+AW436</f>
        <v>4957.2954159754</v>
      </c>
      <c r="AX439" s="751">
        <f>AX438+AX423+AX436</f>
        <v>4957.2954159754</v>
      </c>
      <c r="AY439" s="751">
        <f>AY438+AY423+AY436</f>
        <v>4957.2954159754</v>
      </c>
      <c r="AZ439" s="751">
        <f>AZ438+AZ423+AZ436</f>
        <v>4957.2954159754</v>
      </c>
      <c r="BA439" s="751">
        <f>BA438+BA423+BA436</f>
        <v>4957.2954159754</v>
      </c>
      <c r="BB439" s="751">
        <f>BB438+BB423+BB436</f>
        <v>4957.2954159754</v>
      </c>
      <c r="BC439" s="751">
        <f>BC438+BC423+BC436</f>
        <v>4957.2954159754</v>
      </c>
      <c r="BD439" s="742">
        <f>IF(AI439=0,0,(AT439-AI439)/AI439*100)</f>
        <v>13.449480258209</v>
      </c>
      <c r="BE439" s="742">
        <f>IF(AT439=0,0,(AU439-AT439)/AT439*100)</f>
        <v>1.56456530950783</v>
      </c>
      <c r="BF439" s="742">
        <f>IF(AU439=0,0,(AV439-AU439)/AU439*100)</f>
        <v>0</v>
      </c>
      <c r="BG439" s="742">
        <f>IF(AV439=0,0,(AW439-AV439)/AV439*100)</f>
        <v>0</v>
      </c>
      <c r="BH439" s="742">
        <f>IF(AW439=0,0,(AX439-AW439)/AW439*100)</f>
        <v>0</v>
      </c>
      <c r="BI439" s="742">
        <f>IF(AX439=0,0,(AY439-AX439)/AX439*100)</f>
        <v>0</v>
      </c>
      <c r="BJ439" s="742">
        <f>IF(AY439=0,0,(AZ439-AY439)/AY439*100)</f>
        <v>0</v>
      </c>
      <c r="BK439" s="742">
        <f>IF(AZ439=0,0,(BA439-AZ439)/AZ439*100)</f>
        <v>0</v>
      </c>
      <c r="BL439" s="742">
        <f>IF(BA439=0,0,(BB439-BA439)/BA439*100)</f>
        <v>0</v>
      </c>
      <c r="BM439" s="742">
        <f>IF(BB439=0,0,(BC439-BB439)/BB439*100)</f>
        <v>0</v>
      </c>
      <c r="BN439" s="4830"/>
      <c r="BO439" s="4830"/>
      <c r="BP439" s="4830"/>
      <c r="BQ439" s="680"/>
      <c r="BR439" s="680"/>
      <c r="BS439" s="1054" t="s">
        <v>2058</v>
      </c>
      <c r="BT439" s="1054"/>
      <c r="BU439" s="1054"/>
      <c r="BV439" s="687"/>
      <c r="BW439" s="687"/>
    </row>
    <row s="1621" customFormat="1" customHeight="1" ht="14.25" hidden="1">
      <c r="A440" s="960"/>
      <c r="B440" s="418">
        <f>A315="двухставочный"</f>
        <v>0</v>
      </c>
      <c r="C440" s="960"/>
      <c r="D440" s="73" cm="1" t="str">
        <f t="array" ref="D440:D440">D439</f>
        <v>10</v>
      </c>
      <c r="E440" s="683">
        <v>15</v>
      </c>
      <c r="F440" s="50" cm="1" t="str">
        <f t="array" ref="F440:F440">OFFSET(E440,-1,1)</f>
        <v>2</v>
      </c>
      <c r="G440" s="960"/>
      <c r="H440" s="49"/>
      <c r="I440" s="346" t="s">
        <v>1736</v>
      </c>
      <c r="J440" s="960"/>
      <c r="K440" s="346" t="s">
        <v>1736</v>
      </c>
      <c r="L440" s="963" t="s">
        <v>1724</v>
      </c>
      <c r="M440" s="73"/>
      <c r="N440" s="960"/>
      <c r="O440" s="960"/>
      <c r="P440" s="960"/>
      <c r="Q440" s="960"/>
      <c r="R440" s="960"/>
      <c r="S440" s="960"/>
      <c r="T440" s="439" cm="1" t="str">
        <f t="array" ref="T440:T440">T439</f>
        <v>true</v>
      </c>
      <c r="U440" s="960"/>
      <c r="V440" s="960"/>
      <c r="W440" s="960"/>
      <c r="X440" s="1482"/>
      <c r="Y440" s="960"/>
      <c r="Z440" s="1465"/>
      <c r="AA440" s="960"/>
      <c r="AB440" s="267" t="str">
        <f>D440&amp;".1"</f>
        <v>10.1</v>
      </c>
      <c r="AC440" s="763" t="s">
        <v>1726</v>
      </c>
      <c r="AD440" s="267" t="s">
        <v>784</v>
      </c>
      <c r="AE440" s="1282"/>
      <c r="AF440" s="1282"/>
      <c r="AG440" s="1282"/>
      <c r="AH440" s="926">
        <f>AG440-AF440</f>
        <v>0</v>
      </c>
      <c r="AI440" s="1280"/>
      <c r="AJ440" s="4765"/>
      <c r="AK440" s="1280"/>
      <c r="AL440" s="1280"/>
      <c r="AM440" s="1280"/>
      <c r="AN440" s="1280"/>
      <c r="AO440" s="1280"/>
      <c r="AP440" s="1280"/>
      <c r="AQ440" s="1280"/>
      <c r="AR440" s="1280"/>
      <c r="AS440" s="1280"/>
      <c r="AT440" s="4765"/>
      <c r="AU440" s="1280"/>
      <c r="AV440" s="1280"/>
      <c r="AW440" s="1280"/>
      <c r="AX440" s="1280"/>
      <c r="AY440" s="1280"/>
      <c r="AZ440" s="1280"/>
      <c r="BA440" s="1280"/>
      <c r="BB440" s="1280"/>
      <c r="BC440" s="1280"/>
      <c r="BD440" s="925"/>
      <c r="BE440" s="925"/>
      <c r="BF440" s="925"/>
      <c r="BG440" s="925"/>
      <c r="BH440" s="925"/>
      <c r="BI440" s="925"/>
      <c r="BJ440" s="925"/>
      <c r="BK440" s="925"/>
      <c r="BL440" s="925"/>
      <c r="BM440" s="925"/>
      <c r="BN440" s="1283"/>
      <c r="BO440" s="1283"/>
      <c r="BP440" s="1283"/>
      <c r="BQ440" s="960"/>
      <c r="BR440" s="960"/>
      <c r="BS440" s="1046" t="s">
        <v>1727</v>
      </c>
      <c r="BT440" s="1048"/>
      <c r="BU440" s="1048"/>
      <c r="BV440" s="962"/>
      <c r="BW440" s="962"/>
    </row>
    <row s="1621" customFormat="1" customHeight="1" ht="14.25" hidden="1">
      <c r="A441" s="960"/>
      <c r="B441" s="418">
        <f>A315="двухставочный"</f>
        <v>0</v>
      </c>
      <c r="C441" s="960"/>
      <c r="D441" s="73" cm="1" t="str">
        <f t="array" ref="D441:D441">D440</f>
        <v>10</v>
      </c>
      <c r="E441" s="683">
        <v>15</v>
      </c>
      <c r="F441" s="50" cm="1" t="str">
        <f t="array" ref="F441:F441">OFFSET(E441,-1,1)</f>
        <v>2</v>
      </c>
      <c r="G441" s="960"/>
      <c r="H441" s="49"/>
      <c r="I441" s="346" t="s">
        <v>1740</v>
      </c>
      <c r="J441" s="960"/>
      <c r="K441" s="346" t="s">
        <v>1740</v>
      </c>
      <c r="L441" s="963" t="s">
        <v>1728</v>
      </c>
      <c r="M441" s="73"/>
      <c r="N441" s="960"/>
      <c r="O441" s="960"/>
      <c r="P441" s="960"/>
      <c r="Q441" s="960"/>
      <c r="R441" s="960"/>
      <c r="S441" s="960"/>
      <c r="T441" s="439" cm="1" t="str">
        <f t="array" ref="T441:T441">T440</f>
        <v>true</v>
      </c>
      <c r="U441" s="960"/>
      <c r="V441" s="960"/>
      <c r="W441" s="960"/>
      <c r="X441" s="1482"/>
      <c r="Y441" s="960"/>
      <c r="Z441" s="1465"/>
      <c r="AA441" s="960"/>
      <c r="AB441" s="267" t="str">
        <f>D441&amp;".2"</f>
        <v>10.2</v>
      </c>
      <c r="AC441" s="763" t="s">
        <v>1730</v>
      </c>
      <c r="AD441" s="267" t="s">
        <v>784</v>
      </c>
      <c r="AE441" s="1282"/>
      <c r="AF441" s="1282"/>
      <c r="AG441" s="1282"/>
      <c r="AH441" s="926">
        <f>AG441-AF441</f>
        <v>0</v>
      </c>
      <c r="AI441" s="1280"/>
      <c r="AJ441" s="4765"/>
      <c r="AK441" s="1280"/>
      <c r="AL441" s="1280"/>
      <c r="AM441" s="1280"/>
      <c r="AN441" s="1280"/>
      <c r="AO441" s="1280"/>
      <c r="AP441" s="1280"/>
      <c r="AQ441" s="1280"/>
      <c r="AR441" s="1280"/>
      <c r="AS441" s="1280"/>
      <c r="AT441" s="4765"/>
      <c r="AU441" s="1280"/>
      <c r="AV441" s="1280"/>
      <c r="AW441" s="1280"/>
      <c r="AX441" s="1280"/>
      <c r="AY441" s="1280"/>
      <c r="AZ441" s="1280"/>
      <c r="BA441" s="1280"/>
      <c r="BB441" s="1280"/>
      <c r="BC441" s="1280"/>
      <c r="BD441" s="925"/>
      <c r="BE441" s="925"/>
      <c r="BF441" s="925"/>
      <c r="BG441" s="925"/>
      <c r="BH441" s="925"/>
      <c r="BI441" s="925"/>
      <c r="BJ441" s="925"/>
      <c r="BK441" s="925"/>
      <c r="BL441" s="925"/>
      <c r="BM441" s="925"/>
      <c r="BN441" s="1283"/>
      <c r="BO441" s="1283"/>
      <c r="BP441" s="1283"/>
      <c r="BQ441" s="960"/>
      <c r="BR441" s="960"/>
      <c r="BS441" s="1046" t="s">
        <v>1731</v>
      </c>
      <c r="BT441" s="1048"/>
      <c r="BU441" s="1048"/>
      <c r="BV441" s="962"/>
      <c r="BW441" s="962"/>
    </row>
    <row s="4901" customFormat="1" customHeight="1" ht="20.25">
      <c r="A442" s="680"/>
      <c r="B442" s="408"/>
      <c r="C442" s="680"/>
      <c r="D442" s="75">
        <f>D441+1</f>
        <v>11</v>
      </c>
      <c r="E442" s="687">
        <v>21</v>
      </c>
      <c r="F442" s="50" cm="1" t="str">
        <f t="array" ref="F442:F442">OFFSET(E442,-1,1)</f>
        <v>2</v>
      </c>
      <c r="G442" s="124" t="s">
        <v>1503</v>
      </c>
      <c r="H442" s="124"/>
      <c r="I442" s="124" t="s">
        <v>1760</v>
      </c>
      <c r="J442" s="680"/>
      <c r="K442" s="124" t="s">
        <v>1760</v>
      </c>
      <c r="L442" s="968" t="s">
        <v>1732</v>
      </c>
      <c r="M442" s="75"/>
      <c r="N442" s="680"/>
      <c r="O442" s="680"/>
      <c r="P442" s="680"/>
      <c r="Q442" s="680"/>
      <c r="R442" s="680"/>
      <c r="S442" s="680"/>
      <c r="T442" s="439" cm="1" t="str">
        <f t="array" ref="T442:T442">T441</f>
        <v>true</v>
      </c>
      <c r="U442" s="680"/>
      <c r="V442" s="680"/>
      <c r="W442" s="680"/>
      <c r="X442" s="1482"/>
      <c r="Y442" s="680"/>
      <c r="Z442" s="1465"/>
      <c r="AA442" s="680"/>
      <c r="AB442" s="178" cm="1" t="str">
        <f t="array" ref="AB442:AB442">D442</f>
        <v>11</v>
      </c>
      <c r="AC442" s="179" t="s">
        <v>1734</v>
      </c>
      <c r="AD442" s="178" t="s">
        <v>512</v>
      </c>
      <c r="AE442" s="766">
        <f>_xlfn.SUMIFS(Баланс!AE$26:AE$300,Баланс!$F$26:$F$300,$F442,Баланс!$G$26:$G$300,"ПО")</f>
        <v>146.7799942943</v>
      </c>
      <c r="AF442" s="766">
        <f>_xlfn.SUMIFS(Баланс!AF$26:AF$300,Баланс!$F$26:$F$300,$F442,Баланс!$G$26:$G$300,"ПО")</f>
        <v>82.65</v>
      </c>
      <c r="AG442" s="766">
        <f>_xlfn.SUMIFS(Баланс!AG$26:AG$300,Баланс!$F$26:$F$300,$F442,Баланс!$G$26:$G$300,"ПО")</f>
        <v>146.7799942943</v>
      </c>
      <c r="AH442" s="767">
        <f>AG442-AF442</f>
        <v>64.1299942943</v>
      </c>
      <c r="AI442" s="767">
        <f>_xlfn.SUMIFS(Баланс!AH$26:AH$300,Баланс!$F$26:$F$300,$F442,Баланс!$G$26:$G$300,"ПО")</f>
        <v>139.12</v>
      </c>
      <c r="AJ442" s="767">
        <f>_xlfn.SUMIFS(Баланс!AI$26:AI$300,Баланс!$F$26:$F$300,$F442,Баланс!$G$26:$G$300,"ПО")</f>
        <v>136.4819</v>
      </c>
      <c r="AK442" s="767">
        <f>_xlfn.SUMIFS(Баланс!AJ$26:AJ$300,Баланс!$F$26:$F$300,$F442,Баланс!$G$26:$G$300,"ПО")</f>
        <v>0</v>
      </c>
      <c r="AL442" s="767">
        <f>_xlfn.SUMIFS(Баланс!AK$26:AK$300,Баланс!$F$26:$F$300,$F442,Баланс!$G$26:$G$300,"ПО")</f>
        <v>0</v>
      </c>
      <c r="AM442" s="767">
        <f>_xlfn.SUMIFS(Баланс!AL$26:AL$300,Баланс!$F$26:$F$300,$F442,Баланс!$G$26:$G$300,"ПО")</f>
        <v>0</v>
      </c>
      <c r="AN442" s="767">
        <f>_xlfn.SUMIFS(Баланс!AM$26:AM$300,Баланс!$F$26:$F$300,$F442,Баланс!$G$26:$G$300,"ПО")</f>
        <v>0</v>
      </c>
      <c r="AO442" s="767">
        <f>_xlfn.SUMIFS(Баланс!AN$26:AN$300,Баланс!$F$26:$F$300,$F442,Баланс!$G$26:$G$300,"ПО")</f>
        <v>0</v>
      </c>
      <c r="AP442" s="767">
        <f>_xlfn.SUMIFS(Баланс!AO$26:AO$300,Баланс!$F$26:$F$300,$F442,Баланс!$G$26:$G$300,"ПО")</f>
        <v>0</v>
      </c>
      <c r="AQ442" s="767">
        <f>_xlfn.SUMIFS(Баланс!AP$26:AP$300,Баланс!$F$26:$F$300,$F442,Баланс!$G$26:$G$300,"ПО")</f>
        <v>0</v>
      </c>
      <c r="AR442" s="767">
        <f>_xlfn.SUMIFS(Баланс!AQ$26:AQ$300,Баланс!$F$26:$F$300,$F442,Баланс!$G$26:$G$300,"ПО")</f>
        <v>0</v>
      </c>
      <c r="AS442" s="767">
        <f>_xlfn.SUMIFS(Баланс!AR$26:AR$300,Баланс!$F$26:$F$300,$F442,Баланс!$G$26:$G$300,"ПО")</f>
        <v>0</v>
      </c>
      <c r="AT442" s="767">
        <f>_xlfn.SUMIFS(Баланс!AS$26:AS$300,Баланс!$F$26:$F$300,$F442,Баланс!$G$26:$G$300,"ПО")</f>
        <v>136.4819</v>
      </c>
      <c r="AU442" s="767">
        <f>_xlfn.SUMIFS(Баланс!AT$26:AT$300,Баланс!$F$26:$F$300,$F442,Баланс!$G$26:$G$300,"ПО")</f>
        <v>0</v>
      </c>
      <c r="AV442" s="767">
        <f>_xlfn.SUMIFS(Баланс!AU$26:AU$300,Баланс!$F$26:$F$300,$F442,Баланс!$G$26:$G$300,"ПО")</f>
        <v>0</v>
      </c>
      <c r="AW442" s="767">
        <f>_xlfn.SUMIFS(Баланс!AV$26:AV$300,Баланс!$F$26:$F$300,$F442,Баланс!$G$26:$G$300,"ПО")</f>
        <v>0</v>
      </c>
      <c r="AX442" s="767">
        <f>_xlfn.SUMIFS(Баланс!AW$26:AW$300,Баланс!$F$26:$F$300,$F442,Баланс!$G$26:$G$300,"ПО")</f>
        <v>0</v>
      </c>
      <c r="AY442" s="767">
        <f>_xlfn.SUMIFS(Баланс!AX$26:AX$300,Баланс!$F$26:$F$300,$F442,Баланс!$G$26:$G$300,"ПО")</f>
        <v>0</v>
      </c>
      <c r="AZ442" s="767">
        <f>_xlfn.SUMIFS(Баланс!AY$26:AY$300,Баланс!$F$26:$F$300,$F442,Баланс!$G$26:$G$300,"ПО")</f>
        <v>0</v>
      </c>
      <c r="BA442" s="767">
        <f>_xlfn.SUMIFS(Баланс!AZ$26:AZ$300,Баланс!$F$26:$F$300,$F442,Баланс!$G$26:$G$300,"ПО")</f>
        <v>0</v>
      </c>
      <c r="BB442" s="767">
        <f>_xlfn.SUMIFS(Баланс!BA$26:BA$300,Баланс!$F$26:$F$300,$F442,Баланс!$G$26:$G$300,"ПО")</f>
        <v>0</v>
      </c>
      <c r="BC442" s="767">
        <f>_xlfn.SUMIFS(Баланс!BB$26:BB$300,Баланс!$F$26:$F$300,$F442,Баланс!$G$26:$G$300,"ПО")</f>
        <v>0</v>
      </c>
      <c r="BD442" s="745"/>
      <c r="BE442" s="745"/>
      <c r="BF442" s="745"/>
      <c r="BG442" s="745"/>
      <c r="BH442" s="745"/>
      <c r="BI442" s="745"/>
      <c r="BJ442" s="745"/>
      <c r="BK442" s="745"/>
      <c r="BL442" s="745"/>
      <c r="BM442" s="745"/>
      <c r="BN442" s="4830"/>
      <c r="BO442" s="4830"/>
      <c r="BP442" s="4830"/>
      <c r="BQ442" s="680"/>
      <c r="BR442" s="680"/>
      <c r="BS442" s="1047" t="s">
        <v>1735</v>
      </c>
      <c r="BT442" s="1054"/>
      <c r="BU442" s="1054"/>
      <c r="BV442" s="687"/>
      <c r="BW442" s="687"/>
    </row>
    <row s="1621" customFormat="1" customHeight="1" ht="14.625">
      <c r="A443" s="960"/>
      <c r="B443" s="961"/>
      <c r="C443" s="960"/>
      <c r="D443" s="73" cm="1" t="str">
        <f t="array" ref="D443:D443">D442</f>
        <v>11</v>
      </c>
      <c r="E443" s="683">
        <v>15</v>
      </c>
      <c r="F443" s="50" cm="1" t="str">
        <f t="array" ref="F443:F443">OFFSET(E443,-1,1)</f>
        <v>2</v>
      </c>
      <c r="G443" s="124" t="s">
        <v>1530</v>
      </c>
      <c r="H443" s="960"/>
      <c r="I443" s="124" t="s">
        <v>2059</v>
      </c>
      <c r="J443" s="960"/>
      <c r="K443" s="124" t="s">
        <v>2059</v>
      </c>
      <c r="L443" s="963" t="s">
        <v>1736</v>
      </c>
      <c r="M443" s="73"/>
      <c r="N443" s="960"/>
      <c r="O443" s="960"/>
      <c r="P443" s="960"/>
      <c r="Q443" s="960"/>
      <c r="R443" s="960"/>
      <c r="S443" s="960"/>
      <c r="T443" s="439" cm="1" t="str">
        <f t="array" ref="T443:T443">T442</f>
        <v>true</v>
      </c>
      <c r="U443" s="960"/>
      <c r="V443" s="960"/>
      <c r="W443" s="960"/>
      <c r="X443" s="1482"/>
      <c r="Y443" s="960"/>
      <c r="Z443" s="1465"/>
      <c r="AA443" s="960"/>
      <c r="AB443" s="267" t="str">
        <f>D443&amp;".1"</f>
        <v>11.1</v>
      </c>
      <c r="AC443" s="1096" t="s">
        <v>1738</v>
      </c>
      <c r="AD443" s="267" t="s">
        <v>512</v>
      </c>
      <c r="AE443" s="4776">
        <v>73.3899971472</v>
      </c>
      <c r="AF443" s="4776">
        <v>41.325</v>
      </c>
      <c r="AG443" s="4776">
        <v>73.3899971472</v>
      </c>
      <c r="AH443" s="924">
        <f>AG443-AF443</f>
        <v>32.0649971472</v>
      </c>
      <c r="AI443" s="4611">
        <v>69.56</v>
      </c>
      <c r="AJ443" s="4776">
        <v>68.24095</v>
      </c>
      <c r="AK443" s="1287">
        <f>IF(god=2025,AK442/12*9,AK442/2)</f>
        <v>0</v>
      </c>
      <c r="AL443" s="1288">
        <f>AL442/2</f>
        <v>0</v>
      </c>
      <c r="AM443" s="4611">
        <f>AM442/2</f>
        <v>0</v>
      </c>
      <c r="AN443" s="4611">
        <f>AN442/2</f>
        <v>0</v>
      </c>
      <c r="AO443" s="4611">
        <f>AO442/2</f>
        <v>0</v>
      </c>
      <c r="AP443" s="4611">
        <f>AP442/2</f>
        <v>0</v>
      </c>
      <c r="AQ443" s="4611">
        <f>AQ442/2</f>
        <v>0</v>
      </c>
      <c r="AR443" s="4611">
        <f>AR442/2</f>
        <v>0</v>
      </c>
      <c r="AS443" s="4611">
        <f>AS442/2</f>
        <v>0</v>
      </c>
      <c r="AT443" s="4611">
        <v>102.361</v>
      </c>
      <c r="AU443" s="1288">
        <f>AU442/2</f>
        <v>0</v>
      </c>
      <c r="AV443" s="1288">
        <f>AV442/2</f>
        <v>0</v>
      </c>
      <c r="AW443" s="4611">
        <f>AW442/2</f>
        <v>0</v>
      </c>
      <c r="AX443" s="4611">
        <f>AX442/2</f>
        <v>0</v>
      </c>
      <c r="AY443" s="4611">
        <f>AY442/2</f>
        <v>0</v>
      </c>
      <c r="AZ443" s="4611">
        <f>AZ442/2</f>
        <v>0</v>
      </c>
      <c r="BA443" s="4611">
        <f>BA442/2</f>
        <v>0</v>
      </c>
      <c r="BB443" s="4611">
        <f>BB442/2</f>
        <v>0</v>
      </c>
      <c r="BC443" s="4611">
        <f>BC442/2</f>
        <v>0</v>
      </c>
      <c r="BD443" s="925"/>
      <c r="BE443" s="925"/>
      <c r="BF443" s="925"/>
      <c r="BG443" s="925"/>
      <c r="BH443" s="925"/>
      <c r="BI443" s="925"/>
      <c r="BJ443" s="925"/>
      <c r="BK443" s="925"/>
      <c r="BL443" s="925"/>
      <c r="BM443" s="925"/>
      <c r="BN443" s="4830"/>
      <c r="BO443" s="4830"/>
      <c r="BP443" s="4830"/>
      <c r="BQ443" s="960"/>
      <c r="BR443" s="960"/>
      <c r="BS443" s="1046" t="s">
        <v>1739</v>
      </c>
      <c r="BT443" s="1048"/>
      <c r="BU443" s="1048"/>
      <c r="BV443" s="962"/>
      <c r="BW443" s="962"/>
    </row>
    <row s="1621" customFormat="1" customHeight="1" ht="117.75">
      <c r="A444" s="960"/>
      <c r="B444" s="961"/>
      <c r="C444" s="960"/>
      <c r="D444" s="73" cm="1" t="str">
        <f t="array" ref="D444:D444">D443</f>
        <v>11</v>
      </c>
      <c r="E444" s="683">
        <v>15</v>
      </c>
      <c r="F444" s="50" cm="1" t="str">
        <f t="array" ref="F444:F444">OFFSET(E444,-1,1)</f>
        <v>2</v>
      </c>
      <c r="G444" s="124" t="s">
        <v>1491</v>
      </c>
      <c r="H444" s="960"/>
      <c r="I444" s="124" t="s">
        <v>2060</v>
      </c>
      <c r="J444" s="960"/>
      <c r="K444" s="124" t="s">
        <v>2060</v>
      </c>
      <c r="L444" s="963" t="s">
        <v>1740</v>
      </c>
      <c r="M444" s="73"/>
      <c r="N444" s="960"/>
      <c r="O444" s="960"/>
      <c r="P444" s="960"/>
      <c r="Q444" s="960"/>
      <c r="R444" s="960"/>
      <c r="S444" s="960"/>
      <c r="T444" s="439" cm="1" t="str">
        <f t="array" ref="T444:T444">T443</f>
        <v>true</v>
      </c>
      <c r="U444" s="960"/>
      <c r="V444" s="960"/>
      <c r="W444" s="960"/>
      <c r="X444" s="1482"/>
      <c r="Y444" s="960"/>
      <c r="Z444" s="1465"/>
      <c r="AA444" s="960"/>
      <c r="AB444" s="267" t="str">
        <f>D444&amp;".2"</f>
        <v>11.2</v>
      </c>
      <c r="AC444" s="1096" t="s">
        <v>1742</v>
      </c>
      <c r="AD444" s="267" t="s">
        <v>1494</v>
      </c>
      <c r="AE444" s="4759">
        <v>23.44</v>
      </c>
      <c r="AF444" s="4759">
        <v>314.24</v>
      </c>
      <c r="AG444" s="4759"/>
      <c r="AH444" s="926">
        <f>AG444-AF444</f>
        <v>-314.24</v>
      </c>
      <c r="AI444" s="4614">
        <v>26.96</v>
      </c>
      <c r="AJ444" s="4614">
        <v>71.32</v>
      </c>
      <c r="AK444" s="1289"/>
      <c r="AL444" s="1289"/>
      <c r="AM444" s="4614"/>
      <c r="AN444" s="4614"/>
      <c r="AO444" s="4614"/>
      <c r="AP444" s="4614"/>
      <c r="AQ444" s="4614"/>
      <c r="AR444" s="4614"/>
      <c r="AS444" s="4614"/>
      <c r="AT444" s="4614">
        <v>34.89</v>
      </c>
      <c r="AU444" s="1289" cm="1" t="str">
        <f t="array" ref="AU444:AU444">AT446</f>
        <v>38.3799365587</v>
      </c>
      <c r="AV444" s="1289" cm="1" t="str">
        <f t="array" ref="AV444:AV444">AU446</f>
        <v>0</v>
      </c>
      <c r="AW444" s="4614" cm="1" t="str">
        <f t="array" ref="AW444:AW444">AV446</f>
        <v>0</v>
      </c>
      <c r="AX444" s="4614" cm="1" t="str">
        <f t="array" ref="AX444:AX444">AW446</f>
        <v>0</v>
      </c>
      <c r="AY444" s="4614" cm="1" t="str">
        <f t="array" ref="AY444:AY444">AX446</f>
        <v>0</v>
      </c>
      <c r="AZ444" s="4614" cm="1" t="str">
        <f t="array" ref="AZ444:AZ444">AY446</f>
        <v>0</v>
      </c>
      <c r="BA444" s="4614" cm="1" t="str">
        <f t="array" ref="BA444:BA444">AZ446</f>
        <v>0</v>
      </c>
      <c r="BB444" s="4614" cm="1" t="str">
        <f t="array" ref="BB444:BB444">BA446</f>
        <v>0</v>
      </c>
      <c r="BC444" s="4614" cm="1" t="str">
        <f t="array" ref="BC444:BC444">BB446</f>
        <v>0</v>
      </c>
      <c r="BD444" s="925"/>
      <c r="BE444" s="925"/>
      <c r="BF444" s="925"/>
      <c r="BG444" s="925"/>
      <c r="BH444" s="925"/>
      <c r="BI444" s="925"/>
      <c r="BJ444" s="925"/>
      <c r="BK444" s="925"/>
      <c r="BL444" s="925"/>
      <c r="BM444" s="925"/>
      <c r="BN444" s="4830"/>
      <c r="BO444" s="4830" t="s">
        <v>2091</v>
      </c>
      <c r="BP444" s="4830"/>
      <c r="BQ444" s="960"/>
      <c r="BR444" s="960"/>
      <c r="BS444" s="1046" t="s">
        <v>1743</v>
      </c>
      <c r="BT444" s="1048"/>
      <c r="BU444" s="1048"/>
      <c r="BV444" s="962"/>
      <c r="BW444" s="962"/>
    </row>
    <row s="1621" customFormat="1" customHeight="1" ht="14.25">
      <c r="A445" s="960"/>
      <c r="B445" s="961"/>
      <c r="C445" s="960"/>
      <c r="D445" s="73" cm="1" t="str">
        <f t="array" ref="D445:D445">D444</f>
        <v>11</v>
      </c>
      <c r="E445" s="683">
        <v>15</v>
      </c>
      <c r="F445" s="50" cm="1" t="str">
        <f t="array" ref="F445:F445">OFFSET(E445,-1,1)</f>
        <v>2</v>
      </c>
      <c r="G445" s="124" t="s">
        <v>1543</v>
      </c>
      <c r="H445" s="960"/>
      <c r="I445" s="124" t="s">
        <v>2061</v>
      </c>
      <c r="J445" s="960"/>
      <c r="K445" s="124" t="s">
        <v>2061</v>
      </c>
      <c r="L445" s="963" t="s">
        <v>1744</v>
      </c>
      <c r="M445" s="73"/>
      <c r="N445" s="960"/>
      <c r="O445" s="960"/>
      <c r="P445" s="960"/>
      <c r="Q445" s="960"/>
      <c r="R445" s="960"/>
      <c r="S445" s="960"/>
      <c r="T445" s="439" cm="1" t="str">
        <f t="array" ref="T445:T445">T444</f>
        <v>true</v>
      </c>
      <c r="U445" s="960"/>
      <c r="V445" s="960"/>
      <c r="W445" s="960"/>
      <c r="X445" s="1482"/>
      <c r="Y445" s="960"/>
      <c r="Z445" s="1465"/>
      <c r="AA445" s="960"/>
      <c r="AB445" s="267" t="str">
        <f>D445&amp;".3"</f>
        <v>11.3</v>
      </c>
      <c r="AC445" s="1096" t="s">
        <v>2062</v>
      </c>
      <c r="AD445" s="267" t="s">
        <v>512</v>
      </c>
      <c r="AE445" s="929">
        <f>AE442-AE443</f>
        <v>73.3899971471</v>
      </c>
      <c r="AF445" s="929">
        <f>AF442-AF443</f>
        <v>41.325</v>
      </c>
      <c r="AG445" s="929">
        <f>AG442-AG443</f>
        <v>73.3899971471</v>
      </c>
      <c r="AH445" s="924">
        <f>AG445-AF445</f>
        <v>32.0649971471</v>
      </c>
      <c r="AI445" s="806">
        <f>AI442-AI443</f>
        <v>69.56</v>
      </c>
      <c r="AJ445" s="806">
        <f>AJ442-AJ443</f>
        <v>68.24095</v>
      </c>
      <c r="AK445" s="806">
        <f>AK442-AK443</f>
        <v>0</v>
      </c>
      <c r="AL445" s="806">
        <f>AL442-AL443</f>
        <v>0</v>
      </c>
      <c r="AM445" s="806">
        <f>AM442-AM443</f>
        <v>0</v>
      </c>
      <c r="AN445" s="806">
        <f>AN442-AN443</f>
        <v>0</v>
      </c>
      <c r="AO445" s="806">
        <f>AO442-AO443</f>
        <v>0</v>
      </c>
      <c r="AP445" s="806">
        <f>AP442-AP443</f>
        <v>0</v>
      </c>
      <c r="AQ445" s="806">
        <f>AQ442-AQ443</f>
        <v>0</v>
      </c>
      <c r="AR445" s="806">
        <f>AR442-AR443</f>
        <v>0</v>
      </c>
      <c r="AS445" s="806">
        <f>AS442-AS443</f>
        <v>0</v>
      </c>
      <c r="AT445" s="806">
        <f>AT442-AT443</f>
        <v>34.1209</v>
      </c>
      <c r="AU445" s="806">
        <f>AU442-AU443</f>
        <v>0</v>
      </c>
      <c r="AV445" s="806">
        <f>AV442-AV443</f>
        <v>0</v>
      </c>
      <c r="AW445" s="806">
        <f>AW442-AW443</f>
        <v>0</v>
      </c>
      <c r="AX445" s="806">
        <f>AX442-AX443</f>
        <v>0</v>
      </c>
      <c r="AY445" s="806">
        <f>AY442-AY443</f>
        <v>0</v>
      </c>
      <c r="AZ445" s="806">
        <f>AZ442-AZ443</f>
        <v>0</v>
      </c>
      <c r="BA445" s="806">
        <f>BA442-BA443</f>
        <v>0</v>
      </c>
      <c r="BB445" s="806">
        <f>BB442-BB443</f>
        <v>0</v>
      </c>
      <c r="BC445" s="806">
        <f>BC442-BC443</f>
        <v>0</v>
      </c>
      <c r="BD445" s="925"/>
      <c r="BE445" s="925"/>
      <c r="BF445" s="925"/>
      <c r="BG445" s="925"/>
      <c r="BH445" s="925"/>
      <c r="BI445" s="925"/>
      <c r="BJ445" s="925"/>
      <c r="BK445" s="925"/>
      <c r="BL445" s="925"/>
      <c r="BM445" s="925"/>
      <c r="BN445" s="4830"/>
      <c r="BO445" s="4830"/>
      <c r="BP445" s="4830"/>
      <c r="BQ445" s="960"/>
      <c r="BR445" s="960"/>
      <c r="BS445" s="1046" t="s">
        <v>1747</v>
      </c>
      <c r="BT445" s="1048"/>
      <c r="BU445" s="1048"/>
      <c r="BV445" s="962"/>
      <c r="BW445" s="962"/>
    </row>
    <row s="1621" customFormat="1" customHeight="1" ht="14.625">
      <c r="A446" s="960"/>
      <c r="B446" s="961"/>
      <c r="C446" s="960"/>
      <c r="D446" s="73" cm="1" t="str">
        <f t="array" ref="D446:D446">D445</f>
        <v>11</v>
      </c>
      <c r="E446" s="683">
        <v>15</v>
      </c>
      <c r="F446" s="50" cm="1" t="str">
        <f t="array" ref="F446:F446">OFFSET(E446,-1,1)</f>
        <v>2</v>
      </c>
      <c r="G446" s="124" t="s">
        <v>1496</v>
      </c>
      <c r="H446" s="960"/>
      <c r="I446" s="124" t="s">
        <v>2063</v>
      </c>
      <c r="J446" s="960"/>
      <c r="K446" s="124" t="s">
        <v>2063</v>
      </c>
      <c r="L446" s="963" t="s">
        <v>1748</v>
      </c>
      <c r="M446" s="73"/>
      <c r="N446" s="960"/>
      <c r="O446" s="960"/>
      <c r="P446" s="960"/>
      <c r="Q446" s="960"/>
      <c r="R446" s="960"/>
      <c r="S446" s="960"/>
      <c r="T446" s="439" cm="1" t="str">
        <f t="array" ref="T446:T446">T445</f>
        <v>true</v>
      </c>
      <c r="U446" s="960"/>
      <c r="V446" s="960"/>
      <c r="W446" s="960"/>
      <c r="X446" s="1482"/>
      <c r="Y446" s="960"/>
      <c r="Z446" s="1465"/>
      <c r="AA446" s="960"/>
      <c r="AB446" s="267" t="str">
        <f>D446&amp;".4"</f>
        <v>11.4</v>
      </c>
      <c r="AC446" s="1096" t="s">
        <v>1750</v>
      </c>
      <c r="AD446" s="267" t="s">
        <v>1494</v>
      </c>
      <c r="AE446" s="4759">
        <v>26.9599408015</v>
      </c>
      <c r="AF446" s="4759">
        <v>314.247581271</v>
      </c>
      <c r="AG446" s="4759">
        <v>4.3766885725</v>
      </c>
      <c r="AH446" s="926">
        <f>AG446-AF446</f>
        <v>-309.8708926985</v>
      </c>
      <c r="AI446" s="4614">
        <v>34.8901136784</v>
      </c>
      <c r="AJ446" s="4614">
        <v>71.3248659614</v>
      </c>
      <c r="AK446" s="1289">
        <f>IF(AK445=0,0,(AK439-AK443*AK444)/AK445)</f>
        <v>0</v>
      </c>
      <c r="AL446" s="1289">
        <f>IF(AL445=0,0,(AL439-AL443*AL444)/AL445)</f>
        <v>0</v>
      </c>
      <c r="AM446" s="4614">
        <f>IF(AM445=0,0,(AM439-AM443*AM444)/AM445)</f>
        <v>0</v>
      </c>
      <c r="AN446" s="4614">
        <f>IF(AN445=0,0,(AN439-AN443*AN444)/AN445)</f>
        <v>0</v>
      </c>
      <c r="AO446" s="4614">
        <f>IF(AO445=0,0,(AO439-AO443*AO444)/AO445)</f>
        <v>0</v>
      </c>
      <c r="AP446" s="4614">
        <f>IF(AP445=0,0,(AP439-AP443*AP444)/AP445)</f>
        <v>0</v>
      </c>
      <c r="AQ446" s="4614">
        <f>IF(AQ445=0,0,(AQ439-AQ443*AQ444)/AQ445)</f>
        <v>0</v>
      </c>
      <c r="AR446" s="4614">
        <f>IF(AR445=0,0,(AR439-AR443*AR444)/AR445)</f>
        <v>0</v>
      </c>
      <c r="AS446" s="4614">
        <f>IF(AS445=0,0,(AS439-AS443*AS444)/AS445)</f>
        <v>0</v>
      </c>
      <c r="AT446" s="4614">
        <v>38.3799365587</v>
      </c>
      <c r="AU446" s="1289">
        <f>IF(AU445=0,0,(AU439-AU443*AU444)/AU445)</f>
        <v>0</v>
      </c>
      <c r="AV446" s="1289">
        <f>IF(AV445=0,0,(AV439-AV443*AV444)/AV445)</f>
        <v>0</v>
      </c>
      <c r="AW446" s="4614">
        <f>IF(AW445=0,0,(AW439-AW443*AW444)/AW445)</f>
        <v>0</v>
      </c>
      <c r="AX446" s="4614">
        <f>IF(AX445=0,0,(AX439-AX443*AX444)/AX445)</f>
        <v>0</v>
      </c>
      <c r="AY446" s="4614">
        <f>IF(AY445=0,0,(AY439-AY443*AY444)/AY445)</f>
        <v>0</v>
      </c>
      <c r="AZ446" s="4614">
        <f>IF(AZ445=0,0,(AZ439-AZ443*AZ444)/AZ445)</f>
        <v>0</v>
      </c>
      <c r="BA446" s="4614">
        <f>IF(BA445=0,0,(BA439-BA443*BA444)/BA445)</f>
        <v>0</v>
      </c>
      <c r="BB446" s="4614">
        <f>IF(BB445=0,0,(BB439-BB443*BB444)/BB445)</f>
        <v>0</v>
      </c>
      <c r="BC446" s="4614">
        <f>IF(BC445=0,0,(BC439-BC443*BC444)/BC445)</f>
        <v>0</v>
      </c>
      <c r="BD446" s="925"/>
      <c r="BE446" s="925"/>
      <c r="BF446" s="925"/>
      <c r="BG446" s="925"/>
      <c r="BH446" s="925"/>
      <c r="BI446" s="925"/>
      <c r="BJ446" s="925"/>
      <c r="BK446" s="925"/>
      <c r="BL446" s="925"/>
      <c r="BM446" s="925"/>
      <c r="BN446" s="4830"/>
      <c r="BO446" s="4830"/>
      <c r="BP446" s="4830"/>
      <c r="BQ446" s="960"/>
      <c r="BR446" s="960"/>
      <c r="BS446" s="1046" t="s">
        <v>1751</v>
      </c>
      <c r="BT446" s="1048"/>
      <c r="BU446" s="1048"/>
      <c r="BV446" s="962"/>
      <c r="BW446" s="962"/>
    </row>
    <row s="1621" customFormat="1" customHeight="1" ht="14.25">
      <c r="A447" s="960"/>
      <c r="B447" s="961"/>
      <c r="C447" s="960"/>
      <c r="D447" s="73" cm="1" t="str">
        <f t="array" ref="D447:D447">D446</f>
        <v>11</v>
      </c>
      <c r="E447" s="683">
        <v>15</v>
      </c>
      <c r="F447" s="50" cm="1" t="str">
        <f t="array" ref="F447:F447">OFFSET(E447,-1,1)</f>
        <v>2</v>
      </c>
      <c r="G447" s="960"/>
      <c r="H447" s="960"/>
      <c r="I447" s="124" t="s">
        <v>2064</v>
      </c>
      <c r="J447" s="960"/>
      <c r="K447" s="124" t="s">
        <v>2064</v>
      </c>
      <c r="L447" s="963" t="s">
        <v>1752</v>
      </c>
      <c r="M447" s="73"/>
      <c r="N447" s="960"/>
      <c r="O447" s="960"/>
      <c r="P447" s="960"/>
      <c r="Q447" s="960"/>
      <c r="R447" s="960"/>
      <c r="S447" s="960"/>
      <c r="T447" s="439" cm="1" t="str">
        <f t="array" ref="T447:T447">T446</f>
        <v>true</v>
      </c>
      <c r="U447" s="960"/>
      <c r="V447" s="960"/>
      <c r="W447" s="960"/>
      <c r="X447" s="1482"/>
      <c r="Y447" s="960"/>
      <c r="Z447" s="1465"/>
      <c r="AA447" s="960"/>
      <c r="AB447" s="267" t="str">
        <f>D447&amp;".5"</f>
        <v>11.5</v>
      </c>
      <c r="AC447" s="1096" t="s">
        <v>1754</v>
      </c>
      <c r="AD447" s="267" t="s">
        <v>437</v>
      </c>
      <c r="AE447" s="226">
        <f>IF(AE444=0,0,AE446/AE444*100)</f>
        <v>115.016812293089</v>
      </c>
      <c r="AF447" s="226">
        <f>IF(AF444=0,0,AF446/AF444*100)</f>
        <v>100.002412573511</v>
      </c>
      <c r="AG447" s="226">
        <f>IF(AG444=0,0,AG446/AG444*100)</f>
        <v>0</v>
      </c>
      <c r="AH447" s="925"/>
      <c r="AI447" s="783">
        <f>IF(AI444=0,0,AI446/AI444*100)</f>
        <v>129.414368243323</v>
      </c>
      <c r="AJ447" s="783">
        <f>IF(AJ444=0,0,AJ446/AJ444*100)</f>
        <v>100.006822716489</v>
      </c>
      <c r="AK447" s="783">
        <f>IF(AK444=0,0,AK446/AK444*100)</f>
        <v>0</v>
      </c>
      <c r="AL447" s="783">
        <f>IF(AL444=0,0,AL446/AL444*100)</f>
        <v>0</v>
      </c>
      <c r="AM447" s="783">
        <f>IF(AM444=0,0,AM446/AM444*100)</f>
        <v>0</v>
      </c>
      <c r="AN447" s="783">
        <f>IF(AN444=0,0,AN446/AN444*100)</f>
        <v>0</v>
      </c>
      <c r="AO447" s="783">
        <f>IF(AO444=0,0,AO446/AO444*100)</f>
        <v>0</v>
      </c>
      <c r="AP447" s="783">
        <f>IF(AP444=0,0,AP446/AP444*100)</f>
        <v>0</v>
      </c>
      <c r="AQ447" s="783">
        <f>IF(AQ444=0,0,AQ446/AQ444*100)</f>
        <v>0</v>
      </c>
      <c r="AR447" s="783">
        <f>IF(AR444=0,0,AR446/AR444*100)</f>
        <v>0</v>
      </c>
      <c r="AS447" s="783">
        <f>IF(AS444=0,0,AS446/AS444*100)</f>
        <v>0</v>
      </c>
      <c r="AT447" s="783">
        <f>IF(AT444=0,0,AT446/AT444*100)</f>
        <v>110.002684318429</v>
      </c>
      <c r="AU447" s="783">
        <f>IF(AU444=0,0,AU446/AU444*100)</f>
        <v>0</v>
      </c>
      <c r="AV447" s="783">
        <f>IF(AV444=0,0,AV446/AV444*100)</f>
        <v>0</v>
      </c>
      <c r="AW447" s="783">
        <f>IF(AW444=0,0,AW446/AW444*100)</f>
        <v>0</v>
      </c>
      <c r="AX447" s="783">
        <f>IF(AX444=0,0,AX446/AX444*100)</f>
        <v>0</v>
      </c>
      <c r="AY447" s="783">
        <f>IF(AY444=0,0,AY446/AY444*100)</f>
        <v>0</v>
      </c>
      <c r="AZ447" s="783">
        <f>IF(AZ444=0,0,AZ446/AZ444*100)</f>
        <v>0</v>
      </c>
      <c r="BA447" s="783">
        <f>IF(BA444=0,0,BA446/BA444*100)</f>
        <v>0</v>
      </c>
      <c r="BB447" s="783">
        <f>IF(BB444=0,0,BB446/BB444*100)</f>
        <v>0</v>
      </c>
      <c r="BC447" s="783">
        <f>IF(BC444=0,0,BC446/BC444*100)</f>
        <v>0</v>
      </c>
      <c r="BD447" s="925"/>
      <c r="BE447" s="925"/>
      <c r="BF447" s="925"/>
      <c r="BG447" s="925"/>
      <c r="BH447" s="925"/>
      <c r="BI447" s="925"/>
      <c r="BJ447" s="925"/>
      <c r="BK447" s="925"/>
      <c r="BL447" s="925"/>
      <c r="BM447" s="925"/>
      <c r="BN447" s="4830"/>
      <c r="BO447" s="4830"/>
      <c r="BP447" s="4830"/>
      <c r="BQ447" s="960"/>
      <c r="BR447" s="960"/>
      <c r="BS447" s="1046" t="s">
        <v>1755</v>
      </c>
      <c r="BT447" s="1048"/>
      <c r="BU447" s="1048"/>
      <c r="BV447" s="962"/>
      <c r="BW447" s="962"/>
    </row>
    <row s="1621" customFormat="1" customHeight="1" ht="14.625">
      <c r="A448" s="960"/>
      <c r="B448" s="961"/>
      <c r="C448" s="960"/>
      <c r="D448" s="73" cm="1" t="str">
        <f t="array" ref="D448:D448">D447</f>
        <v>11</v>
      </c>
      <c r="E448" s="683">
        <v>15</v>
      </c>
      <c r="F448" s="50" cm="1" t="str">
        <f t="array" ref="F448:F448">OFFSET(E448,-1,1)</f>
        <v>2</v>
      </c>
      <c r="G448" s="960"/>
      <c r="H448" s="960"/>
      <c r="I448" s="124" t="s">
        <v>2065</v>
      </c>
      <c r="J448" s="960"/>
      <c r="K448" s="124" t="s">
        <v>2065</v>
      </c>
      <c r="L448" s="963" t="s">
        <v>1756</v>
      </c>
      <c r="M448" s="73"/>
      <c r="N448" s="960"/>
      <c r="O448" s="960"/>
      <c r="P448" s="960"/>
      <c r="Q448" s="960"/>
      <c r="R448" s="960"/>
      <c r="S448" s="960"/>
      <c r="T448" s="439" cm="1" t="str">
        <f t="array" ref="T448:T448">T447</f>
        <v>true</v>
      </c>
      <c r="U448" s="960"/>
      <c r="V448" s="960"/>
      <c r="W448" s="960"/>
      <c r="X448" s="1482"/>
      <c r="Y448" s="960"/>
      <c r="Z448" s="1465"/>
      <c r="AA448" s="960"/>
      <c r="AB448" s="267" t="str">
        <f>D448&amp;".6"</f>
        <v>11.6</v>
      </c>
      <c r="AC448" s="1096" t="s">
        <v>1758</v>
      </c>
      <c r="AD448" s="267" t="s">
        <v>1494</v>
      </c>
      <c r="AE448" s="4759">
        <v>25.1999704008</v>
      </c>
      <c r="AF448" s="4759">
        <v>314.2437906355</v>
      </c>
      <c r="AG448" s="4759">
        <v>2.1883442862</v>
      </c>
      <c r="AH448" s="926">
        <f>AG448-AF448</f>
        <v>-312.0554463493</v>
      </c>
      <c r="AI448" s="4614">
        <v>30.9250568392</v>
      </c>
      <c r="AJ448" s="4614">
        <v>71.3224329807</v>
      </c>
      <c r="AK448" s="1289">
        <f>IF(AK442=0,0,AK439/AK442)</f>
        <v>0</v>
      </c>
      <c r="AL448" s="1289">
        <f>IF(AL442=0,0,AL439/AL442)</f>
        <v>0</v>
      </c>
      <c r="AM448" s="4614">
        <f>IF(AM442=0,0,AM439/AM442)</f>
        <v>0</v>
      </c>
      <c r="AN448" s="4614">
        <f>IF(AN442=0,0,AN439/AN442)</f>
        <v>0</v>
      </c>
      <c r="AO448" s="4614">
        <f>IF(AO442=0,0,AO439/AO442)</f>
        <v>0</v>
      </c>
      <c r="AP448" s="4614">
        <f>IF(AP442=0,0,AP439/AP442)</f>
        <v>0</v>
      </c>
      <c r="AQ448" s="4614">
        <f>IF(AQ442=0,0,AQ439/AQ442)</f>
        <v>0</v>
      </c>
      <c r="AR448" s="4614">
        <f>IF(AR442=0,0,AR439/AR442)</f>
        <v>0</v>
      </c>
      <c r="AS448" s="4614">
        <f>IF(AS442=0,0,AS439/AS442)</f>
        <v>0</v>
      </c>
      <c r="AT448" s="4614">
        <v>35.76</v>
      </c>
      <c r="AU448" s="1289">
        <f>IF(AU442=0,0,AU439/AU442)</f>
        <v>0</v>
      </c>
      <c r="AV448" s="1289">
        <f>IF(AV442=0,0,AV439/AV442)</f>
        <v>0</v>
      </c>
      <c r="AW448" s="4614">
        <f>IF(AW442=0,0,AW439/AW442)</f>
        <v>0</v>
      </c>
      <c r="AX448" s="4614">
        <f>IF(AX442=0,0,AX439/AX442)</f>
        <v>0</v>
      </c>
      <c r="AY448" s="4614">
        <f>IF(AY442=0,0,AY439/AY442)</f>
        <v>0</v>
      </c>
      <c r="AZ448" s="4614">
        <f>IF(AZ442=0,0,AZ439/AZ442)</f>
        <v>0</v>
      </c>
      <c r="BA448" s="4614">
        <f>IF(BA442=0,0,BA439/BA442)</f>
        <v>0</v>
      </c>
      <c r="BB448" s="4614">
        <f>IF(BB442=0,0,BB439/BB442)</f>
        <v>0</v>
      </c>
      <c r="BC448" s="4614">
        <f>IF(BC442=0,0,BC439/BC442)</f>
        <v>0</v>
      </c>
      <c r="BD448" s="925"/>
      <c r="BE448" s="925"/>
      <c r="BF448" s="925"/>
      <c r="BG448" s="925"/>
      <c r="BH448" s="925"/>
      <c r="BI448" s="925"/>
      <c r="BJ448" s="925"/>
      <c r="BK448" s="925"/>
      <c r="BL448" s="925"/>
      <c r="BM448" s="925"/>
      <c r="BN448" s="4830"/>
      <c r="BO448" s="4830"/>
      <c r="BP448" s="4830"/>
      <c r="BQ448" s="960"/>
      <c r="BR448" s="960"/>
      <c r="BS448" s="1046" t="s">
        <v>1759</v>
      </c>
      <c r="BT448" s="1048"/>
      <c r="BU448" s="1048"/>
      <c r="BV448" s="962"/>
      <c r="BW448" s="962"/>
    </row>
    <row s="4902" customFormat="1" customHeight="1" ht="20.25">
      <c r="A449" s="680"/>
      <c r="B449" s="408"/>
      <c r="C449" s="680"/>
      <c r="D449" s="75">
        <f>D448+1</f>
        <v>12</v>
      </c>
      <c r="E449" s="687">
        <v>21</v>
      </c>
      <c r="F449" s="50" cm="1" t="str">
        <f t="array" ref="F449:F449">OFFSET(E449,-1,1)</f>
        <v>2</v>
      </c>
      <c r="G449" s="680"/>
      <c r="H449" s="124"/>
      <c r="I449" s="124" t="s">
        <v>1764</v>
      </c>
      <c r="J449" s="680"/>
      <c r="K449" s="124" t="s">
        <v>1764</v>
      </c>
      <c r="L449" s="968" t="s">
        <v>1760</v>
      </c>
      <c r="M449" s="75"/>
      <c r="N449" s="680"/>
      <c r="O449" s="680"/>
      <c r="P449" s="680"/>
      <c r="Q449" s="680"/>
      <c r="R449" s="680"/>
      <c r="S449" s="680"/>
      <c r="T449" s="439" cm="1" t="str">
        <f t="array" ref="T449:T449">T448</f>
        <v>true</v>
      </c>
      <c r="U449" s="680"/>
      <c r="V449" s="680"/>
      <c r="W449" s="680"/>
      <c r="X449" s="1482"/>
      <c r="Y449" s="680"/>
      <c r="Z449" s="1465"/>
      <c r="AA449" s="680"/>
      <c r="AB449" s="178" cm="1" t="str">
        <f t="array" ref="AB449:AB449">D449</f>
        <v>12</v>
      </c>
      <c r="AC449" s="179" t="s">
        <v>1762</v>
      </c>
      <c r="AD449" s="178" t="s">
        <v>784</v>
      </c>
      <c r="AE449" s="4610">
        <f>IF(AE442=0,0,AE439/AE442*AE450)</f>
        <v>0</v>
      </c>
      <c r="AF449" s="4610">
        <f>IF(AF442=0,0,AF439/AF442*AF450)</f>
        <v>0</v>
      </c>
      <c r="AG449" s="4610">
        <f>IF(AG442=0,0,AG439/AG442*AG450)</f>
        <v>0</v>
      </c>
      <c r="AH449" s="751">
        <f>AH451*AH452+AH453*AH454</f>
        <v>0</v>
      </c>
      <c r="AI449" s="4779">
        <f>IF(AI442=0,0,AI439/AI442*AI450)</f>
        <v>0</v>
      </c>
      <c r="AJ449" s="4779">
        <f>IF(AJ442=0,0,AJ439/AJ442*AJ450)</f>
        <v>0</v>
      </c>
      <c r="AK449" s="1290">
        <f>IF(AK442=0,0,AK439/AK442*AK450)</f>
        <v>0</v>
      </c>
      <c r="AL449" s="1290">
        <f>IF(AL442=0,0,AL439/AL442*AL450)</f>
        <v>0</v>
      </c>
      <c r="AM449" s="4779">
        <f>IF(AM442=0,0,AM439/AM442*AM450)</f>
        <v>0</v>
      </c>
      <c r="AN449" s="4779">
        <f>IF(AN442=0,0,AN439/AN442*AN450)</f>
        <v>0</v>
      </c>
      <c r="AO449" s="4779">
        <f>IF(AO442=0,0,AO439/AO442*AO450)</f>
        <v>0</v>
      </c>
      <c r="AP449" s="4779">
        <f>IF(AP442=0,0,AP439/AP442*AP450)</f>
        <v>0</v>
      </c>
      <c r="AQ449" s="4779">
        <f>IF(AQ442=0,0,AQ439/AQ442*AQ450)</f>
        <v>0</v>
      </c>
      <c r="AR449" s="4779">
        <f>IF(AR442=0,0,AR439/AR442*AR450)</f>
        <v>0</v>
      </c>
      <c r="AS449" s="4779">
        <f>IF(AS442=0,0,AS439/AS442*AS450)</f>
        <v>0</v>
      </c>
      <c r="AT449" s="4779">
        <f>IF(AT442=0,0,AT439/AT442*AT450)</f>
        <v>0</v>
      </c>
      <c r="AU449" s="1290">
        <f>IF(AU442=0,0,AU439/AU442*AU450)</f>
        <v>0</v>
      </c>
      <c r="AV449" s="1290">
        <f>IF(AV442=0,0,AV439/AV442*AV450)</f>
        <v>0</v>
      </c>
      <c r="AW449" s="4779">
        <f>IF(AW442=0,0,AW439/AW442*AW450)</f>
        <v>0</v>
      </c>
      <c r="AX449" s="4779">
        <f>IF(AX442=0,0,AX439/AX442*AX450)</f>
        <v>0</v>
      </c>
      <c r="AY449" s="4779">
        <f>IF(AY442=0,0,AY439/AY442*AY450)</f>
        <v>0</v>
      </c>
      <c r="AZ449" s="4779">
        <f>IF(AZ442=0,0,AZ439/AZ442*AZ450)</f>
        <v>0</v>
      </c>
      <c r="BA449" s="4779">
        <f>IF(BA442=0,0,BA439/BA442*BA450)</f>
        <v>0</v>
      </c>
      <c r="BB449" s="4779">
        <f>IF(BB442=0,0,BB439/BB442*BB450)</f>
        <v>0</v>
      </c>
      <c r="BC449" s="4779">
        <f>IF(BC442=0,0,BC439/BC442*BC450)</f>
        <v>0</v>
      </c>
      <c r="BD449" s="742">
        <f>IF(AI449=0,0,(AT449-AI449)/AI449*100)</f>
        <v>0</v>
      </c>
      <c r="BE449" s="742">
        <f>IF(AT449=0,0,(AU449-AT449)/AT449*100)</f>
        <v>0</v>
      </c>
      <c r="BF449" s="742">
        <f>IF(AU449=0,0,(AV449-AU449)/AU449*100)</f>
        <v>0</v>
      </c>
      <c r="BG449" s="742">
        <f>IF(AV449=0,0,(AW449-AV449)/AV449*100)</f>
        <v>0</v>
      </c>
      <c r="BH449" s="742">
        <f>IF(AW449=0,0,(AX449-AW449)/AW449*100)</f>
        <v>0</v>
      </c>
      <c r="BI449" s="742">
        <f>IF(AX449=0,0,(AY449-AX449)/AX449*100)</f>
        <v>0</v>
      </c>
      <c r="BJ449" s="742">
        <f>IF(AY449=0,0,(AZ449-AY449)/AY449*100)</f>
        <v>0</v>
      </c>
      <c r="BK449" s="742">
        <f>IF(AZ449=0,0,(BA449-AZ449)/AZ449*100)</f>
        <v>0</v>
      </c>
      <c r="BL449" s="742">
        <f>IF(BA449=0,0,(BB449-BA449)/BA449*100)</f>
        <v>0</v>
      </c>
      <c r="BM449" s="742">
        <f>IF(BB449=0,0,(BC449-BB449)/BB449*100)</f>
        <v>0</v>
      </c>
      <c r="BN449" s="4830"/>
      <c r="BO449" s="4830"/>
      <c r="BP449" s="4830"/>
      <c r="BQ449" s="680"/>
      <c r="BR449" s="680"/>
      <c r="BS449" s="1047" t="s">
        <v>1763</v>
      </c>
      <c r="BT449" s="1054"/>
      <c r="BU449" s="1054"/>
      <c r="BV449" s="687"/>
      <c r="BW449" s="687"/>
    </row>
    <row s="4903" customFormat="1" customHeight="1" ht="20.25">
      <c r="A450" s="680"/>
      <c r="B450" s="408"/>
      <c r="C450" s="680"/>
      <c r="D450" s="75">
        <f>D449+1</f>
        <v>13</v>
      </c>
      <c r="E450" s="687">
        <v>21</v>
      </c>
      <c r="F450" s="50" cm="1" t="str">
        <f t="array" ref="F450:F450">OFFSET(E450,-1,1)</f>
        <v>2</v>
      </c>
      <c r="G450" s="124" t="s">
        <v>1516</v>
      </c>
      <c r="H450" s="124"/>
      <c r="I450" s="124" t="s">
        <v>2066</v>
      </c>
      <c r="J450" s="680"/>
      <c r="K450" s="124" t="s">
        <v>2066</v>
      </c>
      <c r="L450" s="968" t="s">
        <v>1764</v>
      </c>
      <c r="M450" s="75"/>
      <c r="N450" s="680"/>
      <c r="O450" s="680"/>
      <c r="P450" s="680"/>
      <c r="Q450" s="680"/>
      <c r="R450" s="680"/>
      <c r="S450" s="680"/>
      <c r="T450" s="439" cm="1" t="str">
        <f t="array" ref="T450:T450">T449</f>
        <v>true</v>
      </c>
      <c r="U450" s="680"/>
      <c r="V450" s="680"/>
      <c r="W450" s="680"/>
      <c r="X450" s="1482"/>
      <c r="Y450" s="680"/>
      <c r="Z450" s="1465"/>
      <c r="AA450" s="680"/>
      <c r="AB450" s="178" cm="1" t="str">
        <f t="array" ref="AB450:AB450">D450</f>
        <v>13</v>
      </c>
      <c r="AC450" s="179" t="s">
        <v>1766</v>
      </c>
      <c r="AD450" s="178" t="s">
        <v>512</v>
      </c>
      <c r="AE450" s="766">
        <f>_xlfn.SUMIFS(Баланс!AE$26:AE$300,Баланс!$F$26:$F$300,$F450,Баланс!$G$26:$G$300,"население")</f>
        <v>0</v>
      </c>
      <c r="AF450" s="766">
        <f>_xlfn.SUMIFS(Баланс!AF$26:AF$300,Баланс!$F$26:$F$300,$F450,Баланс!$G$26:$G$300,"население")</f>
        <v>0</v>
      </c>
      <c r="AG450" s="766">
        <f>_xlfn.SUMIFS(Баланс!AG$26:AG$300,Баланс!$F$26:$F$300,$F450,Баланс!$G$26:$G$300,"население")</f>
        <v>0</v>
      </c>
      <c r="AH450" s="767">
        <f>AG450-AF450</f>
        <v>0</v>
      </c>
      <c r="AI450" s="767">
        <f>_xlfn.SUMIFS(Баланс!AH$26:AH$300,Баланс!$F$26:$F$300,$F450,Баланс!$G$26:$G$300,"население")</f>
        <v>0</v>
      </c>
      <c r="AJ450" s="767">
        <f>_xlfn.SUMIFS(Баланс!AI$26:AI$300,Баланс!$F$26:$F$300,$F450,Баланс!$G$26:$G$300,"население")</f>
        <v>0</v>
      </c>
      <c r="AK450" s="767">
        <f>_xlfn.SUMIFS(Баланс!AJ$26:AJ$300,Баланс!$F$26:$F$300,$F450,Баланс!$G$26:$G$300,"население")</f>
        <v>0</v>
      </c>
      <c r="AL450" s="767">
        <f>_xlfn.SUMIFS(Баланс!AK$26:AK$300,Баланс!$F$26:$F$300,$F450,Баланс!$G$26:$G$300,"население")</f>
        <v>0</v>
      </c>
      <c r="AM450" s="767">
        <f>_xlfn.SUMIFS(Баланс!AL$26:AL$300,Баланс!$F$26:$F$300,$F450,Баланс!$G$26:$G$300,"население")</f>
        <v>0</v>
      </c>
      <c r="AN450" s="767">
        <f>_xlfn.SUMIFS(Баланс!AM$26:AM$300,Баланс!$F$26:$F$300,$F450,Баланс!$G$26:$G$300,"население")</f>
        <v>0</v>
      </c>
      <c r="AO450" s="767">
        <f>_xlfn.SUMIFS(Баланс!AN$26:AN$300,Баланс!$F$26:$F$300,$F450,Баланс!$G$26:$G$300,"население")</f>
        <v>0</v>
      </c>
      <c r="AP450" s="767">
        <f>_xlfn.SUMIFS(Баланс!AO$26:AO$300,Баланс!$F$26:$F$300,$F450,Баланс!$G$26:$G$300,"население")</f>
        <v>0</v>
      </c>
      <c r="AQ450" s="767">
        <f>_xlfn.SUMIFS(Баланс!AP$26:AP$300,Баланс!$F$26:$F$300,$F450,Баланс!$G$26:$G$300,"население")</f>
        <v>0</v>
      </c>
      <c r="AR450" s="767">
        <f>_xlfn.SUMIFS(Баланс!AQ$26:AQ$300,Баланс!$F$26:$F$300,$F450,Баланс!$G$26:$G$300,"население")</f>
        <v>0</v>
      </c>
      <c r="AS450" s="767">
        <f>_xlfn.SUMIFS(Баланс!AR$26:AR$300,Баланс!$F$26:$F$300,$F450,Баланс!$G$26:$G$300,"население")</f>
        <v>0</v>
      </c>
      <c r="AT450" s="767">
        <f>_xlfn.SUMIFS(Баланс!AS$26:AS$300,Баланс!$F$26:$F$300,$F450,Баланс!$G$26:$G$300,"население")</f>
        <v>0</v>
      </c>
      <c r="AU450" s="767">
        <f>_xlfn.SUMIFS(Баланс!AT$26:AT$300,Баланс!$F$26:$F$300,$F450,Баланс!$G$26:$G$300,"население")</f>
        <v>0</v>
      </c>
      <c r="AV450" s="767">
        <f>_xlfn.SUMIFS(Баланс!AU$26:AU$300,Баланс!$F$26:$F$300,$F450,Баланс!$G$26:$G$300,"население")</f>
        <v>0</v>
      </c>
      <c r="AW450" s="767">
        <f>_xlfn.SUMIFS(Баланс!AV$26:AV$300,Баланс!$F$26:$F$300,$F450,Баланс!$G$26:$G$300,"население")</f>
        <v>0</v>
      </c>
      <c r="AX450" s="767">
        <f>_xlfn.SUMIFS(Баланс!AW$26:AW$300,Баланс!$F$26:$F$300,$F450,Баланс!$G$26:$G$300,"население")</f>
        <v>0</v>
      </c>
      <c r="AY450" s="767">
        <f>_xlfn.SUMIFS(Баланс!AX$26:AX$300,Баланс!$F$26:$F$300,$F450,Баланс!$G$26:$G$300,"население")</f>
        <v>0</v>
      </c>
      <c r="AZ450" s="767">
        <f>_xlfn.SUMIFS(Баланс!AY$26:AY$300,Баланс!$F$26:$F$300,$F450,Баланс!$G$26:$G$300,"население")</f>
        <v>0</v>
      </c>
      <c r="BA450" s="767">
        <f>_xlfn.SUMIFS(Баланс!AZ$26:AZ$300,Баланс!$F$26:$F$300,$F450,Баланс!$G$26:$G$300,"население")</f>
        <v>0</v>
      </c>
      <c r="BB450" s="767">
        <f>_xlfn.SUMIFS(Баланс!BA$26:BA$300,Баланс!$F$26:$F$300,$F450,Баланс!$G$26:$G$300,"население")</f>
        <v>0</v>
      </c>
      <c r="BC450" s="767">
        <f>_xlfn.SUMIFS(Баланс!BB$26:BB$300,Баланс!$F$26:$F$300,$F450,Баланс!$G$26:$G$300,"население")</f>
        <v>0</v>
      </c>
      <c r="BD450" s="745"/>
      <c r="BE450" s="745"/>
      <c r="BF450" s="745"/>
      <c r="BG450" s="745"/>
      <c r="BH450" s="745"/>
      <c r="BI450" s="745"/>
      <c r="BJ450" s="745"/>
      <c r="BK450" s="745"/>
      <c r="BL450" s="745"/>
      <c r="BM450" s="745"/>
      <c r="BN450" s="4830"/>
      <c r="BO450" s="4830"/>
      <c r="BP450" s="4830"/>
      <c r="BQ450" s="680"/>
      <c r="BR450" s="680"/>
      <c r="BS450" s="1047" t="s">
        <v>1767</v>
      </c>
      <c r="BT450" s="1054"/>
      <c r="BU450" s="1054"/>
      <c r="BV450" s="687"/>
      <c r="BW450" s="687"/>
    </row>
    <row s="1621" customFormat="1" customHeight="1" ht="14.25">
      <c r="A451" s="960"/>
      <c r="B451" s="961"/>
      <c r="C451" s="960"/>
      <c r="D451" s="73" cm="1" t="str">
        <f t="array" ref="D451:D451">D450</f>
        <v>13</v>
      </c>
      <c r="E451" s="683">
        <v>15</v>
      </c>
      <c r="F451" s="50" cm="1" t="str">
        <f t="array" ref="F451:F451">OFFSET(E451,-1,1)</f>
        <v>2</v>
      </c>
      <c r="G451" s="124" t="s">
        <v>1550</v>
      </c>
      <c r="H451" s="960"/>
      <c r="I451" s="124" t="s">
        <v>2067</v>
      </c>
      <c r="J451" s="960"/>
      <c r="K451" s="124" t="s">
        <v>2067</v>
      </c>
      <c r="L451" s="963" t="s">
        <v>1768</v>
      </c>
      <c r="M451" s="73"/>
      <c r="N451" s="960"/>
      <c r="O451" s="960"/>
      <c r="P451" s="960"/>
      <c r="Q451" s="960"/>
      <c r="R451" s="960"/>
      <c r="S451" s="960"/>
      <c r="T451" s="439" cm="1" t="str">
        <f t="array" ref="T451:T451">T450</f>
        <v>true</v>
      </c>
      <c r="U451" s="960"/>
      <c r="V451" s="960"/>
      <c r="W451" s="960"/>
      <c r="X451" s="1482"/>
      <c r="Y451" s="960"/>
      <c r="Z451" s="1465"/>
      <c r="AA451" s="960"/>
      <c r="AB451" s="267" t="str">
        <f>D451&amp;".1"</f>
        <v>13.1</v>
      </c>
      <c r="AC451" s="1096" t="s">
        <v>1770</v>
      </c>
      <c r="AD451" s="267" t="s">
        <v>512</v>
      </c>
      <c r="AE451" s="4776">
        <f>AE450/2</f>
        <v>0</v>
      </c>
      <c r="AF451" s="4776">
        <f>AF450/2</f>
        <v>0</v>
      </c>
      <c r="AG451" s="4776">
        <f>AG450/2</f>
        <v>0</v>
      </c>
      <c r="AH451" s="924">
        <f>AG451-AF451</f>
        <v>0</v>
      </c>
      <c r="AI451" s="4611">
        <f>AI450/2</f>
        <v>0</v>
      </c>
      <c r="AJ451" s="4776">
        <f>IF(god=2026,AJ450/12*9,AJ450/2)</f>
        <v>0</v>
      </c>
      <c r="AK451" s="1287">
        <f>IF(god=2025,AK450/12*9,AK450/2)</f>
        <v>0</v>
      </c>
      <c r="AL451" s="1288">
        <f>AL450/2</f>
        <v>0</v>
      </c>
      <c r="AM451" s="4611">
        <f>AM450/2</f>
        <v>0</v>
      </c>
      <c r="AN451" s="4611">
        <f>AN450/2</f>
        <v>0</v>
      </c>
      <c r="AO451" s="4611">
        <f>AO450/2</f>
        <v>0</v>
      </c>
      <c r="AP451" s="4611">
        <f>AP450/2</f>
        <v>0</v>
      </c>
      <c r="AQ451" s="4611">
        <f>AQ450/2</f>
        <v>0</v>
      </c>
      <c r="AR451" s="4611">
        <f>AR450/2</f>
        <v>0</v>
      </c>
      <c r="AS451" s="4611">
        <f>AS450/2</f>
        <v>0</v>
      </c>
      <c r="AT451" s="4611">
        <f>IF(god=2026,AT450/12*9,AT450/2)</f>
        <v>0</v>
      </c>
      <c r="AU451" s="1288">
        <f>IF(god=2025,AU450/12*9,AU450/2)</f>
        <v>0</v>
      </c>
      <c r="AV451" s="1288">
        <f>AV450/2</f>
        <v>0</v>
      </c>
      <c r="AW451" s="4611">
        <f>AW450/2</f>
        <v>0</v>
      </c>
      <c r="AX451" s="4611">
        <f>AX450/2</f>
        <v>0</v>
      </c>
      <c r="AY451" s="4611">
        <f>AY450/2</f>
        <v>0</v>
      </c>
      <c r="AZ451" s="4611">
        <f>AZ450/2</f>
        <v>0</v>
      </c>
      <c r="BA451" s="4611">
        <f>BA450/2</f>
        <v>0</v>
      </c>
      <c r="BB451" s="4611">
        <f>BB450/2</f>
        <v>0</v>
      </c>
      <c r="BC451" s="4611">
        <f>BC450/2</f>
        <v>0</v>
      </c>
      <c r="BD451" s="925"/>
      <c r="BE451" s="925"/>
      <c r="BF451" s="925"/>
      <c r="BG451" s="925"/>
      <c r="BH451" s="925"/>
      <c r="BI451" s="925"/>
      <c r="BJ451" s="925"/>
      <c r="BK451" s="925"/>
      <c r="BL451" s="925"/>
      <c r="BM451" s="925"/>
      <c r="BN451" s="4830"/>
      <c r="BO451" s="4830"/>
      <c r="BP451" s="4830"/>
      <c r="BQ451" s="960"/>
      <c r="BR451" s="960"/>
      <c r="BS451" s="1046" t="s">
        <v>1771</v>
      </c>
      <c r="BT451" s="1048"/>
      <c r="BU451" s="1048"/>
      <c r="BV451" s="962"/>
      <c r="BW451" s="962"/>
    </row>
    <row s="1621" customFormat="1" customHeight="1" ht="14.25">
      <c r="A452" s="960"/>
      <c r="B452" s="961"/>
      <c r="C452" s="960"/>
      <c r="D452" s="73" cm="1" t="str">
        <f t="array" ref="D452:D452">D451</f>
        <v>13</v>
      </c>
      <c r="E452" s="683">
        <v>15</v>
      </c>
      <c r="F452" s="50" cm="1" t="str">
        <f t="array" ref="F452:F452">OFFSET(E452,-1,1)</f>
        <v>2</v>
      </c>
      <c r="G452" s="124" t="s">
        <v>1506</v>
      </c>
      <c r="H452" s="960"/>
      <c r="I452" s="124" t="s">
        <v>2068</v>
      </c>
      <c r="J452" s="960"/>
      <c r="K452" s="124" t="s">
        <v>2068</v>
      </c>
      <c r="L452" s="963" t="s">
        <v>1772</v>
      </c>
      <c r="M452" s="73"/>
      <c r="N452" s="960"/>
      <c r="O452" s="960"/>
      <c r="P452" s="960"/>
      <c r="Q452" s="960"/>
      <c r="R452" s="960"/>
      <c r="S452" s="960"/>
      <c r="T452" s="439" cm="1" t="str">
        <f t="array" ref="T452:T452">T451</f>
        <v>true</v>
      </c>
      <c r="U452" s="960"/>
      <c r="V452" s="960"/>
      <c r="W452" s="960"/>
      <c r="X452" s="1482"/>
      <c r="Y452" s="960"/>
      <c r="Z452" s="1465"/>
      <c r="AA452" s="960"/>
      <c r="AB452" s="267" t="str">
        <f>D452&amp;".2"</f>
        <v>13.2</v>
      </c>
      <c r="AC452" s="1096" t="s">
        <v>1774</v>
      </c>
      <c r="AD452" s="267" t="s">
        <v>1494</v>
      </c>
      <c r="AE452" s="4614">
        <f>IF(AE450=0,0,AE444*(1+Сценарии!AE$26/100))</f>
        <v>0</v>
      </c>
      <c r="AF452" s="4614">
        <f>IF(AF450=0,0,AF444*(1+Сценарии!AF$26/100))</f>
        <v>0</v>
      </c>
      <c r="AG452" s="4614">
        <f>IF(AG450=0,0,AG444*(1+Сценарии!AG$26/100))</f>
        <v>0</v>
      </c>
      <c r="AH452" s="926">
        <f>AG452-AF452</f>
        <v>0</v>
      </c>
      <c r="AI452" s="4614">
        <f>IF(AI450=0,0,AI444*(1+Сценарии!AI$26/100))</f>
        <v>0</v>
      </c>
      <c r="AJ452" s="4614">
        <f>IF(AJ450=0,0,AJ444*(1+Сценарии!AJ$26/100))</f>
        <v>0</v>
      </c>
      <c r="AK452" s="1289">
        <f>IF(AK450=0,0,AK444*(1+Сценарии!AO$26/100))</f>
        <v>0</v>
      </c>
      <c r="AL452" s="1289">
        <f>IF(AL450=0,0,AL444*(1+Сценарии!AP$26/100))</f>
        <v>0</v>
      </c>
      <c r="AM452" s="4614">
        <f>IF(AM450=0,0,AM444*(1+Сценарии!AQ$26/100))</f>
        <v>0</v>
      </c>
      <c r="AN452" s="4614">
        <f>IF(AN450=0,0,AN444*(1+Сценарии!AR$26/100))</f>
        <v>0</v>
      </c>
      <c r="AO452" s="4614">
        <f>IF(AO450=0,0,AO444*(1+Сценарии!AS$26/100))</f>
        <v>0</v>
      </c>
      <c r="AP452" s="4614">
        <f>IF(AP450=0,0,AP444*(1+Сценарии!AT$26/100))</f>
        <v>0</v>
      </c>
      <c r="AQ452" s="4614">
        <f>IF(AQ450=0,0,AQ444*(1+Сценарии!AU$26/100))</f>
        <v>0</v>
      </c>
      <c r="AR452" s="4614">
        <f>IF(AR450=0,0,AR444*(1+Сценарии!AV$26/100))</f>
        <v>0</v>
      </c>
      <c r="AS452" s="4614">
        <f>IF(AS450=0,0,AS444*(1+Сценарии!AW$26/100))</f>
        <v>0</v>
      </c>
      <c r="AT452" s="4614">
        <f>IF(AT450=0,0,AT444*(1+Сценарии!AK$26/100))</f>
        <v>0</v>
      </c>
      <c r="AU452" s="1289">
        <f>IF(AU450=0,0,AU444*(1+Сценарии!AX$26/100))</f>
        <v>0</v>
      </c>
      <c r="AV452" s="1289">
        <f>IF(AV450=0,0,AV444*(1+Сценарии!AY$26/100))</f>
        <v>0</v>
      </c>
      <c r="AW452" s="4614">
        <f>IF(AW450=0,0,AW444*(1+Сценарии!AZ$26/100))</f>
        <v>0</v>
      </c>
      <c r="AX452" s="4614">
        <f>IF(AX450=0,0,AX444*(1+Сценарии!BA$26/100))</f>
        <v>0</v>
      </c>
      <c r="AY452" s="4614">
        <f>IF(AY450=0,0,AY444*(1+Сценарии!BB$26/100))</f>
        <v>0</v>
      </c>
      <c r="AZ452" s="4614">
        <f>IF(AZ450=0,0,AZ444*(1+Сценарии!BC$26/100))</f>
        <v>0</v>
      </c>
      <c r="BA452" s="4614">
        <f>IF(BA450=0,0,BA444*(1+Сценарии!BD$26/100))</f>
        <v>0</v>
      </c>
      <c r="BB452" s="4614">
        <f>IF(BB450=0,0,BB444*(1+Сценарии!BE$26/100))</f>
        <v>0</v>
      </c>
      <c r="BC452" s="4614">
        <f>IF(BC450=0,0,BC444*(1+Сценарии!BF$26/100))</f>
        <v>0</v>
      </c>
      <c r="BD452" s="925"/>
      <c r="BE452" s="925"/>
      <c r="BF452" s="925"/>
      <c r="BG452" s="925"/>
      <c r="BH452" s="925"/>
      <c r="BI452" s="925"/>
      <c r="BJ452" s="925"/>
      <c r="BK452" s="925"/>
      <c r="BL452" s="925"/>
      <c r="BM452" s="925"/>
      <c r="BN452" s="4830"/>
      <c r="BO452" s="4830"/>
      <c r="BP452" s="4830"/>
      <c r="BQ452" s="960"/>
      <c r="BR452" s="960"/>
      <c r="BS452" s="1046" t="s">
        <v>1775</v>
      </c>
      <c r="BT452" s="1048"/>
      <c r="BU452" s="1048"/>
      <c r="BV452" s="962"/>
      <c r="BW452" s="962"/>
    </row>
    <row s="1621" customFormat="1" customHeight="1" ht="14.25">
      <c r="A453" s="960"/>
      <c r="B453" s="62"/>
      <c r="C453" s="73"/>
      <c r="D453" s="73" cm="1" t="str">
        <f t="array" ref="D453:D453">D452</f>
        <v>13</v>
      </c>
      <c r="E453" s="600">
        <v>15</v>
      </c>
      <c r="F453" s="50" cm="1" t="str">
        <f t="array" ref="F453:F453">OFFSET(E453,-1,1)</f>
        <v>2</v>
      </c>
      <c r="G453" s="73" t="s">
        <v>1557</v>
      </c>
      <c r="H453" s="73"/>
      <c r="I453" s="73" t="s">
        <v>2069</v>
      </c>
      <c r="J453" s="73"/>
      <c r="K453" s="73" t="s">
        <v>2069</v>
      </c>
      <c r="L453" s="963" t="s">
        <v>1776</v>
      </c>
      <c r="M453" s="73"/>
      <c r="N453" s="73"/>
      <c r="O453" s="73"/>
      <c r="P453" s="73"/>
      <c r="Q453" s="73"/>
      <c r="R453" s="73"/>
      <c r="S453" s="73"/>
      <c r="T453" s="439" cm="1" t="str">
        <f t="array" ref="T453:T453">T452</f>
        <v>true</v>
      </c>
      <c r="U453" s="73"/>
      <c r="V453" s="73"/>
      <c r="W453" s="73"/>
      <c r="X453" s="1482"/>
      <c r="Y453" s="960"/>
      <c r="Z453" s="1465"/>
      <c r="AA453" s="960"/>
      <c r="AB453" s="267" t="str">
        <f>D453&amp;".3"</f>
        <v>13.3</v>
      </c>
      <c r="AC453" s="1096" t="s">
        <v>1746</v>
      </c>
      <c r="AD453" s="267" t="s">
        <v>512</v>
      </c>
      <c r="AE453" s="929">
        <f>AE450-AE451</f>
        <v>0</v>
      </c>
      <c r="AF453" s="929">
        <f>AF450-AF451</f>
        <v>0</v>
      </c>
      <c r="AG453" s="929">
        <f>AG450-AG451</f>
        <v>0</v>
      </c>
      <c r="AH453" s="924">
        <f>AG453-AF453</f>
        <v>0</v>
      </c>
      <c r="AI453" s="806">
        <f>AI450-AI451</f>
        <v>0</v>
      </c>
      <c r="AJ453" s="806">
        <f>AJ450-AJ451</f>
        <v>0</v>
      </c>
      <c r="AK453" s="806">
        <f>AK450-AK451</f>
        <v>0</v>
      </c>
      <c r="AL453" s="806">
        <f>AL450-AL451</f>
        <v>0</v>
      </c>
      <c r="AM453" s="806">
        <f>AM450-AM451</f>
        <v>0</v>
      </c>
      <c r="AN453" s="806">
        <f>AN450-AN451</f>
        <v>0</v>
      </c>
      <c r="AO453" s="806">
        <f>AO450-AO451</f>
        <v>0</v>
      </c>
      <c r="AP453" s="806">
        <f>AP450-AP451</f>
        <v>0</v>
      </c>
      <c r="AQ453" s="806">
        <f>AQ450-AQ451</f>
        <v>0</v>
      </c>
      <c r="AR453" s="806">
        <f>AR450-AR451</f>
        <v>0</v>
      </c>
      <c r="AS453" s="806">
        <f>AS450-AS451</f>
        <v>0</v>
      </c>
      <c r="AT453" s="806">
        <f>AT450-AT451</f>
        <v>0</v>
      </c>
      <c r="AU453" s="806">
        <f>AU450-AU451</f>
        <v>0</v>
      </c>
      <c r="AV453" s="806">
        <f>AV450-AV451</f>
        <v>0</v>
      </c>
      <c r="AW453" s="806">
        <f>AW450-AW451</f>
        <v>0</v>
      </c>
      <c r="AX453" s="806">
        <f>AX450-AX451</f>
        <v>0</v>
      </c>
      <c r="AY453" s="806">
        <f>AY450-AY451</f>
        <v>0</v>
      </c>
      <c r="AZ453" s="806">
        <f>AZ450-AZ451</f>
        <v>0</v>
      </c>
      <c r="BA453" s="806">
        <f>BA450-BA451</f>
        <v>0</v>
      </c>
      <c r="BB453" s="806">
        <f>BB450-BB451</f>
        <v>0</v>
      </c>
      <c r="BC453" s="806">
        <f>BC450-BC451</f>
        <v>0</v>
      </c>
      <c r="BD453" s="925"/>
      <c r="BE453" s="925"/>
      <c r="BF453" s="925"/>
      <c r="BG453" s="925"/>
      <c r="BH453" s="925"/>
      <c r="BI453" s="925"/>
      <c r="BJ453" s="925"/>
      <c r="BK453" s="925"/>
      <c r="BL453" s="925"/>
      <c r="BM453" s="925"/>
      <c r="BN453" s="4830"/>
      <c r="BO453" s="4830"/>
      <c r="BP453" s="4830"/>
      <c r="BQ453" s="960"/>
      <c r="BR453" s="960"/>
      <c r="BS453" s="1046" t="s">
        <v>1778</v>
      </c>
      <c r="BT453" s="1048"/>
      <c r="BU453" s="1048"/>
      <c r="BV453" s="962"/>
      <c r="BW453" s="962"/>
    </row>
    <row s="1621" customFormat="1" customHeight="1" ht="14.25">
      <c r="A454" s="960"/>
      <c r="B454" s="62"/>
      <c r="C454" s="73"/>
      <c r="D454" s="73" cm="1" t="str">
        <f t="array" ref="D454:D454">D453</f>
        <v>13</v>
      </c>
      <c r="E454" s="600">
        <v>15</v>
      </c>
      <c r="F454" s="50" cm="1" t="str">
        <f t="array" ref="F454:F454">OFFSET(E454,-1,1)</f>
        <v>2</v>
      </c>
      <c r="G454" s="73" t="s">
        <v>1510</v>
      </c>
      <c r="H454" s="73"/>
      <c r="I454" s="73" t="s">
        <v>2070</v>
      </c>
      <c r="J454" s="73"/>
      <c r="K454" s="73" t="s">
        <v>2070</v>
      </c>
      <c r="L454" s="963" t="s">
        <v>1779</v>
      </c>
      <c r="M454" s="73"/>
      <c r="N454" s="73"/>
      <c r="O454" s="73"/>
      <c r="P454" s="73"/>
      <c r="Q454" s="73"/>
      <c r="R454" s="73"/>
      <c r="S454" s="73"/>
      <c r="T454" s="439" cm="1" t="str">
        <f t="array" ref="T454:T454">T453</f>
        <v>true</v>
      </c>
      <c r="U454" s="73"/>
      <c r="V454" s="73"/>
      <c r="W454" s="73"/>
      <c r="X454" s="1482"/>
      <c r="Y454" s="960"/>
      <c r="Z454" s="1465"/>
      <c r="AA454" s="960"/>
      <c r="AB454" s="267" t="str">
        <f>D454&amp;".4"</f>
        <v>13.4</v>
      </c>
      <c r="AC454" s="1096" t="s">
        <v>1750</v>
      </c>
      <c r="AD454" s="267" t="s">
        <v>1494</v>
      </c>
      <c r="AE454" s="4614">
        <f>IF(AE450=0,0,AE446*(1+Сценарии!AE$26/100))</f>
        <v>0</v>
      </c>
      <c r="AF454" s="4614">
        <f>IF(AF450=0,0,AF446*(1+Сценарии!AF$26/100))</f>
        <v>0</v>
      </c>
      <c r="AG454" s="4614">
        <f>IF(AG450=0,0,AG446*(1+Сценарии!AG$26/100))</f>
        <v>0</v>
      </c>
      <c r="AH454" s="926">
        <f>AG454-AF454</f>
        <v>0</v>
      </c>
      <c r="AI454" s="4614">
        <f>IF(AI450=0,0,AI446*(1+Сценарии!AI$26/100))</f>
        <v>0</v>
      </c>
      <c r="AJ454" s="4614">
        <f>IF(AJ450=0,0,AJ446*(1+Сценарии!AJ$26/100))</f>
        <v>0</v>
      </c>
      <c r="AK454" s="1289">
        <f>IF(AK450=0,0,AK446*(1+Сценарии!AO$26/100))</f>
        <v>0</v>
      </c>
      <c r="AL454" s="1289">
        <f>IF(AL450=0,0,AL446*(1+Сценарии!AP$26/100))</f>
        <v>0</v>
      </c>
      <c r="AM454" s="4614">
        <f>IF(AM450=0,0,AM446*(1+Сценарии!AQ$26/100))</f>
        <v>0</v>
      </c>
      <c r="AN454" s="4614">
        <f>IF(AN450=0,0,AN446*(1+Сценарии!AR$26/100))</f>
        <v>0</v>
      </c>
      <c r="AO454" s="4614">
        <f>IF(AO450=0,0,AO446*(1+Сценарии!AS$26/100))</f>
        <v>0</v>
      </c>
      <c r="AP454" s="4614">
        <f>IF(AP450=0,0,AP446*(1+Сценарии!AT$26/100))</f>
        <v>0</v>
      </c>
      <c r="AQ454" s="4614">
        <f>IF(AQ450=0,0,AQ446*(1+Сценарии!AU$26/100))</f>
        <v>0</v>
      </c>
      <c r="AR454" s="4614">
        <f>IF(AR450=0,0,AR446*(1+Сценарии!AV$26/100))</f>
        <v>0</v>
      </c>
      <c r="AS454" s="4614">
        <f>IF(AS450=0,0,AS446*(1+Сценарии!AW$26/100))</f>
        <v>0</v>
      </c>
      <c r="AT454" s="4614">
        <f>IF(AT450=0,0,AT446*(1+Сценарии!AK$26/100))</f>
        <v>0</v>
      </c>
      <c r="AU454" s="1289">
        <f>IF(AU450=0,0,AU446*(1+Сценарии!AX$26/100))</f>
        <v>0</v>
      </c>
      <c r="AV454" s="1289">
        <f>IF(AV450=0,0,AV446*(1+Сценарии!AY$26/100))</f>
        <v>0</v>
      </c>
      <c r="AW454" s="4614">
        <f>IF(AW450=0,0,AW446*(1+Сценарии!AZ$26/100))</f>
        <v>0</v>
      </c>
      <c r="AX454" s="4614">
        <f>IF(AX450=0,0,AX446*(1+Сценарии!BA$26/100))</f>
        <v>0</v>
      </c>
      <c r="AY454" s="4614">
        <f>IF(AY450=0,0,AY446*(1+Сценарии!BB$26/100))</f>
        <v>0</v>
      </c>
      <c r="AZ454" s="4614">
        <f>IF(AZ450=0,0,AZ446*(1+Сценарии!BC$26/100))</f>
        <v>0</v>
      </c>
      <c r="BA454" s="4614">
        <f>IF(BA450=0,0,BA446*(1+Сценарии!BD$26/100))</f>
        <v>0</v>
      </c>
      <c r="BB454" s="4614">
        <f>IF(BB450=0,0,BB446*(1+Сценарии!BE$26/100))</f>
        <v>0</v>
      </c>
      <c r="BC454" s="4614">
        <f>IF(BC450=0,0,BC446*(1+Сценарии!BF$26/100))</f>
        <v>0</v>
      </c>
      <c r="BD454" s="925"/>
      <c r="BE454" s="925"/>
      <c r="BF454" s="925"/>
      <c r="BG454" s="925"/>
      <c r="BH454" s="925"/>
      <c r="BI454" s="925"/>
      <c r="BJ454" s="925"/>
      <c r="BK454" s="925"/>
      <c r="BL454" s="925"/>
      <c r="BM454" s="925"/>
      <c r="BN454" s="4830"/>
      <c r="BO454" s="4830"/>
      <c r="BP454" s="4830"/>
      <c r="BQ454" s="960"/>
      <c r="BR454" s="960"/>
      <c r="BS454" s="1046" t="s">
        <v>1782</v>
      </c>
      <c r="BT454" s="1048"/>
      <c r="BU454" s="1048"/>
      <c r="BV454" s="962"/>
      <c r="BW454" s="962"/>
    </row>
    <row s="1621" customFormat="1" customHeight="1" ht="14.25">
      <c r="A455" s="960"/>
      <c r="B455" s="62"/>
      <c r="C455" s="73"/>
      <c r="D455" s="73">
        <f>D454+1</f>
        <v>14</v>
      </c>
      <c r="E455" s="600">
        <v>15</v>
      </c>
      <c r="F455" s="50" cm="1" t="str">
        <f t="array" ref="F455:F455">OFFSET(E455,-1,1)</f>
        <v>2</v>
      </c>
      <c r="G455" s="73"/>
      <c r="H455" s="73"/>
      <c r="I455" s="73"/>
      <c r="J455" s="73"/>
      <c r="K455" s="73"/>
      <c r="L455" s="963"/>
      <c r="M455" s="73"/>
      <c r="N455" s="73"/>
      <c r="O455" s="73"/>
      <c r="P455" s="73"/>
      <c r="Q455" s="73"/>
      <c r="R455" s="73"/>
      <c r="S455" s="73"/>
      <c r="T455" s="439" cm="1" t="str">
        <f t="array" ref="T455:T455">T454</f>
        <v>true</v>
      </c>
      <c r="U455" s="73"/>
      <c r="V455" s="73"/>
      <c r="W455" s="73"/>
      <c r="X455" s="1482"/>
      <c r="Y455" s="960"/>
      <c r="Z455" s="1465"/>
      <c r="AA455" s="960"/>
      <c r="AB455" s="178" cm="1" t="str">
        <f t="array" ref="AB455:AB455">D455</f>
        <v>14</v>
      </c>
      <c r="AC455" s="179" t="s">
        <v>1784</v>
      </c>
      <c r="AD455" s="178" t="s">
        <v>784</v>
      </c>
      <c r="AE455" s="4759"/>
      <c r="AF455" s="4759"/>
      <c r="AG455" s="4759"/>
      <c r="AH455" s="926"/>
      <c r="AI455" s="4614"/>
      <c r="AJ455" s="4614"/>
      <c r="AK455" s="1289"/>
      <c r="AL455" s="1289"/>
      <c r="AM455" s="4614"/>
      <c r="AN455" s="4614"/>
      <c r="AO455" s="4614"/>
      <c r="AP455" s="4614"/>
      <c r="AQ455" s="4614"/>
      <c r="AR455" s="4614"/>
      <c r="AS455" s="4614"/>
      <c r="AT455" s="4614"/>
      <c r="AU455" s="1289"/>
      <c r="AV455" s="1289"/>
      <c r="AW455" s="4614"/>
      <c r="AX455" s="4614"/>
      <c r="AY455" s="4614"/>
      <c r="AZ455" s="4614"/>
      <c r="BA455" s="4614"/>
      <c r="BB455" s="4614"/>
      <c r="BC455" s="4614"/>
      <c r="BD455" s="925"/>
      <c r="BE455" s="925"/>
      <c r="BF455" s="925"/>
      <c r="BG455" s="925"/>
      <c r="BH455" s="925"/>
      <c r="BI455" s="925"/>
      <c r="BJ455" s="925"/>
      <c r="BK455" s="925"/>
      <c r="BL455" s="925"/>
      <c r="BM455" s="925"/>
      <c r="BN455" s="4830"/>
      <c r="BO455" s="4830"/>
      <c r="BP455" s="4830"/>
      <c r="BQ455" s="960"/>
      <c r="BR455" s="960"/>
      <c r="BS455" s="1046" t="s">
        <v>1785</v>
      </c>
      <c r="BT455" s="1048"/>
      <c r="BU455" s="1048"/>
      <c r="BV455" s="962"/>
      <c r="BW455" s="962"/>
    </row>
    <row s="1621" customFormat="1" customHeight="1" ht="57.75">
      <c r="A456" s="960"/>
      <c r="B456" s="62"/>
      <c r="C456" s="73"/>
      <c r="D456" s="73" cm="1" t="str">
        <f t="array" ref="D456:D456">D455</f>
        <v>14</v>
      </c>
      <c r="E456" s="600">
        <v>59.25</v>
      </c>
      <c r="F456" s="50" cm="1" t="str">
        <f t="array" ref="F456:F456">OFFSET(E456,-1,1)</f>
        <v>2</v>
      </c>
      <c r="G456" s="73"/>
      <c r="H456" s="73"/>
      <c r="I456" s="73"/>
      <c r="J456" s="73"/>
      <c r="K456" s="73"/>
      <c r="L456" s="963"/>
      <c r="M456" s="73"/>
      <c r="N456" s="73"/>
      <c r="O456" s="73"/>
      <c r="P456" s="73"/>
      <c r="Q456" s="73"/>
      <c r="R456" s="73"/>
      <c r="S456" s="73"/>
      <c r="T456" s="439" cm="1" t="str">
        <f t="array" ref="T456:T456">T455</f>
        <v>true</v>
      </c>
      <c r="U456" s="73"/>
      <c r="V456" s="73"/>
      <c r="W456" s="73"/>
      <c r="X456" s="1482"/>
      <c r="Y456" s="960"/>
      <c r="Z456" s="1465"/>
      <c r="AA456" s="960"/>
      <c r="AB456" s="267" t="str">
        <f>D456&amp;".1"</f>
        <v>14.1</v>
      </c>
      <c r="AC456" s="743" t="s">
        <v>1787</v>
      </c>
      <c r="AD456" s="267" t="s">
        <v>784</v>
      </c>
      <c r="AE456" s="4759"/>
      <c r="AF456" s="4759"/>
      <c r="AG456" s="4759"/>
      <c r="AH456" s="926">
        <f>AG456-AF456</f>
        <v>0</v>
      </c>
      <c r="AI456" s="4614"/>
      <c r="AJ456" s="4614"/>
      <c r="AK456" s="1289"/>
      <c r="AL456" s="1289"/>
      <c r="AM456" s="4614"/>
      <c r="AN456" s="4614"/>
      <c r="AO456" s="4614"/>
      <c r="AP456" s="4614"/>
      <c r="AQ456" s="4614"/>
      <c r="AR456" s="4614"/>
      <c r="AS456" s="4614"/>
      <c r="AT456" s="4614"/>
      <c r="AU456" s="1289"/>
      <c r="AV456" s="1289"/>
      <c r="AW456" s="4614"/>
      <c r="AX456" s="4614"/>
      <c r="AY456" s="4614"/>
      <c r="AZ456" s="4614"/>
      <c r="BA456" s="4614"/>
      <c r="BB456" s="4614"/>
      <c r="BC456" s="4614"/>
      <c r="BD456" s="925"/>
      <c r="BE456" s="925"/>
      <c r="BF456" s="925"/>
      <c r="BG456" s="925"/>
      <c r="BH456" s="925"/>
      <c r="BI456" s="925"/>
      <c r="BJ456" s="925"/>
      <c r="BK456" s="925"/>
      <c r="BL456" s="925"/>
      <c r="BM456" s="925"/>
      <c r="BN456" s="4830"/>
      <c r="BO456" s="4830"/>
      <c r="BP456" s="4830"/>
      <c r="BQ456" s="960"/>
      <c r="BR456" s="960"/>
      <c r="BS456" s="1046" t="s">
        <v>1788</v>
      </c>
      <c r="BT456" s="1055"/>
      <c r="BU456" s="1055"/>
      <c r="BV456" s="1056"/>
      <c r="BW456" s="1056"/>
    </row>
    <row s="1621" customFormat="1" customHeight="1" ht="33">
      <c r="A457" s="960"/>
      <c r="B457" s="62"/>
      <c r="C457" s="73"/>
      <c r="D457" s="73" cm="1" t="str">
        <f t="array" ref="D457:D457">D456</f>
        <v>14</v>
      </c>
      <c r="E457" s="600">
        <v>34.2</v>
      </c>
      <c r="F457" s="50" cm="1" t="str">
        <f t="array" ref="F457:F457">OFFSET(E457,-1,1)</f>
        <v>2</v>
      </c>
      <c r="G457" s="73"/>
      <c r="H457" s="73"/>
      <c r="I457" s="73"/>
      <c r="J457" s="73"/>
      <c r="K457" s="73"/>
      <c r="L457" s="963"/>
      <c r="M457" s="73"/>
      <c r="N457" s="73"/>
      <c r="O457" s="73"/>
      <c r="P457" s="73"/>
      <c r="Q457" s="73"/>
      <c r="R457" s="73"/>
      <c r="S457" s="73"/>
      <c r="T457" s="439" cm="1" t="str">
        <f t="array" ref="T457:T457">T456</f>
        <v>true</v>
      </c>
      <c r="U457" s="73"/>
      <c r="V457" s="73"/>
      <c r="W457" s="73"/>
      <c r="X457" s="1482"/>
      <c r="Y457" s="960"/>
      <c r="Z457" s="1465"/>
      <c r="AA457" s="960"/>
      <c r="AB457" s="267" t="str">
        <f>D457&amp;".2"</f>
        <v>14.2</v>
      </c>
      <c r="AC457" s="743" t="s">
        <v>1790</v>
      </c>
      <c r="AD457" s="267" t="s">
        <v>784</v>
      </c>
      <c r="AE457" s="4759"/>
      <c r="AF457" s="4759"/>
      <c r="AG457" s="4759"/>
      <c r="AH457" s="926">
        <f>AG457-AF457</f>
        <v>0</v>
      </c>
      <c r="AI457" s="4614"/>
      <c r="AJ457" s="4614"/>
      <c r="AK457" s="1289"/>
      <c r="AL457" s="1289"/>
      <c r="AM457" s="4614"/>
      <c r="AN457" s="4614"/>
      <c r="AO457" s="4614"/>
      <c r="AP457" s="4614"/>
      <c r="AQ457" s="4614"/>
      <c r="AR457" s="4614"/>
      <c r="AS457" s="4614"/>
      <c r="AT457" s="4614"/>
      <c r="AU457" s="1289"/>
      <c r="AV457" s="1289"/>
      <c r="AW457" s="4614"/>
      <c r="AX457" s="4614"/>
      <c r="AY457" s="4614"/>
      <c r="AZ457" s="4614"/>
      <c r="BA457" s="4614"/>
      <c r="BB457" s="4614"/>
      <c r="BC457" s="4614"/>
      <c r="BD457" s="925"/>
      <c r="BE457" s="925"/>
      <c r="BF457" s="925"/>
      <c r="BG457" s="925"/>
      <c r="BH457" s="925"/>
      <c r="BI457" s="925"/>
      <c r="BJ457" s="925"/>
      <c r="BK457" s="925"/>
      <c r="BL457" s="925"/>
      <c r="BM457" s="925"/>
      <c r="BN457" s="4830"/>
      <c r="BO457" s="4830"/>
      <c r="BP457" s="4830"/>
      <c r="BQ457" s="960"/>
      <c r="BR457" s="960"/>
      <c r="BS457" s="1046" t="s">
        <v>1791</v>
      </c>
      <c r="BT457" s="1055"/>
      <c r="BU457" s="1055"/>
      <c r="BV457" s="1056"/>
      <c r="BW457" s="1056"/>
    </row>
    <row s="1621" customFormat="1" customHeight="1" ht="33">
      <c r="A458" s="472"/>
      <c r="B458" s="734"/>
      <c r="C458" s="73"/>
      <c r="D458" s="73" cm="1" t="str">
        <f t="array" ref="D458:D458">D457</f>
        <v>14</v>
      </c>
      <c r="E458" s="600">
        <v>34.2</v>
      </c>
      <c r="F458" s="50" cm="1" t="str">
        <f t="array" ref="F458:F458">OFFSET(E458,-1,1)</f>
        <v>2</v>
      </c>
      <c r="G458" s="73"/>
      <c r="H458" s="73"/>
      <c r="I458" s="73"/>
      <c r="J458" s="73"/>
      <c r="K458" s="73"/>
      <c r="L458" s="963"/>
      <c r="M458" s="73"/>
      <c r="N458" s="73"/>
      <c r="O458" s="73"/>
      <c r="P458" s="73"/>
      <c r="Q458" s="73"/>
      <c r="R458" s="73"/>
      <c r="S458" s="73"/>
      <c r="T458" s="439" cm="1" t="str">
        <f t="array" ref="T458:T458">T457</f>
        <v>true</v>
      </c>
      <c r="U458" s="73"/>
      <c r="V458" s="73"/>
      <c r="W458" s="73"/>
      <c r="X458" s="1482"/>
      <c r="Y458" s="472"/>
      <c r="Z458" s="1465"/>
      <c r="AA458" s="472"/>
      <c r="AB458" s="267" t="str">
        <f>D458&amp;".3"</f>
        <v>14.3</v>
      </c>
      <c r="AC458" s="743" t="s">
        <v>2071</v>
      </c>
      <c r="AD458" s="267" t="s">
        <v>784</v>
      </c>
      <c r="AE458" s="928"/>
      <c r="AF458" s="4759"/>
      <c r="AG458" s="4759"/>
      <c r="AH458" s="226">
        <f>AG458-AF458</f>
        <v>0</v>
      </c>
      <c r="AI458" s="928"/>
      <c r="AJ458" s="928"/>
      <c r="AK458" s="928"/>
      <c r="AL458" s="928"/>
      <c r="AM458" s="928"/>
      <c r="AN458" s="928"/>
      <c r="AO458" s="928"/>
      <c r="AP458" s="928"/>
      <c r="AQ458" s="928"/>
      <c r="AR458" s="928"/>
      <c r="AS458" s="928"/>
      <c r="AT458" s="928"/>
      <c r="AU458" s="928"/>
      <c r="AV458" s="928"/>
      <c r="AW458" s="928"/>
      <c r="AX458" s="928"/>
      <c r="AY458" s="928"/>
      <c r="AZ458" s="928"/>
      <c r="BA458" s="928"/>
      <c r="BB458" s="928"/>
      <c r="BC458" s="928"/>
      <c r="BD458" s="928"/>
      <c r="BE458" s="928"/>
      <c r="BF458" s="928"/>
      <c r="BG458" s="928"/>
      <c r="BH458" s="928"/>
      <c r="BI458" s="928"/>
      <c r="BJ458" s="928"/>
      <c r="BK458" s="928"/>
      <c r="BL458" s="928"/>
      <c r="BM458" s="928"/>
      <c r="BN458" s="4830"/>
      <c r="BO458" s="4830"/>
      <c r="BP458" s="4830"/>
      <c r="BQ458" s="960"/>
      <c r="BR458" s="960"/>
      <c r="BS458" s="1055" t="s">
        <v>2072</v>
      </c>
      <c r="BT458" s="1055"/>
      <c r="BU458" s="1055"/>
      <c r="BV458" s="1056"/>
      <c r="BW458" s="1056"/>
    </row>
    <row s="1621" customFormat="1" customHeight="1" ht="10.96875">
      <c r="B459" s="808"/>
      <c r="C459" s="0"/>
      <c r="D459" s="0"/>
      <c r="E459" s="651">
        <v>11.25</v>
      </c>
      <c r="F459" s="51"/>
      <c r="G459" s="0"/>
      <c r="H459" s="0"/>
      <c r="I459" s="0"/>
      <c r="J459" s="0"/>
      <c r="K459" s="0"/>
      <c r="L459" s="0"/>
      <c r="M459" s="0"/>
      <c r="N459" s="0"/>
      <c r="O459" s="0"/>
      <c r="P459" s="0"/>
      <c r="Q459" s="0"/>
      <c r="R459" s="0"/>
      <c r="S459" s="0"/>
      <c r="T459" s="0"/>
      <c r="U459" s="0" t="s">
        <v>177</v>
      </c>
      <c r="V459" s="809" t="s">
        <v>2097</v>
      </c>
      <c r="W459" s="0"/>
      <c r="AB459" s="0"/>
      <c r="AC459" s="456"/>
      <c r="AD459" s="456"/>
      <c r="AE459" s="456"/>
      <c r="AF459" s="456"/>
      <c r="AG459" s="0"/>
      <c r="AH459" s="0"/>
      <c r="AI459" s="0"/>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0"/>
      <c r="BO459" s="0"/>
      <c r="BP459" s="0"/>
      <c r="BS459" s="987"/>
      <c r="BT459" s="987"/>
      <c r="BU459" s="987"/>
      <c r="BV459" s="603"/>
      <c r="BW459" s="603"/>
    </row>
    <row customHeight="1" ht="14.625">
      <c r="B460" s="62"/>
      <c r="C460" s="73"/>
      <c r="D460" s="73"/>
      <c r="E460" s="600">
        <v>15</v>
      </c>
      <c r="F460" s="73"/>
      <c r="G460" s="73"/>
      <c r="H460" s="73"/>
      <c r="I460" s="73"/>
      <c r="J460" s="73"/>
      <c r="K460" s="73"/>
      <c r="L460" s="963"/>
      <c r="M460" s="73"/>
      <c r="N460" s="73"/>
      <c r="O460" s="73"/>
      <c r="P460" s="73"/>
      <c r="Q460" s="73"/>
      <c r="R460" s="73"/>
      <c r="S460" s="73"/>
      <c r="T460" s="73"/>
      <c r="U460" s="73"/>
      <c r="V460" s="73"/>
      <c r="W460" s="73"/>
      <c r="AB460" s="1485" t="s">
        <v>398</v>
      </c>
      <c r="AC460" s="1485"/>
      <c r="AD460" s="1485"/>
      <c r="AE460" s="1485"/>
      <c r="AF460" s="1485"/>
      <c r="AG460" s="1485"/>
      <c r="AH460" s="1485"/>
      <c r="AI460" s="1485"/>
      <c r="AJ460" s="1485"/>
      <c r="AK460" s="1485"/>
      <c r="AL460" s="1485"/>
      <c r="AM460" s="1485"/>
      <c r="AN460" s="1485"/>
      <c r="AO460" s="1485"/>
      <c r="AP460" s="1485"/>
      <c r="AQ460" s="1485"/>
      <c r="AR460" s="1485"/>
      <c r="AS460" s="1485"/>
      <c r="AT460" s="1485"/>
      <c r="AU460" s="1485"/>
      <c r="AV460" s="1485"/>
      <c r="AW460" s="1485"/>
      <c r="AX460" s="1485"/>
      <c r="AY460" s="1485"/>
      <c r="AZ460" s="1485"/>
      <c r="BA460" s="1485"/>
      <c r="BB460" s="1485"/>
      <c r="BC460" s="1485"/>
      <c r="BD460" s="1485"/>
      <c r="BE460" s="1485"/>
      <c r="BF460" s="1485"/>
      <c r="BG460" s="1485"/>
      <c r="BH460" s="1485"/>
      <c r="BI460" s="1485"/>
      <c r="BJ460" s="1485"/>
      <c r="BK460" s="1485"/>
      <c r="BL460" s="1485"/>
      <c r="BM460" s="1485"/>
      <c r="BN460" s="1485"/>
      <c r="BO460" s="1485"/>
      <c r="BP460" s="1485"/>
    </row>
    <row customHeight="1" ht="23.25">
      <c r="B461" s="62"/>
      <c r="C461" s="73"/>
      <c r="D461" s="73"/>
      <c r="E461" s="600">
        <v>15</v>
      </c>
      <c r="F461" s="73"/>
      <c r="G461" s="73"/>
      <c r="H461" s="73"/>
      <c r="I461" s="73"/>
      <c r="J461" s="73"/>
      <c r="K461" s="73"/>
      <c r="N461" s="73"/>
      <c r="O461" s="73"/>
      <c r="P461" s="73"/>
      <c r="Q461" s="73"/>
      <c r="R461" s="73"/>
      <c r="S461" s="73"/>
      <c r="T461" s="73"/>
      <c r="U461" s="73"/>
      <c r="V461" s="73"/>
      <c r="W461" s="73"/>
      <c r="AA461" s="140"/>
      <c r="AB461" s="1562" t="s">
        <v>2098</v>
      </c>
      <c r="AC461" s="1564"/>
      <c r="AD461" s="1564"/>
      <c r="AE461" s="1564"/>
      <c r="AF461" s="1564"/>
      <c r="AG461" s="1564"/>
      <c r="AH461" s="1564"/>
      <c r="AI461" s="1564"/>
      <c r="AJ461" s="1564"/>
      <c r="AK461" s="1564"/>
      <c r="AL461" s="1564"/>
      <c r="AM461" s="1564"/>
      <c r="AN461" s="1564"/>
      <c r="AO461" s="1564"/>
      <c r="AP461" s="1564"/>
      <c r="AQ461" s="1564"/>
      <c r="AR461" s="1564"/>
      <c r="AS461" s="1564"/>
      <c r="AT461" s="1564"/>
      <c r="AU461" s="1564"/>
      <c r="AV461" s="1564"/>
      <c r="AW461" s="1564"/>
      <c r="AX461" s="1564"/>
      <c r="AY461" s="1564"/>
      <c r="AZ461" s="1564"/>
      <c r="BA461" s="1564"/>
      <c r="BB461" s="1564"/>
      <c r="BC461" s="1564"/>
      <c r="BD461" s="1564"/>
      <c r="BE461" s="1564"/>
      <c r="BF461" s="1564"/>
      <c r="BG461" s="1564"/>
      <c r="BH461" s="1564"/>
      <c r="BI461" s="1564"/>
      <c r="BJ461" s="1564"/>
      <c r="BK461" s="1564"/>
      <c r="BL461" s="1564"/>
      <c r="BM461" s="1564"/>
      <c r="BN461" s="1564"/>
      <c r="BO461" s="1564"/>
      <c r="BP461" s="1564"/>
    </row>
    <row customHeight="1" ht="14.625" hidden="1">
      <c r="A462" s="960"/>
      <c r="B462" s="62"/>
      <c r="C462" s="73"/>
      <c r="D462" s="73"/>
      <c r="E462" s="600">
        <v>15</v>
      </c>
      <c r="F462" s="73"/>
      <c r="G462" s="73"/>
      <c r="H462" s="73"/>
      <c r="I462" s="73"/>
      <c r="J462" s="73"/>
      <c r="K462" s="73"/>
      <c r="L462" s="960"/>
      <c r="M462" s="960"/>
      <c r="N462" s="73"/>
      <c r="O462" s="73"/>
      <c r="P462" s="73"/>
      <c r="Q462" s="73"/>
      <c r="R462" s="73"/>
      <c r="S462" s="73"/>
      <c r="T462" s="439">
        <f>ROW(W462)&gt;ROW(W$462)</f>
        <v>0</v>
      </c>
      <c r="U462" s="73"/>
      <c r="V462" s="73"/>
      <c r="W462" s="73" t="s">
        <v>173</v>
      </c>
      <c r="X462" s="960"/>
      <c r="Y462" s="960"/>
      <c r="Z462" s="960"/>
      <c r="AA462" s="393" t="s">
        <v>174</v>
      </c>
      <c r="AB462" s="1580" t="s">
        <v>222</v>
      </c>
      <c r="AC462" s="1564"/>
      <c r="AD462" s="1564"/>
      <c r="AE462" s="1564"/>
      <c r="AF462" s="1564"/>
      <c r="AG462" s="1564"/>
      <c r="AH462" s="1564"/>
      <c r="AI462" s="1564"/>
      <c r="AJ462" s="1564"/>
      <c r="AK462" s="1564"/>
      <c r="AL462" s="1564"/>
      <c r="AM462" s="1564"/>
      <c r="AN462" s="1564"/>
      <c r="AO462" s="1564"/>
      <c r="AP462" s="1564"/>
      <c r="AQ462" s="1564"/>
      <c r="AR462" s="1564"/>
      <c r="AS462" s="1564"/>
      <c r="AT462" s="1564"/>
      <c r="AU462" s="1564"/>
      <c r="AV462" s="1564"/>
      <c r="AW462" s="1564"/>
      <c r="AX462" s="1564"/>
      <c r="AY462" s="1564"/>
      <c r="AZ462" s="1564"/>
      <c r="BA462" s="1564"/>
      <c r="BB462" s="1564"/>
      <c r="BC462" s="1564"/>
      <c r="BD462" s="1564"/>
      <c r="BE462" s="1564"/>
      <c r="BF462" s="1564"/>
      <c r="BG462" s="1564"/>
      <c r="BH462" s="1564"/>
      <c r="BI462" s="1564"/>
      <c r="BJ462" s="1564"/>
      <c r="BK462" s="1564"/>
      <c r="BL462" s="1564"/>
      <c r="BM462" s="1564"/>
      <c r="BN462" s="1564"/>
      <c r="BO462" s="1564"/>
      <c r="BP462" s="1564"/>
      <c r="BQ462" s="960"/>
      <c r="BR462" s="960"/>
      <c r="BS462" s="1048"/>
      <c r="BT462" s="1048"/>
      <c r="BU462" s="1048"/>
      <c r="BV462" s="962"/>
      <c r="BW462" s="962"/>
    </row>
    <row customHeight="1" ht="14.625">
      <c r="B463" s="62"/>
      <c r="C463" s="73"/>
      <c r="D463" s="73"/>
      <c r="E463" s="600">
        <v>15</v>
      </c>
      <c r="F463" s="73"/>
      <c r="G463" s="73"/>
      <c r="H463" s="73"/>
      <c r="I463" s="73"/>
      <c r="J463" s="73"/>
      <c r="K463" s="73"/>
      <c r="N463" s="73"/>
      <c r="O463" s="73"/>
      <c r="P463" s="73"/>
      <c r="Q463" s="73"/>
      <c r="R463" s="73"/>
      <c r="S463" s="73"/>
      <c r="T463" s="73"/>
      <c r="U463" s="73"/>
      <c r="V463" s="73"/>
      <c r="W463" s="810" t="s">
        <v>399</v>
      </c>
      <c r="AB463" s="770"/>
      <c r="AC463" s="488" t="s">
        <v>400</v>
      </c>
      <c r="AD463" s="771"/>
      <c r="AE463" s="771"/>
      <c r="AF463" s="771"/>
      <c r="AG463" s="771"/>
      <c r="AH463" s="771"/>
      <c r="AI463" s="771"/>
      <c r="AJ463" s="771"/>
      <c r="AK463" s="771"/>
      <c r="AL463" s="771"/>
      <c r="AM463" s="771"/>
      <c r="AN463" s="771"/>
      <c r="AO463" s="771"/>
      <c r="AP463" s="771"/>
      <c r="AQ463" s="771"/>
      <c r="AR463" s="771"/>
      <c r="AS463" s="771"/>
      <c r="AT463" s="771"/>
      <c r="AU463" s="771"/>
      <c r="AV463" s="771"/>
      <c r="AW463" s="771"/>
      <c r="AX463" s="771"/>
      <c r="AY463" s="771"/>
      <c r="AZ463" s="771"/>
      <c r="BA463" s="771"/>
      <c r="BB463" s="771"/>
      <c r="BC463" s="771"/>
      <c r="BD463" s="771"/>
      <c r="BE463" s="771"/>
      <c r="BF463" s="771"/>
      <c r="BG463" s="771"/>
      <c r="BH463" s="771"/>
      <c r="BI463" s="771"/>
      <c r="BJ463" s="771"/>
      <c r="BK463" s="771"/>
      <c r="BL463" s="771"/>
      <c r="BM463" s="771"/>
      <c r="BN463" s="771"/>
      <c r="BO463" s="771"/>
      <c r="BP463" s="772"/>
    </row>
    <row customHeight="1" ht="10.96875">
      <c r="E464" s="683">
        <v>11.25</v>
      </c>
      <c r="AJ464" s="960"/>
      <c r="AK464" s="960"/>
      <c r="AL464" s="960"/>
      <c r="AM464" s="960"/>
      <c r="AN464" s="960"/>
      <c r="AO464" s="960"/>
      <c r="AP464" s="960"/>
      <c r="AQ464" s="960"/>
      <c r="AR464" s="960"/>
      <c r="AS464" s="960"/>
      <c r="AT464" s="960"/>
      <c r="AU464" s="960"/>
      <c r="AV464" s="960"/>
      <c r="AW464" s="960"/>
      <c r="AX464" s="960"/>
      <c r="AY464" s="960"/>
      <c r="AZ464" s="960"/>
      <c r="BA464" s="960"/>
      <c r="BB464" s="960"/>
      <c r="BC464" s="960"/>
      <c r="BD464" s="960"/>
      <c r="BE464" s="960"/>
      <c r="BF464" s="960"/>
      <c r="BG464" s="960"/>
      <c r="BH464" s="960"/>
      <c r="BI464" s="960"/>
      <c r="BJ464" s="960"/>
      <c r="BK464" s="960"/>
      <c r="BL464" s="960"/>
      <c r="BM464" s="960"/>
      <c r="BQ464" s="399"/>
    </row>
  </sheetData>
  <sheetProtection formatColumns="0" formatRows="0" insertRows="0" deleteColumns="0" deleteRows="0" sort="0" autoFilter="0" insertColumns="1"/>
  <mergeCells count="16">
    <mergeCell ref="BP24:BP25"/>
    <mergeCell ref="BD25:BM25"/>
    <mergeCell ref="AB24:AB25"/>
    <mergeCell ref="AC24:AC25"/>
    <mergeCell ref="AD24:AD25"/>
    <mergeCell ref="BN24:BN25"/>
    <mergeCell ref="BO24:BO25"/>
    <mergeCell ref="AB460:BP460"/>
    <mergeCell ref="AB461:BP461"/>
    <mergeCell ref="AB462:BP462"/>
    <mergeCell ref="X27:X170"/>
    <mergeCell ref="Z27:Z170"/>
    <mergeCell ref="X171:X314"/>
    <mergeCell ref="Z171:Z314"/>
    <mergeCell ref="X315:X458"/>
    <mergeCell ref="Z315:Z45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688998-6175-01C8-4BE8-5E44CB91A3C8}" mc:Ignorable="x14ac xr xr2 xr3">
  <sheetPr>
    <tabColor rgb="FF002060"/>
    <outlinePr summaryRight="0" summaryBelow="0"/>
  </sheetPr>
  <dimension ref="A1:AQ189"/>
  <sheetViews>
    <sheetView showGridLines="0" workbookViewId="0">
      <pane xSplit="28" ySplit="28" topLeftCell="AC29" activePane="bottomRight" state="frozen"/>
      <selection pane="bottomLeft" activeCell="A29" sqref="A29"/>
      <selection pane="topRight" activeCell="AC1" sqref="AC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10.28125" hidden="1" customWidth="1"/>
    <col min="12" max="19" style="676" width="3.57421875" hidden="1" customWidth="1"/>
    <col min="20" max="20" style="676" width="8.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40" style="676" width="9.140625" hidden="1"/>
    <col min="41" max="41" style="1061" width="9.140625" hidden="1"/>
    <col min="42" max="43" style="676" width="9.140625" hidden="1"/>
  </cols>
  <sheetData>
    <row customHeight="1" ht="11.25" hidden="1">
      <c r="E1" s="64"/>
      <c r="F1" s="64" t="s">
        <v>313</v>
      </c>
      <c r="K1" s="64" t="s">
        <v>354</v>
      </c>
      <c r="T1" s="439" t="s">
        <v>92</v>
      </c>
      <c r="U1" s="439" t="s">
        <v>97</v>
      </c>
      <c r="V1" s="439" t="s">
        <v>93</v>
      </c>
      <c r="W1" s="439" t="s">
        <v>94</v>
      </c>
      <c r="X1" s="439" t="s">
        <v>95</v>
      </c>
      <c r="Y1" s="441" t="s">
        <v>315</v>
      </c>
      <c r="Z1" s="439" t="s">
        <v>99</v>
      </c>
      <c r="AA1" s="440" t="s">
        <v>96</v>
      </c>
      <c r="AB1" s="51"/>
      <c r="AC1" s="440" t="s">
        <v>98</v>
      </c>
      <c r="AH1" s="676"/>
      <c r="AI1" s="676"/>
      <c r="AJ1" s="676"/>
      <c r="AK1" s="676"/>
      <c r="AM1" s="64" t="s">
        <v>2099</v>
      </c>
      <c r="AO1" s="998" t="s">
        <v>359</v>
      </c>
    </row>
    <row s="1176" customFormat="1" customHeight="1" ht="11.25" hidden="1">
      <c r="B2" s="418" t="s">
        <v>18</v>
      </c>
      <c r="AB2" s="402"/>
      <c r="AG2" s="418">
        <f>$AF$24="нет"</f>
        <v>1</v>
      </c>
      <c r="AH2" s="418">
        <f>$AF$24="да"</f>
        <v>0</v>
      </c>
      <c r="AI2" s="418">
        <f>$AF$24="да"</f>
        <v>0</v>
      </c>
      <c r="AJ2" s="418">
        <f>$AF$24="да"</f>
        <v>0</v>
      </c>
      <c r="AK2" s="418">
        <f>$AF$24="да"</f>
        <v>0</v>
      </c>
      <c r="AO2" s="999"/>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O5" s="998"/>
    </row>
    <row customHeight="1" ht="11.25" hidden="1">
      <c r="A6" s="64" t="s">
        <v>324</v>
      </c>
      <c r="AC6" s="64" t="s">
        <v>325</v>
      </c>
      <c r="AD6" s="64" t="s">
        <v>326</v>
      </c>
      <c r="AE6" s="64" t="s">
        <v>327</v>
      </c>
      <c r="AF6" s="64" t="s">
        <v>514</v>
      </c>
      <c r="AG6" s="64" t="s">
        <v>518</v>
      </c>
      <c r="AH6" s="64" t="s">
        <v>2100</v>
      </c>
      <c r="AI6" s="64" t="s">
        <v>2101</v>
      </c>
      <c r="AJ6" s="64" t="s">
        <v>2102</v>
      </c>
      <c r="AK6" s="64" t="s">
        <v>2103</v>
      </c>
    </row>
    <row customHeight="1" ht="11.25" hidden="1">
      <c r="AH7" s="676"/>
      <c r="AI7" s="676"/>
      <c r="AJ7" s="676"/>
      <c r="AK7" s="676"/>
    </row>
    <row customHeight="1" ht="11.25" hidden="1">
      <c r="AH8" s="676"/>
      <c r="AI8" s="676"/>
      <c r="AJ8" s="676"/>
      <c r="AK8" s="676"/>
    </row>
    <row s="1061" customFormat="1" customHeight="1" ht="11.25" hidden="1">
      <c r="A9" s="998" t="s">
        <v>316</v>
      </c>
      <c r="B9" s="999"/>
      <c r="AB9" s="1038"/>
      <c r="AC9" s="1057" t="s">
        <v>2104</v>
      </c>
      <c r="AD9" s="1057" t="s">
        <v>2105</v>
      </c>
      <c r="AE9" s="1057" t="s">
        <v>2106</v>
      </c>
      <c r="AF9" s="1057" t="s">
        <v>2107</v>
      </c>
      <c r="AG9" s="1057" t="s">
        <v>2108</v>
      </c>
      <c r="AH9" s="1057" t="s">
        <v>2109</v>
      </c>
      <c r="AI9" s="1057" t="s">
        <v>2110</v>
      </c>
      <c r="AJ9" s="1057" t="s">
        <v>2111</v>
      </c>
      <c r="AK9" s="998" t="s">
        <v>2112</v>
      </c>
    </row>
    <row customHeight="1" ht="11.25" hidden="1">
      <c r="AH10" s="676"/>
      <c r="AI10" s="676"/>
      <c r="AJ10" s="676"/>
      <c r="AK10" s="676"/>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398"/>
      <c r="AB21" s="334" cm="1" t="str">
        <f t="array" ref="AB21:AB21">tpl_title</f>
        <v>Кемеровская область / 2026 / Филиал АО "УК "Кузбассразрезуголь" "Талдинский угольный разрез" (ИНН:4205049090, КПП:423802002) / ДПР: 2024-2028</v>
      </c>
      <c r="AH21" s="676"/>
      <c r="AI21" s="676"/>
      <c r="AJ21" s="676"/>
      <c r="AK21" s="676"/>
    </row>
    <row s="1168" customFormat="1" customHeight="1" ht="23.400000000000002">
      <c r="B22" s="400"/>
      <c r="E22" s="612">
        <v>24</v>
      </c>
      <c r="AB22" s="287" t="s">
        <v>84</v>
      </c>
      <c r="AC22" s="173"/>
      <c r="AD22" s="173"/>
      <c r="AE22" s="173"/>
      <c r="AF22" s="173"/>
      <c r="AG22" s="173"/>
      <c r="AH22" s="173"/>
      <c r="AI22" s="173"/>
      <c r="AJ22" s="173"/>
      <c r="AK22" s="173"/>
      <c r="AO22" s="1001"/>
    </row>
    <row customHeight="1" ht="10.96875">
      <c r="E23" s="611">
        <v>11.25</v>
      </c>
      <c r="AB23" s="110"/>
      <c r="AC23" s="110"/>
      <c r="AH23" s="676"/>
      <c r="AI23" s="676"/>
      <c r="AJ23" s="676"/>
      <c r="AK23" s="676"/>
    </row>
    <row customHeight="1" ht="19.74375">
      <c r="E24" s="611">
        <v>20.25</v>
      </c>
      <c r="AB24" s="1560" t="s">
        <v>2113</v>
      </c>
      <c r="AC24" s="1560"/>
      <c r="AD24" s="1560"/>
      <c r="AE24" s="1560"/>
      <c r="AF24" s="315" t="s">
        <v>152</v>
      </c>
      <c r="AH24" s="676"/>
      <c r="AI24" s="676"/>
      <c r="AJ24" s="676"/>
      <c r="AK24" s="676"/>
    </row>
    <row customHeight="1" ht="10.96875">
      <c r="E25" s="611">
        <v>11.25</v>
      </c>
      <c r="AB25" s="110"/>
      <c r="AC25" s="110"/>
      <c r="AH25" s="676"/>
      <c r="AI25" s="676"/>
      <c r="AJ25" s="676"/>
      <c r="AK25" s="676"/>
    </row>
    <row s="1187" customFormat="1" customHeight="1" ht="38.025">
      <c r="B26" s="402"/>
      <c r="E26" s="609">
        <v>39</v>
      </c>
      <c r="AB26" s="1582" t="s">
        <v>2114</v>
      </c>
      <c r="AC26" s="1489" t="s">
        <v>2115</v>
      </c>
      <c r="AD26" s="1489" t="s">
        <v>442</v>
      </c>
      <c r="AE26" s="1469" t="s">
        <v>2116</v>
      </c>
      <c r="AF26" s="1485" t="s">
        <v>2117</v>
      </c>
      <c r="AG26" s="1485"/>
      <c r="AH26" s="1485"/>
      <c r="AI26" s="1485"/>
      <c r="AJ26" s="1485"/>
      <c r="AK26" s="1485"/>
      <c r="AO26" s="996"/>
    </row>
    <row s="1187" customFormat="1" customHeight="1" ht="35.1">
      <c r="B27" s="402"/>
      <c r="E27" s="609">
        <v>36</v>
      </c>
      <c r="AB27" s="1583"/>
      <c r="AC27" s="1489"/>
      <c r="AD27" s="1489"/>
      <c r="AE27" s="1489"/>
      <c r="AF27" s="811" t="s">
        <v>562</v>
      </c>
      <c r="AG27" s="811" t="s">
        <v>2118</v>
      </c>
      <c r="AH27" s="811" t="s">
        <v>2119</v>
      </c>
      <c r="AI27" s="811" t="s">
        <v>2120</v>
      </c>
      <c r="AJ27" s="811" t="s">
        <v>2121</v>
      </c>
      <c r="AK27" s="811" t="s">
        <v>2122</v>
      </c>
      <c r="AO27" s="996"/>
    </row>
    <row s="1484" customFormat="1" customHeight="1" ht="11.2125">
      <c r="B28" s="402"/>
      <c r="E28" s="234">
        <v>11.5</v>
      </c>
      <c r="AB28" s="1584"/>
      <c r="AC28" s="812" t="s">
        <v>784</v>
      </c>
      <c r="AD28" s="812" t="s">
        <v>437</v>
      </c>
      <c r="AE28" s="747" t="s">
        <v>437</v>
      </c>
      <c r="AF28" s="812" t="s">
        <v>437</v>
      </c>
      <c r="AG28" s="812" t="s">
        <v>2123</v>
      </c>
      <c r="AH28" s="812" t="s">
        <v>2123</v>
      </c>
      <c r="AI28" s="812" t="s">
        <v>2123</v>
      </c>
      <c r="AJ28" s="812" t="s">
        <v>2123</v>
      </c>
      <c r="AK28" s="812" t="s">
        <v>2123</v>
      </c>
      <c r="AO28" s="1014"/>
    </row>
    <row s="1621" customFormat="1" customHeight="1" ht="11.25">
      <c r="B29" s="403"/>
      <c r="E29" s="651" t="s">
        <v>366</v>
      </c>
      <c r="F29" s="51"/>
      <c r="AB29" s="0"/>
      <c r="AC29" s="456"/>
      <c r="AD29" s="456"/>
      <c r="AE29" s="456"/>
      <c r="AF29" s="456"/>
      <c r="AG29" s="0"/>
      <c r="AH29" s="0"/>
      <c r="AI29" s="0"/>
      <c r="AJ29" s="0"/>
      <c r="AK29" s="0"/>
      <c r="AO29" s="987"/>
      <c r="AQ29" s="67"/>
    </row>
    <row s="1153" customFormat="1" customHeight="1" ht="14.625" hidden="1">
      <c r="A30" s="1153"/>
      <c r="B30" s="401"/>
      <c r="C30" s="1153"/>
      <c r="D30" s="1153"/>
      <c r="E30" s="597">
        <v>15</v>
      </c>
      <c r="F30" s="64" cm="1" t="str">
        <f t="array" ref="F30:F30">X30</f>
        <v>0</v>
      </c>
      <c r="G30" s="1153"/>
      <c r="H30" s="1153"/>
      <c r="I30" s="1153"/>
      <c r="J30" s="1153"/>
      <c r="K30" s="1153"/>
      <c r="L30" s="1153"/>
      <c r="M30" s="1153"/>
      <c r="N30" s="1153"/>
      <c r="O30" s="1153"/>
      <c r="P30" s="1153"/>
      <c r="Q30" s="1153"/>
      <c r="R30" s="1153"/>
      <c r="S30" s="1153"/>
      <c r="T30" s="439">
        <f>X30&gt;0</f>
        <v>0</v>
      </c>
      <c r="U30" s="1153"/>
      <c r="V30" s="88" t="s">
        <v>261</v>
      </c>
      <c r="W30" s="1153"/>
      <c r="X30" s="1482">
        <v>0</v>
      </c>
      <c r="Y30" s="1153"/>
      <c r="Z30" s="1465"/>
      <c r="AA30" s="1153"/>
      <c r="AB30" s="348" cm="1" t="str">
        <f t="array" ref="AB30:AB30">INDEX('Общие сведения'!$AG$179:$AG$222,MATCH($X30,'Общие сведения'!$Z$179:$Z$222,0))</f>
        <v>Тариф 0 () - </v>
      </c>
      <c r="AC30" s="813"/>
      <c r="AD30" s="813"/>
      <c r="AE30" s="813"/>
      <c r="AF30" s="813"/>
      <c r="AG30" s="813"/>
      <c r="AH30" s="813"/>
      <c r="AI30" s="813"/>
      <c r="AJ30" s="813"/>
      <c r="AK30" s="813"/>
      <c r="AL30" s="374"/>
      <c r="AM30" s="1153"/>
      <c r="AN30" s="1153"/>
      <c r="AO30" s="980"/>
      <c r="AP30" s="1153"/>
      <c r="AQ30" s="1153"/>
    </row>
    <row s="960" customFormat="1" customHeight="1" ht="14.625" hidden="1">
      <c r="A31" s="960"/>
      <c r="B31" s="418">
        <f>K31&lt;first_year+PERIOD_LENGTH</f>
        <v>1</v>
      </c>
      <c r="C31" s="960"/>
      <c r="D31" s="960"/>
      <c r="E31" s="683">
        <v>15</v>
      </c>
      <c r="F31" s="50" cm="1" t="str">
        <f t="array" ref="F31:F31">OFFSET(E31,-1,1)</f>
        <v>0</v>
      </c>
      <c r="G31" s="960"/>
      <c r="H31" s="960"/>
      <c r="I31" s="960"/>
      <c r="J31" s="960"/>
      <c r="K31" s="124" cm="1" t="str">
        <f t="array" ref="K31:K31">first_year</f>
        <v>2024</v>
      </c>
      <c r="L31" s="960"/>
      <c r="M31" s="960"/>
      <c r="N31" s="960"/>
      <c r="O31" s="960"/>
      <c r="P31" s="960"/>
      <c r="Q31" s="960"/>
      <c r="R31" s="960"/>
      <c r="S31" s="960"/>
      <c r="T31" s="439" cm="1" t="str">
        <f t="array" ref="T31:T31">T30</f>
        <v>false</v>
      </c>
      <c r="U31" s="960"/>
      <c r="V31" s="960"/>
      <c r="W31" s="960"/>
      <c r="X31" s="1482"/>
      <c r="Y31" s="960"/>
      <c r="Z31" s="1465"/>
      <c r="AA31" s="960"/>
      <c r="AB31" s="814" t="str">
        <f>K31&amp;" год"</f>
        <v>2024 год</v>
      </c>
      <c r="AC31" s="4910">
        <f>IF(god=first_year,_xlfn.SUMIFS('Калькуляция (МИ)'!AT$26:AT$459,'Калькуляция (МИ)'!F$26:F$459,F31,'Калькуляция (МИ)'!AC$26:AC$459,"операционные расходы"),IF(god&lt;first_year+3,_xlfn.IFERROR(_xlfn.SUMIFS(INDEX('Калькуляция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4911">
        <f>_xlfn.IFERROR(_xlfn.SUMIFS(INDEX(Сценарии!$AE$25:$BF$109,,MATCH($K31&amp;"Принято органом регулирования",Сценарии!$AE$8:$BF$8,0)),Сценарии!$F$25:$F$109,$F31,Сценарии!$AC$25:$AC$109,"Индекс эффективности операционных расходов"),0)</f>
        <v>0</v>
      </c>
      <c r="AE31" s="4912"/>
      <c r="AF31" s="4912">
        <f>_xlfn.IFERROR(_xlfn.SUMIFS(INDEX(Баланс!$AE$25:$BB$300,,MATCH($K31&amp;"Принято органом регулирования",Баланс!$AE$8:$BB$8,0)),Баланс!$F$25:$F$300,$F31,Баланс!$AC$24:$AC$300,"Уровень потерь воды"),0)</f>
        <v>0</v>
      </c>
      <c r="AG31" s="4913">
        <f>_xlfn.IFERROR(_xlfn.SUMIFS(INDEX(Electricity_LOAD_1,,MATCH($K31&amp;"Принято органом регулирования",ЭЭ!$AE$8:$BB$8,0)),ЭЭ!$F$25:$F$93,$F31,ЭЭ!$AC$25:$AC$93,"Удельный расход электроэнергии"),0)</f>
        <v>0</v>
      </c>
      <c r="AH31" s="4911">
        <f>_xlfn.IFERROR(_xlfn.SUMIFS(INDEX(Electricity_LOAD_1,,MATCH($K31&amp;"Принято органом регулирования",ЭЭ!$AE$8:$BB$8,0)),ЭЭ!$F$25:$F$93,$F31,ЭЭ!$AC$25:$AC$93,"Удельный расход электроэнергии"),0)</f>
        <v>0</v>
      </c>
      <c r="AI31" s="4911">
        <f>_xlfn.IFERROR(_xlfn.SUMIFS(INDEX(Electricity_LOAD_1,,MATCH($K31&amp;"Принято органом регулирования",ЭЭ!$AE$8:$BB$8,0)),ЭЭ!$F$25:$F$93,$F31,ЭЭ!$AC$25:$AC$93,"Удельный расход электроэнергии"),0)</f>
        <v>0</v>
      </c>
      <c r="AJ31" s="4911">
        <f>_xlfn.IFERROR(_xlfn.SUMIFS(INDEX(Electricity_LOAD_1,,MATCH($K31&amp;"Принято органом регулирования",ЭЭ!$AE$8:$BB$8,0)),ЭЭ!$F$25:$F$93,$F31,ЭЭ!$AC$25:$AC$93,"Удельный расход электроэнергии"),0)</f>
        <v>0</v>
      </c>
      <c r="AK31" s="4911">
        <f>_xlfn.IFERROR(_xlfn.SUMIFS(INDEX(Electricity_LOAD_1,,MATCH($K31&amp;"Принято органом регулирования",ЭЭ!$AE$8:$BB$8,0)),ЭЭ!$F$25:$F$93,$F31,ЭЭ!$AC$25:$AC$93,"Удельный расход электроэнергии"),0)</f>
        <v>0</v>
      </c>
      <c r="AL31" s="375"/>
      <c r="AM31" s="124">
        <f>ROUND(_xlfn.IFERROR(_xlfn.SUMIFS(INDEX(Electricity_LOAD_1,,MATCH($K31&amp;"Принято органом регулирования",ЭЭ!$AE$8:$BB$8,0)),ЭЭ!$F$25:$F$93,$F31,ЭЭ!$AC$25:$AC$93,"Удельный расход электроэнергии"),0),3)=ROUND(SUM(AH31:AK31),3)</f>
        <v>1</v>
      </c>
      <c r="AN31" s="960"/>
      <c r="AO31" s="1048" cm="1" t="str">
        <f t="array" ref="AO31:AO31">K31</f>
        <v>2024</v>
      </c>
      <c r="AP31" s="960"/>
      <c r="AQ31" s="960"/>
    </row>
    <row s="960" customFormat="1" customHeight="1" ht="14.625" hidden="1">
      <c r="A32" s="960"/>
      <c r="B32" s="418">
        <f>K32&lt;first_year+PERIOD_LENGTH</f>
        <v>1</v>
      </c>
      <c r="C32" s="960"/>
      <c r="D32" s="960"/>
      <c r="E32" s="683">
        <v>15</v>
      </c>
      <c r="F32" s="50" cm="1" t="str">
        <f t="array" ref="F32:F32">OFFSET(E32,-1,1)</f>
        <v>0</v>
      </c>
      <c r="G32" s="960"/>
      <c r="H32" s="960"/>
      <c r="I32" s="960"/>
      <c r="J32" s="960"/>
      <c r="K32" s="124">
        <f>first_year+1</f>
        <v>2025</v>
      </c>
      <c r="L32" s="960"/>
      <c r="M32" s="960"/>
      <c r="N32" s="960"/>
      <c r="O32" s="960"/>
      <c r="P32" s="960"/>
      <c r="Q32" s="960"/>
      <c r="R32" s="960"/>
      <c r="S32" s="960"/>
      <c r="T32" s="439" cm="1" t="str">
        <f t="array" ref="T32:T32">T31</f>
        <v>false</v>
      </c>
      <c r="U32" s="960"/>
      <c r="V32" s="960"/>
      <c r="W32" s="960"/>
      <c r="X32" s="1482"/>
      <c r="Y32" s="960"/>
      <c r="Z32" s="1465"/>
      <c r="AA32" s="960"/>
      <c r="AB32" s="814" t="str">
        <f>K32&amp;" год"</f>
        <v>2025 год</v>
      </c>
      <c r="AC32" s="4912"/>
      <c r="AD32" s="4911">
        <f>_xlfn.IFERROR(_xlfn.SUMIFS(INDEX(Сценарии!$AE$25:$BF$109,,MATCH($K32&amp;"Принято органом регулирования",Сценарии!$AE$8:$BF$8,0)),Сценарии!$F$25:$F$109,$F32,Сценарии!$AC$25:$AC$109,"Индекс эффективности операционных расходов"),0)</f>
        <v>0</v>
      </c>
      <c r="AE32" s="4912"/>
      <c r="AF32" s="4912">
        <f>_xlfn.IFERROR(_xlfn.SUMIFS(INDEX(Баланс!$AE$25:$BB$300,,MATCH($K32&amp;"Принято органом регулирования",Баланс!$AE$8:$BB$8,0)),Баланс!$F$25:$F$300,$F32,Баланс!$AC$24:$AC$300,"Уровень потерь воды"),0)</f>
        <v>0</v>
      </c>
      <c r="AG32" s="4913">
        <f>_xlfn.IFERROR(_xlfn.SUMIFS(INDEX(Electricity_LOAD_1,,MATCH($K32&amp;"Принято органом регулирования",ЭЭ!$AE$8:$BB$8,0)),ЭЭ!$F$25:$F$93,$F32,ЭЭ!$AC$25:$AC$93,"Удельный расход электроэнергии"),0)</f>
        <v>0</v>
      </c>
      <c r="AH32" s="4911">
        <f>_xlfn.IFERROR(_xlfn.SUMIFS(INDEX(Electricity_LOAD_1,,MATCH($K32&amp;"Принято органом регулирования",ЭЭ!$AE$8:$BB$8,0)),ЭЭ!$F$25:$F$93,$F32,ЭЭ!$AC$25:$AC$93,"Удельный расход электроэнергии"),0)</f>
        <v>0</v>
      </c>
      <c r="AI32" s="4911">
        <f>_xlfn.IFERROR(_xlfn.SUMIFS(INDEX(Electricity_LOAD_1,,MATCH($K32&amp;"Принято органом регулирования",ЭЭ!$AE$8:$BB$8,0)),ЭЭ!$F$25:$F$93,$F32,ЭЭ!$AC$25:$AC$93,"Удельный расход электроэнергии"),0)</f>
        <v>0</v>
      </c>
      <c r="AJ32" s="4911">
        <f>_xlfn.IFERROR(_xlfn.SUMIFS(INDEX(Electricity_LOAD_1,,MATCH($K32&amp;"Принято органом регулирования",ЭЭ!$AE$8:$BB$8,0)),ЭЭ!$F$25:$F$93,$F32,ЭЭ!$AC$25:$AC$93,"Удельный расход электроэнергии"),0)</f>
        <v>0</v>
      </c>
      <c r="AK32" s="4911">
        <f>_xlfn.IFERROR(_xlfn.SUMIFS(INDEX(Electricity_LOAD_1,,MATCH($K32&amp;"Принято органом регулирования",ЭЭ!$AE$8:$BB$8,0)),ЭЭ!$F$25:$F$93,$F32,ЭЭ!$AC$25:$AC$93,"Удельный расход электроэнергии"),0)</f>
        <v>0</v>
      </c>
      <c r="AL32" s="375"/>
      <c r="AM32" s="124">
        <f>ROUND(_xlfn.IFERROR(_xlfn.SUMIFS(INDEX(Electricity_LOAD_1,,MATCH($K32&amp;"Принято органом регулирования",ЭЭ!$AE$8:$BB$8,0)),ЭЭ!$F$25:$F$93,$F32,ЭЭ!$AC$25:$AC$93,"Удельный расход электроэнергии"),0),3)=ROUND(SUM(AH32:AK32),3)</f>
        <v>1</v>
      </c>
      <c r="AN32" s="960"/>
      <c r="AO32" s="1048" cm="1" t="str">
        <f t="array" ref="AO32:AO32">K32</f>
        <v>2025</v>
      </c>
      <c r="AP32" s="960"/>
      <c r="AQ32" s="960"/>
    </row>
    <row s="960" customFormat="1" customHeight="1" ht="14.625" hidden="1">
      <c r="A33" s="960"/>
      <c r="B33" s="418">
        <f>K33&lt;first_year+PERIOD_LENGTH</f>
        <v>1</v>
      </c>
      <c r="C33" s="960"/>
      <c r="D33" s="960"/>
      <c r="E33" s="683">
        <v>15</v>
      </c>
      <c r="F33" s="50" cm="1" t="str">
        <f t="array" ref="F33:F33">OFFSET(E33,-1,1)</f>
        <v>0</v>
      </c>
      <c r="G33" s="960"/>
      <c r="H33" s="960"/>
      <c r="I33" s="960"/>
      <c r="J33" s="960"/>
      <c r="K33" s="124">
        <f>first_year+2</f>
        <v>2026</v>
      </c>
      <c r="L33" s="960"/>
      <c r="M33" s="960"/>
      <c r="N33" s="960"/>
      <c r="O33" s="960"/>
      <c r="P33" s="960"/>
      <c r="Q33" s="960"/>
      <c r="R33" s="960"/>
      <c r="S33" s="960"/>
      <c r="T33" s="439" cm="1" t="str">
        <f t="array" ref="T33:T33">T32</f>
        <v>false</v>
      </c>
      <c r="U33" s="960"/>
      <c r="V33" s="960"/>
      <c r="W33" s="960"/>
      <c r="X33" s="1482"/>
      <c r="Y33" s="960"/>
      <c r="Z33" s="1465"/>
      <c r="AA33" s="960"/>
      <c r="AB33" s="814" t="str">
        <f>K33&amp;" год"</f>
        <v>2026 год</v>
      </c>
      <c r="AC33" s="4912"/>
      <c r="AD33" s="4911">
        <f>_xlfn.IFERROR(_xlfn.SUMIFS(INDEX(Сценарии!$AE$25:$BF$109,,MATCH($K33&amp;"Принято органом регулирования",Сценарии!$AE$8:$BF$8,0)),Сценарии!$F$25:$F$109,$F33,Сценарии!$AC$25:$AC$109,"Индекс эффективности операционных расходов"),0)</f>
        <v>0</v>
      </c>
      <c r="AE33" s="4912"/>
      <c r="AF33" s="4912">
        <f>_xlfn.IFERROR(_xlfn.SUMIFS(INDEX(Баланс!$AE$25:$BB$300,,MATCH($K33&amp;"Принято органом регулирования",Баланс!$AE$8:$BB$8,0)),Баланс!$F$25:$F$300,$F33,Баланс!$AC$24:$AC$300,"Уровень потерь воды"),0)</f>
        <v>0</v>
      </c>
      <c r="AG33" s="4913">
        <f>_xlfn.IFERROR(_xlfn.SUMIFS(INDEX(Electricity_LOAD_1,,MATCH($K33&amp;"Принято органом регулирования",ЭЭ!$AE$8:$BB$8,0)),ЭЭ!$F$25:$F$93,$F33,ЭЭ!$AC$25:$AC$93,"Удельный расход электроэнергии"),0)</f>
        <v>0</v>
      </c>
      <c r="AH33" s="4911">
        <f>_xlfn.IFERROR(_xlfn.SUMIFS(INDEX(Electricity_LOAD_1,,MATCH($K33&amp;"Принято органом регулирования",ЭЭ!$AE$8:$BB$8,0)),ЭЭ!$F$25:$F$93,$F33,ЭЭ!$AC$25:$AC$93,"Удельный расход электроэнергии"),0)</f>
        <v>0</v>
      </c>
      <c r="AI33" s="4911">
        <f>_xlfn.IFERROR(_xlfn.SUMIFS(INDEX(Electricity_LOAD_1,,MATCH($K33&amp;"Принято органом регулирования",ЭЭ!$AE$8:$BB$8,0)),ЭЭ!$F$25:$F$93,$F33,ЭЭ!$AC$25:$AC$93,"Удельный расход электроэнергии"),0)</f>
        <v>0</v>
      </c>
      <c r="AJ33" s="4911">
        <f>_xlfn.IFERROR(_xlfn.SUMIFS(INDEX(Electricity_LOAD_1,,MATCH($K33&amp;"Принято органом регулирования",ЭЭ!$AE$8:$BB$8,0)),ЭЭ!$F$25:$F$93,$F33,ЭЭ!$AC$25:$AC$93,"Удельный расход электроэнергии"),0)</f>
        <v>0</v>
      </c>
      <c r="AK33" s="4911">
        <f>_xlfn.IFERROR(_xlfn.SUMIFS(INDEX(Electricity_LOAD_1,,MATCH($K33&amp;"Принято органом регулирования",ЭЭ!$AE$8:$BB$8,0)),ЭЭ!$F$25:$F$93,$F33,ЭЭ!$AC$25:$AC$93,"Удельный расход электроэнергии"),0)</f>
        <v>0</v>
      </c>
      <c r="AL33" s="375"/>
      <c r="AM33" s="124">
        <f>ROUND(_xlfn.IFERROR(_xlfn.SUMIFS(INDEX(Electricity_LOAD_1,,MATCH($K33&amp;"Принято органом регулирования",ЭЭ!$AE$8:$BB$8,0)),ЭЭ!$F$25:$F$93,$F33,ЭЭ!$AC$25:$AC$93,"Удельный расход электроэнергии"),0),3)=ROUND(SUM(AH33:AK33),3)</f>
        <v>1</v>
      </c>
      <c r="AN33" s="960"/>
      <c r="AO33" s="1048" cm="1" t="str">
        <f t="array" ref="AO33:AO33">K33</f>
        <v>2026</v>
      </c>
      <c r="AP33" s="960"/>
      <c r="AQ33" s="960"/>
    </row>
    <row s="960" customFormat="1" customHeight="1" ht="14.625" hidden="1">
      <c r="A34" s="960"/>
      <c r="B34" s="418">
        <f>K34&lt;first_year+PERIOD_LENGTH</f>
        <v>1</v>
      </c>
      <c r="C34" s="960"/>
      <c r="D34" s="960"/>
      <c r="E34" s="683">
        <v>15</v>
      </c>
      <c r="F34" s="50" cm="1" t="str">
        <f t="array" ref="F34:F34">OFFSET(E34,-1,1)</f>
        <v>0</v>
      </c>
      <c r="G34" s="960"/>
      <c r="H34" s="960"/>
      <c r="I34" s="960"/>
      <c r="J34" s="960"/>
      <c r="K34" s="124">
        <f>first_year+3</f>
        <v>2027</v>
      </c>
      <c r="L34" s="960"/>
      <c r="M34" s="960"/>
      <c r="N34" s="960"/>
      <c r="O34" s="960"/>
      <c r="P34" s="960"/>
      <c r="Q34" s="960"/>
      <c r="R34" s="960"/>
      <c r="S34" s="960"/>
      <c r="T34" s="439" cm="1" t="str">
        <f t="array" ref="T34:T34">T33</f>
        <v>false</v>
      </c>
      <c r="U34" s="960"/>
      <c r="V34" s="960"/>
      <c r="W34" s="960"/>
      <c r="X34" s="1482"/>
      <c r="Y34" s="960"/>
      <c r="Z34" s="1465"/>
      <c r="AA34" s="960"/>
      <c r="AB34" s="814" t="str">
        <f>K34&amp;" год"</f>
        <v>2027 год</v>
      </c>
      <c r="AC34" s="4912"/>
      <c r="AD34" s="4911">
        <f>_xlfn.IFERROR(_xlfn.SUMIFS(INDEX(Сценарии!$AE$25:$BF$109,,MATCH($K34&amp;"Принято органом регулирования",Сценарии!$AE$8:$BF$8,0)),Сценарии!$F$25:$F$109,$F34,Сценарии!$AC$25:$AC$109,"Индекс эффективности операционных расходов"),0)</f>
        <v>0</v>
      </c>
      <c r="AE34" s="4912"/>
      <c r="AF34" s="4912">
        <f>_xlfn.IFERROR(_xlfn.SUMIFS(INDEX(Баланс!$AE$25:$BB$300,,MATCH($K34&amp;"Принято органом регулирования",Баланс!$AE$8:$BB$8,0)),Баланс!$F$25:$F$300,$F34,Баланс!$AC$24:$AC$300,"Уровень потерь воды"),0)</f>
        <v>0</v>
      </c>
      <c r="AG34" s="4913">
        <f>_xlfn.IFERROR(_xlfn.SUMIFS(INDEX(Electricity_LOAD_1,,MATCH($K34&amp;"Принято органом регулирования",ЭЭ!$AE$8:$BB$8,0)),ЭЭ!$F$25:$F$93,$F34,ЭЭ!$AC$25:$AC$93,"Удельный расход электроэнергии"),0)</f>
        <v>0</v>
      </c>
      <c r="AH34" s="4911">
        <f>_xlfn.IFERROR(_xlfn.SUMIFS(INDEX(Electricity_LOAD_1,,MATCH($K34&amp;"Принято органом регулирования",ЭЭ!$AE$8:$BB$8,0)),ЭЭ!$F$25:$F$93,$F34,ЭЭ!$AC$25:$AC$93,"Удельный расход электроэнергии"),0)</f>
        <v>0</v>
      </c>
      <c r="AI34" s="4911">
        <f>_xlfn.IFERROR(_xlfn.SUMIFS(INDEX(Electricity_LOAD_1,,MATCH($K34&amp;"Принято органом регулирования",ЭЭ!$AE$8:$BB$8,0)),ЭЭ!$F$25:$F$93,$F34,ЭЭ!$AC$25:$AC$93,"Удельный расход электроэнергии"),0)</f>
        <v>0</v>
      </c>
      <c r="AJ34" s="4911">
        <f>_xlfn.IFERROR(_xlfn.SUMIFS(INDEX(Electricity_LOAD_1,,MATCH($K34&amp;"Принято органом регулирования",ЭЭ!$AE$8:$BB$8,0)),ЭЭ!$F$25:$F$93,$F34,ЭЭ!$AC$25:$AC$93,"Удельный расход электроэнергии"),0)</f>
        <v>0</v>
      </c>
      <c r="AK34" s="4911">
        <f>_xlfn.IFERROR(_xlfn.SUMIFS(INDEX(Electricity_LOAD_1,,MATCH($K34&amp;"Принято органом регулирования",ЭЭ!$AE$8:$BB$8,0)),ЭЭ!$F$25:$F$93,$F34,ЭЭ!$AC$25:$AC$93,"Удельный расход электроэнергии"),0)</f>
        <v>0</v>
      </c>
      <c r="AL34" s="375"/>
      <c r="AM34" s="124">
        <f>ROUND(_xlfn.IFERROR(_xlfn.SUMIFS(INDEX(Electricity_LOAD_1,,MATCH($K34&amp;"Принято органом регулирования",ЭЭ!$AE$8:$BB$8,0)),ЭЭ!$F$25:$F$93,$F34,ЭЭ!$AC$25:$AC$93,"Удельный расход электроэнергии"),0),3)=ROUND(SUM(AH34:AK34),3)</f>
        <v>1</v>
      </c>
      <c r="AN34" s="960"/>
      <c r="AO34" s="1048" cm="1" t="str">
        <f t="array" ref="AO34:AO34">K34</f>
        <v>2027</v>
      </c>
      <c r="AP34" s="960"/>
      <c r="AQ34" s="960"/>
    </row>
    <row s="960" customFormat="1" customHeight="1" ht="14.625" hidden="1">
      <c r="A35" s="960"/>
      <c r="B35" s="418">
        <f>K35&lt;first_year+PERIOD_LENGTH</f>
        <v>1</v>
      </c>
      <c r="C35" s="960"/>
      <c r="D35" s="960"/>
      <c r="E35" s="683">
        <v>15</v>
      </c>
      <c r="F35" s="50" cm="1" t="str">
        <f t="array" ref="F35:F35">OFFSET(E35,-1,1)</f>
        <v>0</v>
      </c>
      <c r="G35" s="960"/>
      <c r="H35" s="960"/>
      <c r="I35" s="960"/>
      <c r="J35" s="960"/>
      <c r="K35" s="124">
        <f>first_year+4</f>
        <v>2028</v>
      </c>
      <c r="L35" s="960"/>
      <c r="M35" s="960"/>
      <c r="N35" s="960"/>
      <c r="O35" s="960"/>
      <c r="P35" s="960"/>
      <c r="Q35" s="960"/>
      <c r="R35" s="960"/>
      <c r="S35" s="960"/>
      <c r="T35" s="439" cm="1" t="str">
        <f t="array" ref="T35:T35">T34</f>
        <v>false</v>
      </c>
      <c r="U35" s="960"/>
      <c r="V35" s="960"/>
      <c r="W35" s="960"/>
      <c r="X35" s="1482"/>
      <c r="Y35" s="960"/>
      <c r="Z35" s="1465"/>
      <c r="AA35" s="960"/>
      <c r="AB35" s="814" t="str">
        <f>K35&amp;" год"</f>
        <v>2028 год</v>
      </c>
      <c r="AC35" s="4912"/>
      <c r="AD35" s="4911">
        <f>_xlfn.IFERROR(_xlfn.SUMIFS(INDEX(Сценарии!$AE$25:$BF$109,,MATCH($K35&amp;"Принято органом регулирования",Сценарии!$AE$8:$BF$8,0)),Сценарии!$F$25:$F$109,$F35,Сценарии!$AC$25:$AC$109,"Индекс эффективности операционных расходов"),0)</f>
        <v>0</v>
      </c>
      <c r="AE35" s="4912"/>
      <c r="AF35" s="4912">
        <f>_xlfn.IFERROR(_xlfn.SUMIFS(INDEX(Баланс!$AE$25:$BB$300,,MATCH($K35&amp;"Принято органом регулирования",Баланс!$AE$8:$BB$8,0)),Баланс!$F$25:$F$300,$F35,Баланс!$AC$24:$AC$300,"Уровень потерь воды"),0)</f>
        <v>0</v>
      </c>
      <c r="AG35" s="4913">
        <f>_xlfn.IFERROR(_xlfn.SUMIFS(INDEX(Electricity_LOAD_1,,MATCH($K35&amp;"Принято органом регулирования",ЭЭ!$AE$8:$BB$8,0)),ЭЭ!$F$25:$F$93,$F35,ЭЭ!$AC$25:$AC$93,"Удельный расход электроэнергии"),0)</f>
        <v>0</v>
      </c>
      <c r="AH35" s="4911">
        <f>_xlfn.IFERROR(_xlfn.SUMIFS(INDEX(Electricity_LOAD_1,,MATCH($K35&amp;"Принято органом регулирования",ЭЭ!$AE$8:$BB$8,0)),ЭЭ!$F$25:$F$93,$F35,ЭЭ!$AC$25:$AC$93,"Удельный расход электроэнергии"),0)</f>
        <v>0</v>
      </c>
      <c r="AI35" s="4911">
        <f>_xlfn.IFERROR(_xlfn.SUMIFS(INDEX(Electricity_LOAD_1,,MATCH($K35&amp;"Принято органом регулирования",ЭЭ!$AE$8:$BB$8,0)),ЭЭ!$F$25:$F$93,$F35,ЭЭ!$AC$25:$AC$93,"Удельный расход электроэнергии"),0)</f>
        <v>0</v>
      </c>
      <c r="AJ35" s="4911">
        <f>_xlfn.IFERROR(_xlfn.SUMIFS(INDEX(Electricity_LOAD_1,,MATCH($K35&amp;"Принято органом регулирования",ЭЭ!$AE$8:$BB$8,0)),ЭЭ!$F$25:$F$93,$F35,ЭЭ!$AC$25:$AC$93,"Удельный расход электроэнергии"),0)</f>
        <v>0</v>
      </c>
      <c r="AK35" s="4911">
        <f>_xlfn.IFERROR(_xlfn.SUMIFS(INDEX(Electricity_LOAD_1,,MATCH($K35&amp;"Принято органом регулирования",ЭЭ!$AE$8:$BB$8,0)),ЭЭ!$F$25:$F$93,$F35,ЭЭ!$AC$25:$AC$93,"Удельный расход электроэнергии"),0)</f>
        <v>0</v>
      </c>
      <c r="AL35" s="375"/>
      <c r="AM35" s="124">
        <f>ROUND(_xlfn.IFERROR(_xlfn.SUMIFS(INDEX(Electricity_LOAD_1,,MATCH($K35&amp;"Принято органом регулирования",ЭЭ!$AE$8:$BB$8,0)),ЭЭ!$F$25:$F$93,$F35,ЭЭ!$AC$25:$AC$93,"Удельный расход электроэнергии"),0),3)=ROUND(SUM(AH35:AK35),3)</f>
        <v>1</v>
      </c>
      <c r="AN35" s="960"/>
      <c r="AO35" s="1048" cm="1" t="str">
        <f t="array" ref="AO35:AO35">K35</f>
        <v>2028</v>
      </c>
      <c r="AP35" s="960"/>
      <c r="AQ35" s="960"/>
    </row>
    <row s="960" customFormat="1" customHeight="1" ht="14.625" hidden="1">
      <c r="A36" s="960"/>
      <c r="B36" s="418">
        <f>K36&lt;first_year+PERIOD_LENGTH</f>
        <v>0</v>
      </c>
      <c r="C36" s="960"/>
      <c r="D36" s="960"/>
      <c r="E36" s="683">
        <v>15</v>
      </c>
      <c r="F36" s="50" cm="1" t="str">
        <f t="array" ref="F36:F36">OFFSET(E36,-1,1)</f>
        <v>0</v>
      </c>
      <c r="G36" s="960"/>
      <c r="H36" s="960"/>
      <c r="I36" s="960"/>
      <c r="J36" s="960"/>
      <c r="K36" s="124">
        <f>first_year+5</f>
        <v>2029</v>
      </c>
      <c r="L36" s="960"/>
      <c r="M36" s="960"/>
      <c r="N36" s="960"/>
      <c r="O36" s="960"/>
      <c r="P36" s="960"/>
      <c r="Q36" s="960"/>
      <c r="R36" s="960"/>
      <c r="S36" s="960"/>
      <c r="T36" s="439" cm="1" t="str">
        <f t="array" ref="T36:T36">T35</f>
        <v>false</v>
      </c>
      <c r="U36" s="960"/>
      <c r="V36" s="960"/>
      <c r="W36" s="960"/>
      <c r="X36" s="1482"/>
      <c r="Y36" s="960"/>
      <c r="Z36" s="1465"/>
      <c r="AA36" s="960"/>
      <c r="AB36" s="814" t="str">
        <f>K36&amp;" год"</f>
        <v>2029 год</v>
      </c>
      <c r="AC36" s="4912"/>
      <c r="AD36" s="4911">
        <f>_xlfn.IFERROR(_xlfn.SUMIFS(INDEX(Сценарии!$AE$25:$BF$109,,MATCH($K36&amp;"Принято органом регулирования",Сценарии!$AE$8:$BF$8,0)),Сценарии!$F$25:$F$109,$F36,Сценарии!$AC$25:$AC$109,"Индекс эффективности операционных расходов"),0)</f>
        <v>0</v>
      </c>
      <c r="AE36" s="4912"/>
      <c r="AF36" s="4912">
        <f>_xlfn.IFERROR(_xlfn.SUMIFS(INDEX(Баланс!$AE$25:$BB$300,,MATCH($K36&amp;"Принято органом регулирования",Баланс!$AE$8:$BB$8,0)),Баланс!$F$25:$F$300,$F36,Баланс!$AC$24:$AC$300,"Уровень потерь воды"),0)</f>
        <v>0</v>
      </c>
      <c r="AG36" s="4913">
        <f>_xlfn.IFERROR(_xlfn.SUMIFS(INDEX(Electricity_LOAD_1,,MATCH($K36&amp;"Принято органом регулирования",ЭЭ!$AE$8:$BB$8,0)),ЭЭ!$F$25:$F$93,$F36,ЭЭ!$AC$25:$AC$93,"Удельный расход электроэнергии"),0)</f>
        <v>0</v>
      </c>
      <c r="AH36" s="4911">
        <f>_xlfn.IFERROR(_xlfn.SUMIFS(INDEX(Electricity_LOAD_1,,MATCH($K36&amp;"Принято органом регулирования",ЭЭ!$AE$8:$BB$8,0)),ЭЭ!$F$25:$F$93,$F36,ЭЭ!$AC$25:$AC$93,"Удельный расход электроэнергии"),0)</f>
        <v>0</v>
      </c>
      <c r="AI36" s="4911">
        <f>_xlfn.IFERROR(_xlfn.SUMIFS(INDEX(Electricity_LOAD_1,,MATCH($K36&amp;"Принято органом регулирования",ЭЭ!$AE$8:$BB$8,0)),ЭЭ!$F$25:$F$93,$F36,ЭЭ!$AC$25:$AC$93,"Удельный расход электроэнергии"),0)</f>
        <v>0</v>
      </c>
      <c r="AJ36" s="4911">
        <f>_xlfn.IFERROR(_xlfn.SUMIFS(INDEX(Electricity_LOAD_1,,MATCH($K36&amp;"Принято органом регулирования",ЭЭ!$AE$8:$BB$8,0)),ЭЭ!$F$25:$F$93,$F36,ЭЭ!$AC$25:$AC$93,"Удельный расход электроэнергии"),0)</f>
        <v>0</v>
      </c>
      <c r="AK36" s="4911">
        <f>_xlfn.IFERROR(_xlfn.SUMIFS(INDEX(Electricity_LOAD_1,,MATCH($K36&amp;"Принято органом регулирования",ЭЭ!$AE$8:$BB$8,0)),ЭЭ!$F$25:$F$93,$F36,ЭЭ!$AC$25:$AC$93,"Удельный расход электроэнергии"),0)</f>
        <v>0</v>
      </c>
      <c r="AL36" s="375"/>
      <c r="AM36" s="124">
        <f>ROUND(_xlfn.IFERROR(_xlfn.SUMIFS(INDEX(Electricity_LOAD_1,,MATCH($K36&amp;"Принято органом регулирования",ЭЭ!$AE$8:$BB$8,0)),ЭЭ!$F$25:$F$93,$F36,ЭЭ!$AC$25:$AC$93,"Удельный расход электроэнергии"),0),3)=ROUND(SUM(AH36:AK36),3)</f>
        <v>1</v>
      </c>
      <c r="AN36" s="960"/>
      <c r="AO36" s="1048" cm="1" t="str">
        <f t="array" ref="AO36:AO36">K36</f>
        <v>2029</v>
      </c>
      <c r="AP36" s="960"/>
      <c r="AQ36" s="960"/>
    </row>
    <row s="960" customFormat="1" customHeight="1" ht="14.625" hidden="1">
      <c r="A37" s="960"/>
      <c r="B37" s="418">
        <f>K37&lt;first_year+PERIOD_LENGTH</f>
        <v>0</v>
      </c>
      <c r="C37" s="960"/>
      <c r="D37" s="960"/>
      <c r="E37" s="683">
        <v>15</v>
      </c>
      <c r="F37" s="50" cm="1" t="str">
        <f t="array" ref="F37:F37">OFFSET(E37,-1,1)</f>
        <v>0</v>
      </c>
      <c r="G37" s="960"/>
      <c r="H37" s="960"/>
      <c r="I37" s="960"/>
      <c r="J37" s="960"/>
      <c r="K37" s="124">
        <f>first_year+6</f>
        <v>2030</v>
      </c>
      <c r="L37" s="960"/>
      <c r="M37" s="960"/>
      <c r="N37" s="960"/>
      <c r="O37" s="960"/>
      <c r="P37" s="960"/>
      <c r="Q37" s="960"/>
      <c r="R37" s="960"/>
      <c r="S37" s="960"/>
      <c r="T37" s="439" cm="1" t="str">
        <f t="array" ref="T37:T37">T36</f>
        <v>false</v>
      </c>
      <c r="U37" s="960"/>
      <c r="V37" s="960"/>
      <c r="W37" s="960"/>
      <c r="X37" s="1482"/>
      <c r="Y37" s="960"/>
      <c r="Z37" s="1465"/>
      <c r="AA37" s="960"/>
      <c r="AB37" s="814" t="str">
        <f>K37&amp;" год"</f>
        <v>2030 год</v>
      </c>
      <c r="AC37" s="4912"/>
      <c r="AD37" s="4911">
        <f>_xlfn.IFERROR(_xlfn.SUMIFS(INDEX(Сценарии!$AE$25:$BF$109,,MATCH($K37&amp;"Принято органом регулирования",Сценарии!$AE$8:$BF$8,0)),Сценарии!$F$25:$F$109,$F37,Сценарии!$AC$25:$AC$109,"Индекс эффективности операционных расходов"),0)</f>
        <v>0</v>
      </c>
      <c r="AE37" s="4912"/>
      <c r="AF37" s="4912">
        <f>_xlfn.IFERROR(_xlfn.SUMIFS(INDEX(Баланс!$AE$25:$BB$300,,MATCH($K37&amp;"Принято органом регулирования",Баланс!$AE$8:$BB$8,0)),Баланс!$F$25:$F$300,$F37,Баланс!$AC$24:$AC$300,"Уровень потерь воды"),0)</f>
        <v>0</v>
      </c>
      <c r="AG37" s="4913">
        <f>_xlfn.IFERROR(_xlfn.SUMIFS(INDEX(Electricity_LOAD_1,,MATCH($K37&amp;"Принято органом регулирования",ЭЭ!$AE$8:$BB$8,0)),ЭЭ!$F$25:$F$93,$F37,ЭЭ!$AC$25:$AC$93,"Удельный расход электроэнергии"),0)</f>
        <v>0</v>
      </c>
      <c r="AH37" s="4911">
        <f>_xlfn.IFERROR(_xlfn.SUMIFS(INDEX(Electricity_LOAD_1,,MATCH($K37&amp;"Принято органом регулирования",ЭЭ!$AE$8:$BB$8,0)),ЭЭ!$F$25:$F$93,$F37,ЭЭ!$AC$25:$AC$93,"Удельный расход электроэнергии"),0)</f>
        <v>0</v>
      </c>
      <c r="AI37" s="4911">
        <f>_xlfn.IFERROR(_xlfn.SUMIFS(INDEX(Electricity_LOAD_1,,MATCH($K37&amp;"Принято органом регулирования",ЭЭ!$AE$8:$BB$8,0)),ЭЭ!$F$25:$F$93,$F37,ЭЭ!$AC$25:$AC$93,"Удельный расход электроэнергии"),0)</f>
        <v>0</v>
      </c>
      <c r="AJ37" s="4911">
        <f>_xlfn.IFERROR(_xlfn.SUMIFS(INDEX(Electricity_LOAD_1,,MATCH($K37&amp;"Принято органом регулирования",ЭЭ!$AE$8:$BB$8,0)),ЭЭ!$F$25:$F$93,$F37,ЭЭ!$AC$25:$AC$93,"Удельный расход электроэнергии"),0)</f>
        <v>0</v>
      </c>
      <c r="AK37" s="4911">
        <f>_xlfn.IFERROR(_xlfn.SUMIFS(INDEX(Electricity_LOAD_1,,MATCH($K37&amp;"Принято органом регулирования",ЭЭ!$AE$8:$BB$8,0)),ЭЭ!$F$25:$F$93,$F37,ЭЭ!$AC$25:$AC$93,"Удельный расход электроэнергии"),0)</f>
        <v>0</v>
      </c>
      <c r="AL37" s="375"/>
      <c r="AM37" s="124">
        <f>ROUND(_xlfn.IFERROR(_xlfn.SUMIFS(INDEX(Electricity_LOAD_1,,MATCH($K37&amp;"Принято органом регулирования",ЭЭ!$AE$8:$BB$8,0)),ЭЭ!$F$25:$F$93,$F37,ЭЭ!$AC$25:$AC$93,"Удельный расход электроэнергии"),0),3)=ROUND(SUM(AH37:AK37),3)</f>
        <v>1</v>
      </c>
      <c r="AN37" s="960"/>
      <c r="AO37" s="1048" cm="1" t="str">
        <f t="array" ref="AO37:AO37">K37</f>
        <v>2030</v>
      </c>
      <c r="AP37" s="960"/>
      <c r="AQ37" s="960"/>
    </row>
    <row s="960" customFormat="1" customHeight="1" ht="14.625" hidden="1">
      <c r="A38" s="960"/>
      <c r="B38" s="418">
        <f>K38&lt;first_year+PERIOD_LENGTH</f>
        <v>0</v>
      </c>
      <c r="C38" s="960"/>
      <c r="D38" s="960"/>
      <c r="E38" s="683">
        <v>15</v>
      </c>
      <c r="F38" s="50" cm="1" t="str">
        <f t="array" ref="F38:F38">OFFSET(E38,-1,1)</f>
        <v>0</v>
      </c>
      <c r="G38" s="960"/>
      <c r="H38" s="960"/>
      <c r="I38" s="960"/>
      <c r="J38" s="960"/>
      <c r="K38" s="124">
        <f>first_year+7</f>
        <v>2031</v>
      </c>
      <c r="L38" s="960"/>
      <c r="M38" s="960"/>
      <c r="N38" s="960"/>
      <c r="O38" s="960"/>
      <c r="P38" s="960"/>
      <c r="Q38" s="960"/>
      <c r="R38" s="960"/>
      <c r="S38" s="960"/>
      <c r="T38" s="439" cm="1" t="str">
        <f t="array" ref="T38:T38">T37</f>
        <v>false</v>
      </c>
      <c r="U38" s="960"/>
      <c r="V38" s="960"/>
      <c r="W38" s="960"/>
      <c r="X38" s="1482"/>
      <c r="Y38" s="960"/>
      <c r="Z38" s="1465"/>
      <c r="AA38" s="960"/>
      <c r="AB38" s="814" t="str">
        <f>K38&amp;" год"</f>
        <v>2031 год</v>
      </c>
      <c r="AC38" s="4912"/>
      <c r="AD38" s="4911">
        <f>_xlfn.IFERROR(_xlfn.SUMIFS(INDEX(Сценарии!$AE$25:$BF$109,,MATCH($K38&amp;"Принято органом регулирования",Сценарии!$AE$8:$BF$8,0)),Сценарии!$F$25:$F$109,$F38,Сценарии!$AC$25:$AC$109,"Индекс эффективности операционных расходов"),0)</f>
        <v>0</v>
      </c>
      <c r="AE38" s="4912"/>
      <c r="AF38" s="4912">
        <f>_xlfn.IFERROR(_xlfn.SUMIFS(INDEX(Баланс!$AE$25:$BB$300,,MATCH($K38&amp;"Принято органом регулирования",Баланс!$AE$8:$BB$8,0)),Баланс!$F$25:$F$300,$F38,Баланс!$AC$24:$AC$300,"Уровень потерь воды"),0)</f>
        <v>0</v>
      </c>
      <c r="AG38" s="4913">
        <f>_xlfn.IFERROR(_xlfn.SUMIFS(INDEX(Electricity_LOAD_1,,MATCH($K38&amp;"Принято органом регулирования",ЭЭ!$AE$8:$BB$8,0)),ЭЭ!$F$25:$F$93,$F38,ЭЭ!$AC$25:$AC$93,"Удельный расход электроэнергии"),0)</f>
        <v>0</v>
      </c>
      <c r="AH38" s="4911">
        <f>_xlfn.IFERROR(_xlfn.SUMIFS(INDEX(Electricity_LOAD_1,,MATCH($K38&amp;"Принято органом регулирования",ЭЭ!$AE$8:$BB$8,0)),ЭЭ!$F$25:$F$93,$F38,ЭЭ!$AC$25:$AC$93,"Удельный расход электроэнергии"),0)</f>
        <v>0</v>
      </c>
      <c r="AI38" s="4911">
        <f>_xlfn.IFERROR(_xlfn.SUMIFS(INDEX(Electricity_LOAD_1,,MATCH($K38&amp;"Принято органом регулирования",ЭЭ!$AE$8:$BB$8,0)),ЭЭ!$F$25:$F$93,$F38,ЭЭ!$AC$25:$AC$93,"Удельный расход электроэнергии"),0)</f>
        <v>0</v>
      </c>
      <c r="AJ38" s="4911">
        <f>_xlfn.IFERROR(_xlfn.SUMIFS(INDEX(Electricity_LOAD_1,,MATCH($K38&amp;"Принято органом регулирования",ЭЭ!$AE$8:$BB$8,0)),ЭЭ!$F$25:$F$93,$F38,ЭЭ!$AC$25:$AC$93,"Удельный расход электроэнергии"),0)</f>
        <v>0</v>
      </c>
      <c r="AK38" s="4911">
        <f>_xlfn.IFERROR(_xlfn.SUMIFS(INDEX(Electricity_LOAD_1,,MATCH($K38&amp;"Принято органом регулирования",ЭЭ!$AE$8:$BB$8,0)),ЭЭ!$F$25:$F$93,$F38,ЭЭ!$AC$25:$AC$93,"Удельный расход электроэнергии"),0)</f>
        <v>0</v>
      </c>
      <c r="AL38" s="375"/>
      <c r="AM38" s="124">
        <f>ROUND(_xlfn.IFERROR(_xlfn.SUMIFS(INDEX(Electricity_LOAD_1,,MATCH($K38&amp;"Принято органом регулирования",ЭЭ!$AE$8:$BB$8,0)),ЭЭ!$F$25:$F$93,$F38,ЭЭ!$AC$25:$AC$93,"Удельный расход электроэнергии"),0),3)=ROUND(SUM(AH38:AK38),3)</f>
        <v>1</v>
      </c>
      <c r="AN38" s="960"/>
      <c r="AO38" s="1048" cm="1" t="str">
        <f t="array" ref="AO38:AO38">K38</f>
        <v>2031</v>
      </c>
      <c r="AP38" s="960"/>
      <c r="AQ38" s="960"/>
    </row>
    <row s="960" customFormat="1" customHeight="1" ht="14.625" hidden="1">
      <c r="A39" s="960"/>
      <c r="B39" s="418">
        <f>K39&lt;first_year+PERIOD_LENGTH</f>
        <v>0</v>
      </c>
      <c r="C39" s="960"/>
      <c r="D39" s="960"/>
      <c r="E39" s="683">
        <v>15</v>
      </c>
      <c r="F39" s="50" cm="1" t="str">
        <f t="array" ref="F39:F39">OFFSET(E39,-1,1)</f>
        <v>0</v>
      </c>
      <c r="G39" s="960"/>
      <c r="H39" s="960"/>
      <c r="I39" s="960"/>
      <c r="J39" s="960"/>
      <c r="K39" s="124">
        <f>first_year+8</f>
        <v>2032</v>
      </c>
      <c r="L39" s="960"/>
      <c r="M39" s="960"/>
      <c r="N39" s="960"/>
      <c r="O39" s="960"/>
      <c r="P39" s="960"/>
      <c r="Q39" s="960"/>
      <c r="R39" s="960"/>
      <c r="S39" s="960"/>
      <c r="T39" s="439" cm="1" t="str">
        <f t="array" ref="T39:T39">T38</f>
        <v>false</v>
      </c>
      <c r="U39" s="960"/>
      <c r="V39" s="960"/>
      <c r="W39" s="960"/>
      <c r="X39" s="1482"/>
      <c r="Y39" s="960"/>
      <c r="Z39" s="1465"/>
      <c r="AA39" s="960"/>
      <c r="AB39" s="814" t="str">
        <f>K39&amp;" год"</f>
        <v>2032 год</v>
      </c>
      <c r="AC39" s="4912"/>
      <c r="AD39" s="4911">
        <f>_xlfn.IFERROR(_xlfn.SUMIFS(INDEX(Сценарии!$AE$25:$BF$109,,MATCH($K39&amp;"Принято органом регулирования",Сценарии!$AE$8:$BF$8,0)),Сценарии!$F$25:$F$109,$F39,Сценарии!$AC$25:$AC$109,"Индекс эффективности операционных расходов"),0)</f>
        <v>0</v>
      </c>
      <c r="AE39" s="4912"/>
      <c r="AF39" s="4912">
        <f>_xlfn.IFERROR(_xlfn.SUMIFS(INDEX(Баланс!$AE$25:$BB$300,,MATCH($K39&amp;"Принято органом регулирования",Баланс!$AE$8:$BB$8,0)),Баланс!$F$25:$F$300,$F39,Баланс!$AC$24:$AC$300,"Уровень потерь воды"),0)</f>
        <v>0</v>
      </c>
      <c r="AG39" s="4913">
        <f>_xlfn.IFERROR(_xlfn.SUMIFS(INDEX(Electricity_LOAD_1,,MATCH($K39&amp;"Принято органом регулирования",ЭЭ!$AE$8:$BB$8,0)),ЭЭ!$F$25:$F$93,$F39,ЭЭ!$AC$25:$AC$93,"Удельный расход электроэнергии"),0)</f>
        <v>0</v>
      </c>
      <c r="AH39" s="4911">
        <f>_xlfn.IFERROR(_xlfn.SUMIFS(INDEX(Electricity_LOAD_1,,MATCH($K39&amp;"Принято органом регулирования",ЭЭ!$AE$8:$BB$8,0)),ЭЭ!$F$25:$F$93,$F39,ЭЭ!$AC$25:$AC$93,"Удельный расход электроэнергии"),0)</f>
        <v>0</v>
      </c>
      <c r="AI39" s="4911">
        <f>_xlfn.IFERROR(_xlfn.SUMIFS(INDEX(Electricity_LOAD_1,,MATCH($K39&amp;"Принято органом регулирования",ЭЭ!$AE$8:$BB$8,0)),ЭЭ!$F$25:$F$93,$F39,ЭЭ!$AC$25:$AC$93,"Удельный расход электроэнергии"),0)</f>
        <v>0</v>
      </c>
      <c r="AJ39" s="4911">
        <f>_xlfn.IFERROR(_xlfn.SUMIFS(INDEX(Electricity_LOAD_1,,MATCH($K39&amp;"Принято органом регулирования",ЭЭ!$AE$8:$BB$8,0)),ЭЭ!$F$25:$F$93,$F39,ЭЭ!$AC$25:$AC$93,"Удельный расход электроэнергии"),0)</f>
        <v>0</v>
      </c>
      <c r="AK39" s="4911">
        <f>_xlfn.IFERROR(_xlfn.SUMIFS(INDEX(Electricity_LOAD_1,,MATCH($K39&amp;"Принято органом регулирования",ЭЭ!$AE$8:$BB$8,0)),ЭЭ!$F$25:$F$93,$F39,ЭЭ!$AC$25:$AC$93,"Удельный расход электроэнергии"),0)</f>
        <v>0</v>
      </c>
      <c r="AL39" s="375"/>
      <c r="AM39" s="124">
        <f>ROUND(_xlfn.IFERROR(_xlfn.SUMIFS(INDEX(Electricity_LOAD_1,,MATCH($K39&amp;"Принято органом регулирования",ЭЭ!$AE$8:$BB$8,0)),ЭЭ!$F$25:$F$93,$F39,ЭЭ!$AC$25:$AC$93,"Удельный расход электроэнергии"),0),3)=ROUND(SUM(AH39:AK39),3)</f>
        <v>1</v>
      </c>
      <c r="AN39" s="960"/>
      <c r="AO39" s="1048" cm="1" t="str">
        <f t="array" ref="AO39:AO39">K39</f>
        <v>2032</v>
      </c>
      <c r="AP39" s="960"/>
      <c r="AQ39" s="960"/>
    </row>
    <row s="960" customFormat="1" customHeight="1" ht="14.625" hidden="1">
      <c r="A40" s="960"/>
      <c r="B40" s="418">
        <f>K40&lt;first_year+PERIOD_LENGTH</f>
        <v>0</v>
      </c>
      <c r="C40" s="960"/>
      <c r="D40" s="960"/>
      <c r="E40" s="683">
        <v>15</v>
      </c>
      <c r="F40" s="50" cm="1" t="str">
        <f t="array" ref="F40:F40">OFFSET(E40,-1,1)</f>
        <v>0</v>
      </c>
      <c r="G40" s="960"/>
      <c r="H40" s="960"/>
      <c r="I40" s="960"/>
      <c r="J40" s="960"/>
      <c r="K40" s="124">
        <f>first_year+9</f>
        <v>2033</v>
      </c>
      <c r="L40" s="960"/>
      <c r="M40" s="960"/>
      <c r="N40" s="960"/>
      <c r="O40" s="960"/>
      <c r="P40" s="960"/>
      <c r="Q40" s="960"/>
      <c r="R40" s="960"/>
      <c r="S40" s="960"/>
      <c r="T40" s="439" cm="1" t="str">
        <f t="array" ref="T40:T40">T39</f>
        <v>false</v>
      </c>
      <c r="U40" s="960"/>
      <c r="V40" s="960"/>
      <c r="W40" s="960"/>
      <c r="X40" s="1482"/>
      <c r="Y40" s="960"/>
      <c r="Z40" s="1465"/>
      <c r="AA40" s="960"/>
      <c r="AB40" s="814" t="str">
        <f>K40&amp;" год"</f>
        <v>2033 год</v>
      </c>
      <c r="AC40" s="4912"/>
      <c r="AD40" s="4911">
        <f>_xlfn.IFERROR(_xlfn.SUMIFS(INDEX(Сценарии!$AE$25:$BF$109,,MATCH($K40&amp;"Принято органом регулирования",Сценарии!$AE$8:$BF$8,0)),Сценарии!$F$25:$F$109,$F40,Сценарии!$AC$25:$AC$109,"Индекс эффективности операционных расходов"),0)</f>
        <v>0</v>
      </c>
      <c r="AE40" s="4912"/>
      <c r="AF40" s="4912">
        <f>_xlfn.IFERROR(_xlfn.SUMIFS(INDEX(Баланс!$AE$25:$BB$300,,MATCH($K40&amp;"Принято органом регулирования",Баланс!$AE$8:$BB$8,0)),Баланс!$F$25:$F$300,$F40,Баланс!$AC$24:$AC$300,"Уровень потерь воды"),0)</f>
        <v>0</v>
      </c>
      <c r="AG40" s="4913">
        <f>_xlfn.IFERROR(_xlfn.SUMIFS(INDEX(Electricity_LOAD_1,,MATCH($K40&amp;"Принято органом регулирования",ЭЭ!$AE$8:$BB$8,0)),ЭЭ!$F$25:$F$93,$F40,ЭЭ!$AC$25:$AC$93,"Удельный расход электроэнергии"),0)</f>
        <v>0</v>
      </c>
      <c r="AH40" s="4911">
        <f>_xlfn.IFERROR(_xlfn.SUMIFS(INDEX(Electricity_LOAD_1,,MATCH($K40&amp;"Принято органом регулирования",ЭЭ!$AE$8:$BB$8,0)),ЭЭ!$F$25:$F$93,$F40,ЭЭ!$AC$25:$AC$93,"Удельный расход электроэнергии"),0)</f>
        <v>0</v>
      </c>
      <c r="AI40" s="4911">
        <f>_xlfn.IFERROR(_xlfn.SUMIFS(INDEX(Electricity_LOAD_1,,MATCH($K40&amp;"Принято органом регулирования",ЭЭ!$AE$8:$BB$8,0)),ЭЭ!$F$25:$F$93,$F40,ЭЭ!$AC$25:$AC$93,"Удельный расход электроэнергии"),0)</f>
        <v>0</v>
      </c>
      <c r="AJ40" s="4911">
        <f>_xlfn.IFERROR(_xlfn.SUMIFS(INDEX(Electricity_LOAD_1,,MATCH($K40&amp;"Принято органом регулирования",ЭЭ!$AE$8:$BB$8,0)),ЭЭ!$F$25:$F$93,$F40,ЭЭ!$AC$25:$AC$93,"Удельный расход электроэнергии"),0)</f>
        <v>0</v>
      </c>
      <c r="AK40" s="4911">
        <f>_xlfn.IFERROR(_xlfn.SUMIFS(INDEX(Electricity_LOAD_1,,MATCH($K40&amp;"Принято органом регулирования",ЭЭ!$AE$8:$BB$8,0)),ЭЭ!$F$25:$F$93,$F40,ЭЭ!$AC$25:$AC$93,"Удельный расход электроэнергии"),0)</f>
        <v>0</v>
      </c>
      <c r="AL40" s="375"/>
      <c r="AM40" s="124">
        <f>ROUND(_xlfn.IFERROR(_xlfn.SUMIFS(INDEX(Electricity_LOAD_1,,MATCH($K40&amp;"Принято органом регулирования",ЭЭ!$AE$8:$BB$8,0)),ЭЭ!$F$25:$F$93,$F40,ЭЭ!$AC$25:$AC$93,"Удельный расход электроэнергии"),0),3)=ROUND(SUM(AH40:AK40),3)</f>
        <v>1</v>
      </c>
      <c r="AN40" s="960"/>
      <c r="AO40" s="1048" cm="1" t="str">
        <f t="array" ref="AO40:AO40">K40</f>
        <v>2033</v>
      </c>
      <c r="AP40" s="960"/>
      <c r="AQ40" s="960"/>
    </row>
    <row s="960" customFormat="1" customHeight="1" ht="14.625" hidden="1">
      <c r="A41" s="960"/>
      <c r="B41" s="418">
        <f>K41&lt;first_year+PERIOD_LENGTH</f>
        <v>0</v>
      </c>
      <c r="C41" s="960"/>
      <c r="D41" s="960"/>
      <c r="E41" s="683">
        <v>15</v>
      </c>
      <c r="F41" s="50" cm="1" t="str">
        <f t="array" ref="F41:F41">OFFSET(E41,-1,1)</f>
        <v>0</v>
      </c>
      <c r="G41" s="960"/>
      <c r="H41" s="960"/>
      <c r="I41" s="960"/>
      <c r="J41" s="960"/>
      <c r="K41" s="124">
        <f>first_year+10</f>
        <v>2034</v>
      </c>
      <c r="L41" s="960"/>
      <c r="M41" s="960"/>
      <c r="N41" s="960"/>
      <c r="O41" s="960"/>
      <c r="P41" s="960"/>
      <c r="Q41" s="960"/>
      <c r="R41" s="960"/>
      <c r="S41" s="960"/>
      <c r="T41" s="439" cm="1" t="str">
        <f t="array" ref="T41:T41">T40</f>
        <v>false</v>
      </c>
      <c r="U41" s="960"/>
      <c r="V41" s="960"/>
      <c r="W41" s="960"/>
      <c r="X41" s="1482"/>
      <c r="Y41" s="960"/>
      <c r="Z41" s="1465"/>
      <c r="AA41" s="960"/>
      <c r="AB41" s="814" t="str">
        <f>K41&amp;" год"</f>
        <v>2034 год</v>
      </c>
      <c r="AC41" s="4912"/>
      <c r="AD41" s="4911"/>
      <c r="AE41" s="4912"/>
      <c r="AF41" s="4912"/>
      <c r="AG41" s="4911"/>
      <c r="AH41" s="4911"/>
      <c r="AI41" s="4911"/>
      <c r="AJ41" s="4911"/>
      <c r="AK41" s="4915"/>
      <c r="AL41" s="375"/>
      <c r="AM41" s="960"/>
      <c r="AN41" s="960"/>
      <c r="AO41" s="1048" cm="1" t="str">
        <f t="array" ref="AO41:AO41">K41</f>
        <v>2034</v>
      </c>
      <c r="AP41" s="960"/>
      <c r="AQ41" s="960"/>
    </row>
    <row s="960" customFormat="1" customHeight="1" ht="14.625" hidden="1">
      <c r="A42" s="960"/>
      <c r="B42" s="418">
        <f>K42&lt;first_year+PERIOD_LENGTH</f>
        <v>0</v>
      </c>
      <c r="C42" s="960"/>
      <c r="D42" s="960"/>
      <c r="E42" s="683">
        <v>15</v>
      </c>
      <c r="F42" s="50" cm="1" t="str">
        <f t="array" ref="F42:F42">OFFSET(E42,-1,1)</f>
        <v>0</v>
      </c>
      <c r="G42" s="960"/>
      <c r="H42" s="960"/>
      <c r="I42" s="960"/>
      <c r="J42" s="960"/>
      <c r="K42" s="124">
        <f>first_year+11</f>
        <v>2035</v>
      </c>
      <c r="L42" s="960"/>
      <c r="M42" s="960"/>
      <c r="N42" s="960"/>
      <c r="O42" s="960"/>
      <c r="P42" s="960"/>
      <c r="Q42" s="960"/>
      <c r="R42" s="960"/>
      <c r="S42" s="960"/>
      <c r="T42" s="439" cm="1" t="str">
        <f t="array" ref="T42:T42">T41</f>
        <v>false</v>
      </c>
      <c r="U42" s="960"/>
      <c r="V42" s="960"/>
      <c r="W42" s="960"/>
      <c r="X42" s="1482"/>
      <c r="Y42" s="960"/>
      <c r="Z42" s="1465"/>
      <c r="AA42" s="960"/>
      <c r="AB42" s="222" t="str">
        <f>K42&amp;" год"</f>
        <v>2035 год</v>
      </c>
      <c r="AC42" s="4912"/>
      <c r="AD42" s="4917"/>
      <c r="AE42" s="4918"/>
      <c r="AF42" s="4918"/>
      <c r="AG42" s="4917"/>
      <c r="AH42" s="4917"/>
      <c r="AI42" s="4917"/>
      <c r="AJ42" s="4917"/>
      <c r="AK42" s="4919"/>
      <c r="AL42" s="375"/>
      <c r="AM42" s="960"/>
      <c r="AN42" s="960"/>
      <c r="AO42" s="1048" cm="1" t="str">
        <f t="array" ref="AO42:AO42">K42</f>
        <v>2035</v>
      </c>
      <c r="AP42" s="960"/>
      <c r="AQ42" s="960"/>
    </row>
    <row s="960" customFormat="1" customHeight="1" ht="14.625" hidden="1">
      <c r="A43" s="960"/>
      <c r="B43" s="418">
        <f>K43&lt;first_year+PERIOD_LENGTH</f>
        <v>0</v>
      </c>
      <c r="C43" s="960"/>
      <c r="D43" s="960"/>
      <c r="E43" s="683">
        <v>15</v>
      </c>
      <c r="F43" s="50" cm="1" t="str">
        <f t="array" ref="F43:F43">OFFSET(E43,-1,1)</f>
        <v>0</v>
      </c>
      <c r="G43" s="960"/>
      <c r="H43" s="960"/>
      <c r="I43" s="960"/>
      <c r="J43" s="960"/>
      <c r="K43" s="124">
        <f>first_year+12</f>
        <v>2036</v>
      </c>
      <c r="L43" s="960"/>
      <c r="M43" s="960"/>
      <c r="N43" s="960"/>
      <c r="O43" s="960"/>
      <c r="P43" s="960"/>
      <c r="Q43" s="960"/>
      <c r="R43" s="960"/>
      <c r="S43" s="960"/>
      <c r="T43" s="439" cm="1" t="str">
        <f t="array" ref="T43:T43">T42</f>
        <v>false</v>
      </c>
      <c r="U43" s="960"/>
      <c r="V43" s="960"/>
      <c r="W43" s="960"/>
      <c r="X43" s="1482"/>
      <c r="Y43" s="960"/>
      <c r="Z43" s="1465"/>
      <c r="AA43" s="960"/>
      <c r="AB43" s="222" t="str">
        <f>K43&amp;" год"</f>
        <v>2036 год</v>
      </c>
      <c r="AC43" s="4912"/>
      <c r="AD43" s="4917"/>
      <c r="AE43" s="4918"/>
      <c r="AF43" s="4918"/>
      <c r="AG43" s="4917"/>
      <c r="AH43" s="4917"/>
      <c r="AI43" s="4917"/>
      <c r="AJ43" s="4917"/>
      <c r="AK43" s="4919"/>
      <c r="AL43" s="375"/>
      <c r="AM43" s="960"/>
      <c r="AN43" s="960"/>
      <c r="AO43" s="1048" cm="1" t="str">
        <f t="array" ref="AO43:AO43">K43</f>
        <v>2036</v>
      </c>
      <c r="AP43" s="960"/>
      <c r="AQ43" s="960"/>
    </row>
    <row s="960" customFormat="1" customHeight="1" ht="14.625" hidden="1">
      <c r="A44" s="960"/>
      <c r="B44" s="418">
        <f>K44&lt;first_year+PERIOD_LENGTH</f>
        <v>0</v>
      </c>
      <c r="C44" s="960"/>
      <c r="D44" s="960"/>
      <c r="E44" s="683">
        <v>15</v>
      </c>
      <c r="F44" s="50" cm="1" t="str">
        <f t="array" ref="F44:F44">OFFSET(E44,-1,1)</f>
        <v>0</v>
      </c>
      <c r="G44" s="960"/>
      <c r="H44" s="960"/>
      <c r="I44" s="960"/>
      <c r="J44" s="960"/>
      <c r="K44" s="124">
        <f>first_year+13</f>
        <v>2037</v>
      </c>
      <c r="L44" s="960"/>
      <c r="M44" s="960"/>
      <c r="N44" s="960"/>
      <c r="O44" s="960"/>
      <c r="P44" s="960"/>
      <c r="Q44" s="960"/>
      <c r="R44" s="960"/>
      <c r="S44" s="960"/>
      <c r="T44" s="439" cm="1" t="str">
        <f t="array" ref="T44:T44">T43</f>
        <v>false</v>
      </c>
      <c r="U44" s="960"/>
      <c r="V44" s="960"/>
      <c r="W44" s="960"/>
      <c r="X44" s="1482"/>
      <c r="Y44" s="960"/>
      <c r="Z44" s="1465"/>
      <c r="AA44" s="960"/>
      <c r="AB44" s="222" t="str">
        <f>K44&amp;" год"</f>
        <v>2037 год</v>
      </c>
      <c r="AC44" s="4912"/>
      <c r="AD44" s="4917"/>
      <c r="AE44" s="4918"/>
      <c r="AF44" s="4918"/>
      <c r="AG44" s="4917"/>
      <c r="AH44" s="4917"/>
      <c r="AI44" s="4917"/>
      <c r="AJ44" s="4917"/>
      <c r="AK44" s="4919"/>
      <c r="AL44" s="375"/>
      <c r="AM44" s="960"/>
      <c r="AN44" s="960"/>
      <c r="AO44" s="1048" cm="1" t="str">
        <f t="array" ref="AO44:AO44">K44</f>
        <v>2037</v>
      </c>
      <c r="AP44" s="960"/>
      <c r="AQ44" s="960"/>
    </row>
    <row s="960" customFormat="1" customHeight="1" ht="14.625" hidden="1">
      <c r="A45" s="960"/>
      <c r="B45" s="418">
        <f>K45&lt;first_year+PERIOD_LENGTH</f>
        <v>0</v>
      </c>
      <c r="C45" s="960"/>
      <c r="D45" s="960"/>
      <c r="E45" s="683">
        <v>15</v>
      </c>
      <c r="F45" s="50" cm="1" t="str">
        <f t="array" ref="F45:F45">OFFSET(E45,-1,1)</f>
        <v>0</v>
      </c>
      <c r="G45" s="960"/>
      <c r="H45" s="960"/>
      <c r="I45" s="960"/>
      <c r="J45" s="960"/>
      <c r="K45" s="124">
        <f>first_year+14</f>
        <v>2038</v>
      </c>
      <c r="L45" s="960"/>
      <c r="M45" s="960"/>
      <c r="N45" s="960"/>
      <c r="O45" s="960"/>
      <c r="P45" s="960"/>
      <c r="Q45" s="960"/>
      <c r="R45" s="960"/>
      <c r="S45" s="960"/>
      <c r="T45" s="439" cm="1" t="str">
        <f t="array" ref="T45:T45">T44</f>
        <v>false</v>
      </c>
      <c r="U45" s="960"/>
      <c r="V45" s="960"/>
      <c r="W45" s="960"/>
      <c r="X45" s="1482"/>
      <c r="Y45" s="960"/>
      <c r="Z45" s="1465"/>
      <c r="AA45" s="960"/>
      <c r="AB45" s="222" t="str">
        <f>K45&amp;" год"</f>
        <v>2038 год</v>
      </c>
      <c r="AC45" s="4912"/>
      <c r="AD45" s="4917"/>
      <c r="AE45" s="4918"/>
      <c r="AF45" s="4918"/>
      <c r="AG45" s="4917"/>
      <c r="AH45" s="4917"/>
      <c r="AI45" s="4917"/>
      <c r="AJ45" s="4917"/>
      <c r="AK45" s="4919"/>
      <c r="AL45" s="375"/>
      <c r="AM45" s="960"/>
      <c r="AN45" s="960"/>
      <c r="AO45" s="1048" cm="1" t="str">
        <f t="array" ref="AO45:AO45">K45</f>
        <v>2038</v>
      </c>
      <c r="AP45" s="960"/>
      <c r="AQ45" s="960"/>
    </row>
    <row s="960" customFormat="1" customHeight="1" ht="14.625" hidden="1">
      <c r="A46" s="960"/>
      <c r="B46" s="418">
        <f>K46&lt;first_year+PERIOD_LENGTH</f>
        <v>0</v>
      </c>
      <c r="C46" s="960"/>
      <c r="D46" s="960"/>
      <c r="E46" s="683">
        <v>15</v>
      </c>
      <c r="F46" s="50" cm="1" t="str">
        <f t="array" ref="F46:F46">OFFSET(E46,-1,1)</f>
        <v>0</v>
      </c>
      <c r="G46" s="960"/>
      <c r="H46" s="960"/>
      <c r="I46" s="960"/>
      <c r="J46" s="960"/>
      <c r="K46" s="124">
        <f>first_year+15</f>
        <v>2039</v>
      </c>
      <c r="L46" s="960"/>
      <c r="M46" s="960"/>
      <c r="N46" s="960"/>
      <c r="O46" s="960"/>
      <c r="P46" s="960"/>
      <c r="Q46" s="960"/>
      <c r="R46" s="960"/>
      <c r="S46" s="960"/>
      <c r="T46" s="439" cm="1" t="str">
        <f t="array" ref="T46:T46">T45</f>
        <v>false</v>
      </c>
      <c r="U46" s="960"/>
      <c r="V46" s="960"/>
      <c r="W46" s="960"/>
      <c r="X46" s="1482"/>
      <c r="Y46" s="960"/>
      <c r="Z46" s="1465"/>
      <c r="AA46" s="960"/>
      <c r="AB46" s="222" t="str">
        <f>K46&amp;" год"</f>
        <v>2039 год</v>
      </c>
      <c r="AC46" s="4912"/>
      <c r="AD46" s="4917"/>
      <c r="AE46" s="4918"/>
      <c r="AF46" s="4918"/>
      <c r="AG46" s="4917"/>
      <c r="AH46" s="4917"/>
      <c r="AI46" s="4917"/>
      <c r="AJ46" s="4917"/>
      <c r="AK46" s="4919"/>
      <c r="AL46" s="375"/>
      <c r="AM46" s="960"/>
      <c r="AN46" s="960"/>
      <c r="AO46" s="1048" cm="1" t="str">
        <f t="array" ref="AO46:AO46">K46</f>
        <v>2039</v>
      </c>
      <c r="AP46" s="960"/>
      <c r="AQ46" s="960"/>
    </row>
    <row s="960" customFormat="1" customHeight="1" ht="14.625" hidden="1">
      <c r="A47" s="960"/>
      <c r="B47" s="418">
        <f>K47&lt;first_year+PERIOD_LENGTH</f>
        <v>0</v>
      </c>
      <c r="C47" s="960"/>
      <c r="D47" s="960"/>
      <c r="E47" s="683">
        <v>15</v>
      </c>
      <c r="F47" s="50" cm="1" t="str">
        <f t="array" ref="F47:F47">OFFSET(E47,-1,1)</f>
        <v>0</v>
      </c>
      <c r="G47" s="960"/>
      <c r="H47" s="960"/>
      <c r="I47" s="960"/>
      <c r="J47" s="960"/>
      <c r="K47" s="124">
        <f>first_year+16</f>
        <v>2040</v>
      </c>
      <c r="L47" s="960"/>
      <c r="M47" s="960"/>
      <c r="N47" s="960"/>
      <c r="O47" s="960"/>
      <c r="P47" s="960"/>
      <c r="Q47" s="960"/>
      <c r="R47" s="960"/>
      <c r="S47" s="960"/>
      <c r="T47" s="439" cm="1" t="str">
        <f t="array" ref="T47:T47">T46</f>
        <v>false</v>
      </c>
      <c r="U47" s="960"/>
      <c r="V47" s="960"/>
      <c r="W47" s="960"/>
      <c r="X47" s="1482"/>
      <c r="Y47" s="960"/>
      <c r="Z47" s="1465"/>
      <c r="AA47" s="960"/>
      <c r="AB47" s="222" t="str">
        <f>K47&amp;" год"</f>
        <v>2040 год</v>
      </c>
      <c r="AC47" s="4912"/>
      <c r="AD47" s="4917"/>
      <c r="AE47" s="4918"/>
      <c r="AF47" s="4918"/>
      <c r="AG47" s="4917"/>
      <c r="AH47" s="4917"/>
      <c r="AI47" s="4917"/>
      <c r="AJ47" s="4917"/>
      <c r="AK47" s="4919"/>
      <c r="AL47" s="375"/>
      <c r="AM47" s="960"/>
      <c r="AN47" s="960"/>
      <c r="AO47" s="1048" cm="1" t="str">
        <f t="array" ref="AO47:AO47">K47</f>
        <v>2040</v>
      </c>
      <c r="AP47" s="960"/>
      <c r="AQ47" s="960"/>
    </row>
    <row s="960" customFormat="1" customHeight="1" ht="14.625" hidden="1">
      <c r="A48" s="960"/>
      <c r="B48" s="418">
        <f>K48&lt;first_year+PERIOD_LENGTH</f>
        <v>0</v>
      </c>
      <c r="C48" s="960"/>
      <c r="D48" s="960"/>
      <c r="E48" s="683">
        <v>15</v>
      </c>
      <c r="F48" s="50" cm="1" t="str">
        <f t="array" ref="F48:F48">OFFSET(E48,-1,1)</f>
        <v>0</v>
      </c>
      <c r="G48" s="960"/>
      <c r="H48" s="960"/>
      <c r="I48" s="960"/>
      <c r="J48" s="960"/>
      <c r="K48" s="124">
        <f>first_year+17</f>
        <v>2041</v>
      </c>
      <c r="L48" s="960"/>
      <c r="M48" s="960"/>
      <c r="N48" s="960"/>
      <c r="O48" s="960"/>
      <c r="P48" s="960"/>
      <c r="Q48" s="960"/>
      <c r="R48" s="960"/>
      <c r="S48" s="960"/>
      <c r="T48" s="439" cm="1" t="str">
        <f t="array" ref="T48:T48">T47</f>
        <v>false</v>
      </c>
      <c r="U48" s="960"/>
      <c r="V48" s="960"/>
      <c r="W48" s="960"/>
      <c r="X48" s="1482"/>
      <c r="Y48" s="960"/>
      <c r="Z48" s="1465"/>
      <c r="AA48" s="960"/>
      <c r="AB48" s="222" t="str">
        <f>K48&amp;" год"</f>
        <v>2041 год</v>
      </c>
      <c r="AC48" s="4912"/>
      <c r="AD48" s="4917"/>
      <c r="AE48" s="4918"/>
      <c r="AF48" s="4918"/>
      <c r="AG48" s="4917"/>
      <c r="AH48" s="4917"/>
      <c r="AI48" s="4917"/>
      <c r="AJ48" s="4917"/>
      <c r="AK48" s="4919"/>
      <c r="AL48" s="375"/>
      <c r="AM48" s="960"/>
      <c r="AN48" s="960"/>
      <c r="AO48" s="1048" cm="1" t="str">
        <f t="array" ref="AO48:AO48">K48</f>
        <v>2041</v>
      </c>
      <c r="AP48" s="960"/>
      <c r="AQ48" s="960"/>
    </row>
    <row s="960" customFormat="1" customHeight="1" ht="14.625" hidden="1">
      <c r="A49" s="960"/>
      <c r="B49" s="418">
        <f>K49&lt;first_year+PERIOD_LENGTH</f>
        <v>0</v>
      </c>
      <c r="C49" s="960"/>
      <c r="D49" s="960"/>
      <c r="E49" s="683">
        <v>15</v>
      </c>
      <c r="F49" s="50" cm="1" t="str">
        <f t="array" ref="F49:F49">OFFSET(E49,-1,1)</f>
        <v>0</v>
      </c>
      <c r="G49" s="960"/>
      <c r="H49" s="960"/>
      <c r="I49" s="960"/>
      <c r="J49" s="960"/>
      <c r="K49" s="124">
        <f>first_year+18</f>
        <v>2042</v>
      </c>
      <c r="L49" s="960"/>
      <c r="M49" s="960"/>
      <c r="N49" s="960"/>
      <c r="O49" s="960"/>
      <c r="P49" s="960"/>
      <c r="Q49" s="960"/>
      <c r="R49" s="960"/>
      <c r="S49" s="960"/>
      <c r="T49" s="439" cm="1" t="str">
        <f t="array" ref="T49:T49">T48</f>
        <v>false</v>
      </c>
      <c r="U49" s="960"/>
      <c r="V49" s="960"/>
      <c r="W49" s="960"/>
      <c r="X49" s="1482"/>
      <c r="Y49" s="960"/>
      <c r="Z49" s="1465"/>
      <c r="AA49" s="960"/>
      <c r="AB49" s="222" t="str">
        <f>K49&amp;" год"</f>
        <v>2042 год</v>
      </c>
      <c r="AC49" s="4912"/>
      <c r="AD49" s="4917"/>
      <c r="AE49" s="4918"/>
      <c r="AF49" s="4918"/>
      <c r="AG49" s="4917"/>
      <c r="AH49" s="4917"/>
      <c r="AI49" s="4917"/>
      <c r="AJ49" s="4917"/>
      <c r="AK49" s="4919"/>
      <c r="AL49" s="375"/>
      <c r="AM49" s="960"/>
      <c r="AN49" s="960"/>
      <c r="AO49" s="1048" cm="1" t="str">
        <f t="array" ref="AO49:AO49">K49</f>
        <v>2042</v>
      </c>
      <c r="AP49" s="960"/>
      <c r="AQ49" s="960"/>
    </row>
    <row s="960" customFormat="1" customHeight="1" ht="14.625" hidden="1">
      <c r="A50" s="960"/>
      <c r="B50" s="418">
        <f>K50&lt;first_year+PERIOD_LENGTH</f>
        <v>0</v>
      </c>
      <c r="C50" s="960"/>
      <c r="D50" s="960"/>
      <c r="E50" s="683">
        <v>15</v>
      </c>
      <c r="F50" s="50" cm="1" t="str">
        <f t="array" ref="F50:F50">OFFSET(E50,-1,1)</f>
        <v>0</v>
      </c>
      <c r="G50" s="960"/>
      <c r="H50" s="960"/>
      <c r="I50" s="960"/>
      <c r="J50" s="960"/>
      <c r="K50" s="124">
        <f>first_year+19</f>
        <v>2043</v>
      </c>
      <c r="L50" s="960"/>
      <c r="M50" s="960"/>
      <c r="N50" s="960"/>
      <c r="O50" s="960"/>
      <c r="P50" s="960"/>
      <c r="Q50" s="960"/>
      <c r="R50" s="960"/>
      <c r="S50" s="960"/>
      <c r="T50" s="439" cm="1" t="str">
        <f t="array" ref="T50:T50">T49</f>
        <v>false</v>
      </c>
      <c r="U50" s="960"/>
      <c r="V50" s="960"/>
      <c r="W50" s="960"/>
      <c r="X50" s="1482"/>
      <c r="Y50" s="960"/>
      <c r="Z50" s="1465"/>
      <c r="AA50" s="960"/>
      <c r="AB50" s="222" t="str">
        <f>K50&amp;" год"</f>
        <v>2043 год</v>
      </c>
      <c r="AC50" s="4912"/>
      <c r="AD50" s="4917"/>
      <c r="AE50" s="4918"/>
      <c r="AF50" s="4918"/>
      <c r="AG50" s="4917"/>
      <c r="AH50" s="4917"/>
      <c r="AI50" s="4917"/>
      <c r="AJ50" s="4917"/>
      <c r="AK50" s="4919"/>
      <c r="AL50" s="375"/>
      <c r="AM50" s="960"/>
      <c r="AN50" s="960"/>
      <c r="AO50" s="1048" cm="1" t="str">
        <f t="array" ref="AO50:AO50">K50</f>
        <v>2043</v>
      </c>
      <c r="AP50" s="960"/>
      <c r="AQ50" s="960"/>
    </row>
    <row s="960" customFormat="1" customHeight="1" ht="14.625" hidden="1">
      <c r="A51" s="960"/>
      <c r="B51" s="418">
        <f>K51&lt;first_year+PERIOD_LENGTH</f>
        <v>0</v>
      </c>
      <c r="C51" s="960"/>
      <c r="D51" s="960"/>
      <c r="E51" s="683">
        <v>15</v>
      </c>
      <c r="F51" s="50" cm="1" t="str">
        <f t="array" ref="F51:F51">OFFSET(E51,-1,1)</f>
        <v>0</v>
      </c>
      <c r="G51" s="960"/>
      <c r="H51" s="960"/>
      <c r="I51" s="960"/>
      <c r="J51" s="960"/>
      <c r="K51" s="124">
        <f>first_year+20</f>
        <v>2044</v>
      </c>
      <c r="L51" s="960"/>
      <c r="M51" s="960"/>
      <c r="N51" s="960"/>
      <c r="O51" s="960"/>
      <c r="P51" s="960"/>
      <c r="Q51" s="960"/>
      <c r="R51" s="960"/>
      <c r="S51" s="960"/>
      <c r="T51" s="439" cm="1" t="str">
        <f t="array" ref="T51:T51">T50</f>
        <v>false</v>
      </c>
      <c r="U51" s="960"/>
      <c r="V51" s="960"/>
      <c r="W51" s="960"/>
      <c r="X51" s="1482"/>
      <c r="Y51" s="960"/>
      <c r="Z51" s="1465"/>
      <c r="AA51" s="960"/>
      <c r="AB51" s="222" t="str">
        <f>K51&amp;" год"</f>
        <v>2044 год</v>
      </c>
      <c r="AC51" s="4912"/>
      <c r="AD51" s="4917"/>
      <c r="AE51" s="4918"/>
      <c r="AF51" s="4918"/>
      <c r="AG51" s="4917"/>
      <c r="AH51" s="4917"/>
      <c r="AI51" s="4917"/>
      <c r="AJ51" s="4917"/>
      <c r="AK51" s="4919"/>
      <c r="AL51" s="375"/>
      <c r="AM51" s="960"/>
      <c r="AN51" s="960"/>
      <c r="AO51" s="1048" cm="1" t="str">
        <f t="array" ref="AO51:AO51">K51</f>
        <v>2044</v>
      </c>
      <c r="AP51" s="960"/>
      <c r="AQ51" s="960"/>
    </row>
    <row s="960" customFormat="1" customHeight="1" ht="14.625" hidden="1">
      <c r="A52" s="960"/>
      <c r="B52" s="418">
        <f>K52&lt;first_year+PERIOD_LENGTH</f>
        <v>0</v>
      </c>
      <c r="C52" s="960"/>
      <c r="D52" s="960"/>
      <c r="E52" s="683">
        <v>15</v>
      </c>
      <c r="F52" s="50" cm="1" t="str">
        <f t="array" ref="F52:F52">OFFSET(E52,-1,1)</f>
        <v>0</v>
      </c>
      <c r="G52" s="960"/>
      <c r="H52" s="960"/>
      <c r="I52" s="960"/>
      <c r="J52" s="960"/>
      <c r="K52" s="124">
        <f>first_year+21</f>
        <v>2045</v>
      </c>
      <c r="L52" s="960"/>
      <c r="M52" s="960"/>
      <c r="N52" s="960"/>
      <c r="O52" s="960"/>
      <c r="P52" s="960"/>
      <c r="Q52" s="960"/>
      <c r="R52" s="960"/>
      <c r="S52" s="960"/>
      <c r="T52" s="439" cm="1" t="str">
        <f t="array" ref="T52:T52">T51</f>
        <v>false</v>
      </c>
      <c r="U52" s="960"/>
      <c r="V52" s="960"/>
      <c r="W52" s="960"/>
      <c r="X52" s="1482"/>
      <c r="Y52" s="960"/>
      <c r="Z52" s="1465"/>
      <c r="AA52" s="960"/>
      <c r="AB52" s="222" t="str">
        <f>K52&amp;" год"</f>
        <v>2045 год</v>
      </c>
      <c r="AC52" s="4912"/>
      <c r="AD52" s="4917"/>
      <c r="AE52" s="4918"/>
      <c r="AF52" s="4918"/>
      <c r="AG52" s="4917"/>
      <c r="AH52" s="4917"/>
      <c r="AI52" s="4917"/>
      <c r="AJ52" s="4917"/>
      <c r="AK52" s="4919"/>
      <c r="AL52" s="375"/>
      <c r="AM52" s="960"/>
      <c r="AN52" s="960"/>
      <c r="AO52" s="1048" cm="1" t="str">
        <f t="array" ref="AO52:AO52">K52</f>
        <v>2045</v>
      </c>
      <c r="AP52" s="960"/>
      <c r="AQ52" s="960"/>
    </row>
    <row s="960" customFormat="1" customHeight="1" ht="14.625" hidden="1">
      <c r="A53" s="960"/>
      <c r="B53" s="418">
        <f>K53&lt;first_year+PERIOD_LENGTH</f>
        <v>0</v>
      </c>
      <c r="C53" s="960"/>
      <c r="D53" s="960"/>
      <c r="E53" s="683">
        <v>15</v>
      </c>
      <c r="F53" s="50" cm="1" t="str">
        <f t="array" ref="F53:F53">OFFSET(E53,-1,1)</f>
        <v>0</v>
      </c>
      <c r="G53" s="960"/>
      <c r="H53" s="960"/>
      <c r="I53" s="960"/>
      <c r="J53" s="960"/>
      <c r="K53" s="124">
        <f>first_year+22</f>
        <v>2046</v>
      </c>
      <c r="L53" s="960"/>
      <c r="M53" s="960"/>
      <c r="N53" s="960"/>
      <c r="O53" s="960"/>
      <c r="P53" s="960"/>
      <c r="Q53" s="960"/>
      <c r="R53" s="960"/>
      <c r="S53" s="960"/>
      <c r="T53" s="439" cm="1" t="str">
        <f t="array" ref="T53:T53">T52</f>
        <v>false</v>
      </c>
      <c r="U53" s="960"/>
      <c r="V53" s="960"/>
      <c r="W53" s="960"/>
      <c r="X53" s="1482"/>
      <c r="Y53" s="960"/>
      <c r="Z53" s="1465"/>
      <c r="AA53" s="960"/>
      <c r="AB53" s="222" t="str">
        <f>K53&amp;" год"</f>
        <v>2046 год</v>
      </c>
      <c r="AC53" s="4912"/>
      <c r="AD53" s="4917"/>
      <c r="AE53" s="4918"/>
      <c r="AF53" s="4918"/>
      <c r="AG53" s="4917"/>
      <c r="AH53" s="4917"/>
      <c r="AI53" s="4917"/>
      <c r="AJ53" s="4917"/>
      <c r="AK53" s="4919"/>
      <c r="AL53" s="375"/>
      <c r="AM53" s="960"/>
      <c r="AN53" s="960"/>
      <c r="AO53" s="1048" cm="1" t="str">
        <f t="array" ref="AO53:AO53">K53</f>
        <v>2046</v>
      </c>
      <c r="AP53" s="960"/>
      <c r="AQ53" s="960"/>
    </row>
    <row s="960" customFormat="1" customHeight="1" ht="14.625" hidden="1">
      <c r="A54" s="960"/>
      <c r="B54" s="418">
        <f>K54&lt;first_year+PERIOD_LENGTH</f>
        <v>0</v>
      </c>
      <c r="C54" s="960"/>
      <c r="D54" s="960"/>
      <c r="E54" s="683">
        <v>15</v>
      </c>
      <c r="F54" s="50" cm="1" t="str">
        <f t="array" ref="F54:F54">OFFSET(E54,-1,1)</f>
        <v>0</v>
      </c>
      <c r="G54" s="960"/>
      <c r="H54" s="960"/>
      <c r="I54" s="960"/>
      <c r="J54" s="960"/>
      <c r="K54" s="124">
        <f>first_year+23</f>
        <v>2047</v>
      </c>
      <c r="L54" s="960"/>
      <c r="M54" s="960"/>
      <c r="N54" s="960"/>
      <c r="O54" s="960"/>
      <c r="P54" s="960"/>
      <c r="Q54" s="960"/>
      <c r="R54" s="960"/>
      <c r="S54" s="960"/>
      <c r="T54" s="439" cm="1" t="str">
        <f t="array" ref="T54:T54">T53</f>
        <v>false</v>
      </c>
      <c r="U54" s="960"/>
      <c r="V54" s="960"/>
      <c r="W54" s="960"/>
      <c r="X54" s="1482"/>
      <c r="Y54" s="960"/>
      <c r="Z54" s="1465"/>
      <c r="AA54" s="960"/>
      <c r="AB54" s="222" t="str">
        <f>K54&amp;" год"</f>
        <v>2047 год</v>
      </c>
      <c r="AC54" s="4912"/>
      <c r="AD54" s="4917"/>
      <c r="AE54" s="4918"/>
      <c r="AF54" s="4918"/>
      <c r="AG54" s="4917"/>
      <c r="AH54" s="4917"/>
      <c r="AI54" s="4917"/>
      <c r="AJ54" s="4917"/>
      <c r="AK54" s="4919"/>
      <c r="AL54" s="375"/>
      <c r="AM54" s="960"/>
      <c r="AN54" s="960"/>
      <c r="AO54" s="1048" cm="1" t="str">
        <f t="array" ref="AO54:AO54">K54</f>
        <v>2047</v>
      </c>
      <c r="AP54" s="960"/>
      <c r="AQ54" s="960"/>
    </row>
    <row s="960" customFormat="1" customHeight="1" ht="14.625" hidden="1">
      <c r="A55" s="960"/>
      <c r="B55" s="418">
        <f>K55&lt;first_year+PERIOD_LENGTH</f>
        <v>0</v>
      </c>
      <c r="C55" s="960"/>
      <c r="D55" s="960"/>
      <c r="E55" s="683">
        <v>15</v>
      </c>
      <c r="F55" s="50" cm="1" t="str">
        <f t="array" ref="F55:F55">OFFSET(E55,-1,1)</f>
        <v>0</v>
      </c>
      <c r="G55" s="960"/>
      <c r="H55" s="960"/>
      <c r="I55" s="960"/>
      <c r="J55" s="960"/>
      <c r="K55" s="124">
        <f>first_year+24</f>
        <v>2048</v>
      </c>
      <c r="L55" s="960"/>
      <c r="M55" s="960"/>
      <c r="N55" s="960"/>
      <c r="O55" s="960"/>
      <c r="P55" s="960"/>
      <c r="Q55" s="960"/>
      <c r="R55" s="960"/>
      <c r="S55" s="960"/>
      <c r="T55" s="439" cm="1" t="str">
        <f t="array" ref="T55:T55">T54</f>
        <v>false</v>
      </c>
      <c r="U55" s="960"/>
      <c r="V55" s="960"/>
      <c r="W55" s="960"/>
      <c r="X55" s="1482"/>
      <c r="Y55" s="960"/>
      <c r="Z55" s="1465"/>
      <c r="AA55" s="960"/>
      <c r="AB55" s="222" t="str">
        <f>K55&amp;" год"</f>
        <v>2048 год</v>
      </c>
      <c r="AC55" s="4912"/>
      <c r="AD55" s="4917"/>
      <c r="AE55" s="4918"/>
      <c r="AF55" s="4918"/>
      <c r="AG55" s="4917"/>
      <c r="AH55" s="4917"/>
      <c r="AI55" s="4917"/>
      <c r="AJ55" s="4917"/>
      <c r="AK55" s="4919"/>
      <c r="AL55" s="375"/>
      <c r="AM55" s="960"/>
      <c r="AN55" s="960"/>
      <c r="AO55" s="1048" cm="1" t="str">
        <f t="array" ref="AO55:AO55">K55</f>
        <v>2048</v>
      </c>
      <c r="AP55" s="960"/>
      <c r="AQ55" s="960"/>
    </row>
    <row s="960" customFormat="1" customHeight="1" ht="14.625" hidden="1">
      <c r="A56" s="960"/>
      <c r="B56" s="418">
        <f>K56&lt;first_year+PERIOD_LENGTH</f>
        <v>0</v>
      </c>
      <c r="C56" s="960"/>
      <c r="D56" s="960"/>
      <c r="E56" s="683">
        <v>15</v>
      </c>
      <c r="F56" s="50" cm="1" t="str">
        <f t="array" ref="F56:F56">OFFSET(E56,-1,1)</f>
        <v>0</v>
      </c>
      <c r="G56" s="960"/>
      <c r="H56" s="960"/>
      <c r="I56" s="960"/>
      <c r="J56" s="960"/>
      <c r="K56" s="124">
        <f>first_year+25</f>
        <v>2049</v>
      </c>
      <c r="L56" s="960"/>
      <c r="M56" s="960"/>
      <c r="N56" s="960"/>
      <c r="O56" s="960"/>
      <c r="P56" s="960"/>
      <c r="Q56" s="960"/>
      <c r="R56" s="960"/>
      <c r="S56" s="960"/>
      <c r="T56" s="439" cm="1" t="str">
        <f t="array" ref="T56:T56">T55</f>
        <v>false</v>
      </c>
      <c r="U56" s="960"/>
      <c r="V56" s="960"/>
      <c r="W56" s="960"/>
      <c r="X56" s="1482"/>
      <c r="Y56" s="960"/>
      <c r="Z56" s="1465"/>
      <c r="AA56" s="960"/>
      <c r="AB56" s="222" t="str">
        <f>K56&amp;" год"</f>
        <v>2049 год</v>
      </c>
      <c r="AC56" s="4912"/>
      <c r="AD56" s="4917"/>
      <c r="AE56" s="4918"/>
      <c r="AF56" s="4918"/>
      <c r="AG56" s="4917"/>
      <c r="AH56" s="4917"/>
      <c r="AI56" s="4917"/>
      <c r="AJ56" s="4917"/>
      <c r="AK56" s="4919"/>
      <c r="AL56" s="375"/>
      <c r="AM56" s="960"/>
      <c r="AN56" s="960"/>
      <c r="AO56" s="1048" cm="1" t="str">
        <f t="array" ref="AO56:AO56">K56</f>
        <v>2049</v>
      </c>
      <c r="AP56" s="960"/>
      <c r="AQ56" s="960"/>
    </row>
    <row s="960" customFormat="1" customHeight="1" ht="14.625" hidden="1">
      <c r="A57" s="960"/>
      <c r="B57" s="418">
        <f>K57&lt;first_year+PERIOD_LENGTH</f>
        <v>0</v>
      </c>
      <c r="C57" s="960"/>
      <c r="D57" s="960"/>
      <c r="E57" s="683">
        <v>15</v>
      </c>
      <c r="F57" s="50" cm="1" t="str">
        <f t="array" ref="F57:F57">OFFSET(E57,-1,1)</f>
        <v>0</v>
      </c>
      <c r="G57" s="960"/>
      <c r="H57" s="960"/>
      <c r="I57" s="960"/>
      <c r="J57" s="960"/>
      <c r="K57" s="124">
        <f>first_year+26</f>
        <v>2050</v>
      </c>
      <c r="L57" s="960"/>
      <c r="M57" s="960"/>
      <c r="N57" s="960"/>
      <c r="O57" s="960"/>
      <c r="P57" s="960"/>
      <c r="Q57" s="960"/>
      <c r="R57" s="960"/>
      <c r="S57" s="960"/>
      <c r="T57" s="439" cm="1" t="str">
        <f t="array" ref="T57:T57">T56</f>
        <v>false</v>
      </c>
      <c r="U57" s="960"/>
      <c r="V57" s="960"/>
      <c r="W57" s="960"/>
      <c r="X57" s="1482"/>
      <c r="Y57" s="960"/>
      <c r="Z57" s="1465"/>
      <c r="AA57" s="960"/>
      <c r="AB57" s="222" t="str">
        <f>K57&amp;" год"</f>
        <v>2050 год</v>
      </c>
      <c r="AC57" s="4912"/>
      <c r="AD57" s="4917"/>
      <c r="AE57" s="4918"/>
      <c r="AF57" s="4918"/>
      <c r="AG57" s="4917"/>
      <c r="AH57" s="4917"/>
      <c r="AI57" s="4917"/>
      <c r="AJ57" s="4917"/>
      <c r="AK57" s="4919"/>
      <c r="AL57" s="375"/>
      <c r="AM57" s="960"/>
      <c r="AN57" s="960"/>
      <c r="AO57" s="1048" cm="1" t="str">
        <f t="array" ref="AO57:AO57">K57</f>
        <v>2050</v>
      </c>
      <c r="AP57" s="960"/>
      <c r="AQ57" s="960"/>
    </row>
    <row s="960" customFormat="1" customHeight="1" ht="14.625" hidden="1">
      <c r="A58" s="960"/>
      <c r="B58" s="418">
        <f>K58&lt;first_year+PERIOD_LENGTH</f>
        <v>0</v>
      </c>
      <c r="C58" s="960"/>
      <c r="D58" s="960"/>
      <c r="E58" s="683">
        <v>15</v>
      </c>
      <c r="F58" s="50" cm="1" t="str">
        <f t="array" ref="F58:F58">OFFSET(E58,-1,1)</f>
        <v>0</v>
      </c>
      <c r="G58" s="960"/>
      <c r="H58" s="960"/>
      <c r="I58" s="960"/>
      <c r="J58" s="960"/>
      <c r="K58" s="124">
        <f>first_year+27</f>
        <v>2051</v>
      </c>
      <c r="L58" s="960"/>
      <c r="M58" s="960"/>
      <c r="N58" s="960"/>
      <c r="O58" s="960"/>
      <c r="P58" s="960"/>
      <c r="Q58" s="960"/>
      <c r="R58" s="960"/>
      <c r="S58" s="960"/>
      <c r="T58" s="439" cm="1" t="str">
        <f t="array" ref="T58:T58">T57</f>
        <v>false</v>
      </c>
      <c r="U58" s="960"/>
      <c r="V58" s="960"/>
      <c r="W58" s="960"/>
      <c r="X58" s="1482"/>
      <c r="Y58" s="960"/>
      <c r="Z58" s="1465"/>
      <c r="AA58" s="960"/>
      <c r="AB58" s="222" t="str">
        <f>K58&amp;" год"</f>
        <v>2051 год</v>
      </c>
      <c r="AC58" s="4912"/>
      <c r="AD58" s="4917"/>
      <c r="AE58" s="4918"/>
      <c r="AF58" s="4918"/>
      <c r="AG58" s="4917"/>
      <c r="AH58" s="4917"/>
      <c r="AI58" s="4917"/>
      <c r="AJ58" s="4917"/>
      <c r="AK58" s="4919"/>
      <c r="AL58" s="375"/>
      <c r="AM58" s="960"/>
      <c r="AN58" s="960"/>
      <c r="AO58" s="1048" cm="1" t="str">
        <f t="array" ref="AO58:AO58">K58</f>
        <v>2051</v>
      </c>
      <c r="AP58" s="960"/>
      <c r="AQ58" s="960"/>
    </row>
    <row s="960" customFormat="1" customHeight="1" ht="14.625" hidden="1">
      <c r="A59" s="960"/>
      <c r="B59" s="418">
        <f>K59&lt;first_year+PERIOD_LENGTH</f>
        <v>0</v>
      </c>
      <c r="C59" s="960"/>
      <c r="D59" s="960"/>
      <c r="E59" s="683">
        <v>15</v>
      </c>
      <c r="F59" s="50" cm="1" t="str">
        <f t="array" ref="F59:F59">OFFSET(E59,-1,1)</f>
        <v>0</v>
      </c>
      <c r="G59" s="960"/>
      <c r="H59" s="960"/>
      <c r="I59" s="960"/>
      <c r="J59" s="960"/>
      <c r="K59" s="124">
        <f>first_year+28</f>
        <v>2052</v>
      </c>
      <c r="L59" s="960"/>
      <c r="M59" s="960"/>
      <c r="N59" s="960"/>
      <c r="O59" s="960"/>
      <c r="P59" s="960"/>
      <c r="Q59" s="960"/>
      <c r="R59" s="960"/>
      <c r="S59" s="960"/>
      <c r="T59" s="439" cm="1" t="str">
        <f t="array" ref="T59:T59">T58</f>
        <v>false</v>
      </c>
      <c r="U59" s="960"/>
      <c r="V59" s="960"/>
      <c r="W59" s="960"/>
      <c r="X59" s="1482"/>
      <c r="Y59" s="960"/>
      <c r="Z59" s="1465"/>
      <c r="AA59" s="960"/>
      <c r="AB59" s="222" t="str">
        <f>K59&amp;" год"</f>
        <v>2052 год</v>
      </c>
      <c r="AC59" s="4912"/>
      <c r="AD59" s="4917"/>
      <c r="AE59" s="4918"/>
      <c r="AF59" s="4918"/>
      <c r="AG59" s="4917"/>
      <c r="AH59" s="4917"/>
      <c r="AI59" s="4917"/>
      <c r="AJ59" s="4917"/>
      <c r="AK59" s="4919"/>
      <c r="AL59" s="375"/>
      <c r="AM59" s="960"/>
      <c r="AN59" s="960"/>
      <c r="AO59" s="1048" cm="1" t="str">
        <f t="array" ref="AO59:AO59">K59</f>
        <v>2052</v>
      </c>
      <c r="AP59" s="960"/>
      <c r="AQ59" s="960"/>
    </row>
    <row s="960" customFormat="1" customHeight="1" ht="14.625" hidden="1">
      <c r="A60" s="960"/>
      <c r="B60" s="418">
        <f>K60&lt;first_year+PERIOD_LENGTH</f>
        <v>0</v>
      </c>
      <c r="C60" s="960"/>
      <c r="D60" s="960"/>
      <c r="E60" s="683">
        <v>15</v>
      </c>
      <c r="F60" s="50" cm="1" t="str">
        <f t="array" ref="F60:F60">OFFSET(E60,-1,1)</f>
        <v>0</v>
      </c>
      <c r="G60" s="960"/>
      <c r="H60" s="960"/>
      <c r="I60" s="960"/>
      <c r="J60" s="960"/>
      <c r="K60" s="124">
        <f>first_year+29</f>
        <v>2053</v>
      </c>
      <c r="L60" s="960"/>
      <c r="M60" s="960"/>
      <c r="N60" s="960"/>
      <c r="O60" s="960"/>
      <c r="P60" s="960"/>
      <c r="Q60" s="960"/>
      <c r="R60" s="960"/>
      <c r="S60" s="960"/>
      <c r="T60" s="439" cm="1" t="str">
        <f t="array" ref="T60:T60">T59</f>
        <v>false</v>
      </c>
      <c r="U60" s="960"/>
      <c r="V60" s="960"/>
      <c r="W60" s="960"/>
      <c r="X60" s="1482"/>
      <c r="Y60" s="960"/>
      <c r="Z60" s="1465"/>
      <c r="AA60" s="960"/>
      <c r="AB60" s="222" t="str">
        <f>K60&amp;" год"</f>
        <v>2053 год</v>
      </c>
      <c r="AC60" s="4912"/>
      <c r="AD60" s="4917"/>
      <c r="AE60" s="4918"/>
      <c r="AF60" s="4918"/>
      <c r="AG60" s="4917"/>
      <c r="AH60" s="4917"/>
      <c r="AI60" s="4917"/>
      <c r="AJ60" s="4917"/>
      <c r="AK60" s="4919"/>
      <c r="AL60" s="375"/>
      <c r="AM60" s="960"/>
      <c r="AN60" s="960"/>
      <c r="AO60" s="1048" cm="1" t="str">
        <f t="array" ref="AO60:AO60">K60</f>
        <v>2053</v>
      </c>
      <c r="AP60" s="960"/>
      <c r="AQ60" s="960"/>
    </row>
    <row s="960" customFormat="1" customHeight="1" ht="14.625" hidden="1">
      <c r="A61" s="960"/>
      <c r="B61" s="418">
        <f>K61&lt;first_year+PERIOD_LENGTH</f>
        <v>0</v>
      </c>
      <c r="C61" s="960"/>
      <c r="D61" s="960"/>
      <c r="E61" s="683">
        <v>15</v>
      </c>
      <c r="F61" s="50" cm="1" t="str">
        <f t="array" ref="F61:F61">OFFSET(E61,-1,1)</f>
        <v>0</v>
      </c>
      <c r="G61" s="960"/>
      <c r="H61" s="960"/>
      <c r="I61" s="960"/>
      <c r="J61" s="960"/>
      <c r="K61" s="124">
        <f>first_year+30</f>
        <v>2054</v>
      </c>
      <c r="L61" s="960"/>
      <c r="M61" s="960"/>
      <c r="N61" s="960"/>
      <c r="O61" s="960"/>
      <c r="P61" s="960"/>
      <c r="Q61" s="960"/>
      <c r="R61" s="960"/>
      <c r="S61" s="960"/>
      <c r="T61" s="439" cm="1" t="str">
        <f t="array" ref="T61:T61">T60</f>
        <v>false</v>
      </c>
      <c r="U61" s="960"/>
      <c r="V61" s="960"/>
      <c r="W61" s="960"/>
      <c r="X61" s="1482"/>
      <c r="Y61" s="960"/>
      <c r="Z61" s="1465"/>
      <c r="AA61" s="960"/>
      <c r="AB61" s="222" t="str">
        <f>K61&amp;" год"</f>
        <v>2054 год</v>
      </c>
      <c r="AC61" s="4912"/>
      <c r="AD61" s="4917"/>
      <c r="AE61" s="4918"/>
      <c r="AF61" s="4918"/>
      <c r="AG61" s="4917"/>
      <c r="AH61" s="4917"/>
      <c r="AI61" s="4917"/>
      <c r="AJ61" s="4917"/>
      <c r="AK61" s="4919"/>
      <c r="AL61" s="375"/>
      <c r="AM61" s="960"/>
      <c r="AN61" s="960"/>
      <c r="AO61" s="1048" cm="1" t="str">
        <f t="array" ref="AO61:AO61">K61</f>
        <v>2054</v>
      </c>
      <c r="AP61" s="960"/>
      <c r="AQ61" s="960"/>
    </row>
    <row s="960" customFormat="1" customHeight="1" ht="14.625" hidden="1">
      <c r="A62" s="960"/>
      <c r="B62" s="418">
        <f>K62&lt;first_year+PERIOD_LENGTH</f>
        <v>0</v>
      </c>
      <c r="C62" s="960"/>
      <c r="D62" s="960"/>
      <c r="E62" s="683">
        <v>15</v>
      </c>
      <c r="F62" s="50" cm="1" t="str">
        <f t="array" ref="F62:F62">OFFSET(E62,-1,1)</f>
        <v>0</v>
      </c>
      <c r="G62" s="960"/>
      <c r="H62" s="960"/>
      <c r="I62" s="960"/>
      <c r="J62" s="960"/>
      <c r="K62" s="124">
        <f>first_year+31</f>
        <v>2055</v>
      </c>
      <c r="L62" s="960"/>
      <c r="M62" s="960"/>
      <c r="N62" s="960"/>
      <c r="O62" s="960"/>
      <c r="P62" s="960"/>
      <c r="Q62" s="960"/>
      <c r="R62" s="960"/>
      <c r="S62" s="960"/>
      <c r="T62" s="439" cm="1" t="str">
        <f t="array" ref="T62:T62">T61</f>
        <v>false</v>
      </c>
      <c r="U62" s="960"/>
      <c r="V62" s="960"/>
      <c r="W62" s="960"/>
      <c r="X62" s="1482"/>
      <c r="Y62" s="960"/>
      <c r="Z62" s="1465"/>
      <c r="AA62" s="960"/>
      <c r="AB62" s="222" t="str">
        <f>K62&amp;" год"</f>
        <v>2055 год</v>
      </c>
      <c r="AC62" s="4912"/>
      <c r="AD62" s="4917"/>
      <c r="AE62" s="4918"/>
      <c r="AF62" s="4918"/>
      <c r="AG62" s="4917"/>
      <c r="AH62" s="4917"/>
      <c r="AI62" s="4917"/>
      <c r="AJ62" s="4917"/>
      <c r="AK62" s="4919"/>
      <c r="AL62" s="375"/>
      <c r="AM62" s="960"/>
      <c r="AN62" s="960"/>
      <c r="AO62" s="1048" cm="1" t="str">
        <f t="array" ref="AO62:AO62">K62</f>
        <v>2055</v>
      </c>
      <c r="AP62" s="960"/>
      <c r="AQ62" s="960"/>
    </row>
    <row s="960" customFormat="1" customHeight="1" ht="14.625" hidden="1">
      <c r="A63" s="960"/>
      <c r="B63" s="418">
        <f>K63&lt;first_year+PERIOD_LENGTH</f>
        <v>0</v>
      </c>
      <c r="C63" s="960"/>
      <c r="D63" s="960"/>
      <c r="E63" s="683">
        <v>15</v>
      </c>
      <c r="F63" s="50" cm="1" t="str">
        <f t="array" ref="F63:F63">OFFSET(E63,-1,1)</f>
        <v>0</v>
      </c>
      <c r="G63" s="960"/>
      <c r="H63" s="960"/>
      <c r="I63" s="960"/>
      <c r="J63" s="960"/>
      <c r="K63" s="124">
        <f>first_year+32</f>
        <v>2056</v>
      </c>
      <c r="L63" s="960"/>
      <c r="M63" s="960"/>
      <c r="N63" s="960"/>
      <c r="O63" s="960"/>
      <c r="P63" s="960"/>
      <c r="Q63" s="960"/>
      <c r="R63" s="960"/>
      <c r="S63" s="960"/>
      <c r="T63" s="439" cm="1" t="str">
        <f t="array" ref="T63:T63">T62</f>
        <v>false</v>
      </c>
      <c r="U63" s="960"/>
      <c r="V63" s="960"/>
      <c r="W63" s="960"/>
      <c r="X63" s="1482"/>
      <c r="Y63" s="960"/>
      <c r="Z63" s="1465"/>
      <c r="AA63" s="960"/>
      <c r="AB63" s="222" t="str">
        <f>K63&amp;" год"</f>
        <v>2056 год</v>
      </c>
      <c r="AC63" s="4912"/>
      <c r="AD63" s="4917"/>
      <c r="AE63" s="4918"/>
      <c r="AF63" s="4918"/>
      <c r="AG63" s="4917"/>
      <c r="AH63" s="4917"/>
      <c r="AI63" s="4917"/>
      <c r="AJ63" s="4917"/>
      <c r="AK63" s="4919"/>
      <c r="AL63" s="375"/>
      <c r="AM63" s="960"/>
      <c r="AN63" s="960"/>
      <c r="AO63" s="1048" cm="1" t="str">
        <f t="array" ref="AO63:AO63">K63</f>
        <v>2056</v>
      </c>
      <c r="AP63" s="960"/>
      <c r="AQ63" s="960"/>
    </row>
    <row s="960" customFormat="1" customHeight="1" ht="14.625" hidden="1">
      <c r="A64" s="960"/>
      <c r="B64" s="418">
        <f>K64&lt;first_year+PERIOD_LENGTH</f>
        <v>0</v>
      </c>
      <c r="C64" s="960"/>
      <c r="D64" s="960"/>
      <c r="E64" s="683">
        <v>15</v>
      </c>
      <c r="F64" s="50" cm="1" t="str">
        <f t="array" ref="F64:F64">OFFSET(E64,-1,1)</f>
        <v>0</v>
      </c>
      <c r="G64" s="960"/>
      <c r="H64" s="960"/>
      <c r="I64" s="960"/>
      <c r="J64" s="960"/>
      <c r="K64" s="124">
        <f>first_year+33</f>
        <v>2057</v>
      </c>
      <c r="L64" s="960"/>
      <c r="M64" s="960"/>
      <c r="N64" s="960"/>
      <c r="O64" s="960"/>
      <c r="P64" s="960"/>
      <c r="Q64" s="960"/>
      <c r="R64" s="960"/>
      <c r="S64" s="960"/>
      <c r="T64" s="439" cm="1" t="str">
        <f t="array" ref="T64:T64">T63</f>
        <v>false</v>
      </c>
      <c r="U64" s="960"/>
      <c r="V64" s="960"/>
      <c r="W64" s="960"/>
      <c r="X64" s="1482"/>
      <c r="Y64" s="960"/>
      <c r="Z64" s="1465"/>
      <c r="AA64" s="960"/>
      <c r="AB64" s="222" t="str">
        <f>K64&amp;" год"</f>
        <v>2057 год</v>
      </c>
      <c r="AC64" s="4912"/>
      <c r="AD64" s="4917"/>
      <c r="AE64" s="4918"/>
      <c r="AF64" s="4918"/>
      <c r="AG64" s="4917"/>
      <c r="AH64" s="4917"/>
      <c r="AI64" s="4917"/>
      <c r="AJ64" s="4917"/>
      <c r="AK64" s="4919"/>
      <c r="AL64" s="375"/>
      <c r="AM64" s="960"/>
      <c r="AN64" s="960"/>
      <c r="AO64" s="1048" cm="1" t="str">
        <f t="array" ref="AO64:AO64">K64</f>
        <v>2057</v>
      </c>
      <c r="AP64" s="960"/>
      <c r="AQ64" s="960"/>
    </row>
    <row s="960" customFormat="1" customHeight="1" ht="14.625" hidden="1">
      <c r="A65" s="960"/>
      <c r="B65" s="418">
        <f>K65&lt;first_year+PERIOD_LENGTH</f>
        <v>0</v>
      </c>
      <c r="C65" s="960"/>
      <c r="D65" s="960"/>
      <c r="E65" s="683">
        <v>15</v>
      </c>
      <c r="F65" s="50" cm="1" t="str">
        <f t="array" ref="F65:F65">OFFSET(E65,-1,1)</f>
        <v>0</v>
      </c>
      <c r="G65" s="960"/>
      <c r="H65" s="960"/>
      <c r="I65" s="960"/>
      <c r="J65" s="960"/>
      <c r="K65" s="124">
        <f>first_year+34</f>
        <v>2058</v>
      </c>
      <c r="L65" s="960"/>
      <c r="M65" s="960"/>
      <c r="N65" s="960"/>
      <c r="O65" s="960"/>
      <c r="P65" s="960"/>
      <c r="Q65" s="960"/>
      <c r="R65" s="960"/>
      <c r="S65" s="960"/>
      <c r="T65" s="439" cm="1" t="str">
        <f t="array" ref="T65:T65">T64</f>
        <v>false</v>
      </c>
      <c r="U65" s="960"/>
      <c r="V65" s="960"/>
      <c r="W65" s="960"/>
      <c r="X65" s="1482"/>
      <c r="Y65" s="960"/>
      <c r="Z65" s="1465"/>
      <c r="AA65" s="960"/>
      <c r="AB65" s="222" t="str">
        <f>K65&amp;" год"</f>
        <v>2058 год</v>
      </c>
      <c r="AC65" s="4912"/>
      <c r="AD65" s="4917"/>
      <c r="AE65" s="4918"/>
      <c r="AF65" s="4918"/>
      <c r="AG65" s="4917"/>
      <c r="AH65" s="4917"/>
      <c r="AI65" s="4917"/>
      <c r="AJ65" s="4917"/>
      <c r="AK65" s="4919"/>
      <c r="AL65" s="375"/>
      <c r="AM65" s="960"/>
      <c r="AN65" s="960"/>
      <c r="AO65" s="1048" cm="1" t="str">
        <f t="array" ref="AO65:AO65">K65</f>
        <v>2058</v>
      </c>
      <c r="AP65" s="960"/>
      <c r="AQ65" s="960"/>
    </row>
    <row s="960" customFormat="1" customHeight="1" ht="14.625" hidden="1">
      <c r="A66" s="960"/>
      <c r="B66" s="418">
        <f>K66&lt;first_year+PERIOD_LENGTH</f>
        <v>0</v>
      </c>
      <c r="C66" s="960"/>
      <c r="D66" s="960"/>
      <c r="E66" s="683">
        <v>15</v>
      </c>
      <c r="F66" s="50" cm="1" t="str">
        <f t="array" ref="F66:F66">OFFSET(E66,-1,1)</f>
        <v>0</v>
      </c>
      <c r="G66" s="960"/>
      <c r="H66" s="960"/>
      <c r="I66" s="960"/>
      <c r="J66" s="960"/>
      <c r="K66" s="124">
        <f>first_year+35</f>
        <v>2059</v>
      </c>
      <c r="L66" s="960"/>
      <c r="M66" s="960"/>
      <c r="N66" s="960"/>
      <c r="O66" s="960"/>
      <c r="P66" s="960"/>
      <c r="Q66" s="960"/>
      <c r="R66" s="960"/>
      <c r="S66" s="960"/>
      <c r="T66" s="439" cm="1" t="str">
        <f t="array" ref="T66:T66">T65</f>
        <v>false</v>
      </c>
      <c r="U66" s="960"/>
      <c r="V66" s="960"/>
      <c r="W66" s="960"/>
      <c r="X66" s="1482"/>
      <c r="Y66" s="960"/>
      <c r="Z66" s="1465"/>
      <c r="AA66" s="960"/>
      <c r="AB66" s="222" t="str">
        <f>K66&amp;" год"</f>
        <v>2059 год</v>
      </c>
      <c r="AC66" s="4912"/>
      <c r="AD66" s="4917"/>
      <c r="AE66" s="4918"/>
      <c r="AF66" s="4918"/>
      <c r="AG66" s="4917"/>
      <c r="AH66" s="4917"/>
      <c r="AI66" s="4917"/>
      <c r="AJ66" s="4917"/>
      <c r="AK66" s="4919"/>
      <c r="AL66" s="375"/>
      <c r="AM66" s="960"/>
      <c r="AN66" s="960"/>
      <c r="AO66" s="1048" cm="1" t="str">
        <f t="array" ref="AO66:AO66">K66</f>
        <v>2059</v>
      </c>
      <c r="AP66" s="960"/>
      <c r="AQ66" s="960"/>
    </row>
    <row s="960" customFormat="1" customHeight="1" ht="14.625" hidden="1">
      <c r="A67" s="960"/>
      <c r="B67" s="418">
        <f>K67&lt;first_year+PERIOD_LENGTH</f>
        <v>0</v>
      </c>
      <c r="C67" s="960"/>
      <c r="D67" s="960"/>
      <c r="E67" s="683">
        <v>15</v>
      </c>
      <c r="F67" s="50" cm="1" t="str">
        <f t="array" ref="F67:F67">OFFSET(E67,-1,1)</f>
        <v>0</v>
      </c>
      <c r="G67" s="960"/>
      <c r="H67" s="960"/>
      <c r="I67" s="960"/>
      <c r="J67" s="960"/>
      <c r="K67" s="124">
        <f>first_year+36</f>
        <v>2060</v>
      </c>
      <c r="L67" s="960"/>
      <c r="M67" s="960"/>
      <c r="N67" s="960"/>
      <c r="O67" s="960"/>
      <c r="P67" s="960"/>
      <c r="Q67" s="960"/>
      <c r="R67" s="960"/>
      <c r="S67" s="960"/>
      <c r="T67" s="439" cm="1" t="str">
        <f t="array" ref="T67:T67">T66</f>
        <v>false</v>
      </c>
      <c r="U67" s="960"/>
      <c r="V67" s="960"/>
      <c r="W67" s="960"/>
      <c r="X67" s="1482"/>
      <c r="Y67" s="960"/>
      <c r="Z67" s="1465"/>
      <c r="AA67" s="960"/>
      <c r="AB67" s="222" t="str">
        <f>K67&amp;" год"</f>
        <v>2060 год</v>
      </c>
      <c r="AC67" s="4912"/>
      <c r="AD67" s="4917"/>
      <c r="AE67" s="4918"/>
      <c r="AF67" s="4918"/>
      <c r="AG67" s="4917"/>
      <c r="AH67" s="4917"/>
      <c r="AI67" s="4917"/>
      <c r="AJ67" s="4917"/>
      <c r="AK67" s="4919"/>
      <c r="AL67" s="375"/>
      <c r="AM67" s="960"/>
      <c r="AN67" s="960"/>
      <c r="AO67" s="1048" cm="1" t="str">
        <f t="array" ref="AO67:AO67">K67</f>
        <v>2060</v>
      </c>
      <c r="AP67" s="960"/>
      <c r="AQ67" s="960"/>
    </row>
    <row s="960" customFormat="1" customHeight="1" ht="14.625" hidden="1">
      <c r="A68" s="960"/>
      <c r="B68" s="418">
        <f>K68&lt;first_year+PERIOD_LENGTH</f>
        <v>0</v>
      </c>
      <c r="C68" s="960"/>
      <c r="D68" s="960"/>
      <c r="E68" s="683">
        <v>15</v>
      </c>
      <c r="F68" s="50" cm="1" t="str">
        <f t="array" ref="F68:F68">OFFSET(E68,-1,1)</f>
        <v>0</v>
      </c>
      <c r="G68" s="960"/>
      <c r="H68" s="960"/>
      <c r="I68" s="960"/>
      <c r="J68" s="960"/>
      <c r="K68" s="124">
        <f>first_year+37</f>
        <v>2061</v>
      </c>
      <c r="L68" s="960"/>
      <c r="M68" s="960"/>
      <c r="N68" s="960"/>
      <c r="O68" s="960"/>
      <c r="P68" s="960"/>
      <c r="Q68" s="960"/>
      <c r="R68" s="960"/>
      <c r="S68" s="960"/>
      <c r="T68" s="439" cm="1" t="str">
        <f t="array" ref="T68:T68">T67</f>
        <v>false</v>
      </c>
      <c r="U68" s="960"/>
      <c r="V68" s="960"/>
      <c r="W68" s="960"/>
      <c r="X68" s="1482"/>
      <c r="Y68" s="960"/>
      <c r="Z68" s="1465"/>
      <c r="AA68" s="960"/>
      <c r="AB68" s="222" t="str">
        <f>K68&amp;" год"</f>
        <v>2061 год</v>
      </c>
      <c r="AC68" s="4912"/>
      <c r="AD68" s="4917"/>
      <c r="AE68" s="4918"/>
      <c r="AF68" s="4918"/>
      <c r="AG68" s="4917"/>
      <c r="AH68" s="4917"/>
      <c r="AI68" s="4917"/>
      <c r="AJ68" s="4917"/>
      <c r="AK68" s="4919"/>
      <c r="AL68" s="375"/>
      <c r="AM68" s="960"/>
      <c r="AN68" s="960"/>
      <c r="AO68" s="1048" cm="1" t="str">
        <f t="array" ref="AO68:AO68">K68</f>
        <v>2061</v>
      </c>
      <c r="AP68" s="960"/>
      <c r="AQ68" s="960"/>
    </row>
    <row s="960" customFormat="1" customHeight="1" ht="14.625" hidden="1">
      <c r="A69" s="960"/>
      <c r="B69" s="418">
        <f>K69&lt;first_year+PERIOD_LENGTH</f>
        <v>0</v>
      </c>
      <c r="C69" s="960"/>
      <c r="D69" s="960"/>
      <c r="E69" s="683">
        <v>15</v>
      </c>
      <c r="F69" s="50" cm="1" t="str">
        <f t="array" ref="F69:F69">OFFSET(E69,-1,1)</f>
        <v>0</v>
      </c>
      <c r="G69" s="960"/>
      <c r="H69" s="960"/>
      <c r="I69" s="960"/>
      <c r="J69" s="960"/>
      <c r="K69" s="124">
        <f>first_year+38</f>
        <v>2062</v>
      </c>
      <c r="L69" s="960"/>
      <c r="M69" s="960"/>
      <c r="N69" s="960"/>
      <c r="O69" s="960"/>
      <c r="P69" s="960"/>
      <c r="Q69" s="960"/>
      <c r="R69" s="960"/>
      <c r="S69" s="960"/>
      <c r="T69" s="439" cm="1" t="str">
        <f t="array" ref="T69:T69">T68</f>
        <v>false</v>
      </c>
      <c r="U69" s="960"/>
      <c r="V69" s="960"/>
      <c r="W69" s="960"/>
      <c r="X69" s="1482"/>
      <c r="Y69" s="960"/>
      <c r="Z69" s="1465"/>
      <c r="AA69" s="960"/>
      <c r="AB69" s="222" t="str">
        <f>K69&amp;" год"</f>
        <v>2062 год</v>
      </c>
      <c r="AC69" s="4912"/>
      <c r="AD69" s="4917"/>
      <c r="AE69" s="4918"/>
      <c r="AF69" s="4918"/>
      <c r="AG69" s="4917"/>
      <c r="AH69" s="4917"/>
      <c r="AI69" s="4917"/>
      <c r="AJ69" s="4917"/>
      <c r="AK69" s="4919"/>
      <c r="AL69" s="375"/>
      <c r="AM69" s="960"/>
      <c r="AN69" s="960"/>
      <c r="AO69" s="1048" cm="1" t="str">
        <f t="array" ref="AO69:AO69">K69</f>
        <v>2062</v>
      </c>
      <c r="AP69" s="960"/>
      <c r="AQ69" s="960"/>
    </row>
    <row s="960" customFormat="1" customHeight="1" ht="14.625" hidden="1">
      <c r="A70" s="960"/>
      <c r="B70" s="418">
        <f>K70&lt;first_year+PERIOD_LENGTH</f>
        <v>0</v>
      </c>
      <c r="C70" s="960"/>
      <c r="D70" s="960"/>
      <c r="E70" s="683">
        <v>15</v>
      </c>
      <c r="F70" s="50" cm="1" t="str">
        <f t="array" ref="F70:F70">OFFSET(E70,-1,1)</f>
        <v>0</v>
      </c>
      <c r="G70" s="960"/>
      <c r="H70" s="960"/>
      <c r="I70" s="960"/>
      <c r="J70" s="960"/>
      <c r="K70" s="124">
        <f>first_year+39</f>
        <v>2063</v>
      </c>
      <c r="L70" s="960"/>
      <c r="M70" s="960"/>
      <c r="N70" s="960"/>
      <c r="O70" s="960"/>
      <c r="P70" s="960"/>
      <c r="Q70" s="960"/>
      <c r="R70" s="960"/>
      <c r="S70" s="960"/>
      <c r="T70" s="439" cm="1" t="str">
        <f t="array" ref="T70:T70">T69</f>
        <v>false</v>
      </c>
      <c r="U70" s="960"/>
      <c r="V70" s="960"/>
      <c r="W70" s="960"/>
      <c r="X70" s="1482"/>
      <c r="Y70" s="960"/>
      <c r="Z70" s="1465"/>
      <c r="AA70" s="960"/>
      <c r="AB70" s="222" t="str">
        <f>K70&amp;" год"</f>
        <v>2063 год</v>
      </c>
      <c r="AC70" s="4912"/>
      <c r="AD70" s="4917"/>
      <c r="AE70" s="4918"/>
      <c r="AF70" s="4918"/>
      <c r="AG70" s="4917"/>
      <c r="AH70" s="4917"/>
      <c r="AI70" s="4917"/>
      <c r="AJ70" s="4917"/>
      <c r="AK70" s="4919"/>
      <c r="AL70" s="375"/>
      <c r="AM70" s="960"/>
      <c r="AN70" s="960"/>
      <c r="AO70" s="1048" cm="1" t="str">
        <f t="array" ref="AO70:AO70">K70</f>
        <v>2063</v>
      </c>
      <c r="AP70" s="960"/>
      <c r="AQ70" s="960"/>
    </row>
    <row s="960" customFormat="1" customHeight="1" ht="14.625" hidden="1">
      <c r="A71" s="960"/>
      <c r="B71" s="418">
        <f>K71&lt;first_year+PERIOD_LENGTH</f>
        <v>0</v>
      </c>
      <c r="C71" s="960"/>
      <c r="D71" s="960"/>
      <c r="E71" s="683">
        <v>15</v>
      </c>
      <c r="F71" s="50" cm="1" t="str">
        <f t="array" ref="F71:F71">OFFSET(E71,-1,1)</f>
        <v>0</v>
      </c>
      <c r="G71" s="960"/>
      <c r="H71" s="960"/>
      <c r="I71" s="960"/>
      <c r="J71" s="960"/>
      <c r="K71" s="124">
        <f>first_year+40</f>
        <v>2064</v>
      </c>
      <c r="L71" s="960"/>
      <c r="M71" s="960"/>
      <c r="N71" s="960"/>
      <c r="O71" s="960"/>
      <c r="P71" s="960"/>
      <c r="Q71" s="960"/>
      <c r="R71" s="960"/>
      <c r="S71" s="960"/>
      <c r="T71" s="439" cm="1" t="str">
        <f t="array" ref="T71:T71">T70</f>
        <v>false</v>
      </c>
      <c r="U71" s="960"/>
      <c r="V71" s="960"/>
      <c r="W71" s="960"/>
      <c r="X71" s="1482"/>
      <c r="Y71" s="960"/>
      <c r="Z71" s="1465"/>
      <c r="AA71" s="960"/>
      <c r="AB71" s="222" t="str">
        <f>K71&amp;" год"</f>
        <v>2064 год</v>
      </c>
      <c r="AC71" s="4912"/>
      <c r="AD71" s="4917"/>
      <c r="AE71" s="4918"/>
      <c r="AF71" s="4918"/>
      <c r="AG71" s="4917"/>
      <c r="AH71" s="4917"/>
      <c r="AI71" s="4917"/>
      <c r="AJ71" s="4917"/>
      <c r="AK71" s="4919"/>
      <c r="AL71" s="375"/>
      <c r="AM71" s="960"/>
      <c r="AN71" s="960"/>
      <c r="AO71" s="1048" cm="1" t="str">
        <f t="array" ref="AO71:AO71">K71</f>
        <v>2064</v>
      </c>
      <c r="AP71" s="960"/>
      <c r="AQ71" s="960"/>
    </row>
    <row s="960" customFormat="1" customHeight="1" ht="14.625" hidden="1">
      <c r="A72" s="960"/>
      <c r="B72" s="418">
        <f>K72&lt;first_year+PERIOD_LENGTH</f>
        <v>0</v>
      </c>
      <c r="C72" s="960"/>
      <c r="D72" s="960"/>
      <c r="E72" s="683">
        <v>15</v>
      </c>
      <c r="F72" s="50" cm="1" t="str">
        <f t="array" ref="F72:F72">OFFSET(E72,-1,1)</f>
        <v>0</v>
      </c>
      <c r="G72" s="960"/>
      <c r="H72" s="960"/>
      <c r="I72" s="960"/>
      <c r="J72" s="960"/>
      <c r="K72" s="124">
        <f>first_year+41</f>
        <v>2065</v>
      </c>
      <c r="L72" s="960"/>
      <c r="M72" s="960"/>
      <c r="N72" s="960"/>
      <c r="O72" s="960"/>
      <c r="P72" s="960"/>
      <c r="Q72" s="960"/>
      <c r="R72" s="960"/>
      <c r="S72" s="960"/>
      <c r="T72" s="439" cm="1" t="str">
        <f t="array" ref="T72:T72">T71</f>
        <v>false</v>
      </c>
      <c r="U72" s="960"/>
      <c r="V72" s="960"/>
      <c r="W72" s="960"/>
      <c r="X72" s="1482"/>
      <c r="Y72" s="960"/>
      <c r="Z72" s="1465"/>
      <c r="AA72" s="960"/>
      <c r="AB72" s="222" t="str">
        <f>K72&amp;" год"</f>
        <v>2065 год</v>
      </c>
      <c r="AC72" s="4912"/>
      <c r="AD72" s="4917"/>
      <c r="AE72" s="4918"/>
      <c r="AF72" s="4918"/>
      <c r="AG72" s="4917"/>
      <c r="AH72" s="4917"/>
      <c r="AI72" s="4917"/>
      <c r="AJ72" s="4917"/>
      <c r="AK72" s="4919"/>
      <c r="AL72" s="375"/>
      <c r="AM72" s="960"/>
      <c r="AN72" s="960"/>
      <c r="AO72" s="1048" cm="1" t="str">
        <f t="array" ref="AO72:AO72">K72</f>
        <v>2065</v>
      </c>
      <c r="AP72" s="960"/>
      <c r="AQ72" s="960"/>
    </row>
    <row s="960" customFormat="1" customHeight="1" ht="14.625" hidden="1">
      <c r="A73" s="960"/>
      <c r="B73" s="418">
        <f>K73&lt;first_year+PERIOD_LENGTH</f>
        <v>0</v>
      </c>
      <c r="C73" s="960"/>
      <c r="D73" s="960"/>
      <c r="E73" s="683">
        <v>15</v>
      </c>
      <c r="F73" s="50" cm="1" t="str">
        <f t="array" ref="F73:F73">OFFSET(E73,-1,1)</f>
        <v>0</v>
      </c>
      <c r="G73" s="960"/>
      <c r="H73" s="960"/>
      <c r="I73" s="960"/>
      <c r="J73" s="960"/>
      <c r="K73" s="124">
        <f>first_year+42</f>
        <v>2066</v>
      </c>
      <c r="L73" s="960"/>
      <c r="M73" s="960"/>
      <c r="N73" s="960"/>
      <c r="O73" s="960"/>
      <c r="P73" s="960"/>
      <c r="Q73" s="960"/>
      <c r="R73" s="960"/>
      <c r="S73" s="960"/>
      <c r="T73" s="439" cm="1" t="str">
        <f t="array" ref="T73:T73">T72</f>
        <v>false</v>
      </c>
      <c r="U73" s="960"/>
      <c r="V73" s="960"/>
      <c r="W73" s="960"/>
      <c r="X73" s="1482"/>
      <c r="Y73" s="960"/>
      <c r="Z73" s="1465"/>
      <c r="AA73" s="960"/>
      <c r="AB73" s="222" t="str">
        <f>K73&amp;" год"</f>
        <v>2066 год</v>
      </c>
      <c r="AC73" s="4912"/>
      <c r="AD73" s="4917"/>
      <c r="AE73" s="4918"/>
      <c r="AF73" s="4918"/>
      <c r="AG73" s="4917"/>
      <c r="AH73" s="4917"/>
      <c r="AI73" s="4917"/>
      <c r="AJ73" s="4917"/>
      <c r="AK73" s="4919"/>
      <c r="AL73" s="375"/>
      <c r="AM73" s="960"/>
      <c r="AN73" s="960"/>
      <c r="AO73" s="1048" cm="1" t="str">
        <f t="array" ref="AO73:AO73">K73</f>
        <v>2066</v>
      </c>
      <c r="AP73" s="960"/>
      <c r="AQ73" s="960"/>
    </row>
    <row s="960" customFormat="1" customHeight="1" ht="14.625" hidden="1">
      <c r="A74" s="960"/>
      <c r="B74" s="418">
        <f>K74&lt;first_year+PERIOD_LENGTH</f>
        <v>0</v>
      </c>
      <c r="C74" s="960"/>
      <c r="D74" s="960"/>
      <c r="E74" s="683">
        <v>15</v>
      </c>
      <c r="F74" s="50" cm="1" t="str">
        <f t="array" ref="F74:F74">OFFSET(E74,-1,1)</f>
        <v>0</v>
      </c>
      <c r="G74" s="960"/>
      <c r="H74" s="960"/>
      <c r="I74" s="960"/>
      <c r="J74" s="960"/>
      <c r="K74" s="124">
        <f>first_year+43</f>
        <v>2067</v>
      </c>
      <c r="L74" s="960"/>
      <c r="M74" s="960"/>
      <c r="N74" s="960"/>
      <c r="O74" s="960"/>
      <c r="P74" s="960"/>
      <c r="Q74" s="960"/>
      <c r="R74" s="960"/>
      <c r="S74" s="960"/>
      <c r="T74" s="439" cm="1" t="str">
        <f t="array" ref="T74:T74">T73</f>
        <v>false</v>
      </c>
      <c r="U74" s="960"/>
      <c r="V74" s="960"/>
      <c r="W74" s="960"/>
      <c r="X74" s="1482"/>
      <c r="Y74" s="960"/>
      <c r="Z74" s="1465"/>
      <c r="AA74" s="960"/>
      <c r="AB74" s="222" t="str">
        <f>K74&amp;" год"</f>
        <v>2067 год</v>
      </c>
      <c r="AC74" s="4912"/>
      <c r="AD74" s="4917"/>
      <c r="AE74" s="4918"/>
      <c r="AF74" s="4918"/>
      <c r="AG74" s="4917"/>
      <c r="AH74" s="4917"/>
      <c r="AI74" s="4917"/>
      <c r="AJ74" s="4917"/>
      <c r="AK74" s="4919"/>
      <c r="AL74" s="375"/>
      <c r="AM74" s="960"/>
      <c r="AN74" s="960"/>
      <c r="AO74" s="1048" cm="1" t="str">
        <f t="array" ref="AO74:AO74">K74</f>
        <v>2067</v>
      </c>
      <c r="AP74" s="960"/>
      <c r="AQ74" s="960"/>
    </row>
    <row s="960" customFormat="1" customHeight="1" ht="14.625" hidden="1">
      <c r="A75" s="960"/>
      <c r="B75" s="418">
        <f>K75&lt;first_year+PERIOD_LENGTH</f>
        <v>0</v>
      </c>
      <c r="C75" s="960"/>
      <c r="D75" s="960"/>
      <c r="E75" s="683">
        <v>15</v>
      </c>
      <c r="F75" s="50" cm="1" t="str">
        <f t="array" ref="F75:F75">OFFSET(E75,-1,1)</f>
        <v>0</v>
      </c>
      <c r="G75" s="960"/>
      <c r="H75" s="960"/>
      <c r="I75" s="960"/>
      <c r="J75" s="960"/>
      <c r="K75" s="124">
        <f>first_year+44</f>
        <v>2068</v>
      </c>
      <c r="L75" s="960"/>
      <c r="M75" s="960"/>
      <c r="N75" s="960"/>
      <c r="O75" s="960"/>
      <c r="P75" s="960"/>
      <c r="Q75" s="960"/>
      <c r="R75" s="960"/>
      <c r="S75" s="960"/>
      <c r="T75" s="439" cm="1" t="str">
        <f t="array" ref="T75:T75">T74</f>
        <v>false</v>
      </c>
      <c r="U75" s="960"/>
      <c r="V75" s="960"/>
      <c r="W75" s="960"/>
      <c r="X75" s="1482"/>
      <c r="Y75" s="960"/>
      <c r="Z75" s="1465"/>
      <c r="AA75" s="960"/>
      <c r="AB75" s="222" t="str">
        <f>K75&amp;" год"</f>
        <v>2068 год</v>
      </c>
      <c r="AC75" s="4912"/>
      <c r="AD75" s="4917"/>
      <c r="AE75" s="4918"/>
      <c r="AF75" s="4918"/>
      <c r="AG75" s="4917"/>
      <c r="AH75" s="4917"/>
      <c r="AI75" s="4917"/>
      <c r="AJ75" s="4917"/>
      <c r="AK75" s="4919"/>
      <c r="AL75" s="375"/>
      <c r="AM75" s="960"/>
      <c r="AN75" s="960"/>
      <c r="AO75" s="1048" cm="1" t="str">
        <f t="array" ref="AO75:AO75">K75</f>
        <v>2068</v>
      </c>
      <c r="AP75" s="960"/>
      <c r="AQ75" s="960"/>
    </row>
    <row s="960" customFormat="1" customHeight="1" ht="14.625" hidden="1">
      <c r="A76" s="960"/>
      <c r="B76" s="418">
        <f>K76&lt;first_year+PERIOD_LENGTH</f>
        <v>0</v>
      </c>
      <c r="C76" s="960"/>
      <c r="D76" s="960"/>
      <c r="E76" s="683">
        <v>15</v>
      </c>
      <c r="F76" s="50" cm="1" t="str">
        <f t="array" ref="F76:F76">OFFSET(E76,-1,1)</f>
        <v>0</v>
      </c>
      <c r="G76" s="960"/>
      <c r="H76" s="960"/>
      <c r="I76" s="960"/>
      <c r="J76" s="960"/>
      <c r="K76" s="124">
        <f>first_year+45</f>
        <v>2069</v>
      </c>
      <c r="L76" s="960"/>
      <c r="M76" s="960"/>
      <c r="N76" s="960"/>
      <c r="O76" s="960"/>
      <c r="P76" s="960"/>
      <c r="Q76" s="960"/>
      <c r="R76" s="960"/>
      <c r="S76" s="960"/>
      <c r="T76" s="439" cm="1" t="str">
        <f t="array" ref="T76:T76">T75</f>
        <v>false</v>
      </c>
      <c r="U76" s="960"/>
      <c r="V76" s="960"/>
      <c r="W76" s="960"/>
      <c r="X76" s="1482"/>
      <c r="Y76" s="960"/>
      <c r="Z76" s="1465"/>
      <c r="AA76" s="960"/>
      <c r="AB76" s="222" t="str">
        <f>K76&amp;" год"</f>
        <v>2069 год</v>
      </c>
      <c r="AC76" s="4912"/>
      <c r="AD76" s="4917"/>
      <c r="AE76" s="4918"/>
      <c r="AF76" s="4918"/>
      <c r="AG76" s="4917"/>
      <c r="AH76" s="4917"/>
      <c r="AI76" s="4917"/>
      <c r="AJ76" s="4917"/>
      <c r="AK76" s="4919"/>
      <c r="AL76" s="375"/>
      <c r="AM76" s="960"/>
      <c r="AN76" s="960"/>
      <c r="AO76" s="1048" cm="1" t="str">
        <f t="array" ref="AO76:AO76">K76</f>
        <v>2069</v>
      </c>
      <c r="AP76" s="960"/>
      <c r="AQ76" s="960"/>
    </row>
    <row s="960" customFormat="1" customHeight="1" ht="14.625" hidden="1">
      <c r="A77" s="960"/>
      <c r="B77" s="418">
        <f>K77&lt;first_year+PERIOD_LENGTH</f>
        <v>0</v>
      </c>
      <c r="C77" s="960"/>
      <c r="D77" s="960"/>
      <c r="E77" s="683">
        <v>15</v>
      </c>
      <c r="F77" s="50" cm="1" t="str">
        <f t="array" ref="F77:F77">OFFSET(E77,-1,1)</f>
        <v>0</v>
      </c>
      <c r="G77" s="960"/>
      <c r="H77" s="960"/>
      <c r="I77" s="960"/>
      <c r="J77" s="960"/>
      <c r="K77" s="124">
        <f>first_year+46</f>
        <v>2070</v>
      </c>
      <c r="L77" s="960"/>
      <c r="M77" s="960"/>
      <c r="N77" s="960"/>
      <c r="O77" s="960"/>
      <c r="P77" s="960"/>
      <c r="Q77" s="960"/>
      <c r="R77" s="960"/>
      <c r="S77" s="960"/>
      <c r="T77" s="439" cm="1" t="str">
        <f t="array" ref="T77:T77">T76</f>
        <v>false</v>
      </c>
      <c r="U77" s="960"/>
      <c r="V77" s="960"/>
      <c r="W77" s="960"/>
      <c r="X77" s="1482"/>
      <c r="Y77" s="960"/>
      <c r="Z77" s="1465"/>
      <c r="AA77" s="960"/>
      <c r="AB77" s="222" t="str">
        <f>K77&amp;" год"</f>
        <v>2070 год</v>
      </c>
      <c r="AC77" s="4912"/>
      <c r="AD77" s="4917"/>
      <c r="AE77" s="4918"/>
      <c r="AF77" s="4918"/>
      <c r="AG77" s="4917"/>
      <c r="AH77" s="4917"/>
      <c r="AI77" s="4917"/>
      <c r="AJ77" s="4917"/>
      <c r="AK77" s="4919"/>
      <c r="AL77" s="375"/>
      <c r="AM77" s="960"/>
      <c r="AN77" s="960"/>
      <c r="AO77" s="1048" cm="1" t="str">
        <f t="array" ref="AO77:AO77">K77</f>
        <v>2070</v>
      </c>
      <c r="AP77" s="960"/>
      <c r="AQ77" s="960"/>
    </row>
    <row s="960" customFormat="1" customHeight="1" ht="14.625" hidden="1">
      <c r="A78" s="960"/>
      <c r="B78" s="418">
        <f>K78&lt;first_year+PERIOD_LENGTH</f>
        <v>0</v>
      </c>
      <c r="C78" s="960"/>
      <c r="D78" s="960"/>
      <c r="E78" s="683">
        <v>15</v>
      </c>
      <c r="F78" s="50" cm="1" t="str">
        <f t="array" ref="F78:F78">OFFSET(E78,-1,1)</f>
        <v>0</v>
      </c>
      <c r="G78" s="960"/>
      <c r="H78" s="960"/>
      <c r="I78" s="960"/>
      <c r="J78" s="960"/>
      <c r="K78" s="124">
        <f>first_year+47</f>
        <v>2071</v>
      </c>
      <c r="L78" s="960"/>
      <c r="M78" s="960"/>
      <c r="N78" s="960"/>
      <c r="O78" s="960"/>
      <c r="P78" s="960"/>
      <c r="Q78" s="960"/>
      <c r="R78" s="960"/>
      <c r="S78" s="960"/>
      <c r="T78" s="439" cm="1" t="str">
        <f t="array" ref="T78:T78">T77</f>
        <v>false</v>
      </c>
      <c r="U78" s="960"/>
      <c r="V78" s="960"/>
      <c r="W78" s="960"/>
      <c r="X78" s="1482"/>
      <c r="Y78" s="960"/>
      <c r="Z78" s="1465"/>
      <c r="AA78" s="960"/>
      <c r="AB78" s="222" t="str">
        <f>K78&amp;" год"</f>
        <v>2071 год</v>
      </c>
      <c r="AC78" s="4912"/>
      <c r="AD78" s="4917"/>
      <c r="AE78" s="4918"/>
      <c r="AF78" s="4918"/>
      <c r="AG78" s="4917"/>
      <c r="AH78" s="4917"/>
      <c r="AI78" s="4917"/>
      <c r="AJ78" s="4917"/>
      <c r="AK78" s="4919"/>
      <c r="AL78" s="375"/>
      <c r="AM78" s="960"/>
      <c r="AN78" s="960"/>
      <c r="AO78" s="1048" cm="1" t="str">
        <f t="array" ref="AO78:AO78">K78</f>
        <v>2071</v>
      </c>
      <c r="AP78" s="960"/>
      <c r="AQ78" s="960"/>
    </row>
    <row s="960" customFormat="1" customHeight="1" ht="14.625" hidden="1">
      <c r="A79" s="960"/>
      <c r="B79" s="418">
        <f>K79&lt;first_year+PERIOD_LENGTH</f>
        <v>0</v>
      </c>
      <c r="C79" s="960"/>
      <c r="D79" s="960"/>
      <c r="E79" s="683">
        <v>15</v>
      </c>
      <c r="F79" s="50" cm="1" t="str">
        <f t="array" ref="F79:F79">OFFSET(E79,-1,1)</f>
        <v>0</v>
      </c>
      <c r="G79" s="960"/>
      <c r="H79" s="960"/>
      <c r="I79" s="960"/>
      <c r="J79" s="960"/>
      <c r="K79" s="124">
        <f>first_year+48</f>
        <v>2072</v>
      </c>
      <c r="L79" s="960"/>
      <c r="M79" s="960"/>
      <c r="N79" s="960"/>
      <c r="O79" s="960"/>
      <c r="P79" s="960"/>
      <c r="Q79" s="960"/>
      <c r="R79" s="960"/>
      <c r="S79" s="960"/>
      <c r="T79" s="439" cm="1" t="str">
        <f t="array" ref="T79:T79">T78</f>
        <v>false</v>
      </c>
      <c r="U79" s="960"/>
      <c r="V79" s="960"/>
      <c r="W79" s="960"/>
      <c r="X79" s="1482"/>
      <c r="Y79" s="960"/>
      <c r="Z79" s="1465"/>
      <c r="AA79" s="960"/>
      <c r="AB79" s="222" t="str">
        <f>K79&amp;" год"</f>
        <v>2072 год</v>
      </c>
      <c r="AC79" s="4912"/>
      <c r="AD79" s="4917"/>
      <c r="AE79" s="4918"/>
      <c r="AF79" s="4918"/>
      <c r="AG79" s="4917"/>
      <c r="AH79" s="4917"/>
      <c r="AI79" s="4917"/>
      <c r="AJ79" s="4917"/>
      <c r="AK79" s="4919"/>
      <c r="AL79" s="375"/>
      <c r="AM79" s="960"/>
      <c r="AN79" s="960"/>
      <c r="AO79" s="1048" cm="1" t="str">
        <f t="array" ref="AO79:AO79">K79</f>
        <v>2072</v>
      </c>
      <c r="AP79" s="960"/>
      <c r="AQ79" s="960"/>
    </row>
    <row s="960" customFormat="1" customHeight="1" ht="14.625" hidden="1">
      <c r="A80" s="960"/>
      <c r="B80" s="418">
        <f>K80&lt;first_year+PERIOD_LENGTH</f>
        <v>0</v>
      </c>
      <c r="C80" s="960"/>
      <c r="D80" s="960"/>
      <c r="E80" s="683">
        <v>15</v>
      </c>
      <c r="F80" s="50" cm="1" t="str">
        <f t="array" ref="F80:F80">OFFSET(E80,-1,1)</f>
        <v>0</v>
      </c>
      <c r="G80" s="960"/>
      <c r="H80" s="960"/>
      <c r="I80" s="960"/>
      <c r="J80" s="960"/>
      <c r="K80" s="124">
        <f>first_year+49</f>
        <v>2073</v>
      </c>
      <c r="L80" s="960"/>
      <c r="M80" s="960"/>
      <c r="N80" s="960"/>
      <c r="O80" s="960"/>
      <c r="P80" s="960"/>
      <c r="Q80" s="960"/>
      <c r="R80" s="960"/>
      <c r="S80" s="960"/>
      <c r="T80" s="439" cm="1" t="str">
        <f t="array" ref="T80:T80">T79</f>
        <v>false</v>
      </c>
      <c r="U80" s="960"/>
      <c r="V80" s="960"/>
      <c r="W80" s="960"/>
      <c r="X80" s="1482"/>
      <c r="Y80" s="960"/>
      <c r="Z80" s="1465"/>
      <c r="AA80" s="960"/>
      <c r="AB80" s="222" t="str">
        <f>K80&amp;" год"</f>
        <v>2073 год</v>
      </c>
      <c r="AC80" s="4912"/>
      <c r="AD80" s="4917"/>
      <c r="AE80" s="4918"/>
      <c r="AF80" s="4918"/>
      <c r="AG80" s="4917"/>
      <c r="AH80" s="4917"/>
      <c r="AI80" s="4917"/>
      <c r="AJ80" s="4917"/>
      <c r="AK80" s="4919"/>
      <c r="AL80" s="375"/>
      <c r="AM80" s="960"/>
      <c r="AN80" s="960"/>
      <c r="AO80" s="1048" cm="1" t="str">
        <f t="array" ref="AO80:AO80">K80</f>
        <v>2073</v>
      </c>
      <c r="AP80" s="960"/>
      <c r="AQ80" s="960"/>
    </row>
    <row s="4920"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'Калькуляция (МИ корр)'!$AB$171</f>
        <v>Тариф 1 (Водоснабжение) - тариф на техническую воду (Оказание услуг на территории: Прокопьевский муниципальный округ (ОКТМО: 32522000) - п Калачево)</v>
      </c>
      <c r="W81" s="1153"/>
      <c r="X81" s="1482" t="s">
        <v>272</v>
      </c>
      <c r="Y81" s="1153"/>
      <c r="Z81" s="1465"/>
      <c r="AA81" s="1153"/>
      <c r="AB81" s="348" cm="1" t="str">
        <f t="array" ref="AB81:AB81">'Калькуляция (МИ корр)'!$AB$171</f>
        <v>Тариф 1 (Водоснабжение) - тариф на техническую воду (Оказание услуг на территории: Прокопьевский муниципальный округ (ОКТМО: 32522000) - п Калачево)</v>
      </c>
      <c r="AC81" s="813"/>
      <c r="AD81" s="813"/>
      <c r="AE81" s="813"/>
      <c r="AF81" s="813"/>
      <c r="AG81" s="813"/>
      <c r="AH81" s="813"/>
      <c r="AI81" s="813"/>
      <c r="AJ81" s="813"/>
      <c r="AK81" s="813"/>
      <c r="AL81" s="374"/>
      <c r="AM81" s="1153"/>
      <c r="AN81" s="1153"/>
      <c r="AO81" s="980"/>
      <c r="AP81" s="1153"/>
      <c r="AQ81" s="1153"/>
    </row>
    <row s="4921" customFormat="1" customHeight="1" ht="14.625">
      <c r="A82" s="960"/>
      <c r="B82" s="418">
        <f>K82&lt;first_year+PERIOD_LENGTH</f>
        <v>1</v>
      </c>
      <c r="C82" s="960"/>
      <c r="D82" s="960"/>
      <c r="E82" s="683">
        <v>15</v>
      </c>
      <c r="F82" s="50" cm="1" t="str">
        <f t="array" ref="F82:F82">OFFSET(E82,-1,1)</f>
        <v>1</v>
      </c>
      <c r="G82" s="960"/>
      <c r="H82" s="960"/>
      <c r="I82" s="960"/>
      <c r="J82" s="960"/>
      <c r="K82" s="124" cm="1" t="str">
        <f t="array" ref="K82:K82">first_year</f>
        <v>2024</v>
      </c>
      <c r="L82" s="960"/>
      <c r="M82" s="960"/>
      <c r="N82" s="960"/>
      <c r="O82" s="960"/>
      <c r="P82" s="960"/>
      <c r="Q82" s="960"/>
      <c r="R82" s="960"/>
      <c r="S82" s="960"/>
      <c r="T82" s="439" cm="1" t="str">
        <f t="array" ref="T82:T82">T81</f>
        <v>true</v>
      </c>
      <c r="U82" s="960"/>
      <c r="V82" s="960"/>
      <c r="W82" s="960"/>
      <c r="X82" s="1482"/>
      <c r="Y82" s="960"/>
      <c r="Z82" s="1465"/>
      <c r="AA82" s="960"/>
      <c r="AB82" s="814" t="str">
        <f>K82&amp;" год"</f>
        <v>2024 год</v>
      </c>
      <c r="AC82" s="903">
        <v>4906.3013040498</v>
      </c>
      <c r="AD82" s="816">
        <f>_xlfn.IFERROR(_xlfn.SUMIFS(INDEX(Сценарии!$AE$25:$BF$109,,MATCH($K82&amp;"Принято органом регулирования",Сценарии!$AE$8:$BF$8,0)),Сценарии!$F$25:$F$109,$F82,Сценарии!$AC$25:$AC$109,"Индекс эффективности операционных расходов"),0)</f>
        <v>0</v>
      </c>
      <c r="AE82" s="815"/>
      <c r="AF82" s="815">
        <f>_xlfn.IFERROR(_xlfn.SUMIFS(INDEX(Баланс!$AE$25:$BB$300,,MATCH($K82&amp;"Принято органом регулирования",Баланс!$AE$8:$BB$8,0)),Баланс!$F$25:$F$300,$F82,Баланс!$AC$24:$AC$300,"Уровень потерь воды"),0)</f>
        <v>0</v>
      </c>
      <c r="AG82" s="1291">
        <v>1.3394512772</v>
      </c>
      <c r="AH82" s="816">
        <f>_xlfn.IFERROR(_xlfn.SUMIFS(INDEX(Electricity_LOAD_1,,MATCH($K82&amp;"Принято органом регулирования",ЭЭ!$AE$8:$BB$8,0)),ЭЭ!$F$25:$F$93,$F82,ЭЭ!$AC$25:$AC$93,"Удельный расход электроэнергии"),0)</f>
        <v>1.33945127719963</v>
      </c>
      <c r="AI82" s="816">
        <f>_xlfn.IFERROR(_xlfn.SUMIFS(INDEX(Electricity_LOAD_1,,MATCH($K82&amp;"Принято органом регулирования",ЭЭ!$AE$8:$BB$8,0)),ЭЭ!$F$25:$F$93,$F82,ЭЭ!$AC$25:$AC$93,"Удельный расход электроэнергии"),0)</f>
        <v>1.33945127719963</v>
      </c>
      <c r="AJ82" s="4926"/>
      <c r="AK82" s="4926"/>
      <c r="AL82" s="375"/>
      <c r="AM82" s="124">
        <f>ROUND(_xlfn.IFERROR(_xlfn.SUMIFS(INDEX(Electricity_LOAD_1,,MATCH($K82&amp;"Принято органом регулирования",ЭЭ!$AE$8:$BB$8,0)),ЭЭ!$F$25:$F$93,$F82,ЭЭ!$AC$25:$AC$93,"Удельный расход электроэнергии"),0),3)=ROUND(SUM(AH82:AK82),3)</f>
        <v>0</v>
      </c>
      <c r="AN82" s="960"/>
      <c r="AO82" s="1048" cm="1" t="str">
        <f t="array" ref="AO82:AO82">K82</f>
        <v>2024</v>
      </c>
      <c r="AP82" s="960"/>
      <c r="AQ82" s="960"/>
    </row>
    <row s="4927" customFormat="1" customHeight="1" ht="14.625">
      <c r="A83" s="960"/>
      <c r="B83" s="418">
        <f>K83&lt;first_year+PERIOD_LENGTH</f>
        <v>1</v>
      </c>
      <c r="C83" s="960"/>
      <c r="D83" s="960"/>
      <c r="E83" s="683">
        <v>15</v>
      </c>
      <c r="F83" s="50" cm="1" t="str">
        <f t="array" ref="F83:F83">OFFSET(E83,-1,1)</f>
        <v>1</v>
      </c>
      <c r="G83" s="960"/>
      <c r="H83" s="960"/>
      <c r="I83" s="960"/>
      <c r="J83" s="960"/>
      <c r="K83" s="124">
        <f>first_year+1</f>
        <v>2025</v>
      </c>
      <c r="L83" s="960"/>
      <c r="M83" s="960"/>
      <c r="N83" s="960"/>
      <c r="O83" s="960"/>
      <c r="P83" s="960"/>
      <c r="Q83" s="960"/>
      <c r="R83" s="960"/>
      <c r="S83" s="960"/>
      <c r="T83" s="439" cm="1" t="str">
        <f t="array" ref="T83:T83">T82</f>
        <v>true</v>
      </c>
      <c r="U83" s="960"/>
      <c r="V83" s="960"/>
      <c r="W83" s="960"/>
      <c r="X83" s="1482"/>
      <c r="Y83" s="960"/>
      <c r="Z83" s="1465"/>
      <c r="AA83" s="960"/>
      <c r="AB83" s="814" t="str">
        <f>K83&amp;" год"</f>
        <v>2025 год</v>
      </c>
      <c r="AC83" s="815"/>
      <c r="AD83" s="816">
        <v>1</v>
      </c>
      <c r="AE83" s="815"/>
      <c r="AF83" s="815">
        <f>_xlfn.IFERROR(_xlfn.SUMIFS(INDEX(Баланс!$AE$25:$BB$300,,MATCH($K83&amp;"Принято органом регулирования",Баланс!$AE$8:$BB$8,0)),Баланс!$F$25:$F$300,$F83,Баланс!$AC$24:$AC$300,"Уровень потерь воды"),0)</f>
        <v>0</v>
      </c>
      <c r="AG83" s="1291">
        <v>1.3394512772</v>
      </c>
      <c r="AH83" s="816">
        <f>_xlfn.IFERROR(_xlfn.SUMIFS(INDEX(Electricity_LOAD_1,,MATCH($K83&amp;"Принято органом регулирования",ЭЭ!$AE$8:$BB$8,0)),ЭЭ!$F$25:$F$93,$F83,ЭЭ!$AC$25:$AC$93,"Удельный расход электроэнергии"),0)</f>
        <v>1.33945127719963</v>
      </c>
      <c r="AI83" s="816">
        <f>_xlfn.IFERROR(_xlfn.SUMIFS(INDEX(Electricity_LOAD_1,,MATCH($K83&amp;"Принято органом регулирования",ЭЭ!$AE$8:$BB$8,0)),ЭЭ!$F$25:$F$93,$F83,ЭЭ!$AC$25:$AC$93,"Удельный расход электроэнергии"),0)</f>
        <v>1.33945127719963</v>
      </c>
      <c r="AJ83" s="4926"/>
      <c r="AK83" s="4926"/>
      <c r="AL83" s="375"/>
      <c r="AM83" s="124">
        <f>ROUND(_xlfn.IFERROR(_xlfn.SUMIFS(INDEX(Electricity_LOAD_1,,MATCH($K83&amp;"Принято органом регулирования",ЭЭ!$AE$8:$BB$8,0)),ЭЭ!$F$25:$F$93,$F83,ЭЭ!$AC$25:$AC$93,"Удельный расход электроэнергии"),0),3)=ROUND(SUM(AH83:AK83),3)</f>
        <v>0</v>
      </c>
      <c r="AN83" s="960"/>
      <c r="AO83" s="1048" cm="1" t="str">
        <f t="array" ref="AO83:AO83">K83</f>
        <v>2025</v>
      </c>
      <c r="AP83" s="960"/>
      <c r="AQ83" s="960"/>
    </row>
    <row s="4928" customFormat="1" customHeight="1" ht="14.625">
      <c r="A84" s="960"/>
      <c r="B84" s="418">
        <f>K84&lt;first_year+PERIOD_LENGTH</f>
        <v>1</v>
      </c>
      <c r="C84" s="960"/>
      <c r="D84" s="960"/>
      <c r="E84" s="683">
        <v>15</v>
      </c>
      <c r="F84" s="50" cm="1" t="str">
        <f t="array" ref="F84:F84">OFFSET(E84,-1,1)</f>
        <v>1</v>
      </c>
      <c r="G84" s="960"/>
      <c r="H84" s="960"/>
      <c r="I84" s="960"/>
      <c r="J84" s="960"/>
      <c r="K84" s="124">
        <f>first_year+2</f>
        <v>2026</v>
      </c>
      <c r="L84" s="960"/>
      <c r="M84" s="960"/>
      <c r="N84" s="960"/>
      <c r="O84" s="960"/>
      <c r="P84" s="960"/>
      <c r="Q84" s="960"/>
      <c r="R84" s="960"/>
      <c r="S84" s="960"/>
      <c r="T84" s="439" cm="1" t="str">
        <f t="array" ref="T84:T84">T83</f>
        <v>true</v>
      </c>
      <c r="U84" s="960"/>
      <c r="V84" s="960"/>
      <c r="W84" s="960"/>
      <c r="X84" s="1482"/>
      <c r="Y84" s="960"/>
      <c r="Z84" s="1465"/>
      <c r="AA84" s="960"/>
      <c r="AB84" s="814" t="str">
        <f>K84&amp;" год"</f>
        <v>2026 год</v>
      </c>
      <c r="AC84" s="815"/>
      <c r="AD84" s="816">
        <v>1</v>
      </c>
      <c r="AE84" s="815"/>
      <c r="AF84" s="815">
        <f>_xlfn.IFERROR(_xlfn.SUMIFS(INDEX(Баланс!$AE$25:$BB$300,,MATCH($K84&amp;"Принято органом регулирования",Баланс!$AE$8:$BB$8,0)),Баланс!$F$25:$F$300,$F84,Баланс!$AC$24:$AC$300,"Уровень потерь воды"),0)</f>
        <v>0</v>
      </c>
      <c r="AG84" s="1291">
        <v>1.3394512772</v>
      </c>
      <c r="AH84" s="816">
        <f>_xlfn.IFERROR(_xlfn.SUMIFS(INDEX(Electricity_LOAD_1,,MATCH($K84&amp;"Принято органом регулирования",ЭЭ!$AE$8:$BB$8,0)),ЭЭ!$F$25:$F$93,$F84,ЭЭ!$AC$25:$AC$93,"Удельный расход электроэнергии"),0)</f>
        <v>1.33945127719983</v>
      </c>
      <c r="AI84" s="816">
        <f>_xlfn.IFERROR(_xlfn.SUMIFS(INDEX(Electricity_LOAD_1,,MATCH($K84&amp;"Принято органом регулирования",ЭЭ!$AE$8:$BB$8,0)),ЭЭ!$F$25:$F$93,$F84,ЭЭ!$AC$25:$AC$93,"Удельный расход электроэнергии"),0)</f>
        <v>1.33945127719983</v>
      </c>
      <c r="AJ84" s="4926"/>
      <c r="AK84" s="4926"/>
      <c r="AL84" s="375"/>
      <c r="AM84" s="124">
        <f>ROUND(_xlfn.IFERROR(_xlfn.SUMIFS(INDEX(Electricity_LOAD_1,,MATCH($K84&amp;"Принято органом регулирования",ЭЭ!$AE$8:$BB$8,0)),ЭЭ!$F$25:$F$93,$F84,ЭЭ!$AC$25:$AC$93,"Удельный расход электроэнергии"),0),3)=ROUND(SUM(AH84:AK84),3)</f>
        <v>0</v>
      </c>
      <c r="AN84" s="960"/>
      <c r="AO84" s="1048" cm="1" t="str">
        <f t="array" ref="AO84:AO84">K84</f>
        <v>2026</v>
      </c>
      <c r="AP84" s="960"/>
      <c r="AQ84" s="960"/>
    </row>
    <row s="4929" customFormat="1" customHeight="1" ht="14.625">
      <c r="A85" s="960"/>
      <c r="B85" s="418">
        <f>K85&lt;first_year+PERIOD_LENGTH</f>
        <v>1</v>
      </c>
      <c r="C85" s="960"/>
      <c r="D85" s="960"/>
      <c r="E85" s="683">
        <v>15</v>
      </c>
      <c r="F85" s="50" cm="1" t="str">
        <f t="array" ref="F85:F85">OFFSET(E85,-1,1)</f>
        <v>1</v>
      </c>
      <c r="G85" s="960"/>
      <c r="H85" s="960"/>
      <c r="I85" s="960"/>
      <c r="J85" s="960"/>
      <c r="K85" s="124">
        <f>first_year+3</f>
        <v>2027</v>
      </c>
      <c r="L85" s="960"/>
      <c r="M85" s="960"/>
      <c r="N85" s="960"/>
      <c r="O85" s="960"/>
      <c r="P85" s="960"/>
      <c r="Q85" s="960"/>
      <c r="R85" s="960"/>
      <c r="S85" s="960"/>
      <c r="T85" s="439" cm="1" t="str">
        <f t="array" ref="T85:T85">T84</f>
        <v>true</v>
      </c>
      <c r="U85" s="960"/>
      <c r="V85" s="960"/>
      <c r="W85" s="960"/>
      <c r="X85" s="1482"/>
      <c r="Y85" s="960"/>
      <c r="Z85" s="1465"/>
      <c r="AA85" s="960"/>
      <c r="AB85" s="814" t="str">
        <f>K85&amp;" год"</f>
        <v>2027 год</v>
      </c>
      <c r="AC85" s="815"/>
      <c r="AD85" s="816">
        <v>1</v>
      </c>
      <c r="AE85" s="815"/>
      <c r="AF85" s="815">
        <f>_xlfn.IFERROR(_xlfn.SUMIFS(INDEX(Баланс!$AE$25:$BB$300,,MATCH($K85&amp;"Принято органом регулирования",Баланс!$AE$8:$BB$8,0)),Баланс!$F$25:$F$300,$F85,Баланс!$AC$24:$AC$300,"Уровень потерь воды"),0)</f>
        <v>0</v>
      </c>
      <c r="AG85" s="1291">
        <v>1.3394512772</v>
      </c>
      <c r="AH85" s="816">
        <f>_xlfn.IFERROR(_xlfn.SUMIFS(INDEX(Electricity_LOAD_1,,MATCH($K85&amp;"Принято органом регулирования",ЭЭ!$AE$8:$BB$8,0)),ЭЭ!$F$25:$F$93,$F85,ЭЭ!$AC$25:$AC$93,"Удельный расход электроэнергии"),0)</f>
        <v>0</v>
      </c>
      <c r="AI85" s="816">
        <f>_xlfn.IFERROR(_xlfn.SUMIFS(INDEX(Electricity_LOAD_1,,MATCH($K85&amp;"Принято органом регулирования",ЭЭ!$AE$8:$BB$8,0)),ЭЭ!$F$25:$F$93,$F85,ЭЭ!$AC$25:$AC$93,"Удельный расход электроэнергии"),0)</f>
        <v>0</v>
      </c>
      <c r="AJ85" s="4926"/>
      <c r="AK85" s="4926"/>
      <c r="AL85" s="375"/>
      <c r="AM85" s="124">
        <f>ROUND(_xlfn.IFERROR(_xlfn.SUMIFS(INDEX(Electricity_LOAD_1,,MATCH($K85&amp;"Принято органом регулирования",ЭЭ!$AE$8:$BB$8,0)),ЭЭ!$F$25:$F$93,$F85,ЭЭ!$AC$25:$AC$93,"Удельный расход электроэнергии"),0),3)=ROUND(SUM(AH85:AK85),3)</f>
        <v>1</v>
      </c>
      <c r="AN85" s="960"/>
      <c r="AO85" s="1048" cm="1" t="str">
        <f t="array" ref="AO85:AO85">K85</f>
        <v>2027</v>
      </c>
      <c r="AP85" s="960"/>
      <c r="AQ85" s="960"/>
    </row>
    <row s="4930" customFormat="1" customHeight="1" ht="14.625">
      <c r="A86" s="960"/>
      <c r="B86" s="418">
        <f>K86&lt;first_year+PERIOD_LENGTH</f>
        <v>1</v>
      </c>
      <c r="C86" s="960"/>
      <c r="D86" s="960"/>
      <c r="E86" s="683">
        <v>15</v>
      </c>
      <c r="F86" s="50" cm="1" t="str">
        <f t="array" ref="F86:F86">OFFSET(E86,-1,1)</f>
        <v>1</v>
      </c>
      <c r="G86" s="960"/>
      <c r="H86" s="960"/>
      <c r="I86" s="960"/>
      <c r="J86" s="960"/>
      <c r="K86" s="124">
        <f>first_year+4</f>
        <v>2028</v>
      </c>
      <c r="L86" s="960"/>
      <c r="M86" s="960"/>
      <c r="N86" s="960"/>
      <c r="O86" s="960"/>
      <c r="P86" s="960"/>
      <c r="Q86" s="960"/>
      <c r="R86" s="960"/>
      <c r="S86" s="960"/>
      <c r="T86" s="439" cm="1" t="str">
        <f t="array" ref="T86:T86">T85</f>
        <v>true</v>
      </c>
      <c r="U86" s="960"/>
      <c r="V86" s="960"/>
      <c r="W86" s="960"/>
      <c r="X86" s="1482"/>
      <c r="Y86" s="960"/>
      <c r="Z86" s="1465"/>
      <c r="AA86" s="960"/>
      <c r="AB86" s="814" t="str">
        <f>K86&amp;" год"</f>
        <v>2028 год</v>
      </c>
      <c r="AC86" s="815"/>
      <c r="AD86" s="816">
        <v>1</v>
      </c>
      <c r="AE86" s="815"/>
      <c r="AF86" s="815">
        <f>_xlfn.IFERROR(_xlfn.SUMIFS(INDEX(Баланс!$AE$25:$BB$300,,MATCH($K86&amp;"Принято органом регулирования",Баланс!$AE$8:$BB$8,0)),Баланс!$F$25:$F$300,$F86,Баланс!$AC$24:$AC$300,"Уровень потерь воды"),0)</f>
        <v>0</v>
      </c>
      <c r="AG86" s="1291">
        <v>1.3394512772</v>
      </c>
      <c r="AH86" s="816">
        <f>_xlfn.IFERROR(_xlfn.SUMIFS(INDEX(Electricity_LOAD_1,,MATCH($K86&amp;"Принято органом регулирования",ЭЭ!$AE$8:$BB$8,0)),ЭЭ!$F$25:$F$93,$F86,ЭЭ!$AC$25:$AC$93,"Удельный расход электроэнергии"),0)</f>
        <v>0</v>
      </c>
      <c r="AI86" s="816">
        <f>_xlfn.IFERROR(_xlfn.SUMIFS(INDEX(Electricity_LOAD_1,,MATCH($K86&amp;"Принято органом регулирования",ЭЭ!$AE$8:$BB$8,0)),ЭЭ!$F$25:$F$93,$F86,ЭЭ!$AC$25:$AC$93,"Удельный расход электроэнергии"),0)</f>
        <v>0</v>
      </c>
      <c r="AJ86" s="4926"/>
      <c r="AK86" s="4926"/>
      <c r="AL86" s="375"/>
      <c r="AM86" s="124">
        <f>ROUND(_xlfn.IFERROR(_xlfn.SUMIFS(INDEX(Electricity_LOAD_1,,MATCH($K86&amp;"Принято органом регулирования",ЭЭ!$AE$8:$BB$8,0)),ЭЭ!$F$25:$F$93,$F86,ЭЭ!$AC$25:$AC$93,"Удельный расход электроэнергии"),0),3)=ROUND(SUM(AH86:AK86),3)</f>
        <v>1</v>
      </c>
      <c r="AN86" s="960"/>
      <c r="AO86" s="1048" cm="1" t="str">
        <f t="array" ref="AO86:AO86">K86</f>
        <v>2028</v>
      </c>
      <c r="AP86" s="960"/>
      <c r="AQ86" s="960"/>
    </row>
    <row s="4931" customFormat="1" customHeight="1" ht="14.25" hidden="1">
      <c r="A87" s="960"/>
      <c r="B87" s="418">
        <f>K87&lt;first_year+PERIOD_LENGTH</f>
        <v>0</v>
      </c>
      <c r="C87" s="960"/>
      <c r="D87" s="960"/>
      <c r="E87" s="683">
        <v>15</v>
      </c>
      <c r="F87" s="50" cm="1" t="str">
        <f t="array" ref="F87:F87">OFFSET(E87,-1,1)</f>
        <v>1</v>
      </c>
      <c r="G87" s="960"/>
      <c r="H87" s="960"/>
      <c r="I87" s="960"/>
      <c r="J87" s="960"/>
      <c r="K87" s="124">
        <f>first_year+5</f>
        <v>2029</v>
      </c>
      <c r="L87" s="960"/>
      <c r="M87" s="960"/>
      <c r="N87" s="960"/>
      <c r="O87" s="960"/>
      <c r="P87" s="960"/>
      <c r="Q87" s="960"/>
      <c r="R87" s="960"/>
      <c r="S87" s="960"/>
      <c r="T87" s="439" cm="1" t="str">
        <f t="array" ref="T87:T87">T86</f>
        <v>true</v>
      </c>
      <c r="U87" s="960"/>
      <c r="V87" s="960"/>
      <c r="W87" s="960"/>
      <c r="X87" s="1482"/>
      <c r="Y87" s="960"/>
      <c r="Z87" s="1465"/>
      <c r="AA87" s="960"/>
      <c r="AB87" s="814" t="str">
        <f>K87&amp;" год"</f>
        <v>2029 год</v>
      </c>
      <c r="AC87" s="4912"/>
      <c r="AD87" s="4911">
        <f>_xlfn.IFERROR(_xlfn.SUMIFS(INDEX(Сценарии!$AE$25:$BF$109,,MATCH($K87&amp;"Принято органом регулирования",Сценарии!$AE$8:$BF$8,0)),Сценарии!$F$25:$F$109,$F87,Сценарии!$AC$25:$AC$109,"Индекс эффективности операционных расходов"),0)</f>
        <v>0</v>
      </c>
      <c r="AE87" s="4912"/>
      <c r="AF87" s="4912">
        <f>_xlfn.IFERROR(_xlfn.SUMIFS(INDEX(Баланс!$AE$25:$BB$300,,MATCH($K87&amp;"Принято органом регулирования",Баланс!$AE$8:$BB$8,0)),Баланс!$F$25:$F$300,$F87,Баланс!$AC$24:$AC$300,"Уровень потерь воды"),0)</f>
        <v>0</v>
      </c>
      <c r="AG87" s="4913">
        <f>_xlfn.IFERROR(_xlfn.SUMIFS(INDEX(Electricity_LOAD_1,,MATCH($K87&amp;"Принято органом регулирования",ЭЭ!$AE$8:$BB$8,0)),ЭЭ!$F$25:$F$93,$F87,ЭЭ!$AC$25:$AC$93,"Удельный расход электроэнергии"),0)</f>
        <v>0</v>
      </c>
      <c r="AH87" s="4911">
        <f>_xlfn.IFERROR(_xlfn.SUMIFS(INDEX(Electricity_LOAD_1,,MATCH($K87&amp;"Принято органом регулирования",ЭЭ!$AE$8:$BB$8,0)),ЭЭ!$F$25:$F$93,$F87,ЭЭ!$AC$25:$AC$93,"Удельный расход электроэнергии"),0)</f>
        <v>0</v>
      </c>
      <c r="AI87" s="4911">
        <f>_xlfn.IFERROR(_xlfn.SUMIFS(INDEX(Electricity_LOAD_1,,MATCH($K87&amp;"Принято органом регулирования",ЭЭ!$AE$8:$BB$8,0)),ЭЭ!$F$25:$F$93,$F87,ЭЭ!$AC$25:$AC$93,"Удельный расход электроэнергии"),0)</f>
        <v>0</v>
      </c>
      <c r="AJ87" s="4926"/>
      <c r="AK87" s="4926"/>
      <c r="AL87" s="375"/>
      <c r="AM87" s="124">
        <f>ROUND(_xlfn.IFERROR(_xlfn.SUMIFS(INDEX(Electricity_LOAD_1,,MATCH($K87&amp;"Принято органом регулирования",ЭЭ!$AE$8:$BB$8,0)),ЭЭ!$F$25:$F$93,$F87,ЭЭ!$AC$25:$AC$93,"Удельный расход электроэнергии"),0),3)=ROUND(SUM(AH87:AK87),3)</f>
        <v>1</v>
      </c>
      <c r="AN87" s="960"/>
      <c r="AO87" s="1048" cm="1" t="str">
        <f t="array" ref="AO87:AO87">K87</f>
        <v>2029</v>
      </c>
      <c r="AP87" s="960"/>
      <c r="AQ87" s="960"/>
    </row>
    <row s="4932" customFormat="1" customHeight="1" ht="14.25" hidden="1">
      <c r="A88" s="960"/>
      <c r="B88" s="418">
        <f>K88&lt;first_year+PERIOD_LENGTH</f>
        <v>0</v>
      </c>
      <c r="C88" s="960"/>
      <c r="D88" s="960"/>
      <c r="E88" s="683">
        <v>15</v>
      </c>
      <c r="F88" s="50" cm="1" t="str">
        <f t="array" ref="F88:F88">OFFSET(E88,-1,1)</f>
        <v>1</v>
      </c>
      <c r="G88" s="960"/>
      <c r="H88" s="960"/>
      <c r="I88" s="960"/>
      <c r="J88" s="960"/>
      <c r="K88" s="124">
        <f>first_year+6</f>
        <v>2030</v>
      </c>
      <c r="L88" s="960"/>
      <c r="M88" s="960"/>
      <c r="N88" s="960"/>
      <c r="O88" s="960"/>
      <c r="P88" s="960"/>
      <c r="Q88" s="960"/>
      <c r="R88" s="960"/>
      <c r="S88" s="960"/>
      <c r="T88" s="439" cm="1" t="str">
        <f t="array" ref="T88:T88">T87</f>
        <v>true</v>
      </c>
      <c r="U88" s="960"/>
      <c r="V88" s="960"/>
      <c r="W88" s="960"/>
      <c r="X88" s="1482"/>
      <c r="Y88" s="960"/>
      <c r="Z88" s="1465"/>
      <c r="AA88" s="960"/>
      <c r="AB88" s="814" t="str">
        <f>K88&amp;" год"</f>
        <v>2030 год</v>
      </c>
      <c r="AC88" s="4912"/>
      <c r="AD88" s="4911">
        <f>_xlfn.IFERROR(_xlfn.SUMIFS(INDEX(Сценарии!$AE$25:$BF$109,,MATCH($K88&amp;"Принято органом регулирования",Сценарии!$AE$8:$BF$8,0)),Сценарии!$F$25:$F$109,$F88,Сценарии!$AC$25:$AC$109,"Индекс эффективности операционных расходов"),0)</f>
        <v>0</v>
      </c>
      <c r="AE88" s="4912"/>
      <c r="AF88" s="4912">
        <f>_xlfn.IFERROR(_xlfn.SUMIFS(INDEX(Баланс!$AE$25:$BB$300,,MATCH($K88&amp;"Принято органом регулирования",Баланс!$AE$8:$BB$8,0)),Баланс!$F$25:$F$300,$F88,Баланс!$AC$24:$AC$300,"Уровень потерь воды"),0)</f>
        <v>0</v>
      </c>
      <c r="AG88" s="4913">
        <f>_xlfn.IFERROR(_xlfn.SUMIFS(INDEX(Electricity_LOAD_1,,MATCH($K88&amp;"Принято органом регулирования",ЭЭ!$AE$8:$BB$8,0)),ЭЭ!$F$25:$F$93,$F88,ЭЭ!$AC$25:$AC$93,"Удельный расход электроэнергии"),0)</f>
        <v>0</v>
      </c>
      <c r="AH88" s="4911">
        <f>_xlfn.IFERROR(_xlfn.SUMIFS(INDEX(Electricity_LOAD_1,,MATCH($K88&amp;"Принято органом регулирования",ЭЭ!$AE$8:$BB$8,0)),ЭЭ!$F$25:$F$93,$F88,ЭЭ!$AC$25:$AC$93,"Удельный расход электроэнергии"),0)</f>
        <v>0</v>
      </c>
      <c r="AI88" s="4911">
        <f>_xlfn.IFERROR(_xlfn.SUMIFS(INDEX(Electricity_LOAD_1,,MATCH($K88&amp;"Принято органом регулирования",ЭЭ!$AE$8:$BB$8,0)),ЭЭ!$F$25:$F$93,$F88,ЭЭ!$AC$25:$AC$93,"Удельный расход электроэнергии"),0)</f>
        <v>0</v>
      </c>
      <c r="AJ88" s="4926"/>
      <c r="AK88" s="4926"/>
      <c r="AL88" s="375"/>
      <c r="AM88" s="124">
        <f>ROUND(_xlfn.IFERROR(_xlfn.SUMIFS(INDEX(Electricity_LOAD_1,,MATCH($K88&amp;"Принято органом регулирования",ЭЭ!$AE$8:$BB$8,0)),ЭЭ!$F$25:$F$93,$F88,ЭЭ!$AC$25:$AC$93,"Удельный расход электроэнергии"),0),3)=ROUND(SUM(AH88:AK88),3)</f>
        <v>1</v>
      </c>
      <c r="AN88" s="960"/>
      <c r="AO88" s="1048" cm="1" t="str">
        <f t="array" ref="AO88:AO88">K88</f>
        <v>2030</v>
      </c>
      <c r="AP88" s="960"/>
      <c r="AQ88" s="960"/>
    </row>
    <row s="4933" customFormat="1" customHeight="1" ht="14.25" hidden="1">
      <c r="A89" s="960"/>
      <c r="B89" s="418">
        <f>K89&lt;first_year+PERIOD_LENGTH</f>
        <v>0</v>
      </c>
      <c r="C89" s="960"/>
      <c r="D89" s="960"/>
      <c r="E89" s="683">
        <v>15</v>
      </c>
      <c r="F89" s="50" cm="1" t="str">
        <f t="array" ref="F89:F89">OFFSET(E89,-1,1)</f>
        <v>1</v>
      </c>
      <c r="G89" s="960"/>
      <c r="H89" s="960"/>
      <c r="I89" s="960"/>
      <c r="J89" s="960"/>
      <c r="K89" s="124">
        <f>first_year+7</f>
        <v>2031</v>
      </c>
      <c r="L89" s="960"/>
      <c r="M89" s="960"/>
      <c r="N89" s="960"/>
      <c r="O89" s="960"/>
      <c r="P89" s="960"/>
      <c r="Q89" s="960"/>
      <c r="R89" s="960"/>
      <c r="S89" s="960"/>
      <c r="T89" s="439" cm="1" t="str">
        <f t="array" ref="T89:T89">T88</f>
        <v>true</v>
      </c>
      <c r="U89" s="960"/>
      <c r="V89" s="960"/>
      <c r="W89" s="960"/>
      <c r="X89" s="1482"/>
      <c r="Y89" s="960"/>
      <c r="Z89" s="1465"/>
      <c r="AA89" s="960"/>
      <c r="AB89" s="814" t="str">
        <f>K89&amp;" год"</f>
        <v>2031 год</v>
      </c>
      <c r="AC89" s="4912"/>
      <c r="AD89" s="4911">
        <f>_xlfn.IFERROR(_xlfn.SUMIFS(INDEX(Сценарии!$AE$25:$BF$109,,MATCH($K89&amp;"Принято органом регулирования",Сценарии!$AE$8:$BF$8,0)),Сценарии!$F$25:$F$109,$F89,Сценарии!$AC$25:$AC$109,"Индекс эффективности операционных расходов"),0)</f>
        <v>0</v>
      </c>
      <c r="AE89" s="4912"/>
      <c r="AF89" s="4912">
        <f>_xlfn.IFERROR(_xlfn.SUMIFS(INDEX(Баланс!$AE$25:$BB$300,,MATCH($K89&amp;"Принято органом регулирования",Баланс!$AE$8:$BB$8,0)),Баланс!$F$25:$F$300,$F89,Баланс!$AC$24:$AC$300,"Уровень потерь воды"),0)</f>
        <v>0</v>
      </c>
      <c r="AG89" s="4913">
        <f>_xlfn.IFERROR(_xlfn.SUMIFS(INDEX(Electricity_LOAD_1,,MATCH($K89&amp;"Принято органом регулирования",ЭЭ!$AE$8:$BB$8,0)),ЭЭ!$F$25:$F$93,$F89,ЭЭ!$AC$25:$AC$93,"Удельный расход электроэнергии"),0)</f>
        <v>0</v>
      </c>
      <c r="AH89" s="4911">
        <f>_xlfn.IFERROR(_xlfn.SUMIFS(INDEX(Electricity_LOAD_1,,MATCH($K89&amp;"Принято органом регулирования",ЭЭ!$AE$8:$BB$8,0)),ЭЭ!$F$25:$F$93,$F89,ЭЭ!$AC$25:$AC$93,"Удельный расход электроэнергии"),0)</f>
        <v>0</v>
      </c>
      <c r="AI89" s="4911">
        <f>_xlfn.IFERROR(_xlfn.SUMIFS(INDEX(Electricity_LOAD_1,,MATCH($K89&amp;"Принято органом регулирования",ЭЭ!$AE$8:$BB$8,0)),ЭЭ!$F$25:$F$93,$F89,ЭЭ!$AC$25:$AC$93,"Удельный расход электроэнергии"),0)</f>
        <v>0</v>
      </c>
      <c r="AJ89" s="4926"/>
      <c r="AK89" s="4926"/>
      <c r="AL89" s="375"/>
      <c r="AM89" s="124">
        <f>ROUND(_xlfn.IFERROR(_xlfn.SUMIFS(INDEX(Electricity_LOAD_1,,MATCH($K89&amp;"Принято органом регулирования",ЭЭ!$AE$8:$BB$8,0)),ЭЭ!$F$25:$F$93,$F89,ЭЭ!$AC$25:$AC$93,"Удельный расход электроэнергии"),0),3)=ROUND(SUM(AH89:AK89),3)</f>
        <v>1</v>
      </c>
      <c r="AN89" s="960"/>
      <c r="AO89" s="1048" cm="1" t="str">
        <f t="array" ref="AO89:AO89">K89</f>
        <v>2031</v>
      </c>
      <c r="AP89" s="960"/>
      <c r="AQ89" s="960"/>
    </row>
    <row s="4934" customFormat="1" customHeight="1" ht="14.25" hidden="1">
      <c r="A90" s="960"/>
      <c r="B90" s="418">
        <f>K90&lt;first_year+PERIOD_LENGTH</f>
        <v>0</v>
      </c>
      <c r="C90" s="960"/>
      <c r="D90" s="960"/>
      <c r="E90" s="683">
        <v>15</v>
      </c>
      <c r="F90" s="50" cm="1" t="str">
        <f t="array" ref="F90:F90">OFFSET(E90,-1,1)</f>
        <v>1</v>
      </c>
      <c r="G90" s="960"/>
      <c r="H90" s="960"/>
      <c r="I90" s="960"/>
      <c r="J90" s="960"/>
      <c r="K90" s="124">
        <f>first_year+8</f>
        <v>2032</v>
      </c>
      <c r="L90" s="960"/>
      <c r="M90" s="960"/>
      <c r="N90" s="960"/>
      <c r="O90" s="960"/>
      <c r="P90" s="960"/>
      <c r="Q90" s="960"/>
      <c r="R90" s="960"/>
      <c r="S90" s="960"/>
      <c r="T90" s="439" cm="1" t="str">
        <f t="array" ref="T90:T90">T89</f>
        <v>true</v>
      </c>
      <c r="U90" s="960"/>
      <c r="V90" s="960"/>
      <c r="W90" s="960"/>
      <c r="X90" s="1482"/>
      <c r="Y90" s="960"/>
      <c r="Z90" s="1465"/>
      <c r="AA90" s="960"/>
      <c r="AB90" s="814" t="str">
        <f>K90&amp;" год"</f>
        <v>2032 год</v>
      </c>
      <c r="AC90" s="4912"/>
      <c r="AD90" s="4911">
        <f>_xlfn.IFERROR(_xlfn.SUMIFS(INDEX(Сценарии!$AE$25:$BF$109,,MATCH($K90&amp;"Принято органом регулирования",Сценарии!$AE$8:$BF$8,0)),Сценарии!$F$25:$F$109,$F90,Сценарии!$AC$25:$AC$109,"Индекс эффективности операционных расходов"),0)</f>
        <v>0</v>
      </c>
      <c r="AE90" s="4912"/>
      <c r="AF90" s="4912">
        <f>_xlfn.IFERROR(_xlfn.SUMIFS(INDEX(Баланс!$AE$25:$BB$300,,MATCH($K90&amp;"Принято органом регулирования",Баланс!$AE$8:$BB$8,0)),Баланс!$F$25:$F$300,$F90,Баланс!$AC$24:$AC$300,"Уровень потерь воды"),0)</f>
        <v>0</v>
      </c>
      <c r="AG90" s="4913">
        <f>_xlfn.IFERROR(_xlfn.SUMIFS(INDEX(Electricity_LOAD_1,,MATCH($K90&amp;"Принято органом регулирования",ЭЭ!$AE$8:$BB$8,0)),ЭЭ!$F$25:$F$93,$F90,ЭЭ!$AC$25:$AC$93,"Удельный расход электроэнергии"),0)</f>
        <v>0</v>
      </c>
      <c r="AH90" s="4911">
        <f>_xlfn.IFERROR(_xlfn.SUMIFS(INDEX(Electricity_LOAD_1,,MATCH($K90&amp;"Принято органом регулирования",ЭЭ!$AE$8:$BB$8,0)),ЭЭ!$F$25:$F$93,$F90,ЭЭ!$AC$25:$AC$93,"Удельный расход электроэнергии"),0)</f>
        <v>0</v>
      </c>
      <c r="AI90" s="4911">
        <f>_xlfn.IFERROR(_xlfn.SUMIFS(INDEX(Electricity_LOAD_1,,MATCH($K90&amp;"Принято органом регулирования",ЭЭ!$AE$8:$BB$8,0)),ЭЭ!$F$25:$F$93,$F90,ЭЭ!$AC$25:$AC$93,"Удельный расход электроэнергии"),0)</f>
        <v>0</v>
      </c>
      <c r="AJ90" s="4926"/>
      <c r="AK90" s="4926"/>
      <c r="AL90" s="375"/>
      <c r="AM90" s="124">
        <f>ROUND(_xlfn.IFERROR(_xlfn.SUMIFS(INDEX(Electricity_LOAD_1,,MATCH($K90&amp;"Принято органом регулирования",ЭЭ!$AE$8:$BB$8,0)),ЭЭ!$F$25:$F$93,$F90,ЭЭ!$AC$25:$AC$93,"Удельный расход электроэнергии"),0),3)=ROUND(SUM(AH90:AK90),3)</f>
        <v>1</v>
      </c>
      <c r="AN90" s="960"/>
      <c r="AO90" s="1048" cm="1" t="str">
        <f t="array" ref="AO90:AO90">K90</f>
        <v>2032</v>
      </c>
      <c r="AP90" s="960"/>
      <c r="AQ90" s="960"/>
    </row>
    <row s="4935" customFormat="1" customHeight="1" ht="14.25" hidden="1">
      <c r="A91" s="960"/>
      <c r="B91" s="418">
        <f>K91&lt;first_year+PERIOD_LENGTH</f>
        <v>0</v>
      </c>
      <c r="C91" s="960"/>
      <c r="D91" s="960"/>
      <c r="E91" s="683">
        <v>15</v>
      </c>
      <c r="F91" s="50" cm="1" t="str">
        <f t="array" ref="F91:F91">OFFSET(E91,-1,1)</f>
        <v>1</v>
      </c>
      <c r="G91" s="960"/>
      <c r="H91" s="960"/>
      <c r="I91" s="960"/>
      <c r="J91" s="960"/>
      <c r="K91" s="124">
        <f>first_year+9</f>
        <v>2033</v>
      </c>
      <c r="L91" s="960"/>
      <c r="M91" s="960"/>
      <c r="N91" s="960"/>
      <c r="O91" s="960"/>
      <c r="P91" s="960"/>
      <c r="Q91" s="960"/>
      <c r="R91" s="960"/>
      <c r="S91" s="960"/>
      <c r="T91" s="439" cm="1" t="str">
        <f t="array" ref="T91:T91">T90</f>
        <v>true</v>
      </c>
      <c r="U91" s="960"/>
      <c r="V91" s="960"/>
      <c r="W91" s="960"/>
      <c r="X91" s="1482"/>
      <c r="Y91" s="960"/>
      <c r="Z91" s="1465"/>
      <c r="AA91" s="960"/>
      <c r="AB91" s="814" t="str">
        <f>K91&amp;" год"</f>
        <v>2033 год</v>
      </c>
      <c r="AC91" s="4912"/>
      <c r="AD91" s="4911">
        <f>_xlfn.IFERROR(_xlfn.SUMIFS(INDEX(Сценарии!$AE$25:$BF$109,,MATCH($K91&amp;"Принято органом регулирования",Сценарии!$AE$8:$BF$8,0)),Сценарии!$F$25:$F$109,$F91,Сценарии!$AC$25:$AC$109,"Индекс эффективности операционных расходов"),0)</f>
        <v>0</v>
      </c>
      <c r="AE91" s="4912"/>
      <c r="AF91" s="4912">
        <f>_xlfn.IFERROR(_xlfn.SUMIFS(INDEX(Баланс!$AE$25:$BB$300,,MATCH($K91&amp;"Принято органом регулирования",Баланс!$AE$8:$BB$8,0)),Баланс!$F$25:$F$300,$F91,Баланс!$AC$24:$AC$300,"Уровень потерь воды"),0)</f>
        <v>0</v>
      </c>
      <c r="AG91" s="4913">
        <f>_xlfn.IFERROR(_xlfn.SUMIFS(INDEX(Electricity_LOAD_1,,MATCH($K91&amp;"Принято органом регулирования",ЭЭ!$AE$8:$BB$8,0)),ЭЭ!$F$25:$F$93,$F91,ЭЭ!$AC$25:$AC$93,"Удельный расход электроэнергии"),0)</f>
        <v>0</v>
      </c>
      <c r="AH91" s="4911">
        <f>_xlfn.IFERROR(_xlfn.SUMIFS(INDEX(Electricity_LOAD_1,,MATCH($K91&amp;"Принято органом регулирования",ЭЭ!$AE$8:$BB$8,0)),ЭЭ!$F$25:$F$93,$F91,ЭЭ!$AC$25:$AC$93,"Удельный расход электроэнергии"),0)</f>
        <v>0</v>
      </c>
      <c r="AI91" s="4911">
        <f>_xlfn.IFERROR(_xlfn.SUMIFS(INDEX(Electricity_LOAD_1,,MATCH($K91&amp;"Принято органом регулирования",ЭЭ!$AE$8:$BB$8,0)),ЭЭ!$F$25:$F$93,$F91,ЭЭ!$AC$25:$AC$93,"Удельный расход электроэнергии"),0)</f>
        <v>0</v>
      </c>
      <c r="AJ91" s="4926"/>
      <c r="AK91" s="4926"/>
      <c r="AL91" s="375"/>
      <c r="AM91" s="124">
        <f>ROUND(_xlfn.IFERROR(_xlfn.SUMIFS(INDEX(Electricity_LOAD_1,,MATCH($K91&amp;"Принято органом регулирования",ЭЭ!$AE$8:$BB$8,0)),ЭЭ!$F$25:$F$93,$F91,ЭЭ!$AC$25:$AC$93,"Удельный расход электроэнергии"),0),3)=ROUND(SUM(AH91:AK91),3)</f>
        <v>1</v>
      </c>
      <c r="AN91" s="960"/>
      <c r="AO91" s="1048" cm="1" t="str">
        <f t="array" ref="AO91:AO91">K91</f>
        <v>2033</v>
      </c>
      <c r="AP91" s="960"/>
      <c r="AQ91" s="960"/>
    </row>
    <row s="4936" customFormat="1" customHeight="1" ht="14.25" hidden="1">
      <c r="A92" s="960"/>
      <c r="B92" s="418">
        <f>K92&lt;first_year+PERIOD_LENGTH</f>
        <v>0</v>
      </c>
      <c r="C92" s="960"/>
      <c r="D92" s="960"/>
      <c r="E92" s="683">
        <v>15</v>
      </c>
      <c r="F92" s="50" cm="1" t="str">
        <f t="array" ref="F92:F92">OFFSET(E92,-1,1)</f>
        <v>1</v>
      </c>
      <c r="G92" s="960"/>
      <c r="H92" s="960"/>
      <c r="I92" s="960"/>
      <c r="J92" s="960"/>
      <c r="K92" s="124">
        <f>first_year+10</f>
        <v>2034</v>
      </c>
      <c r="L92" s="960"/>
      <c r="M92" s="960"/>
      <c r="N92" s="960"/>
      <c r="O92" s="960"/>
      <c r="P92" s="960"/>
      <c r="Q92" s="960"/>
      <c r="R92" s="960"/>
      <c r="S92" s="960"/>
      <c r="T92" s="439" cm="1" t="str">
        <f t="array" ref="T92:T92">T91</f>
        <v>true</v>
      </c>
      <c r="U92" s="960"/>
      <c r="V92" s="960"/>
      <c r="W92" s="960"/>
      <c r="X92" s="1482"/>
      <c r="Y92" s="960"/>
      <c r="Z92" s="1465"/>
      <c r="AA92" s="960"/>
      <c r="AB92" s="814" t="str">
        <f>K92&amp;" год"</f>
        <v>2034 год</v>
      </c>
      <c r="AC92" s="4912"/>
      <c r="AD92" s="4911"/>
      <c r="AE92" s="4912"/>
      <c r="AF92" s="4912"/>
      <c r="AG92" s="4911"/>
      <c r="AH92" s="4911"/>
      <c r="AI92" s="4911"/>
      <c r="AJ92" s="4926"/>
      <c r="AK92" s="4937"/>
      <c r="AL92" s="375"/>
      <c r="AM92" s="960"/>
      <c r="AN92" s="960"/>
      <c r="AO92" s="1048" cm="1" t="str">
        <f t="array" ref="AO92:AO92">K92</f>
        <v>2034</v>
      </c>
      <c r="AP92" s="960"/>
      <c r="AQ92" s="960"/>
    </row>
    <row s="4938" customFormat="1" customHeight="1" ht="14.25" hidden="1">
      <c r="A93" s="960"/>
      <c r="B93" s="418">
        <f>K93&lt;first_year+PERIOD_LENGTH</f>
        <v>0</v>
      </c>
      <c r="C93" s="960"/>
      <c r="D93" s="960"/>
      <c r="E93" s="683">
        <v>15</v>
      </c>
      <c r="F93" s="50" cm="1" t="str">
        <f t="array" ref="F93:F93">OFFSET(E93,-1,1)</f>
        <v>1</v>
      </c>
      <c r="G93" s="960"/>
      <c r="H93" s="960"/>
      <c r="I93" s="960"/>
      <c r="J93" s="960"/>
      <c r="K93" s="124">
        <f>first_year+11</f>
        <v>2035</v>
      </c>
      <c r="L93" s="960"/>
      <c r="M93" s="960"/>
      <c r="N93" s="960"/>
      <c r="O93" s="960"/>
      <c r="P93" s="960"/>
      <c r="Q93" s="960"/>
      <c r="R93" s="960"/>
      <c r="S93" s="960"/>
      <c r="T93" s="439" cm="1" t="str">
        <f t="array" ref="T93:T93">T92</f>
        <v>true</v>
      </c>
      <c r="U93" s="960"/>
      <c r="V93" s="960"/>
      <c r="W93" s="960"/>
      <c r="X93" s="1482"/>
      <c r="Y93" s="960"/>
      <c r="Z93" s="1465"/>
      <c r="AA93" s="960"/>
      <c r="AB93" s="222" t="str">
        <f>K93&amp;" год"</f>
        <v>2035 год</v>
      </c>
      <c r="AC93" s="4912"/>
      <c r="AD93" s="4917"/>
      <c r="AE93" s="4918"/>
      <c r="AF93" s="4918"/>
      <c r="AG93" s="4917"/>
      <c r="AH93" s="4917"/>
      <c r="AI93" s="4917"/>
      <c r="AJ93" s="4939"/>
      <c r="AK93" s="4940"/>
      <c r="AL93" s="375"/>
      <c r="AM93" s="960"/>
      <c r="AN93" s="960"/>
      <c r="AO93" s="1048" cm="1" t="str">
        <f t="array" ref="AO93:AO93">K93</f>
        <v>2035</v>
      </c>
      <c r="AP93" s="960"/>
      <c r="AQ93" s="960"/>
    </row>
    <row s="4941" customFormat="1" customHeight="1" ht="14.25" hidden="1">
      <c r="A94" s="960"/>
      <c r="B94" s="418">
        <f>K94&lt;first_year+PERIOD_LENGTH</f>
        <v>0</v>
      </c>
      <c r="C94" s="960"/>
      <c r="D94" s="960"/>
      <c r="E94" s="683">
        <v>15</v>
      </c>
      <c r="F94" s="50" cm="1" t="str">
        <f t="array" ref="F94:F94">OFFSET(E94,-1,1)</f>
        <v>1</v>
      </c>
      <c r="G94" s="960"/>
      <c r="H94" s="960"/>
      <c r="I94" s="960"/>
      <c r="J94" s="960"/>
      <c r="K94" s="124">
        <f>first_year+12</f>
        <v>2036</v>
      </c>
      <c r="L94" s="960"/>
      <c r="M94" s="960"/>
      <c r="N94" s="960"/>
      <c r="O94" s="960"/>
      <c r="P94" s="960"/>
      <c r="Q94" s="960"/>
      <c r="R94" s="960"/>
      <c r="S94" s="960"/>
      <c r="T94" s="439" cm="1" t="str">
        <f t="array" ref="T94:T94">T93</f>
        <v>true</v>
      </c>
      <c r="U94" s="960"/>
      <c r="V94" s="960"/>
      <c r="W94" s="960"/>
      <c r="X94" s="1482"/>
      <c r="Y94" s="960"/>
      <c r="Z94" s="1465"/>
      <c r="AA94" s="960"/>
      <c r="AB94" s="222" t="str">
        <f>K94&amp;" год"</f>
        <v>2036 год</v>
      </c>
      <c r="AC94" s="4912"/>
      <c r="AD94" s="4917"/>
      <c r="AE94" s="4918"/>
      <c r="AF94" s="4918"/>
      <c r="AG94" s="4917"/>
      <c r="AH94" s="4917"/>
      <c r="AI94" s="4917"/>
      <c r="AJ94" s="4939"/>
      <c r="AK94" s="4940"/>
      <c r="AL94" s="375"/>
      <c r="AM94" s="960"/>
      <c r="AN94" s="960"/>
      <c r="AO94" s="1048" cm="1" t="str">
        <f t="array" ref="AO94:AO94">K94</f>
        <v>2036</v>
      </c>
      <c r="AP94" s="960"/>
      <c r="AQ94" s="960"/>
    </row>
    <row s="4942" customFormat="1" customHeight="1" ht="14.25" hidden="1">
      <c r="A95" s="960"/>
      <c r="B95" s="418">
        <f>K95&lt;first_year+PERIOD_LENGTH</f>
        <v>0</v>
      </c>
      <c r="C95" s="960"/>
      <c r="D95" s="960"/>
      <c r="E95" s="683">
        <v>15</v>
      </c>
      <c r="F95" s="50" cm="1" t="str">
        <f t="array" ref="F95:F95">OFFSET(E95,-1,1)</f>
        <v>1</v>
      </c>
      <c r="G95" s="960"/>
      <c r="H95" s="960"/>
      <c r="I95" s="960"/>
      <c r="J95" s="960"/>
      <c r="K95" s="124">
        <f>first_year+13</f>
        <v>2037</v>
      </c>
      <c r="L95" s="960"/>
      <c r="M95" s="960"/>
      <c r="N95" s="960"/>
      <c r="O95" s="960"/>
      <c r="P95" s="960"/>
      <c r="Q95" s="960"/>
      <c r="R95" s="960"/>
      <c r="S95" s="960"/>
      <c r="T95" s="439" cm="1" t="str">
        <f t="array" ref="T95:T95">T94</f>
        <v>true</v>
      </c>
      <c r="U95" s="960"/>
      <c r="V95" s="960"/>
      <c r="W95" s="960"/>
      <c r="X95" s="1482"/>
      <c r="Y95" s="960"/>
      <c r="Z95" s="1465"/>
      <c r="AA95" s="960"/>
      <c r="AB95" s="222" t="str">
        <f>K95&amp;" год"</f>
        <v>2037 год</v>
      </c>
      <c r="AC95" s="4912"/>
      <c r="AD95" s="4917"/>
      <c r="AE95" s="4918"/>
      <c r="AF95" s="4918"/>
      <c r="AG95" s="4917"/>
      <c r="AH95" s="4917"/>
      <c r="AI95" s="4917"/>
      <c r="AJ95" s="4939"/>
      <c r="AK95" s="4940"/>
      <c r="AL95" s="375"/>
      <c r="AM95" s="960"/>
      <c r="AN95" s="960"/>
      <c r="AO95" s="1048" cm="1" t="str">
        <f t="array" ref="AO95:AO95">K95</f>
        <v>2037</v>
      </c>
      <c r="AP95" s="960"/>
      <c r="AQ95" s="960"/>
    </row>
    <row s="4943" customFormat="1" customHeight="1" ht="14.25" hidden="1">
      <c r="A96" s="960"/>
      <c r="B96" s="418">
        <f>K96&lt;first_year+PERIOD_LENGTH</f>
        <v>0</v>
      </c>
      <c r="C96" s="960"/>
      <c r="D96" s="960"/>
      <c r="E96" s="683">
        <v>15</v>
      </c>
      <c r="F96" s="50" cm="1" t="str">
        <f t="array" ref="F96:F96">OFFSET(E96,-1,1)</f>
        <v>1</v>
      </c>
      <c r="G96" s="960"/>
      <c r="H96" s="960"/>
      <c r="I96" s="960"/>
      <c r="J96" s="960"/>
      <c r="K96" s="124">
        <f>first_year+14</f>
        <v>2038</v>
      </c>
      <c r="L96" s="960"/>
      <c r="M96" s="960"/>
      <c r="N96" s="960"/>
      <c r="O96" s="960"/>
      <c r="P96" s="960"/>
      <c r="Q96" s="960"/>
      <c r="R96" s="960"/>
      <c r="S96" s="960"/>
      <c r="T96" s="439" cm="1" t="str">
        <f t="array" ref="T96:T96">T95</f>
        <v>true</v>
      </c>
      <c r="U96" s="960"/>
      <c r="V96" s="960"/>
      <c r="W96" s="960"/>
      <c r="X96" s="1482"/>
      <c r="Y96" s="960"/>
      <c r="Z96" s="1465"/>
      <c r="AA96" s="960"/>
      <c r="AB96" s="222" t="str">
        <f>K96&amp;" год"</f>
        <v>2038 год</v>
      </c>
      <c r="AC96" s="4912"/>
      <c r="AD96" s="4917"/>
      <c r="AE96" s="4918"/>
      <c r="AF96" s="4918"/>
      <c r="AG96" s="4917"/>
      <c r="AH96" s="4917"/>
      <c r="AI96" s="4917"/>
      <c r="AJ96" s="4939"/>
      <c r="AK96" s="4940"/>
      <c r="AL96" s="375"/>
      <c r="AM96" s="960"/>
      <c r="AN96" s="960"/>
      <c r="AO96" s="1048" cm="1" t="str">
        <f t="array" ref="AO96:AO96">K96</f>
        <v>2038</v>
      </c>
      <c r="AP96" s="960"/>
      <c r="AQ96" s="960"/>
    </row>
    <row s="4944" customFormat="1" customHeight="1" ht="14.25" hidden="1">
      <c r="A97" s="960"/>
      <c r="B97" s="418">
        <f>K97&lt;first_year+PERIOD_LENGTH</f>
        <v>0</v>
      </c>
      <c r="C97" s="960"/>
      <c r="D97" s="960"/>
      <c r="E97" s="683">
        <v>15</v>
      </c>
      <c r="F97" s="50" cm="1" t="str">
        <f t="array" ref="F97:F97">OFFSET(E97,-1,1)</f>
        <v>1</v>
      </c>
      <c r="G97" s="960"/>
      <c r="H97" s="960"/>
      <c r="I97" s="960"/>
      <c r="J97" s="960"/>
      <c r="K97" s="124">
        <f>first_year+15</f>
        <v>2039</v>
      </c>
      <c r="L97" s="960"/>
      <c r="M97" s="960"/>
      <c r="N97" s="960"/>
      <c r="O97" s="960"/>
      <c r="P97" s="960"/>
      <c r="Q97" s="960"/>
      <c r="R97" s="960"/>
      <c r="S97" s="960"/>
      <c r="T97" s="439" cm="1" t="str">
        <f t="array" ref="T97:T97">T96</f>
        <v>true</v>
      </c>
      <c r="U97" s="960"/>
      <c r="V97" s="960"/>
      <c r="W97" s="960"/>
      <c r="X97" s="1482"/>
      <c r="Y97" s="960"/>
      <c r="Z97" s="1465"/>
      <c r="AA97" s="960"/>
      <c r="AB97" s="222" t="str">
        <f>K97&amp;" год"</f>
        <v>2039 год</v>
      </c>
      <c r="AC97" s="4912"/>
      <c r="AD97" s="4917"/>
      <c r="AE97" s="4918"/>
      <c r="AF97" s="4918"/>
      <c r="AG97" s="4917"/>
      <c r="AH97" s="4917"/>
      <c r="AI97" s="4917"/>
      <c r="AJ97" s="4939"/>
      <c r="AK97" s="4940"/>
      <c r="AL97" s="375"/>
      <c r="AM97" s="960"/>
      <c r="AN97" s="960"/>
      <c r="AO97" s="1048" cm="1" t="str">
        <f t="array" ref="AO97:AO97">K97</f>
        <v>2039</v>
      </c>
      <c r="AP97" s="960"/>
      <c r="AQ97" s="960"/>
    </row>
    <row s="4945" customFormat="1" customHeight="1" ht="14.25" hidden="1">
      <c r="A98" s="960"/>
      <c r="B98" s="418">
        <f>K98&lt;first_year+PERIOD_LENGTH</f>
        <v>0</v>
      </c>
      <c r="C98" s="960"/>
      <c r="D98" s="960"/>
      <c r="E98" s="683">
        <v>15</v>
      </c>
      <c r="F98" s="50" cm="1" t="str">
        <f t="array" ref="F98:F98">OFFSET(E98,-1,1)</f>
        <v>1</v>
      </c>
      <c r="G98" s="960"/>
      <c r="H98" s="960"/>
      <c r="I98" s="960"/>
      <c r="J98" s="960"/>
      <c r="K98" s="124">
        <f>first_year+16</f>
        <v>2040</v>
      </c>
      <c r="L98" s="960"/>
      <c r="M98" s="960"/>
      <c r="N98" s="960"/>
      <c r="O98" s="960"/>
      <c r="P98" s="960"/>
      <c r="Q98" s="960"/>
      <c r="R98" s="960"/>
      <c r="S98" s="960"/>
      <c r="T98" s="439" cm="1" t="str">
        <f t="array" ref="T98:T98">T97</f>
        <v>true</v>
      </c>
      <c r="U98" s="960"/>
      <c r="V98" s="960"/>
      <c r="W98" s="960"/>
      <c r="X98" s="1482"/>
      <c r="Y98" s="960"/>
      <c r="Z98" s="1465"/>
      <c r="AA98" s="960"/>
      <c r="AB98" s="222" t="str">
        <f>K98&amp;" год"</f>
        <v>2040 год</v>
      </c>
      <c r="AC98" s="4912"/>
      <c r="AD98" s="4917"/>
      <c r="AE98" s="4918"/>
      <c r="AF98" s="4918"/>
      <c r="AG98" s="4917"/>
      <c r="AH98" s="4917"/>
      <c r="AI98" s="4917"/>
      <c r="AJ98" s="4939"/>
      <c r="AK98" s="4940"/>
      <c r="AL98" s="375"/>
      <c r="AM98" s="960"/>
      <c r="AN98" s="960"/>
      <c r="AO98" s="1048" cm="1" t="str">
        <f t="array" ref="AO98:AO98">K98</f>
        <v>2040</v>
      </c>
      <c r="AP98" s="960"/>
      <c r="AQ98" s="960"/>
    </row>
    <row s="4946" customFormat="1" customHeight="1" ht="14.25" hidden="1">
      <c r="A99" s="960"/>
      <c r="B99" s="418">
        <f>K99&lt;first_year+PERIOD_LENGTH</f>
        <v>0</v>
      </c>
      <c r="C99" s="960"/>
      <c r="D99" s="960"/>
      <c r="E99" s="683">
        <v>15</v>
      </c>
      <c r="F99" s="50" cm="1" t="str">
        <f t="array" ref="F99:F99">OFFSET(E99,-1,1)</f>
        <v>1</v>
      </c>
      <c r="G99" s="960"/>
      <c r="H99" s="960"/>
      <c r="I99" s="960"/>
      <c r="J99" s="960"/>
      <c r="K99" s="124">
        <f>first_year+17</f>
        <v>2041</v>
      </c>
      <c r="L99" s="960"/>
      <c r="M99" s="960"/>
      <c r="N99" s="960"/>
      <c r="O99" s="960"/>
      <c r="P99" s="960"/>
      <c r="Q99" s="960"/>
      <c r="R99" s="960"/>
      <c r="S99" s="960"/>
      <c r="T99" s="439" cm="1" t="str">
        <f t="array" ref="T99:T99">T98</f>
        <v>true</v>
      </c>
      <c r="U99" s="960"/>
      <c r="V99" s="960"/>
      <c r="W99" s="960"/>
      <c r="X99" s="1482"/>
      <c r="Y99" s="960"/>
      <c r="Z99" s="1465"/>
      <c r="AA99" s="960"/>
      <c r="AB99" s="222" t="str">
        <f>K99&amp;" год"</f>
        <v>2041 год</v>
      </c>
      <c r="AC99" s="4912"/>
      <c r="AD99" s="4917"/>
      <c r="AE99" s="4918"/>
      <c r="AF99" s="4918"/>
      <c r="AG99" s="4917"/>
      <c r="AH99" s="4917"/>
      <c r="AI99" s="4917"/>
      <c r="AJ99" s="4939"/>
      <c r="AK99" s="4940"/>
      <c r="AL99" s="375"/>
      <c r="AM99" s="960"/>
      <c r="AN99" s="960"/>
      <c r="AO99" s="1048" cm="1" t="str">
        <f t="array" ref="AO99:AO99">K99</f>
        <v>2041</v>
      </c>
      <c r="AP99" s="960"/>
      <c r="AQ99" s="960"/>
    </row>
    <row s="4947" customFormat="1" customHeight="1" ht="14.25" hidden="1">
      <c r="A100" s="960"/>
      <c r="B100" s="418">
        <f>K100&lt;first_year+PERIOD_LENGTH</f>
        <v>0</v>
      </c>
      <c r="C100" s="960"/>
      <c r="D100" s="960"/>
      <c r="E100" s="683">
        <v>15</v>
      </c>
      <c r="F100" s="50" cm="1" t="str">
        <f t="array" ref="F100:F100">OFFSET(E100,-1,1)</f>
        <v>1</v>
      </c>
      <c r="G100" s="960"/>
      <c r="H100" s="960"/>
      <c r="I100" s="960"/>
      <c r="J100" s="960"/>
      <c r="K100" s="124">
        <f>first_year+18</f>
        <v>2042</v>
      </c>
      <c r="L100" s="960"/>
      <c r="M100" s="960"/>
      <c r="N100" s="960"/>
      <c r="O100" s="960"/>
      <c r="P100" s="960"/>
      <c r="Q100" s="960"/>
      <c r="R100" s="960"/>
      <c r="S100" s="960"/>
      <c r="T100" s="439" cm="1" t="str">
        <f t="array" ref="T100:T100">T99</f>
        <v>true</v>
      </c>
      <c r="U100" s="960"/>
      <c r="V100" s="960"/>
      <c r="W100" s="960"/>
      <c r="X100" s="1482"/>
      <c r="Y100" s="960"/>
      <c r="Z100" s="1465"/>
      <c r="AA100" s="960"/>
      <c r="AB100" s="222" t="str">
        <f>K100&amp;" год"</f>
        <v>2042 год</v>
      </c>
      <c r="AC100" s="4912"/>
      <c r="AD100" s="4917"/>
      <c r="AE100" s="4918"/>
      <c r="AF100" s="4918"/>
      <c r="AG100" s="4917"/>
      <c r="AH100" s="4917"/>
      <c r="AI100" s="4917"/>
      <c r="AJ100" s="4939"/>
      <c r="AK100" s="4940"/>
      <c r="AL100" s="375"/>
      <c r="AM100" s="960"/>
      <c r="AN100" s="960"/>
      <c r="AO100" s="1048" cm="1" t="str">
        <f t="array" ref="AO100:AO100">K100</f>
        <v>2042</v>
      </c>
      <c r="AP100" s="960"/>
      <c r="AQ100" s="960"/>
    </row>
    <row s="4948" customFormat="1" customHeight="1" ht="14.25" hidden="1">
      <c r="A101" s="960"/>
      <c r="B101" s="418">
        <f>K101&lt;first_year+PERIOD_LENGTH</f>
        <v>0</v>
      </c>
      <c r="C101" s="960"/>
      <c r="D101" s="960"/>
      <c r="E101" s="683">
        <v>15</v>
      </c>
      <c r="F101" s="50" cm="1" t="str">
        <f t="array" ref="F101:F101">OFFSET(E101,-1,1)</f>
        <v>1</v>
      </c>
      <c r="G101" s="960"/>
      <c r="H101" s="960"/>
      <c r="I101" s="960"/>
      <c r="J101" s="960"/>
      <c r="K101" s="124">
        <f>first_year+19</f>
        <v>2043</v>
      </c>
      <c r="L101" s="960"/>
      <c r="M101" s="960"/>
      <c r="N101" s="960"/>
      <c r="O101" s="960"/>
      <c r="P101" s="960"/>
      <c r="Q101" s="960"/>
      <c r="R101" s="960"/>
      <c r="S101" s="960"/>
      <c r="T101" s="439" cm="1" t="str">
        <f t="array" ref="T101:T101">T100</f>
        <v>true</v>
      </c>
      <c r="U101" s="960"/>
      <c r="V101" s="960"/>
      <c r="W101" s="960"/>
      <c r="X101" s="1482"/>
      <c r="Y101" s="960"/>
      <c r="Z101" s="1465"/>
      <c r="AA101" s="960"/>
      <c r="AB101" s="222" t="str">
        <f>K101&amp;" год"</f>
        <v>2043 год</v>
      </c>
      <c r="AC101" s="4912"/>
      <c r="AD101" s="4917"/>
      <c r="AE101" s="4918"/>
      <c r="AF101" s="4918"/>
      <c r="AG101" s="4917"/>
      <c r="AH101" s="4917"/>
      <c r="AI101" s="4917"/>
      <c r="AJ101" s="4939"/>
      <c r="AK101" s="4940"/>
      <c r="AL101" s="375"/>
      <c r="AM101" s="960"/>
      <c r="AN101" s="960"/>
      <c r="AO101" s="1048" cm="1" t="str">
        <f t="array" ref="AO101:AO101">K101</f>
        <v>2043</v>
      </c>
      <c r="AP101" s="960"/>
      <c r="AQ101" s="960"/>
    </row>
    <row s="4949" customFormat="1" customHeight="1" ht="14.25" hidden="1">
      <c r="A102" s="960"/>
      <c r="B102" s="418">
        <f>K102&lt;first_year+PERIOD_LENGTH</f>
        <v>0</v>
      </c>
      <c r="C102" s="960"/>
      <c r="D102" s="960"/>
      <c r="E102" s="683">
        <v>15</v>
      </c>
      <c r="F102" s="50" cm="1" t="str">
        <f t="array" ref="F102:F102">OFFSET(E102,-1,1)</f>
        <v>1</v>
      </c>
      <c r="G102" s="960"/>
      <c r="H102" s="960"/>
      <c r="I102" s="960"/>
      <c r="J102" s="960"/>
      <c r="K102" s="124">
        <f>first_year+20</f>
        <v>2044</v>
      </c>
      <c r="L102" s="960"/>
      <c r="M102" s="960"/>
      <c r="N102" s="960"/>
      <c r="O102" s="960"/>
      <c r="P102" s="960"/>
      <c r="Q102" s="960"/>
      <c r="R102" s="960"/>
      <c r="S102" s="960"/>
      <c r="T102" s="439" cm="1" t="str">
        <f t="array" ref="T102:T102">T101</f>
        <v>true</v>
      </c>
      <c r="U102" s="960"/>
      <c r="V102" s="960"/>
      <c r="W102" s="960"/>
      <c r="X102" s="1482"/>
      <c r="Y102" s="960"/>
      <c r="Z102" s="1465"/>
      <c r="AA102" s="960"/>
      <c r="AB102" s="222" t="str">
        <f>K102&amp;" год"</f>
        <v>2044 год</v>
      </c>
      <c r="AC102" s="4912"/>
      <c r="AD102" s="4917"/>
      <c r="AE102" s="4918"/>
      <c r="AF102" s="4918"/>
      <c r="AG102" s="4917"/>
      <c r="AH102" s="4917"/>
      <c r="AI102" s="4917"/>
      <c r="AJ102" s="4939"/>
      <c r="AK102" s="4940"/>
      <c r="AL102" s="375"/>
      <c r="AM102" s="960"/>
      <c r="AN102" s="960"/>
      <c r="AO102" s="1048" cm="1" t="str">
        <f t="array" ref="AO102:AO102">K102</f>
        <v>2044</v>
      </c>
      <c r="AP102" s="960"/>
      <c r="AQ102" s="960"/>
    </row>
    <row s="4950" customFormat="1" customHeight="1" ht="14.25" hidden="1">
      <c r="A103" s="960"/>
      <c r="B103" s="418">
        <f>K103&lt;first_year+PERIOD_LENGTH</f>
        <v>0</v>
      </c>
      <c r="C103" s="960"/>
      <c r="D103" s="960"/>
      <c r="E103" s="683">
        <v>15</v>
      </c>
      <c r="F103" s="50" cm="1" t="str">
        <f t="array" ref="F103:F103">OFFSET(E103,-1,1)</f>
        <v>1</v>
      </c>
      <c r="G103" s="960"/>
      <c r="H103" s="960"/>
      <c r="I103" s="960"/>
      <c r="J103" s="960"/>
      <c r="K103" s="124">
        <f>first_year+21</f>
        <v>2045</v>
      </c>
      <c r="L103" s="960"/>
      <c r="M103" s="960"/>
      <c r="N103" s="960"/>
      <c r="O103" s="960"/>
      <c r="P103" s="960"/>
      <c r="Q103" s="960"/>
      <c r="R103" s="960"/>
      <c r="S103" s="960"/>
      <c r="T103" s="439" cm="1" t="str">
        <f t="array" ref="T103:T103">T102</f>
        <v>true</v>
      </c>
      <c r="U103" s="960"/>
      <c r="V103" s="960"/>
      <c r="W103" s="960"/>
      <c r="X103" s="1482"/>
      <c r="Y103" s="960"/>
      <c r="Z103" s="1465"/>
      <c r="AA103" s="960"/>
      <c r="AB103" s="222" t="str">
        <f>K103&amp;" год"</f>
        <v>2045 год</v>
      </c>
      <c r="AC103" s="4912"/>
      <c r="AD103" s="4917"/>
      <c r="AE103" s="4918"/>
      <c r="AF103" s="4918"/>
      <c r="AG103" s="4917"/>
      <c r="AH103" s="4917"/>
      <c r="AI103" s="4917"/>
      <c r="AJ103" s="4939"/>
      <c r="AK103" s="4940"/>
      <c r="AL103" s="375"/>
      <c r="AM103" s="960"/>
      <c r="AN103" s="960"/>
      <c r="AO103" s="1048" cm="1" t="str">
        <f t="array" ref="AO103:AO103">K103</f>
        <v>2045</v>
      </c>
      <c r="AP103" s="960"/>
      <c r="AQ103" s="960"/>
    </row>
    <row s="4951" customFormat="1" customHeight="1" ht="14.25" hidden="1">
      <c r="A104" s="960"/>
      <c r="B104" s="418">
        <f>K104&lt;first_year+PERIOD_LENGTH</f>
        <v>0</v>
      </c>
      <c r="C104" s="960"/>
      <c r="D104" s="960"/>
      <c r="E104" s="683">
        <v>15</v>
      </c>
      <c r="F104" s="50" cm="1" t="str">
        <f t="array" ref="F104:F104">OFFSET(E104,-1,1)</f>
        <v>1</v>
      </c>
      <c r="G104" s="960"/>
      <c r="H104" s="960"/>
      <c r="I104" s="960"/>
      <c r="J104" s="960"/>
      <c r="K104" s="124">
        <f>first_year+22</f>
        <v>2046</v>
      </c>
      <c r="L104" s="960"/>
      <c r="M104" s="960"/>
      <c r="N104" s="960"/>
      <c r="O104" s="960"/>
      <c r="P104" s="960"/>
      <c r="Q104" s="960"/>
      <c r="R104" s="960"/>
      <c r="S104" s="960"/>
      <c r="T104" s="439" cm="1" t="str">
        <f t="array" ref="T104:T104">T103</f>
        <v>true</v>
      </c>
      <c r="U104" s="960"/>
      <c r="V104" s="960"/>
      <c r="W104" s="960"/>
      <c r="X104" s="1482"/>
      <c r="Y104" s="960"/>
      <c r="Z104" s="1465"/>
      <c r="AA104" s="960"/>
      <c r="AB104" s="222" t="str">
        <f>K104&amp;" год"</f>
        <v>2046 год</v>
      </c>
      <c r="AC104" s="4912"/>
      <c r="AD104" s="4917"/>
      <c r="AE104" s="4918"/>
      <c r="AF104" s="4918"/>
      <c r="AG104" s="4917"/>
      <c r="AH104" s="4917"/>
      <c r="AI104" s="4917"/>
      <c r="AJ104" s="4939"/>
      <c r="AK104" s="4940"/>
      <c r="AL104" s="375"/>
      <c r="AM104" s="960"/>
      <c r="AN104" s="960"/>
      <c r="AO104" s="1048" cm="1" t="str">
        <f t="array" ref="AO104:AO104">K104</f>
        <v>2046</v>
      </c>
      <c r="AP104" s="960"/>
      <c r="AQ104" s="960"/>
    </row>
    <row s="4952" customFormat="1" customHeight="1" ht="14.25" hidden="1">
      <c r="A105" s="960"/>
      <c r="B105" s="418">
        <f>K105&lt;first_year+PERIOD_LENGTH</f>
        <v>0</v>
      </c>
      <c r="C105" s="960"/>
      <c r="D105" s="960"/>
      <c r="E105" s="683">
        <v>15</v>
      </c>
      <c r="F105" s="50" cm="1" t="str">
        <f t="array" ref="F105:F105">OFFSET(E105,-1,1)</f>
        <v>1</v>
      </c>
      <c r="G105" s="960"/>
      <c r="H105" s="960"/>
      <c r="I105" s="960"/>
      <c r="J105" s="960"/>
      <c r="K105" s="124">
        <f>first_year+23</f>
        <v>2047</v>
      </c>
      <c r="L105" s="960"/>
      <c r="M105" s="960"/>
      <c r="N105" s="960"/>
      <c r="O105" s="960"/>
      <c r="P105" s="960"/>
      <c r="Q105" s="960"/>
      <c r="R105" s="960"/>
      <c r="S105" s="960"/>
      <c r="T105" s="439" cm="1" t="str">
        <f t="array" ref="T105:T105">T104</f>
        <v>true</v>
      </c>
      <c r="U105" s="960"/>
      <c r="V105" s="960"/>
      <c r="W105" s="960"/>
      <c r="X105" s="1482"/>
      <c r="Y105" s="960"/>
      <c r="Z105" s="1465"/>
      <c r="AA105" s="960"/>
      <c r="AB105" s="222" t="str">
        <f>K105&amp;" год"</f>
        <v>2047 год</v>
      </c>
      <c r="AC105" s="4912"/>
      <c r="AD105" s="4917"/>
      <c r="AE105" s="4918"/>
      <c r="AF105" s="4918"/>
      <c r="AG105" s="4917"/>
      <c r="AH105" s="4917"/>
      <c r="AI105" s="4917"/>
      <c r="AJ105" s="4939"/>
      <c r="AK105" s="4940"/>
      <c r="AL105" s="375"/>
      <c r="AM105" s="960"/>
      <c r="AN105" s="960"/>
      <c r="AO105" s="1048" cm="1" t="str">
        <f t="array" ref="AO105:AO105">K105</f>
        <v>2047</v>
      </c>
      <c r="AP105" s="960"/>
      <c r="AQ105" s="960"/>
    </row>
    <row s="4953" customFormat="1" customHeight="1" ht="14.25" hidden="1">
      <c r="A106" s="960"/>
      <c r="B106" s="418">
        <f>K106&lt;first_year+PERIOD_LENGTH</f>
        <v>0</v>
      </c>
      <c r="C106" s="960"/>
      <c r="D106" s="960"/>
      <c r="E106" s="683">
        <v>15</v>
      </c>
      <c r="F106" s="50" cm="1" t="str">
        <f t="array" ref="F106:F106">OFFSET(E106,-1,1)</f>
        <v>1</v>
      </c>
      <c r="G106" s="960"/>
      <c r="H106" s="960"/>
      <c r="I106" s="960"/>
      <c r="J106" s="960"/>
      <c r="K106" s="124">
        <f>first_year+24</f>
        <v>2048</v>
      </c>
      <c r="L106" s="960"/>
      <c r="M106" s="960"/>
      <c r="N106" s="960"/>
      <c r="O106" s="960"/>
      <c r="P106" s="960"/>
      <c r="Q106" s="960"/>
      <c r="R106" s="960"/>
      <c r="S106" s="960"/>
      <c r="T106" s="439" cm="1" t="str">
        <f t="array" ref="T106:T106">T105</f>
        <v>true</v>
      </c>
      <c r="U106" s="960"/>
      <c r="V106" s="960"/>
      <c r="W106" s="960"/>
      <c r="X106" s="1482"/>
      <c r="Y106" s="960"/>
      <c r="Z106" s="1465"/>
      <c r="AA106" s="960"/>
      <c r="AB106" s="222" t="str">
        <f>K106&amp;" год"</f>
        <v>2048 год</v>
      </c>
      <c r="AC106" s="4912"/>
      <c r="AD106" s="4917"/>
      <c r="AE106" s="4918"/>
      <c r="AF106" s="4918"/>
      <c r="AG106" s="4917"/>
      <c r="AH106" s="4917"/>
      <c r="AI106" s="4917"/>
      <c r="AJ106" s="4939"/>
      <c r="AK106" s="4940"/>
      <c r="AL106" s="375"/>
      <c r="AM106" s="960"/>
      <c r="AN106" s="960"/>
      <c r="AO106" s="1048" cm="1" t="str">
        <f t="array" ref="AO106:AO106">K106</f>
        <v>2048</v>
      </c>
      <c r="AP106" s="960"/>
      <c r="AQ106" s="960"/>
    </row>
    <row s="4954" customFormat="1" customHeight="1" ht="14.25" hidden="1">
      <c r="A107" s="960"/>
      <c r="B107" s="418">
        <f>K107&lt;first_year+PERIOD_LENGTH</f>
        <v>0</v>
      </c>
      <c r="C107" s="960"/>
      <c r="D107" s="960"/>
      <c r="E107" s="683">
        <v>15</v>
      </c>
      <c r="F107" s="50" cm="1" t="str">
        <f t="array" ref="F107:F107">OFFSET(E107,-1,1)</f>
        <v>1</v>
      </c>
      <c r="G107" s="960"/>
      <c r="H107" s="960"/>
      <c r="I107" s="960"/>
      <c r="J107" s="960"/>
      <c r="K107" s="124">
        <f>first_year+25</f>
        <v>2049</v>
      </c>
      <c r="L107" s="960"/>
      <c r="M107" s="960"/>
      <c r="N107" s="960"/>
      <c r="O107" s="960"/>
      <c r="P107" s="960"/>
      <c r="Q107" s="960"/>
      <c r="R107" s="960"/>
      <c r="S107" s="960"/>
      <c r="T107" s="439" cm="1" t="str">
        <f t="array" ref="T107:T107">T106</f>
        <v>true</v>
      </c>
      <c r="U107" s="960"/>
      <c r="V107" s="960"/>
      <c r="W107" s="960"/>
      <c r="X107" s="1482"/>
      <c r="Y107" s="960"/>
      <c r="Z107" s="1465"/>
      <c r="AA107" s="960"/>
      <c r="AB107" s="222" t="str">
        <f>K107&amp;" год"</f>
        <v>2049 год</v>
      </c>
      <c r="AC107" s="4912"/>
      <c r="AD107" s="4917"/>
      <c r="AE107" s="4918"/>
      <c r="AF107" s="4918"/>
      <c r="AG107" s="4917"/>
      <c r="AH107" s="4917"/>
      <c r="AI107" s="4917"/>
      <c r="AJ107" s="4939"/>
      <c r="AK107" s="4940"/>
      <c r="AL107" s="375"/>
      <c r="AM107" s="960"/>
      <c r="AN107" s="960"/>
      <c r="AO107" s="1048" cm="1" t="str">
        <f t="array" ref="AO107:AO107">K107</f>
        <v>2049</v>
      </c>
      <c r="AP107" s="960"/>
      <c r="AQ107" s="960"/>
    </row>
    <row s="4955" customFormat="1" customHeight="1" ht="14.25" hidden="1">
      <c r="A108" s="960"/>
      <c r="B108" s="418">
        <f>K108&lt;first_year+PERIOD_LENGTH</f>
        <v>0</v>
      </c>
      <c r="C108" s="960"/>
      <c r="D108" s="960"/>
      <c r="E108" s="683">
        <v>15</v>
      </c>
      <c r="F108" s="50" cm="1" t="str">
        <f t="array" ref="F108:F108">OFFSET(E108,-1,1)</f>
        <v>1</v>
      </c>
      <c r="G108" s="960"/>
      <c r="H108" s="960"/>
      <c r="I108" s="960"/>
      <c r="J108" s="960"/>
      <c r="K108" s="124">
        <f>first_year+26</f>
        <v>2050</v>
      </c>
      <c r="L108" s="960"/>
      <c r="M108" s="960"/>
      <c r="N108" s="960"/>
      <c r="O108" s="960"/>
      <c r="P108" s="960"/>
      <c r="Q108" s="960"/>
      <c r="R108" s="960"/>
      <c r="S108" s="960"/>
      <c r="T108" s="439" cm="1" t="str">
        <f t="array" ref="T108:T108">T107</f>
        <v>true</v>
      </c>
      <c r="U108" s="960"/>
      <c r="V108" s="960"/>
      <c r="W108" s="960"/>
      <c r="X108" s="1482"/>
      <c r="Y108" s="960"/>
      <c r="Z108" s="1465"/>
      <c r="AA108" s="960"/>
      <c r="AB108" s="222" t="str">
        <f>K108&amp;" год"</f>
        <v>2050 год</v>
      </c>
      <c r="AC108" s="4912"/>
      <c r="AD108" s="4917"/>
      <c r="AE108" s="4918"/>
      <c r="AF108" s="4918"/>
      <c r="AG108" s="4917"/>
      <c r="AH108" s="4917"/>
      <c r="AI108" s="4917"/>
      <c r="AJ108" s="4939"/>
      <c r="AK108" s="4940"/>
      <c r="AL108" s="375"/>
      <c r="AM108" s="960"/>
      <c r="AN108" s="960"/>
      <c r="AO108" s="1048" cm="1" t="str">
        <f t="array" ref="AO108:AO108">K108</f>
        <v>2050</v>
      </c>
      <c r="AP108" s="960"/>
      <c r="AQ108" s="960"/>
    </row>
    <row s="4956" customFormat="1" customHeight="1" ht="14.25" hidden="1">
      <c r="A109" s="960"/>
      <c r="B109" s="418">
        <f>K109&lt;first_year+PERIOD_LENGTH</f>
        <v>0</v>
      </c>
      <c r="C109" s="960"/>
      <c r="D109" s="960"/>
      <c r="E109" s="683">
        <v>15</v>
      </c>
      <c r="F109" s="50" cm="1" t="str">
        <f t="array" ref="F109:F109">OFFSET(E109,-1,1)</f>
        <v>1</v>
      </c>
      <c r="G109" s="960"/>
      <c r="H109" s="960"/>
      <c r="I109" s="960"/>
      <c r="J109" s="960"/>
      <c r="K109" s="124">
        <f>first_year+27</f>
        <v>2051</v>
      </c>
      <c r="L109" s="960"/>
      <c r="M109" s="960"/>
      <c r="N109" s="960"/>
      <c r="O109" s="960"/>
      <c r="P109" s="960"/>
      <c r="Q109" s="960"/>
      <c r="R109" s="960"/>
      <c r="S109" s="960"/>
      <c r="T109" s="439" cm="1" t="str">
        <f t="array" ref="T109:T109">T108</f>
        <v>true</v>
      </c>
      <c r="U109" s="960"/>
      <c r="V109" s="960"/>
      <c r="W109" s="960"/>
      <c r="X109" s="1482"/>
      <c r="Y109" s="960"/>
      <c r="Z109" s="1465"/>
      <c r="AA109" s="960"/>
      <c r="AB109" s="222" t="str">
        <f>K109&amp;" год"</f>
        <v>2051 год</v>
      </c>
      <c r="AC109" s="4912"/>
      <c r="AD109" s="4917"/>
      <c r="AE109" s="4918"/>
      <c r="AF109" s="4918"/>
      <c r="AG109" s="4917"/>
      <c r="AH109" s="4917"/>
      <c r="AI109" s="4917"/>
      <c r="AJ109" s="4939"/>
      <c r="AK109" s="4940"/>
      <c r="AL109" s="375"/>
      <c r="AM109" s="960"/>
      <c r="AN109" s="960"/>
      <c r="AO109" s="1048" cm="1" t="str">
        <f t="array" ref="AO109:AO109">K109</f>
        <v>2051</v>
      </c>
      <c r="AP109" s="960"/>
      <c r="AQ109" s="960"/>
    </row>
    <row s="4957" customFormat="1" customHeight="1" ht="14.25" hidden="1">
      <c r="A110" s="960"/>
      <c r="B110" s="418">
        <f>K110&lt;first_year+PERIOD_LENGTH</f>
        <v>0</v>
      </c>
      <c r="C110" s="960"/>
      <c r="D110" s="960"/>
      <c r="E110" s="683">
        <v>15</v>
      </c>
      <c r="F110" s="50" cm="1" t="str">
        <f t="array" ref="F110:F110">OFFSET(E110,-1,1)</f>
        <v>1</v>
      </c>
      <c r="G110" s="960"/>
      <c r="H110" s="960"/>
      <c r="I110" s="960"/>
      <c r="J110" s="960"/>
      <c r="K110" s="124">
        <f>first_year+28</f>
        <v>2052</v>
      </c>
      <c r="L110" s="960"/>
      <c r="M110" s="960"/>
      <c r="N110" s="960"/>
      <c r="O110" s="960"/>
      <c r="P110" s="960"/>
      <c r="Q110" s="960"/>
      <c r="R110" s="960"/>
      <c r="S110" s="960"/>
      <c r="T110" s="439" cm="1" t="str">
        <f t="array" ref="T110:T110">T109</f>
        <v>true</v>
      </c>
      <c r="U110" s="960"/>
      <c r="V110" s="960"/>
      <c r="W110" s="960"/>
      <c r="X110" s="1482"/>
      <c r="Y110" s="960"/>
      <c r="Z110" s="1465"/>
      <c r="AA110" s="960"/>
      <c r="AB110" s="222" t="str">
        <f>K110&amp;" год"</f>
        <v>2052 год</v>
      </c>
      <c r="AC110" s="4912"/>
      <c r="AD110" s="4917"/>
      <c r="AE110" s="4918"/>
      <c r="AF110" s="4918"/>
      <c r="AG110" s="4917"/>
      <c r="AH110" s="4917"/>
      <c r="AI110" s="4917"/>
      <c r="AJ110" s="4939"/>
      <c r="AK110" s="4940"/>
      <c r="AL110" s="375"/>
      <c r="AM110" s="960"/>
      <c r="AN110" s="960"/>
      <c r="AO110" s="1048" cm="1" t="str">
        <f t="array" ref="AO110:AO110">K110</f>
        <v>2052</v>
      </c>
      <c r="AP110" s="960"/>
      <c r="AQ110" s="960"/>
    </row>
    <row s="4958" customFormat="1" customHeight="1" ht="14.25" hidden="1">
      <c r="A111" s="960"/>
      <c r="B111" s="418">
        <f>K111&lt;first_year+PERIOD_LENGTH</f>
        <v>0</v>
      </c>
      <c r="C111" s="960"/>
      <c r="D111" s="960"/>
      <c r="E111" s="683">
        <v>15</v>
      </c>
      <c r="F111" s="50" cm="1" t="str">
        <f t="array" ref="F111:F111">OFFSET(E111,-1,1)</f>
        <v>1</v>
      </c>
      <c r="G111" s="960"/>
      <c r="H111" s="960"/>
      <c r="I111" s="960"/>
      <c r="J111" s="960"/>
      <c r="K111" s="124">
        <f>first_year+29</f>
        <v>2053</v>
      </c>
      <c r="L111" s="960"/>
      <c r="M111" s="960"/>
      <c r="N111" s="960"/>
      <c r="O111" s="960"/>
      <c r="P111" s="960"/>
      <c r="Q111" s="960"/>
      <c r="R111" s="960"/>
      <c r="S111" s="960"/>
      <c r="T111" s="439" cm="1" t="str">
        <f t="array" ref="T111:T111">T110</f>
        <v>true</v>
      </c>
      <c r="U111" s="960"/>
      <c r="V111" s="960"/>
      <c r="W111" s="960"/>
      <c r="X111" s="1482"/>
      <c r="Y111" s="960"/>
      <c r="Z111" s="1465"/>
      <c r="AA111" s="960"/>
      <c r="AB111" s="222" t="str">
        <f>K111&amp;" год"</f>
        <v>2053 год</v>
      </c>
      <c r="AC111" s="4912"/>
      <c r="AD111" s="4917"/>
      <c r="AE111" s="4918"/>
      <c r="AF111" s="4918"/>
      <c r="AG111" s="4917"/>
      <c r="AH111" s="4917"/>
      <c r="AI111" s="4917"/>
      <c r="AJ111" s="4939"/>
      <c r="AK111" s="4940"/>
      <c r="AL111" s="375"/>
      <c r="AM111" s="960"/>
      <c r="AN111" s="960"/>
      <c r="AO111" s="1048" cm="1" t="str">
        <f t="array" ref="AO111:AO111">K111</f>
        <v>2053</v>
      </c>
      <c r="AP111" s="960"/>
      <c r="AQ111" s="960"/>
    </row>
    <row s="4959" customFormat="1" customHeight="1" ht="14.25" hidden="1">
      <c r="A112" s="960"/>
      <c r="B112" s="418">
        <f>K112&lt;first_year+PERIOD_LENGTH</f>
        <v>0</v>
      </c>
      <c r="C112" s="960"/>
      <c r="D112" s="960"/>
      <c r="E112" s="683">
        <v>15</v>
      </c>
      <c r="F112" s="50" cm="1" t="str">
        <f t="array" ref="F112:F112">OFFSET(E112,-1,1)</f>
        <v>1</v>
      </c>
      <c r="G112" s="960"/>
      <c r="H112" s="960"/>
      <c r="I112" s="960"/>
      <c r="J112" s="960"/>
      <c r="K112" s="124">
        <f>first_year+30</f>
        <v>2054</v>
      </c>
      <c r="L112" s="960"/>
      <c r="M112" s="960"/>
      <c r="N112" s="960"/>
      <c r="O112" s="960"/>
      <c r="P112" s="960"/>
      <c r="Q112" s="960"/>
      <c r="R112" s="960"/>
      <c r="S112" s="960"/>
      <c r="T112" s="439" cm="1" t="str">
        <f t="array" ref="T112:T112">T111</f>
        <v>true</v>
      </c>
      <c r="U112" s="960"/>
      <c r="V112" s="960"/>
      <c r="W112" s="960"/>
      <c r="X112" s="1482"/>
      <c r="Y112" s="960"/>
      <c r="Z112" s="1465"/>
      <c r="AA112" s="960"/>
      <c r="AB112" s="222" t="str">
        <f>K112&amp;" год"</f>
        <v>2054 год</v>
      </c>
      <c r="AC112" s="4912"/>
      <c r="AD112" s="4917"/>
      <c r="AE112" s="4918"/>
      <c r="AF112" s="4918"/>
      <c r="AG112" s="4917"/>
      <c r="AH112" s="4917"/>
      <c r="AI112" s="4917"/>
      <c r="AJ112" s="4939"/>
      <c r="AK112" s="4940"/>
      <c r="AL112" s="375"/>
      <c r="AM112" s="960"/>
      <c r="AN112" s="960"/>
      <c r="AO112" s="1048" cm="1" t="str">
        <f t="array" ref="AO112:AO112">K112</f>
        <v>2054</v>
      </c>
      <c r="AP112" s="960"/>
      <c r="AQ112" s="960"/>
    </row>
    <row s="4960" customFormat="1" customHeight="1" ht="14.25" hidden="1">
      <c r="A113" s="960"/>
      <c r="B113" s="418">
        <f>K113&lt;first_year+PERIOD_LENGTH</f>
        <v>0</v>
      </c>
      <c r="C113" s="960"/>
      <c r="D113" s="960"/>
      <c r="E113" s="683">
        <v>15</v>
      </c>
      <c r="F113" s="50" cm="1" t="str">
        <f t="array" ref="F113:F113">OFFSET(E113,-1,1)</f>
        <v>1</v>
      </c>
      <c r="G113" s="960"/>
      <c r="H113" s="960"/>
      <c r="I113" s="960"/>
      <c r="J113" s="960"/>
      <c r="K113" s="124">
        <f>first_year+31</f>
        <v>2055</v>
      </c>
      <c r="L113" s="960"/>
      <c r="M113" s="960"/>
      <c r="N113" s="960"/>
      <c r="O113" s="960"/>
      <c r="P113" s="960"/>
      <c r="Q113" s="960"/>
      <c r="R113" s="960"/>
      <c r="S113" s="960"/>
      <c r="T113" s="439" cm="1" t="str">
        <f t="array" ref="T113:T113">T112</f>
        <v>true</v>
      </c>
      <c r="U113" s="960"/>
      <c r="V113" s="960"/>
      <c r="W113" s="960"/>
      <c r="X113" s="1482"/>
      <c r="Y113" s="960"/>
      <c r="Z113" s="1465"/>
      <c r="AA113" s="960"/>
      <c r="AB113" s="222" t="str">
        <f>K113&amp;" год"</f>
        <v>2055 год</v>
      </c>
      <c r="AC113" s="4912"/>
      <c r="AD113" s="4917"/>
      <c r="AE113" s="4918"/>
      <c r="AF113" s="4918"/>
      <c r="AG113" s="4917"/>
      <c r="AH113" s="4917"/>
      <c r="AI113" s="4917"/>
      <c r="AJ113" s="4939"/>
      <c r="AK113" s="4940"/>
      <c r="AL113" s="375"/>
      <c r="AM113" s="960"/>
      <c r="AN113" s="960"/>
      <c r="AO113" s="1048" cm="1" t="str">
        <f t="array" ref="AO113:AO113">K113</f>
        <v>2055</v>
      </c>
      <c r="AP113" s="960"/>
      <c r="AQ113" s="960"/>
    </row>
    <row s="4961" customFormat="1" customHeight="1" ht="14.25" hidden="1">
      <c r="A114" s="960"/>
      <c r="B114" s="418">
        <f>K114&lt;first_year+PERIOD_LENGTH</f>
        <v>0</v>
      </c>
      <c r="C114" s="960"/>
      <c r="D114" s="960"/>
      <c r="E114" s="683">
        <v>15</v>
      </c>
      <c r="F114" s="50" cm="1" t="str">
        <f t="array" ref="F114:F114">OFFSET(E114,-1,1)</f>
        <v>1</v>
      </c>
      <c r="G114" s="960"/>
      <c r="H114" s="960"/>
      <c r="I114" s="960"/>
      <c r="J114" s="960"/>
      <c r="K114" s="124">
        <f>first_year+32</f>
        <v>2056</v>
      </c>
      <c r="L114" s="960"/>
      <c r="M114" s="960"/>
      <c r="N114" s="960"/>
      <c r="O114" s="960"/>
      <c r="P114" s="960"/>
      <c r="Q114" s="960"/>
      <c r="R114" s="960"/>
      <c r="S114" s="960"/>
      <c r="T114" s="439" cm="1" t="str">
        <f t="array" ref="T114:T114">T113</f>
        <v>true</v>
      </c>
      <c r="U114" s="960"/>
      <c r="V114" s="960"/>
      <c r="W114" s="960"/>
      <c r="X114" s="1482"/>
      <c r="Y114" s="960"/>
      <c r="Z114" s="1465"/>
      <c r="AA114" s="960"/>
      <c r="AB114" s="222" t="str">
        <f>K114&amp;" год"</f>
        <v>2056 год</v>
      </c>
      <c r="AC114" s="4912"/>
      <c r="AD114" s="4917"/>
      <c r="AE114" s="4918"/>
      <c r="AF114" s="4918"/>
      <c r="AG114" s="4917"/>
      <c r="AH114" s="4917"/>
      <c r="AI114" s="4917"/>
      <c r="AJ114" s="4939"/>
      <c r="AK114" s="4940"/>
      <c r="AL114" s="375"/>
      <c r="AM114" s="960"/>
      <c r="AN114" s="960"/>
      <c r="AO114" s="1048" cm="1" t="str">
        <f t="array" ref="AO114:AO114">K114</f>
        <v>2056</v>
      </c>
      <c r="AP114" s="960"/>
      <c r="AQ114" s="960"/>
    </row>
    <row s="4962" customFormat="1" customHeight="1" ht="14.25" hidden="1">
      <c r="A115" s="960"/>
      <c r="B115" s="418">
        <f>K115&lt;first_year+PERIOD_LENGTH</f>
        <v>0</v>
      </c>
      <c r="C115" s="960"/>
      <c r="D115" s="960"/>
      <c r="E115" s="683">
        <v>15</v>
      </c>
      <c r="F115" s="50" cm="1" t="str">
        <f t="array" ref="F115:F115">OFFSET(E115,-1,1)</f>
        <v>1</v>
      </c>
      <c r="G115" s="960"/>
      <c r="H115" s="960"/>
      <c r="I115" s="960"/>
      <c r="J115" s="960"/>
      <c r="K115" s="124">
        <f>first_year+33</f>
        <v>2057</v>
      </c>
      <c r="L115" s="960"/>
      <c r="M115" s="960"/>
      <c r="N115" s="960"/>
      <c r="O115" s="960"/>
      <c r="P115" s="960"/>
      <c r="Q115" s="960"/>
      <c r="R115" s="960"/>
      <c r="S115" s="960"/>
      <c r="T115" s="439" cm="1" t="str">
        <f t="array" ref="T115:T115">T114</f>
        <v>true</v>
      </c>
      <c r="U115" s="960"/>
      <c r="V115" s="960"/>
      <c r="W115" s="960"/>
      <c r="X115" s="1482"/>
      <c r="Y115" s="960"/>
      <c r="Z115" s="1465"/>
      <c r="AA115" s="960"/>
      <c r="AB115" s="222" t="str">
        <f>K115&amp;" год"</f>
        <v>2057 год</v>
      </c>
      <c r="AC115" s="4912"/>
      <c r="AD115" s="4917"/>
      <c r="AE115" s="4918"/>
      <c r="AF115" s="4918"/>
      <c r="AG115" s="4917"/>
      <c r="AH115" s="4917"/>
      <c r="AI115" s="4917"/>
      <c r="AJ115" s="4939"/>
      <c r="AK115" s="4940"/>
      <c r="AL115" s="375"/>
      <c r="AM115" s="960"/>
      <c r="AN115" s="960"/>
      <c r="AO115" s="1048" cm="1" t="str">
        <f t="array" ref="AO115:AO115">K115</f>
        <v>2057</v>
      </c>
      <c r="AP115" s="960"/>
      <c r="AQ115" s="960"/>
    </row>
    <row s="4963" customFormat="1" customHeight="1" ht="14.25" hidden="1">
      <c r="A116" s="960"/>
      <c r="B116" s="418">
        <f>K116&lt;first_year+PERIOD_LENGTH</f>
        <v>0</v>
      </c>
      <c r="C116" s="960"/>
      <c r="D116" s="960"/>
      <c r="E116" s="683">
        <v>15</v>
      </c>
      <c r="F116" s="50" cm="1" t="str">
        <f t="array" ref="F116:F116">OFFSET(E116,-1,1)</f>
        <v>1</v>
      </c>
      <c r="G116" s="960"/>
      <c r="H116" s="960"/>
      <c r="I116" s="960"/>
      <c r="J116" s="960"/>
      <c r="K116" s="124">
        <f>first_year+34</f>
        <v>2058</v>
      </c>
      <c r="L116" s="960"/>
      <c r="M116" s="960"/>
      <c r="N116" s="960"/>
      <c r="O116" s="960"/>
      <c r="P116" s="960"/>
      <c r="Q116" s="960"/>
      <c r="R116" s="960"/>
      <c r="S116" s="960"/>
      <c r="T116" s="439" cm="1" t="str">
        <f t="array" ref="T116:T116">T115</f>
        <v>true</v>
      </c>
      <c r="U116" s="960"/>
      <c r="V116" s="960"/>
      <c r="W116" s="960"/>
      <c r="X116" s="1482"/>
      <c r="Y116" s="960"/>
      <c r="Z116" s="1465"/>
      <c r="AA116" s="960"/>
      <c r="AB116" s="222" t="str">
        <f>K116&amp;" год"</f>
        <v>2058 год</v>
      </c>
      <c r="AC116" s="4912"/>
      <c r="AD116" s="4917"/>
      <c r="AE116" s="4918"/>
      <c r="AF116" s="4918"/>
      <c r="AG116" s="4917"/>
      <c r="AH116" s="4917"/>
      <c r="AI116" s="4917"/>
      <c r="AJ116" s="4939"/>
      <c r="AK116" s="4940"/>
      <c r="AL116" s="375"/>
      <c r="AM116" s="960"/>
      <c r="AN116" s="960"/>
      <c r="AO116" s="1048" cm="1" t="str">
        <f t="array" ref="AO116:AO116">K116</f>
        <v>2058</v>
      </c>
      <c r="AP116" s="960"/>
      <c r="AQ116" s="960"/>
    </row>
    <row s="4964" customFormat="1" customHeight="1" ht="14.25" hidden="1">
      <c r="A117" s="960"/>
      <c r="B117" s="418">
        <f>K117&lt;first_year+PERIOD_LENGTH</f>
        <v>0</v>
      </c>
      <c r="C117" s="960"/>
      <c r="D117" s="960"/>
      <c r="E117" s="683">
        <v>15</v>
      </c>
      <c r="F117" s="50" cm="1" t="str">
        <f t="array" ref="F117:F117">OFFSET(E117,-1,1)</f>
        <v>1</v>
      </c>
      <c r="G117" s="960"/>
      <c r="H117" s="960"/>
      <c r="I117" s="960"/>
      <c r="J117" s="960"/>
      <c r="K117" s="124">
        <f>first_year+35</f>
        <v>2059</v>
      </c>
      <c r="L117" s="960"/>
      <c r="M117" s="960"/>
      <c r="N117" s="960"/>
      <c r="O117" s="960"/>
      <c r="P117" s="960"/>
      <c r="Q117" s="960"/>
      <c r="R117" s="960"/>
      <c r="S117" s="960"/>
      <c r="T117" s="439" cm="1" t="str">
        <f t="array" ref="T117:T117">T116</f>
        <v>true</v>
      </c>
      <c r="U117" s="960"/>
      <c r="V117" s="960"/>
      <c r="W117" s="960"/>
      <c r="X117" s="1482"/>
      <c r="Y117" s="960"/>
      <c r="Z117" s="1465"/>
      <c r="AA117" s="960"/>
      <c r="AB117" s="222" t="str">
        <f>K117&amp;" год"</f>
        <v>2059 год</v>
      </c>
      <c r="AC117" s="4912"/>
      <c r="AD117" s="4917"/>
      <c r="AE117" s="4918"/>
      <c r="AF117" s="4918"/>
      <c r="AG117" s="4917"/>
      <c r="AH117" s="4917"/>
      <c r="AI117" s="4917"/>
      <c r="AJ117" s="4939"/>
      <c r="AK117" s="4940"/>
      <c r="AL117" s="375"/>
      <c r="AM117" s="960"/>
      <c r="AN117" s="960"/>
      <c r="AO117" s="1048" cm="1" t="str">
        <f t="array" ref="AO117:AO117">K117</f>
        <v>2059</v>
      </c>
      <c r="AP117" s="960"/>
      <c r="AQ117" s="960"/>
    </row>
    <row s="4965" customFormat="1" customHeight="1" ht="14.25" hidden="1">
      <c r="A118" s="960"/>
      <c r="B118" s="418">
        <f>K118&lt;first_year+PERIOD_LENGTH</f>
        <v>0</v>
      </c>
      <c r="C118" s="960"/>
      <c r="D118" s="960"/>
      <c r="E118" s="683">
        <v>15</v>
      </c>
      <c r="F118" s="50" cm="1" t="str">
        <f t="array" ref="F118:F118">OFFSET(E118,-1,1)</f>
        <v>1</v>
      </c>
      <c r="G118" s="960"/>
      <c r="H118" s="960"/>
      <c r="I118" s="960"/>
      <c r="J118" s="960"/>
      <c r="K118" s="124">
        <f>first_year+36</f>
        <v>2060</v>
      </c>
      <c r="L118" s="960"/>
      <c r="M118" s="960"/>
      <c r="N118" s="960"/>
      <c r="O118" s="960"/>
      <c r="P118" s="960"/>
      <c r="Q118" s="960"/>
      <c r="R118" s="960"/>
      <c r="S118" s="960"/>
      <c r="T118" s="439" cm="1" t="str">
        <f t="array" ref="T118:T118">T117</f>
        <v>true</v>
      </c>
      <c r="U118" s="960"/>
      <c r="V118" s="960"/>
      <c r="W118" s="960"/>
      <c r="X118" s="1482"/>
      <c r="Y118" s="960"/>
      <c r="Z118" s="1465"/>
      <c r="AA118" s="960"/>
      <c r="AB118" s="222" t="str">
        <f>K118&amp;" год"</f>
        <v>2060 год</v>
      </c>
      <c r="AC118" s="4912"/>
      <c r="AD118" s="4917"/>
      <c r="AE118" s="4918"/>
      <c r="AF118" s="4918"/>
      <c r="AG118" s="4917"/>
      <c r="AH118" s="4917"/>
      <c r="AI118" s="4917"/>
      <c r="AJ118" s="4939"/>
      <c r="AK118" s="4940"/>
      <c r="AL118" s="375"/>
      <c r="AM118" s="960"/>
      <c r="AN118" s="960"/>
      <c r="AO118" s="1048" cm="1" t="str">
        <f t="array" ref="AO118:AO118">K118</f>
        <v>2060</v>
      </c>
      <c r="AP118" s="960"/>
      <c r="AQ118" s="960"/>
    </row>
    <row s="4966" customFormat="1" customHeight="1" ht="14.25" hidden="1">
      <c r="A119" s="960"/>
      <c r="B119" s="418">
        <f>K119&lt;first_year+PERIOD_LENGTH</f>
        <v>0</v>
      </c>
      <c r="C119" s="960"/>
      <c r="D119" s="960"/>
      <c r="E119" s="683">
        <v>15</v>
      </c>
      <c r="F119" s="50" cm="1" t="str">
        <f t="array" ref="F119:F119">OFFSET(E119,-1,1)</f>
        <v>1</v>
      </c>
      <c r="G119" s="960"/>
      <c r="H119" s="960"/>
      <c r="I119" s="960"/>
      <c r="J119" s="960"/>
      <c r="K119" s="124">
        <f>first_year+37</f>
        <v>2061</v>
      </c>
      <c r="L119" s="960"/>
      <c r="M119" s="960"/>
      <c r="N119" s="960"/>
      <c r="O119" s="960"/>
      <c r="P119" s="960"/>
      <c r="Q119" s="960"/>
      <c r="R119" s="960"/>
      <c r="S119" s="960"/>
      <c r="T119" s="439" cm="1" t="str">
        <f t="array" ref="T119:T119">T118</f>
        <v>true</v>
      </c>
      <c r="U119" s="960"/>
      <c r="V119" s="960"/>
      <c r="W119" s="960"/>
      <c r="X119" s="1482"/>
      <c r="Y119" s="960"/>
      <c r="Z119" s="1465"/>
      <c r="AA119" s="960"/>
      <c r="AB119" s="222" t="str">
        <f>K119&amp;" год"</f>
        <v>2061 год</v>
      </c>
      <c r="AC119" s="4912"/>
      <c r="AD119" s="4917"/>
      <c r="AE119" s="4918"/>
      <c r="AF119" s="4918"/>
      <c r="AG119" s="4917"/>
      <c r="AH119" s="4917"/>
      <c r="AI119" s="4917"/>
      <c r="AJ119" s="4939"/>
      <c r="AK119" s="4940"/>
      <c r="AL119" s="375"/>
      <c r="AM119" s="960"/>
      <c r="AN119" s="960"/>
      <c r="AO119" s="1048" cm="1" t="str">
        <f t="array" ref="AO119:AO119">K119</f>
        <v>2061</v>
      </c>
      <c r="AP119" s="960"/>
      <c r="AQ119" s="960"/>
    </row>
    <row s="4967" customFormat="1" customHeight="1" ht="14.25" hidden="1">
      <c r="A120" s="960"/>
      <c r="B120" s="418">
        <f>K120&lt;first_year+PERIOD_LENGTH</f>
        <v>0</v>
      </c>
      <c r="C120" s="960"/>
      <c r="D120" s="960"/>
      <c r="E120" s="683">
        <v>15</v>
      </c>
      <c r="F120" s="50" cm="1" t="str">
        <f t="array" ref="F120:F120">OFFSET(E120,-1,1)</f>
        <v>1</v>
      </c>
      <c r="G120" s="960"/>
      <c r="H120" s="960"/>
      <c r="I120" s="960"/>
      <c r="J120" s="960"/>
      <c r="K120" s="124">
        <f>first_year+38</f>
        <v>2062</v>
      </c>
      <c r="L120" s="960"/>
      <c r="M120" s="960"/>
      <c r="N120" s="960"/>
      <c r="O120" s="960"/>
      <c r="P120" s="960"/>
      <c r="Q120" s="960"/>
      <c r="R120" s="960"/>
      <c r="S120" s="960"/>
      <c r="T120" s="439" cm="1" t="str">
        <f t="array" ref="T120:T120">T119</f>
        <v>true</v>
      </c>
      <c r="U120" s="960"/>
      <c r="V120" s="960"/>
      <c r="W120" s="960"/>
      <c r="X120" s="1482"/>
      <c r="Y120" s="960"/>
      <c r="Z120" s="1465"/>
      <c r="AA120" s="960"/>
      <c r="AB120" s="222" t="str">
        <f>K120&amp;" год"</f>
        <v>2062 год</v>
      </c>
      <c r="AC120" s="4912"/>
      <c r="AD120" s="4917"/>
      <c r="AE120" s="4918"/>
      <c r="AF120" s="4918"/>
      <c r="AG120" s="4917"/>
      <c r="AH120" s="4917"/>
      <c r="AI120" s="4917"/>
      <c r="AJ120" s="4939"/>
      <c r="AK120" s="4940"/>
      <c r="AL120" s="375"/>
      <c r="AM120" s="960"/>
      <c r="AN120" s="960"/>
      <c r="AO120" s="1048" cm="1" t="str">
        <f t="array" ref="AO120:AO120">K120</f>
        <v>2062</v>
      </c>
      <c r="AP120" s="960"/>
      <c r="AQ120" s="960"/>
    </row>
    <row s="4968" customFormat="1" customHeight="1" ht="14.25" hidden="1">
      <c r="A121" s="960"/>
      <c r="B121" s="418">
        <f>K121&lt;first_year+PERIOD_LENGTH</f>
        <v>0</v>
      </c>
      <c r="C121" s="960"/>
      <c r="D121" s="960"/>
      <c r="E121" s="683">
        <v>15</v>
      </c>
      <c r="F121" s="50" cm="1" t="str">
        <f t="array" ref="F121:F121">OFFSET(E121,-1,1)</f>
        <v>1</v>
      </c>
      <c r="G121" s="960"/>
      <c r="H121" s="960"/>
      <c r="I121" s="960"/>
      <c r="J121" s="960"/>
      <c r="K121" s="124">
        <f>first_year+39</f>
        <v>2063</v>
      </c>
      <c r="L121" s="960"/>
      <c r="M121" s="960"/>
      <c r="N121" s="960"/>
      <c r="O121" s="960"/>
      <c r="P121" s="960"/>
      <c r="Q121" s="960"/>
      <c r="R121" s="960"/>
      <c r="S121" s="960"/>
      <c r="T121" s="439" cm="1" t="str">
        <f t="array" ref="T121:T121">T120</f>
        <v>true</v>
      </c>
      <c r="U121" s="960"/>
      <c r="V121" s="960"/>
      <c r="W121" s="960"/>
      <c r="X121" s="1482"/>
      <c r="Y121" s="960"/>
      <c r="Z121" s="1465"/>
      <c r="AA121" s="960"/>
      <c r="AB121" s="222" t="str">
        <f>K121&amp;" год"</f>
        <v>2063 год</v>
      </c>
      <c r="AC121" s="4912"/>
      <c r="AD121" s="4917"/>
      <c r="AE121" s="4918"/>
      <c r="AF121" s="4918"/>
      <c r="AG121" s="4917"/>
      <c r="AH121" s="4917"/>
      <c r="AI121" s="4917"/>
      <c r="AJ121" s="4939"/>
      <c r="AK121" s="4940"/>
      <c r="AL121" s="375"/>
      <c r="AM121" s="960"/>
      <c r="AN121" s="960"/>
      <c r="AO121" s="1048" cm="1" t="str">
        <f t="array" ref="AO121:AO121">K121</f>
        <v>2063</v>
      </c>
      <c r="AP121" s="960"/>
      <c r="AQ121" s="960"/>
    </row>
    <row s="4969" customFormat="1" customHeight="1" ht="14.25" hidden="1">
      <c r="A122" s="960"/>
      <c r="B122" s="418">
        <f>K122&lt;first_year+PERIOD_LENGTH</f>
        <v>0</v>
      </c>
      <c r="C122" s="960"/>
      <c r="D122" s="960"/>
      <c r="E122" s="683">
        <v>15</v>
      </c>
      <c r="F122" s="50" cm="1" t="str">
        <f t="array" ref="F122:F122">OFFSET(E122,-1,1)</f>
        <v>1</v>
      </c>
      <c r="G122" s="960"/>
      <c r="H122" s="960"/>
      <c r="I122" s="960"/>
      <c r="J122" s="960"/>
      <c r="K122" s="124">
        <f>first_year+40</f>
        <v>2064</v>
      </c>
      <c r="L122" s="960"/>
      <c r="M122" s="960"/>
      <c r="N122" s="960"/>
      <c r="O122" s="960"/>
      <c r="P122" s="960"/>
      <c r="Q122" s="960"/>
      <c r="R122" s="960"/>
      <c r="S122" s="960"/>
      <c r="T122" s="439" cm="1" t="str">
        <f t="array" ref="T122:T122">T121</f>
        <v>true</v>
      </c>
      <c r="U122" s="960"/>
      <c r="V122" s="960"/>
      <c r="W122" s="960"/>
      <c r="X122" s="1482"/>
      <c r="Y122" s="960"/>
      <c r="Z122" s="1465"/>
      <c r="AA122" s="960"/>
      <c r="AB122" s="222" t="str">
        <f>K122&amp;" год"</f>
        <v>2064 год</v>
      </c>
      <c r="AC122" s="4912"/>
      <c r="AD122" s="4917"/>
      <c r="AE122" s="4918"/>
      <c r="AF122" s="4918"/>
      <c r="AG122" s="4917"/>
      <c r="AH122" s="4917"/>
      <c r="AI122" s="4917"/>
      <c r="AJ122" s="4939"/>
      <c r="AK122" s="4940"/>
      <c r="AL122" s="375"/>
      <c r="AM122" s="960"/>
      <c r="AN122" s="960"/>
      <c r="AO122" s="1048" cm="1" t="str">
        <f t="array" ref="AO122:AO122">K122</f>
        <v>2064</v>
      </c>
      <c r="AP122" s="960"/>
      <c r="AQ122" s="960"/>
    </row>
    <row s="4970" customFormat="1" customHeight="1" ht="14.25" hidden="1">
      <c r="A123" s="960"/>
      <c r="B123" s="418">
        <f>K123&lt;first_year+PERIOD_LENGTH</f>
        <v>0</v>
      </c>
      <c r="C123" s="960"/>
      <c r="D123" s="960"/>
      <c r="E123" s="683">
        <v>15</v>
      </c>
      <c r="F123" s="50" cm="1" t="str">
        <f t="array" ref="F123:F123">OFFSET(E123,-1,1)</f>
        <v>1</v>
      </c>
      <c r="G123" s="960"/>
      <c r="H123" s="960"/>
      <c r="I123" s="960"/>
      <c r="J123" s="960"/>
      <c r="K123" s="124">
        <f>first_year+41</f>
        <v>2065</v>
      </c>
      <c r="L123" s="960"/>
      <c r="M123" s="960"/>
      <c r="N123" s="960"/>
      <c r="O123" s="960"/>
      <c r="P123" s="960"/>
      <c r="Q123" s="960"/>
      <c r="R123" s="960"/>
      <c r="S123" s="960"/>
      <c r="T123" s="439" cm="1" t="str">
        <f t="array" ref="T123:T123">T122</f>
        <v>true</v>
      </c>
      <c r="U123" s="960"/>
      <c r="V123" s="960"/>
      <c r="W123" s="960"/>
      <c r="X123" s="1482"/>
      <c r="Y123" s="960"/>
      <c r="Z123" s="1465"/>
      <c r="AA123" s="960"/>
      <c r="AB123" s="222" t="str">
        <f>K123&amp;" год"</f>
        <v>2065 год</v>
      </c>
      <c r="AC123" s="4912"/>
      <c r="AD123" s="4917"/>
      <c r="AE123" s="4918"/>
      <c r="AF123" s="4918"/>
      <c r="AG123" s="4917"/>
      <c r="AH123" s="4917"/>
      <c r="AI123" s="4917"/>
      <c r="AJ123" s="4939"/>
      <c r="AK123" s="4940"/>
      <c r="AL123" s="375"/>
      <c r="AM123" s="960"/>
      <c r="AN123" s="960"/>
      <c r="AO123" s="1048" cm="1" t="str">
        <f t="array" ref="AO123:AO123">K123</f>
        <v>2065</v>
      </c>
      <c r="AP123" s="960"/>
      <c r="AQ123" s="960"/>
    </row>
    <row s="4971" customFormat="1" customHeight="1" ht="14.25" hidden="1">
      <c r="A124" s="960"/>
      <c r="B124" s="418">
        <f>K124&lt;first_year+PERIOD_LENGTH</f>
        <v>0</v>
      </c>
      <c r="C124" s="960"/>
      <c r="D124" s="960"/>
      <c r="E124" s="683">
        <v>15</v>
      </c>
      <c r="F124" s="50" cm="1" t="str">
        <f t="array" ref="F124:F124">OFFSET(E124,-1,1)</f>
        <v>1</v>
      </c>
      <c r="G124" s="960"/>
      <c r="H124" s="960"/>
      <c r="I124" s="960"/>
      <c r="J124" s="960"/>
      <c r="K124" s="124">
        <f>first_year+42</f>
        <v>2066</v>
      </c>
      <c r="L124" s="960"/>
      <c r="M124" s="960"/>
      <c r="N124" s="960"/>
      <c r="O124" s="960"/>
      <c r="P124" s="960"/>
      <c r="Q124" s="960"/>
      <c r="R124" s="960"/>
      <c r="S124" s="960"/>
      <c r="T124" s="439" cm="1" t="str">
        <f t="array" ref="T124:T124">T123</f>
        <v>true</v>
      </c>
      <c r="U124" s="960"/>
      <c r="V124" s="960"/>
      <c r="W124" s="960"/>
      <c r="X124" s="1482"/>
      <c r="Y124" s="960"/>
      <c r="Z124" s="1465"/>
      <c r="AA124" s="960"/>
      <c r="AB124" s="222" t="str">
        <f>K124&amp;" год"</f>
        <v>2066 год</v>
      </c>
      <c r="AC124" s="4912"/>
      <c r="AD124" s="4917"/>
      <c r="AE124" s="4918"/>
      <c r="AF124" s="4918"/>
      <c r="AG124" s="4917"/>
      <c r="AH124" s="4917"/>
      <c r="AI124" s="4917"/>
      <c r="AJ124" s="4939"/>
      <c r="AK124" s="4940"/>
      <c r="AL124" s="375"/>
      <c r="AM124" s="960"/>
      <c r="AN124" s="960"/>
      <c r="AO124" s="1048" cm="1" t="str">
        <f t="array" ref="AO124:AO124">K124</f>
        <v>2066</v>
      </c>
      <c r="AP124" s="960"/>
      <c r="AQ124" s="960"/>
    </row>
    <row s="4972" customFormat="1" customHeight="1" ht="14.25" hidden="1">
      <c r="A125" s="960"/>
      <c r="B125" s="418">
        <f>K125&lt;first_year+PERIOD_LENGTH</f>
        <v>0</v>
      </c>
      <c r="C125" s="960"/>
      <c r="D125" s="960"/>
      <c r="E125" s="683">
        <v>15</v>
      </c>
      <c r="F125" s="50" cm="1" t="str">
        <f t="array" ref="F125:F125">OFFSET(E125,-1,1)</f>
        <v>1</v>
      </c>
      <c r="G125" s="960"/>
      <c r="H125" s="960"/>
      <c r="I125" s="960"/>
      <c r="J125" s="960"/>
      <c r="K125" s="124">
        <f>first_year+43</f>
        <v>2067</v>
      </c>
      <c r="L125" s="960"/>
      <c r="M125" s="960"/>
      <c r="N125" s="960"/>
      <c r="O125" s="960"/>
      <c r="P125" s="960"/>
      <c r="Q125" s="960"/>
      <c r="R125" s="960"/>
      <c r="S125" s="960"/>
      <c r="T125" s="439" cm="1" t="str">
        <f t="array" ref="T125:T125">T124</f>
        <v>true</v>
      </c>
      <c r="U125" s="960"/>
      <c r="V125" s="960"/>
      <c r="W125" s="960"/>
      <c r="X125" s="1482"/>
      <c r="Y125" s="960"/>
      <c r="Z125" s="1465"/>
      <c r="AA125" s="960"/>
      <c r="AB125" s="222" t="str">
        <f>K125&amp;" год"</f>
        <v>2067 год</v>
      </c>
      <c r="AC125" s="4912"/>
      <c r="AD125" s="4917"/>
      <c r="AE125" s="4918"/>
      <c r="AF125" s="4918"/>
      <c r="AG125" s="4917"/>
      <c r="AH125" s="4917"/>
      <c r="AI125" s="4917"/>
      <c r="AJ125" s="4939"/>
      <c r="AK125" s="4940"/>
      <c r="AL125" s="375"/>
      <c r="AM125" s="960"/>
      <c r="AN125" s="960"/>
      <c r="AO125" s="1048" cm="1" t="str">
        <f t="array" ref="AO125:AO125">K125</f>
        <v>2067</v>
      </c>
      <c r="AP125" s="960"/>
      <c r="AQ125" s="960"/>
    </row>
    <row s="4973" customFormat="1" customHeight="1" ht="14.25" hidden="1">
      <c r="A126" s="960"/>
      <c r="B126" s="418">
        <f>K126&lt;first_year+PERIOD_LENGTH</f>
        <v>0</v>
      </c>
      <c r="C126" s="960"/>
      <c r="D126" s="960"/>
      <c r="E126" s="683">
        <v>15</v>
      </c>
      <c r="F126" s="50" cm="1" t="str">
        <f t="array" ref="F126:F126">OFFSET(E126,-1,1)</f>
        <v>1</v>
      </c>
      <c r="G126" s="960"/>
      <c r="H126" s="960"/>
      <c r="I126" s="960"/>
      <c r="J126" s="960"/>
      <c r="K126" s="124">
        <f>first_year+44</f>
        <v>2068</v>
      </c>
      <c r="L126" s="960"/>
      <c r="M126" s="960"/>
      <c r="N126" s="960"/>
      <c r="O126" s="960"/>
      <c r="P126" s="960"/>
      <c r="Q126" s="960"/>
      <c r="R126" s="960"/>
      <c r="S126" s="960"/>
      <c r="T126" s="439" cm="1" t="str">
        <f t="array" ref="T126:T126">T125</f>
        <v>true</v>
      </c>
      <c r="U126" s="960"/>
      <c r="V126" s="960"/>
      <c r="W126" s="960"/>
      <c r="X126" s="1482"/>
      <c r="Y126" s="960"/>
      <c r="Z126" s="1465"/>
      <c r="AA126" s="960"/>
      <c r="AB126" s="222" t="str">
        <f>K126&amp;" год"</f>
        <v>2068 год</v>
      </c>
      <c r="AC126" s="4912"/>
      <c r="AD126" s="4917"/>
      <c r="AE126" s="4918"/>
      <c r="AF126" s="4918"/>
      <c r="AG126" s="4917"/>
      <c r="AH126" s="4917"/>
      <c r="AI126" s="4917"/>
      <c r="AJ126" s="4939"/>
      <c r="AK126" s="4940"/>
      <c r="AL126" s="375"/>
      <c r="AM126" s="960"/>
      <c r="AN126" s="960"/>
      <c r="AO126" s="1048" cm="1" t="str">
        <f t="array" ref="AO126:AO126">K126</f>
        <v>2068</v>
      </c>
      <c r="AP126" s="960"/>
      <c r="AQ126" s="960"/>
    </row>
    <row s="4974" customFormat="1" customHeight="1" ht="14.25" hidden="1">
      <c r="A127" s="960"/>
      <c r="B127" s="418">
        <f>K127&lt;first_year+PERIOD_LENGTH</f>
        <v>0</v>
      </c>
      <c r="C127" s="960"/>
      <c r="D127" s="960"/>
      <c r="E127" s="683">
        <v>15</v>
      </c>
      <c r="F127" s="50" cm="1" t="str">
        <f t="array" ref="F127:F127">OFFSET(E127,-1,1)</f>
        <v>1</v>
      </c>
      <c r="G127" s="960"/>
      <c r="H127" s="960"/>
      <c r="I127" s="960"/>
      <c r="J127" s="960"/>
      <c r="K127" s="124">
        <f>first_year+45</f>
        <v>2069</v>
      </c>
      <c r="L127" s="960"/>
      <c r="M127" s="960"/>
      <c r="N127" s="960"/>
      <c r="O127" s="960"/>
      <c r="P127" s="960"/>
      <c r="Q127" s="960"/>
      <c r="R127" s="960"/>
      <c r="S127" s="960"/>
      <c r="T127" s="439" cm="1" t="str">
        <f t="array" ref="T127:T127">T126</f>
        <v>true</v>
      </c>
      <c r="U127" s="960"/>
      <c r="V127" s="960"/>
      <c r="W127" s="960"/>
      <c r="X127" s="1482"/>
      <c r="Y127" s="960"/>
      <c r="Z127" s="1465"/>
      <c r="AA127" s="960"/>
      <c r="AB127" s="222" t="str">
        <f>K127&amp;" год"</f>
        <v>2069 год</v>
      </c>
      <c r="AC127" s="4912"/>
      <c r="AD127" s="4917"/>
      <c r="AE127" s="4918"/>
      <c r="AF127" s="4918"/>
      <c r="AG127" s="4917"/>
      <c r="AH127" s="4917"/>
      <c r="AI127" s="4917"/>
      <c r="AJ127" s="4939"/>
      <c r="AK127" s="4940"/>
      <c r="AL127" s="375"/>
      <c r="AM127" s="960"/>
      <c r="AN127" s="960"/>
      <c r="AO127" s="1048" cm="1" t="str">
        <f t="array" ref="AO127:AO127">K127</f>
        <v>2069</v>
      </c>
      <c r="AP127" s="960"/>
      <c r="AQ127" s="960"/>
    </row>
    <row s="4975" customFormat="1" customHeight="1" ht="14.25" hidden="1">
      <c r="A128" s="960"/>
      <c r="B128" s="418">
        <f>K128&lt;first_year+PERIOD_LENGTH</f>
        <v>0</v>
      </c>
      <c r="C128" s="960"/>
      <c r="D128" s="960"/>
      <c r="E128" s="683">
        <v>15</v>
      </c>
      <c r="F128" s="50" cm="1" t="str">
        <f t="array" ref="F128:F128">OFFSET(E128,-1,1)</f>
        <v>1</v>
      </c>
      <c r="G128" s="960"/>
      <c r="H128" s="960"/>
      <c r="I128" s="960"/>
      <c r="J128" s="960"/>
      <c r="K128" s="124">
        <f>first_year+46</f>
        <v>2070</v>
      </c>
      <c r="L128" s="960"/>
      <c r="M128" s="960"/>
      <c r="N128" s="960"/>
      <c r="O128" s="960"/>
      <c r="P128" s="960"/>
      <c r="Q128" s="960"/>
      <c r="R128" s="960"/>
      <c r="S128" s="960"/>
      <c r="T128" s="439" cm="1" t="str">
        <f t="array" ref="T128:T128">T127</f>
        <v>true</v>
      </c>
      <c r="U128" s="960"/>
      <c r="V128" s="960"/>
      <c r="W128" s="960"/>
      <c r="X128" s="1482"/>
      <c r="Y128" s="960"/>
      <c r="Z128" s="1465"/>
      <c r="AA128" s="960"/>
      <c r="AB128" s="222" t="str">
        <f>K128&amp;" год"</f>
        <v>2070 год</v>
      </c>
      <c r="AC128" s="4912"/>
      <c r="AD128" s="4917"/>
      <c r="AE128" s="4918"/>
      <c r="AF128" s="4918"/>
      <c r="AG128" s="4917"/>
      <c r="AH128" s="4917"/>
      <c r="AI128" s="4917"/>
      <c r="AJ128" s="4939"/>
      <c r="AK128" s="4940"/>
      <c r="AL128" s="375"/>
      <c r="AM128" s="960"/>
      <c r="AN128" s="960"/>
      <c r="AO128" s="1048" cm="1" t="str">
        <f t="array" ref="AO128:AO128">K128</f>
        <v>2070</v>
      </c>
      <c r="AP128" s="960"/>
      <c r="AQ128" s="960"/>
    </row>
    <row s="4976" customFormat="1" customHeight="1" ht="14.25" hidden="1">
      <c r="A129" s="960"/>
      <c r="B129" s="418">
        <f>K129&lt;first_year+PERIOD_LENGTH</f>
        <v>0</v>
      </c>
      <c r="C129" s="960"/>
      <c r="D129" s="960"/>
      <c r="E129" s="683">
        <v>15</v>
      </c>
      <c r="F129" s="50" cm="1" t="str">
        <f t="array" ref="F129:F129">OFFSET(E129,-1,1)</f>
        <v>1</v>
      </c>
      <c r="G129" s="960"/>
      <c r="H129" s="960"/>
      <c r="I129" s="960"/>
      <c r="J129" s="960"/>
      <c r="K129" s="124">
        <f>first_year+47</f>
        <v>2071</v>
      </c>
      <c r="L129" s="960"/>
      <c r="M129" s="960"/>
      <c r="N129" s="960"/>
      <c r="O129" s="960"/>
      <c r="P129" s="960"/>
      <c r="Q129" s="960"/>
      <c r="R129" s="960"/>
      <c r="S129" s="960"/>
      <c r="T129" s="439" cm="1" t="str">
        <f t="array" ref="T129:T129">T128</f>
        <v>true</v>
      </c>
      <c r="U129" s="960"/>
      <c r="V129" s="960"/>
      <c r="W129" s="960"/>
      <c r="X129" s="1482"/>
      <c r="Y129" s="960"/>
      <c r="Z129" s="1465"/>
      <c r="AA129" s="960"/>
      <c r="AB129" s="222" t="str">
        <f>K129&amp;" год"</f>
        <v>2071 год</v>
      </c>
      <c r="AC129" s="4912"/>
      <c r="AD129" s="4917"/>
      <c r="AE129" s="4918"/>
      <c r="AF129" s="4918"/>
      <c r="AG129" s="4917"/>
      <c r="AH129" s="4917"/>
      <c r="AI129" s="4917"/>
      <c r="AJ129" s="4939"/>
      <c r="AK129" s="4940"/>
      <c r="AL129" s="375"/>
      <c r="AM129" s="960"/>
      <c r="AN129" s="960"/>
      <c r="AO129" s="1048" cm="1" t="str">
        <f t="array" ref="AO129:AO129">K129</f>
        <v>2071</v>
      </c>
      <c r="AP129" s="960"/>
      <c r="AQ129" s="960"/>
    </row>
    <row s="4977" customFormat="1" customHeight="1" ht="14.25" hidden="1">
      <c r="A130" s="960"/>
      <c r="B130" s="418">
        <f>K130&lt;first_year+PERIOD_LENGTH</f>
        <v>0</v>
      </c>
      <c r="C130" s="960"/>
      <c r="D130" s="960"/>
      <c r="E130" s="683">
        <v>15</v>
      </c>
      <c r="F130" s="50" cm="1" t="str">
        <f t="array" ref="F130:F130">OFFSET(E130,-1,1)</f>
        <v>1</v>
      </c>
      <c r="G130" s="960"/>
      <c r="H130" s="960"/>
      <c r="I130" s="960"/>
      <c r="J130" s="960"/>
      <c r="K130" s="124">
        <f>first_year+48</f>
        <v>2072</v>
      </c>
      <c r="L130" s="960"/>
      <c r="M130" s="960"/>
      <c r="N130" s="960"/>
      <c r="O130" s="960"/>
      <c r="P130" s="960"/>
      <c r="Q130" s="960"/>
      <c r="R130" s="960"/>
      <c r="S130" s="960"/>
      <c r="T130" s="439" cm="1" t="str">
        <f t="array" ref="T130:T130">T129</f>
        <v>true</v>
      </c>
      <c r="U130" s="960"/>
      <c r="V130" s="960"/>
      <c r="W130" s="960"/>
      <c r="X130" s="1482"/>
      <c r="Y130" s="960"/>
      <c r="Z130" s="1465"/>
      <c r="AA130" s="960"/>
      <c r="AB130" s="222" t="str">
        <f>K130&amp;" год"</f>
        <v>2072 год</v>
      </c>
      <c r="AC130" s="4912"/>
      <c r="AD130" s="4917"/>
      <c r="AE130" s="4918"/>
      <c r="AF130" s="4918"/>
      <c r="AG130" s="4917"/>
      <c r="AH130" s="4917"/>
      <c r="AI130" s="4917"/>
      <c r="AJ130" s="4939"/>
      <c r="AK130" s="4940"/>
      <c r="AL130" s="375"/>
      <c r="AM130" s="960"/>
      <c r="AN130" s="960"/>
      <c r="AO130" s="1048" cm="1" t="str">
        <f t="array" ref="AO130:AO130">K130</f>
        <v>2072</v>
      </c>
      <c r="AP130" s="960"/>
      <c r="AQ130" s="960"/>
    </row>
    <row s="4978" customFormat="1" customHeight="1" ht="14.25" hidden="1">
      <c r="A131" s="960"/>
      <c r="B131" s="418">
        <f>K131&lt;first_year+PERIOD_LENGTH</f>
        <v>0</v>
      </c>
      <c r="C131" s="960"/>
      <c r="D131" s="960"/>
      <c r="E131" s="683">
        <v>15</v>
      </c>
      <c r="F131" s="50" cm="1" t="str">
        <f t="array" ref="F131:F131">OFFSET(E131,-1,1)</f>
        <v>1</v>
      </c>
      <c r="G131" s="960"/>
      <c r="H131" s="960"/>
      <c r="I131" s="960"/>
      <c r="J131" s="960"/>
      <c r="K131" s="124">
        <f>first_year+49</f>
        <v>2073</v>
      </c>
      <c r="L131" s="960"/>
      <c r="M131" s="960"/>
      <c r="N131" s="960"/>
      <c r="O131" s="960"/>
      <c r="P131" s="960"/>
      <c r="Q131" s="960"/>
      <c r="R131" s="960"/>
      <c r="S131" s="960"/>
      <c r="T131" s="439" cm="1" t="str">
        <f t="array" ref="T131:T131">T130</f>
        <v>true</v>
      </c>
      <c r="U131" s="960"/>
      <c r="V131" s="960"/>
      <c r="W131" s="960"/>
      <c r="X131" s="1482"/>
      <c r="Y131" s="960"/>
      <c r="Z131" s="1465"/>
      <c r="AA131" s="960"/>
      <c r="AB131" s="222" t="str">
        <f>K131&amp;" год"</f>
        <v>2073 год</v>
      </c>
      <c r="AC131" s="4912"/>
      <c r="AD131" s="4917"/>
      <c r="AE131" s="4918"/>
      <c r="AF131" s="4918"/>
      <c r="AG131" s="4917"/>
      <c r="AH131" s="4917"/>
      <c r="AI131" s="4917"/>
      <c r="AJ131" s="4939"/>
      <c r="AK131" s="4940"/>
      <c r="AL131" s="375"/>
      <c r="AM131" s="960"/>
      <c r="AN131" s="960"/>
      <c r="AO131" s="1048" cm="1" t="str">
        <f t="array" ref="AO131:AO131">K131</f>
        <v>2073</v>
      </c>
      <c r="AP131" s="960"/>
      <c r="AQ131" s="960"/>
    </row>
    <row s="4979" customFormat="1" customHeight="1" ht="14.25">
      <c r="A132" s="1153"/>
      <c r="B132" s="401"/>
      <c r="C132" s="1153"/>
      <c r="D132" s="1153"/>
      <c r="E132" s="597">
        <v>15</v>
      </c>
      <c r="F132" s="64" cm="1" t="str">
        <f t="array" ref="F132:F132">X132</f>
        <v>2</v>
      </c>
      <c r="G132" s="1153"/>
      <c r="H132" s="1153"/>
      <c r="I132" s="1153"/>
      <c r="J132" s="1153"/>
      <c r="K132" s="1153"/>
      <c r="L132" s="1153"/>
      <c r="M132" s="1153"/>
      <c r="N132" s="1153"/>
      <c r="O132" s="1153"/>
      <c r="P132" s="1153"/>
      <c r="Q132" s="1153"/>
      <c r="R132" s="1153"/>
      <c r="S132" s="1153"/>
      <c r="T132" s="439">
        <f>X132&gt;0</f>
        <v>1</v>
      </c>
      <c r="U132" s="1153"/>
      <c r="V132" s="88" cm="1" t="str">
        <f t="array" ref="V132:V132">'Калькуляция (МИ корр)'!$AB$315</f>
        <v>Тариф 2 (Водоотведение) - тариф на водоотведение (Оказание услуг на территории: Прокопьевский муниципальный округ (ОКТМО: 32522000) - п Калачево)</v>
      </c>
      <c r="W132" s="1153"/>
      <c r="X132" s="1482" t="s">
        <v>283</v>
      </c>
      <c r="Y132" s="1153"/>
      <c r="Z132" s="1465"/>
      <c r="AA132" s="1153"/>
      <c r="AB132" s="348" cm="1" t="str">
        <f t="array" ref="AB132:AB132">'Калькуляция (МИ корр)'!$AB$315</f>
        <v>Тариф 2 (Водоотведение) - тариф на водоотведение (Оказание услуг на территории: Прокопьевский муниципальный округ (ОКТМО: 32522000) - п Калачево)</v>
      </c>
      <c r="AC132" s="813"/>
      <c r="AD132" s="813"/>
      <c r="AE132" s="813"/>
      <c r="AF132" s="813"/>
      <c r="AG132" s="813"/>
      <c r="AH132" s="813"/>
      <c r="AI132" s="813"/>
      <c r="AJ132" s="813"/>
      <c r="AK132" s="813"/>
      <c r="AL132" s="374"/>
      <c r="AM132" s="1153"/>
      <c r="AN132" s="1153"/>
      <c r="AO132" s="980"/>
      <c r="AP132" s="1153"/>
      <c r="AQ132" s="1153"/>
    </row>
    <row s="4980" customFormat="1" customHeight="1" ht="14.625">
      <c r="A133" s="960"/>
      <c r="B133" s="418">
        <f>K133&lt;first_year+PERIOD_LENGTH</f>
        <v>1</v>
      </c>
      <c r="C133" s="960"/>
      <c r="D133" s="960"/>
      <c r="E133" s="683">
        <v>15</v>
      </c>
      <c r="F133" s="50" cm="1" t="str">
        <f t="array" ref="F133:F133">OFFSET(E133,-1,1)</f>
        <v>2</v>
      </c>
      <c r="G133" s="960"/>
      <c r="H133" s="960"/>
      <c r="I133" s="960"/>
      <c r="J133" s="960"/>
      <c r="K133" s="124" cm="1" t="str">
        <f t="array" ref="K133:K133">first_year</f>
        <v>2024</v>
      </c>
      <c r="L133" s="960"/>
      <c r="M133" s="960"/>
      <c r="N133" s="960"/>
      <c r="O133" s="960"/>
      <c r="P133" s="960"/>
      <c r="Q133" s="960"/>
      <c r="R133" s="960"/>
      <c r="S133" s="960"/>
      <c r="T133" s="439" cm="1" t="str">
        <f t="array" ref="T133:T133">T132</f>
        <v>true</v>
      </c>
      <c r="U133" s="960"/>
      <c r="V133" s="960"/>
      <c r="W133" s="960"/>
      <c r="X133" s="1482"/>
      <c r="Y133" s="960"/>
      <c r="Z133" s="1465"/>
      <c r="AA133" s="960"/>
      <c r="AB133" s="814" t="str">
        <f>K133&amp;" год"</f>
        <v>2024 год</v>
      </c>
      <c r="AC133" s="903">
        <v>4583.5759804545</v>
      </c>
      <c r="AD133" s="816">
        <f>_xlfn.IFERROR(_xlfn.SUMIFS(INDEX(Сценарии!$AE$25:$BF$109,,MATCH($K133&amp;"Принято органом регулирования",Сценарии!$AE$8:$BF$8,0)),Сценарии!$F$25:$F$109,$F133,Сценарии!$AC$25:$AC$109,"Индекс эффективности операционных расходов"),0)</f>
        <v>0</v>
      </c>
      <c r="AE133" s="815"/>
      <c r="AF133" s="815">
        <f>_xlfn.IFERROR(_xlfn.SUMIFS(INDEX(Баланс!$AE$25:$BB$300,,MATCH($K133&amp;"Принято органом регулирования",Баланс!$AE$8:$BB$8,0)),Баланс!$F$25:$F$300,$F133,Баланс!$AC$24:$AC$300,"Уровень потерь воды"),0)</f>
        <v>0</v>
      </c>
      <c r="AG133" s="1291">
        <v>1.4289246934</v>
      </c>
      <c r="AH133" s="4926"/>
      <c r="AI133" s="4926"/>
      <c r="AJ133" s="816">
        <f>_xlfn.IFERROR(_xlfn.SUMIFS(INDEX(Electricity_LOAD_1,,MATCH($K133&amp;"Принято органом регулирования",ЭЭ!$AE$8:$BB$8,0)),ЭЭ!$F$25:$F$93,$F133,ЭЭ!$AC$25:$AC$93,"Удельный расход электроэнергии"),0)</f>
        <v>1.42892469336637</v>
      </c>
      <c r="AK133" s="816">
        <f>_xlfn.IFERROR(_xlfn.SUMIFS(INDEX(Electricity_LOAD_1,,MATCH($K133&amp;"Принято органом регулирования",ЭЭ!$AE$8:$BB$8,0)),ЭЭ!$F$25:$F$93,$F133,ЭЭ!$AC$25:$AC$93,"Удельный расход электроэнергии"),0)</f>
        <v>1.42892469336637</v>
      </c>
      <c r="AL133" s="375"/>
      <c r="AM133" s="124">
        <f>ROUND(_xlfn.IFERROR(_xlfn.SUMIFS(INDEX(Electricity_LOAD_1,,MATCH($K133&amp;"Принято органом регулирования",ЭЭ!$AE$8:$BB$8,0)),ЭЭ!$F$25:$F$93,$F133,ЭЭ!$AC$25:$AC$93,"Удельный расход электроэнергии"),0),3)=ROUND(SUM(AH133:AK133),3)</f>
        <v>0</v>
      </c>
      <c r="AN133" s="960"/>
      <c r="AO133" s="1048" cm="1" t="str">
        <f t="array" ref="AO133:AO133">K133</f>
        <v>2024</v>
      </c>
      <c r="AP133" s="960"/>
      <c r="AQ133" s="960"/>
    </row>
    <row s="4981" customFormat="1" customHeight="1" ht="14.625">
      <c r="A134" s="960"/>
      <c r="B134" s="418">
        <f>K134&lt;first_year+PERIOD_LENGTH</f>
        <v>1</v>
      </c>
      <c r="C134" s="960"/>
      <c r="D134" s="960"/>
      <c r="E134" s="683">
        <v>15</v>
      </c>
      <c r="F134" s="50" cm="1" t="str">
        <f t="array" ref="F134:F134">OFFSET(E134,-1,1)</f>
        <v>2</v>
      </c>
      <c r="G134" s="960"/>
      <c r="H134" s="960"/>
      <c r="I134" s="960"/>
      <c r="J134" s="960"/>
      <c r="K134" s="124">
        <f>first_year+1</f>
        <v>2025</v>
      </c>
      <c r="L134" s="960"/>
      <c r="M134" s="960"/>
      <c r="N134" s="960"/>
      <c r="O134" s="960"/>
      <c r="P134" s="960"/>
      <c r="Q134" s="960"/>
      <c r="R134" s="960"/>
      <c r="S134" s="960"/>
      <c r="T134" s="439" cm="1" t="str">
        <f t="array" ref="T134:T134">T133</f>
        <v>true</v>
      </c>
      <c r="U134" s="960"/>
      <c r="V134" s="960"/>
      <c r="W134" s="960"/>
      <c r="X134" s="1482"/>
      <c r="Y134" s="960"/>
      <c r="Z134" s="1465"/>
      <c r="AA134" s="960"/>
      <c r="AB134" s="814" t="str">
        <f>K134&amp;" год"</f>
        <v>2025 год</v>
      </c>
      <c r="AC134" s="815"/>
      <c r="AD134" s="816">
        <v>1</v>
      </c>
      <c r="AE134" s="815"/>
      <c r="AF134" s="815">
        <f>_xlfn.IFERROR(_xlfn.SUMIFS(INDEX(Баланс!$AE$25:$BB$300,,MATCH($K134&amp;"Принято органом регулирования",Баланс!$AE$8:$BB$8,0)),Баланс!$F$25:$F$300,$F134,Баланс!$AC$24:$AC$300,"Уровень потерь воды"),0)</f>
        <v>0</v>
      </c>
      <c r="AG134" s="1291">
        <v>1.4289246934</v>
      </c>
      <c r="AH134" s="4926"/>
      <c r="AI134" s="4926"/>
      <c r="AJ134" s="816">
        <f>_xlfn.IFERROR(_xlfn.SUMIFS(INDEX(Electricity_LOAD_1,,MATCH($K134&amp;"Принято органом регулирования",ЭЭ!$AE$8:$BB$8,0)),ЭЭ!$F$25:$F$93,$F134,ЭЭ!$AC$25:$AC$93,"Удельный расход электроэнергии"),0)</f>
        <v>1.42892469336616</v>
      </c>
      <c r="AK134" s="816">
        <f>_xlfn.IFERROR(_xlfn.SUMIFS(INDEX(Electricity_LOAD_1,,MATCH($K134&amp;"Принято органом регулирования",ЭЭ!$AE$8:$BB$8,0)),ЭЭ!$F$25:$F$93,$F134,ЭЭ!$AC$25:$AC$93,"Удельный расход электроэнергии"),0)</f>
        <v>1.42892469336616</v>
      </c>
      <c r="AL134" s="375"/>
      <c r="AM134" s="124">
        <f>ROUND(_xlfn.IFERROR(_xlfn.SUMIFS(INDEX(Electricity_LOAD_1,,MATCH($K134&amp;"Принято органом регулирования",ЭЭ!$AE$8:$BB$8,0)),ЭЭ!$F$25:$F$93,$F134,ЭЭ!$AC$25:$AC$93,"Удельный расход электроэнергии"),0),3)=ROUND(SUM(AH134:AK134),3)</f>
        <v>0</v>
      </c>
      <c r="AN134" s="960"/>
      <c r="AO134" s="1048" cm="1" t="str">
        <f t="array" ref="AO134:AO134">K134</f>
        <v>2025</v>
      </c>
      <c r="AP134" s="960"/>
      <c r="AQ134" s="960"/>
    </row>
    <row s="4982" customFormat="1" customHeight="1" ht="14.625">
      <c r="A135" s="960"/>
      <c r="B135" s="418">
        <f>K135&lt;first_year+PERIOD_LENGTH</f>
        <v>1</v>
      </c>
      <c r="C135" s="960"/>
      <c r="D135" s="960"/>
      <c r="E135" s="683">
        <v>15</v>
      </c>
      <c r="F135" s="50" cm="1" t="str">
        <f t="array" ref="F135:F135">OFFSET(E135,-1,1)</f>
        <v>2</v>
      </c>
      <c r="G135" s="960"/>
      <c r="H135" s="960"/>
      <c r="I135" s="960"/>
      <c r="J135" s="960"/>
      <c r="K135" s="124">
        <f>first_year+2</f>
        <v>2026</v>
      </c>
      <c r="L135" s="960"/>
      <c r="M135" s="960"/>
      <c r="N135" s="960"/>
      <c r="O135" s="960"/>
      <c r="P135" s="960"/>
      <c r="Q135" s="960"/>
      <c r="R135" s="960"/>
      <c r="S135" s="960"/>
      <c r="T135" s="439" cm="1" t="str">
        <f t="array" ref="T135:T135">T134</f>
        <v>true</v>
      </c>
      <c r="U135" s="960"/>
      <c r="V135" s="960"/>
      <c r="W135" s="960"/>
      <c r="X135" s="1482"/>
      <c r="Y135" s="960"/>
      <c r="Z135" s="1465"/>
      <c r="AA135" s="960"/>
      <c r="AB135" s="814" t="str">
        <f>K135&amp;" год"</f>
        <v>2026 год</v>
      </c>
      <c r="AC135" s="815"/>
      <c r="AD135" s="816">
        <v>1</v>
      </c>
      <c r="AE135" s="815"/>
      <c r="AF135" s="815">
        <f>_xlfn.IFERROR(_xlfn.SUMIFS(INDEX(Баланс!$AE$25:$BB$300,,MATCH($K135&amp;"Принято органом регулирования",Баланс!$AE$8:$BB$8,0)),Баланс!$F$25:$F$300,$F135,Баланс!$AC$24:$AC$300,"Уровень потерь воды"),0)</f>
        <v>0</v>
      </c>
      <c r="AG135" s="1291">
        <v>1.4289246934</v>
      </c>
      <c r="AH135" s="4926"/>
      <c r="AI135" s="4926"/>
      <c r="AJ135" s="816">
        <f>_xlfn.IFERROR(_xlfn.SUMIFS(INDEX(Electricity_LOAD_1,,MATCH($K135&amp;"Принято органом регулирования",ЭЭ!$AE$8:$BB$8,0)),ЭЭ!$F$25:$F$93,$F135,ЭЭ!$AC$25:$AC$93,"Удельный расход электроэнергии"),0)</f>
        <v>1.42892469336593</v>
      </c>
      <c r="AK135" s="816">
        <f>_xlfn.IFERROR(_xlfn.SUMIFS(INDEX(Electricity_LOAD_1,,MATCH($K135&amp;"Принято органом регулирования",ЭЭ!$AE$8:$BB$8,0)),ЭЭ!$F$25:$F$93,$F135,ЭЭ!$AC$25:$AC$93,"Удельный расход электроэнергии"),0)</f>
        <v>1.42892469336593</v>
      </c>
      <c r="AL135" s="375"/>
      <c r="AM135" s="124">
        <f>ROUND(_xlfn.IFERROR(_xlfn.SUMIFS(INDEX(Electricity_LOAD_1,,MATCH($K135&amp;"Принято органом регулирования",ЭЭ!$AE$8:$BB$8,0)),ЭЭ!$F$25:$F$93,$F135,ЭЭ!$AC$25:$AC$93,"Удельный расход электроэнергии"),0),3)=ROUND(SUM(AH135:AK135),3)</f>
        <v>0</v>
      </c>
      <c r="AN135" s="960"/>
      <c r="AO135" s="1048" cm="1" t="str">
        <f t="array" ref="AO135:AO135">K135</f>
        <v>2026</v>
      </c>
      <c r="AP135" s="960"/>
      <c r="AQ135" s="960"/>
    </row>
    <row s="4983" customFormat="1" customHeight="1" ht="14.625">
      <c r="A136" s="960"/>
      <c r="B136" s="418">
        <f>K136&lt;first_year+PERIOD_LENGTH</f>
        <v>1</v>
      </c>
      <c r="C136" s="960"/>
      <c r="D136" s="960"/>
      <c r="E136" s="683">
        <v>15</v>
      </c>
      <c r="F136" s="50" cm="1" t="str">
        <f t="array" ref="F136:F136">OFFSET(E136,-1,1)</f>
        <v>2</v>
      </c>
      <c r="G136" s="960"/>
      <c r="H136" s="960"/>
      <c r="I136" s="960"/>
      <c r="J136" s="960"/>
      <c r="K136" s="124">
        <f>first_year+3</f>
        <v>2027</v>
      </c>
      <c r="L136" s="960"/>
      <c r="M136" s="960"/>
      <c r="N136" s="960"/>
      <c r="O136" s="960"/>
      <c r="P136" s="960"/>
      <c r="Q136" s="960"/>
      <c r="R136" s="960"/>
      <c r="S136" s="960"/>
      <c r="T136" s="439" cm="1" t="str">
        <f t="array" ref="T136:T136">T135</f>
        <v>true</v>
      </c>
      <c r="U136" s="960"/>
      <c r="V136" s="960"/>
      <c r="W136" s="960"/>
      <c r="X136" s="1482"/>
      <c r="Y136" s="960"/>
      <c r="Z136" s="1465"/>
      <c r="AA136" s="960"/>
      <c r="AB136" s="814" t="str">
        <f>K136&amp;" год"</f>
        <v>2027 год</v>
      </c>
      <c r="AC136" s="815"/>
      <c r="AD136" s="816">
        <v>1</v>
      </c>
      <c r="AE136" s="815"/>
      <c r="AF136" s="815">
        <f>_xlfn.IFERROR(_xlfn.SUMIFS(INDEX(Баланс!$AE$25:$BB$300,,MATCH($K136&amp;"Принято органом регулирования",Баланс!$AE$8:$BB$8,0)),Баланс!$F$25:$F$300,$F136,Баланс!$AC$24:$AC$300,"Уровень потерь воды"),0)</f>
        <v>0</v>
      </c>
      <c r="AG136" s="1291">
        <v>1.4289246934</v>
      </c>
      <c r="AH136" s="4926"/>
      <c r="AI136" s="4926"/>
      <c r="AJ136" s="816">
        <f>_xlfn.IFERROR(_xlfn.SUMIFS(INDEX(Electricity_LOAD_1,,MATCH($K136&amp;"Принято органом регулирования",ЭЭ!$AE$8:$BB$8,0)),ЭЭ!$F$25:$F$93,$F136,ЭЭ!$AC$25:$AC$93,"Удельный расход электроэнергии"),0)</f>
        <v>0</v>
      </c>
      <c r="AK136" s="816">
        <f>_xlfn.IFERROR(_xlfn.SUMIFS(INDEX(Electricity_LOAD_1,,MATCH($K136&amp;"Принято органом регулирования",ЭЭ!$AE$8:$BB$8,0)),ЭЭ!$F$25:$F$93,$F136,ЭЭ!$AC$25:$AC$93,"Удельный расход электроэнергии"),0)</f>
        <v>0</v>
      </c>
      <c r="AL136" s="375"/>
      <c r="AM136" s="124">
        <f>ROUND(_xlfn.IFERROR(_xlfn.SUMIFS(INDEX(Electricity_LOAD_1,,MATCH($K136&amp;"Принято органом регулирования",ЭЭ!$AE$8:$BB$8,0)),ЭЭ!$F$25:$F$93,$F136,ЭЭ!$AC$25:$AC$93,"Удельный расход электроэнергии"),0),3)=ROUND(SUM(AH136:AK136),3)</f>
        <v>1</v>
      </c>
      <c r="AN136" s="960"/>
      <c r="AO136" s="1048" cm="1" t="str">
        <f t="array" ref="AO136:AO136">K136</f>
        <v>2027</v>
      </c>
      <c r="AP136" s="960"/>
      <c r="AQ136" s="960"/>
    </row>
    <row s="4984" customFormat="1" customHeight="1" ht="14.625">
      <c r="A137" s="960"/>
      <c r="B137" s="418">
        <f>K137&lt;first_year+PERIOD_LENGTH</f>
        <v>1</v>
      </c>
      <c r="C137" s="960"/>
      <c r="D137" s="960"/>
      <c r="E137" s="683">
        <v>15</v>
      </c>
      <c r="F137" s="50" cm="1" t="str">
        <f t="array" ref="F137:F137">OFFSET(E137,-1,1)</f>
        <v>2</v>
      </c>
      <c r="G137" s="960"/>
      <c r="H137" s="960"/>
      <c r="I137" s="960"/>
      <c r="J137" s="960"/>
      <c r="K137" s="124">
        <f>first_year+4</f>
        <v>2028</v>
      </c>
      <c r="L137" s="960"/>
      <c r="M137" s="960"/>
      <c r="N137" s="960"/>
      <c r="O137" s="960"/>
      <c r="P137" s="960"/>
      <c r="Q137" s="960"/>
      <c r="R137" s="960"/>
      <c r="S137" s="960"/>
      <c r="T137" s="439" cm="1" t="str">
        <f t="array" ref="T137:T137">T136</f>
        <v>true</v>
      </c>
      <c r="U137" s="960"/>
      <c r="V137" s="960"/>
      <c r="W137" s="960"/>
      <c r="X137" s="1482"/>
      <c r="Y137" s="960"/>
      <c r="Z137" s="1465"/>
      <c r="AA137" s="960"/>
      <c r="AB137" s="814" t="str">
        <f>K137&amp;" год"</f>
        <v>2028 год</v>
      </c>
      <c r="AC137" s="815"/>
      <c r="AD137" s="816">
        <v>1</v>
      </c>
      <c r="AE137" s="815"/>
      <c r="AF137" s="815">
        <f>_xlfn.IFERROR(_xlfn.SUMIFS(INDEX(Баланс!$AE$25:$BB$300,,MATCH($K137&amp;"Принято органом регулирования",Баланс!$AE$8:$BB$8,0)),Баланс!$F$25:$F$300,$F137,Баланс!$AC$24:$AC$300,"Уровень потерь воды"),0)</f>
        <v>0</v>
      </c>
      <c r="AG137" s="1291">
        <v>1.4289246934</v>
      </c>
      <c r="AH137" s="4926"/>
      <c r="AI137" s="4926"/>
      <c r="AJ137" s="816">
        <f>_xlfn.IFERROR(_xlfn.SUMIFS(INDEX(Electricity_LOAD_1,,MATCH($K137&amp;"Принято органом регулирования",ЭЭ!$AE$8:$BB$8,0)),ЭЭ!$F$25:$F$93,$F137,ЭЭ!$AC$25:$AC$93,"Удельный расход электроэнергии"),0)</f>
        <v>0</v>
      </c>
      <c r="AK137" s="816">
        <f>_xlfn.IFERROR(_xlfn.SUMIFS(INDEX(Electricity_LOAD_1,,MATCH($K137&amp;"Принято органом регулирования",ЭЭ!$AE$8:$BB$8,0)),ЭЭ!$F$25:$F$93,$F137,ЭЭ!$AC$25:$AC$93,"Удельный расход электроэнергии"),0)</f>
        <v>0</v>
      </c>
      <c r="AL137" s="375"/>
      <c r="AM137" s="124">
        <f>ROUND(_xlfn.IFERROR(_xlfn.SUMIFS(INDEX(Electricity_LOAD_1,,MATCH($K137&amp;"Принято органом регулирования",ЭЭ!$AE$8:$BB$8,0)),ЭЭ!$F$25:$F$93,$F137,ЭЭ!$AC$25:$AC$93,"Удельный расход электроэнергии"),0),3)=ROUND(SUM(AH137:AK137),3)</f>
        <v>1</v>
      </c>
      <c r="AN137" s="960"/>
      <c r="AO137" s="1048" cm="1" t="str">
        <f t="array" ref="AO137:AO137">K137</f>
        <v>2028</v>
      </c>
      <c r="AP137" s="960"/>
      <c r="AQ137" s="960"/>
    </row>
    <row s="4985" customFormat="1" customHeight="1" ht="14.25" hidden="1">
      <c r="A138" s="960"/>
      <c r="B138" s="418">
        <f>K138&lt;first_year+PERIOD_LENGTH</f>
        <v>0</v>
      </c>
      <c r="C138" s="960"/>
      <c r="D138" s="960"/>
      <c r="E138" s="683">
        <v>15</v>
      </c>
      <c r="F138" s="50" cm="1" t="str">
        <f t="array" ref="F138:F138">OFFSET(E138,-1,1)</f>
        <v>2</v>
      </c>
      <c r="G138" s="960"/>
      <c r="H138" s="960"/>
      <c r="I138" s="960"/>
      <c r="J138" s="960"/>
      <c r="K138" s="124">
        <f>first_year+5</f>
        <v>2029</v>
      </c>
      <c r="L138" s="960"/>
      <c r="M138" s="960"/>
      <c r="N138" s="960"/>
      <c r="O138" s="960"/>
      <c r="P138" s="960"/>
      <c r="Q138" s="960"/>
      <c r="R138" s="960"/>
      <c r="S138" s="960"/>
      <c r="T138" s="439" cm="1" t="str">
        <f t="array" ref="T138:T138">T137</f>
        <v>true</v>
      </c>
      <c r="U138" s="960"/>
      <c r="V138" s="960"/>
      <c r="W138" s="960"/>
      <c r="X138" s="1482"/>
      <c r="Y138" s="960"/>
      <c r="Z138" s="1465"/>
      <c r="AA138" s="960"/>
      <c r="AB138" s="814" t="str">
        <f>K138&amp;" год"</f>
        <v>2029 год</v>
      </c>
      <c r="AC138" s="4912"/>
      <c r="AD138" s="4911">
        <f>_xlfn.IFERROR(_xlfn.SUMIFS(INDEX(Сценарии!$AE$25:$BF$109,,MATCH($K138&amp;"Принято органом регулирования",Сценарии!$AE$8:$BF$8,0)),Сценарии!$F$25:$F$109,$F138,Сценарии!$AC$25:$AC$109,"Индекс эффективности операционных расходов"),0)</f>
        <v>0</v>
      </c>
      <c r="AE138" s="4912"/>
      <c r="AF138" s="4912">
        <f>_xlfn.IFERROR(_xlfn.SUMIFS(INDEX(Баланс!$AE$25:$BB$300,,MATCH($K138&amp;"Принято органом регулирования",Баланс!$AE$8:$BB$8,0)),Баланс!$F$25:$F$300,$F138,Баланс!$AC$24:$AC$300,"Уровень потерь воды"),0)</f>
        <v>0</v>
      </c>
      <c r="AG138" s="4913">
        <f>_xlfn.IFERROR(_xlfn.SUMIFS(INDEX(Electricity_LOAD_1,,MATCH($K138&amp;"Принято органом регулирования",ЭЭ!$AE$8:$BB$8,0)),ЭЭ!$F$25:$F$93,$F138,ЭЭ!$AC$25:$AC$93,"Удельный расход электроэнергии"),0)</f>
        <v>0</v>
      </c>
      <c r="AH138" s="4926"/>
      <c r="AI138" s="4926"/>
      <c r="AJ138" s="4911">
        <f>_xlfn.IFERROR(_xlfn.SUMIFS(INDEX(Electricity_LOAD_1,,MATCH($K138&amp;"Принято органом регулирования",ЭЭ!$AE$8:$BB$8,0)),ЭЭ!$F$25:$F$93,$F138,ЭЭ!$AC$25:$AC$93,"Удельный расход электроэнергии"),0)</f>
        <v>0</v>
      </c>
      <c r="AK138" s="4911">
        <f>_xlfn.IFERROR(_xlfn.SUMIFS(INDEX(Electricity_LOAD_1,,MATCH($K138&amp;"Принято органом регулирования",ЭЭ!$AE$8:$BB$8,0)),ЭЭ!$F$25:$F$93,$F138,ЭЭ!$AC$25:$AC$93,"Удельный расход электроэнергии"),0)</f>
        <v>0</v>
      </c>
      <c r="AL138" s="375"/>
      <c r="AM138" s="124">
        <f>ROUND(_xlfn.IFERROR(_xlfn.SUMIFS(INDEX(Electricity_LOAD_1,,MATCH($K138&amp;"Принято органом регулирования",ЭЭ!$AE$8:$BB$8,0)),ЭЭ!$F$25:$F$93,$F138,ЭЭ!$AC$25:$AC$93,"Удельный расход электроэнергии"),0),3)=ROUND(SUM(AH138:AK138),3)</f>
        <v>1</v>
      </c>
      <c r="AN138" s="960"/>
      <c r="AO138" s="1048" cm="1" t="str">
        <f t="array" ref="AO138:AO138">K138</f>
        <v>2029</v>
      </c>
      <c r="AP138" s="960"/>
      <c r="AQ138" s="960"/>
    </row>
    <row s="4986" customFormat="1" customHeight="1" ht="14.25" hidden="1">
      <c r="A139" s="960"/>
      <c r="B139" s="418">
        <f>K139&lt;first_year+PERIOD_LENGTH</f>
        <v>0</v>
      </c>
      <c r="C139" s="960"/>
      <c r="D139" s="960"/>
      <c r="E139" s="683">
        <v>15</v>
      </c>
      <c r="F139" s="50" cm="1" t="str">
        <f t="array" ref="F139:F139">OFFSET(E139,-1,1)</f>
        <v>2</v>
      </c>
      <c r="G139" s="960"/>
      <c r="H139" s="960"/>
      <c r="I139" s="960"/>
      <c r="J139" s="960"/>
      <c r="K139" s="124">
        <f>first_year+6</f>
        <v>2030</v>
      </c>
      <c r="L139" s="960"/>
      <c r="M139" s="960"/>
      <c r="N139" s="960"/>
      <c r="O139" s="960"/>
      <c r="P139" s="960"/>
      <c r="Q139" s="960"/>
      <c r="R139" s="960"/>
      <c r="S139" s="960"/>
      <c r="T139" s="439" cm="1" t="str">
        <f t="array" ref="T139:T139">T138</f>
        <v>true</v>
      </c>
      <c r="U139" s="960"/>
      <c r="V139" s="960"/>
      <c r="W139" s="960"/>
      <c r="X139" s="1482"/>
      <c r="Y139" s="960"/>
      <c r="Z139" s="1465"/>
      <c r="AA139" s="960"/>
      <c r="AB139" s="814" t="str">
        <f>K139&amp;" год"</f>
        <v>2030 год</v>
      </c>
      <c r="AC139" s="4912"/>
      <c r="AD139" s="4911">
        <f>_xlfn.IFERROR(_xlfn.SUMIFS(INDEX(Сценарии!$AE$25:$BF$109,,MATCH($K139&amp;"Принято органом регулирования",Сценарии!$AE$8:$BF$8,0)),Сценарии!$F$25:$F$109,$F139,Сценарии!$AC$25:$AC$109,"Индекс эффективности операционных расходов"),0)</f>
        <v>0</v>
      </c>
      <c r="AE139" s="4912"/>
      <c r="AF139" s="4912">
        <f>_xlfn.IFERROR(_xlfn.SUMIFS(INDEX(Баланс!$AE$25:$BB$300,,MATCH($K139&amp;"Принято органом регулирования",Баланс!$AE$8:$BB$8,0)),Баланс!$F$25:$F$300,$F139,Баланс!$AC$24:$AC$300,"Уровень потерь воды"),0)</f>
        <v>0</v>
      </c>
      <c r="AG139" s="4913">
        <f>_xlfn.IFERROR(_xlfn.SUMIFS(INDEX(Electricity_LOAD_1,,MATCH($K139&amp;"Принято органом регулирования",ЭЭ!$AE$8:$BB$8,0)),ЭЭ!$F$25:$F$93,$F139,ЭЭ!$AC$25:$AC$93,"Удельный расход электроэнергии"),0)</f>
        <v>0</v>
      </c>
      <c r="AH139" s="4926"/>
      <c r="AI139" s="4926"/>
      <c r="AJ139" s="4911">
        <f>_xlfn.IFERROR(_xlfn.SUMIFS(INDEX(Electricity_LOAD_1,,MATCH($K139&amp;"Принято органом регулирования",ЭЭ!$AE$8:$BB$8,0)),ЭЭ!$F$25:$F$93,$F139,ЭЭ!$AC$25:$AC$93,"Удельный расход электроэнергии"),0)</f>
        <v>0</v>
      </c>
      <c r="AK139" s="4911">
        <f>_xlfn.IFERROR(_xlfn.SUMIFS(INDEX(Electricity_LOAD_1,,MATCH($K139&amp;"Принято органом регулирования",ЭЭ!$AE$8:$BB$8,0)),ЭЭ!$F$25:$F$93,$F139,ЭЭ!$AC$25:$AC$93,"Удельный расход электроэнергии"),0)</f>
        <v>0</v>
      </c>
      <c r="AL139" s="375"/>
      <c r="AM139" s="124">
        <f>ROUND(_xlfn.IFERROR(_xlfn.SUMIFS(INDEX(Electricity_LOAD_1,,MATCH($K139&amp;"Принято органом регулирования",ЭЭ!$AE$8:$BB$8,0)),ЭЭ!$F$25:$F$93,$F139,ЭЭ!$AC$25:$AC$93,"Удельный расход электроэнергии"),0),3)=ROUND(SUM(AH139:AK139),3)</f>
        <v>1</v>
      </c>
      <c r="AN139" s="960"/>
      <c r="AO139" s="1048" cm="1" t="str">
        <f t="array" ref="AO139:AO139">K139</f>
        <v>2030</v>
      </c>
      <c r="AP139" s="960"/>
      <c r="AQ139" s="960"/>
    </row>
    <row s="4987" customFormat="1" customHeight="1" ht="14.25" hidden="1">
      <c r="A140" s="960"/>
      <c r="B140" s="418">
        <f>K140&lt;first_year+PERIOD_LENGTH</f>
        <v>0</v>
      </c>
      <c r="C140" s="960"/>
      <c r="D140" s="960"/>
      <c r="E140" s="683">
        <v>15</v>
      </c>
      <c r="F140" s="50" cm="1" t="str">
        <f t="array" ref="F140:F140">OFFSET(E140,-1,1)</f>
        <v>2</v>
      </c>
      <c r="G140" s="960"/>
      <c r="H140" s="960"/>
      <c r="I140" s="960"/>
      <c r="J140" s="960"/>
      <c r="K140" s="124">
        <f>first_year+7</f>
        <v>2031</v>
      </c>
      <c r="L140" s="960"/>
      <c r="M140" s="960"/>
      <c r="N140" s="960"/>
      <c r="O140" s="960"/>
      <c r="P140" s="960"/>
      <c r="Q140" s="960"/>
      <c r="R140" s="960"/>
      <c r="S140" s="960"/>
      <c r="T140" s="439" cm="1" t="str">
        <f t="array" ref="T140:T140">T139</f>
        <v>true</v>
      </c>
      <c r="U140" s="960"/>
      <c r="V140" s="960"/>
      <c r="W140" s="960"/>
      <c r="X140" s="1482"/>
      <c r="Y140" s="960"/>
      <c r="Z140" s="1465"/>
      <c r="AA140" s="960"/>
      <c r="AB140" s="814" t="str">
        <f>K140&amp;" год"</f>
        <v>2031 год</v>
      </c>
      <c r="AC140" s="4912"/>
      <c r="AD140" s="4911">
        <f>_xlfn.IFERROR(_xlfn.SUMIFS(INDEX(Сценарии!$AE$25:$BF$109,,MATCH($K140&amp;"Принято органом регулирования",Сценарии!$AE$8:$BF$8,0)),Сценарии!$F$25:$F$109,$F140,Сценарии!$AC$25:$AC$109,"Индекс эффективности операционных расходов"),0)</f>
        <v>0</v>
      </c>
      <c r="AE140" s="4912"/>
      <c r="AF140" s="4912">
        <f>_xlfn.IFERROR(_xlfn.SUMIFS(INDEX(Баланс!$AE$25:$BB$300,,MATCH($K140&amp;"Принято органом регулирования",Баланс!$AE$8:$BB$8,0)),Баланс!$F$25:$F$300,$F140,Баланс!$AC$24:$AC$300,"Уровень потерь воды"),0)</f>
        <v>0</v>
      </c>
      <c r="AG140" s="4913">
        <f>_xlfn.IFERROR(_xlfn.SUMIFS(INDEX(Electricity_LOAD_1,,MATCH($K140&amp;"Принято органом регулирования",ЭЭ!$AE$8:$BB$8,0)),ЭЭ!$F$25:$F$93,$F140,ЭЭ!$AC$25:$AC$93,"Удельный расход электроэнергии"),0)</f>
        <v>0</v>
      </c>
      <c r="AH140" s="4926"/>
      <c r="AI140" s="4926"/>
      <c r="AJ140" s="4911">
        <f>_xlfn.IFERROR(_xlfn.SUMIFS(INDEX(Electricity_LOAD_1,,MATCH($K140&amp;"Принято органом регулирования",ЭЭ!$AE$8:$BB$8,0)),ЭЭ!$F$25:$F$93,$F140,ЭЭ!$AC$25:$AC$93,"Удельный расход электроэнергии"),0)</f>
        <v>0</v>
      </c>
      <c r="AK140" s="4911">
        <f>_xlfn.IFERROR(_xlfn.SUMIFS(INDEX(Electricity_LOAD_1,,MATCH($K140&amp;"Принято органом регулирования",ЭЭ!$AE$8:$BB$8,0)),ЭЭ!$F$25:$F$93,$F140,ЭЭ!$AC$25:$AC$93,"Удельный расход электроэнергии"),0)</f>
        <v>0</v>
      </c>
      <c r="AL140" s="375"/>
      <c r="AM140" s="124">
        <f>ROUND(_xlfn.IFERROR(_xlfn.SUMIFS(INDEX(Electricity_LOAD_1,,MATCH($K140&amp;"Принято органом регулирования",ЭЭ!$AE$8:$BB$8,0)),ЭЭ!$F$25:$F$93,$F140,ЭЭ!$AC$25:$AC$93,"Удельный расход электроэнергии"),0),3)=ROUND(SUM(AH140:AK140),3)</f>
        <v>1</v>
      </c>
      <c r="AN140" s="960"/>
      <c r="AO140" s="1048" cm="1" t="str">
        <f t="array" ref="AO140:AO140">K140</f>
        <v>2031</v>
      </c>
      <c r="AP140" s="960"/>
      <c r="AQ140" s="960"/>
    </row>
    <row s="4988" customFormat="1" customHeight="1" ht="14.25" hidden="1">
      <c r="A141" s="960"/>
      <c r="B141" s="418">
        <f>K141&lt;first_year+PERIOD_LENGTH</f>
        <v>0</v>
      </c>
      <c r="C141" s="960"/>
      <c r="D141" s="960"/>
      <c r="E141" s="683">
        <v>15</v>
      </c>
      <c r="F141" s="50" cm="1" t="str">
        <f t="array" ref="F141:F141">OFFSET(E141,-1,1)</f>
        <v>2</v>
      </c>
      <c r="G141" s="960"/>
      <c r="H141" s="960"/>
      <c r="I141" s="960"/>
      <c r="J141" s="960"/>
      <c r="K141" s="124">
        <f>first_year+8</f>
        <v>2032</v>
      </c>
      <c r="L141" s="960"/>
      <c r="M141" s="960"/>
      <c r="N141" s="960"/>
      <c r="O141" s="960"/>
      <c r="P141" s="960"/>
      <c r="Q141" s="960"/>
      <c r="R141" s="960"/>
      <c r="S141" s="960"/>
      <c r="T141" s="439" cm="1" t="str">
        <f t="array" ref="T141:T141">T140</f>
        <v>true</v>
      </c>
      <c r="U141" s="960"/>
      <c r="V141" s="960"/>
      <c r="W141" s="960"/>
      <c r="X141" s="1482"/>
      <c r="Y141" s="960"/>
      <c r="Z141" s="1465"/>
      <c r="AA141" s="960"/>
      <c r="AB141" s="814" t="str">
        <f>K141&amp;" год"</f>
        <v>2032 год</v>
      </c>
      <c r="AC141" s="4912"/>
      <c r="AD141" s="4911">
        <f>_xlfn.IFERROR(_xlfn.SUMIFS(INDEX(Сценарии!$AE$25:$BF$109,,MATCH($K141&amp;"Принято органом регулирования",Сценарии!$AE$8:$BF$8,0)),Сценарии!$F$25:$F$109,$F141,Сценарии!$AC$25:$AC$109,"Индекс эффективности операционных расходов"),0)</f>
        <v>0</v>
      </c>
      <c r="AE141" s="4912"/>
      <c r="AF141" s="4912">
        <f>_xlfn.IFERROR(_xlfn.SUMIFS(INDEX(Баланс!$AE$25:$BB$300,,MATCH($K141&amp;"Принято органом регулирования",Баланс!$AE$8:$BB$8,0)),Баланс!$F$25:$F$300,$F141,Баланс!$AC$24:$AC$300,"Уровень потерь воды"),0)</f>
        <v>0</v>
      </c>
      <c r="AG141" s="4913">
        <f>_xlfn.IFERROR(_xlfn.SUMIFS(INDEX(Electricity_LOAD_1,,MATCH($K141&amp;"Принято органом регулирования",ЭЭ!$AE$8:$BB$8,0)),ЭЭ!$F$25:$F$93,$F141,ЭЭ!$AC$25:$AC$93,"Удельный расход электроэнергии"),0)</f>
        <v>0</v>
      </c>
      <c r="AH141" s="4926"/>
      <c r="AI141" s="4926"/>
      <c r="AJ141" s="4911">
        <f>_xlfn.IFERROR(_xlfn.SUMIFS(INDEX(Electricity_LOAD_1,,MATCH($K141&amp;"Принято органом регулирования",ЭЭ!$AE$8:$BB$8,0)),ЭЭ!$F$25:$F$93,$F141,ЭЭ!$AC$25:$AC$93,"Удельный расход электроэнергии"),0)</f>
        <v>0</v>
      </c>
      <c r="AK141" s="4911">
        <f>_xlfn.IFERROR(_xlfn.SUMIFS(INDEX(Electricity_LOAD_1,,MATCH($K141&amp;"Принято органом регулирования",ЭЭ!$AE$8:$BB$8,0)),ЭЭ!$F$25:$F$93,$F141,ЭЭ!$AC$25:$AC$93,"Удельный расход электроэнергии"),0)</f>
        <v>0</v>
      </c>
      <c r="AL141" s="375"/>
      <c r="AM141" s="124">
        <f>ROUND(_xlfn.IFERROR(_xlfn.SUMIFS(INDEX(Electricity_LOAD_1,,MATCH($K141&amp;"Принято органом регулирования",ЭЭ!$AE$8:$BB$8,0)),ЭЭ!$F$25:$F$93,$F141,ЭЭ!$AC$25:$AC$93,"Удельный расход электроэнергии"),0),3)=ROUND(SUM(AH141:AK141),3)</f>
        <v>1</v>
      </c>
      <c r="AN141" s="960"/>
      <c r="AO141" s="1048" cm="1" t="str">
        <f t="array" ref="AO141:AO141">K141</f>
        <v>2032</v>
      </c>
      <c r="AP141" s="960"/>
      <c r="AQ141" s="960"/>
    </row>
    <row s="4989" customFormat="1" customHeight="1" ht="14.25" hidden="1">
      <c r="A142" s="960"/>
      <c r="B142" s="418">
        <f>K142&lt;first_year+PERIOD_LENGTH</f>
        <v>0</v>
      </c>
      <c r="C142" s="960"/>
      <c r="D142" s="960"/>
      <c r="E142" s="683">
        <v>15</v>
      </c>
      <c r="F142" s="50" cm="1" t="str">
        <f t="array" ref="F142:F142">OFFSET(E142,-1,1)</f>
        <v>2</v>
      </c>
      <c r="G142" s="960"/>
      <c r="H142" s="960"/>
      <c r="I142" s="960"/>
      <c r="J142" s="960"/>
      <c r="K142" s="124">
        <f>first_year+9</f>
        <v>2033</v>
      </c>
      <c r="L142" s="960"/>
      <c r="M142" s="960"/>
      <c r="N142" s="960"/>
      <c r="O142" s="960"/>
      <c r="P142" s="960"/>
      <c r="Q142" s="960"/>
      <c r="R142" s="960"/>
      <c r="S142" s="960"/>
      <c r="T142" s="439" cm="1" t="str">
        <f t="array" ref="T142:T142">T141</f>
        <v>true</v>
      </c>
      <c r="U142" s="960"/>
      <c r="V142" s="960"/>
      <c r="W142" s="960"/>
      <c r="X142" s="1482"/>
      <c r="Y142" s="960"/>
      <c r="Z142" s="1465"/>
      <c r="AA142" s="960"/>
      <c r="AB142" s="814" t="str">
        <f>K142&amp;" год"</f>
        <v>2033 год</v>
      </c>
      <c r="AC142" s="4912"/>
      <c r="AD142" s="4911">
        <f>_xlfn.IFERROR(_xlfn.SUMIFS(INDEX(Сценарии!$AE$25:$BF$109,,MATCH($K142&amp;"Принято органом регулирования",Сценарии!$AE$8:$BF$8,0)),Сценарии!$F$25:$F$109,$F142,Сценарии!$AC$25:$AC$109,"Индекс эффективности операционных расходов"),0)</f>
        <v>0</v>
      </c>
      <c r="AE142" s="4912"/>
      <c r="AF142" s="4912">
        <f>_xlfn.IFERROR(_xlfn.SUMIFS(INDEX(Баланс!$AE$25:$BB$300,,MATCH($K142&amp;"Принято органом регулирования",Баланс!$AE$8:$BB$8,0)),Баланс!$F$25:$F$300,$F142,Баланс!$AC$24:$AC$300,"Уровень потерь воды"),0)</f>
        <v>0</v>
      </c>
      <c r="AG142" s="4913">
        <f>_xlfn.IFERROR(_xlfn.SUMIFS(INDEX(Electricity_LOAD_1,,MATCH($K142&amp;"Принято органом регулирования",ЭЭ!$AE$8:$BB$8,0)),ЭЭ!$F$25:$F$93,$F142,ЭЭ!$AC$25:$AC$93,"Удельный расход электроэнергии"),0)</f>
        <v>0</v>
      </c>
      <c r="AH142" s="4926"/>
      <c r="AI142" s="4926"/>
      <c r="AJ142" s="4911">
        <f>_xlfn.IFERROR(_xlfn.SUMIFS(INDEX(Electricity_LOAD_1,,MATCH($K142&amp;"Принято органом регулирования",ЭЭ!$AE$8:$BB$8,0)),ЭЭ!$F$25:$F$93,$F142,ЭЭ!$AC$25:$AC$93,"Удельный расход электроэнергии"),0)</f>
        <v>0</v>
      </c>
      <c r="AK142" s="4911">
        <f>_xlfn.IFERROR(_xlfn.SUMIFS(INDEX(Electricity_LOAD_1,,MATCH($K142&amp;"Принято органом регулирования",ЭЭ!$AE$8:$BB$8,0)),ЭЭ!$F$25:$F$93,$F142,ЭЭ!$AC$25:$AC$93,"Удельный расход электроэнергии"),0)</f>
        <v>0</v>
      </c>
      <c r="AL142" s="375"/>
      <c r="AM142" s="124">
        <f>ROUND(_xlfn.IFERROR(_xlfn.SUMIFS(INDEX(Electricity_LOAD_1,,MATCH($K142&amp;"Принято органом регулирования",ЭЭ!$AE$8:$BB$8,0)),ЭЭ!$F$25:$F$93,$F142,ЭЭ!$AC$25:$AC$93,"Удельный расход электроэнергии"),0),3)=ROUND(SUM(AH142:AK142),3)</f>
        <v>1</v>
      </c>
      <c r="AN142" s="960"/>
      <c r="AO142" s="1048" cm="1" t="str">
        <f t="array" ref="AO142:AO142">K142</f>
        <v>2033</v>
      </c>
      <c r="AP142" s="960"/>
      <c r="AQ142" s="960"/>
    </row>
    <row s="4990" customFormat="1" customHeight="1" ht="14.25" hidden="1">
      <c r="A143" s="960"/>
      <c r="B143" s="418">
        <f>K143&lt;first_year+PERIOD_LENGTH</f>
        <v>0</v>
      </c>
      <c r="C143" s="960"/>
      <c r="D143" s="960"/>
      <c r="E143" s="683">
        <v>15</v>
      </c>
      <c r="F143" s="50" cm="1" t="str">
        <f t="array" ref="F143:F143">OFFSET(E143,-1,1)</f>
        <v>2</v>
      </c>
      <c r="G143" s="960"/>
      <c r="H143" s="960"/>
      <c r="I143" s="960"/>
      <c r="J143" s="960"/>
      <c r="K143" s="124">
        <f>first_year+10</f>
        <v>2034</v>
      </c>
      <c r="L143" s="960"/>
      <c r="M143" s="960"/>
      <c r="N143" s="960"/>
      <c r="O143" s="960"/>
      <c r="P143" s="960"/>
      <c r="Q143" s="960"/>
      <c r="R143" s="960"/>
      <c r="S143" s="960"/>
      <c r="T143" s="439" cm="1" t="str">
        <f t="array" ref="T143:T143">T142</f>
        <v>true</v>
      </c>
      <c r="U143" s="960"/>
      <c r="V143" s="960"/>
      <c r="W143" s="960"/>
      <c r="X143" s="1482"/>
      <c r="Y143" s="960"/>
      <c r="Z143" s="1465"/>
      <c r="AA143" s="960"/>
      <c r="AB143" s="814" t="str">
        <f>K143&amp;" год"</f>
        <v>2034 год</v>
      </c>
      <c r="AC143" s="4912"/>
      <c r="AD143" s="4911"/>
      <c r="AE143" s="4912"/>
      <c r="AF143" s="4912"/>
      <c r="AG143" s="4911"/>
      <c r="AH143" s="4926"/>
      <c r="AI143" s="4926"/>
      <c r="AJ143" s="4911"/>
      <c r="AK143" s="4915"/>
      <c r="AL143" s="375"/>
      <c r="AM143" s="960"/>
      <c r="AN143" s="960"/>
      <c r="AO143" s="1048" cm="1" t="str">
        <f t="array" ref="AO143:AO143">K143</f>
        <v>2034</v>
      </c>
      <c r="AP143" s="960"/>
      <c r="AQ143" s="960"/>
    </row>
    <row s="4991" customFormat="1" customHeight="1" ht="14.25" hidden="1">
      <c r="A144" s="960"/>
      <c r="B144" s="418">
        <f>K144&lt;first_year+PERIOD_LENGTH</f>
        <v>0</v>
      </c>
      <c r="C144" s="960"/>
      <c r="D144" s="960"/>
      <c r="E144" s="683">
        <v>15</v>
      </c>
      <c r="F144" s="50" cm="1" t="str">
        <f t="array" ref="F144:F144">OFFSET(E144,-1,1)</f>
        <v>2</v>
      </c>
      <c r="G144" s="960"/>
      <c r="H144" s="960"/>
      <c r="I144" s="960"/>
      <c r="J144" s="960"/>
      <c r="K144" s="124">
        <f>first_year+11</f>
        <v>2035</v>
      </c>
      <c r="L144" s="960"/>
      <c r="M144" s="960"/>
      <c r="N144" s="960"/>
      <c r="O144" s="960"/>
      <c r="P144" s="960"/>
      <c r="Q144" s="960"/>
      <c r="R144" s="960"/>
      <c r="S144" s="960"/>
      <c r="T144" s="439" cm="1" t="str">
        <f t="array" ref="T144:T144">T143</f>
        <v>true</v>
      </c>
      <c r="U144" s="960"/>
      <c r="V144" s="960"/>
      <c r="W144" s="960"/>
      <c r="X144" s="1482"/>
      <c r="Y144" s="960"/>
      <c r="Z144" s="1465"/>
      <c r="AA144" s="960"/>
      <c r="AB144" s="222" t="str">
        <f>K144&amp;" год"</f>
        <v>2035 год</v>
      </c>
      <c r="AC144" s="4912"/>
      <c r="AD144" s="4917"/>
      <c r="AE144" s="4918"/>
      <c r="AF144" s="4918"/>
      <c r="AG144" s="4917"/>
      <c r="AH144" s="4939"/>
      <c r="AI144" s="4939"/>
      <c r="AJ144" s="4917"/>
      <c r="AK144" s="4919"/>
      <c r="AL144" s="375"/>
      <c r="AM144" s="960"/>
      <c r="AN144" s="960"/>
      <c r="AO144" s="1048" cm="1" t="str">
        <f t="array" ref="AO144:AO144">K144</f>
        <v>2035</v>
      </c>
      <c r="AP144" s="960"/>
      <c r="AQ144" s="960"/>
    </row>
    <row s="4992" customFormat="1" customHeight="1" ht="14.25" hidden="1">
      <c r="A145" s="960"/>
      <c r="B145" s="418">
        <f>K145&lt;first_year+PERIOD_LENGTH</f>
        <v>0</v>
      </c>
      <c r="C145" s="960"/>
      <c r="D145" s="960"/>
      <c r="E145" s="683">
        <v>15</v>
      </c>
      <c r="F145" s="50" cm="1" t="str">
        <f t="array" ref="F145:F145">OFFSET(E145,-1,1)</f>
        <v>2</v>
      </c>
      <c r="G145" s="960"/>
      <c r="H145" s="960"/>
      <c r="I145" s="960"/>
      <c r="J145" s="960"/>
      <c r="K145" s="124">
        <f>first_year+12</f>
        <v>2036</v>
      </c>
      <c r="L145" s="960"/>
      <c r="M145" s="960"/>
      <c r="N145" s="960"/>
      <c r="O145" s="960"/>
      <c r="P145" s="960"/>
      <c r="Q145" s="960"/>
      <c r="R145" s="960"/>
      <c r="S145" s="960"/>
      <c r="T145" s="439" cm="1" t="str">
        <f t="array" ref="T145:T145">T144</f>
        <v>true</v>
      </c>
      <c r="U145" s="960"/>
      <c r="V145" s="960"/>
      <c r="W145" s="960"/>
      <c r="X145" s="1482"/>
      <c r="Y145" s="960"/>
      <c r="Z145" s="1465"/>
      <c r="AA145" s="960"/>
      <c r="AB145" s="222" t="str">
        <f>K145&amp;" год"</f>
        <v>2036 год</v>
      </c>
      <c r="AC145" s="4912"/>
      <c r="AD145" s="4917"/>
      <c r="AE145" s="4918"/>
      <c r="AF145" s="4918"/>
      <c r="AG145" s="4917"/>
      <c r="AH145" s="4939"/>
      <c r="AI145" s="4939"/>
      <c r="AJ145" s="4917"/>
      <c r="AK145" s="4919"/>
      <c r="AL145" s="375"/>
      <c r="AM145" s="960"/>
      <c r="AN145" s="960"/>
      <c r="AO145" s="1048" cm="1" t="str">
        <f t="array" ref="AO145:AO145">K145</f>
        <v>2036</v>
      </c>
      <c r="AP145" s="960"/>
      <c r="AQ145" s="960"/>
    </row>
    <row s="4993" customFormat="1" customHeight="1" ht="14.25" hidden="1">
      <c r="A146" s="960"/>
      <c r="B146" s="418">
        <f>K146&lt;first_year+PERIOD_LENGTH</f>
        <v>0</v>
      </c>
      <c r="C146" s="960"/>
      <c r="D146" s="960"/>
      <c r="E146" s="683">
        <v>15</v>
      </c>
      <c r="F146" s="50" cm="1" t="str">
        <f t="array" ref="F146:F146">OFFSET(E146,-1,1)</f>
        <v>2</v>
      </c>
      <c r="G146" s="960"/>
      <c r="H146" s="960"/>
      <c r="I146" s="960"/>
      <c r="J146" s="960"/>
      <c r="K146" s="124">
        <f>first_year+13</f>
        <v>2037</v>
      </c>
      <c r="L146" s="960"/>
      <c r="M146" s="960"/>
      <c r="N146" s="960"/>
      <c r="O146" s="960"/>
      <c r="P146" s="960"/>
      <c r="Q146" s="960"/>
      <c r="R146" s="960"/>
      <c r="S146" s="960"/>
      <c r="T146" s="439" cm="1" t="str">
        <f t="array" ref="T146:T146">T145</f>
        <v>true</v>
      </c>
      <c r="U146" s="960"/>
      <c r="V146" s="960"/>
      <c r="W146" s="960"/>
      <c r="X146" s="1482"/>
      <c r="Y146" s="960"/>
      <c r="Z146" s="1465"/>
      <c r="AA146" s="960"/>
      <c r="AB146" s="222" t="str">
        <f>K146&amp;" год"</f>
        <v>2037 год</v>
      </c>
      <c r="AC146" s="4912"/>
      <c r="AD146" s="4917"/>
      <c r="AE146" s="4918"/>
      <c r="AF146" s="4918"/>
      <c r="AG146" s="4917"/>
      <c r="AH146" s="4939"/>
      <c r="AI146" s="4939"/>
      <c r="AJ146" s="4917"/>
      <c r="AK146" s="4919"/>
      <c r="AL146" s="375"/>
      <c r="AM146" s="960"/>
      <c r="AN146" s="960"/>
      <c r="AO146" s="1048" cm="1" t="str">
        <f t="array" ref="AO146:AO146">K146</f>
        <v>2037</v>
      </c>
      <c r="AP146" s="960"/>
      <c r="AQ146" s="960"/>
    </row>
    <row s="4994" customFormat="1" customHeight="1" ht="14.25" hidden="1">
      <c r="A147" s="960"/>
      <c r="B147" s="418">
        <f>K147&lt;first_year+PERIOD_LENGTH</f>
        <v>0</v>
      </c>
      <c r="C147" s="960"/>
      <c r="D147" s="960"/>
      <c r="E147" s="683">
        <v>15</v>
      </c>
      <c r="F147" s="50" cm="1" t="str">
        <f t="array" ref="F147:F147">OFFSET(E147,-1,1)</f>
        <v>2</v>
      </c>
      <c r="G147" s="960"/>
      <c r="H147" s="960"/>
      <c r="I147" s="960"/>
      <c r="J147" s="960"/>
      <c r="K147" s="124">
        <f>first_year+14</f>
        <v>2038</v>
      </c>
      <c r="L147" s="960"/>
      <c r="M147" s="960"/>
      <c r="N147" s="960"/>
      <c r="O147" s="960"/>
      <c r="P147" s="960"/>
      <c r="Q147" s="960"/>
      <c r="R147" s="960"/>
      <c r="S147" s="960"/>
      <c r="T147" s="439" cm="1" t="str">
        <f t="array" ref="T147:T147">T146</f>
        <v>true</v>
      </c>
      <c r="U147" s="960"/>
      <c r="V147" s="960"/>
      <c r="W147" s="960"/>
      <c r="X147" s="1482"/>
      <c r="Y147" s="960"/>
      <c r="Z147" s="1465"/>
      <c r="AA147" s="960"/>
      <c r="AB147" s="222" t="str">
        <f>K147&amp;" год"</f>
        <v>2038 год</v>
      </c>
      <c r="AC147" s="4912"/>
      <c r="AD147" s="4917"/>
      <c r="AE147" s="4918"/>
      <c r="AF147" s="4918"/>
      <c r="AG147" s="4917"/>
      <c r="AH147" s="4939"/>
      <c r="AI147" s="4939"/>
      <c r="AJ147" s="4917"/>
      <c r="AK147" s="4919"/>
      <c r="AL147" s="375"/>
      <c r="AM147" s="960"/>
      <c r="AN147" s="960"/>
      <c r="AO147" s="1048" cm="1" t="str">
        <f t="array" ref="AO147:AO147">K147</f>
        <v>2038</v>
      </c>
      <c r="AP147" s="960"/>
      <c r="AQ147" s="960"/>
    </row>
    <row s="4995" customFormat="1" customHeight="1" ht="14.25" hidden="1">
      <c r="A148" s="960"/>
      <c r="B148" s="418">
        <f>K148&lt;first_year+PERIOD_LENGTH</f>
        <v>0</v>
      </c>
      <c r="C148" s="960"/>
      <c r="D148" s="960"/>
      <c r="E148" s="683">
        <v>15</v>
      </c>
      <c r="F148" s="50" cm="1" t="str">
        <f t="array" ref="F148:F148">OFFSET(E148,-1,1)</f>
        <v>2</v>
      </c>
      <c r="G148" s="960"/>
      <c r="H148" s="960"/>
      <c r="I148" s="960"/>
      <c r="J148" s="960"/>
      <c r="K148" s="124">
        <f>first_year+15</f>
        <v>2039</v>
      </c>
      <c r="L148" s="960"/>
      <c r="M148" s="960"/>
      <c r="N148" s="960"/>
      <c r="O148" s="960"/>
      <c r="P148" s="960"/>
      <c r="Q148" s="960"/>
      <c r="R148" s="960"/>
      <c r="S148" s="960"/>
      <c r="T148" s="439" cm="1" t="str">
        <f t="array" ref="T148:T148">T147</f>
        <v>true</v>
      </c>
      <c r="U148" s="960"/>
      <c r="V148" s="960"/>
      <c r="W148" s="960"/>
      <c r="X148" s="1482"/>
      <c r="Y148" s="960"/>
      <c r="Z148" s="1465"/>
      <c r="AA148" s="960"/>
      <c r="AB148" s="222" t="str">
        <f>K148&amp;" год"</f>
        <v>2039 год</v>
      </c>
      <c r="AC148" s="4912"/>
      <c r="AD148" s="4917"/>
      <c r="AE148" s="4918"/>
      <c r="AF148" s="4918"/>
      <c r="AG148" s="4917"/>
      <c r="AH148" s="4939"/>
      <c r="AI148" s="4939"/>
      <c r="AJ148" s="4917"/>
      <c r="AK148" s="4919"/>
      <c r="AL148" s="375"/>
      <c r="AM148" s="960"/>
      <c r="AN148" s="960"/>
      <c r="AO148" s="1048" cm="1" t="str">
        <f t="array" ref="AO148:AO148">K148</f>
        <v>2039</v>
      </c>
      <c r="AP148" s="960"/>
      <c r="AQ148" s="960"/>
    </row>
    <row s="4996" customFormat="1" customHeight="1" ht="14.25" hidden="1">
      <c r="A149" s="960"/>
      <c r="B149" s="418">
        <f>K149&lt;first_year+PERIOD_LENGTH</f>
        <v>0</v>
      </c>
      <c r="C149" s="960"/>
      <c r="D149" s="960"/>
      <c r="E149" s="683">
        <v>15</v>
      </c>
      <c r="F149" s="50" cm="1" t="str">
        <f t="array" ref="F149:F149">OFFSET(E149,-1,1)</f>
        <v>2</v>
      </c>
      <c r="G149" s="960"/>
      <c r="H149" s="960"/>
      <c r="I149" s="960"/>
      <c r="J149" s="960"/>
      <c r="K149" s="124">
        <f>first_year+16</f>
        <v>2040</v>
      </c>
      <c r="L149" s="960"/>
      <c r="M149" s="960"/>
      <c r="N149" s="960"/>
      <c r="O149" s="960"/>
      <c r="P149" s="960"/>
      <c r="Q149" s="960"/>
      <c r="R149" s="960"/>
      <c r="S149" s="960"/>
      <c r="T149" s="439" cm="1" t="str">
        <f t="array" ref="T149:T149">T148</f>
        <v>true</v>
      </c>
      <c r="U149" s="960"/>
      <c r="V149" s="960"/>
      <c r="W149" s="960"/>
      <c r="X149" s="1482"/>
      <c r="Y149" s="960"/>
      <c r="Z149" s="1465"/>
      <c r="AA149" s="960"/>
      <c r="AB149" s="222" t="str">
        <f>K149&amp;" год"</f>
        <v>2040 год</v>
      </c>
      <c r="AC149" s="4912"/>
      <c r="AD149" s="4917"/>
      <c r="AE149" s="4918"/>
      <c r="AF149" s="4918"/>
      <c r="AG149" s="4917"/>
      <c r="AH149" s="4939"/>
      <c r="AI149" s="4939"/>
      <c r="AJ149" s="4917"/>
      <c r="AK149" s="4919"/>
      <c r="AL149" s="375"/>
      <c r="AM149" s="960"/>
      <c r="AN149" s="960"/>
      <c r="AO149" s="1048" cm="1" t="str">
        <f t="array" ref="AO149:AO149">K149</f>
        <v>2040</v>
      </c>
      <c r="AP149" s="960"/>
      <c r="AQ149" s="960"/>
    </row>
    <row s="4997" customFormat="1" customHeight="1" ht="14.25" hidden="1">
      <c r="A150" s="960"/>
      <c r="B150" s="418">
        <f>K150&lt;first_year+PERIOD_LENGTH</f>
        <v>0</v>
      </c>
      <c r="C150" s="960"/>
      <c r="D150" s="960"/>
      <c r="E150" s="683">
        <v>15</v>
      </c>
      <c r="F150" s="50" cm="1" t="str">
        <f t="array" ref="F150:F150">OFFSET(E150,-1,1)</f>
        <v>2</v>
      </c>
      <c r="G150" s="960"/>
      <c r="H150" s="960"/>
      <c r="I150" s="960"/>
      <c r="J150" s="960"/>
      <c r="K150" s="124">
        <f>first_year+17</f>
        <v>2041</v>
      </c>
      <c r="L150" s="960"/>
      <c r="M150" s="960"/>
      <c r="N150" s="960"/>
      <c r="O150" s="960"/>
      <c r="P150" s="960"/>
      <c r="Q150" s="960"/>
      <c r="R150" s="960"/>
      <c r="S150" s="960"/>
      <c r="T150" s="439" cm="1" t="str">
        <f t="array" ref="T150:T150">T149</f>
        <v>true</v>
      </c>
      <c r="U150" s="960"/>
      <c r="V150" s="960"/>
      <c r="W150" s="960"/>
      <c r="X150" s="1482"/>
      <c r="Y150" s="960"/>
      <c r="Z150" s="1465"/>
      <c r="AA150" s="960"/>
      <c r="AB150" s="222" t="str">
        <f>K150&amp;" год"</f>
        <v>2041 год</v>
      </c>
      <c r="AC150" s="4912"/>
      <c r="AD150" s="4917"/>
      <c r="AE150" s="4918"/>
      <c r="AF150" s="4918"/>
      <c r="AG150" s="4917"/>
      <c r="AH150" s="4939"/>
      <c r="AI150" s="4939"/>
      <c r="AJ150" s="4917"/>
      <c r="AK150" s="4919"/>
      <c r="AL150" s="375"/>
      <c r="AM150" s="960"/>
      <c r="AN150" s="960"/>
      <c r="AO150" s="1048" cm="1" t="str">
        <f t="array" ref="AO150:AO150">K150</f>
        <v>2041</v>
      </c>
      <c r="AP150" s="960"/>
      <c r="AQ150" s="960"/>
    </row>
    <row s="4998" customFormat="1" customHeight="1" ht="14.25" hidden="1">
      <c r="A151" s="960"/>
      <c r="B151" s="418">
        <f>K151&lt;first_year+PERIOD_LENGTH</f>
        <v>0</v>
      </c>
      <c r="C151" s="960"/>
      <c r="D151" s="960"/>
      <c r="E151" s="683">
        <v>15</v>
      </c>
      <c r="F151" s="50" cm="1" t="str">
        <f t="array" ref="F151:F151">OFFSET(E151,-1,1)</f>
        <v>2</v>
      </c>
      <c r="G151" s="960"/>
      <c r="H151" s="960"/>
      <c r="I151" s="960"/>
      <c r="J151" s="960"/>
      <c r="K151" s="124">
        <f>first_year+18</f>
        <v>2042</v>
      </c>
      <c r="L151" s="960"/>
      <c r="M151" s="960"/>
      <c r="N151" s="960"/>
      <c r="O151" s="960"/>
      <c r="P151" s="960"/>
      <c r="Q151" s="960"/>
      <c r="R151" s="960"/>
      <c r="S151" s="960"/>
      <c r="T151" s="439" cm="1" t="str">
        <f t="array" ref="T151:T151">T150</f>
        <v>true</v>
      </c>
      <c r="U151" s="960"/>
      <c r="V151" s="960"/>
      <c r="W151" s="960"/>
      <c r="X151" s="1482"/>
      <c r="Y151" s="960"/>
      <c r="Z151" s="1465"/>
      <c r="AA151" s="960"/>
      <c r="AB151" s="222" t="str">
        <f>K151&amp;" год"</f>
        <v>2042 год</v>
      </c>
      <c r="AC151" s="4912"/>
      <c r="AD151" s="4917"/>
      <c r="AE151" s="4918"/>
      <c r="AF151" s="4918"/>
      <c r="AG151" s="4917"/>
      <c r="AH151" s="4939"/>
      <c r="AI151" s="4939"/>
      <c r="AJ151" s="4917"/>
      <c r="AK151" s="4919"/>
      <c r="AL151" s="375"/>
      <c r="AM151" s="960"/>
      <c r="AN151" s="960"/>
      <c r="AO151" s="1048" cm="1" t="str">
        <f t="array" ref="AO151:AO151">K151</f>
        <v>2042</v>
      </c>
      <c r="AP151" s="960"/>
      <c r="AQ151" s="960"/>
    </row>
    <row s="4999" customFormat="1" customHeight="1" ht="14.25" hidden="1">
      <c r="A152" s="960"/>
      <c r="B152" s="418">
        <f>K152&lt;first_year+PERIOD_LENGTH</f>
        <v>0</v>
      </c>
      <c r="C152" s="960"/>
      <c r="D152" s="960"/>
      <c r="E152" s="683">
        <v>15</v>
      </c>
      <c r="F152" s="50" cm="1" t="str">
        <f t="array" ref="F152:F152">OFFSET(E152,-1,1)</f>
        <v>2</v>
      </c>
      <c r="G152" s="960"/>
      <c r="H152" s="960"/>
      <c r="I152" s="960"/>
      <c r="J152" s="960"/>
      <c r="K152" s="124">
        <f>first_year+19</f>
        <v>2043</v>
      </c>
      <c r="L152" s="960"/>
      <c r="M152" s="960"/>
      <c r="N152" s="960"/>
      <c r="O152" s="960"/>
      <c r="P152" s="960"/>
      <c r="Q152" s="960"/>
      <c r="R152" s="960"/>
      <c r="S152" s="960"/>
      <c r="T152" s="439" cm="1" t="str">
        <f t="array" ref="T152:T152">T151</f>
        <v>true</v>
      </c>
      <c r="U152" s="960"/>
      <c r="V152" s="960"/>
      <c r="W152" s="960"/>
      <c r="X152" s="1482"/>
      <c r="Y152" s="960"/>
      <c r="Z152" s="1465"/>
      <c r="AA152" s="960"/>
      <c r="AB152" s="222" t="str">
        <f>K152&amp;" год"</f>
        <v>2043 год</v>
      </c>
      <c r="AC152" s="4912"/>
      <c r="AD152" s="4917"/>
      <c r="AE152" s="4918"/>
      <c r="AF152" s="4918"/>
      <c r="AG152" s="4917"/>
      <c r="AH152" s="4939"/>
      <c r="AI152" s="4939"/>
      <c r="AJ152" s="4917"/>
      <c r="AK152" s="4919"/>
      <c r="AL152" s="375"/>
      <c r="AM152" s="960"/>
      <c r="AN152" s="960"/>
      <c r="AO152" s="1048" cm="1" t="str">
        <f t="array" ref="AO152:AO152">K152</f>
        <v>2043</v>
      </c>
      <c r="AP152" s="960"/>
      <c r="AQ152" s="960"/>
    </row>
    <row s="5000" customFormat="1" customHeight="1" ht="14.25" hidden="1">
      <c r="A153" s="960"/>
      <c r="B153" s="418">
        <f>K153&lt;first_year+PERIOD_LENGTH</f>
        <v>0</v>
      </c>
      <c r="C153" s="960"/>
      <c r="D153" s="960"/>
      <c r="E153" s="683">
        <v>15</v>
      </c>
      <c r="F153" s="50" cm="1" t="str">
        <f t="array" ref="F153:F153">OFFSET(E153,-1,1)</f>
        <v>2</v>
      </c>
      <c r="G153" s="960"/>
      <c r="H153" s="960"/>
      <c r="I153" s="960"/>
      <c r="J153" s="960"/>
      <c r="K153" s="124">
        <f>first_year+20</f>
        <v>2044</v>
      </c>
      <c r="L153" s="960"/>
      <c r="M153" s="960"/>
      <c r="N153" s="960"/>
      <c r="O153" s="960"/>
      <c r="P153" s="960"/>
      <c r="Q153" s="960"/>
      <c r="R153" s="960"/>
      <c r="S153" s="960"/>
      <c r="T153" s="439" cm="1" t="str">
        <f t="array" ref="T153:T153">T152</f>
        <v>true</v>
      </c>
      <c r="U153" s="960"/>
      <c r="V153" s="960"/>
      <c r="W153" s="960"/>
      <c r="X153" s="1482"/>
      <c r="Y153" s="960"/>
      <c r="Z153" s="1465"/>
      <c r="AA153" s="960"/>
      <c r="AB153" s="222" t="str">
        <f>K153&amp;" год"</f>
        <v>2044 год</v>
      </c>
      <c r="AC153" s="4912"/>
      <c r="AD153" s="4917"/>
      <c r="AE153" s="4918"/>
      <c r="AF153" s="4918"/>
      <c r="AG153" s="4917"/>
      <c r="AH153" s="4939"/>
      <c r="AI153" s="4939"/>
      <c r="AJ153" s="4917"/>
      <c r="AK153" s="4919"/>
      <c r="AL153" s="375"/>
      <c r="AM153" s="960"/>
      <c r="AN153" s="960"/>
      <c r="AO153" s="1048" cm="1" t="str">
        <f t="array" ref="AO153:AO153">K153</f>
        <v>2044</v>
      </c>
      <c r="AP153" s="960"/>
      <c r="AQ153" s="960"/>
    </row>
    <row s="5001" customFormat="1" customHeight="1" ht="14.25" hidden="1">
      <c r="A154" s="960"/>
      <c r="B154" s="418">
        <f>K154&lt;first_year+PERIOD_LENGTH</f>
        <v>0</v>
      </c>
      <c r="C154" s="960"/>
      <c r="D154" s="960"/>
      <c r="E154" s="683">
        <v>15</v>
      </c>
      <c r="F154" s="50" cm="1" t="str">
        <f t="array" ref="F154:F154">OFFSET(E154,-1,1)</f>
        <v>2</v>
      </c>
      <c r="G154" s="960"/>
      <c r="H154" s="960"/>
      <c r="I154" s="960"/>
      <c r="J154" s="960"/>
      <c r="K154" s="124">
        <f>first_year+21</f>
        <v>2045</v>
      </c>
      <c r="L154" s="960"/>
      <c r="M154" s="960"/>
      <c r="N154" s="960"/>
      <c r="O154" s="960"/>
      <c r="P154" s="960"/>
      <c r="Q154" s="960"/>
      <c r="R154" s="960"/>
      <c r="S154" s="960"/>
      <c r="T154" s="439" cm="1" t="str">
        <f t="array" ref="T154:T154">T153</f>
        <v>true</v>
      </c>
      <c r="U154" s="960"/>
      <c r="V154" s="960"/>
      <c r="W154" s="960"/>
      <c r="X154" s="1482"/>
      <c r="Y154" s="960"/>
      <c r="Z154" s="1465"/>
      <c r="AA154" s="960"/>
      <c r="AB154" s="222" t="str">
        <f>K154&amp;" год"</f>
        <v>2045 год</v>
      </c>
      <c r="AC154" s="4912"/>
      <c r="AD154" s="4917"/>
      <c r="AE154" s="4918"/>
      <c r="AF154" s="4918"/>
      <c r="AG154" s="4917"/>
      <c r="AH154" s="4939"/>
      <c r="AI154" s="4939"/>
      <c r="AJ154" s="4917"/>
      <c r="AK154" s="4919"/>
      <c r="AL154" s="375"/>
      <c r="AM154" s="960"/>
      <c r="AN154" s="960"/>
      <c r="AO154" s="1048" cm="1" t="str">
        <f t="array" ref="AO154:AO154">K154</f>
        <v>2045</v>
      </c>
      <c r="AP154" s="960"/>
      <c r="AQ154" s="960"/>
    </row>
    <row s="5002" customFormat="1" customHeight="1" ht="14.25" hidden="1">
      <c r="A155" s="960"/>
      <c r="B155" s="418">
        <f>K155&lt;first_year+PERIOD_LENGTH</f>
        <v>0</v>
      </c>
      <c r="C155" s="960"/>
      <c r="D155" s="960"/>
      <c r="E155" s="683">
        <v>15</v>
      </c>
      <c r="F155" s="50" cm="1" t="str">
        <f t="array" ref="F155:F155">OFFSET(E155,-1,1)</f>
        <v>2</v>
      </c>
      <c r="G155" s="960"/>
      <c r="H155" s="960"/>
      <c r="I155" s="960"/>
      <c r="J155" s="960"/>
      <c r="K155" s="124">
        <f>first_year+22</f>
        <v>2046</v>
      </c>
      <c r="L155" s="960"/>
      <c r="M155" s="960"/>
      <c r="N155" s="960"/>
      <c r="O155" s="960"/>
      <c r="P155" s="960"/>
      <c r="Q155" s="960"/>
      <c r="R155" s="960"/>
      <c r="S155" s="960"/>
      <c r="T155" s="439" cm="1" t="str">
        <f t="array" ref="T155:T155">T154</f>
        <v>true</v>
      </c>
      <c r="U155" s="960"/>
      <c r="V155" s="960"/>
      <c r="W155" s="960"/>
      <c r="X155" s="1482"/>
      <c r="Y155" s="960"/>
      <c r="Z155" s="1465"/>
      <c r="AA155" s="960"/>
      <c r="AB155" s="222" t="str">
        <f>K155&amp;" год"</f>
        <v>2046 год</v>
      </c>
      <c r="AC155" s="4912"/>
      <c r="AD155" s="4917"/>
      <c r="AE155" s="4918"/>
      <c r="AF155" s="4918"/>
      <c r="AG155" s="4917"/>
      <c r="AH155" s="4939"/>
      <c r="AI155" s="4939"/>
      <c r="AJ155" s="4917"/>
      <c r="AK155" s="4919"/>
      <c r="AL155" s="375"/>
      <c r="AM155" s="960"/>
      <c r="AN155" s="960"/>
      <c r="AO155" s="1048" cm="1" t="str">
        <f t="array" ref="AO155:AO155">K155</f>
        <v>2046</v>
      </c>
      <c r="AP155" s="960"/>
      <c r="AQ155" s="960"/>
    </row>
    <row s="5003" customFormat="1" customHeight="1" ht="14.25" hidden="1">
      <c r="A156" s="960"/>
      <c r="B156" s="418">
        <f>K156&lt;first_year+PERIOD_LENGTH</f>
        <v>0</v>
      </c>
      <c r="C156" s="960"/>
      <c r="D156" s="960"/>
      <c r="E156" s="683">
        <v>15</v>
      </c>
      <c r="F156" s="50" cm="1" t="str">
        <f t="array" ref="F156:F156">OFFSET(E156,-1,1)</f>
        <v>2</v>
      </c>
      <c r="G156" s="960"/>
      <c r="H156" s="960"/>
      <c r="I156" s="960"/>
      <c r="J156" s="960"/>
      <c r="K156" s="124">
        <f>first_year+23</f>
        <v>2047</v>
      </c>
      <c r="L156" s="960"/>
      <c r="M156" s="960"/>
      <c r="N156" s="960"/>
      <c r="O156" s="960"/>
      <c r="P156" s="960"/>
      <c r="Q156" s="960"/>
      <c r="R156" s="960"/>
      <c r="S156" s="960"/>
      <c r="T156" s="439" cm="1" t="str">
        <f t="array" ref="T156:T156">T155</f>
        <v>true</v>
      </c>
      <c r="U156" s="960"/>
      <c r="V156" s="960"/>
      <c r="W156" s="960"/>
      <c r="X156" s="1482"/>
      <c r="Y156" s="960"/>
      <c r="Z156" s="1465"/>
      <c r="AA156" s="960"/>
      <c r="AB156" s="222" t="str">
        <f>K156&amp;" год"</f>
        <v>2047 год</v>
      </c>
      <c r="AC156" s="4912"/>
      <c r="AD156" s="4917"/>
      <c r="AE156" s="4918"/>
      <c r="AF156" s="4918"/>
      <c r="AG156" s="4917"/>
      <c r="AH156" s="4939"/>
      <c r="AI156" s="4939"/>
      <c r="AJ156" s="4917"/>
      <c r="AK156" s="4919"/>
      <c r="AL156" s="375"/>
      <c r="AM156" s="960"/>
      <c r="AN156" s="960"/>
      <c r="AO156" s="1048" cm="1" t="str">
        <f t="array" ref="AO156:AO156">K156</f>
        <v>2047</v>
      </c>
      <c r="AP156" s="960"/>
      <c r="AQ156" s="960"/>
    </row>
    <row s="5004" customFormat="1" customHeight="1" ht="14.25" hidden="1">
      <c r="A157" s="960"/>
      <c r="B157" s="418">
        <f>K157&lt;first_year+PERIOD_LENGTH</f>
        <v>0</v>
      </c>
      <c r="C157" s="960"/>
      <c r="D157" s="960"/>
      <c r="E157" s="683">
        <v>15</v>
      </c>
      <c r="F157" s="50" cm="1" t="str">
        <f t="array" ref="F157:F157">OFFSET(E157,-1,1)</f>
        <v>2</v>
      </c>
      <c r="G157" s="960"/>
      <c r="H157" s="960"/>
      <c r="I157" s="960"/>
      <c r="J157" s="960"/>
      <c r="K157" s="124">
        <f>first_year+24</f>
        <v>2048</v>
      </c>
      <c r="L157" s="960"/>
      <c r="M157" s="960"/>
      <c r="N157" s="960"/>
      <c r="O157" s="960"/>
      <c r="P157" s="960"/>
      <c r="Q157" s="960"/>
      <c r="R157" s="960"/>
      <c r="S157" s="960"/>
      <c r="T157" s="439" cm="1" t="str">
        <f t="array" ref="T157:T157">T156</f>
        <v>true</v>
      </c>
      <c r="U157" s="960"/>
      <c r="V157" s="960"/>
      <c r="W157" s="960"/>
      <c r="X157" s="1482"/>
      <c r="Y157" s="960"/>
      <c r="Z157" s="1465"/>
      <c r="AA157" s="960"/>
      <c r="AB157" s="222" t="str">
        <f>K157&amp;" год"</f>
        <v>2048 год</v>
      </c>
      <c r="AC157" s="4912"/>
      <c r="AD157" s="4917"/>
      <c r="AE157" s="4918"/>
      <c r="AF157" s="4918"/>
      <c r="AG157" s="4917"/>
      <c r="AH157" s="4939"/>
      <c r="AI157" s="4939"/>
      <c r="AJ157" s="4917"/>
      <c r="AK157" s="4919"/>
      <c r="AL157" s="375"/>
      <c r="AM157" s="960"/>
      <c r="AN157" s="960"/>
      <c r="AO157" s="1048" cm="1" t="str">
        <f t="array" ref="AO157:AO157">K157</f>
        <v>2048</v>
      </c>
      <c r="AP157" s="960"/>
      <c r="AQ157" s="960"/>
    </row>
    <row s="5005" customFormat="1" customHeight="1" ht="14.25" hidden="1">
      <c r="A158" s="960"/>
      <c r="B158" s="418">
        <f>K158&lt;first_year+PERIOD_LENGTH</f>
        <v>0</v>
      </c>
      <c r="C158" s="960"/>
      <c r="D158" s="960"/>
      <c r="E158" s="683">
        <v>15</v>
      </c>
      <c r="F158" s="50" cm="1" t="str">
        <f t="array" ref="F158:F158">OFFSET(E158,-1,1)</f>
        <v>2</v>
      </c>
      <c r="G158" s="960"/>
      <c r="H158" s="960"/>
      <c r="I158" s="960"/>
      <c r="J158" s="960"/>
      <c r="K158" s="124">
        <f>first_year+25</f>
        <v>2049</v>
      </c>
      <c r="L158" s="960"/>
      <c r="M158" s="960"/>
      <c r="N158" s="960"/>
      <c r="O158" s="960"/>
      <c r="P158" s="960"/>
      <c r="Q158" s="960"/>
      <c r="R158" s="960"/>
      <c r="S158" s="960"/>
      <c r="T158" s="439" cm="1" t="str">
        <f t="array" ref="T158:T158">T157</f>
        <v>true</v>
      </c>
      <c r="U158" s="960"/>
      <c r="V158" s="960"/>
      <c r="W158" s="960"/>
      <c r="X158" s="1482"/>
      <c r="Y158" s="960"/>
      <c r="Z158" s="1465"/>
      <c r="AA158" s="960"/>
      <c r="AB158" s="222" t="str">
        <f>K158&amp;" год"</f>
        <v>2049 год</v>
      </c>
      <c r="AC158" s="4912"/>
      <c r="AD158" s="4917"/>
      <c r="AE158" s="4918"/>
      <c r="AF158" s="4918"/>
      <c r="AG158" s="4917"/>
      <c r="AH158" s="4939"/>
      <c r="AI158" s="4939"/>
      <c r="AJ158" s="4917"/>
      <c r="AK158" s="4919"/>
      <c r="AL158" s="375"/>
      <c r="AM158" s="960"/>
      <c r="AN158" s="960"/>
      <c r="AO158" s="1048" cm="1" t="str">
        <f t="array" ref="AO158:AO158">K158</f>
        <v>2049</v>
      </c>
      <c r="AP158" s="960"/>
      <c r="AQ158" s="960"/>
    </row>
    <row s="5006" customFormat="1" customHeight="1" ht="14.25" hidden="1">
      <c r="A159" s="960"/>
      <c r="B159" s="418">
        <f>K159&lt;first_year+PERIOD_LENGTH</f>
        <v>0</v>
      </c>
      <c r="C159" s="960"/>
      <c r="D159" s="960"/>
      <c r="E159" s="683">
        <v>15</v>
      </c>
      <c r="F159" s="50" cm="1" t="str">
        <f t="array" ref="F159:F159">OFFSET(E159,-1,1)</f>
        <v>2</v>
      </c>
      <c r="G159" s="960"/>
      <c r="H159" s="960"/>
      <c r="I159" s="960"/>
      <c r="J159" s="960"/>
      <c r="K159" s="124">
        <f>first_year+26</f>
        <v>2050</v>
      </c>
      <c r="L159" s="960"/>
      <c r="M159" s="960"/>
      <c r="N159" s="960"/>
      <c r="O159" s="960"/>
      <c r="P159" s="960"/>
      <c r="Q159" s="960"/>
      <c r="R159" s="960"/>
      <c r="S159" s="960"/>
      <c r="T159" s="439" cm="1" t="str">
        <f t="array" ref="T159:T159">T158</f>
        <v>true</v>
      </c>
      <c r="U159" s="960"/>
      <c r="V159" s="960"/>
      <c r="W159" s="960"/>
      <c r="X159" s="1482"/>
      <c r="Y159" s="960"/>
      <c r="Z159" s="1465"/>
      <c r="AA159" s="960"/>
      <c r="AB159" s="222" t="str">
        <f>K159&amp;" год"</f>
        <v>2050 год</v>
      </c>
      <c r="AC159" s="4912"/>
      <c r="AD159" s="4917"/>
      <c r="AE159" s="4918"/>
      <c r="AF159" s="4918"/>
      <c r="AG159" s="4917"/>
      <c r="AH159" s="4939"/>
      <c r="AI159" s="4939"/>
      <c r="AJ159" s="4917"/>
      <c r="AK159" s="4919"/>
      <c r="AL159" s="375"/>
      <c r="AM159" s="960"/>
      <c r="AN159" s="960"/>
      <c r="AO159" s="1048" cm="1" t="str">
        <f t="array" ref="AO159:AO159">K159</f>
        <v>2050</v>
      </c>
      <c r="AP159" s="960"/>
      <c r="AQ159" s="960"/>
    </row>
    <row s="5007" customFormat="1" customHeight="1" ht="14.25" hidden="1">
      <c r="A160" s="960"/>
      <c r="B160" s="418">
        <f>K160&lt;first_year+PERIOD_LENGTH</f>
        <v>0</v>
      </c>
      <c r="C160" s="960"/>
      <c r="D160" s="960"/>
      <c r="E160" s="683">
        <v>15</v>
      </c>
      <c r="F160" s="50" cm="1" t="str">
        <f t="array" ref="F160:F160">OFFSET(E160,-1,1)</f>
        <v>2</v>
      </c>
      <c r="G160" s="960"/>
      <c r="H160" s="960"/>
      <c r="I160" s="960"/>
      <c r="J160" s="960"/>
      <c r="K160" s="124">
        <f>first_year+27</f>
        <v>2051</v>
      </c>
      <c r="L160" s="960"/>
      <c r="M160" s="960"/>
      <c r="N160" s="960"/>
      <c r="O160" s="960"/>
      <c r="P160" s="960"/>
      <c r="Q160" s="960"/>
      <c r="R160" s="960"/>
      <c r="S160" s="960"/>
      <c r="T160" s="439" cm="1" t="str">
        <f t="array" ref="T160:T160">T159</f>
        <v>true</v>
      </c>
      <c r="U160" s="960"/>
      <c r="V160" s="960"/>
      <c r="W160" s="960"/>
      <c r="X160" s="1482"/>
      <c r="Y160" s="960"/>
      <c r="Z160" s="1465"/>
      <c r="AA160" s="960"/>
      <c r="AB160" s="222" t="str">
        <f>K160&amp;" год"</f>
        <v>2051 год</v>
      </c>
      <c r="AC160" s="4912"/>
      <c r="AD160" s="4917"/>
      <c r="AE160" s="4918"/>
      <c r="AF160" s="4918"/>
      <c r="AG160" s="4917"/>
      <c r="AH160" s="4939"/>
      <c r="AI160" s="4939"/>
      <c r="AJ160" s="4917"/>
      <c r="AK160" s="4919"/>
      <c r="AL160" s="375"/>
      <c r="AM160" s="960"/>
      <c r="AN160" s="960"/>
      <c r="AO160" s="1048" cm="1" t="str">
        <f t="array" ref="AO160:AO160">K160</f>
        <v>2051</v>
      </c>
      <c r="AP160" s="960"/>
      <c r="AQ160" s="960"/>
    </row>
    <row s="5008" customFormat="1" customHeight="1" ht="14.25" hidden="1">
      <c r="A161" s="960"/>
      <c r="B161" s="418">
        <f>K161&lt;first_year+PERIOD_LENGTH</f>
        <v>0</v>
      </c>
      <c r="C161" s="960"/>
      <c r="D161" s="960"/>
      <c r="E161" s="683">
        <v>15</v>
      </c>
      <c r="F161" s="50" cm="1" t="str">
        <f t="array" ref="F161:F161">OFFSET(E161,-1,1)</f>
        <v>2</v>
      </c>
      <c r="G161" s="960"/>
      <c r="H161" s="960"/>
      <c r="I161" s="960"/>
      <c r="J161" s="960"/>
      <c r="K161" s="124">
        <f>first_year+28</f>
        <v>2052</v>
      </c>
      <c r="L161" s="960"/>
      <c r="M161" s="960"/>
      <c r="N161" s="960"/>
      <c r="O161" s="960"/>
      <c r="P161" s="960"/>
      <c r="Q161" s="960"/>
      <c r="R161" s="960"/>
      <c r="S161" s="960"/>
      <c r="T161" s="439" cm="1" t="str">
        <f t="array" ref="T161:T161">T160</f>
        <v>true</v>
      </c>
      <c r="U161" s="960"/>
      <c r="V161" s="960"/>
      <c r="W161" s="960"/>
      <c r="X161" s="1482"/>
      <c r="Y161" s="960"/>
      <c r="Z161" s="1465"/>
      <c r="AA161" s="960"/>
      <c r="AB161" s="222" t="str">
        <f>K161&amp;" год"</f>
        <v>2052 год</v>
      </c>
      <c r="AC161" s="4912"/>
      <c r="AD161" s="4917"/>
      <c r="AE161" s="4918"/>
      <c r="AF161" s="4918"/>
      <c r="AG161" s="4917"/>
      <c r="AH161" s="4939"/>
      <c r="AI161" s="4939"/>
      <c r="AJ161" s="4917"/>
      <c r="AK161" s="4919"/>
      <c r="AL161" s="375"/>
      <c r="AM161" s="960"/>
      <c r="AN161" s="960"/>
      <c r="AO161" s="1048" cm="1" t="str">
        <f t="array" ref="AO161:AO161">K161</f>
        <v>2052</v>
      </c>
      <c r="AP161" s="960"/>
      <c r="AQ161" s="960"/>
    </row>
    <row s="5009" customFormat="1" customHeight="1" ht="14.25" hidden="1">
      <c r="A162" s="960"/>
      <c r="B162" s="418">
        <f>K162&lt;first_year+PERIOD_LENGTH</f>
        <v>0</v>
      </c>
      <c r="C162" s="960"/>
      <c r="D162" s="960"/>
      <c r="E162" s="683">
        <v>15</v>
      </c>
      <c r="F162" s="50" cm="1" t="str">
        <f t="array" ref="F162:F162">OFFSET(E162,-1,1)</f>
        <v>2</v>
      </c>
      <c r="G162" s="960"/>
      <c r="H162" s="960"/>
      <c r="I162" s="960"/>
      <c r="J162" s="960"/>
      <c r="K162" s="124">
        <f>first_year+29</f>
        <v>2053</v>
      </c>
      <c r="L162" s="960"/>
      <c r="M162" s="960"/>
      <c r="N162" s="960"/>
      <c r="O162" s="960"/>
      <c r="P162" s="960"/>
      <c r="Q162" s="960"/>
      <c r="R162" s="960"/>
      <c r="S162" s="960"/>
      <c r="T162" s="439" cm="1" t="str">
        <f t="array" ref="T162:T162">T161</f>
        <v>true</v>
      </c>
      <c r="U162" s="960"/>
      <c r="V162" s="960"/>
      <c r="W162" s="960"/>
      <c r="X162" s="1482"/>
      <c r="Y162" s="960"/>
      <c r="Z162" s="1465"/>
      <c r="AA162" s="960"/>
      <c r="AB162" s="222" t="str">
        <f>K162&amp;" год"</f>
        <v>2053 год</v>
      </c>
      <c r="AC162" s="4912"/>
      <c r="AD162" s="4917"/>
      <c r="AE162" s="4918"/>
      <c r="AF162" s="4918"/>
      <c r="AG162" s="4917"/>
      <c r="AH162" s="4939"/>
      <c r="AI162" s="4939"/>
      <c r="AJ162" s="4917"/>
      <c r="AK162" s="4919"/>
      <c r="AL162" s="375"/>
      <c r="AM162" s="960"/>
      <c r="AN162" s="960"/>
      <c r="AO162" s="1048" cm="1" t="str">
        <f t="array" ref="AO162:AO162">K162</f>
        <v>2053</v>
      </c>
      <c r="AP162" s="960"/>
      <c r="AQ162" s="960"/>
    </row>
    <row s="5010" customFormat="1" customHeight="1" ht="14.25" hidden="1">
      <c r="A163" s="960"/>
      <c r="B163" s="418">
        <f>K163&lt;first_year+PERIOD_LENGTH</f>
        <v>0</v>
      </c>
      <c r="C163" s="960"/>
      <c r="D163" s="960"/>
      <c r="E163" s="683">
        <v>15</v>
      </c>
      <c r="F163" s="50" cm="1" t="str">
        <f t="array" ref="F163:F163">OFFSET(E163,-1,1)</f>
        <v>2</v>
      </c>
      <c r="G163" s="960"/>
      <c r="H163" s="960"/>
      <c r="I163" s="960"/>
      <c r="J163" s="960"/>
      <c r="K163" s="124">
        <f>first_year+30</f>
        <v>2054</v>
      </c>
      <c r="L163" s="960"/>
      <c r="M163" s="960"/>
      <c r="N163" s="960"/>
      <c r="O163" s="960"/>
      <c r="P163" s="960"/>
      <c r="Q163" s="960"/>
      <c r="R163" s="960"/>
      <c r="S163" s="960"/>
      <c r="T163" s="439" cm="1" t="str">
        <f t="array" ref="T163:T163">T162</f>
        <v>true</v>
      </c>
      <c r="U163" s="960"/>
      <c r="V163" s="960"/>
      <c r="W163" s="960"/>
      <c r="X163" s="1482"/>
      <c r="Y163" s="960"/>
      <c r="Z163" s="1465"/>
      <c r="AA163" s="960"/>
      <c r="AB163" s="222" t="str">
        <f>K163&amp;" год"</f>
        <v>2054 год</v>
      </c>
      <c r="AC163" s="4912"/>
      <c r="AD163" s="4917"/>
      <c r="AE163" s="4918"/>
      <c r="AF163" s="4918"/>
      <c r="AG163" s="4917"/>
      <c r="AH163" s="4939"/>
      <c r="AI163" s="4939"/>
      <c r="AJ163" s="4917"/>
      <c r="AK163" s="4919"/>
      <c r="AL163" s="375"/>
      <c r="AM163" s="960"/>
      <c r="AN163" s="960"/>
      <c r="AO163" s="1048" cm="1" t="str">
        <f t="array" ref="AO163:AO163">K163</f>
        <v>2054</v>
      </c>
      <c r="AP163" s="960"/>
      <c r="AQ163" s="960"/>
    </row>
    <row s="5011" customFormat="1" customHeight="1" ht="14.25" hidden="1">
      <c r="A164" s="960"/>
      <c r="B164" s="418">
        <f>K164&lt;first_year+PERIOD_LENGTH</f>
        <v>0</v>
      </c>
      <c r="C164" s="960"/>
      <c r="D164" s="960"/>
      <c r="E164" s="683">
        <v>15</v>
      </c>
      <c r="F164" s="50" cm="1" t="str">
        <f t="array" ref="F164:F164">OFFSET(E164,-1,1)</f>
        <v>2</v>
      </c>
      <c r="G164" s="960"/>
      <c r="H164" s="960"/>
      <c r="I164" s="960"/>
      <c r="J164" s="960"/>
      <c r="K164" s="124">
        <f>first_year+31</f>
        <v>2055</v>
      </c>
      <c r="L164" s="960"/>
      <c r="M164" s="960"/>
      <c r="N164" s="960"/>
      <c r="O164" s="960"/>
      <c r="P164" s="960"/>
      <c r="Q164" s="960"/>
      <c r="R164" s="960"/>
      <c r="S164" s="960"/>
      <c r="T164" s="439" cm="1" t="str">
        <f t="array" ref="T164:T164">T163</f>
        <v>true</v>
      </c>
      <c r="U164" s="960"/>
      <c r="V164" s="960"/>
      <c r="W164" s="960"/>
      <c r="X164" s="1482"/>
      <c r="Y164" s="960"/>
      <c r="Z164" s="1465"/>
      <c r="AA164" s="960"/>
      <c r="AB164" s="222" t="str">
        <f>K164&amp;" год"</f>
        <v>2055 год</v>
      </c>
      <c r="AC164" s="4912"/>
      <c r="AD164" s="4917"/>
      <c r="AE164" s="4918"/>
      <c r="AF164" s="4918"/>
      <c r="AG164" s="4917"/>
      <c r="AH164" s="4939"/>
      <c r="AI164" s="4939"/>
      <c r="AJ164" s="4917"/>
      <c r="AK164" s="4919"/>
      <c r="AL164" s="375"/>
      <c r="AM164" s="960"/>
      <c r="AN164" s="960"/>
      <c r="AO164" s="1048" cm="1" t="str">
        <f t="array" ref="AO164:AO164">K164</f>
        <v>2055</v>
      </c>
      <c r="AP164" s="960"/>
      <c r="AQ164" s="960"/>
    </row>
    <row s="5012" customFormat="1" customHeight="1" ht="14.25" hidden="1">
      <c r="A165" s="960"/>
      <c r="B165" s="418">
        <f>K165&lt;first_year+PERIOD_LENGTH</f>
        <v>0</v>
      </c>
      <c r="C165" s="960"/>
      <c r="D165" s="960"/>
      <c r="E165" s="683">
        <v>15</v>
      </c>
      <c r="F165" s="50" cm="1" t="str">
        <f t="array" ref="F165:F165">OFFSET(E165,-1,1)</f>
        <v>2</v>
      </c>
      <c r="G165" s="960"/>
      <c r="H165" s="960"/>
      <c r="I165" s="960"/>
      <c r="J165" s="960"/>
      <c r="K165" s="124">
        <f>first_year+32</f>
        <v>2056</v>
      </c>
      <c r="L165" s="960"/>
      <c r="M165" s="960"/>
      <c r="N165" s="960"/>
      <c r="O165" s="960"/>
      <c r="P165" s="960"/>
      <c r="Q165" s="960"/>
      <c r="R165" s="960"/>
      <c r="S165" s="960"/>
      <c r="T165" s="439" cm="1" t="str">
        <f t="array" ref="T165:T165">T164</f>
        <v>true</v>
      </c>
      <c r="U165" s="960"/>
      <c r="V165" s="960"/>
      <c r="W165" s="960"/>
      <c r="X165" s="1482"/>
      <c r="Y165" s="960"/>
      <c r="Z165" s="1465"/>
      <c r="AA165" s="960"/>
      <c r="AB165" s="222" t="str">
        <f>K165&amp;" год"</f>
        <v>2056 год</v>
      </c>
      <c r="AC165" s="4912"/>
      <c r="AD165" s="4917"/>
      <c r="AE165" s="4918"/>
      <c r="AF165" s="4918"/>
      <c r="AG165" s="4917"/>
      <c r="AH165" s="4939"/>
      <c r="AI165" s="4939"/>
      <c r="AJ165" s="4917"/>
      <c r="AK165" s="4919"/>
      <c r="AL165" s="375"/>
      <c r="AM165" s="960"/>
      <c r="AN165" s="960"/>
      <c r="AO165" s="1048" cm="1" t="str">
        <f t="array" ref="AO165:AO165">K165</f>
        <v>2056</v>
      </c>
      <c r="AP165" s="960"/>
      <c r="AQ165" s="960"/>
    </row>
    <row s="5013" customFormat="1" customHeight="1" ht="14.25" hidden="1">
      <c r="A166" s="960"/>
      <c r="B166" s="418">
        <f>K166&lt;first_year+PERIOD_LENGTH</f>
        <v>0</v>
      </c>
      <c r="C166" s="960"/>
      <c r="D166" s="960"/>
      <c r="E166" s="683">
        <v>15</v>
      </c>
      <c r="F166" s="50" cm="1" t="str">
        <f t="array" ref="F166:F166">OFFSET(E166,-1,1)</f>
        <v>2</v>
      </c>
      <c r="G166" s="960"/>
      <c r="H166" s="960"/>
      <c r="I166" s="960"/>
      <c r="J166" s="960"/>
      <c r="K166" s="124">
        <f>first_year+33</f>
        <v>2057</v>
      </c>
      <c r="L166" s="960"/>
      <c r="M166" s="960"/>
      <c r="N166" s="960"/>
      <c r="O166" s="960"/>
      <c r="P166" s="960"/>
      <c r="Q166" s="960"/>
      <c r="R166" s="960"/>
      <c r="S166" s="960"/>
      <c r="T166" s="439" cm="1" t="str">
        <f t="array" ref="T166:T166">T165</f>
        <v>true</v>
      </c>
      <c r="U166" s="960"/>
      <c r="V166" s="960"/>
      <c r="W166" s="960"/>
      <c r="X166" s="1482"/>
      <c r="Y166" s="960"/>
      <c r="Z166" s="1465"/>
      <c r="AA166" s="960"/>
      <c r="AB166" s="222" t="str">
        <f>K166&amp;" год"</f>
        <v>2057 год</v>
      </c>
      <c r="AC166" s="4912"/>
      <c r="AD166" s="4917"/>
      <c r="AE166" s="4918"/>
      <c r="AF166" s="4918"/>
      <c r="AG166" s="4917"/>
      <c r="AH166" s="4939"/>
      <c r="AI166" s="4939"/>
      <c r="AJ166" s="4917"/>
      <c r="AK166" s="4919"/>
      <c r="AL166" s="375"/>
      <c r="AM166" s="960"/>
      <c r="AN166" s="960"/>
      <c r="AO166" s="1048" cm="1" t="str">
        <f t="array" ref="AO166:AO166">K166</f>
        <v>2057</v>
      </c>
      <c r="AP166" s="960"/>
      <c r="AQ166" s="960"/>
    </row>
    <row s="5014" customFormat="1" customHeight="1" ht="14.25" hidden="1">
      <c r="A167" s="960"/>
      <c r="B167" s="418">
        <f>K167&lt;first_year+PERIOD_LENGTH</f>
        <v>0</v>
      </c>
      <c r="C167" s="960"/>
      <c r="D167" s="960"/>
      <c r="E167" s="683">
        <v>15</v>
      </c>
      <c r="F167" s="50" cm="1" t="str">
        <f t="array" ref="F167:F167">OFFSET(E167,-1,1)</f>
        <v>2</v>
      </c>
      <c r="G167" s="960"/>
      <c r="H167" s="960"/>
      <c r="I167" s="960"/>
      <c r="J167" s="960"/>
      <c r="K167" s="124">
        <f>first_year+34</f>
        <v>2058</v>
      </c>
      <c r="L167" s="960"/>
      <c r="M167" s="960"/>
      <c r="N167" s="960"/>
      <c r="O167" s="960"/>
      <c r="P167" s="960"/>
      <c r="Q167" s="960"/>
      <c r="R167" s="960"/>
      <c r="S167" s="960"/>
      <c r="T167" s="439" cm="1" t="str">
        <f t="array" ref="T167:T167">T166</f>
        <v>true</v>
      </c>
      <c r="U167" s="960"/>
      <c r="V167" s="960"/>
      <c r="W167" s="960"/>
      <c r="X167" s="1482"/>
      <c r="Y167" s="960"/>
      <c r="Z167" s="1465"/>
      <c r="AA167" s="960"/>
      <c r="AB167" s="222" t="str">
        <f>K167&amp;" год"</f>
        <v>2058 год</v>
      </c>
      <c r="AC167" s="4912"/>
      <c r="AD167" s="4917"/>
      <c r="AE167" s="4918"/>
      <c r="AF167" s="4918"/>
      <c r="AG167" s="4917"/>
      <c r="AH167" s="4939"/>
      <c r="AI167" s="4939"/>
      <c r="AJ167" s="4917"/>
      <c r="AK167" s="4919"/>
      <c r="AL167" s="375"/>
      <c r="AM167" s="960"/>
      <c r="AN167" s="960"/>
      <c r="AO167" s="1048" cm="1" t="str">
        <f t="array" ref="AO167:AO167">K167</f>
        <v>2058</v>
      </c>
      <c r="AP167" s="960"/>
      <c r="AQ167" s="960"/>
    </row>
    <row s="5015" customFormat="1" customHeight="1" ht="14.25" hidden="1">
      <c r="A168" s="960"/>
      <c r="B168" s="418">
        <f>K168&lt;first_year+PERIOD_LENGTH</f>
        <v>0</v>
      </c>
      <c r="C168" s="960"/>
      <c r="D168" s="960"/>
      <c r="E168" s="683">
        <v>15</v>
      </c>
      <c r="F168" s="50" cm="1" t="str">
        <f t="array" ref="F168:F168">OFFSET(E168,-1,1)</f>
        <v>2</v>
      </c>
      <c r="G168" s="960"/>
      <c r="H168" s="960"/>
      <c r="I168" s="960"/>
      <c r="J168" s="960"/>
      <c r="K168" s="124">
        <f>first_year+35</f>
        <v>2059</v>
      </c>
      <c r="L168" s="960"/>
      <c r="M168" s="960"/>
      <c r="N168" s="960"/>
      <c r="O168" s="960"/>
      <c r="P168" s="960"/>
      <c r="Q168" s="960"/>
      <c r="R168" s="960"/>
      <c r="S168" s="960"/>
      <c r="T168" s="439" cm="1" t="str">
        <f t="array" ref="T168:T168">T167</f>
        <v>true</v>
      </c>
      <c r="U168" s="960"/>
      <c r="V168" s="960"/>
      <c r="W168" s="960"/>
      <c r="X168" s="1482"/>
      <c r="Y168" s="960"/>
      <c r="Z168" s="1465"/>
      <c r="AA168" s="960"/>
      <c r="AB168" s="222" t="str">
        <f>K168&amp;" год"</f>
        <v>2059 год</v>
      </c>
      <c r="AC168" s="4912"/>
      <c r="AD168" s="4917"/>
      <c r="AE168" s="4918"/>
      <c r="AF168" s="4918"/>
      <c r="AG168" s="4917"/>
      <c r="AH168" s="4939"/>
      <c r="AI168" s="4939"/>
      <c r="AJ168" s="4917"/>
      <c r="AK168" s="4919"/>
      <c r="AL168" s="375"/>
      <c r="AM168" s="960"/>
      <c r="AN168" s="960"/>
      <c r="AO168" s="1048" cm="1" t="str">
        <f t="array" ref="AO168:AO168">K168</f>
        <v>2059</v>
      </c>
      <c r="AP168" s="960"/>
      <c r="AQ168" s="960"/>
    </row>
    <row s="5016" customFormat="1" customHeight="1" ht="14.25" hidden="1">
      <c r="A169" s="960"/>
      <c r="B169" s="418">
        <f>K169&lt;first_year+PERIOD_LENGTH</f>
        <v>0</v>
      </c>
      <c r="C169" s="960"/>
      <c r="D169" s="960"/>
      <c r="E169" s="683">
        <v>15</v>
      </c>
      <c r="F169" s="50" cm="1" t="str">
        <f t="array" ref="F169:F169">OFFSET(E169,-1,1)</f>
        <v>2</v>
      </c>
      <c r="G169" s="960"/>
      <c r="H169" s="960"/>
      <c r="I169" s="960"/>
      <c r="J169" s="960"/>
      <c r="K169" s="124">
        <f>first_year+36</f>
        <v>2060</v>
      </c>
      <c r="L169" s="960"/>
      <c r="M169" s="960"/>
      <c r="N169" s="960"/>
      <c r="O169" s="960"/>
      <c r="P169" s="960"/>
      <c r="Q169" s="960"/>
      <c r="R169" s="960"/>
      <c r="S169" s="960"/>
      <c r="T169" s="439" cm="1" t="str">
        <f t="array" ref="T169:T169">T168</f>
        <v>true</v>
      </c>
      <c r="U169" s="960"/>
      <c r="V169" s="960"/>
      <c r="W169" s="960"/>
      <c r="X169" s="1482"/>
      <c r="Y169" s="960"/>
      <c r="Z169" s="1465"/>
      <c r="AA169" s="960"/>
      <c r="AB169" s="222" t="str">
        <f>K169&amp;" год"</f>
        <v>2060 год</v>
      </c>
      <c r="AC169" s="4912"/>
      <c r="AD169" s="4917"/>
      <c r="AE169" s="4918"/>
      <c r="AF169" s="4918"/>
      <c r="AG169" s="4917"/>
      <c r="AH169" s="4939"/>
      <c r="AI169" s="4939"/>
      <c r="AJ169" s="4917"/>
      <c r="AK169" s="4919"/>
      <c r="AL169" s="375"/>
      <c r="AM169" s="960"/>
      <c r="AN169" s="960"/>
      <c r="AO169" s="1048" cm="1" t="str">
        <f t="array" ref="AO169:AO169">K169</f>
        <v>2060</v>
      </c>
      <c r="AP169" s="960"/>
      <c r="AQ169" s="960"/>
    </row>
    <row s="5017" customFormat="1" customHeight="1" ht="14.25" hidden="1">
      <c r="A170" s="960"/>
      <c r="B170" s="418">
        <f>K170&lt;first_year+PERIOD_LENGTH</f>
        <v>0</v>
      </c>
      <c r="C170" s="960"/>
      <c r="D170" s="960"/>
      <c r="E170" s="683">
        <v>15</v>
      </c>
      <c r="F170" s="50" cm="1" t="str">
        <f t="array" ref="F170:F170">OFFSET(E170,-1,1)</f>
        <v>2</v>
      </c>
      <c r="G170" s="960"/>
      <c r="H170" s="960"/>
      <c r="I170" s="960"/>
      <c r="J170" s="960"/>
      <c r="K170" s="124">
        <f>first_year+37</f>
        <v>2061</v>
      </c>
      <c r="L170" s="960"/>
      <c r="M170" s="960"/>
      <c r="N170" s="960"/>
      <c r="O170" s="960"/>
      <c r="P170" s="960"/>
      <c r="Q170" s="960"/>
      <c r="R170" s="960"/>
      <c r="S170" s="960"/>
      <c r="T170" s="439" cm="1" t="str">
        <f t="array" ref="T170:T170">T169</f>
        <v>true</v>
      </c>
      <c r="U170" s="960"/>
      <c r="V170" s="960"/>
      <c r="W170" s="960"/>
      <c r="X170" s="1482"/>
      <c r="Y170" s="960"/>
      <c r="Z170" s="1465"/>
      <c r="AA170" s="960"/>
      <c r="AB170" s="222" t="str">
        <f>K170&amp;" год"</f>
        <v>2061 год</v>
      </c>
      <c r="AC170" s="4912"/>
      <c r="AD170" s="4917"/>
      <c r="AE170" s="4918"/>
      <c r="AF170" s="4918"/>
      <c r="AG170" s="4917"/>
      <c r="AH170" s="4939"/>
      <c r="AI170" s="4939"/>
      <c r="AJ170" s="4917"/>
      <c r="AK170" s="4919"/>
      <c r="AL170" s="375"/>
      <c r="AM170" s="960"/>
      <c r="AN170" s="960"/>
      <c r="AO170" s="1048" cm="1" t="str">
        <f t="array" ref="AO170:AO170">K170</f>
        <v>2061</v>
      </c>
      <c r="AP170" s="960"/>
      <c r="AQ170" s="960"/>
    </row>
    <row s="5018" customFormat="1" customHeight="1" ht="14.25" hidden="1">
      <c r="A171" s="960"/>
      <c r="B171" s="418">
        <f>K171&lt;first_year+PERIOD_LENGTH</f>
        <v>0</v>
      </c>
      <c r="C171" s="960"/>
      <c r="D171" s="960"/>
      <c r="E171" s="683">
        <v>15</v>
      </c>
      <c r="F171" s="50" cm="1" t="str">
        <f t="array" ref="F171:F171">OFFSET(E171,-1,1)</f>
        <v>2</v>
      </c>
      <c r="G171" s="960"/>
      <c r="H171" s="960"/>
      <c r="I171" s="960"/>
      <c r="J171" s="960"/>
      <c r="K171" s="124">
        <f>first_year+38</f>
        <v>2062</v>
      </c>
      <c r="L171" s="960"/>
      <c r="M171" s="960"/>
      <c r="N171" s="960"/>
      <c r="O171" s="960"/>
      <c r="P171" s="960"/>
      <c r="Q171" s="960"/>
      <c r="R171" s="960"/>
      <c r="S171" s="960"/>
      <c r="T171" s="439" cm="1" t="str">
        <f t="array" ref="T171:T171">T170</f>
        <v>true</v>
      </c>
      <c r="U171" s="960"/>
      <c r="V171" s="960"/>
      <c r="W171" s="960"/>
      <c r="X171" s="1482"/>
      <c r="Y171" s="960"/>
      <c r="Z171" s="1465"/>
      <c r="AA171" s="960"/>
      <c r="AB171" s="222" t="str">
        <f>K171&amp;" год"</f>
        <v>2062 год</v>
      </c>
      <c r="AC171" s="4912"/>
      <c r="AD171" s="4917"/>
      <c r="AE171" s="4918"/>
      <c r="AF171" s="4918"/>
      <c r="AG171" s="4917"/>
      <c r="AH171" s="4939"/>
      <c r="AI171" s="4939"/>
      <c r="AJ171" s="4917"/>
      <c r="AK171" s="4919"/>
      <c r="AL171" s="375"/>
      <c r="AM171" s="960"/>
      <c r="AN171" s="960"/>
      <c r="AO171" s="1048" cm="1" t="str">
        <f t="array" ref="AO171:AO171">K171</f>
        <v>2062</v>
      </c>
      <c r="AP171" s="960"/>
      <c r="AQ171" s="960"/>
    </row>
    <row s="5019" customFormat="1" customHeight="1" ht="14.25" hidden="1">
      <c r="A172" s="960"/>
      <c r="B172" s="418">
        <f>K172&lt;first_year+PERIOD_LENGTH</f>
        <v>0</v>
      </c>
      <c r="C172" s="960"/>
      <c r="D172" s="960"/>
      <c r="E172" s="683">
        <v>15</v>
      </c>
      <c r="F172" s="50" cm="1" t="str">
        <f t="array" ref="F172:F172">OFFSET(E172,-1,1)</f>
        <v>2</v>
      </c>
      <c r="G172" s="960"/>
      <c r="H172" s="960"/>
      <c r="I172" s="960"/>
      <c r="J172" s="960"/>
      <c r="K172" s="124">
        <f>first_year+39</f>
        <v>2063</v>
      </c>
      <c r="L172" s="960"/>
      <c r="M172" s="960"/>
      <c r="N172" s="960"/>
      <c r="O172" s="960"/>
      <c r="P172" s="960"/>
      <c r="Q172" s="960"/>
      <c r="R172" s="960"/>
      <c r="S172" s="960"/>
      <c r="T172" s="439" cm="1" t="str">
        <f t="array" ref="T172:T172">T171</f>
        <v>true</v>
      </c>
      <c r="U172" s="960"/>
      <c r="V172" s="960"/>
      <c r="W172" s="960"/>
      <c r="X172" s="1482"/>
      <c r="Y172" s="960"/>
      <c r="Z172" s="1465"/>
      <c r="AA172" s="960"/>
      <c r="AB172" s="222" t="str">
        <f>K172&amp;" год"</f>
        <v>2063 год</v>
      </c>
      <c r="AC172" s="4912"/>
      <c r="AD172" s="4917"/>
      <c r="AE172" s="4918"/>
      <c r="AF172" s="4918"/>
      <c r="AG172" s="4917"/>
      <c r="AH172" s="4939"/>
      <c r="AI172" s="4939"/>
      <c r="AJ172" s="4917"/>
      <c r="AK172" s="4919"/>
      <c r="AL172" s="375"/>
      <c r="AM172" s="960"/>
      <c r="AN172" s="960"/>
      <c r="AO172" s="1048" cm="1" t="str">
        <f t="array" ref="AO172:AO172">K172</f>
        <v>2063</v>
      </c>
      <c r="AP172" s="960"/>
      <c r="AQ172" s="960"/>
    </row>
    <row s="5020" customFormat="1" customHeight="1" ht="14.25" hidden="1">
      <c r="A173" s="960"/>
      <c r="B173" s="418">
        <f>K173&lt;first_year+PERIOD_LENGTH</f>
        <v>0</v>
      </c>
      <c r="C173" s="960"/>
      <c r="D173" s="960"/>
      <c r="E173" s="683">
        <v>15</v>
      </c>
      <c r="F173" s="50" cm="1" t="str">
        <f t="array" ref="F173:F173">OFFSET(E173,-1,1)</f>
        <v>2</v>
      </c>
      <c r="G173" s="960"/>
      <c r="H173" s="960"/>
      <c r="I173" s="960"/>
      <c r="J173" s="960"/>
      <c r="K173" s="124">
        <f>first_year+40</f>
        <v>2064</v>
      </c>
      <c r="L173" s="960"/>
      <c r="M173" s="960"/>
      <c r="N173" s="960"/>
      <c r="O173" s="960"/>
      <c r="P173" s="960"/>
      <c r="Q173" s="960"/>
      <c r="R173" s="960"/>
      <c r="S173" s="960"/>
      <c r="T173" s="439" cm="1" t="str">
        <f t="array" ref="T173:T173">T172</f>
        <v>true</v>
      </c>
      <c r="U173" s="960"/>
      <c r="V173" s="960"/>
      <c r="W173" s="960"/>
      <c r="X173" s="1482"/>
      <c r="Y173" s="960"/>
      <c r="Z173" s="1465"/>
      <c r="AA173" s="960"/>
      <c r="AB173" s="222" t="str">
        <f>K173&amp;" год"</f>
        <v>2064 год</v>
      </c>
      <c r="AC173" s="4912"/>
      <c r="AD173" s="4917"/>
      <c r="AE173" s="4918"/>
      <c r="AF173" s="4918"/>
      <c r="AG173" s="4917"/>
      <c r="AH173" s="4939"/>
      <c r="AI173" s="4939"/>
      <c r="AJ173" s="4917"/>
      <c r="AK173" s="4919"/>
      <c r="AL173" s="375"/>
      <c r="AM173" s="960"/>
      <c r="AN173" s="960"/>
      <c r="AO173" s="1048" cm="1" t="str">
        <f t="array" ref="AO173:AO173">K173</f>
        <v>2064</v>
      </c>
      <c r="AP173" s="960"/>
      <c r="AQ173" s="960"/>
    </row>
    <row s="5021" customFormat="1" customHeight="1" ht="14.25" hidden="1">
      <c r="A174" s="960"/>
      <c r="B174" s="418">
        <f>K174&lt;first_year+PERIOD_LENGTH</f>
        <v>0</v>
      </c>
      <c r="C174" s="960"/>
      <c r="D174" s="960"/>
      <c r="E174" s="683">
        <v>15</v>
      </c>
      <c r="F174" s="50" cm="1" t="str">
        <f t="array" ref="F174:F174">OFFSET(E174,-1,1)</f>
        <v>2</v>
      </c>
      <c r="G174" s="960"/>
      <c r="H174" s="960"/>
      <c r="I174" s="960"/>
      <c r="J174" s="960"/>
      <c r="K174" s="124">
        <f>first_year+41</f>
        <v>2065</v>
      </c>
      <c r="L174" s="960"/>
      <c r="M174" s="960"/>
      <c r="N174" s="960"/>
      <c r="O174" s="960"/>
      <c r="P174" s="960"/>
      <c r="Q174" s="960"/>
      <c r="R174" s="960"/>
      <c r="S174" s="960"/>
      <c r="T174" s="439" cm="1" t="str">
        <f t="array" ref="T174:T174">T173</f>
        <v>true</v>
      </c>
      <c r="U174" s="960"/>
      <c r="V174" s="960"/>
      <c r="W174" s="960"/>
      <c r="X174" s="1482"/>
      <c r="Y174" s="960"/>
      <c r="Z174" s="1465"/>
      <c r="AA174" s="960"/>
      <c r="AB174" s="222" t="str">
        <f>K174&amp;" год"</f>
        <v>2065 год</v>
      </c>
      <c r="AC174" s="4912"/>
      <c r="AD174" s="4917"/>
      <c r="AE174" s="4918"/>
      <c r="AF174" s="4918"/>
      <c r="AG174" s="4917"/>
      <c r="AH174" s="4939"/>
      <c r="AI174" s="4939"/>
      <c r="AJ174" s="4917"/>
      <c r="AK174" s="4919"/>
      <c r="AL174" s="375"/>
      <c r="AM174" s="960"/>
      <c r="AN174" s="960"/>
      <c r="AO174" s="1048" cm="1" t="str">
        <f t="array" ref="AO174:AO174">K174</f>
        <v>2065</v>
      </c>
      <c r="AP174" s="960"/>
      <c r="AQ174" s="960"/>
    </row>
    <row s="5022" customFormat="1" customHeight="1" ht="14.25" hidden="1">
      <c r="A175" s="960"/>
      <c r="B175" s="418">
        <f>K175&lt;first_year+PERIOD_LENGTH</f>
        <v>0</v>
      </c>
      <c r="C175" s="960"/>
      <c r="D175" s="960"/>
      <c r="E175" s="683">
        <v>15</v>
      </c>
      <c r="F175" s="50" cm="1" t="str">
        <f t="array" ref="F175:F175">OFFSET(E175,-1,1)</f>
        <v>2</v>
      </c>
      <c r="G175" s="960"/>
      <c r="H175" s="960"/>
      <c r="I175" s="960"/>
      <c r="J175" s="960"/>
      <c r="K175" s="124">
        <f>first_year+42</f>
        <v>2066</v>
      </c>
      <c r="L175" s="960"/>
      <c r="M175" s="960"/>
      <c r="N175" s="960"/>
      <c r="O175" s="960"/>
      <c r="P175" s="960"/>
      <c r="Q175" s="960"/>
      <c r="R175" s="960"/>
      <c r="S175" s="960"/>
      <c r="T175" s="439" cm="1" t="str">
        <f t="array" ref="T175:T175">T174</f>
        <v>true</v>
      </c>
      <c r="U175" s="960"/>
      <c r="V175" s="960"/>
      <c r="W175" s="960"/>
      <c r="X175" s="1482"/>
      <c r="Y175" s="960"/>
      <c r="Z175" s="1465"/>
      <c r="AA175" s="960"/>
      <c r="AB175" s="222" t="str">
        <f>K175&amp;" год"</f>
        <v>2066 год</v>
      </c>
      <c r="AC175" s="4912"/>
      <c r="AD175" s="4917"/>
      <c r="AE175" s="4918"/>
      <c r="AF175" s="4918"/>
      <c r="AG175" s="4917"/>
      <c r="AH175" s="4939"/>
      <c r="AI175" s="4939"/>
      <c r="AJ175" s="4917"/>
      <c r="AK175" s="4919"/>
      <c r="AL175" s="375"/>
      <c r="AM175" s="960"/>
      <c r="AN175" s="960"/>
      <c r="AO175" s="1048" cm="1" t="str">
        <f t="array" ref="AO175:AO175">K175</f>
        <v>2066</v>
      </c>
      <c r="AP175" s="960"/>
      <c r="AQ175" s="960"/>
    </row>
    <row s="5023" customFormat="1" customHeight="1" ht="14.25" hidden="1">
      <c r="A176" s="960"/>
      <c r="B176" s="418">
        <f>K176&lt;first_year+PERIOD_LENGTH</f>
        <v>0</v>
      </c>
      <c r="C176" s="960"/>
      <c r="D176" s="960"/>
      <c r="E176" s="683">
        <v>15</v>
      </c>
      <c r="F176" s="50" cm="1" t="str">
        <f t="array" ref="F176:F176">OFFSET(E176,-1,1)</f>
        <v>2</v>
      </c>
      <c r="G176" s="960"/>
      <c r="H176" s="960"/>
      <c r="I176" s="960"/>
      <c r="J176" s="960"/>
      <c r="K176" s="124">
        <f>first_year+43</f>
        <v>2067</v>
      </c>
      <c r="L176" s="960"/>
      <c r="M176" s="960"/>
      <c r="N176" s="960"/>
      <c r="O176" s="960"/>
      <c r="P176" s="960"/>
      <c r="Q176" s="960"/>
      <c r="R176" s="960"/>
      <c r="S176" s="960"/>
      <c r="T176" s="439" cm="1" t="str">
        <f t="array" ref="T176:T176">T175</f>
        <v>true</v>
      </c>
      <c r="U176" s="960"/>
      <c r="V176" s="960"/>
      <c r="W176" s="960"/>
      <c r="X176" s="1482"/>
      <c r="Y176" s="960"/>
      <c r="Z176" s="1465"/>
      <c r="AA176" s="960"/>
      <c r="AB176" s="222" t="str">
        <f>K176&amp;" год"</f>
        <v>2067 год</v>
      </c>
      <c r="AC176" s="4912"/>
      <c r="AD176" s="4917"/>
      <c r="AE176" s="4918"/>
      <c r="AF176" s="4918"/>
      <c r="AG176" s="4917"/>
      <c r="AH176" s="4939"/>
      <c r="AI176" s="4939"/>
      <c r="AJ176" s="4917"/>
      <c r="AK176" s="4919"/>
      <c r="AL176" s="375"/>
      <c r="AM176" s="960"/>
      <c r="AN176" s="960"/>
      <c r="AO176" s="1048" cm="1" t="str">
        <f t="array" ref="AO176:AO176">K176</f>
        <v>2067</v>
      </c>
      <c r="AP176" s="960"/>
      <c r="AQ176" s="960"/>
    </row>
    <row s="5024" customFormat="1" customHeight="1" ht="14.25" hidden="1">
      <c r="A177" s="960"/>
      <c r="B177" s="418">
        <f>K177&lt;first_year+PERIOD_LENGTH</f>
        <v>0</v>
      </c>
      <c r="C177" s="960"/>
      <c r="D177" s="960"/>
      <c r="E177" s="683">
        <v>15</v>
      </c>
      <c r="F177" s="50" cm="1" t="str">
        <f t="array" ref="F177:F177">OFFSET(E177,-1,1)</f>
        <v>2</v>
      </c>
      <c r="G177" s="960"/>
      <c r="H177" s="960"/>
      <c r="I177" s="960"/>
      <c r="J177" s="960"/>
      <c r="K177" s="124">
        <f>first_year+44</f>
        <v>2068</v>
      </c>
      <c r="L177" s="960"/>
      <c r="M177" s="960"/>
      <c r="N177" s="960"/>
      <c r="O177" s="960"/>
      <c r="P177" s="960"/>
      <c r="Q177" s="960"/>
      <c r="R177" s="960"/>
      <c r="S177" s="960"/>
      <c r="T177" s="439" cm="1" t="str">
        <f t="array" ref="T177:T177">T176</f>
        <v>true</v>
      </c>
      <c r="U177" s="960"/>
      <c r="V177" s="960"/>
      <c r="W177" s="960"/>
      <c r="X177" s="1482"/>
      <c r="Y177" s="960"/>
      <c r="Z177" s="1465"/>
      <c r="AA177" s="960"/>
      <c r="AB177" s="222" t="str">
        <f>K177&amp;" год"</f>
        <v>2068 год</v>
      </c>
      <c r="AC177" s="4912"/>
      <c r="AD177" s="4917"/>
      <c r="AE177" s="4918"/>
      <c r="AF177" s="4918"/>
      <c r="AG177" s="4917"/>
      <c r="AH177" s="4939"/>
      <c r="AI177" s="4939"/>
      <c r="AJ177" s="4917"/>
      <c r="AK177" s="4919"/>
      <c r="AL177" s="375"/>
      <c r="AM177" s="960"/>
      <c r="AN177" s="960"/>
      <c r="AO177" s="1048" cm="1" t="str">
        <f t="array" ref="AO177:AO177">K177</f>
        <v>2068</v>
      </c>
      <c r="AP177" s="960"/>
      <c r="AQ177" s="960"/>
    </row>
    <row s="5025" customFormat="1" customHeight="1" ht="14.25" hidden="1">
      <c r="A178" s="960"/>
      <c r="B178" s="418">
        <f>K178&lt;first_year+PERIOD_LENGTH</f>
        <v>0</v>
      </c>
      <c r="C178" s="960"/>
      <c r="D178" s="960"/>
      <c r="E178" s="683">
        <v>15</v>
      </c>
      <c r="F178" s="50" cm="1" t="str">
        <f t="array" ref="F178:F178">OFFSET(E178,-1,1)</f>
        <v>2</v>
      </c>
      <c r="G178" s="960"/>
      <c r="H178" s="960"/>
      <c r="I178" s="960"/>
      <c r="J178" s="960"/>
      <c r="K178" s="124">
        <f>first_year+45</f>
        <v>2069</v>
      </c>
      <c r="L178" s="960"/>
      <c r="M178" s="960"/>
      <c r="N178" s="960"/>
      <c r="O178" s="960"/>
      <c r="P178" s="960"/>
      <c r="Q178" s="960"/>
      <c r="R178" s="960"/>
      <c r="S178" s="960"/>
      <c r="T178" s="439" cm="1" t="str">
        <f t="array" ref="T178:T178">T177</f>
        <v>true</v>
      </c>
      <c r="U178" s="960"/>
      <c r="V178" s="960"/>
      <c r="W178" s="960"/>
      <c r="X178" s="1482"/>
      <c r="Y178" s="960"/>
      <c r="Z178" s="1465"/>
      <c r="AA178" s="960"/>
      <c r="AB178" s="222" t="str">
        <f>K178&amp;" год"</f>
        <v>2069 год</v>
      </c>
      <c r="AC178" s="4912"/>
      <c r="AD178" s="4917"/>
      <c r="AE178" s="4918"/>
      <c r="AF178" s="4918"/>
      <c r="AG178" s="4917"/>
      <c r="AH178" s="4939"/>
      <c r="AI178" s="4939"/>
      <c r="AJ178" s="4917"/>
      <c r="AK178" s="4919"/>
      <c r="AL178" s="375"/>
      <c r="AM178" s="960"/>
      <c r="AN178" s="960"/>
      <c r="AO178" s="1048" cm="1" t="str">
        <f t="array" ref="AO178:AO178">K178</f>
        <v>2069</v>
      </c>
      <c r="AP178" s="960"/>
      <c r="AQ178" s="960"/>
    </row>
    <row s="5026" customFormat="1" customHeight="1" ht="14.25" hidden="1">
      <c r="A179" s="960"/>
      <c r="B179" s="418">
        <f>K179&lt;first_year+PERIOD_LENGTH</f>
        <v>0</v>
      </c>
      <c r="C179" s="960"/>
      <c r="D179" s="960"/>
      <c r="E179" s="683">
        <v>15</v>
      </c>
      <c r="F179" s="50" cm="1" t="str">
        <f t="array" ref="F179:F179">OFFSET(E179,-1,1)</f>
        <v>2</v>
      </c>
      <c r="G179" s="960"/>
      <c r="H179" s="960"/>
      <c r="I179" s="960"/>
      <c r="J179" s="960"/>
      <c r="K179" s="124">
        <f>first_year+46</f>
        <v>2070</v>
      </c>
      <c r="L179" s="960"/>
      <c r="M179" s="960"/>
      <c r="N179" s="960"/>
      <c r="O179" s="960"/>
      <c r="P179" s="960"/>
      <c r="Q179" s="960"/>
      <c r="R179" s="960"/>
      <c r="S179" s="960"/>
      <c r="T179" s="439" cm="1" t="str">
        <f t="array" ref="T179:T179">T178</f>
        <v>true</v>
      </c>
      <c r="U179" s="960"/>
      <c r="V179" s="960"/>
      <c r="W179" s="960"/>
      <c r="X179" s="1482"/>
      <c r="Y179" s="960"/>
      <c r="Z179" s="1465"/>
      <c r="AA179" s="960"/>
      <c r="AB179" s="222" t="str">
        <f>K179&amp;" год"</f>
        <v>2070 год</v>
      </c>
      <c r="AC179" s="4912"/>
      <c r="AD179" s="4917"/>
      <c r="AE179" s="4918"/>
      <c r="AF179" s="4918"/>
      <c r="AG179" s="4917"/>
      <c r="AH179" s="4939"/>
      <c r="AI179" s="4939"/>
      <c r="AJ179" s="4917"/>
      <c r="AK179" s="4919"/>
      <c r="AL179" s="375"/>
      <c r="AM179" s="960"/>
      <c r="AN179" s="960"/>
      <c r="AO179" s="1048" cm="1" t="str">
        <f t="array" ref="AO179:AO179">K179</f>
        <v>2070</v>
      </c>
      <c r="AP179" s="960"/>
      <c r="AQ179" s="960"/>
    </row>
    <row s="5027" customFormat="1" customHeight="1" ht="14.25" hidden="1">
      <c r="A180" s="960"/>
      <c r="B180" s="418">
        <f>K180&lt;first_year+PERIOD_LENGTH</f>
        <v>0</v>
      </c>
      <c r="C180" s="960"/>
      <c r="D180" s="960"/>
      <c r="E180" s="683">
        <v>15</v>
      </c>
      <c r="F180" s="50" cm="1" t="str">
        <f t="array" ref="F180:F180">OFFSET(E180,-1,1)</f>
        <v>2</v>
      </c>
      <c r="G180" s="960"/>
      <c r="H180" s="960"/>
      <c r="I180" s="960"/>
      <c r="J180" s="960"/>
      <c r="K180" s="124">
        <f>first_year+47</f>
        <v>2071</v>
      </c>
      <c r="L180" s="960"/>
      <c r="M180" s="960"/>
      <c r="N180" s="960"/>
      <c r="O180" s="960"/>
      <c r="P180" s="960"/>
      <c r="Q180" s="960"/>
      <c r="R180" s="960"/>
      <c r="S180" s="960"/>
      <c r="T180" s="439" cm="1" t="str">
        <f t="array" ref="T180:T180">T179</f>
        <v>true</v>
      </c>
      <c r="U180" s="960"/>
      <c r="V180" s="960"/>
      <c r="W180" s="960"/>
      <c r="X180" s="1482"/>
      <c r="Y180" s="960"/>
      <c r="Z180" s="1465"/>
      <c r="AA180" s="960"/>
      <c r="AB180" s="222" t="str">
        <f>K180&amp;" год"</f>
        <v>2071 год</v>
      </c>
      <c r="AC180" s="4912"/>
      <c r="AD180" s="4917"/>
      <c r="AE180" s="4918"/>
      <c r="AF180" s="4918"/>
      <c r="AG180" s="4917"/>
      <c r="AH180" s="4939"/>
      <c r="AI180" s="4939"/>
      <c r="AJ180" s="4917"/>
      <c r="AK180" s="4919"/>
      <c r="AL180" s="375"/>
      <c r="AM180" s="960"/>
      <c r="AN180" s="960"/>
      <c r="AO180" s="1048" cm="1" t="str">
        <f t="array" ref="AO180:AO180">K180</f>
        <v>2071</v>
      </c>
      <c r="AP180" s="960"/>
      <c r="AQ180" s="960"/>
    </row>
    <row s="5028" customFormat="1" customHeight="1" ht="14.25" hidden="1">
      <c r="A181" s="960"/>
      <c r="B181" s="418">
        <f>K181&lt;first_year+PERIOD_LENGTH</f>
        <v>0</v>
      </c>
      <c r="C181" s="960"/>
      <c r="D181" s="960"/>
      <c r="E181" s="683">
        <v>15</v>
      </c>
      <c r="F181" s="50" cm="1" t="str">
        <f t="array" ref="F181:F181">OFFSET(E181,-1,1)</f>
        <v>2</v>
      </c>
      <c r="G181" s="960"/>
      <c r="H181" s="960"/>
      <c r="I181" s="960"/>
      <c r="J181" s="960"/>
      <c r="K181" s="124">
        <f>first_year+48</f>
        <v>2072</v>
      </c>
      <c r="L181" s="960"/>
      <c r="M181" s="960"/>
      <c r="N181" s="960"/>
      <c r="O181" s="960"/>
      <c r="P181" s="960"/>
      <c r="Q181" s="960"/>
      <c r="R181" s="960"/>
      <c r="S181" s="960"/>
      <c r="T181" s="439" cm="1" t="str">
        <f t="array" ref="T181:T181">T180</f>
        <v>true</v>
      </c>
      <c r="U181" s="960"/>
      <c r="V181" s="960"/>
      <c r="W181" s="960"/>
      <c r="X181" s="1482"/>
      <c r="Y181" s="960"/>
      <c r="Z181" s="1465"/>
      <c r="AA181" s="960"/>
      <c r="AB181" s="222" t="str">
        <f>K181&amp;" год"</f>
        <v>2072 год</v>
      </c>
      <c r="AC181" s="4912"/>
      <c r="AD181" s="4917"/>
      <c r="AE181" s="4918"/>
      <c r="AF181" s="4918"/>
      <c r="AG181" s="4917"/>
      <c r="AH181" s="4939"/>
      <c r="AI181" s="4939"/>
      <c r="AJ181" s="4917"/>
      <c r="AK181" s="4919"/>
      <c r="AL181" s="375"/>
      <c r="AM181" s="960"/>
      <c r="AN181" s="960"/>
      <c r="AO181" s="1048" cm="1" t="str">
        <f t="array" ref="AO181:AO181">K181</f>
        <v>2072</v>
      </c>
      <c r="AP181" s="960"/>
      <c r="AQ181" s="960"/>
    </row>
    <row s="5029" customFormat="1" customHeight="1" ht="14.25" hidden="1">
      <c r="A182" s="960"/>
      <c r="B182" s="418">
        <f>K182&lt;first_year+PERIOD_LENGTH</f>
        <v>0</v>
      </c>
      <c r="C182" s="960"/>
      <c r="D182" s="960"/>
      <c r="E182" s="683">
        <v>15</v>
      </c>
      <c r="F182" s="50" cm="1" t="str">
        <f t="array" ref="F182:F182">OFFSET(E182,-1,1)</f>
        <v>2</v>
      </c>
      <c r="G182" s="960"/>
      <c r="H182" s="960"/>
      <c r="I182" s="960"/>
      <c r="J182" s="960"/>
      <c r="K182" s="124">
        <f>first_year+49</f>
        <v>2073</v>
      </c>
      <c r="L182" s="960"/>
      <c r="M182" s="960"/>
      <c r="N182" s="960"/>
      <c r="O182" s="960"/>
      <c r="P182" s="960"/>
      <c r="Q182" s="960"/>
      <c r="R182" s="960"/>
      <c r="S182" s="960"/>
      <c r="T182" s="439" cm="1" t="str">
        <f t="array" ref="T182:T182">T181</f>
        <v>true</v>
      </c>
      <c r="U182" s="960"/>
      <c r="V182" s="960"/>
      <c r="W182" s="960"/>
      <c r="X182" s="1482"/>
      <c r="Y182" s="960"/>
      <c r="Z182" s="1465"/>
      <c r="AA182" s="960"/>
      <c r="AB182" s="222" t="str">
        <f>K182&amp;" год"</f>
        <v>2073 год</v>
      </c>
      <c r="AC182" s="4912"/>
      <c r="AD182" s="4917"/>
      <c r="AE182" s="4918"/>
      <c r="AF182" s="4918"/>
      <c r="AG182" s="4917"/>
      <c r="AH182" s="4939"/>
      <c r="AI182" s="4939"/>
      <c r="AJ182" s="4917"/>
      <c r="AK182" s="4919"/>
      <c r="AL182" s="375"/>
      <c r="AM182" s="960"/>
      <c r="AN182" s="960"/>
      <c r="AO182" s="1048" cm="1" t="str">
        <f t="array" ref="AO182:AO182">K182</f>
        <v>2073</v>
      </c>
      <c r="AP182" s="960"/>
      <c r="AQ182" s="960"/>
    </row>
    <row customHeight="1" ht="10.725000000000001">
      <c r="E183" s="683">
        <v>11</v>
      </c>
      <c r="U183" s="676" t="s">
        <v>177</v>
      </c>
      <c r="V183" s="689" t="s">
        <v>2124</v>
      </c>
      <c r="AH183" s="676"/>
      <c r="AI183" s="676"/>
      <c r="AJ183" s="676"/>
      <c r="AK183" s="676"/>
      <c r="AO183" s="989"/>
    </row>
    <row s="960" customFormat="1" customHeight="1" ht="14.625">
      <c r="A184" s="64"/>
      <c r="B184" s="400"/>
      <c r="C184" s="64"/>
      <c r="D184" s="64"/>
      <c r="E184" s="611">
        <v>15</v>
      </c>
      <c r="F184" s="64"/>
      <c r="G184" s="64"/>
      <c r="H184" s="64"/>
      <c r="I184" s="64"/>
      <c r="J184" s="64"/>
      <c r="K184" s="64"/>
      <c r="L184" s="64"/>
      <c r="M184" s="64"/>
      <c r="N184" s="64"/>
      <c r="O184" s="64"/>
      <c r="P184" s="64"/>
      <c r="Q184" s="64"/>
      <c r="R184" s="64"/>
      <c r="S184" s="64"/>
      <c r="T184" s="64"/>
      <c r="U184" s="64"/>
      <c r="V184" s="64"/>
      <c r="W184" s="64"/>
      <c r="X184" s="64"/>
      <c r="Y184" s="64"/>
      <c r="Z184" s="64"/>
      <c r="AA184" s="64"/>
      <c r="AB184" s="1489" t="s">
        <v>398</v>
      </c>
      <c r="AC184" s="1489"/>
      <c r="AD184" s="1489"/>
      <c r="AE184" s="1489"/>
      <c r="AF184" s="1489"/>
      <c r="AG184" s="1489"/>
      <c r="AH184" s="1489"/>
      <c r="AI184" s="1489"/>
      <c r="AJ184" s="1489"/>
      <c r="AK184" s="1489"/>
      <c r="AL184" s="64"/>
      <c r="AO184" s="1048"/>
    </row>
    <row s="960" customFormat="1" customHeight="1" ht="14.625">
      <c r="A185" s="64"/>
      <c r="B185" s="400"/>
      <c r="C185" s="64"/>
      <c r="D185" s="64"/>
      <c r="E185" s="611">
        <v>15</v>
      </c>
      <c r="F185" s="64"/>
      <c r="G185" s="64"/>
      <c r="H185" s="64"/>
      <c r="I185" s="64"/>
      <c r="J185" s="64"/>
      <c r="K185" s="64"/>
      <c r="L185" s="64"/>
      <c r="M185" s="64"/>
      <c r="N185" s="64"/>
      <c r="O185" s="64"/>
      <c r="P185" s="64"/>
      <c r="Q185" s="64"/>
      <c r="R185" s="64"/>
      <c r="S185" s="64"/>
      <c r="T185" s="64"/>
      <c r="U185" s="64"/>
      <c r="V185" s="64"/>
      <c r="W185" s="64"/>
      <c r="X185" s="64"/>
      <c r="Y185" s="64"/>
      <c r="Z185" s="64"/>
      <c r="AA185" s="140"/>
      <c r="AB185" s="1581"/>
      <c r="AC185" s="1581"/>
      <c r="AD185" s="1581"/>
      <c r="AE185" s="1581"/>
      <c r="AF185" s="1581"/>
      <c r="AG185" s="1581"/>
      <c r="AH185" s="5031"/>
      <c r="AI185" s="5031"/>
      <c r="AJ185" s="5031"/>
      <c r="AK185" s="5031"/>
      <c r="AL185" s="64"/>
      <c r="AO185" s="1048"/>
    </row>
    <row s="1621" customFormat="1" customHeight="1" ht="14.625" hidden="1">
      <c r="A186" s="64"/>
      <c r="B186" s="400"/>
      <c r="C186" s="64"/>
      <c r="D186" s="64"/>
      <c r="E186" s="611">
        <v>15</v>
      </c>
      <c r="F186" s="64"/>
      <c r="G186" s="64"/>
      <c r="H186" s="64"/>
      <c r="I186" s="64"/>
      <c r="J186" s="64"/>
      <c r="K186" s="64"/>
      <c r="L186" s="64"/>
      <c r="M186" s="64"/>
      <c r="N186" s="64"/>
      <c r="O186" s="64"/>
      <c r="P186" s="64"/>
      <c r="Q186" s="64"/>
      <c r="R186" s="64"/>
      <c r="S186" s="64"/>
      <c r="T186" s="463">
        <f>ROW(W186)&gt;ROW(W$186)</f>
        <v>0</v>
      </c>
      <c r="U186" s="64"/>
      <c r="V186" s="64"/>
      <c r="W186" s="124" t="s">
        <v>173</v>
      </c>
      <c r="X186" s="64"/>
      <c r="Y186" s="64"/>
      <c r="Z186" s="64"/>
      <c r="AA186" s="393" t="s">
        <v>174</v>
      </c>
      <c r="AB186" s="5031" t="s">
        <v>222</v>
      </c>
      <c r="AC186" s="5031"/>
      <c r="AD186" s="5031"/>
      <c r="AE186" s="5031"/>
      <c r="AF186" s="5031"/>
      <c r="AG186" s="5031"/>
      <c r="AH186" s="5031"/>
      <c r="AI186" s="5031"/>
      <c r="AJ186" s="5031"/>
      <c r="AK186" s="5031"/>
      <c r="AL186" s="64"/>
      <c r="AM186" s="1621"/>
      <c r="AN186" s="1621"/>
      <c r="AO186" s="987"/>
      <c r="AP186" s="1621"/>
      <c r="AQ186" s="67"/>
    </row>
    <row s="1621" customFormat="1" customHeight="1" ht="14.625">
      <c r="A187" s="64"/>
      <c r="B187" s="400"/>
      <c r="C187" s="64"/>
      <c r="D187" s="64"/>
      <c r="E187" s="611">
        <v>15</v>
      </c>
      <c r="F187" s="64"/>
      <c r="G187" s="64"/>
      <c r="H187" s="64"/>
      <c r="I187" s="64"/>
      <c r="J187" s="64"/>
      <c r="K187" s="64"/>
      <c r="L187" s="64"/>
      <c r="M187" s="64"/>
      <c r="N187" s="64"/>
      <c r="O187" s="64"/>
      <c r="P187" s="64"/>
      <c r="Q187" s="64"/>
      <c r="R187" s="64"/>
      <c r="S187" s="64"/>
      <c r="T187" s="64"/>
      <c r="U187" s="64"/>
      <c r="V187" s="64"/>
      <c r="W187" s="810" t="s">
        <v>399</v>
      </c>
      <c r="X187" s="64"/>
      <c r="Y187" s="64"/>
      <c r="Z187" s="64"/>
      <c r="AA187" s="64"/>
      <c r="AB187" s="627"/>
      <c r="AC187" s="488" t="s">
        <v>400</v>
      </c>
      <c r="AD187" s="280"/>
      <c r="AE187" s="280"/>
      <c r="AF187" s="280"/>
      <c r="AG187" s="280"/>
      <c r="AH187" s="280"/>
      <c r="AI187" s="280"/>
      <c r="AJ187" s="280"/>
      <c r="AK187" s="281"/>
      <c r="AL187" s="64"/>
      <c r="AO187" s="987"/>
      <c r="AQ187" s="67"/>
    </row>
    <row s="1621" customFormat="1" customHeight="1" ht="10.725000000000001">
      <c r="A188" s="64"/>
      <c r="B188" s="400"/>
      <c r="C188" s="64"/>
      <c r="D188" s="64"/>
      <c r="E188" s="611">
        <v>11</v>
      </c>
      <c r="F188" s="64"/>
      <c r="G188" s="64"/>
      <c r="H188" s="64"/>
      <c r="I188" s="64"/>
      <c r="J188" s="64"/>
      <c r="K188" s="64"/>
      <c r="L188" s="64"/>
      <c r="M188" s="64"/>
      <c r="N188" s="64"/>
      <c r="O188" s="64"/>
      <c r="P188" s="64"/>
      <c r="Q188" s="64"/>
      <c r="R188" s="64"/>
      <c r="S188" s="64"/>
      <c r="T188" s="64"/>
      <c r="U188" s="64"/>
      <c r="V188" s="64"/>
      <c r="W188" s="64"/>
      <c r="X188" s="64"/>
      <c r="Y188" s="64"/>
      <c r="Z188" s="64"/>
      <c r="AA188" s="64"/>
      <c r="AB188" s="174"/>
      <c r="AC188" s="64"/>
      <c r="AD188" s="64"/>
      <c r="AE188" s="64"/>
      <c r="AF188" s="64"/>
      <c r="AG188" s="64"/>
      <c r="AH188" s="64"/>
      <c r="AI188" s="64"/>
      <c r="AJ188" s="64"/>
      <c r="AK188" s="64"/>
      <c r="AL188" s="399"/>
      <c r="AO188" s="987"/>
      <c r="AQ188" s="67"/>
    </row>
    <row s="1621" customFormat="1" customHeight="1" ht="11.25" hidden="1">
      <c r="B189" s="403"/>
      <c r="E189" s="603"/>
      <c r="AC189" s="66"/>
      <c r="AD189" s="66"/>
      <c r="AE189" s="66"/>
      <c r="AF189" s="66"/>
      <c r="AH189" s="1621"/>
      <c r="AI189" s="1621"/>
      <c r="AJ189" s="1621"/>
      <c r="AK189" s="1621"/>
      <c r="AO189" s="987"/>
      <c r="AQ189" s="67"/>
    </row>
  </sheetData>
  <sheetProtection formatColumns="0" formatRows="0" insertRows="0" deleteColumns="0" deleteRows="0" sort="0" autoFilter="0" insertColumns="1"/>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decimal" allowBlank="1" showErrorMessage="1" errorTitle="Ошибка" error="Допускается ввод только неотрицательных чисел!" sqref="AE31:AE80 AE82:AE131 AE133:AE182">
      <formula1>0</formula1>
      <formula2>9.99999999999999E+23</formula2>
    </dataValidation>
    <dataValidation type="list" allowBlank="1" showInputMessage="1" showErrorMessage="1" errorTitle="Внимание" error="Пожалуйста, выберите значение из списка!" sqref="AF24">
      <formula1>YES_NO</formula1>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8CD348-1E88-4369-8A58-939FD5F459C8}" mc:Ignorable="x14ac xr xr2 xr3">
  <sheetPr>
    <tabColor rgb="FF002060"/>
    <outlinePr summaryRight="0" summaryBelow="0"/>
  </sheetPr>
  <dimension ref="A1:AR192"/>
  <sheetViews>
    <sheetView showGridLines="0" workbookViewId="0">
      <pane xSplit="28" ySplit="26" topLeftCell="AC27" activePane="bottomRight" state="frozen"/>
      <selection pane="bottomLeft" activeCell="A27" sqref="A27"/>
      <selection pane="topRight" activeCell="AC1" sqref="AC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7.140625" hidden="1" customWidth="1"/>
    <col min="12" max="19" style="676" width="3.57421875" hidden="1" customWidth="1"/>
    <col min="20" max="20" style="676" width="9.140625" hidden="1"/>
    <col min="21" max="26" style="676" width="3.5742187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39" style="676" width="9.140625" hidden="1"/>
    <col min="40" max="42" style="1061" width="9.140625" hidden="1"/>
    <col min="43" max="44" style="697" width="9.140625" hidden="1"/>
  </cols>
  <sheetData>
    <row customHeight="1" ht="11.25" hidden="1">
      <c r="E1" s="64"/>
      <c r="F1" s="64" t="s">
        <v>313</v>
      </c>
      <c r="G1" s="64" t="s">
        <v>351</v>
      </c>
      <c r="K1" s="64" t="s">
        <v>354</v>
      </c>
      <c r="T1" s="439" t="s">
        <v>92</v>
      </c>
      <c r="U1" s="439" t="s">
        <v>97</v>
      </c>
      <c r="V1" s="439" t="s">
        <v>93</v>
      </c>
      <c r="W1" s="439" t="s">
        <v>94</v>
      </c>
      <c r="X1" s="439" t="s">
        <v>95</v>
      </c>
      <c r="Y1" s="441" t="s">
        <v>315</v>
      </c>
      <c r="Z1" s="439" t="s">
        <v>99</v>
      </c>
      <c r="AA1" s="440" t="s">
        <v>96</v>
      </c>
      <c r="AB1" s="439" t="s">
        <v>98</v>
      </c>
      <c r="AC1" s="440" t="s">
        <v>98</v>
      </c>
      <c r="AH1" s="676"/>
      <c r="AI1" s="676"/>
      <c r="AJ1" s="676"/>
      <c r="AK1" s="676"/>
      <c r="AN1" s="998" t="s">
        <v>359</v>
      </c>
      <c r="AO1" s="998" t="s">
        <v>317</v>
      </c>
      <c r="AP1" s="998" t="s">
        <v>318</v>
      </c>
      <c r="AQ1" s="611" t="s">
        <v>321</v>
      </c>
      <c r="AR1" s="611" t="s">
        <v>322</v>
      </c>
    </row>
    <row s="1176" customFormat="1" customHeight="1" ht="11.25" hidden="1">
      <c r="B2" s="418" t="s">
        <v>18</v>
      </c>
      <c r="AB2" s="402"/>
      <c r="AG2" s="418">
        <f>DPR_ee_divide="нет"</f>
        <v>1</v>
      </c>
      <c r="AH2" s="418">
        <f>DPR_ee_divide="да"</f>
        <v>0</v>
      </c>
      <c r="AI2" s="418">
        <f>DPR_ee_divide="да"</f>
        <v>0</v>
      </c>
      <c r="AJ2" s="418">
        <f>DPR_ee_divide="да"</f>
        <v>0</v>
      </c>
      <c r="AK2" s="418">
        <f>DPR_ee_divide="да"</f>
        <v>0</v>
      </c>
      <c r="AN2" s="999"/>
      <c r="AO2" s="999"/>
      <c r="AP2" s="999"/>
      <c r="AQ2" s="1013"/>
      <c r="AR2" s="1013"/>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N5" s="998"/>
      <c r="AO5" s="998"/>
      <c r="AP5" s="998"/>
    </row>
    <row customHeight="1" ht="11.25" hidden="1">
      <c r="A6" s="64" t="s">
        <v>324</v>
      </c>
      <c r="AC6" s="64" t="s">
        <v>325</v>
      </c>
      <c r="AD6" s="64" t="s">
        <v>326</v>
      </c>
      <c r="AE6" s="64" t="s">
        <v>327</v>
      </c>
      <c r="AF6" s="64" t="s">
        <v>514</v>
      </c>
      <c r="AG6" s="64" t="s">
        <v>518</v>
      </c>
      <c r="AH6" s="64" t="s">
        <v>2100</v>
      </c>
      <c r="AI6" s="64" t="s">
        <v>2101</v>
      </c>
      <c r="AJ6" s="64" t="s">
        <v>2102</v>
      </c>
      <c r="AK6" s="64" t="s">
        <v>2103</v>
      </c>
    </row>
    <row customHeight="1" ht="11.25" hidden="1">
      <c r="AH7" s="676"/>
      <c r="AI7" s="676"/>
      <c r="AJ7" s="676"/>
      <c r="AK7" s="676"/>
    </row>
    <row customHeight="1" ht="11.25" hidden="1">
      <c r="AH8" s="676"/>
      <c r="AI8" s="676"/>
      <c r="AJ8" s="676"/>
      <c r="AK8" s="676"/>
    </row>
    <row s="1061" customFormat="1" customHeight="1" ht="11.25" hidden="1">
      <c r="A9" s="998" t="s">
        <v>316</v>
      </c>
      <c r="B9" s="999"/>
      <c r="AB9" s="1038"/>
      <c r="AC9" s="1057" t="s">
        <v>2104</v>
      </c>
      <c r="AD9" s="1057" t="s">
        <v>2105</v>
      </c>
      <c r="AE9" s="1057" t="s">
        <v>2106</v>
      </c>
      <c r="AF9" s="1057" t="s">
        <v>2107</v>
      </c>
      <c r="AG9" s="1057" t="s">
        <v>2108</v>
      </c>
      <c r="AH9" s="1057" t="s">
        <v>2109</v>
      </c>
      <c r="AI9" s="1057" t="s">
        <v>2110</v>
      </c>
      <c r="AJ9" s="1057" t="s">
        <v>2111</v>
      </c>
      <c r="AK9" s="998" t="s">
        <v>2112</v>
      </c>
      <c r="AQ9" s="611"/>
      <c r="AR9" s="611"/>
    </row>
    <row s="1061" customFormat="1" customHeight="1" ht="11.25" hidden="1">
      <c r="A10" s="998" t="s">
        <v>331</v>
      </c>
      <c r="B10" s="999"/>
      <c r="AB10" s="1038" t="s">
        <v>318</v>
      </c>
      <c r="AH10" s="1061"/>
      <c r="AI10" s="1061"/>
      <c r="AJ10" s="1061"/>
      <c r="AK10" s="1061"/>
      <c r="AQ10" s="611"/>
      <c r="AR10" s="611"/>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18" s="64" t="s">
        <v>332</v>
      </c>
      <c r="AB18" s="174" t="s">
        <v>194</v>
      </c>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637"/>
      <c r="AB21" s="334" cm="1" t="str">
        <f t="array" ref="AB21:AB21">tpl_title</f>
        <v>Кемеровская область / 2026 / Филиал АО "УК "Кузбассразрезуголь" "Талдинский угольный разрез" (ИНН:4205049090, КПП:423802002) / ДПР: 2024-2028</v>
      </c>
      <c r="AH21" s="676"/>
      <c r="AI21" s="676"/>
      <c r="AJ21" s="676"/>
      <c r="AK21" s="676"/>
    </row>
    <row s="1168" customFormat="1" customHeight="1" ht="23.400000000000002">
      <c r="B22" s="400"/>
      <c r="E22" s="612">
        <v>24</v>
      </c>
      <c r="AB22" s="287" t="s">
        <v>86</v>
      </c>
      <c r="AC22" s="173"/>
      <c r="AD22" s="173"/>
      <c r="AE22" s="173"/>
      <c r="AF22" s="173"/>
      <c r="AG22" s="173"/>
      <c r="AH22" s="173"/>
      <c r="AI22" s="173"/>
      <c r="AJ22" s="173"/>
      <c r="AK22" s="173"/>
      <c r="AN22" s="1001"/>
      <c r="AO22" s="1001"/>
      <c r="AP22" s="1001"/>
      <c r="AQ22" s="612"/>
      <c r="AR22" s="612"/>
    </row>
    <row customHeight="1" ht="10.96875">
      <c r="E23" s="611">
        <v>11.25</v>
      </c>
      <c r="AB23" s="110"/>
      <c r="AC23" s="110"/>
      <c r="AH23" s="676"/>
      <c r="AI23" s="676"/>
      <c r="AJ23" s="676"/>
      <c r="AK23" s="676"/>
    </row>
    <row s="1187" customFormat="1" customHeight="1" ht="38.025">
      <c r="B24" s="402"/>
      <c r="E24" s="609">
        <v>39</v>
      </c>
      <c r="AB24" s="1589" t="s">
        <v>2114</v>
      </c>
      <c r="AC24" s="1592" t="s">
        <v>2115</v>
      </c>
      <c r="AD24" s="1592" t="s">
        <v>442</v>
      </c>
      <c r="AE24" s="1592" t="s">
        <v>2116</v>
      </c>
      <c r="AF24" s="1592" t="s">
        <v>2117</v>
      </c>
      <c r="AG24" s="1592"/>
      <c r="AH24" s="1592"/>
      <c r="AI24" s="1592"/>
      <c r="AJ24" s="1592"/>
      <c r="AK24" s="1593"/>
      <c r="AN24" s="996"/>
      <c r="AO24" s="996"/>
      <c r="AP24" s="996"/>
      <c r="AQ24" s="609"/>
      <c r="AR24" s="609"/>
    </row>
    <row s="1187" customFormat="1" customHeight="1" ht="35.1">
      <c r="B25" s="402"/>
      <c r="E25" s="609">
        <v>36</v>
      </c>
      <c r="AB25" s="1590"/>
      <c r="AC25" s="1592"/>
      <c r="AD25" s="1592"/>
      <c r="AE25" s="1592"/>
      <c r="AF25" s="221" t="s">
        <v>562</v>
      </c>
      <c r="AG25" s="221" t="s">
        <v>2118</v>
      </c>
      <c r="AH25" s="221" t="s">
        <v>2119</v>
      </c>
      <c r="AI25" s="221" t="s">
        <v>2120</v>
      </c>
      <c r="AJ25" s="221" t="s">
        <v>2121</v>
      </c>
      <c r="AK25" s="222" t="s">
        <v>2122</v>
      </c>
      <c r="AN25" s="996"/>
      <c r="AO25" s="996"/>
      <c r="AP25" s="996"/>
      <c r="AQ25" s="609"/>
      <c r="AR25" s="609"/>
    </row>
    <row s="1484" customFormat="1" customHeight="1" ht="10.96875">
      <c r="B26" s="402"/>
      <c r="E26" s="234">
        <v>11.25</v>
      </c>
      <c r="AB26" s="1591"/>
      <c r="AC26" s="221" t="s">
        <v>784</v>
      </c>
      <c r="AD26" s="221" t="s">
        <v>437</v>
      </c>
      <c r="AE26" s="57" t="s">
        <v>437</v>
      </c>
      <c r="AF26" s="221" t="s">
        <v>437</v>
      </c>
      <c r="AG26" s="221" t="s">
        <v>2123</v>
      </c>
      <c r="AH26" s="221" t="s">
        <v>2123</v>
      </c>
      <c r="AI26" s="221" t="s">
        <v>2123</v>
      </c>
      <c r="AJ26" s="221" t="s">
        <v>2123</v>
      </c>
      <c r="AK26" s="222" t="s">
        <v>2123</v>
      </c>
      <c r="AN26" s="1014"/>
      <c r="AO26" s="1014"/>
      <c r="AP26" s="1014"/>
      <c r="AQ26" s="234"/>
      <c r="AR26" s="234"/>
    </row>
    <row s="1621" customFormat="1" customHeight="1" ht="11.25" hidden="1">
      <c r="A27" s="473"/>
      <c r="B27" s="638"/>
      <c r="C27" s="473"/>
      <c r="D27" s="473"/>
      <c r="E27" s="639">
        <v>0</v>
      </c>
      <c r="F27" s="51"/>
      <c r="G27" s="473"/>
      <c r="H27" s="473"/>
      <c r="I27" s="473"/>
      <c r="J27" s="473"/>
      <c r="K27" s="473"/>
      <c r="L27" s="473"/>
      <c r="M27" s="473"/>
      <c r="N27" s="473"/>
      <c r="O27" s="473"/>
      <c r="P27" s="473"/>
      <c r="Q27" s="473"/>
      <c r="R27" s="473"/>
      <c r="S27" s="473"/>
      <c r="T27" s="473"/>
      <c r="U27" s="473"/>
      <c r="V27" s="473"/>
      <c r="W27" s="473"/>
      <c r="X27" s="473"/>
      <c r="Y27" s="473"/>
      <c r="Z27" s="473"/>
      <c r="AA27" s="473"/>
      <c r="AC27" s="66"/>
      <c r="AD27" s="66"/>
      <c r="AE27" s="66"/>
      <c r="AF27" s="66"/>
      <c r="AH27" s="1621"/>
      <c r="AI27" s="1621"/>
      <c r="AJ27" s="1621"/>
      <c r="AK27" s="1621"/>
      <c r="AN27" s="987"/>
      <c r="AO27" s="987"/>
      <c r="AP27" s="987"/>
      <c r="AQ27" s="990"/>
      <c r="AR27" s="603"/>
    </row>
    <row s="1153" customFormat="1" customHeight="1" ht="14.625" hidden="1">
      <c r="A28" s="1153"/>
      <c r="B28" s="401"/>
      <c r="C28" s="1153"/>
      <c r="D28" s="1153"/>
      <c r="E28" s="597">
        <v>15</v>
      </c>
      <c r="F28" s="64" cm="1" t="str">
        <f t="array" ref="F28:F28">X28</f>
        <v>0</v>
      </c>
      <c r="G28" s="1153"/>
      <c r="H28" s="1153"/>
      <c r="I28" s="1153"/>
      <c r="J28" s="1153"/>
      <c r="K28" s="1153"/>
      <c r="L28" s="1153"/>
      <c r="M28" s="1153"/>
      <c r="N28" s="1153"/>
      <c r="O28" s="1153"/>
      <c r="P28" s="1153"/>
      <c r="Q28" s="1153"/>
      <c r="R28" s="1153"/>
      <c r="S28" s="1153"/>
      <c r="T28" s="439">
        <f>X28&gt;0</f>
        <v>0</v>
      </c>
      <c r="U28" s="1153"/>
      <c r="V28" s="88" t="s">
        <v>261</v>
      </c>
      <c r="W28" s="1153"/>
      <c r="X28" s="1482">
        <v>0</v>
      </c>
      <c r="Y28" s="1153"/>
      <c r="Z28" s="1465"/>
      <c r="AA28" s="1153"/>
      <c r="AB28" s="348" cm="1" t="str">
        <f t="array" ref="AB28:AB28">INDEX('Общие сведения'!$AG$179:$AG$222,MATCH($X28,'Общие сведения'!$Z$179:$Z$222,0))</f>
        <v>Тариф 0 () - </v>
      </c>
      <c r="AC28" s="210"/>
      <c r="AD28" s="210"/>
      <c r="AE28" s="210"/>
      <c r="AF28" s="210"/>
      <c r="AG28" s="210"/>
      <c r="AH28" s="210"/>
      <c r="AI28" s="210"/>
      <c r="AJ28" s="210"/>
      <c r="AK28" s="210"/>
      <c r="AL28" s="374"/>
      <c r="AM28" s="1153"/>
      <c r="AN28" s="980"/>
      <c r="AO28" s="980"/>
      <c r="AP28" s="980"/>
      <c r="AQ28" s="597"/>
      <c r="AR28" s="597"/>
    </row>
    <row s="1153" customFormat="1" customHeight="1" ht="14.625" hidden="1">
      <c r="A29" s="1153"/>
      <c r="B29" s="401"/>
      <c r="C29" s="1153"/>
      <c r="D29" s="1153"/>
      <c r="E29" s="597">
        <v>15</v>
      </c>
      <c r="F29" s="50" cm="1" t="str">
        <f t="array" ref="F29:F29">OFFSET(E29,-1,1)</f>
        <v>0</v>
      </c>
      <c r="G29" s="88" cm="1" t="str">
        <f t="array" ref="G29:G29">AB29</f>
        <v>0</v>
      </c>
      <c r="H29" s="1153"/>
      <c r="I29" s="1153"/>
      <c r="J29" s="1153"/>
      <c r="K29" s="1153"/>
      <c r="L29" s="1153"/>
      <c r="M29" s="1153"/>
      <c r="N29" s="1153"/>
      <c r="O29" s="1153"/>
      <c r="P29" s="1153"/>
      <c r="Q29" s="1153"/>
      <c r="R29" s="1153"/>
      <c r="S29" s="1153"/>
      <c r="T29" s="439">
        <f>AND(F29&gt;0,Y29&gt;0)</f>
        <v>0</v>
      </c>
      <c r="U29" s="1153"/>
      <c r="V29" s="1153"/>
      <c r="W29" s="88" t="s">
        <v>173</v>
      </c>
      <c r="X29" s="1482"/>
      <c r="Y29" s="1482">
        <v>0</v>
      </c>
      <c r="Z29" s="1465"/>
      <c r="AA29" s="1585" t="s">
        <v>174</v>
      </c>
      <c r="AB29" s="5038"/>
      <c r="AC29" s="5038"/>
      <c r="AD29" s="5038"/>
      <c r="AE29" s="5038"/>
      <c r="AF29" s="5038"/>
      <c r="AG29" s="5038"/>
      <c r="AH29" s="5038"/>
      <c r="AI29" s="5038"/>
      <c r="AJ29" s="5038"/>
      <c r="AK29" s="5039"/>
      <c r="AL29" s="374"/>
      <c r="AM29" s="1153"/>
      <c r="AN29" s="980"/>
      <c r="AO29" s="1048" t="s">
        <v>2125</v>
      </c>
      <c r="AP29" s="1063" cm="1" t="str">
        <f t="array" ref="AP29:AP29">AB29</f>
        <v>0</v>
      </c>
      <c r="AQ29" s="597"/>
      <c r="AR29" s="597" t="b">
        <v>1</v>
      </c>
    </row>
    <row s="960" customFormat="1" customHeight="1" ht="14.625" hidden="1">
      <c r="A30" s="960"/>
      <c r="B30" s="418">
        <f>K30&lt;first_year+PERIOD_LENGTH</f>
        <v>1</v>
      </c>
      <c r="C30" s="960"/>
      <c r="D30" s="960"/>
      <c r="E30" s="683">
        <v>15</v>
      </c>
      <c r="F30" s="50" cm="1" t="str">
        <f t="array" ref="F30:F30">OFFSET(E30,-1,1)</f>
        <v>0</v>
      </c>
      <c r="G30" s="64" cm="1" t="str">
        <f t="array" ref="G30:G30">G29</f>
        <v>0</v>
      </c>
      <c r="H30" s="960"/>
      <c r="I30" s="960"/>
      <c r="J30" s="960"/>
      <c r="K30" s="124" cm="1" t="str">
        <f t="array" ref="K30:K30">first_year</f>
        <v>2024</v>
      </c>
      <c r="L30" s="960"/>
      <c r="M30" s="960"/>
      <c r="N30" s="960"/>
      <c r="O30" s="960"/>
      <c r="P30" s="960"/>
      <c r="Q30" s="960"/>
      <c r="R30" s="960"/>
      <c r="S30" s="960"/>
      <c r="T30" s="439" cm="1" t="str">
        <f t="array" ref="T30:T30">T29</f>
        <v>false</v>
      </c>
      <c r="U30" s="960"/>
      <c r="V30" s="960"/>
      <c r="W30" s="960"/>
      <c r="X30" s="1482"/>
      <c r="Y30" s="1482"/>
      <c r="Z30" s="1465"/>
      <c r="AA30" s="1585"/>
      <c r="AB30" s="269" t="str">
        <f>K30&amp;" год"</f>
        <v>2024 год</v>
      </c>
      <c r="AC30" s="5042"/>
      <c r="AD30" s="5043"/>
      <c r="AE30" s="5042"/>
      <c r="AF30" s="5042"/>
      <c r="AG30" s="5043"/>
      <c r="AH30" s="5042"/>
      <c r="AI30" s="5043"/>
      <c r="AJ30" s="5042"/>
      <c r="AK30" s="5044"/>
      <c r="AL30" s="375"/>
      <c r="AM30" s="960"/>
      <c r="AN30" s="1048" cm="1" t="str">
        <f t="array" ref="AN30:AN30">K30</f>
        <v>2024</v>
      </c>
      <c r="AO30" s="1048" t="s">
        <v>2125</v>
      </c>
      <c r="AP30" s="1058" cm="1" t="str">
        <f t="array" ref="AP30:AP30">AP29</f>
        <v>0</v>
      </c>
      <c r="AQ30" s="683"/>
      <c r="AR30" s="683"/>
    </row>
    <row s="960" customFormat="1" customHeight="1" ht="14.625" hidden="1">
      <c r="A31" s="960"/>
      <c r="B31" s="418">
        <f>K31&lt;first_year+PERIOD_LENGTH</f>
        <v>1</v>
      </c>
      <c r="C31" s="960"/>
      <c r="D31" s="960"/>
      <c r="E31" s="683">
        <v>15</v>
      </c>
      <c r="F31" s="50" cm="1" t="str">
        <f t="array" ref="F31:F31">OFFSET(E31,-1,1)</f>
        <v>0</v>
      </c>
      <c r="G31" s="64" cm="1" t="str">
        <f t="array" ref="G31:G31">G30</f>
        <v>0</v>
      </c>
      <c r="H31" s="960"/>
      <c r="I31" s="960"/>
      <c r="J31" s="960"/>
      <c r="K31" s="124">
        <f>first_year+1</f>
        <v>2025</v>
      </c>
      <c r="L31" s="960"/>
      <c r="M31" s="960"/>
      <c r="N31" s="960"/>
      <c r="O31" s="960"/>
      <c r="P31" s="960"/>
      <c r="Q31" s="960"/>
      <c r="R31" s="960"/>
      <c r="S31" s="960"/>
      <c r="T31" s="439" cm="1" t="str">
        <f t="array" ref="T31:T31">T30</f>
        <v>false</v>
      </c>
      <c r="U31" s="960"/>
      <c r="V31" s="960"/>
      <c r="W31" s="960"/>
      <c r="X31" s="1482"/>
      <c r="Y31" s="1482"/>
      <c r="Z31" s="1465"/>
      <c r="AA31" s="1585"/>
      <c r="AB31" s="222" t="str">
        <f>K31&amp;" год"</f>
        <v>2025 год</v>
      </c>
      <c r="AC31" s="380"/>
      <c r="AD31" s="5043"/>
      <c r="AE31" s="5042"/>
      <c r="AF31" s="5042"/>
      <c r="AG31" s="5043"/>
      <c r="AH31" s="5042"/>
      <c r="AI31" s="5043"/>
      <c r="AJ31" s="5042"/>
      <c r="AK31" s="5044"/>
      <c r="AL31" s="375"/>
      <c r="AM31" s="960"/>
      <c r="AN31" s="1048" cm="1" t="str">
        <f t="array" ref="AN31:AN31">K31</f>
        <v>2025</v>
      </c>
      <c r="AO31" s="1048" t="s">
        <v>2125</v>
      </c>
      <c r="AP31" s="1058" cm="1" t="str">
        <f t="array" ref="AP31:AP31">AP30</f>
        <v>0</v>
      </c>
      <c r="AQ31" s="683"/>
      <c r="AR31" s="683"/>
    </row>
    <row s="960" customFormat="1" customHeight="1" ht="14.625" hidden="1">
      <c r="A32" s="960"/>
      <c r="B32" s="418">
        <f>K32&lt;first_year+PERIOD_LENGTH</f>
        <v>1</v>
      </c>
      <c r="C32" s="960"/>
      <c r="D32" s="960"/>
      <c r="E32" s="683">
        <v>15</v>
      </c>
      <c r="F32" s="50" cm="1" t="str">
        <f t="array" ref="F32:F32">OFFSET(E32,-1,1)</f>
        <v>0</v>
      </c>
      <c r="G32" s="64" cm="1" t="str">
        <f t="array" ref="G32:G32">G31</f>
        <v>0</v>
      </c>
      <c r="H32" s="960"/>
      <c r="I32" s="960"/>
      <c r="J32" s="960"/>
      <c r="K32" s="124">
        <f>first_year+2</f>
        <v>2026</v>
      </c>
      <c r="L32" s="960"/>
      <c r="M32" s="960"/>
      <c r="N32" s="960"/>
      <c r="O32" s="960"/>
      <c r="P32" s="960"/>
      <c r="Q32" s="960"/>
      <c r="R32" s="960"/>
      <c r="S32" s="960"/>
      <c r="T32" s="439" cm="1" t="str">
        <f t="array" ref="T32:T32">T31</f>
        <v>false</v>
      </c>
      <c r="U32" s="960"/>
      <c r="V32" s="960"/>
      <c r="W32" s="960"/>
      <c r="X32" s="1482"/>
      <c r="Y32" s="1482"/>
      <c r="Z32" s="1465"/>
      <c r="AA32" s="1585"/>
      <c r="AB32" s="222" t="str">
        <f>K32&amp;" год"</f>
        <v>2026 год</v>
      </c>
      <c r="AC32" s="380"/>
      <c r="AD32" s="5043"/>
      <c r="AE32" s="5042"/>
      <c r="AF32" s="5042"/>
      <c r="AG32" s="5043"/>
      <c r="AH32" s="5042"/>
      <c r="AI32" s="5043"/>
      <c r="AJ32" s="5042"/>
      <c r="AK32" s="5044"/>
      <c r="AL32" s="375"/>
      <c r="AM32" s="960"/>
      <c r="AN32" s="1048" cm="1" t="str">
        <f t="array" ref="AN32:AN32">K32</f>
        <v>2026</v>
      </c>
      <c r="AO32" s="1048" t="s">
        <v>2125</v>
      </c>
      <c r="AP32" s="1058" cm="1" t="str">
        <f t="array" ref="AP32:AP32">AP31</f>
        <v>0</v>
      </c>
      <c r="AQ32" s="683"/>
      <c r="AR32" s="683"/>
    </row>
    <row s="960" customFormat="1" customHeight="1" ht="14.625" hidden="1">
      <c r="A33" s="960"/>
      <c r="B33" s="418">
        <f>K33&lt;first_year+PERIOD_LENGTH</f>
        <v>1</v>
      </c>
      <c r="C33" s="960"/>
      <c r="D33" s="960"/>
      <c r="E33" s="683">
        <v>15</v>
      </c>
      <c r="F33" s="50" cm="1" t="str">
        <f t="array" ref="F33:F33">OFFSET(E33,-1,1)</f>
        <v>0</v>
      </c>
      <c r="G33" s="64" cm="1" t="str">
        <f t="array" ref="G33:G33">G32</f>
        <v>0</v>
      </c>
      <c r="H33" s="960"/>
      <c r="I33" s="960"/>
      <c r="J33" s="960"/>
      <c r="K33" s="124">
        <f>first_year+3</f>
        <v>2027</v>
      </c>
      <c r="L33" s="960"/>
      <c r="M33" s="960"/>
      <c r="N33" s="960"/>
      <c r="O33" s="960"/>
      <c r="P33" s="960"/>
      <c r="Q33" s="960"/>
      <c r="R33" s="960"/>
      <c r="S33" s="960"/>
      <c r="T33" s="439" cm="1" t="str">
        <f t="array" ref="T33:T33">T32</f>
        <v>false</v>
      </c>
      <c r="U33" s="960"/>
      <c r="V33" s="960"/>
      <c r="W33" s="960"/>
      <c r="X33" s="1482"/>
      <c r="Y33" s="1482"/>
      <c r="Z33" s="1465"/>
      <c r="AA33" s="1585"/>
      <c r="AB33" s="222" t="str">
        <f>K33&amp;" год"</f>
        <v>2027 год</v>
      </c>
      <c r="AC33" s="380"/>
      <c r="AD33" s="5043"/>
      <c r="AE33" s="5042"/>
      <c r="AF33" s="5042"/>
      <c r="AG33" s="5043"/>
      <c r="AH33" s="5042"/>
      <c r="AI33" s="5043"/>
      <c r="AJ33" s="5042"/>
      <c r="AK33" s="5044"/>
      <c r="AL33" s="375"/>
      <c r="AM33" s="960"/>
      <c r="AN33" s="1048" cm="1" t="str">
        <f t="array" ref="AN33:AN33">K33</f>
        <v>2027</v>
      </c>
      <c r="AO33" s="1048" t="s">
        <v>2125</v>
      </c>
      <c r="AP33" s="1058" cm="1" t="str">
        <f t="array" ref="AP33:AP33">AP32</f>
        <v>0</v>
      </c>
      <c r="AQ33" s="683"/>
      <c r="AR33" s="683"/>
    </row>
    <row s="960" customFormat="1" customHeight="1" ht="14.625" hidden="1">
      <c r="A34" s="960"/>
      <c r="B34" s="418">
        <f>K34&lt;first_year+PERIOD_LENGTH</f>
        <v>1</v>
      </c>
      <c r="C34" s="960"/>
      <c r="D34" s="960"/>
      <c r="E34" s="683">
        <v>15</v>
      </c>
      <c r="F34" s="50" cm="1" t="str">
        <f t="array" ref="F34:F34">OFFSET(E34,-1,1)</f>
        <v>0</v>
      </c>
      <c r="G34" s="64" cm="1" t="str">
        <f t="array" ref="G34:G34">G33</f>
        <v>0</v>
      </c>
      <c r="H34" s="960"/>
      <c r="I34" s="960"/>
      <c r="J34" s="960"/>
      <c r="K34" s="124">
        <f>first_year+4</f>
        <v>2028</v>
      </c>
      <c r="L34" s="960"/>
      <c r="M34" s="960"/>
      <c r="N34" s="960"/>
      <c r="O34" s="960"/>
      <c r="P34" s="960"/>
      <c r="Q34" s="960"/>
      <c r="R34" s="960"/>
      <c r="S34" s="960"/>
      <c r="T34" s="439" cm="1" t="str">
        <f t="array" ref="T34:T34">T33</f>
        <v>false</v>
      </c>
      <c r="U34" s="960"/>
      <c r="V34" s="960"/>
      <c r="W34" s="960"/>
      <c r="X34" s="1482"/>
      <c r="Y34" s="1482"/>
      <c r="Z34" s="1465"/>
      <c r="AA34" s="1585"/>
      <c r="AB34" s="222" t="str">
        <f>K34&amp;" год"</f>
        <v>2028 год</v>
      </c>
      <c r="AC34" s="380"/>
      <c r="AD34" s="5043"/>
      <c r="AE34" s="5042"/>
      <c r="AF34" s="5042"/>
      <c r="AG34" s="5043"/>
      <c r="AH34" s="5042"/>
      <c r="AI34" s="5043"/>
      <c r="AJ34" s="5042"/>
      <c r="AK34" s="5044"/>
      <c r="AL34" s="375"/>
      <c r="AM34" s="960"/>
      <c r="AN34" s="1048" cm="1" t="str">
        <f t="array" ref="AN34:AN34">K34</f>
        <v>2028</v>
      </c>
      <c r="AO34" s="1048" t="s">
        <v>2125</v>
      </c>
      <c r="AP34" s="1058" cm="1" t="str">
        <f t="array" ref="AP34:AP34">AP33</f>
        <v>0</v>
      </c>
      <c r="AQ34" s="683"/>
      <c r="AR34" s="683"/>
    </row>
    <row s="960" customFormat="1" customHeight="1" ht="14.625" hidden="1">
      <c r="A35" s="960"/>
      <c r="B35" s="418">
        <f>K35&lt;first_year+PERIOD_LENGTH</f>
        <v>0</v>
      </c>
      <c r="C35" s="960"/>
      <c r="D35" s="960"/>
      <c r="E35" s="683">
        <v>15</v>
      </c>
      <c r="F35" s="50" cm="1" t="str">
        <f t="array" ref="F35:F35">OFFSET(E35,-1,1)</f>
        <v>0</v>
      </c>
      <c r="G35" s="64" cm="1" t="str">
        <f t="array" ref="G35:G35">G34</f>
        <v>0</v>
      </c>
      <c r="H35" s="960"/>
      <c r="I35" s="960"/>
      <c r="J35" s="960"/>
      <c r="K35" s="124">
        <f>first_year+5</f>
        <v>2029</v>
      </c>
      <c r="L35" s="960"/>
      <c r="M35" s="960"/>
      <c r="N35" s="960"/>
      <c r="O35" s="960"/>
      <c r="P35" s="960"/>
      <c r="Q35" s="960"/>
      <c r="R35" s="960"/>
      <c r="S35" s="960"/>
      <c r="T35" s="439" cm="1" t="str">
        <f t="array" ref="T35:T35">T34</f>
        <v>false</v>
      </c>
      <c r="U35" s="960"/>
      <c r="V35" s="960"/>
      <c r="W35" s="960"/>
      <c r="X35" s="1482"/>
      <c r="Y35" s="1482"/>
      <c r="Z35" s="1465"/>
      <c r="AA35" s="1585"/>
      <c r="AB35" s="222" t="str">
        <f>K35&amp;" год"</f>
        <v>2029 год</v>
      </c>
      <c r="AC35" s="380"/>
      <c r="AD35" s="5043"/>
      <c r="AE35" s="5042"/>
      <c r="AF35" s="5042"/>
      <c r="AG35" s="5043"/>
      <c r="AH35" s="5042"/>
      <c r="AI35" s="5043"/>
      <c r="AJ35" s="5042"/>
      <c r="AK35" s="5044"/>
      <c r="AL35" s="375"/>
      <c r="AM35" s="960"/>
      <c r="AN35" s="1048" cm="1" t="str">
        <f t="array" ref="AN35:AN35">K35</f>
        <v>2029</v>
      </c>
      <c r="AO35" s="1048" t="s">
        <v>2125</v>
      </c>
      <c r="AP35" s="1058" cm="1" t="str">
        <f t="array" ref="AP35:AP35">AP34</f>
        <v>0</v>
      </c>
      <c r="AQ35" s="683"/>
      <c r="AR35" s="683"/>
    </row>
    <row s="960" customFormat="1" customHeight="1" ht="14.625" hidden="1">
      <c r="A36" s="960"/>
      <c r="B36" s="418">
        <f>K36&lt;first_year+PERIOD_LENGTH</f>
        <v>0</v>
      </c>
      <c r="C36" s="960"/>
      <c r="D36" s="960"/>
      <c r="E36" s="683">
        <v>15</v>
      </c>
      <c r="F36" s="50" cm="1" t="str">
        <f t="array" ref="F36:F36">OFFSET(E36,-1,1)</f>
        <v>0</v>
      </c>
      <c r="G36" s="64" cm="1" t="str">
        <f t="array" ref="G36:G36">G35</f>
        <v>0</v>
      </c>
      <c r="H36" s="960"/>
      <c r="I36" s="960"/>
      <c r="J36" s="960"/>
      <c r="K36" s="124">
        <f>first_year+6</f>
        <v>2030</v>
      </c>
      <c r="L36" s="960"/>
      <c r="M36" s="960"/>
      <c r="N36" s="960"/>
      <c r="O36" s="960"/>
      <c r="P36" s="960"/>
      <c r="Q36" s="960"/>
      <c r="R36" s="960"/>
      <c r="S36" s="960"/>
      <c r="T36" s="439" cm="1" t="str">
        <f t="array" ref="T36:T36">T35</f>
        <v>false</v>
      </c>
      <c r="U36" s="960"/>
      <c r="V36" s="960"/>
      <c r="W36" s="960"/>
      <c r="X36" s="1482"/>
      <c r="Y36" s="1482"/>
      <c r="Z36" s="1465"/>
      <c r="AA36" s="1585"/>
      <c r="AB36" s="222" t="str">
        <f>K36&amp;" год"</f>
        <v>2030 год</v>
      </c>
      <c r="AC36" s="380"/>
      <c r="AD36" s="5043"/>
      <c r="AE36" s="5042"/>
      <c r="AF36" s="5042"/>
      <c r="AG36" s="5043"/>
      <c r="AH36" s="5042"/>
      <c r="AI36" s="5043"/>
      <c r="AJ36" s="5042"/>
      <c r="AK36" s="5044"/>
      <c r="AL36" s="375"/>
      <c r="AM36" s="960"/>
      <c r="AN36" s="1048" cm="1" t="str">
        <f t="array" ref="AN36:AN36">K36</f>
        <v>2030</v>
      </c>
      <c r="AO36" s="1048" t="s">
        <v>2125</v>
      </c>
      <c r="AP36" s="1058" cm="1" t="str">
        <f t="array" ref="AP36:AP36">AP35</f>
        <v>0</v>
      </c>
      <c r="AQ36" s="683"/>
      <c r="AR36" s="683"/>
    </row>
    <row s="960" customFormat="1" customHeight="1" ht="14.625" hidden="1">
      <c r="A37" s="960"/>
      <c r="B37" s="418">
        <f>K37&lt;first_year+PERIOD_LENGTH</f>
        <v>0</v>
      </c>
      <c r="C37" s="960"/>
      <c r="D37" s="960"/>
      <c r="E37" s="683">
        <v>15</v>
      </c>
      <c r="F37" s="50" cm="1" t="str">
        <f t="array" ref="F37:F37">OFFSET(E37,-1,1)</f>
        <v>0</v>
      </c>
      <c r="G37" s="64" cm="1" t="str">
        <f t="array" ref="G37:G37">G36</f>
        <v>0</v>
      </c>
      <c r="H37" s="960"/>
      <c r="I37" s="960"/>
      <c r="J37" s="960"/>
      <c r="K37" s="124">
        <f>first_year+7</f>
        <v>2031</v>
      </c>
      <c r="L37" s="960"/>
      <c r="M37" s="960"/>
      <c r="N37" s="960"/>
      <c r="O37" s="960"/>
      <c r="P37" s="960"/>
      <c r="Q37" s="960"/>
      <c r="R37" s="960"/>
      <c r="S37" s="960"/>
      <c r="T37" s="439" cm="1" t="str">
        <f t="array" ref="T37:T37">T36</f>
        <v>false</v>
      </c>
      <c r="U37" s="960"/>
      <c r="V37" s="960"/>
      <c r="W37" s="960"/>
      <c r="X37" s="1482"/>
      <c r="Y37" s="1482"/>
      <c r="Z37" s="1465"/>
      <c r="AA37" s="1585"/>
      <c r="AB37" s="222" t="str">
        <f>K37&amp;" год"</f>
        <v>2031 год</v>
      </c>
      <c r="AC37" s="380"/>
      <c r="AD37" s="5043"/>
      <c r="AE37" s="5042"/>
      <c r="AF37" s="5042"/>
      <c r="AG37" s="5043"/>
      <c r="AH37" s="5042"/>
      <c r="AI37" s="5043"/>
      <c r="AJ37" s="5042"/>
      <c r="AK37" s="5044"/>
      <c r="AL37" s="375"/>
      <c r="AM37" s="960"/>
      <c r="AN37" s="1048" cm="1" t="str">
        <f t="array" ref="AN37:AN37">K37</f>
        <v>2031</v>
      </c>
      <c r="AO37" s="1048" t="s">
        <v>2125</v>
      </c>
      <c r="AP37" s="1058" cm="1" t="str">
        <f t="array" ref="AP37:AP37">AP36</f>
        <v>0</v>
      </c>
      <c r="AQ37" s="683"/>
      <c r="AR37" s="683"/>
    </row>
    <row s="960" customFormat="1" customHeight="1" ht="14.625" hidden="1">
      <c r="A38" s="960"/>
      <c r="B38" s="418">
        <f>K38&lt;first_year+PERIOD_LENGTH</f>
        <v>0</v>
      </c>
      <c r="C38" s="960"/>
      <c r="D38" s="960"/>
      <c r="E38" s="683">
        <v>15</v>
      </c>
      <c r="F38" s="50" cm="1" t="str">
        <f t="array" ref="F38:F38">OFFSET(E38,-1,1)</f>
        <v>0</v>
      </c>
      <c r="G38" s="64" cm="1" t="str">
        <f t="array" ref="G38:G38">G37</f>
        <v>0</v>
      </c>
      <c r="H38" s="960"/>
      <c r="I38" s="960"/>
      <c r="J38" s="960"/>
      <c r="K38" s="124">
        <f>first_year+8</f>
        <v>2032</v>
      </c>
      <c r="L38" s="960"/>
      <c r="M38" s="960"/>
      <c r="N38" s="960"/>
      <c r="O38" s="960"/>
      <c r="P38" s="960"/>
      <c r="Q38" s="960"/>
      <c r="R38" s="960"/>
      <c r="S38" s="960"/>
      <c r="T38" s="439" cm="1" t="str">
        <f t="array" ref="T38:T38">T37</f>
        <v>false</v>
      </c>
      <c r="U38" s="960"/>
      <c r="V38" s="960"/>
      <c r="W38" s="960"/>
      <c r="X38" s="1482"/>
      <c r="Y38" s="1482"/>
      <c r="Z38" s="1465"/>
      <c r="AA38" s="1585"/>
      <c r="AB38" s="222" t="str">
        <f>K38&amp;" год"</f>
        <v>2032 год</v>
      </c>
      <c r="AC38" s="380"/>
      <c r="AD38" s="5043"/>
      <c r="AE38" s="5042"/>
      <c r="AF38" s="5042"/>
      <c r="AG38" s="5043"/>
      <c r="AH38" s="5042"/>
      <c r="AI38" s="5043"/>
      <c r="AJ38" s="5042"/>
      <c r="AK38" s="5044"/>
      <c r="AL38" s="375"/>
      <c r="AM38" s="960"/>
      <c r="AN38" s="1048" cm="1" t="str">
        <f t="array" ref="AN38:AN38">K38</f>
        <v>2032</v>
      </c>
      <c r="AO38" s="1048" t="s">
        <v>2125</v>
      </c>
      <c r="AP38" s="1058" cm="1" t="str">
        <f t="array" ref="AP38:AP38">AP37</f>
        <v>0</v>
      </c>
      <c r="AQ38" s="683"/>
      <c r="AR38" s="683"/>
    </row>
    <row s="960" customFormat="1" customHeight="1" ht="14.625" hidden="1">
      <c r="A39" s="960"/>
      <c r="B39" s="418">
        <f>K39&lt;first_year+PERIOD_LENGTH</f>
        <v>0</v>
      </c>
      <c r="C39" s="960"/>
      <c r="D39" s="960"/>
      <c r="E39" s="683">
        <v>15</v>
      </c>
      <c r="F39" s="50" cm="1" t="str">
        <f t="array" ref="F39:F39">OFFSET(E39,-1,1)</f>
        <v>0</v>
      </c>
      <c r="G39" s="64" cm="1" t="str">
        <f t="array" ref="G39:G39">G38</f>
        <v>0</v>
      </c>
      <c r="H39" s="960"/>
      <c r="I39" s="960"/>
      <c r="J39" s="960"/>
      <c r="K39" s="124">
        <f>first_year+9</f>
        <v>2033</v>
      </c>
      <c r="L39" s="960"/>
      <c r="M39" s="960"/>
      <c r="N39" s="960"/>
      <c r="O39" s="960"/>
      <c r="P39" s="960"/>
      <c r="Q39" s="960"/>
      <c r="R39" s="960"/>
      <c r="S39" s="960"/>
      <c r="T39" s="439" cm="1" t="str">
        <f t="array" ref="T39:T39">T38</f>
        <v>false</v>
      </c>
      <c r="U39" s="960"/>
      <c r="V39" s="960"/>
      <c r="W39" s="960"/>
      <c r="X39" s="1482"/>
      <c r="Y39" s="1482"/>
      <c r="Z39" s="1465"/>
      <c r="AA39" s="1585"/>
      <c r="AB39" s="222" t="str">
        <f>K39&amp;" год"</f>
        <v>2033 год</v>
      </c>
      <c r="AC39" s="380"/>
      <c r="AD39" s="5043"/>
      <c r="AE39" s="5042"/>
      <c r="AF39" s="5042"/>
      <c r="AG39" s="5043"/>
      <c r="AH39" s="5042"/>
      <c r="AI39" s="5043"/>
      <c r="AJ39" s="5042"/>
      <c r="AK39" s="5044"/>
      <c r="AL39" s="375"/>
      <c r="AM39" s="960"/>
      <c r="AN39" s="1048" cm="1" t="str">
        <f t="array" ref="AN39:AN39">K39</f>
        <v>2033</v>
      </c>
      <c r="AO39" s="1048" t="s">
        <v>2125</v>
      </c>
      <c r="AP39" s="1058" cm="1" t="str">
        <f t="array" ref="AP39:AP39">AP38</f>
        <v>0</v>
      </c>
      <c r="AQ39" s="683"/>
      <c r="AR39" s="683"/>
    </row>
    <row s="960" customFormat="1" customHeight="1" ht="14.625" hidden="1">
      <c r="A40" s="960"/>
      <c r="B40" s="418">
        <f>K40&lt;first_year+PERIOD_LENGTH</f>
        <v>0</v>
      </c>
      <c r="C40" s="960"/>
      <c r="D40" s="960"/>
      <c r="E40" s="683">
        <v>15</v>
      </c>
      <c r="F40" s="50" cm="1" t="str">
        <f t="array" ref="F40:F40">OFFSET(E40,-1,1)</f>
        <v>0</v>
      </c>
      <c r="G40" s="64" cm="1" t="str">
        <f t="array" ref="G40:G40">G39</f>
        <v>0</v>
      </c>
      <c r="H40" s="960"/>
      <c r="I40" s="960"/>
      <c r="J40" s="960"/>
      <c r="K40" s="124">
        <f>first_year+10</f>
        <v>2034</v>
      </c>
      <c r="L40" s="960"/>
      <c r="M40" s="960"/>
      <c r="N40" s="960"/>
      <c r="O40" s="960"/>
      <c r="P40" s="960"/>
      <c r="Q40" s="960"/>
      <c r="R40" s="960"/>
      <c r="S40" s="960"/>
      <c r="T40" s="439" cm="1" t="str">
        <f t="array" ref="T40:T40">T39</f>
        <v>false</v>
      </c>
      <c r="U40" s="960"/>
      <c r="V40" s="960"/>
      <c r="W40" s="960"/>
      <c r="X40" s="1482"/>
      <c r="Y40" s="1482"/>
      <c r="Z40" s="1465"/>
      <c r="AA40" s="1585"/>
      <c r="AB40" s="222" t="str">
        <f>K40&amp;" год"</f>
        <v>2034 год</v>
      </c>
      <c r="AC40" s="380"/>
      <c r="AD40" s="5043"/>
      <c r="AE40" s="5042"/>
      <c r="AF40" s="5042"/>
      <c r="AG40" s="5043"/>
      <c r="AH40" s="5042"/>
      <c r="AI40" s="5043"/>
      <c r="AJ40" s="5042"/>
      <c r="AK40" s="5044"/>
      <c r="AL40" s="375"/>
      <c r="AM40" s="960"/>
      <c r="AN40" s="1048" cm="1" t="str">
        <f t="array" ref="AN40:AN40">K40</f>
        <v>2034</v>
      </c>
      <c r="AO40" s="1048" t="s">
        <v>2125</v>
      </c>
      <c r="AP40" s="1058" cm="1" t="str">
        <f t="array" ref="AP40:AP40">AP39</f>
        <v>0</v>
      </c>
      <c r="AQ40" s="683"/>
      <c r="AR40" s="683"/>
    </row>
    <row s="960" customFormat="1" customHeight="1" ht="14.625" hidden="1">
      <c r="A41" s="960"/>
      <c r="B41" s="418">
        <f>K41&lt;first_year+PERIOD_LENGTH</f>
        <v>0</v>
      </c>
      <c r="C41" s="960"/>
      <c r="D41" s="960"/>
      <c r="E41" s="683">
        <v>15</v>
      </c>
      <c r="F41" s="50" cm="1" t="str">
        <f t="array" ref="F41:F41">OFFSET(E41,-1,1)</f>
        <v>0</v>
      </c>
      <c r="G41" s="64" cm="1" t="str">
        <f t="array" ref="G41:G41">G40</f>
        <v>0</v>
      </c>
      <c r="H41" s="960"/>
      <c r="I41" s="960"/>
      <c r="J41" s="960"/>
      <c r="K41" s="124">
        <f>first_year+11</f>
        <v>2035</v>
      </c>
      <c r="L41" s="960"/>
      <c r="M41" s="960"/>
      <c r="N41" s="960"/>
      <c r="O41" s="960"/>
      <c r="P41" s="960"/>
      <c r="Q41" s="960"/>
      <c r="R41" s="960"/>
      <c r="S41" s="960"/>
      <c r="T41" s="439" cm="1" t="str">
        <f t="array" ref="T41:T41">T40</f>
        <v>false</v>
      </c>
      <c r="U41" s="960"/>
      <c r="V41" s="960"/>
      <c r="W41" s="960"/>
      <c r="X41" s="1482"/>
      <c r="Y41" s="1482"/>
      <c r="Z41" s="1465"/>
      <c r="AA41" s="1585"/>
      <c r="AB41" s="222" t="str">
        <f>K41&amp;" год"</f>
        <v>2035 год</v>
      </c>
      <c r="AC41" s="380"/>
      <c r="AD41" s="5043"/>
      <c r="AE41" s="5042"/>
      <c r="AF41" s="5042"/>
      <c r="AG41" s="5043"/>
      <c r="AH41" s="5042"/>
      <c r="AI41" s="5043"/>
      <c r="AJ41" s="5042"/>
      <c r="AK41" s="5044"/>
      <c r="AL41" s="375"/>
      <c r="AM41" s="960"/>
      <c r="AN41" s="1048" cm="1" t="str">
        <f t="array" ref="AN41:AN41">K41</f>
        <v>2035</v>
      </c>
      <c r="AO41" s="1048" t="s">
        <v>2125</v>
      </c>
      <c r="AP41" s="1058" cm="1" t="str">
        <f t="array" ref="AP41:AP41">AP40</f>
        <v>0</v>
      </c>
      <c r="AQ41" s="683"/>
      <c r="AR41" s="683"/>
    </row>
    <row s="960" customFormat="1" customHeight="1" ht="14.625" hidden="1">
      <c r="A42" s="960"/>
      <c r="B42" s="418">
        <f>K42&lt;first_year+PERIOD_LENGTH</f>
        <v>0</v>
      </c>
      <c r="C42" s="960"/>
      <c r="D42" s="960"/>
      <c r="E42" s="683">
        <v>15</v>
      </c>
      <c r="F42" s="50" cm="1" t="str">
        <f t="array" ref="F42:F42">OFFSET(E42,-1,1)</f>
        <v>0</v>
      </c>
      <c r="G42" s="64" cm="1" t="str">
        <f t="array" ref="G42:G42">G41</f>
        <v>0</v>
      </c>
      <c r="H42" s="960"/>
      <c r="I42" s="960"/>
      <c r="J42" s="960"/>
      <c r="K42" s="124">
        <f>first_year+12</f>
        <v>2036</v>
      </c>
      <c r="L42" s="960"/>
      <c r="M42" s="960"/>
      <c r="N42" s="960"/>
      <c r="O42" s="960"/>
      <c r="P42" s="960"/>
      <c r="Q42" s="960"/>
      <c r="R42" s="960"/>
      <c r="S42" s="960"/>
      <c r="T42" s="439" cm="1" t="str">
        <f t="array" ref="T42:T42">T41</f>
        <v>false</v>
      </c>
      <c r="U42" s="960"/>
      <c r="V42" s="960"/>
      <c r="W42" s="960"/>
      <c r="X42" s="1482"/>
      <c r="Y42" s="1482"/>
      <c r="Z42" s="1465"/>
      <c r="AA42" s="1585"/>
      <c r="AB42" s="222" t="str">
        <f>K42&amp;" год"</f>
        <v>2036 год</v>
      </c>
      <c r="AC42" s="380"/>
      <c r="AD42" s="5043"/>
      <c r="AE42" s="5042"/>
      <c r="AF42" s="5042"/>
      <c r="AG42" s="5043"/>
      <c r="AH42" s="5042"/>
      <c r="AI42" s="5043"/>
      <c r="AJ42" s="5042"/>
      <c r="AK42" s="5044"/>
      <c r="AL42" s="375"/>
      <c r="AM42" s="960"/>
      <c r="AN42" s="1048" cm="1" t="str">
        <f t="array" ref="AN42:AN42">K42</f>
        <v>2036</v>
      </c>
      <c r="AO42" s="1048" t="s">
        <v>2125</v>
      </c>
      <c r="AP42" s="1058" cm="1" t="str">
        <f t="array" ref="AP42:AP42">AP41</f>
        <v>0</v>
      </c>
      <c r="AQ42" s="683"/>
      <c r="AR42" s="683"/>
    </row>
    <row s="960" customFormat="1" customHeight="1" ht="14.625" hidden="1">
      <c r="A43" s="960"/>
      <c r="B43" s="418">
        <f>K43&lt;first_year+PERIOD_LENGTH</f>
        <v>0</v>
      </c>
      <c r="C43" s="960"/>
      <c r="D43" s="960"/>
      <c r="E43" s="683">
        <v>15</v>
      </c>
      <c r="F43" s="50" cm="1" t="str">
        <f t="array" ref="F43:F43">OFFSET(E43,-1,1)</f>
        <v>0</v>
      </c>
      <c r="G43" s="64" cm="1" t="str">
        <f t="array" ref="G43:G43">G42</f>
        <v>0</v>
      </c>
      <c r="H43" s="960"/>
      <c r="I43" s="960"/>
      <c r="J43" s="960"/>
      <c r="K43" s="124">
        <f>first_year+13</f>
        <v>2037</v>
      </c>
      <c r="L43" s="960"/>
      <c r="M43" s="960"/>
      <c r="N43" s="960"/>
      <c r="O43" s="960"/>
      <c r="P43" s="960"/>
      <c r="Q43" s="960"/>
      <c r="R43" s="960"/>
      <c r="S43" s="960"/>
      <c r="T43" s="439" cm="1" t="str">
        <f t="array" ref="T43:T43">T42</f>
        <v>false</v>
      </c>
      <c r="U43" s="960"/>
      <c r="V43" s="960"/>
      <c r="W43" s="960"/>
      <c r="X43" s="1482"/>
      <c r="Y43" s="1482"/>
      <c r="Z43" s="1465"/>
      <c r="AA43" s="1585"/>
      <c r="AB43" s="222" t="str">
        <f>K43&amp;" год"</f>
        <v>2037 год</v>
      </c>
      <c r="AC43" s="380"/>
      <c r="AD43" s="5043"/>
      <c r="AE43" s="5042"/>
      <c r="AF43" s="5042"/>
      <c r="AG43" s="5043"/>
      <c r="AH43" s="5042"/>
      <c r="AI43" s="5043"/>
      <c r="AJ43" s="5042"/>
      <c r="AK43" s="5044"/>
      <c r="AL43" s="375"/>
      <c r="AM43" s="960"/>
      <c r="AN43" s="1048" cm="1" t="str">
        <f t="array" ref="AN43:AN43">K43</f>
        <v>2037</v>
      </c>
      <c r="AO43" s="1048" t="s">
        <v>2125</v>
      </c>
      <c r="AP43" s="1058" cm="1" t="str">
        <f t="array" ref="AP43:AP43">AP42</f>
        <v>0</v>
      </c>
      <c r="AQ43" s="683"/>
      <c r="AR43" s="683"/>
    </row>
    <row s="960" customFormat="1" customHeight="1" ht="14.625" hidden="1">
      <c r="A44" s="960"/>
      <c r="B44" s="418">
        <f>K44&lt;first_year+PERIOD_LENGTH</f>
        <v>0</v>
      </c>
      <c r="C44" s="960"/>
      <c r="D44" s="960"/>
      <c r="E44" s="683">
        <v>15</v>
      </c>
      <c r="F44" s="50" cm="1" t="str">
        <f t="array" ref="F44:F44">OFFSET(E44,-1,1)</f>
        <v>0</v>
      </c>
      <c r="G44" s="64" cm="1" t="str">
        <f t="array" ref="G44:G44">G43</f>
        <v>0</v>
      </c>
      <c r="H44" s="960"/>
      <c r="I44" s="960"/>
      <c r="J44" s="960"/>
      <c r="K44" s="124">
        <f>first_year+14</f>
        <v>2038</v>
      </c>
      <c r="L44" s="960"/>
      <c r="M44" s="960"/>
      <c r="N44" s="960"/>
      <c r="O44" s="960"/>
      <c r="P44" s="960"/>
      <c r="Q44" s="960"/>
      <c r="R44" s="960"/>
      <c r="S44" s="960"/>
      <c r="T44" s="439" cm="1" t="str">
        <f t="array" ref="T44:T44">T43</f>
        <v>false</v>
      </c>
      <c r="U44" s="960"/>
      <c r="V44" s="960"/>
      <c r="W44" s="960"/>
      <c r="X44" s="1482"/>
      <c r="Y44" s="1482"/>
      <c r="Z44" s="1465"/>
      <c r="AA44" s="1585"/>
      <c r="AB44" s="222" t="str">
        <f>K44&amp;" год"</f>
        <v>2038 год</v>
      </c>
      <c r="AC44" s="380"/>
      <c r="AD44" s="5043"/>
      <c r="AE44" s="5042"/>
      <c r="AF44" s="5042"/>
      <c r="AG44" s="5043"/>
      <c r="AH44" s="5042"/>
      <c r="AI44" s="5043"/>
      <c r="AJ44" s="5042"/>
      <c r="AK44" s="5044"/>
      <c r="AL44" s="375"/>
      <c r="AM44" s="960"/>
      <c r="AN44" s="1048" cm="1" t="str">
        <f t="array" ref="AN44:AN44">K44</f>
        <v>2038</v>
      </c>
      <c r="AO44" s="1048" t="s">
        <v>2125</v>
      </c>
      <c r="AP44" s="1058" cm="1" t="str">
        <f t="array" ref="AP44:AP44">AP43</f>
        <v>0</v>
      </c>
      <c r="AQ44" s="683"/>
      <c r="AR44" s="683"/>
    </row>
    <row s="960" customFormat="1" customHeight="1" ht="14.625" hidden="1">
      <c r="A45" s="960"/>
      <c r="B45" s="418">
        <f>K45&lt;first_year+PERIOD_LENGTH</f>
        <v>0</v>
      </c>
      <c r="C45" s="960"/>
      <c r="D45" s="960"/>
      <c r="E45" s="683">
        <v>15</v>
      </c>
      <c r="F45" s="50" cm="1" t="str">
        <f t="array" ref="F45:F45">OFFSET(E45,-1,1)</f>
        <v>0</v>
      </c>
      <c r="G45" s="64" cm="1" t="str">
        <f t="array" ref="G45:G45">G44</f>
        <v>0</v>
      </c>
      <c r="H45" s="960"/>
      <c r="I45" s="960"/>
      <c r="J45" s="960"/>
      <c r="K45" s="124">
        <f>first_year+15</f>
        <v>2039</v>
      </c>
      <c r="L45" s="960"/>
      <c r="M45" s="960"/>
      <c r="N45" s="960"/>
      <c r="O45" s="960"/>
      <c r="P45" s="960"/>
      <c r="Q45" s="960"/>
      <c r="R45" s="960"/>
      <c r="S45" s="960"/>
      <c r="T45" s="439" cm="1" t="str">
        <f t="array" ref="T45:T45">T44</f>
        <v>false</v>
      </c>
      <c r="U45" s="960"/>
      <c r="V45" s="960"/>
      <c r="W45" s="960"/>
      <c r="X45" s="1482"/>
      <c r="Y45" s="1482"/>
      <c r="Z45" s="1465"/>
      <c r="AA45" s="1585"/>
      <c r="AB45" s="222" t="str">
        <f>K45&amp;" год"</f>
        <v>2039 год</v>
      </c>
      <c r="AC45" s="380"/>
      <c r="AD45" s="5043"/>
      <c r="AE45" s="5042"/>
      <c r="AF45" s="5042"/>
      <c r="AG45" s="5043"/>
      <c r="AH45" s="5042"/>
      <c r="AI45" s="5043"/>
      <c r="AJ45" s="5042"/>
      <c r="AK45" s="5044"/>
      <c r="AL45" s="375"/>
      <c r="AM45" s="960"/>
      <c r="AN45" s="1048" cm="1" t="str">
        <f t="array" ref="AN45:AN45">K45</f>
        <v>2039</v>
      </c>
      <c r="AO45" s="1048" t="s">
        <v>2125</v>
      </c>
      <c r="AP45" s="1058" cm="1" t="str">
        <f t="array" ref="AP45:AP45">AP44</f>
        <v>0</v>
      </c>
      <c r="AQ45" s="683"/>
      <c r="AR45" s="683"/>
    </row>
    <row s="960" customFormat="1" customHeight="1" ht="14.625" hidden="1">
      <c r="A46" s="960"/>
      <c r="B46" s="418">
        <f>K46&lt;first_year+PERIOD_LENGTH</f>
        <v>0</v>
      </c>
      <c r="C46" s="960"/>
      <c r="D46" s="960"/>
      <c r="E46" s="683">
        <v>15</v>
      </c>
      <c r="F46" s="50" cm="1" t="str">
        <f t="array" ref="F46:F46">OFFSET(E46,-1,1)</f>
        <v>0</v>
      </c>
      <c r="G46" s="64" cm="1" t="str">
        <f t="array" ref="G46:G46">G45</f>
        <v>0</v>
      </c>
      <c r="H46" s="960"/>
      <c r="I46" s="960"/>
      <c r="J46" s="960"/>
      <c r="K46" s="124">
        <f>first_year+16</f>
        <v>2040</v>
      </c>
      <c r="L46" s="960"/>
      <c r="M46" s="960"/>
      <c r="N46" s="960"/>
      <c r="O46" s="960"/>
      <c r="P46" s="960"/>
      <c r="Q46" s="960"/>
      <c r="R46" s="960"/>
      <c r="S46" s="960"/>
      <c r="T46" s="439" cm="1" t="str">
        <f t="array" ref="T46:T46">T45</f>
        <v>false</v>
      </c>
      <c r="U46" s="960"/>
      <c r="V46" s="960"/>
      <c r="W46" s="960"/>
      <c r="X46" s="1482"/>
      <c r="Y46" s="1482"/>
      <c r="Z46" s="1465"/>
      <c r="AA46" s="1585"/>
      <c r="AB46" s="222" t="str">
        <f>K46&amp;" год"</f>
        <v>2040 год</v>
      </c>
      <c r="AC46" s="380"/>
      <c r="AD46" s="5043"/>
      <c r="AE46" s="5042"/>
      <c r="AF46" s="5042"/>
      <c r="AG46" s="5043"/>
      <c r="AH46" s="5042"/>
      <c r="AI46" s="5043"/>
      <c r="AJ46" s="5042"/>
      <c r="AK46" s="5044"/>
      <c r="AL46" s="375"/>
      <c r="AM46" s="960"/>
      <c r="AN46" s="1048" cm="1" t="str">
        <f t="array" ref="AN46:AN46">K46</f>
        <v>2040</v>
      </c>
      <c r="AO46" s="1048" t="s">
        <v>2125</v>
      </c>
      <c r="AP46" s="1058" cm="1" t="str">
        <f t="array" ref="AP46:AP46">AP45</f>
        <v>0</v>
      </c>
      <c r="AQ46" s="683"/>
      <c r="AR46" s="683"/>
    </row>
    <row s="960" customFormat="1" customHeight="1" ht="14.625" hidden="1">
      <c r="A47" s="960"/>
      <c r="B47" s="418">
        <f>K47&lt;first_year+PERIOD_LENGTH</f>
        <v>0</v>
      </c>
      <c r="C47" s="960"/>
      <c r="D47" s="960"/>
      <c r="E47" s="683">
        <v>15</v>
      </c>
      <c r="F47" s="50" cm="1" t="str">
        <f t="array" ref="F47:F47">OFFSET(E47,-1,1)</f>
        <v>0</v>
      </c>
      <c r="G47" s="64" cm="1" t="str">
        <f t="array" ref="G47:G47">G46</f>
        <v>0</v>
      </c>
      <c r="H47" s="960"/>
      <c r="I47" s="960"/>
      <c r="J47" s="960"/>
      <c r="K47" s="124">
        <f>first_year+17</f>
        <v>2041</v>
      </c>
      <c r="L47" s="960"/>
      <c r="M47" s="960"/>
      <c r="N47" s="960"/>
      <c r="O47" s="960"/>
      <c r="P47" s="960"/>
      <c r="Q47" s="960"/>
      <c r="R47" s="960"/>
      <c r="S47" s="960"/>
      <c r="T47" s="439" cm="1" t="str">
        <f t="array" ref="T47:T47">T46</f>
        <v>false</v>
      </c>
      <c r="U47" s="960"/>
      <c r="V47" s="960"/>
      <c r="W47" s="960"/>
      <c r="X47" s="1482"/>
      <c r="Y47" s="1482"/>
      <c r="Z47" s="1465"/>
      <c r="AA47" s="1585"/>
      <c r="AB47" s="222" t="str">
        <f>K47&amp;" год"</f>
        <v>2041 год</v>
      </c>
      <c r="AC47" s="380"/>
      <c r="AD47" s="5043"/>
      <c r="AE47" s="5042"/>
      <c r="AF47" s="5042"/>
      <c r="AG47" s="5043"/>
      <c r="AH47" s="5042"/>
      <c r="AI47" s="5043"/>
      <c r="AJ47" s="5042"/>
      <c r="AK47" s="5044"/>
      <c r="AL47" s="375"/>
      <c r="AM47" s="960"/>
      <c r="AN47" s="1048" cm="1" t="str">
        <f t="array" ref="AN47:AN47">K47</f>
        <v>2041</v>
      </c>
      <c r="AO47" s="1048" t="s">
        <v>2125</v>
      </c>
      <c r="AP47" s="1058" cm="1" t="str">
        <f t="array" ref="AP47:AP47">AP46</f>
        <v>0</v>
      </c>
      <c r="AQ47" s="683"/>
      <c r="AR47" s="683"/>
    </row>
    <row s="960" customFormat="1" customHeight="1" ht="14.625" hidden="1">
      <c r="A48" s="960"/>
      <c r="B48" s="418">
        <f>K48&lt;first_year+PERIOD_LENGTH</f>
        <v>0</v>
      </c>
      <c r="C48" s="960"/>
      <c r="D48" s="960"/>
      <c r="E48" s="683">
        <v>15</v>
      </c>
      <c r="F48" s="50" cm="1" t="str">
        <f t="array" ref="F48:F48">OFFSET(E48,-1,1)</f>
        <v>0</v>
      </c>
      <c r="G48" s="64" cm="1" t="str">
        <f t="array" ref="G48:G48">G47</f>
        <v>0</v>
      </c>
      <c r="H48" s="960"/>
      <c r="I48" s="960"/>
      <c r="J48" s="960"/>
      <c r="K48" s="124">
        <f>first_year+18</f>
        <v>2042</v>
      </c>
      <c r="L48" s="960"/>
      <c r="M48" s="960"/>
      <c r="N48" s="960"/>
      <c r="O48" s="960"/>
      <c r="P48" s="960"/>
      <c r="Q48" s="960"/>
      <c r="R48" s="960"/>
      <c r="S48" s="960"/>
      <c r="T48" s="439" cm="1" t="str">
        <f t="array" ref="T48:T48">T47</f>
        <v>false</v>
      </c>
      <c r="U48" s="960"/>
      <c r="V48" s="960"/>
      <c r="W48" s="960"/>
      <c r="X48" s="1482"/>
      <c r="Y48" s="1482"/>
      <c r="Z48" s="1465"/>
      <c r="AA48" s="1585"/>
      <c r="AB48" s="222" t="str">
        <f>K48&amp;" год"</f>
        <v>2042 год</v>
      </c>
      <c r="AC48" s="380"/>
      <c r="AD48" s="5043"/>
      <c r="AE48" s="5042"/>
      <c r="AF48" s="5042"/>
      <c r="AG48" s="5043"/>
      <c r="AH48" s="5042"/>
      <c r="AI48" s="5043"/>
      <c r="AJ48" s="5042"/>
      <c r="AK48" s="5044"/>
      <c r="AL48" s="375"/>
      <c r="AM48" s="960"/>
      <c r="AN48" s="1048" cm="1" t="str">
        <f t="array" ref="AN48:AN48">K48</f>
        <v>2042</v>
      </c>
      <c r="AO48" s="1048" t="s">
        <v>2125</v>
      </c>
      <c r="AP48" s="1058" cm="1" t="str">
        <f t="array" ref="AP48:AP48">AP47</f>
        <v>0</v>
      </c>
      <c r="AQ48" s="683"/>
      <c r="AR48" s="683"/>
    </row>
    <row s="960" customFormat="1" customHeight="1" ht="14.625" hidden="1">
      <c r="A49" s="960"/>
      <c r="B49" s="418">
        <f>K49&lt;first_year+PERIOD_LENGTH</f>
        <v>0</v>
      </c>
      <c r="C49" s="960"/>
      <c r="D49" s="960"/>
      <c r="E49" s="683">
        <v>15</v>
      </c>
      <c r="F49" s="50" cm="1" t="str">
        <f t="array" ref="F49:F49">OFFSET(E49,-1,1)</f>
        <v>0</v>
      </c>
      <c r="G49" s="64" cm="1" t="str">
        <f t="array" ref="G49:G49">G48</f>
        <v>0</v>
      </c>
      <c r="H49" s="960"/>
      <c r="I49" s="960"/>
      <c r="J49" s="960"/>
      <c r="K49" s="124">
        <f>first_year+19</f>
        <v>2043</v>
      </c>
      <c r="L49" s="960"/>
      <c r="M49" s="960"/>
      <c r="N49" s="960"/>
      <c r="O49" s="960"/>
      <c r="P49" s="960"/>
      <c r="Q49" s="960"/>
      <c r="R49" s="960"/>
      <c r="S49" s="960"/>
      <c r="T49" s="439" cm="1" t="str">
        <f t="array" ref="T49:T49">T48</f>
        <v>false</v>
      </c>
      <c r="U49" s="960"/>
      <c r="V49" s="960"/>
      <c r="W49" s="960"/>
      <c r="X49" s="1482"/>
      <c r="Y49" s="1482"/>
      <c r="Z49" s="1465"/>
      <c r="AA49" s="1585"/>
      <c r="AB49" s="222" t="str">
        <f>K49&amp;" год"</f>
        <v>2043 год</v>
      </c>
      <c r="AC49" s="380"/>
      <c r="AD49" s="5043"/>
      <c r="AE49" s="5042"/>
      <c r="AF49" s="5042"/>
      <c r="AG49" s="5043"/>
      <c r="AH49" s="5042"/>
      <c r="AI49" s="5043"/>
      <c r="AJ49" s="5042"/>
      <c r="AK49" s="5044"/>
      <c r="AL49" s="375"/>
      <c r="AM49" s="960"/>
      <c r="AN49" s="1048" cm="1" t="str">
        <f t="array" ref="AN49:AN49">K49</f>
        <v>2043</v>
      </c>
      <c r="AO49" s="1048" t="s">
        <v>2125</v>
      </c>
      <c r="AP49" s="1058" cm="1" t="str">
        <f t="array" ref="AP49:AP49">AP48</f>
        <v>0</v>
      </c>
      <c r="AQ49" s="683"/>
      <c r="AR49" s="683"/>
    </row>
    <row s="960" customFormat="1" customHeight="1" ht="14.625" hidden="1">
      <c r="A50" s="960"/>
      <c r="B50" s="418">
        <f>K50&lt;first_year+PERIOD_LENGTH</f>
        <v>0</v>
      </c>
      <c r="C50" s="960"/>
      <c r="D50" s="960"/>
      <c r="E50" s="683">
        <v>15</v>
      </c>
      <c r="F50" s="50" cm="1" t="str">
        <f t="array" ref="F50:F50">OFFSET(E50,-1,1)</f>
        <v>0</v>
      </c>
      <c r="G50" s="64" cm="1" t="str">
        <f t="array" ref="G50:G50">G49</f>
        <v>0</v>
      </c>
      <c r="H50" s="960"/>
      <c r="I50" s="960"/>
      <c r="J50" s="960"/>
      <c r="K50" s="124">
        <f>first_year+20</f>
        <v>2044</v>
      </c>
      <c r="L50" s="960"/>
      <c r="M50" s="960"/>
      <c r="N50" s="960"/>
      <c r="O50" s="960"/>
      <c r="P50" s="960"/>
      <c r="Q50" s="960"/>
      <c r="R50" s="960"/>
      <c r="S50" s="960"/>
      <c r="T50" s="439" cm="1" t="str">
        <f t="array" ref="T50:T50">T49</f>
        <v>false</v>
      </c>
      <c r="U50" s="960"/>
      <c r="V50" s="960"/>
      <c r="W50" s="960"/>
      <c r="X50" s="1482"/>
      <c r="Y50" s="1482"/>
      <c r="Z50" s="1465"/>
      <c r="AA50" s="1585"/>
      <c r="AB50" s="222" t="str">
        <f>K50&amp;" год"</f>
        <v>2044 год</v>
      </c>
      <c r="AC50" s="380"/>
      <c r="AD50" s="5043"/>
      <c r="AE50" s="5042"/>
      <c r="AF50" s="5042"/>
      <c r="AG50" s="5043"/>
      <c r="AH50" s="5042"/>
      <c r="AI50" s="5043"/>
      <c r="AJ50" s="5042"/>
      <c r="AK50" s="5044"/>
      <c r="AL50" s="375"/>
      <c r="AM50" s="960"/>
      <c r="AN50" s="1048" cm="1" t="str">
        <f t="array" ref="AN50:AN50">K50</f>
        <v>2044</v>
      </c>
      <c r="AO50" s="1048" t="s">
        <v>2125</v>
      </c>
      <c r="AP50" s="1058" cm="1" t="str">
        <f t="array" ref="AP50:AP50">AP49</f>
        <v>0</v>
      </c>
      <c r="AQ50" s="683"/>
      <c r="AR50" s="683"/>
    </row>
    <row s="960" customFormat="1" customHeight="1" ht="14.625" hidden="1">
      <c r="A51" s="960"/>
      <c r="B51" s="418">
        <f>K51&lt;first_year+PERIOD_LENGTH</f>
        <v>0</v>
      </c>
      <c r="C51" s="960"/>
      <c r="D51" s="960"/>
      <c r="E51" s="683">
        <v>15</v>
      </c>
      <c r="F51" s="50" cm="1" t="str">
        <f t="array" ref="F51:F51">OFFSET(E51,-1,1)</f>
        <v>0</v>
      </c>
      <c r="G51" s="64" cm="1" t="str">
        <f t="array" ref="G51:G51">G50</f>
        <v>0</v>
      </c>
      <c r="H51" s="960"/>
      <c r="I51" s="960"/>
      <c r="J51" s="960"/>
      <c r="K51" s="124">
        <f>first_year+21</f>
        <v>2045</v>
      </c>
      <c r="L51" s="960"/>
      <c r="M51" s="960"/>
      <c r="N51" s="960"/>
      <c r="O51" s="960"/>
      <c r="P51" s="960"/>
      <c r="Q51" s="960"/>
      <c r="R51" s="960"/>
      <c r="S51" s="960"/>
      <c r="T51" s="439" cm="1" t="str">
        <f t="array" ref="T51:T51">T50</f>
        <v>false</v>
      </c>
      <c r="U51" s="960"/>
      <c r="V51" s="960"/>
      <c r="W51" s="960"/>
      <c r="X51" s="1482"/>
      <c r="Y51" s="1482"/>
      <c r="Z51" s="1465"/>
      <c r="AA51" s="1585"/>
      <c r="AB51" s="222" t="str">
        <f>K51&amp;" год"</f>
        <v>2045 год</v>
      </c>
      <c r="AC51" s="380"/>
      <c r="AD51" s="5043"/>
      <c r="AE51" s="5042"/>
      <c r="AF51" s="5042"/>
      <c r="AG51" s="5043"/>
      <c r="AH51" s="5042"/>
      <c r="AI51" s="5043"/>
      <c r="AJ51" s="5042"/>
      <c r="AK51" s="5044"/>
      <c r="AL51" s="375"/>
      <c r="AM51" s="960"/>
      <c r="AN51" s="1048" cm="1" t="str">
        <f t="array" ref="AN51:AN51">K51</f>
        <v>2045</v>
      </c>
      <c r="AO51" s="1048" t="s">
        <v>2125</v>
      </c>
      <c r="AP51" s="1058" cm="1" t="str">
        <f t="array" ref="AP51:AP51">AP50</f>
        <v>0</v>
      </c>
      <c r="AQ51" s="683"/>
      <c r="AR51" s="683"/>
    </row>
    <row s="960" customFormat="1" customHeight="1" ht="14.625" hidden="1">
      <c r="A52" s="960"/>
      <c r="B52" s="418">
        <f>K52&lt;first_year+PERIOD_LENGTH</f>
        <v>0</v>
      </c>
      <c r="C52" s="960"/>
      <c r="D52" s="960"/>
      <c r="E52" s="683">
        <v>15</v>
      </c>
      <c r="F52" s="50" cm="1" t="str">
        <f t="array" ref="F52:F52">OFFSET(E52,-1,1)</f>
        <v>0</v>
      </c>
      <c r="G52" s="64" cm="1" t="str">
        <f t="array" ref="G52:G52">G51</f>
        <v>0</v>
      </c>
      <c r="H52" s="960"/>
      <c r="I52" s="960"/>
      <c r="J52" s="960"/>
      <c r="K52" s="124">
        <f>first_year+22</f>
        <v>2046</v>
      </c>
      <c r="L52" s="960"/>
      <c r="M52" s="960"/>
      <c r="N52" s="960"/>
      <c r="O52" s="960"/>
      <c r="P52" s="960"/>
      <c r="Q52" s="960"/>
      <c r="R52" s="960"/>
      <c r="S52" s="960"/>
      <c r="T52" s="439" cm="1" t="str">
        <f t="array" ref="T52:T52">T51</f>
        <v>false</v>
      </c>
      <c r="U52" s="960"/>
      <c r="V52" s="960"/>
      <c r="W52" s="960"/>
      <c r="X52" s="1482"/>
      <c r="Y52" s="1482"/>
      <c r="Z52" s="1465"/>
      <c r="AA52" s="1585"/>
      <c r="AB52" s="222" t="str">
        <f>K52&amp;" год"</f>
        <v>2046 год</v>
      </c>
      <c r="AC52" s="380"/>
      <c r="AD52" s="5043"/>
      <c r="AE52" s="5042"/>
      <c r="AF52" s="5042"/>
      <c r="AG52" s="5043"/>
      <c r="AH52" s="5042"/>
      <c r="AI52" s="5043"/>
      <c r="AJ52" s="5042"/>
      <c r="AK52" s="5044"/>
      <c r="AL52" s="375"/>
      <c r="AM52" s="960"/>
      <c r="AN52" s="1048" cm="1" t="str">
        <f t="array" ref="AN52:AN52">K52</f>
        <v>2046</v>
      </c>
      <c r="AO52" s="1048" t="s">
        <v>2125</v>
      </c>
      <c r="AP52" s="1058" cm="1" t="str">
        <f t="array" ref="AP52:AP52">AP51</f>
        <v>0</v>
      </c>
      <c r="AQ52" s="683"/>
      <c r="AR52" s="683"/>
    </row>
    <row s="960" customFormat="1" customHeight="1" ht="14.625" hidden="1">
      <c r="A53" s="960"/>
      <c r="B53" s="418">
        <f>K53&lt;first_year+PERIOD_LENGTH</f>
        <v>0</v>
      </c>
      <c r="C53" s="960"/>
      <c r="D53" s="960"/>
      <c r="E53" s="683">
        <v>15</v>
      </c>
      <c r="F53" s="50" cm="1" t="str">
        <f t="array" ref="F53:F53">OFFSET(E53,-1,1)</f>
        <v>0</v>
      </c>
      <c r="G53" s="64" cm="1" t="str">
        <f t="array" ref="G53:G53">G52</f>
        <v>0</v>
      </c>
      <c r="H53" s="960"/>
      <c r="I53" s="960"/>
      <c r="J53" s="960"/>
      <c r="K53" s="124">
        <f>first_year+23</f>
        <v>2047</v>
      </c>
      <c r="L53" s="960"/>
      <c r="M53" s="960"/>
      <c r="N53" s="960"/>
      <c r="O53" s="960"/>
      <c r="P53" s="960"/>
      <c r="Q53" s="960"/>
      <c r="R53" s="960"/>
      <c r="S53" s="960"/>
      <c r="T53" s="439" cm="1" t="str">
        <f t="array" ref="T53:T53">T52</f>
        <v>false</v>
      </c>
      <c r="U53" s="960"/>
      <c r="V53" s="960"/>
      <c r="W53" s="960"/>
      <c r="X53" s="1482"/>
      <c r="Y53" s="1482"/>
      <c r="Z53" s="1465"/>
      <c r="AA53" s="1585"/>
      <c r="AB53" s="222" t="str">
        <f>K53&amp;" год"</f>
        <v>2047 год</v>
      </c>
      <c r="AC53" s="380"/>
      <c r="AD53" s="5043"/>
      <c r="AE53" s="5042"/>
      <c r="AF53" s="5042"/>
      <c r="AG53" s="5043"/>
      <c r="AH53" s="5042"/>
      <c r="AI53" s="5043"/>
      <c r="AJ53" s="5042"/>
      <c r="AK53" s="5044"/>
      <c r="AL53" s="375"/>
      <c r="AM53" s="960"/>
      <c r="AN53" s="1048" cm="1" t="str">
        <f t="array" ref="AN53:AN53">K53</f>
        <v>2047</v>
      </c>
      <c r="AO53" s="1048" t="s">
        <v>2125</v>
      </c>
      <c r="AP53" s="1058" cm="1" t="str">
        <f t="array" ref="AP53:AP53">AP52</f>
        <v>0</v>
      </c>
      <c r="AQ53" s="683"/>
      <c r="AR53" s="683"/>
    </row>
    <row s="960" customFormat="1" customHeight="1" ht="14.625" hidden="1">
      <c r="A54" s="960"/>
      <c r="B54" s="418">
        <f>K54&lt;first_year+PERIOD_LENGTH</f>
        <v>0</v>
      </c>
      <c r="C54" s="960"/>
      <c r="D54" s="960"/>
      <c r="E54" s="683">
        <v>15</v>
      </c>
      <c r="F54" s="50" cm="1" t="str">
        <f t="array" ref="F54:F54">OFFSET(E54,-1,1)</f>
        <v>0</v>
      </c>
      <c r="G54" s="64" cm="1" t="str">
        <f t="array" ref="G54:G54">G53</f>
        <v>0</v>
      </c>
      <c r="H54" s="960"/>
      <c r="I54" s="960"/>
      <c r="J54" s="960"/>
      <c r="K54" s="124">
        <f>first_year+24</f>
        <v>2048</v>
      </c>
      <c r="L54" s="960"/>
      <c r="M54" s="960"/>
      <c r="N54" s="960"/>
      <c r="O54" s="960"/>
      <c r="P54" s="960"/>
      <c r="Q54" s="960"/>
      <c r="R54" s="960"/>
      <c r="S54" s="960"/>
      <c r="T54" s="439" cm="1" t="str">
        <f t="array" ref="T54:T54">T53</f>
        <v>false</v>
      </c>
      <c r="U54" s="960"/>
      <c r="V54" s="960"/>
      <c r="W54" s="960"/>
      <c r="X54" s="1482"/>
      <c r="Y54" s="1482"/>
      <c r="Z54" s="1465"/>
      <c r="AA54" s="1585"/>
      <c r="AB54" s="222" t="str">
        <f>K54&amp;" год"</f>
        <v>2048 год</v>
      </c>
      <c r="AC54" s="380"/>
      <c r="AD54" s="5043"/>
      <c r="AE54" s="5042"/>
      <c r="AF54" s="5042"/>
      <c r="AG54" s="5043"/>
      <c r="AH54" s="5042"/>
      <c r="AI54" s="5043"/>
      <c r="AJ54" s="5042"/>
      <c r="AK54" s="5044"/>
      <c r="AL54" s="375"/>
      <c r="AM54" s="960"/>
      <c r="AN54" s="1048" cm="1" t="str">
        <f t="array" ref="AN54:AN54">K54</f>
        <v>2048</v>
      </c>
      <c r="AO54" s="1048" t="s">
        <v>2125</v>
      </c>
      <c r="AP54" s="1058" cm="1" t="str">
        <f t="array" ref="AP54:AP54">AP53</f>
        <v>0</v>
      </c>
      <c r="AQ54" s="683"/>
      <c r="AR54" s="683"/>
    </row>
    <row s="960" customFormat="1" customHeight="1" ht="14.625" hidden="1">
      <c r="A55" s="960"/>
      <c r="B55" s="418">
        <f>K55&lt;first_year+PERIOD_LENGTH</f>
        <v>0</v>
      </c>
      <c r="C55" s="960"/>
      <c r="D55" s="960"/>
      <c r="E55" s="683">
        <v>15</v>
      </c>
      <c r="F55" s="50" cm="1" t="str">
        <f t="array" ref="F55:F55">OFFSET(E55,-1,1)</f>
        <v>0</v>
      </c>
      <c r="G55" s="64" cm="1" t="str">
        <f t="array" ref="G55:G55">G54</f>
        <v>0</v>
      </c>
      <c r="H55" s="960"/>
      <c r="I55" s="960"/>
      <c r="J55" s="960"/>
      <c r="K55" s="124">
        <f>first_year+25</f>
        <v>2049</v>
      </c>
      <c r="L55" s="960"/>
      <c r="M55" s="960"/>
      <c r="N55" s="960"/>
      <c r="O55" s="960"/>
      <c r="P55" s="960"/>
      <c r="Q55" s="960"/>
      <c r="R55" s="960"/>
      <c r="S55" s="960"/>
      <c r="T55" s="439" cm="1" t="str">
        <f t="array" ref="T55:T55">T54</f>
        <v>false</v>
      </c>
      <c r="U55" s="960"/>
      <c r="V55" s="960"/>
      <c r="W55" s="960"/>
      <c r="X55" s="1482"/>
      <c r="Y55" s="1482"/>
      <c r="Z55" s="1465"/>
      <c r="AA55" s="1585"/>
      <c r="AB55" s="222" t="str">
        <f>K55&amp;" год"</f>
        <v>2049 год</v>
      </c>
      <c r="AC55" s="380"/>
      <c r="AD55" s="5043"/>
      <c r="AE55" s="5042"/>
      <c r="AF55" s="5042"/>
      <c r="AG55" s="5043"/>
      <c r="AH55" s="5042"/>
      <c r="AI55" s="5043"/>
      <c r="AJ55" s="5042"/>
      <c r="AK55" s="5044"/>
      <c r="AL55" s="375"/>
      <c r="AM55" s="960"/>
      <c r="AN55" s="1048" cm="1" t="str">
        <f t="array" ref="AN55:AN55">K55</f>
        <v>2049</v>
      </c>
      <c r="AO55" s="1048" t="s">
        <v>2125</v>
      </c>
      <c r="AP55" s="1058" cm="1" t="str">
        <f t="array" ref="AP55:AP55">AP54</f>
        <v>0</v>
      </c>
      <c r="AQ55" s="683"/>
      <c r="AR55" s="683"/>
    </row>
    <row s="960" customFormat="1" customHeight="1" ht="14.625" hidden="1">
      <c r="A56" s="960"/>
      <c r="B56" s="418">
        <f>K56&lt;first_year+PERIOD_LENGTH</f>
        <v>0</v>
      </c>
      <c r="C56" s="960"/>
      <c r="D56" s="960"/>
      <c r="E56" s="683">
        <v>15</v>
      </c>
      <c r="F56" s="50" cm="1" t="str">
        <f t="array" ref="F56:F56">OFFSET(E56,-1,1)</f>
        <v>0</v>
      </c>
      <c r="G56" s="64" cm="1" t="str">
        <f t="array" ref="G56:G56">G55</f>
        <v>0</v>
      </c>
      <c r="H56" s="960"/>
      <c r="I56" s="960"/>
      <c r="J56" s="960"/>
      <c r="K56" s="124">
        <f>first_year+26</f>
        <v>2050</v>
      </c>
      <c r="L56" s="960"/>
      <c r="M56" s="960"/>
      <c r="N56" s="960"/>
      <c r="O56" s="960"/>
      <c r="P56" s="960"/>
      <c r="Q56" s="960"/>
      <c r="R56" s="960"/>
      <c r="S56" s="960"/>
      <c r="T56" s="439" cm="1" t="str">
        <f t="array" ref="T56:T56">T55</f>
        <v>false</v>
      </c>
      <c r="U56" s="960"/>
      <c r="V56" s="960"/>
      <c r="W56" s="960"/>
      <c r="X56" s="1482"/>
      <c r="Y56" s="1482"/>
      <c r="Z56" s="1465"/>
      <c r="AA56" s="1585"/>
      <c r="AB56" s="222" t="str">
        <f>K56&amp;" год"</f>
        <v>2050 год</v>
      </c>
      <c r="AC56" s="380"/>
      <c r="AD56" s="5043"/>
      <c r="AE56" s="5042"/>
      <c r="AF56" s="5042"/>
      <c r="AG56" s="5043"/>
      <c r="AH56" s="5042"/>
      <c r="AI56" s="5043"/>
      <c r="AJ56" s="5042"/>
      <c r="AK56" s="5044"/>
      <c r="AL56" s="375"/>
      <c r="AM56" s="960"/>
      <c r="AN56" s="1048" cm="1" t="str">
        <f t="array" ref="AN56:AN56">K56</f>
        <v>2050</v>
      </c>
      <c r="AO56" s="1048" t="s">
        <v>2125</v>
      </c>
      <c r="AP56" s="1058" cm="1" t="str">
        <f t="array" ref="AP56:AP56">AP55</f>
        <v>0</v>
      </c>
      <c r="AQ56" s="683"/>
      <c r="AR56" s="683"/>
    </row>
    <row s="960" customFormat="1" customHeight="1" ht="14.625" hidden="1">
      <c r="A57" s="960"/>
      <c r="B57" s="418">
        <f>K57&lt;first_year+PERIOD_LENGTH</f>
        <v>0</v>
      </c>
      <c r="C57" s="960"/>
      <c r="D57" s="960"/>
      <c r="E57" s="683">
        <v>15</v>
      </c>
      <c r="F57" s="50" cm="1" t="str">
        <f t="array" ref="F57:F57">OFFSET(E57,-1,1)</f>
        <v>0</v>
      </c>
      <c r="G57" s="64" cm="1" t="str">
        <f t="array" ref="G57:G57">G56</f>
        <v>0</v>
      </c>
      <c r="H57" s="960"/>
      <c r="I57" s="960"/>
      <c r="J57" s="960"/>
      <c r="K57" s="124">
        <f>first_year+27</f>
        <v>2051</v>
      </c>
      <c r="L57" s="960"/>
      <c r="M57" s="960"/>
      <c r="N57" s="960"/>
      <c r="O57" s="960"/>
      <c r="P57" s="960"/>
      <c r="Q57" s="960"/>
      <c r="R57" s="960"/>
      <c r="S57" s="960"/>
      <c r="T57" s="439" cm="1" t="str">
        <f t="array" ref="T57:T57">T56</f>
        <v>false</v>
      </c>
      <c r="U57" s="960"/>
      <c r="V57" s="960"/>
      <c r="W57" s="960"/>
      <c r="X57" s="1482"/>
      <c r="Y57" s="1482"/>
      <c r="Z57" s="1465"/>
      <c r="AA57" s="1585"/>
      <c r="AB57" s="222" t="str">
        <f>K57&amp;" год"</f>
        <v>2051 год</v>
      </c>
      <c r="AC57" s="380"/>
      <c r="AD57" s="5043"/>
      <c r="AE57" s="5042"/>
      <c r="AF57" s="5042"/>
      <c r="AG57" s="5043"/>
      <c r="AH57" s="5042"/>
      <c r="AI57" s="5043"/>
      <c r="AJ57" s="5042"/>
      <c r="AK57" s="5044"/>
      <c r="AL57" s="375"/>
      <c r="AM57" s="960"/>
      <c r="AN57" s="1048" cm="1" t="str">
        <f t="array" ref="AN57:AN57">K57</f>
        <v>2051</v>
      </c>
      <c r="AO57" s="1048" t="s">
        <v>2125</v>
      </c>
      <c r="AP57" s="1058" cm="1" t="str">
        <f t="array" ref="AP57:AP57">AP56</f>
        <v>0</v>
      </c>
      <c r="AQ57" s="683"/>
      <c r="AR57" s="683"/>
    </row>
    <row s="960" customFormat="1" customHeight="1" ht="14.625" hidden="1">
      <c r="A58" s="960"/>
      <c r="B58" s="418">
        <f>K58&lt;first_year+PERIOD_LENGTH</f>
        <v>0</v>
      </c>
      <c r="C58" s="960"/>
      <c r="D58" s="960"/>
      <c r="E58" s="683">
        <v>15</v>
      </c>
      <c r="F58" s="50" cm="1" t="str">
        <f t="array" ref="F58:F58">OFFSET(E58,-1,1)</f>
        <v>0</v>
      </c>
      <c r="G58" s="64" cm="1" t="str">
        <f t="array" ref="G58:G58">G57</f>
        <v>0</v>
      </c>
      <c r="H58" s="960"/>
      <c r="I58" s="960"/>
      <c r="J58" s="960"/>
      <c r="K58" s="124">
        <f>first_year+28</f>
        <v>2052</v>
      </c>
      <c r="L58" s="960"/>
      <c r="M58" s="960"/>
      <c r="N58" s="960"/>
      <c r="O58" s="960"/>
      <c r="P58" s="960"/>
      <c r="Q58" s="960"/>
      <c r="R58" s="960"/>
      <c r="S58" s="960"/>
      <c r="T58" s="439" cm="1" t="str">
        <f t="array" ref="T58:T58">T57</f>
        <v>false</v>
      </c>
      <c r="U58" s="960"/>
      <c r="V58" s="960"/>
      <c r="W58" s="960"/>
      <c r="X58" s="1482"/>
      <c r="Y58" s="1482"/>
      <c r="Z58" s="1465"/>
      <c r="AA58" s="1585"/>
      <c r="AB58" s="222" t="str">
        <f>K58&amp;" год"</f>
        <v>2052 год</v>
      </c>
      <c r="AC58" s="380"/>
      <c r="AD58" s="5043"/>
      <c r="AE58" s="5042"/>
      <c r="AF58" s="5042"/>
      <c r="AG58" s="5043"/>
      <c r="AH58" s="5042"/>
      <c r="AI58" s="5043"/>
      <c r="AJ58" s="5042"/>
      <c r="AK58" s="5044"/>
      <c r="AL58" s="375"/>
      <c r="AM58" s="960"/>
      <c r="AN58" s="1048" cm="1" t="str">
        <f t="array" ref="AN58:AN58">K58</f>
        <v>2052</v>
      </c>
      <c r="AO58" s="1048" t="s">
        <v>2125</v>
      </c>
      <c r="AP58" s="1058" cm="1" t="str">
        <f t="array" ref="AP58:AP58">AP57</f>
        <v>0</v>
      </c>
      <c r="AQ58" s="683"/>
      <c r="AR58" s="683"/>
    </row>
    <row s="960" customFormat="1" customHeight="1" ht="14.625" hidden="1">
      <c r="A59" s="960"/>
      <c r="B59" s="418">
        <f>K59&lt;first_year+PERIOD_LENGTH</f>
        <v>0</v>
      </c>
      <c r="C59" s="960"/>
      <c r="D59" s="960"/>
      <c r="E59" s="683">
        <v>15</v>
      </c>
      <c r="F59" s="50" cm="1" t="str">
        <f t="array" ref="F59:F59">OFFSET(E59,-1,1)</f>
        <v>0</v>
      </c>
      <c r="G59" s="64" cm="1" t="str">
        <f t="array" ref="G59:G59">G58</f>
        <v>0</v>
      </c>
      <c r="H59" s="960"/>
      <c r="I59" s="960"/>
      <c r="J59" s="960"/>
      <c r="K59" s="124">
        <f>first_year+29</f>
        <v>2053</v>
      </c>
      <c r="L59" s="960"/>
      <c r="M59" s="960"/>
      <c r="N59" s="960"/>
      <c r="O59" s="960"/>
      <c r="P59" s="960"/>
      <c r="Q59" s="960"/>
      <c r="R59" s="960"/>
      <c r="S59" s="960"/>
      <c r="T59" s="439" cm="1" t="str">
        <f t="array" ref="T59:T59">T58</f>
        <v>false</v>
      </c>
      <c r="U59" s="960"/>
      <c r="V59" s="960"/>
      <c r="W59" s="960"/>
      <c r="X59" s="1482"/>
      <c r="Y59" s="1482"/>
      <c r="Z59" s="1465"/>
      <c r="AA59" s="1585"/>
      <c r="AB59" s="222" t="str">
        <f>K59&amp;" год"</f>
        <v>2053 год</v>
      </c>
      <c r="AC59" s="380"/>
      <c r="AD59" s="5043"/>
      <c r="AE59" s="5042"/>
      <c r="AF59" s="5042"/>
      <c r="AG59" s="5043"/>
      <c r="AH59" s="5042"/>
      <c r="AI59" s="5043"/>
      <c r="AJ59" s="5042"/>
      <c r="AK59" s="5044"/>
      <c r="AL59" s="375"/>
      <c r="AM59" s="960"/>
      <c r="AN59" s="1048" cm="1" t="str">
        <f t="array" ref="AN59:AN59">K59</f>
        <v>2053</v>
      </c>
      <c r="AO59" s="1048" t="s">
        <v>2125</v>
      </c>
      <c r="AP59" s="1058" cm="1" t="str">
        <f t="array" ref="AP59:AP59">AP58</f>
        <v>0</v>
      </c>
      <c r="AQ59" s="683"/>
      <c r="AR59" s="683"/>
    </row>
    <row s="960" customFormat="1" customHeight="1" ht="14.625" hidden="1">
      <c r="A60" s="960"/>
      <c r="B60" s="418">
        <f>K60&lt;first_year+PERIOD_LENGTH</f>
        <v>0</v>
      </c>
      <c r="C60" s="960"/>
      <c r="D60" s="960"/>
      <c r="E60" s="683">
        <v>15</v>
      </c>
      <c r="F60" s="50" cm="1" t="str">
        <f t="array" ref="F60:F60">OFFSET(E60,-1,1)</f>
        <v>0</v>
      </c>
      <c r="G60" s="64" cm="1" t="str">
        <f t="array" ref="G60:G60">G59</f>
        <v>0</v>
      </c>
      <c r="H60" s="960"/>
      <c r="I60" s="960"/>
      <c r="J60" s="960"/>
      <c r="K60" s="124">
        <f>first_year+30</f>
        <v>2054</v>
      </c>
      <c r="L60" s="960"/>
      <c r="M60" s="960"/>
      <c r="N60" s="960"/>
      <c r="O60" s="960"/>
      <c r="P60" s="960"/>
      <c r="Q60" s="960"/>
      <c r="R60" s="960"/>
      <c r="S60" s="960"/>
      <c r="T60" s="439" cm="1" t="str">
        <f t="array" ref="T60:T60">T59</f>
        <v>false</v>
      </c>
      <c r="U60" s="960"/>
      <c r="V60" s="960"/>
      <c r="W60" s="960"/>
      <c r="X60" s="1482"/>
      <c r="Y60" s="1482"/>
      <c r="Z60" s="1465"/>
      <c r="AA60" s="1585"/>
      <c r="AB60" s="222" t="str">
        <f>K60&amp;" год"</f>
        <v>2054 год</v>
      </c>
      <c r="AC60" s="380"/>
      <c r="AD60" s="5043"/>
      <c r="AE60" s="5042"/>
      <c r="AF60" s="5042"/>
      <c r="AG60" s="5043"/>
      <c r="AH60" s="5042"/>
      <c r="AI60" s="5043"/>
      <c r="AJ60" s="5042"/>
      <c r="AK60" s="5044"/>
      <c r="AL60" s="375"/>
      <c r="AM60" s="960"/>
      <c r="AN60" s="1048" cm="1" t="str">
        <f t="array" ref="AN60:AN60">K60</f>
        <v>2054</v>
      </c>
      <c r="AO60" s="1048" t="s">
        <v>2125</v>
      </c>
      <c r="AP60" s="1058" cm="1" t="str">
        <f t="array" ref="AP60:AP60">AP59</f>
        <v>0</v>
      </c>
      <c r="AQ60" s="683"/>
      <c r="AR60" s="683"/>
    </row>
    <row s="960" customFormat="1" customHeight="1" ht="14.625" hidden="1">
      <c r="A61" s="960"/>
      <c r="B61" s="418">
        <f>K61&lt;first_year+PERIOD_LENGTH</f>
        <v>0</v>
      </c>
      <c r="C61" s="960"/>
      <c r="D61" s="960"/>
      <c r="E61" s="683">
        <v>15</v>
      </c>
      <c r="F61" s="50" cm="1" t="str">
        <f t="array" ref="F61:F61">OFFSET(E61,-1,1)</f>
        <v>0</v>
      </c>
      <c r="G61" s="64" cm="1" t="str">
        <f t="array" ref="G61:G61">G60</f>
        <v>0</v>
      </c>
      <c r="H61" s="960"/>
      <c r="I61" s="960"/>
      <c r="J61" s="960"/>
      <c r="K61" s="124">
        <f>first_year+31</f>
        <v>2055</v>
      </c>
      <c r="L61" s="960"/>
      <c r="M61" s="960"/>
      <c r="N61" s="960"/>
      <c r="O61" s="960"/>
      <c r="P61" s="960"/>
      <c r="Q61" s="960"/>
      <c r="R61" s="960"/>
      <c r="S61" s="960"/>
      <c r="T61" s="439" cm="1" t="str">
        <f t="array" ref="T61:T61">T60</f>
        <v>false</v>
      </c>
      <c r="U61" s="960"/>
      <c r="V61" s="960"/>
      <c r="W61" s="960"/>
      <c r="X61" s="1482"/>
      <c r="Y61" s="1482"/>
      <c r="Z61" s="1465"/>
      <c r="AA61" s="1585"/>
      <c r="AB61" s="222" t="str">
        <f>K61&amp;" год"</f>
        <v>2055 год</v>
      </c>
      <c r="AC61" s="380"/>
      <c r="AD61" s="5043"/>
      <c r="AE61" s="5042"/>
      <c r="AF61" s="5042"/>
      <c r="AG61" s="5043"/>
      <c r="AH61" s="5042"/>
      <c r="AI61" s="5043"/>
      <c r="AJ61" s="5042"/>
      <c r="AK61" s="5044"/>
      <c r="AL61" s="375"/>
      <c r="AM61" s="960"/>
      <c r="AN61" s="1048" cm="1" t="str">
        <f t="array" ref="AN61:AN61">K61</f>
        <v>2055</v>
      </c>
      <c r="AO61" s="1048" t="s">
        <v>2125</v>
      </c>
      <c r="AP61" s="1058" cm="1" t="str">
        <f t="array" ref="AP61:AP61">AP60</f>
        <v>0</v>
      </c>
      <c r="AQ61" s="683"/>
      <c r="AR61" s="683"/>
    </row>
    <row s="960" customFormat="1" customHeight="1" ht="14.625" hidden="1">
      <c r="A62" s="960"/>
      <c r="B62" s="418">
        <f>K62&lt;first_year+PERIOD_LENGTH</f>
        <v>0</v>
      </c>
      <c r="C62" s="960"/>
      <c r="D62" s="960"/>
      <c r="E62" s="683">
        <v>15</v>
      </c>
      <c r="F62" s="50" cm="1" t="str">
        <f t="array" ref="F62:F62">OFFSET(E62,-1,1)</f>
        <v>0</v>
      </c>
      <c r="G62" s="64" cm="1" t="str">
        <f t="array" ref="G62:G62">G61</f>
        <v>0</v>
      </c>
      <c r="H62" s="960"/>
      <c r="I62" s="960"/>
      <c r="J62" s="960"/>
      <c r="K62" s="124">
        <f>first_year+32</f>
        <v>2056</v>
      </c>
      <c r="L62" s="960"/>
      <c r="M62" s="960"/>
      <c r="N62" s="960"/>
      <c r="O62" s="960"/>
      <c r="P62" s="960"/>
      <c r="Q62" s="960"/>
      <c r="R62" s="960"/>
      <c r="S62" s="960"/>
      <c r="T62" s="439" cm="1" t="str">
        <f t="array" ref="T62:T62">T61</f>
        <v>false</v>
      </c>
      <c r="U62" s="960"/>
      <c r="V62" s="960"/>
      <c r="W62" s="960"/>
      <c r="X62" s="1482"/>
      <c r="Y62" s="1482"/>
      <c r="Z62" s="1465"/>
      <c r="AA62" s="1585"/>
      <c r="AB62" s="222" t="str">
        <f>K62&amp;" год"</f>
        <v>2056 год</v>
      </c>
      <c r="AC62" s="380"/>
      <c r="AD62" s="5043"/>
      <c r="AE62" s="5042"/>
      <c r="AF62" s="5042"/>
      <c r="AG62" s="5043"/>
      <c r="AH62" s="5042"/>
      <c r="AI62" s="5043"/>
      <c r="AJ62" s="5042"/>
      <c r="AK62" s="5044"/>
      <c r="AL62" s="375"/>
      <c r="AM62" s="960"/>
      <c r="AN62" s="1048" cm="1" t="str">
        <f t="array" ref="AN62:AN62">K62</f>
        <v>2056</v>
      </c>
      <c r="AO62" s="1048" t="s">
        <v>2125</v>
      </c>
      <c r="AP62" s="1058" cm="1" t="str">
        <f t="array" ref="AP62:AP62">AP61</f>
        <v>0</v>
      </c>
      <c r="AQ62" s="683"/>
      <c r="AR62" s="683"/>
    </row>
    <row s="960" customFormat="1" customHeight="1" ht="14.625" hidden="1">
      <c r="A63" s="960"/>
      <c r="B63" s="418">
        <f>K63&lt;first_year+PERIOD_LENGTH</f>
        <v>0</v>
      </c>
      <c r="C63" s="960"/>
      <c r="D63" s="960"/>
      <c r="E63" s="683">
        <v>15</v>
      </c>
      <c r="F63" s="50" cm="1" t="str">
        <f t="array" ref="F63:F63">OFFSET(E63,-1,1)</f>
        <v>0</v>
      </c>
      <c r="G63" s="64" cm="1" t="str">
        <f t="array" ref="G63:G63">G62</f>
        <v>0</v>
      </c>
      <c r="H63" s="960"/>
      <c r="I63" s="960"/>
      <c r="J63" s="960"/>
      <c r="K63" s="124">
        <f>first_year+33</f>
        <v>2057</v>
      </c>
      <c r="L63" s="960"/>
      <c r="M63" s="960"/>
      <c r="N63" s="960"/>
      <c r="O63" s="960"/>
      <c r="P63" s="960"/>
      <c r="Q63" s="960"/>
      <c r="R63" s="960"/>
      <c r="S63" s="960"/>
      <c r="T63" s="439" cm="1" t="str">
        <f t="array" ref="T63:T63">T62</f>
        <v>false</v>
      </c>
      <c r="U63" s="960"/>
      <c r="V63" s="960"/>
      <c r="W63" s="960"/>
      <c r="X63" s="1482"/>
      <c r="Y63" s="1482"/>
      <c r="Z63" s="1465"/>
      <c r="AA63" s="1585"/>
      <c r="AB63" s="222" t="str">
        <f>K63&amp;" год"</f>
        <v>2057 год</v>
      </c>
      <c r="AC63" s="380"/>
      <c r="AD63" s="5043"/>
      <c r="AE63" s="5042"/>
      <c r="AF63" s="5042"/>
      <c r="AG63" s="5043"/>
      <c r="AH63" s="5042"/>
      <c r="AI63" s="5043"/>
      <c r="AJ63" s="5042"/>
      <c r="AK63" s="5044"/>
      <c r="AL63" s="375"/>
      <c r="AM63" s="960"/>
      <c r="AN63" s="1048" cm="1" t="str">
        <f t="array" ref="AN63:AN63">K63</f>
        <v>2057</v>
      </c>
      <c r="AO63" s="1048" t="s">
        <v>2125</v>
      </c>
      <c r="AP63" s="1058" cm="1" t="str">
        <f t="array" ref="AP63:AP63">AP62</f>
        <v>0</v>
      </c>
      <c r="AQ63" s="683"/>
      <c r="AR63" s="683"/>
    </row>
    <row s="960" customFormat="1" customHeight="1" ht="14.625" hidden="1">
      <c r="A64" s="960"/>
      <c r="B64" s="418">
        <f>K64&lt;first_year+PERIOD_LENGTH</f>
        <v>0</v>
      </c>
      <c r="C64" s="960"/>
      <c r="D64" s="960"/>
      <c r="E64" s="683">
        <v>15</v>
      </c>
      <c r="F64" s="50" cm="1" t="str">
        <f t="array" ref="F64:F64">OFFSET(E64,-1,1)</f>
        <v>0</v>
      </c>
      <c r="G64" s="64" cm="1" t="str">
        <f t="array" ref="G64:G64">G63</f>
        <v>0</v>
      </c>
      <c r="H64" s="960"/>
      <c r="I64" s="960"/>
      <c r="J64" s="960"/>
      <c r="K64" s="124">
        <f>first_year+34</f>
        <v>2058</v>
      </c>
      <c r="L64" s="960"/>
      <c r="M64" s="960"/>
      <c r="N64" s="960"/>
      <c r="O64" s="960"/>
      <c r="P64" s="960"/>
      <c r="Q64" s="960"/>
      <c r="R64" s="960"/>
      <c r="S64" s="960"/>
      <c r="T64" s="439" cm="1" t="str">
        <f t="array" ref="T64:T64">T63</f>
        <v>false</v>
      </c>
      <c r="U64" s="960"/>
      <c r="V64" s="960"/>
      <c r="W64" s="960"/>
      <c r="X64" s="1482"/>
      <c r="Y64" s="1482"/>
      <c r="Z64" s="1465"/>
      <c r="AA64" s="1585"/>
      <c r="AB64" s="222" t="str">
        <f>K64&amp;" год"</f>
        <v>2058 год</v>
      </c>
      <c r="AC64" s="380"/>
      <c r="AD64" s="5043"/>
      <c r="AE64" s="5042"/>
      <c r="AF64" s="5042"/>
      <c r="AG64" s="5043"/>
      <c r="AH64" s="5042"/>
      <c r="AI64" s="5043"/>
      <c r="AJ64" s="5042"/>
      <c r="AK64" s="5044"/>
      <c r="AL64" s="375"/>
      <c r="AM64" s="960"/>
      <c r="AN64" s="1048" cm="1" t="str">
        <f t="array" ref="AN64:AN64">K64</f>
        <v>2058</v>
      </c>
      <c r="AO64" s="1048" t="s">
        <v>2125</v>
      </c>
      <c r="AP64" s="1058" cm="1" t="str">
        <f t="array" ref="AP64:AP64">AP63</f>
        <v>0</v>
      </c>
      <c r="AQ64" s="683"/>
      <c r="AR64" s="683"/>
    </row>
    <row s="960" customFormat="1" customHeight="1" ht="14.625" hidden="1">
      <c r="A65" s="960"/>
      <c r="B65" s="418">
        <f>K65&lt;first_year+PERIOD_LENGTH</f>
        <v>0</v>
      </c>
      <c r="C65" s="960"/>
      <c r="D65" s="960"/>
      <c r="E65" s="683">
        <v>15</v>
      </c>
      <c r="F65" s="50" cm="1" t="str">
        <f t="array" ref="F65:F65">OFFSET(E65,-1,1)</f>
        <v>0</v>
      </c>
      <c r="G65" s="64" cm="1" t="str">
        <f t="array" ref="G65:G65">G64</f>
        <v>0</v>
      </c>
      <c r="H65" s="960"/>
      <c r="I65" s="960"/>
      <c r="J65" s="960"/>
      <c r="K65" s="124">
        <f>first_year+35</f>
        <v>2059</v>
      </c>
      <c r="L65" s="960"/>
      <c r="M65" s="960"/>
      <c r="N65" s="960"/>
      <c r="O65" s="960"/>
      <c r="P65" s="960"/>
      <c r="Q65" s="960"/>
      <c r="R65" s="960"/>
      <c r="S65" s="960"/>
      <c r="T65" s="439" cm="1" t="str">
        <f t="array" ref="T65:T65">T64</f>
        <v>false</v>
      </c>
      <c r="U65" s="960"/>
      <c r="V65" s="960"/>
      <c r="W65" s="960"/>
      <c r="X65" s="1482"/>
      <c r="Y65" s="1482"/>
      <c r="Z65" s="1465"/>
      <c r="AA65" s="1585"/>
      <c r="AB65" s="222" t="str">
        <f>K65&amp;" год"</f>
        <v>2059 год</v>
      </c>
      <c r="AC65" s="380"/>
      <c r="AD65" s="5043"/>
      <c r="AE65" s="5042"/>
      <c r="AF65" s="5042"/>
      <c r="AG65" s="5043"/>
      <c r="AH65" s="5042"/>
      <c r="AI65" s="5043"/>
      <c r="AJ65" s="5042"/>
      <c r="AK65" s="5044"/>
      <c r="AL65" s="375"/>
      <c r="AM65" s="960"/>
      <c r="AN65" s="1048" cm="1" t="str">
        <f t="array" ref="AN65:AN65">K65</f>
        <v>2059</v>
      </c>
      <c r="AO65" s="1048" t="s">
        <v>2125</v>
      </c>
      <c r="AP65" s="1058" cm="1" t="str">
        <f t="array" ref="AP65:AP65">AP64</f>
        <v>0</v>
      </c>
      <c r="AQ65" s="683"/>
      <c r="AR65" s="683"/>
    </row>
    <row s="960" customFormat="1" customHeight="1" ht="14.625" hidden="1">
      <c r="A66" s="960"/>
      <c r="B66" s="418">
        <f>K66&lt;first_year+PERIOD_LENGTH</f>
        <v>0</v>
      </c>
      <c r="C66" s="960"/>
      <c r="D66" s="960"/>
      <c r="E66" s="683">
        <v>15</v>
      </c>
      <c r="F66" s="50" cm="1" t="str">
        <f t="array" ref="F66:F66">OFFSET(E66,-1,1)</f>
        <v>0</v>
      </c>
      <c r="G66" s="64" cm="1" t="str">
        <f t="array" ref="G66:G66">G65</f>
        <v>0</v>
      </c>
      <c r="H66" s="960"/>
      <c r="I66" s="960"/>
      <c r="J66" s="960"/>
      <c r="K66" s="124">
        <f>first_year+36</f>
        <v>2060</v>
      </c>
      <c r="L66" s="960"/>
      <c r="M66" s="960"/>
      <c r="N66" s="960"/>
      <c r="O66" s="960"/>
      <c r="P66" s="960"/>
      <c r="Q66" s="960"/>
      <c r="R66" s="960"/>
      <c r="S66" s="960"/>
      <c r="T66" s="439" cm="1" t="str">
        <f t="array" ref="T66:T66">T65</f>
        <v>false</v>
      </c>
      <c r="U66" s="960"/>
      <c r="V66" s="960"/>
      <c r="W66" s="960"/>
      <c r="X66" s="1482"/>
      <c r="Y66" s="1482"/>
      <c r="Z66" s="1465"/>
      <c r="AA66" s="1585"/>
      <c r="AB66" s="222" t="str">
        <f>K66&amp;" год"</f>
        <v>2060 год</v>
      </c>
      <c r="AC66" s="380"/>
      <c r="AD66" s="5043"/>
      <c r="AE66" s="5042"/>
      <c r="AF66" s="5042"/>
      <c r="AG66" s="5043"/>
      <c r="AH66" s="5042"/>
      <c r="AI66" s="5043"/>
      <c r="AJ66" s="5042"/>
      <c r="AK66" s="5044"/>
      <c r="AL66" s="375"/>
      <c r="AM66" s="960"/>
      <c r="AN66" s="1048" cm="1" t="str">
        <f t="array" ref="AN66:AN66">K66</f>
        <v>2060</v>
      </c>
      <c r="AO66" s="1048" t="s">
        <v>2125</v>
      </c>
      <c r="AP66" s="1058" cm="1" t="str">
        <f t="array" ref="AP66:AP66">AP65</f>
        <v>0</v>
      </c>
      <c r="AQ66" s="683"/>
      <c r="AR66" s="683"/>
    </row>
    <row s="960" customFormat="1" customHeight="1" ht="14.625" hidden="1">
      <c r="A67" s="960"/>
      <c r="B67" s="418">
        <f>K67&lt;first_year+PERIOD_LENGTH</f>
        <v>0</v>
      </c>
      <c r="C67" s="960"/>
      <c r="D67" s="960"/>
      <c r="E67" s="683">
        <v>15</v>
      </c>
      <c r="F67" s="50" cm="1" t="str">
        <f t="array" ref="F67:F67">OFFSET(E67,-1,1)</f>
        <v>0</v>
      </c>
      <c r="G67" s="64" cm="1" t="str">
        <f t="array" ref="G67:G67">G66</f>
        <v>0</v>
      </c>
      <c r="H67" s="960"/>
      <c r="I67" s="960"/>
      <c r="J67" s="960"/>
      <c r="K67" s="124">
        <f>first_year+37</f>
        <v>2061</v>
      </c>
      <c r="L67" s="960"/>
      <c r="M67" s="960"/>
      <c r="N67" s="960"/>
      <c r="O67" s="960"/>
      <c r="P67" s="960"/>
      <c r="Q67" s="960"/>
      <c r="R67" s="960"/>
      <c r="S67" s="960"/>
      <c r="T67" s="439" cm="1" t="str">
        <f t="array" ref="T67:T67">T66</f>
        <v>false</v>
      </c>
      <c r="U67" s="960"/>
      <c r="V67" s="960"/>
      <c r="W67" s="960"/>
      <c r="X67" s="1482"/>
      <c r="Y67" s="1482"/>
      <c r="Z67" s="1465"/>
      <c r="AA67" s="1585"/>
      <c r="AB67" s="222" t="str">
        <f>K67&amp;" год"</f>
        <v>2061 год</v>
      </c>
      <c r="AC67" s="380"/>
      <c r="AD67" s="5043"/>
      <c r="AE67" s="5042"/>
      <c r="AF67" s="5042"/>
      <c r="AG67" s="5043"/>
      <c r="AH67" s="5042"/>
      <c r="AI67" s="5043"/>
      <c r="AJ67" s="5042"/>
      <c r="AK67" s="5044"/>
      <c r="AL67" s="375"/>
      <c r="AM67" s="960"/>
      <c r="AN67" s="1048" cm="1" t="str">
        <f t="array" ref="AN67:AN67">K67</f>
        <v>2061</v>
      </c>
      <c r="AO67" s="1048" t="s">
        <v>2125</v>
      </c>
      <c r="AP67" s="1058" cm="1" t="str">
        <f t="array" ref="AP67:AP67">AP66</f>
        <v>0</v>
      </c>
      <c r="AQ67" s="683"/>
      <c r="AR67" s="683"/>
    </row>
    <row s="960" customFormat="1" customHeight="1" ht="14.625" hidden="1">
      <c r="A68" s="960"/>
      <c r="B68" s="418">
        <f>K68&lt;first_year+PERIOD_LENGTH</f>
        <v>0</v>
      </c>
      <c r="C68" s="960"/>
      <c r="D68" s="960"/>
      <c r="E68" s="683">
        <v>15</v>
      </c>
      <c r="F68" s="50" cm="1" t="str">
        <f t="array" ref="F68:F68">OFFSET(E68,-1,1)</f>
        <v>0</v>
      </c>
      <c r="G68" s="64" cm="1" t="str">
        <f t="array" ref="G68:G68">G67</f>
        <v>0</v>
      </c>
      <c r="H68" s="960"/>
      <c r="I68" s="960"/>
      <c r="J68" s="960"/>
      <c r="K68" s="124">
        <f>first_year+38</f>
        <v>2062</v>
      </c>
      <c r="L68" s="960"/>
      <c r="M68" s="960"/>
      <c r="N68" s="960"/>
      <c r="O68" s="960"/>
      <c r="P68" s="960"/>
      <c r="Q68" s="960"/>
      <c r="R68" s="960"/>
      <c r="S68" s="960"/>
      <c r="T68" s="439" cm="1" t="str">
        <f t="array" ref="T68:T68">T67</f>
        <v>false</v>
      </c>
      <c r="U68" s="960"/>
      <c r="V68" s="960"/>
      <c r="W68" s="960"/>
      <c r="X68" s="1482"/>
      <c r="Y68" s="1482"/>
      <c r="Z68" s="1465"/>
      <c r="AA68" s="1585"/>
      <c r="AB68" s="222" t="str">
        <f>K68&amp;" год"</f>
        <v>2062 год</v>
      </c>
      <c r="AC68" s="380"/>
      <c r="AD68" s="5043"/>
      <c r="AE68" s="5042"/>
      <c r="AF68" s="5042"/>
      <c r="AG68" s="5043"/>
      <c r="AH68" s="5042"/>
      <c r="AI68" s="5043"/>
      <c r="AJ68" s="5042"/>
      <c r="AK68" s="5044"/>
      <c r="AL68" s="375"/>
      <c r="AM68" s="960"/>
      <c r="AN68" s="1048" cm="1" t="str">
        <f t="array" ref="AN68:AN68">K68</f>
        <v>2062</v>
      </c>
      <c r="AO68" s="1048" t="s">
        <v>2125</v>
      </c>
      <c r="AP68" s="1058" cm="1" t="str">
        <f t="array" ref="AP68:AP68">AP67</f>
        <v>0</v>
      </c>
      <c r="AQ68" s="683"/>
      <c r="AR68" s="683"/>
    </row>
    <row s="960" customFormat="1" customHeight="1" ht="14.625" hidden="1">
      <c r="A69" s="960"/>
      <c r="B69" s="418">
        <f>K69&lt;first_year+PERIOD_LENGTH</f>
        <v>0</v>
      </c>
      <c r="C69" s="960"/>
      <c r="D69" s="960"/>
      <c r="E69" s="683">
        <v>15</v>
      </c>
      <c r="F69" s="50" cm="1" t="str">
        <f t="array" ref="F69:F69">OFFSET(E69,-1,1)</f>
        <v>0</v>
      </c>
      <c r="G69" s="64" cm="1" t="str">
        <f t="array" ref="G69:G69">G68</f>
        <v>0</v>
      </c>
      <c r="H69" s="960"/>
      <c r="I69" s="960"/>
      <c r="J69" s="960"/>
      <c r="K69" s="124">
        <f>first_year+39</f>
        <v>2063</v>
      </c>
      <c r="L69" s="960"/>
      <c r="M69" s="960"/>
      <c r="N69" s="960"/>
      <c r="O69" s="960"/>
      <c r="P69" s="960"/>
      <c r="Q69" s="960"/>
      <c r="R69" s="960"/>
      <c r="S69" s="960"/>
      <c r="T69" s="439" cm="1" t="str">
        <f t="array" ref="T69:T69">T68</f>
        <v>false</v>
      </c>
      <c r="U69" s="960"/>
      <c r="V69" s="960"/>
      <c r="W69" s="960"/>
      <c r="X69" s="1482"/>
      <c r="Y69" s="1482"/>
      <c r="Z69" s="1465"/>
      <c r="AA69" s="1585"/>
      <c r="AB69" s="222" t="str">
        <f>K69&amp;" год"</f>
        <v>2063 год</v>
      </c>
      <c r="AC69" s="380"/>
      <c r="AD69" s="5043"/>
      <c r="AE69" s="5042"/>
      <c r="AF69" s="5042"/>
      <c r="AG69" s="5043"/>
      <c r="AH69" s="5042"/>
      <c r="AI69" s="5043"/>
      <c r="AJ69" s="5042"/>
      <c r="AK69" s="5044"/>
      <c r="AL69" s="375"/>
      <c r="AM69" s="960"/>
      <c r="AN69" s="1048" cm="1" t="str">
        <f t="array" ref="AN69:AN69">K69</f>
        <v>2063</v>
      </c>
      <c r="AO69" s="1048" t="s">
        <v>2125</v>
      </c>
      <c r="AP69" s="1058" cm="1" t="str">
        <f t="array" ref="AP69:AP69">AP68</f>
        <v>0</v>
      </c>
      <c r="AQ69" s="683"/>
      <c r="AR69" s="683"/>
    </row>
    <row s="960" customFormat="1" customHeight="1" ht="14.625" hidden="1">
      <c r="A70" s="960"/>
      <c r="B70" s="418">
        <f>K70&lt;first_year+PERIOD_LENGTH</f>
        <v>0</v>
      </c>
      <c r="C70" s="960"/>
      <c r="D70" s="960"/>
      <c r="E70" s="683">
        <v>15</v>
      </c>
      <c r="F70" s="50" cm="1" t="str">
        <f t="array" ref="F70:F70">OFFSET(E70,-1,1)</f>
        <v>0</v>
      </c>
      <c r="G70" s="64" cm="1" t="str">
        <f t="array" ref="G70:G70">G69</f>
        <v>0</v>
      </c>
      <c r="H70" s="960"/>
      <c r="I70" s="960"/>
      <c r="J70" s="960"/>
      <c r="K70" s="124">
        <f>first_year+40</f>
        <v>2064</v>
      </c>
      <c r="L70" s="960"/>
      <c r="M70" s="960"/>
      <c r="N70" s="960"/>
      <c r="O70" s="960"/>
      <c r="P70" s="960"/>
      <c r="Q70" s="960"/>
      <c r="R70" s="960"/>
      <c r="S70" s="960"/>
      <c r="T70" s="439" cm="1" t="str">
        <f t="array" ref="T70:T70">T69</f>
        <v>false</v>
      </c>
      <c r="U70" s="960"/>
      <c r="V70" s="960"/>
      <c r="W70" s="960"/>
      <c r="X70" s="1482"/>
      <c r="Y70" s="1482"/>
      <c r="Z70" s="1465"/>
      <c r="AA70" s="1585"/>
      <c r="AB70" s="222" t="str">
        <f>K70&amp;" год"</f>
        <v>2064 год</v>
      </c>
      <c r="AC70" s="380"/>
      <c r="AD70" s="5043"/>
      <c r="AE70" s="5042"/>
      <c r="AF70" s="5042"/>
      <c r="AG70" s="5043"/>
      <c r="AH70" s="5042"/>
      <c r="AI70" s="5043"/>
      <c r="AJ70" s="5042"/>
      <c r="AK70" s="5044"/>
      <c r="AL70" s="375"/>
      <c r="AM70" s="960"/>
      <c r="AN70" s="1048" cm="1" t="str">
        <f t="array" ref="AN70:AN70">K70</f>
        <v>2064</v>
      </c>
      <c r="AO70" s="1048" t="s">
        <v>2125</v>
      </c>
      <c r="AP70" s="1058" cm="1" t="str">
        <f t="array" ref="AP70:AP70">AP69</f>
        <v>0</v>
      </c>
      <c r="AQ70" s="683"/>
      <c r="AR70" s="683"/>
    </row>
    <row s="960" customFormat="1" customHeight="1" ht="14.625" hidden="1">
      <c r="A71" s="960"/>
      <c r="B71" s="418">
        <f>K71&lt;first_year+PERIOD_LENGTH</f>
        <v>0</v>
      </c>
      <c r="C71" s="960"/>
      <c r="D71" s="960"/>
      <c r="E71" s="683">
        <v>15</v>
      </c>
      <c r="F71" s="50" cm="1" t="str">
        <f t="array" ref="F71:F71">OFFSET(E71,-1,1)</f>
        <v>0</v>
      </c>
      <c r="G71" s="64" cm="1" t="str">
        <f t="array" ref="G71:G71">G70</f>
        <v>0</v>
      </c>
      <c r="H71" s="960"/>
      <c r="I71" s="960"/>
      <c r="J71" s="960"/>
      <c r="K71" s="124">
        <f>first_year+41</f>
        <v>2065</v>
      </c>
      <c r="L71" s="960"/>
      <c r="M71" s="960"/>
      <c r="N71" s="960"/>
      <c r="O71" s="960"/>
      <c r="P71" s="960"/>
      <c r="Q71" s="960"/>
      <c r="R71" s="960"/>
      <c r="S71" s="960"/>
      <c r="T71" s="439" cm="1" t="str">
        <f t="array" ref="T71:T71">T70</f>
        <v>false</v>
      </c>
      <c r="U71" s="960"/>
      <c r="V71" s="960"/>
      <c r="W71" s="960"/>
      <c r="X71" s="1482"/>
      <c r="Y71" s="1482"/>
      <c r="Z71" s="1465"/>
      <c r="AA71" s="1585"/>
      <c r="AB71" s="222" t="str">
        <f>K71&amp;" год"</f>
        <v>2065 год</v>
      </c>
      <c r="AC71" s="380"/>
      <c r="AD71" s="5043"/>
      <c r="AE71" s="5042"/>
      <c r="AF71" s="5042"/>
      <c r="AG71" s="5043"/>
      <c r="AH71" s="5042"/>
      <c r="AI71" s="5043"/>
      <c r="AJ71" s="5042"/>
      <c r="AK71" s="5044"/>
      <c r="AL71" s="375"/>
      <c r="AM71" s="960"/>
      <c r="AN71" s="1048" cm="1" t="str">
        <f t="array" ref="AN71:AN71">K71</f>
        <v>2065</v>
      </c>
      <c r="AO71" s="1048" t="s">
        <v>2125</v>
      </c>
      <c r="AP71" s="1058" cm="1" t="str">
        <f t="array" ref="AP71:AP71">AP70</f>
        <v>0</v>
      </c>
      <c r="AQ71" s="683"/>
      <c r="AR71" s="683"/>
    </row>
    <row s="960" customFormat="1" customHeight="1" ht="14.625" hidden="1">
      <c r="A72" s="960"/>
      <c r="B72" s="418">
        <f>K72&lt;first_year+PERIOD_LENGTH</f>
        <v>0</v>
      </c>
      <c r="C72" s="960"/>
      <c r="D72" s="960"/>
      <c r="E72" s="683">
        <v>15</v>
      </c>
      <c r="F72" s="50" cm="1" t="str">
        <f t="array" ref="F72:F72">OFFSET(E72,-1,1)</f>
        <v>0</v>
      </c>
      <c r="G72" s="64" cm="1" t="str">
        <f t="array" ref="G72:G72">G71</f>
        <v>0</v>
      </c>
      <c r="H72" s="960"/>
      <c r="I72" s="960"/>
      <c r="J72" s="960"/>
      <c r="K72" s="124">
        <f>first_year+42</f>
        <v>2066</v>
      </c>
      <c r="L72" s="960"/>
      <c r="M72" s="960"/>
      <c r="N72" s="960"/>
      <c r="O72" s="960"/>
      <c r="P72" s="960"/>
      <c r="Q72" s="960"/>
      <c r="R72" s="960"/>
      <c r="S72" s="960"/>
      <c r="T72" s="439" cm="1" t="str">
        <f t="array" ref="T72:T72">T71</f>
        <v>false</v>
      </c>
      <c r="U72" s="960"/>
      <c r="V72" s="960"/>
      <c r="W72" s="960"/>
      <c r="X72" s="1482"/>
      <c r="Y72" s="1482"/>
      <c r="Z72" s="1465"/>
      <c r="AA72" s="1585"/>
      <c r="AB72" s="222" t="str">
        <f>K72&amp;" год"</f>
        <v>2066 год</v>
      </c>
      <c r="AC72" s="380"/>
      <c r="AD72" s="5043"/>
      <c r="AE72" s="5042"/>
      <c r="AF72" s="5042"/>
      <c r="AG72" s="5043"/>
      <c r="AH72" s="5042"/>
      <c r="AI72" s="5043"/>
      <c r="AJ72" s="5042"/>
      <c r="AK72" s="5044"/>
      <c r="AL72" s="375"/>
      <c r="AM72" s="960"/>
      <c r="AN72" s="1048" cm="1" t="str">
        <f t="array" ref="AN72:AN72">K72</f>
        <v>2066</v>
      </c>
      <c r="AO72" s="1048" t="s">
        <v>2125</v>
      </c>
      <c r="AP72" s="1058" cm="1" t="str">
        <f t="array" ref="AP72:AP72">AP71</f>
        <v>0</v>
      </c>
      <c r="AQ72" s="683"/>
      <c r="AR72" s="683"/>
    </row>
    <row s="960" customFormat="1" customHeight="1" ht="14.625" hidden="1">
      <c r="A73" s="960"/>
      <c r="B73" s="418">
        <f>K73&lt;first_year+PERIOD_LENGTH</f>
        <v>0</v>
      </c>
      <c r="C73" s="960"/>
      <c r="D73" s="960"/>
      <c r="E73" s="683">
        <v>15</v>
      </c>
      <c r="F73" s="50" cm="1" t="str">
        <f t="array" ref="F73:F73">OFFSET(E73,-1,1)</f>
        <v>0</v>
      </c>
      <c r="G73" s="64" cm="1" t="str">
        <f t="array" ref="G73:G73">G72</f>
        <v>0</v>
      </c>
      <c r="H73" s="960"/>
      <c r="I73" s="960"/>
      <c r="J73" s="960"/>
      <c r="K73" s="124">
        <f>first_year+43</f>
        <v>2067</v>
      </c>
      <c r="L73" s="960"/>
      <c r="M73" s="960"/>
      <c r="N73" s="960"/>
      <c r="O73" s="960"/>
      <c r="P73" s="960"/>
      <c r="Q73" s="960"/>
      <c r="R73" s="960"/>
      <c r="S73" s="960"/>
      <c r="T73" s="439" cm="1" t="str">
        <f t="array" ref="T73:T73">T72</f>
        <v>false</v>
      </c>
      <c r="U73" s="960"/>
      <c r="V73" s="960"/>
      <c r="W73" s="960"/>
      <c r="X73" s="1482"/>
      <c r="Y73" s="1482"/>
      <c r="Z73" s="1465"/>
      <c r="AA73" s="1585"/>
      <c r="AB73" s="222" t="str">
        <f>K73&amp;" год"</f>
        <v>2067 год</v>
      </c>
      <c r="AC73" s="380"/>
      <c r="AD73" s="5043"/>
      <c r="AE73" s="5042"/>
      <c r="AF73" s="5042"/>
      <c r="AG73" s="5043"/>
      <c r="AH73" s="5042"/>
      <c r="AI73" s="5043"/>
      <c r="AJ73" s="5042"/>
      <c r="AK73" s="5044"/>
      <c r="AL73" s="375"/>
      <c r="AM73" s="960"/>
      <c r="AN73" s="1048" cm="1" t="str">
        <f t="array" ref="AN73:AN73">K73</f>
        <v>2067</v>
      </c>
      <c r="AO73" s="1048" t="s">
        <v>2125</v>
      </c>
      <c r="AP73" s="1058" cm="1" t="str">
        <f t="array" ref="AP73:AP73">AP72</f>
        <v>0</v>
      </c>
      <c r="AQ73" s="683"/>
      <c r="AR73" s="683"/>
    </row>
    <row s="960" customFormat="1" customHeight="1" ht="14.625" hidden="1">
      <c r="A74" s="960"/>
      <c r="B74" s="418">
        <f>K74&lt;first_year+PERIOD_LENGTH</f>
        <v>0</v>
      </c>
      <c r="C74" s="960"/>
      <c r="D74" s="960"/>
      <c r="E74" s="683">
        <v>15</v>
      </c>
      <c r="F74" s="50" cm="1" t="str">
        <f t="array" ref="F74:F74">OFFSET(E74,-1,1)</f>
        <v>0</v>
      </c>
      <c r="G74" s="64" cm="1" t="str">
        <f t="array" ref="G74:G74">G73</f>
        <v>0</v>
      </c>
      <c r="H74" s="960"/>
      <c r="I74" s="960"/>
      <c r="J74" s="960"/>
      <c r="K74" s="124">
        <f>first_year+44</f>
        <v>2068</v>
      </c>
      <c r="L74" s="960"/>
      <c r="M74" s="960"/>
      <c r="N74" s="960"/>
      <c r="O74" s="960"/>
      <c r="P74" s="960"/>
      <c r="Q74" s="960"/>
      <c r="R74" s="960"/>
      <c r="S74" s="960"/>
      <c r="T74" s="439" cm="1" t="str">
        <f t="array" ref="T74:T74">T73</f>
        <v>false</v>
      </c>
      <c r="U74" s="960"/>
      <c r="V74" s="960"/>
      <c r="W74" s="960"/>
      <c r="X74" s="1482"/>
      <c r="Y74" s="1482"/>
      <c r="Z74" s="1465"/>
      <c r="AA74" s="1585"/>
      <c r="AB74" s="222" t="str">
        <f>K74&amp;" год"</f>
        <v>2068 год</v>
      </c>
      <c r="AC74" s="380"/>
      <c r="AD74" s="5043"/>
      <c r="AE74" s="5042"/>
      <c r="AF74" s="5042"/>
      <c r="AG74" s="5043"/>
      <c r="AH74" s="5042"/>
      <c r="AI74" s="5043"/>
      <c r="AJ74" s="5042"/>
      <c r="AK74" s="5044"/>
      <c r="AL74" s="375"/>
      <c r="AM74" s="960"/>
      <c r="AN74" s="1048" cm="1" t="str">
        <f t="array" ref="AN74:AN74">K74</f>
        <v>2068</v>
      </c>
      <c r="AO74" s="1048" t="s">
        <v>2125</v>
      </c>
      <c r="AP74" s="1058" cm="1" t="str">
        <f t="array" ref="AP74:AP74">AP73</f>
        <v>0</v>
      </c>
      <c r="AQ74" s="683"/>
      <c r="AR74" s="683"/>
    </row>
    <row s="960" customFormat="1" customHeight="1" ht="14.625" hidden="1">
      <c r="A75" s="960"/>
      <c r="B75" s="418">
        <f>K75&lt;first_year+PERIOD_LENGTH</f>
        <v>0</v>
      </c>
      <c r="C75" s="960"/>
      <c r="D75" s="960"/>
      <c r="E75" s="683">
        <v>15</v>
      </c>
      <c r="F75" s="50" cm="1" t="str">
        <f t="array" ref="F75:F75">OFFSET(E75,-1,1)</f>
        <v>0</v>
      </c>
      <c r="G75" s="64" cm="1" t="str">
        <f t="array" ref="G75:G75">G74</f>
        <v>0</v>
      </c>
      <c r="H75" s="960"/>
      <c r="I75" s="960"/>
      <c r="J75" s="960"/>
      <c r="K75" s="124">
        <f>first_year+45</f>
        <v>2069</v>
      </c>
      <c r="L75" s="960"/>
      <c r="M75" s="960"/>
      <c r="N75" s="960"/>
      <c r="O75" s="960"/>
      <c r="P75" s="960"/>
      <c r="Q75" s="960"/>
      <c r="R75" s="960"/>
      <c r="S75" s="960"/>
      <c r="T75" s="439" cm="1" t="str">
        <f t="array" ref="T75:T75">T74</f>
        <v>false</v>
      </c>
      <c r="U75" s="960"/>
      <c r="V75" s="960"/>
      <c r="W75" s="960"/>
      <c r="X75" s="1482"/>
      <c r="Y75" s="1482"/>
      <c r="Z75" s="1465"/>
      <c r="AA75" s="1585"/>
      <c r="AB75" s="222" t="str">
        <f>K75&amp;" год"</f>
        <v>2069 год</v>
      </c>
      <c r="AC75" s="380"/>
      <c r="AD75" s="5043"/>
      <c r="AE75" s="5042"/>
      <c r="AF75" s="5042"/>
      <c r="AG75" s="5043"/>
      <c r="AH75" s="5042"/>
      <c r="AI75" s="5043"/>
      <c r="AJ75" s="5042"/>
      <c r="AK75" s="5044"/>
      <c r="AL75" s="375"/>
      <c r="AM75" s="960"/>
      <c r="AN75" s="1048" cm="1" t="str">
        <f t="array" ref="AN75:AN75">K75</f>
        <v>2069</v>
      </c>
      <c r="AO75" s="1048" t="s">
        <v>2125</v>
      </c>
      <c r="AP75" s="1058" cm="1" t="str">
        <f t="array" ref="AP75:AP75">AP74</f>
        <v>0</v>
      </c>
      <c r="AQ75" s="683"/>
      <c r="AR75" s="683"/>
    </row>
    <row s="960" customFormat="1" customHeight="1" ht="14.625" hidden="1">
      <c r="A76" s="960"/>
      <c r="B76" s="418">
        <f>K76&lt;first_year+PERIOD_LENGTH</f>
        <v>0</v>
      </c>
      <c r="C76" s="960"/>
      <c r="D76" s="960"/>
      <c r="E76" s="683">
        <v>15</v>
      </c>
      <c r="F76" s="50" cm="1" t="str">
        <f t="array" ref="F76:F76">OFFSET(E76,-1,1)</f>
        <v>0</v>
      </c>
      <c r="G76" s="64" cm="1" t="str">
        <f t="array" ref="G76:G76">G75</f>
        <v>0</v>
      </c>
      <c r="H76" s="960"/>
      <c r="I76" s="960"/>
      <c r="J76" s="960"/>
      <c r="K76" s="124">
        <f>first_year+46</f>
        <v>2070</v>
      </c>
      <c r="L76" s="960"/>
      <c r="M76" s="960"/>
      <c r="N76" s="960"/>
      <c r="O76" s="960"/>
      <c r="P76" s="960"/>
      <c r="Q76" s="960"/>
      <c r="R76" s="960"/>
      <c r="S76" s="960"/>
      <c r="T76" s="439" cm="1" t="str">
        <f t="array" ref="T76:T76">T75</f>
        <v>false</v>
      </c>
      <c r="U76" s="960"/>
      <c r="V76" s="960"/>
      <c r="W76" s="960"/>
      <c r="X76" s="1482"/>
      <c r="Y76" s="1482"/>
      <c r="Z76" s="1465"/>
      <c r="AA76" s="1585"/>
      <c r="AB76" s="222" t="str">
        <f>K76&amp;" год"</f>
        <v>2070 год</v>
      </c>
      <c r="AC76" s="380"/>
      <c r="AD76" s="5043"/>
      <c r="AE76" s="5042"/>
      <c r="AF76" s="5042"/>
      <c r="AG76" s="5043"/>
      <c r="AH76" s="5042"/>
      <c r="AI76" s="5043"/>
      <c r="AJ76" s="5042"/>
      <c r="AK76" s="5044"/>
      <c r="AL76" s="375"/>
      <c r="AM76" s="960"/>
      <c r="AN76" s="1048" cm="1" t="str">
        <f t="array" ref="AN76:AN76">K76</f>
        <v>2070</v>
      </c>
      <c r="AO76" s="1048" t="s">
        <v>2125</v>
      </c>
      <c r="AP76" s="1058" cm="1" t="str">
        <f t="array" ref="AP76:AP76">AP75</f>
        <v>0</v>
      </c>
      <c r="AQ76" s="683"/>
      <c r="AR76" s="683"/>
    </row>
    <row s="960" customFormat="1" customHeight="1" ht="14.625" hidden="1">
      <c r="A77" s="960"/>
      <c r="B77" s="418">
        <f>K77&lt;first_year+PERIOD_LENGTH</f>
        <v>0</v>
      </c>
      <c r="C77" s="960"/>
      <c r="D77" s="960"/>
      <c r="E77" s="683">
        <v>15</v>
      </c>
      <c r="F77" s="50" cm="1" t="str">
        <f t="array" ref="F77:F77">OFFSET(E77,-1,1)</f>
        <v>0</v>
      </c>
      <c r="G77" s="64" cm="1" t="str">
        <f t="array" ref="G77:G77">G76</f>
        <v>0</v>
      </c>
      <c r="H77" s="960"/>
      <c r="I77" s="960"/>
      <c r="J77" s="960"/>
      <c r="K77" s="124">
        <f>first_year+47</f>
        <v>2071</v>
      </c>
      <c r="L77" s="960"/>
      <c r="M77" s="960"/>
      <c r="N77" s="960"/>
      <c r="O77" s="960"/>
      <c r="P77" s="960"/>
      <c r="Q77" s="960"/>
      <c r="R77" s="960"/>
      <c r="S77" s="960"/>
      <c r="T77" s="439" cm="1" t="str">
        <f t="array" ref="T77:T77">T76</f>
        <v>false</v>
      </c>
      <c r="U77" s="960"/>
      <c r="V77" s="960"/>
      <c r="W77" s="960"/>
      <c r="X77" s="1482"/>
      <c r="Y77" s="1482"/>
      <c r="Z77" s="1465"/>
      <c r="AA77" s="1585"/>
      <c r="AB77" s="222" t="str">
        <f>K77&amp;" год"</f>
        <v>2071 год</v>
      </c>
      <c r="AC77" s="380"/>
      <c r="AD77" s="5043"/>
      <c r="AE77" s="5042"/>
      <c r="AF77" s="5042"/>
      <c r="AG77" s="5043"/>
      <c r="AH77" s="5042"/>
      <c r="AI77" s="5043"/>
      <c r="AJ77" s="5042"/>
      <c r="AK77" s="5044"/>
      <c r="AL77" s="375"/>
      <c r="AM77" s="960"/>
      <c r="AN77" s="1048" cm="1" t="str">
        <f t="array" ref="AN77:AN77">K77</f>
        <v>2071</v>
      </c>
      <c r="AO77" s="1048" t="s">
        <v>2125</v>
      </c>
      <c r="AP77" s="1058" cm="1" t="str">
        <f t="array" ref="AP77:AP77">AP76</f>
        <v>0</v>
      </c>
      <c r="AQ77" s="683"/>
      <c r="AR77" s="683"/>
    </row>
    <row s="960" customFormat="1" customHeight="1" ht="14.625" hidden="1">
      <c r="A78" s="960"/>
      <c r="B78" s="418">
        <f>K78&lt;first_year+PERIOD_LENGTH</f>
        <v>0</v>
      </c>
      <c r="C78" s="960"/>
      <c r="D78" s="960"/>
      <c r="E78" s="683">
        <v>15</v>
      </c>
      <c r="F78" s="50" cm="1" t="str">
        <f t="array" ref="F78:F78">OFFSET(E78,-1,1)</f>
        <v>0</v>
      </c>
      <c r="G78" s="64" cm="1" t="str">
        <f t="array" ref="G78:G78">G77</f>
        <v>0</v>
      </c>
      <c r="H78" s="960"/>
      <c r="I78" s="960"/>
      <c r="J78" s="960"/>
      <c r="K78" s="124">
        <f>first_year+48</f>
        <v>2072</v>
      </c>
      <c r="L78" s="960"/>
      <c r="M78" s="960"/>
      <c r="N78" s="960"/>
      <c r="O78" s="960"/>
      <c r="P78" s="960"/>
      <c r="Q78" s="960"/>
      <c r="R78" s="960"/>
      <c r="S78" s="960"/>
      <c r="T78" s="439" cm="1" t="str">
        <f t="array" ref="T78:T78">T77</f>
        <v>false</v>
      </c>
      <c r="U78" s="960"/>
      <c r="V78" s="960"/>
      <c r="W78" s="960"/>
      <c r="X78" s="1482"/>
      <c r="Y78" s="1482"/>
      <c r="Z78" s="1465"/>
      <c r="AA78" s="1585"/>
      <c r="AB78" s="222" t="str">
        <f>K78&amp;" год"</f>
        <v>2072 год</v>
      </c>
      <c r="AC78" s="380"/>
      <c r="AD78" s="5043"/>
      <c r="AE78" s="5042"/>
      <c r="AF78" s="5042"/>
      <c r="AG78" s="5043"/>
      <c r="AH78" s="5042"/>
      <c r="AI78" s="5043"/>
      <c r="AJ78" s="5042"/>
      <c r="AK78" s="5044"/>
      <c r="AL78" s="375"/>
      <c r="AM78" s="960"/>
      <c r="AN78" s="1048" cm="1" t="str">
        <f t="array" ref="AN78:AN78">K78</f>
        <v>2072</v>
      </c>
      <c r="AO78" s="1048" t="s">
        <v>2125</v>
      </c>
      <c r="AP78" s="1058" cm="1" t="str">
        <f t="array" ref="AP78:AP78">AP77</f>
        <v>0</v>
      </c>
      <c r="AQ78" s="683"/>
      <c r="AR78" s="683"/>
    </row>
    <row s="960" customFormat="1" customHeight="1" ht="14.625" hidden="1">
      <c r="A79" s="960"/>
      <c r="B79" s="418">
        <f>K79&lt;first_year+PERIOD_LENGTH</f>
        <v>0</v>
      </c>
      <c r="C79" s="960"/>
      <c r="D79" s="960"/>
      <c r="E79" s="683">
        <v>15</v>
      </c>
      <c r="F79" s="50" cm="1" t="str">
        <f t="array" ref="F79:F79">OFFSET(E79,-1,1)</f>
        <v>0</v>
      </c>
      <c r="G79" s="64" cm="1" t="str">
        <f t="array" ref="G79:G79">G78</f>
        <v>0</v>
      </c>
      <c r="H79" s="960"/>
      <c r="I79" s="960"/>
      <c r="J79" s="960"/>
      <c r="K79" s="124">
        <f>first_year+49</f>
        <v>2073</v>
      </c>
      <c r="L79" s="960"/>
      <c r="M79" s="960"/>
      <c r="N79" s="960"/>
      <c r="O79" s="960"/>
      <c r="P79" s="960"/>
      <c r="Q79" s="960"/>
      <c r="R79" s="960"/>
      <c r="S79" s="960"/>
      <c r="T79" s="439" cm="1" t="str">
        <f t="array" ref="T79:T79">T78</f>
        <v>false</v>
      </c>
      <c r="U79" s="960"/>
      <c r="V79" s="960"/>
      <c r="W79" s="960"/>
      <c r="X79" s="1482"/>
      <c r="Y79" s="1482"/>
      <c r="Z79" s="1465"/>
      <c r="AA79" s="1585"/>
      <c r="AB79" s="222" t="str">
        <f>K79&amp;" год"</f>
        <v>2073 год</v>
      </c>
      <c r="AC79" s="380"/>
      <c r="AD79" s="5043"/>
      <c r="AE79" s="5042"/>
      <c r="AF79" s="5042"/>
      <c r="AG79" s="5043"/>
      <c r="AH79" s="5042"/>
      <c r="AI79" s="5043"/>
      <c r="AJ79" s="5042"/>
      <c r="AK79" s="5044"/>
      <c r="AL79" s="375"/>
      <c r="AM79" s="960"/>
      <c r="AN79" s="1048" cm="1" t="str">
        <f t="array" ref="AN79:AN79">K79</f>
        <v>2073</v>
      </c>
      <c r="AO79" s="1048" t="s">
        <v>2125</v>
      </c>
      <c r="AP79" s="1058" cm="1" t="str">
        <f t="array" ref="AP79:AP79">AP78</f>
        <v>0</v>
      </c>
      <c r="AQ79" s="683"/>
      <c r="AR79" s="683"/>
    </row>
    <row s="1621" customFormat="1" customHeight="1" ht="14.625" hidden="1">
      <c r="A80" s="124"/>
      <c r="B80" s="405"/>
      <c r="C80" s="124"/>
      <c r="D80" s="124"/>
      <c r="E80" s="683">
        <v>15</v>
      </c>
      <c r="F80" s="1202" cm="1" t="str">
        <f t="array" ref="F80:F80">OFFSET(E80,-1,1)</f>
        <v>0</v>
      </c>
      <c r="G80" s="124" t="str">
        <f>"!== 'не определено'"</f>
        <v>!== 'не определено'</v>
      </c>
      <c r="H80" s="124"/>
      <c r="I80" s="124"/>
      <c r="J80" s="124"/>
      <c r="K80" s="124"/>
      <c r="L80" s="124"/>
      <c r="M80" s="124"/>
      <c r="N80" s="124"/>
      <c r="O80" s="124"/>
      <c r="P80" s="124"/>
      <c r="Q80" s="124"/>
      <c r="R80" s="124"/>
      <c r="S80" s="124"/>
      <c r="T80" s="439">
        <f>F80&gt;0</f>
        <v>0</v>
      </c>
      <c r="U80" s="124"/>
      <c r="V80" s="124"/>
      <c r="W80" s="810" t="s">
        <v>2126</v>
      </c>
      <c r="X80" s="1482"/>
      <c r="Y80" s="124"/>
      <c r="Z80" s="1465"/>
      <c r="AA80" s="124"/>
      <c r="AB80" s="920" t="s">
        <v>177</v>
      </c>
      <c r="AC80" s="271"/>
      <c r="AD80" s="271"/>
      <c r="AE80" s="271"/>
      <c r="AF80" s="271"/>
      <c r="AG80" s="271"/>
      <c r="AH80" s="271"/>
      <c r="AI80" s="271"/>
      <c r="AJ80" s="271"/>
      <c r="AK80" s="271"/>
      <c r="AL80" s="375"/>
      <c r="AM80" s="1621"/>
      <c r="AN80" s="987"/>
      <c r="AO80" s="987"/>
      <c r="AP80" s="987"/>
      <c r="AQ80" s="990" t="s">
        <v>2125</v>
      </c>
      <c r="AR80" s="603"/>
    </row>
    <row s="5050"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ДПР!$AB$81</f>
        <v>Тариф 1 (Водоснабжение) - тариф на техническую воду (Оказание услуг на территории: Прокопьевский муниципальный округ (ОКТМО: 32522000) - п Калачево)</v>
      </c>
      <c r="W81" s="1153"/>
      <c r="X81" s="1482" t="s">
        <v>272</v>
      </c>
      <c r="Y81" s="1153"/>
      <c r="Z81" s="1465"/>
      <c r="AA81" s="1153"/>
      <c r="AB81" s="348" cm="1" t="str">
        <f t="array" ref="AB81:AB81">ДПР!$AB$81</f>
        <v>Тариф 1 (Водоснабжение) - тариф на техническую воду (Оказание услуг на территории: Прокопьевский муниципальный округ (ОКТМО: 32522000) - п Калачево)</v>
      </c>
      <c r="AC81" s="210"/>
      <c r="AD81" s="210"/>
      <c r="AE81" s="210"/>
      <c r="AF81" s="210"/>
      <c r="AG81" s="210"/>
      <c r="AH81" s="210"/>
      <c r="AI81" s="210"/>
      <c r="AJ81" s="210"/>
      <c r="AK81" s="210"/>
      <c r="AL81" s="374"/>
      <c r="AM81" s="1153"/>
      <c r="AN81" s="980"/>
      <c r="AO81" s="980"/>
      <c r="AP81" s="980"/>
      <c r="AQ81" s="597"/>
      <c r="AR81" s="597"/>
    </row>
    <row s="5051" customFormat="1" customHeight="1" ht="14.25" hidden="1">
      <c r="A82" s="1153"/>
      <c r="B82" s="401"/>
      <c r="C82" s="1153"/>
      <c r="D82" s="1153"/>
      <c r="E82" s="597">
        <v>15</v>
      </c>
      <c r="F82" s="50" cm="1" t="str">
        <f t="array" ref="F82:F82">OFFSET(E82,-1,1)</f>
        <v>1</v>
      </c>
      <c r="G82" s="88" cm="1" t="str">
        <f t="array" ref="G82:G82">AB82</f>
        <v>0</v>
      </c>
      <c r="H82" s="1153"/>
      <c r="I82" s="1153"/>
      <c r="J82" s="1153"/>
      <c r="K82" s="1153"/>
      <c r="L82" s="1153"/>
      <c r="M82" s="1153"/>
      <c r="N82" s="1153"/>
      <c r="O82" s="1153"/>
      <c r="P82" s="1153"/>
      <c r="Q82" s="1153"/>
      <c r="R82" s="1153"/>
      <c r="S82" s="1153"/>
      <c r="T82" s="439">
        <f>AND(F82&gt;0,Y82&gt;0)</f>
        <v>0</v>
      </c>
      <c r="U82" s="1153"/>
      <c r="V82" s="1153"/>
      <c r="W82" s="88" t="s">
        <v>173</v>
      </c>
      <c r="X82" s="1482"/>
      <c r="Y82" s="1482">
        <v>0</v>
      </c>
      <c r="Z82" s="1465"/>
      <c r="AA82" s="1585" t="s">
        <v>174</v>
      </c>
      <c r="AB82" s="5038"/>
      <c r="AC82" s="5038"/>
      <c r="AD82" s="5038"/>
      <c r="AE82" s="5038"/>
      <c r="AF82" s="5038"/>
      <c r="AG82" s="5038"/>
      <c r="AH82" s="5038"/>
      <c r="AI82" s="5038"/>
      <c r="AJ82" s="5038"/>
      <c r="AK82" s="5039"/>
      <c r="AL82" s="374"/>
      <c r="AM82" s="1153"/>
      <c r="AN82" s="980"/>
      <c r="AO82" s="1048" t="s">
        <v>2125</v>
      </c>
      <c r="AP82" s="1063" cm="1" t="str">
        <f t="array" ref="AP82:AP82">AB82</f>
        <v>0</v>
      </c>
      <c r="AQ82" s="597"/>
      <c r="AR82" s="597" t="b">
        <v>1</v>
      </c>
    </row>
    <row s="5052" customFormat="1" customHeight="1" ht="14.25" hidden="1">
      <c r="A83" s="960"/>
      <c r="B83" s="418">
        <f>K83&lt;first_year+PERIOD_LENGTH</f>
        <v>1</v>
      </c>
      <c r="C83" s="960"/>
      <c r="D83" s="960"/>
      <c r="E83" s="683">
        <v>15</v>
      </c>
      <c r="F83" s="50" cm="1" t="str">
        <f t="array" ref="F83:F83">OFFSET(E83,-1,1)</f>
        <v>1</v>
      </c>
      <c r="G83" s="64" cm="1" t="str">
        <f t="array" ref="G83:G83">G82</f>
        <v>0</v>
      </c>
      <c r="H83" s="960"/>
      <c r="I83" s="960"/>
      <c r="J83" s="960"/>
      <c r="K83" s="124" cm="1" t="str">
        <f t="array" ref="K83:K83">first_year</f>
        <v>2024</v>
      </c>
      <c r="L83" s="960"/>
      <c r="M83" s="960"/>
      <c r="N83" s="960"/>
      <c r="O83" s="960"/>
      <c r="P83" s="960"/>
      <c r="Q83" s="960"/>
      <c r="R83" s="960"/>
      <c r="S83" s="960"/>
      <c r="T83" s="439" cm="1" t="str">
        <f t="array" ref="T83:T83">T82</f>
        <v>false</v>
      </c>
      <c r="U83" s="960"/>
      <c r="V83" s="960"/>
      <c r="W83" s="960"/>
      <c r="X83" s="1482"/>
      <c r="Y83" s="1482"/>
      <c r="Z83" s="1465"/>
      <c r="AA83" s="1585"/>
      <c r="AB83" s="269" t="str">
        <f>K83&amp;" год"</f>
        <v>2024 год</v>
      </c>
      <c r="AC83" s="5042"/>
      <c r="AD83" s="5043"/>
      <c r="AE83" s="5042"/>
      <c r="AF83" s="5042"/>
      <c r="AG83" s="5043"/>
      <c r="AH83" s="5042"/>
      <c r="AI83" s="5043"/>
      <c r="AJ83" s="5042"/>
      <c r="AK83" s="5044"/>
      <c r="AL83" s="375"/>
      <c r="AM83" s="960"/>
      <c r="AN83" s="1048" cm="1" t="str">
        <f t="array" ref="AN83:AN83">K83</f>
        <v>2024</v>
      </c>
      <c r="AO83" s="1048" t="s">
        <v>2125</v>
      </c>
      <c r="AP83" s="1058" cm="1" t="str">
        <f t="array" ref="AP83:AP83">AP82</f>
        <v>0</v>
      </c>
      <c r="AQ83" s="683"/>
      <c r="AR83" s="683"/>
    </row>
    <row s="5053" customFormat="1" customHeight="1" ht="14.25" hidden="1">
      <c r="A84" s="960"/>
      <c r="B84" s="418">
        <f>K84&lt;first_year+PERIOD_LENGTH</f>
        <v>1</v>
      </c>
      <c r="C84" s="960"/>
      <c r="D84" s="960"/>
      <c r="E84" s="683">
        <v>15</v>
      </c>
      <c r="F84" s="50" cm="1" t="str">
        <f t="array" ref="F84:F84">OFFSET(E84,-1,1)</f>
        <v>1</v>
      </c>
      <c r="G84" s="64" cm="1" t="str">
        <f t="array" ref="G84:G84">G83</f>
        <v>0</v>
      </c>
      <c r="H84" s="960"/>
      <c r="I84" s="960"/>
      <c r="J84" s="960"/>
      <c r="K84" s="124">
        <f>first_year+1</f>
        <v>2025</v>
      </c>
      <c r="L84" s="960"/>
      <c r="M84" s="960"/>
      <c r="N84" s="960"/>
      <c r="O84" s="960"/>
      <c r="P84" s="960"/>
      <c r="Q84" s="960"/>
      <c r="R84" s="960"/>
      <c r="S84" s="960"/>
      <c r="T84" s="439" cm="1" t="str">
        <f t="array" ref="T84:T84">T83</f>
        <v>false</v>
      </c>
      <c r="U84" s="960"/>
      <c r="V84" s="960"/>
      <c r="W84" s="960"/>
      <c r="X84" s="1482"/>
      <c r="Y84" s="1482"/>
      <c r="Z84" s="1465"/>
      <c r="AA84" s="1585"/>
      <c r="AB84" s="222" t="str">
        <f>K84&amp;" год"</f>
        <v>2025 год</v>
      </c>
      <c r="AC84" s="380"/>
      <c r="AD84" s="5043"/>
      <c r="AE84" s="5042"/>
      <c r="AF84" s="5042"/>
      <c r="AG84" s="5043"/>
      <c r="AH84" s="5042"/>
      <c r="AI84" s="5043"/>
      <c r="AJ84" s="5042"/>
      <c r="AK84" s="5044"/>
      <c r="AL84" s="375"/>
      <c r="AM84" s="960"/>
      <c r="AN84" s="1048" cm="1" t="str">
        <f t="array" ref="AN84:AN84">K84</f>
        <v>2025</v>
      </c>
      <c r="AO84" s="1048" t="s">
        <v>2125</v>
      </c>
      <c r="AP84" s="1058" cm="1" t="str">
        <f t="array" ref="AP84:AP84">AP83</f>
        <v>0</v>
      </c>
      <c r="AQ84" s="683"/>
      <c r="AR84" s="683"/>
    </row>
    <row s="5054" customFormat="1" customHeight="1" ht="14.25" hidden="1">
      <c r="A85" s="960"/>
      <c r="B85" s="418">
        <f>K85&lt;first_year+PERIOD_LENGTH</f>
        <v>1</v>
      </c>
      <c r="C85" s="960"/>
      <c r="D85" s="960"/>
      <c r="E85" s="683">
        <v>15</v>
      </c>
      <c r="F85" s="50" cm="1" t="str">
        <f t="array" ref="F85:F85">OFFSET(E85,-1,1)</f>
        <v>1</v>
      </c>
      <c r="G85" s="64" cm="1" t="str">
        <f t="array" ref="G85:G85">G84</f>
        <v>0</v>
      </c>
      <c r="H85" s="960"/>
      <c r="I85" s="960"/>
      <c r="J85" s="960"/>
      <c r="K85" s="124">
        <f>first_year+2</f>
        <v>2026</v>
      </c>
      <c r="L85" s="960"/>
      <c r="M85" s="960"/>
      <c r="N85" s="960"/>
      <c r="O85" s="960"/>
      <c r="P85" s="960"/>
      <c r="Q85" s="960"/>
      <c r="R85" s="960"/>
      <c r="S85" s="960"/>
      <c r="T85" s="439" cm="1" t="str">
        <f t="array" ref="T85:T85">T84</f>
        <v>false</v>
      </c>
      <c r="U85" s="960"/>
      <c r="V85" s="960"/>
      <c r="W85" s="960"/>
      <c r="X85" s="1482"/>
      <c r="Y85" s="1482"/>
      <c r="Z85" s="1465"/>
      <c r="AA85" s="1585"/>
      <c r="AB85" s="222" t="str">
        <f>K85&amp;" год"</f>
        <v>2026 год</v>
      </c>
      <c r="AC85" s="380"/>
      <c r="AD85" s="5043"/>
      <c r="AE85" s="5042"/>
      <c r="AF85" s="5042"/>
      <c r="AG85" s="5043"/>
      <c r="AH85" s="5042"/>
      <c r="AI85" s="5043"/>
      <c r="AJ85" s="5042"/>
      <c r="AK85" s="5044"/>
      <c r="AL85" s="375"/>
      <c r="AM85" s="960"/>
      <c r="AN85" s="1048" cm="1" t="str">
        <f t="array" ref="AN85:AN85">K85</f>
        <v>2026</v>
      </c>
      <c r="AO85" s="1048" t="s">
        <v>2125</v>
      </c>
      <c r="AP85" s="1058" cm="1" t="str">
        <f t="array" ref="AP85:AP85">AP84</f>
        <v>0</v>
      </c>
      <c r="AQ85" s="683"/>
      <c r="AR85" s="683"/>
    </row>
    <row s="5055" customFormat="1" customHeight="1" ht="14.25" hidden="1">
      <c r="A86" s="960"/>
      <c r="B86" s="418">
        <f>K86&lt;first_year+PERIOD_LENGTH</f>
        <v>1</v>
      </c>
      <c r="C86" s="960"/>
      <c r="D86" s="960"/>
      <c r="E86" s="683">
        <v>15</v>
      </c>
      <c r="F86" s="50" cm="1" t="str">
        <f t="array" ref="F86:F86">OFFSET(E86,-1,1)</f>
        <v>1</v>
      </c>
      <c r="G86" s="64" cm="1" t="str">
        <f t="array" ref="G86:G86">G85</f>
        <v>0</v>
      </c>
      <c r="H86" s="960"/>
      <c r="I86" s="960"/>
      <c r="J86" s="960"/>
      <c r="K86" s="124">
        <f>first_year+3</f>
        <v>2027</v>
      </c>
      <c r="L86" s="960"/>
      <c r="M86" s="960"/>
      <c r="N86" s="960"/>
      <c r="O86" s="960"/>
      <c r="P86" s="960"/>
      <c r="Q86" s="960"/>
      <c r="R86" s="960"/>
      <c r="S86" s="960"/>
      <c r="T86" s="439" cm="1" t="str">
        <f t="array" ref="T86:T86">T85</f>
        <v>false</v>
      </c>
      <c r="U86" s="960"/>
      <c r="V86" s="960"/>
      <c r="W86" s="960"/>
      <c r="X86" s="1482"/>
      <c r="Y86" s="1482"/>
      <c r="Z86" s="1465"/>
      <c r="AA86" s="1585"/>
      <c r="AB86" s="222" t="str">
        <f>K86&amp;" год"</f>
        <v>2027 год</v>
      </c>
      <c r="AC86" s="380"/>
      <c r="AD86" s="5043"/>
      <c r="AE86" s="5042"/>
      <c r="AF86" s="5042"/>
      <c r="AG86" s="5043"/>
      <c r="AH86" s="5042"/>
      <c r="AI86" s="5043"/>
      <c r="AJ86" s="5042"/>
      <c r="AK86" s="5044"/>
      <c r="AL86" s="375"/>
      <c r="AM86" s="960"/>
      <c r="AN86" s="1048" cm="1" t="str">
        <f t="array" ref="AN86:AN86">K86</f>
        <v>2027</v>
      </c>
      <c r="AO86" s="1048" t="s">
        <v>2125</v>
      </c>
      <c r="AP86" s="1058" cm="1" t="str">
        <f t="array" ref="AP86:AP86">AP85</f>
        <v>0</v>
      </c>
      <c r="AQ86" s="683"/>
      <c r="AR86" s="683"/>
    </row>
    <row s="5056" customFormat="1" customHeight="1" ht="14.25" hidden="1">
      <c r="A87" s="960"/>
      <c r="B87" s="418">
        <f>K87&lt;first_year+PERIOD_LENGTH</f>
        <v>1</v>
      </c>
      <c r="C87" s="960"/>
      <c r="D87" s="960"/>
      <c r="E87" s="683">
        <v>15</v>
      </c>
      <c r="F87" s="50" cm="1" t="str">
        <f t="array" ref="F87:F87">OFFSET(E87,-1,1)</f>
        <v>1</v>
      </c>
      <c r="G87" s="64" cm="1" t="str">
        <f t="array" ref="G87:G87">G86</f>
        <v>0</v>
      </c>
      <c r="H87" s="960"/>
      <c r="I87" s="960"/>
      <c r="J87" s="960"/>
      <c r="K87" s="124">
        <f>first_year+4</f>
        <v>2028</v>
      </c>
      <c r="L87" s="960"/>
      <c r="M87" s="960"/>
      <c r="N87" s="960"/>
      <c r="O87" s="960"/>
      <c r="P87" s="960"/>
      <c r="Q87" s="960"/>
      <c r="R87" s="960"/>
      <c r="S87" s="960"/>
      <c r="T87" s="439" cm="1" t="str">
        <f t="array" ref="T87:T87">T86</f>
        <v>false</v>
      </c>
      <c r="U87" s="960"/>
      <c r="V87" s="960"/>
      <c r="W87" s="960"/>
      <c r="X87" s="1482"/>
      <c r="Y87" s="1482"/>
      <c r="Z87" s="1465"/>
      <c r="AA87" s="1585"/>
      <c r="AB87" s="222" t="str">
        <f>K87&amp;" год"</f>
        <v>2028 год</v>
      </c>
      <c r="AC87" s="380"/>
      <c r="AD87" s="5043"/>
      <c r="AE87" s="5042"/>
      <c r="AF87" s="5042"/>
      <c r="AG87" s="5043"/>
      <c r="AH87" s="5042"/>
      <c r="AI87" s="5043"/>
      <c r="AJ87" s="5042"/>
      <c r="AK87" s="5044"/>
      <c r="AL87" s="375"/>
      <c r="AM87" s="960"/>
      <c r="AN87" s="1048" cm="1" t="str">
        <f t="array" ref="AN87:AN87">K87</f>
        <v>2028</v>
      </c>
      <c r="AO87" s="1048" t="s">
        <v>2125</v>
      </c>
      <c r="AP87" s="1058" cm="1" t="str">
        <f t="array" ref="AP87:AP87">AP86</f>
        <v>0</v>
      </c>
      <c r="AQ87" s="683"/>
      <c r="AR87" s="683"/>
    </row>
    <row s="5057" customFormat="1" customHeight="1" ht="14.25" hidden="1">
      <c r="A88" s="960"/>
      <c r="B88" s="418">
        <f>K88&lt;first_year+PERIOD_LENGTH</f>
        <v>0</v>
      </c>
      <c r="C88" s="960"/>
      <c r="D88" s="960"/>
      <c r="E88" s="683">
        <v>15</v>
      </c>
      <c r="F88" s="50" cm="1" t="str">
        <f t="array" ref="F88:F88">OFFSET(E88,-1,1)</f>
        <v>1</v>
      </c>
      <c r="G88" s="64" cm="1" t="str">
        <f t="array" ref="G88:G88">G87</f>
        <v>0</v>
      </c>
      <c r="H88" s="960"/>
      <c r="I88" s="960"/>
      <c r="J88" s="960"/>
      <c r="K88" s="124">
        <f>first_year+5</f>
        <v>2029</v>
      </c>
      <c r="L88" s="960"/>
      <c r="M88" s="960"/>
      <c r="N88" s="960"/>
      <c r="O88" s="960"/>
      <c r="P88" s="960"/>
      <c r="Q88" s="960"/>
      <c r="R88" s="960"/>
      <c r="S88" s="960"/>
      <c r="T88" s="439" cm="1" t="str">
        <f t="array" ref="T88:T88">T87</f>
        <v>false</v>
      </c>
      <c r="U88" s="960"/>
      <c r="V88" s="960"/>
      <c r="W88" s="960"/>
      <c r="X88" s="1482"/>
      <c r="Y88" s="1482"/>
      <c r="Z88" s="1465"/>
      <c r="AA88" s="1585"/>
      <c r="AB88" s="222" t="str">
        <f>K88&amp;" год"</f>
        <v>2029 год</v>
      </c>
      <c r="AC88" s="380"/>
      <c r="AD88" s="5043"/>
      <c r="AE88" s="5042"/>
      <c r="AF88" s="5042"/>
      <c r="AG88" s="5043"/>
      <c r="AH88" s="5042"/>
      <c r="AI88" s="5043"/>
      <c r="AJ88" s="5042"/>
      <c r="AK88" s="5044"/>
      <c r="AL88" s="375"/>
      <c r="AM88" s="960"/>
      <c r="AN88" s="1048" cm="1" t="str">
        <f t="array" ref="AN88:AN88">K88</f>
        <v>2029</v>
      </c>
      <c r="AO88" s="1048" t="s">
        <v>2125</v>
      </c>
      <c r="AP88" s="1058" cm="1" t="str">
        <f t="array" ref="AP88:AP88">AP87</f>
        <v>0</v>
      </c>
      <c r="AQ88" s="683"/>
      <c r="AR88" s="683"/>
    </row>
    <row s="5058" customFormat="1" customHeight="1" ht="14.25" hidden="1">
      <c r="A89" s="960"/>
      <c r="B89" s="418">
        <f>K89&lt;first_year+PERIOD_LENGTH</f>
        <v>0</v>
      </c>
      <c r="C89" s="960"/>
      <c r="D89" s="960"/>
      <c r="E89" s="683">
        <v>15</v>
      </c>
      <c r="F89" s="50" cm="1" t="str">
        <f t="array" ref="F89:F89">OFFSET(E89,-1,1)</f>
        <v>1</v>
      </c>
      <c r="G89" s="64" cm="1" t="str">
        <f t="array" ref="G89:G89">G88</f>
        <v>0</v>
      </c>
      <c r="H89" s="960"/>
      <c r="I89" s="960"/>
      <c r="J89" s="960"/>
      <c r="K89" s="124">
        <f>first_year+6</f>
        <v>2030</v>
      </c>
      <c r="L89" s="960"/>
      <c r="M89" s="960"/>
      <c r="N89" s="960"/>
      <c r="O89" s="960"/>
      <c r="P89" s="960"/>
      <c r="Q89" s="960"/>
      <c r="R89" s="960"/>
      <c r="S89" s="960"/>
      <c r="T89" s="439" cm="1" t="str">
        <f t="array" ref="T89:T89">T88</f>
        <v>false</v>
      </c>
      <c r="U89" s="960"/>
      <c r="V89" s="960"/>
      <c r="W89" s="960"/>
      <c r="X89" s="1482"/>
      <c r="Y89" s="1482"/>
      <c r="Z89" s="1465"/>
      <c r="AA89" s="1585"/>
      <c r="AB89" s="222" t="str">
        <f>K89&amp;" год"</f>
        <v>2030 год</v>
      </c>
      <c r="AC89" s="380"/>
      <c r="AD89" s="5043"/>
      <c r="AE89" s="5042"/>
      <c r="AF89" s="5042"/>
      <c r="AG89" s="5043"/>
      <c r="AH89" s="5042"/>
      <c r="AI89" s="5043"/>
      <c r="AJ89" s="5042"/>
      <c r="AK89" s="5044"/>
      <c r="AL89" s="375"/>
      <c r="AM89" s="960"/>
      <c r="AN89" s="1048" cm="1" t="str">
        <f t="array" ref="AN89:AN89">K89</f>
        <v>2030</v>
      </c>
      <c r="AO89" s="1048" t="s">
        <v>2125</v>
      </c>
      <c r="AP89" s="1058" cm="1" t="str">
        <f t="array" ref="AP89:AP89">AP88</f>
        <v>0</v>
      </c>
      <c r="AQ89" s="683"/>
      <c r="AR89" s="683"/>
    </row>
    <row s="5059" customFormat="1" customHeight="1" ht="14.25" hidden="1">
      <c r="A90" s="960"/>
      <c r="B90" s="418">
        <f>K90&lt;first_year+PERIOD_LENGTH</f>
        <v>0</v>
      </c>
      <c r="C90" s="960"/>
      <c r="D90" s="960"/>
      <c r="E90" s="683">
        <v>15</v>
      </c>
      <c r="F90" s="50" cm="1" t="str">
        <f t="array" ref="F90:F90">OFFSET(E90,-1,1)</f>
        <v>1</v>
      </c>
      <c r="G90" s="64" cm="1" t="str">
        <f t="array" ref="G90:G90">G89</f>
        <v>0</v>
      </c>
      <c r="H90" s="960"/>
      <c r="I90" s="960"/>
      <c r="J90" s="960"/>
      <c r="K90" s="124">
        <f>first_year+7</f>
        <v>2031</v>
      </c>
      <c r="L90" s="960"/>
      <c r="M90" s="960"/>
      <c r="N90" s="960"/>
      <c r="O90" s="960"/>
      <c r="P90" s="960"/>
      <c r="Q90" s="960"/>
      <c r="R90" s="960"/>
      <c r="S90" s="960"/>
      <c r="T90" s="439" cm="1" t="str">
        <f t="array" ref="T90:T90">T89</f>
        <v>false</v>
      </c>
      <c r="U90" s="960"/>
      <c r="V90" s="960"/>
      <c r="W90" s="960"/>
      <c r="X90" s="1482"/>
      <c r="Y90" s="1482"/>
      <c r="Z90" s="1465"/>
      <c r="AA90" s="1585"/>
      <c r="AB90" s="222" t="str">
        <f>K90&amp;" год"</f>
        <v>2031 год</v>
      </c>
      <c r="AC90" s="380"/>
      <c r="AD90" s="5043"/>
      <c r="AE90" s="5042"/>
      <c r="AF90" s="5042"/>
      <c r="AG90" s="5043"/>
      <c r="AH90" s="5042"/>
      <c r="AI90" s="5043"/>
      <c r="AJ90" s="5042"/>
      <c r="AK90" s="5044"/>
      <c r="AL90" s="375"/>
      <c r="AM90" s="960"/>
      <c r="AN90" s="1048" cm="1" t="str">
        <f t="array" ref="AN90:AN90">K90</f>
        <v>2031</v>
      </c>
      <c r="AO90" s="1048" t="s">
        <v>2125</v>
      </c>
      <c r="AP90" s="1058" cm="1" t="str">
        <f t="array" ref="AP90:AP90">AP89</f>
        <v>0</v>
      </c>
      <c r="AQ90" s="683"/>
      <c r="AR90" s="683"/>
    </row>
    <row s="5060" customFormat="1" customHeight="1" ht="14.25" hidden="1">
      <c r="A91" s="960"/>
      <c r="B91" s="418">
        <f>K91&lt;first_year+PERIOD_LENGTH</f>
        <v>0</v>
      </c>
      <c r="C91" s="960"/>
      <c r="D91" s="960"/>
      <c r="E91" s="683">
        <v>15</v>
      </c>
      <c r="F91" s="50" cm="1" t="str">
        <f t="array" ref="F91:F91">OFFSET(E91,-1,1)</f>
        <v>1</v>
      </c>
      <c r="G91" s="64" cm="1" t="str">
        <f t="array" ref="G91:G91">G90</f>
        <v>0</v>
      </c>
      <c r="H91" s="960"/>
      <c r="I91" s="960"/>
      <c r="J91" s="960"/>
      <c r="K91" s="124">
        <f>first_year+8</f>
        <v>2032</v>
      </c>
      <c r="L91" s="960"/>
      <c r="M91" s="960"/>
      <c r="N91" s="960"/>
      <c r="O91" s="960"/>
      <c r="P91" s="960"/>
      <c r="Q91" s="960"/>
      <c r="R91" s="960"/>
      <c r="S91" s="960"/>
      <c r="T91" s="439" cm="1" t="str">
        <f t="array" ref="T91:T91">T90</f>
        <v>false</v>
      </c>
      <c r="U91" s="960"/>
      <c r="V91" s="960"/>
      <c r="W91" s="960"/>
      <c r="X91" s="1482"/>
      <c r="Y91" s="1482"/>
      <c r="Z91" s="1465"/>
      <c r="AA91" s="1585"/>
      <c r="AB91" s="222" t="str">
        <f>K91&amp;" год"</f>
        <v>2032 год</v>
      </c>
      <c r="AC91" s="380"/>
      <c r="AD91" s="5043"/>
      <c r="AE91" s="5042"/>
      <c r="AF91" s="5042"/>
      <c r="AG91" s="5043"/>
      <c r="AH91" s="5042"/>
      <c r="AI91" s="5043"/>
      <c r="AJ91" s="5042"/>
      <c r="AK91" s="5044"/>
      <c r="AL91" s="375"/>
      <c r="AM91" s="960"/>
      <c r="AN91" s="1048" cm="1" t="str">
        <f t="array" ref="AN91:AN91">K91</f>
        <v>2032</v>
      </c>
      <c r="AO91" s="1048" t="s">
        <v>2125</v>
      </c>
      <c r="AP91" s="1058" cm="1" t="str">
        <f t="array" ref="AP91:AP91">AP90</f>
        <v>0</v>
      </c>
      <c r="AQ91" s="683"/>
      <c r="AR91" s="683"/>
    </row>
    <row s="5061" customFormat="1" customHeight="1" ht="14.25" hidden="1">
      <c r="A92" s="960"/>
      <c r="B92" s="418">
        <f>K92&lt;first_year+PERIOD_LENGTH</f>
        <v>0</v>
      </c>
      <c r="C92" s="960"/>
      <c r="D92" s="960"/>
      <c r="E92" s="683">
        <v>15</v>
      </c>
      <c r="F92" s="50" cm="1" t="str">
        <f t="array" ref="F92:F92">OFFSET(E92,-1,1)</f>
        <v>1</v>
      </c>
      <c r="G92" s="64" cm="1" t="str">
        <f t="array" ref="G92:G92">G91</f>
        <v>0</v>
      </c>
      <c r="H92" s="960"/>
      <c r="I92" s="960"/>
      <c r="J92" s="960"/>
      <c r="K92" s="124">
        <f>first_year+9</f>
        <v>2033</v>
      </c>
      <c r="L92" s="960"/>
      <c r="M92" s="960"/>
      <c r="N92" s="960"/>
      <c r="O92" s="960"/>
      <c r="P92" s="960"/>
      <c r="Q92" s="960"/>
      <c r="R92" s="960"/>
      <c r="S92" s="960"/>
      <c r="T92" s="439" cm="1" t="str">
        <f t="array" ref="T92:T92">T91</f>
        <v>false</v>
      </c>
      <c r="U92" s="960"/>
      <c r="V92" s="960"/>
      <c r="W92" s="960"/>
      <c r="X92" s="1482"/>
      <c r="Y92" s="1482"/>
      <c r="Z92" s="1465"/>
      <c r="AA92" s="1585"/>
      <c r="AB92" s="222" t="str">
        <f>K92&amp;" год"</f>
        <v>2033 год</v>
      </c>
      <c r="AC92" s="380"/>
      <c r="AD92" s="5043"/>
      <c r="AE92" s="5042"/>
      <c r="AF92" s="5042"/>
      <c r="AG92" s="5043"/>
      <c r="AH92" s="5042"/>
      <c r="AI92" s="5043"/>
      <c r="AJ92" s="5042"/>
      <c r="AK92" s="5044"/>
      <c r="AL92" s="375"/>
      <c r="AM92" s="960"/>
      <c r="AN92" s="1048" cm="1" t="str">
        <f t="array" ref="AN92:AN92">K92</f>
        <v>2033</v>
      </c>
      <c r="AO92" s="1048" t="s">
        <v>2125</v>
      </c>
      <c r="AP92" s="1058" cm="1" t="str">
        <f t="array" ref="AP92:AP92">AP91</f>
        <v>0</v>
      </c>
      <c r="AQ92" s="683"/>
      <c r="AR92" s="683"/>
    </row>
    <row s="5062" customFormat="1" customHeight="1" ht="14.25" hidden="1">
      <c r="A93" s="960"/>
      <c r="B93" s="418">
        <f>K93&lt;first_year+PERIOD_LENGTH</f>
        <v>0</v>
      </c>
      <c r="C93" s="960"/>
      <c r="D93" s="960"/>
      <c r="E93" s="683">
        <v>15</v>
      </c>
      <c r="F93" s="50" cm="1" t="str">
        <f t="array" ref="F93:F93">OFFSET(E93,-1,1)</f>
        <v>1</v>
      </c>
      <c r="G93" s="64" cm="1" t="str">
        <f t="array" ref="G93:G93">G92</f>
        <v>0</v>
      </c>
      <c r="H93" s="960"/>
      <c r="I93" s="960"/>
      <c r="J93" s="960"/>
      <c r="K93" s="124">
        <f>first_year+10</f>
        <v>2034</v>
      </c>
      <c r="L93" s="960"/>
      <c r="M93" s="960"/>
      <c r="N93" s="960"/>
      <c r="O93" s="960"/>
      <c r="P93" s="960"/>
      <c r="Q93" s="960"/>
      <c r="R93" s="960"/>
      <c r="S93" s="960"/>
      <c r="T93" s="439" cm="1" t="str">
        <f t="array" ref="T93:T93">T92</f>
        <v>false</v>
      </c>
      <c r="U93" s="960"/>
      <c r="V93" s="960"/>
      <c r="W93" s="960"/>
      <c r="X93" s="1482"/>
      <c r="Y93" s="1482"/>
      <c r="Z93" s="1465"/>
      <c r="AA93" s="1585"/>
      <c r="AB93" s="222" t="str">
        <f>K93&amp;" год"</f>
        <v>2034 год</v>
      </c>
      <c r="AC93" s="380"/>
      <c r="AD93" s="5043"/>
      <c r="AE93" s="5042"/>
      <c r="AF93" s="5042"/>
      <c r="AG93" s="5043"/>
      <c r="AH93" s="5042"/>
      <c r="AI93" s="5043"/>
      <c r="AJ93" s="5042"/>
      <c r="AK93" s="5044"/>
      <c r="AL93" s="375"/>
      <c r="AM93" s="960"/>
      <c r="AN93" s="1048" cm="1" t="str">
        <f t="array" ref="AN93:AN93">K93</f>
        <v>2034</v>
      </c>
      <c r="AO93" s="1048" t="s">
        <v>2125</v>
      </c>
      <c r="AP93" s="1058" cm="1" t="str">
        <f t="array" ref="AP93:AP93">AP92</f>
        <v>0</v>
      </c>
      <c r="AQ93" s="683"/>
      <c r="AR93" s="683"/>
    </row>
    <row s="5063" customFormat="1" customHeight="1" ht="14.25" hidden="1">
      <c r="A94" s="960"/>
      <c r="B94" s="418">
        <f>K94&lt;first_year+PERIOD_LENGTH</f>
        <v>0</v>
      </c>
      <c r="C94" s="960"/>
      <c r="D94" s="960"/>
      <c r="E94" s="683">
        <v>15</v>
      </c>
      <c r="F94" s="50" cm="1" t="str">
        <f t="array" ref="F94:F94">OFFSET(E94,-1,1)</f>
        <v>1</v>
      </c>
      <c r="G94" s="64" cm="1" t="str">
        <f t="array" ref="G94:G94">G93</f>
        <v>0</v>
      </c>
      <c r="H94" s="960"/>
      <c r="I94" s="960"/>
      <c r="J94" s="960"/>
      <c r="K94" s="124">
        <f>first_year+11</f>
        <v>2035</v>
      </c>
      <c r="L94" s="960"/>
      <c r="M94" s="960"/>
      <c r="N94" s="960"/>
      <c r="O94" s="960"/>
      <c r="P94" s="960"/>
      <c r="Q94" s="960"/>
      <c r="R94" s="960"/>
      <c r="S94" s="960"/>
      <c r="T94" s="439" cm="1" t="str">
        <f t="array" ref="T94:T94">T93</f>
        <v>false</v>
      </c>
      <c r="U94" s="960"/>
      <c r="V94" s="960"/>
      <c r="W94" s="960"/>
      <c r="X94" s="1482"/>
      <c r="Y94" s="1482"/>
      <c r="Z94" s="1465"/>
      <c r="AA94" s="1585"/>
      <c r="AB94" s="222" t="str">
        <f>K94&amp;" год"</f>
        <v>2035 год</v>
      </c>
      <c r="AC94" s="380"/>
      <c r="AD94" s="5043"/>
      <c r="AE94" s="5042"/>
      <c r="AF94" s="5042"/>
      <c r="AG94" s="5043"/>
      <c r="AH94" s="5042"/>
      <c r="AI94" s="5043"/>
      <c r="AJ94" s="5042"/>
      <c r="AK94" s="5044"/>
      <c r="AL94" s="375"/>
      <c r="AM94" s="960"/>
      <c r="AN94" s="1048" cm="1" t="str">
        <f t="array" ref="AN94:AN94">K94</f>
        <v>2035</v>
      </c>
      <c r="AO94" s="1048" t="s">
        <v>2125</v>
      </c>
      <c r="AP94" s="1058" cm="1" t="str">
        <f t="array" ref="AP94:AP94">AP93</f>
        <v>0</v>
      </c>
      <c r="AQ94" s="683"/>
      <c r="AR94" s="683"/>
    </row>
    <row s="5064" customFormat="1" customHeight="1" ht="14.25" hidden="1">
      <c r="A95" s="960"/>
      <c r="B95" s="418">
        <f>K95&lt;first_year+PERIOD_LENGTH</f>
        <v>0</v>
      </c>
      <c r="C95" s="960"/>
      <c r="D95" s="960"/>
      <c r="E95" s="683">
        <v>15</v>
      </c>
      <c r="F95" s="50" cm="1" t="str">
        <f t="array" ref="F95:F95">OFFSET(E95,-1,1)</f>
        <v>1</v>
      </c>
      <c r="G95" s="64" cm="1" t="str">
        <f t="array" ref="G95:G95">G94</f>
        <v>0</v>
      </c>
      <c r="H95" s="960"/>
      <c r="I95" s="960"/>
      <c r="J95" s="960"/>
      <c r="K95" s="124">
        <f>first_year+12</f>
        <v>2036</v>
      </c>
      <c r="L95" s="960"/>
      <c r="M95" s="960"/>
      <c r="N95" s="960"/>
      <c r="O95" s="960"/>
      <c r="P95" s="960"/>
      <c r="Q95" s="960"/>
      <c r="R95" s="960"/>
      <c r="S95" s="960"/>
      <c r="T95" s="439" cm="1" t="str">
        <f t="array" ref="T95:T95">T94</f>
        <v>false</v>
      </c>
      <c r="U95" s="960"/>
      <c r="V95" s="960"/>
      <c r="W95" s="960"/>
      <c r="X95" s="1482"/>
      <c r="Y95" s="1482"/>
      <c r="Z95" s="1465"/>
      <c r="AA95" s="1585"/>
      <c r="AB95" s="222" t="str">
        <f>K95&amp;" год"</f>
        <v>2036 год</v>
      </c>
      <c r="AC95" s="380"/>
      <c r="AD95" s="5043"/>
      <c r="AE95" s="5042"/>
      <c r="AF95" s="5042"/>
      <c r="AG95" s="5043"/>
      <c r="AH95" s="5042"/>
      <c r="AI95" s="5043"/>
      <c r="AJ95" s="5042"/>
      <c r="AK95" s="5044"/>
      <c r="AL95" s="375"/>
      <c r="AM95" s="960"/>
      <c r="AN95" s="1048" cm="1" t="str">
        <f t="array" ref="AN95:AN95">K95</f>
        <v>2036</v>
      </c>
      <c r="AO95" s="1048" t="s">
        <v>2125</v>
      </c>
      <c r="AP95" s="1058" cm="1" t="str">
        <f t="array" ref="AP95:AP95">AP94</f>
        <v>0</v>
      </c>
      <c r="AQ95" s="683"/>
      <c r="AR95" s="683"/>
    </row>
    <row s="5065" customFormat="1" customHeight="1" ht="14.25" hidden="1">
      <c r="A96" s="960"/>
      <c r="B96" s="418">
        <f>K96&lt;first_year+PERIOD_LENGTH</f>
        <v>0</v>
      </c>
      <c r="C96" s="960"/>
      <c r="D96" s="960"/>
      <c r="E96" s="683">
        <v>15</v>
      </c>
      <c r="F96" s="50" cm="1" t="str">
        <f t="array" ref="F96:F96">OFFSET(E96,-1,1)</f>
        <v>1</v>
      </c>
      <c r="G96" s="64" cm="1" t="str">
        <f t="array" ref="G96:G96">G95</f>
        <v>0</v>
      </c>
      <c r="H96" s="960"/>
      <c r="I96" s="960"/>
      <c r="J96" s="960"/>
      <c r="K96" s="124">
        <f>first_year+13</f>
        <v>2037</v>
      </c>
      <c r="L96" s="960"/>
      <c r="M96" s="960"/>
      <c r="N96" s="960"/>
      <c r="O96" s="960"/>
      <c r="P96" s="960"/>
      <c r="Q96" s="960"/>
      <c r="R96" s="960"/>
      <c r="S96" s="960"/>
      <c r="T96" s="439" cm="1" t="str">
        <f t="array" ref="T96:T96">T95</f>
        <v>false</v>
      </c>
      <c r="U96" s="960"/>
      <c r="V96" s="960"/>
      <c r="W96" s="960"/>
      <c r="X96" s="1482"/>
      <c r="Y96" s="1482"/>
      <c r="Z96" s="1465"/>
      <c r="AA96" s="1585"/>
      <c r="AB96" s="222" t="str">
        <f>K96&amp;" год"</f>
        <v>2037 год</v>
      </c>
      <c r="AC96" s="380"/>
      <c r="AD96" s="5043"/>
      <c r="AE96" s="5042"/>
      <c r="AF96" s="5042"/>
      <c r="AG96" s="5043"/>
      <c r="AH96" s="5042"/>
      <c r="AI96" s="5043"/>
      <c r="AJ96" s="5042"/>
      <c r="AK96" s="5044"/>
      <c r="AL96" s="375"/>
      <c r="AM96" s="960"/>
      <c r="AN96" s="1048" cm="1" t="str">
        <f t="array" ref="AN96:AN96">K96</f>
        <v>2037</v>
      </c>
      <c r="AO96" s="1048" t="s">
        <v>2125</v>
      </c>
      <c r="AP96" s="1058" cm="1" t="str">
        <f t="array" ref="AP96:AP96">AP95</f>
        <v>0</v>
      </c>
      <c r="AQ96" s="683"/>
      <c r="AR96" s="683"/>
    </row>
    <row s="5066" customFormat="1" customHeight="1" ht="14.25" hidden="1">
      <c r="A97" s="960"/>
      <c r="B97" s="418">
        <f>K97&lt;first_year+PERIOD_LENGTH</f>
        <v>0</v>
      </c>
      <c r="C97" s="960"/>
      <c r="D97" s="960"/>
      <c r="E97" s="683">
        <v>15</v>
      </c>
      <c r="F97" s="50" cm="1" t="str">
        <f t="array" ref="F97:F97">OFFSET(E97,-1,1)</f>
        <v>1</v>
      </c>
      <c r="G97" s="64" cm="1" t="str">
        <f t="array" ref="G97:G97">G96</f>
        <v>0</v>
      </c>
      <c r="H97" s="960"/>
      <c r="I97" s="960"/>
      <c r="J97" s="960"/>
      <c r="K97" s="124">
        <f>first_year+14</f>
        <v>2038</v>
      </c>
      <c r="L97" s="960"/>
      <c r="M97" s="960"/>
      <c r="N97" s="960"/>
      <c r="O97" s="960"/>
      <c r="P97" s="960"/>
      <c r="Q97" s="960"/>
      <c r="R97" s="960"/>
      <c r="S97" s="960"/>
      <c r="T97" s="439" cm="1" t="str">
        <f t="array" ref="T97:T97">T96</f>
        <v>false</v>
      </c>
      <c r="U97" s="960"/>
      <c r="V97" s="960"/>
      <c r="W97" s="960"/>
      <c r="X97" s="1482"/>
      <c r="Y97" s="1482"/>
      <c r="Z97" s="1465"/>
      <c r="AA97" s="1585"/>
      <c r="AB97" s="222" t="str">
        <f>K97&amp;" год"</f>
        <v>2038 год</v>
      </c>
      <c r="AC97" s="380"/>
      <c r="AD97" s="5043"/>
      <c r="AE97" s="5042"/>
      <c r="AF97" s="5042"/>
      <c r="AG97" s="5043"/>
      <c r="AH97" s="5042"/>
      <c r="AI97" s="5043"/>
      <c r="AJ97" s="5042"/>
      <c r="AK97" s="5044"/>
      <c r="AL97" s="375"/>
      <c r="AM97" s="960"/>
      <c r="AN97" s="1048" cm="1" t="str">
        <f t="array" ref="AN97:AN97">K97</f>
        <v>2038</v>
      </c>
      <c r="AO97" s="1048" t="s">
        <v>2125</v>
      </c>
      <c r="AP97" s="1058" cm="1" t="str">
        <f t="array" ref="AP97:AP97">AP96</f>
        <v>0</v>
      </c>
      <c r="AQ97" s="683"/>
      <c r="AR97" s="683"/>
    </row>
    <row s="5067" customFormat="1" customHeight="1" ht="14.25" hidden="1">
      <c r="A98" s="960"/>
      <c r="B98" s="418">
        <f>K98&lt;first_year+PERIOD_LENGTH</f>
        <v>0</v>
      </c>
      <c r="C98" s="960"/>
      <c r="D98" s="960"/>
      <c r="E98" s="683">
        <v>15</v>
      </c>
      <c r="F98" s="50" cm="1" t="str">
        <f t="array" ref="F98:F98">OFFSET(E98,-1,1)</f>
        <v>1</v>
      </c>
      <c r="G98" s="64" cm="1" t="str">
        <f t="array" ref="G98:G98">G97</f>
        <v>0</v>
      </c>
      <c r="H98" s="960"/>
      <c r="I98" s="960"/>
      <c r="J98" s="960"/>
      <c r="K98" s="124">
        <f>first_year+15</f>
        <v>2039</v>
      </c>
      <c r="L98" s="960"/>
      <c r="M98" s="960"/>
      <c r="N98" s="960"/>
      <c r="O98" s="960"/>
      <c r="P98" s="960"/>
      <c r="Q98" s="960"/>
      <c r="R98" s="960"/>
      <c r="S98" s="960"/>
      <c r="T98" s="439" cm="1" t="str">
        <f t="array" ref="T98:T98">T97</f>
        <v>false</v>
      </c>
      <c r="U98" s="960"/>
      <c r="V98" s="960"/>
      <c r="W98" s="960"/>
      <c r="X98" s="1482"/>
      <c r="Y98" s="1482"/>
      <c r="Z98" s="1465"/>
      <c r="AA98" s="1585"/>
      <c r="AB98" s="222" t="str">
        <f>K98&amp;" год"</f>
        <v>2039 год</v>
      </c>
      <c r="AC98" s="380"/>
      <c r="AD98" s="5043"/>
      <c r="AE98" s="5042"/>
      <c r="AF98" s="5042"/>
      <c r="AG98" s="5043"/>
      <c r="AH98" s="5042"/>
      <c r="AI98" s="5043"/>
      <c r="AJ98" s="5042"/>
      <c r="AK98" s="5044"/>
      <c r="AL98" s="375"/>
      <c r="AM98" s="960"/>
      <c r="AN98" s="1048" cm="1" t="str">
        <f t="array" ref="AN98:AN98">K98</f>
        <v>2039</v>
      </c>
      <c r="AO98" s="1048" t="s">
        <v>2125</v>
      </c>
      <c r="AP98" s="1058" cm="1" t="str">
        <f t="array" ref="AP98:AP98">AP97</f>
        <v>0</v>
      </c>
      <c r="AQ98" s="683"/>
      <c r="AR98" s="683"/>
    </row>
    <row s="5068" customFormat="1" customHeight="1" ht="14.25" hidden="1">
      <c r="A99" s="960"/>
      <c r="B99" s="418">
        <f>K99&lt;first_year+PERIOD_LENGTH</f>
        <v>0</v>
      </c>
      <c r="C99" s="960"/>
      <c r="D99" s="960"/>
      <c r="E99" s="683">
        <v>15</v>
      </c>
      <c r="F99" s="50" cm="1" t="str">
        <f t="array" ref="F99:F99">OFFSET(E99,-1,1)</f>
        <v>1</v>
      </c>
      <c r="G99" s="64" cm="1" t="str">
        <f t="array" ref="G99:G99">G98</f>
        <v>0</v>
      </c>
      <c r="H99" s="960"/>
      <c r="I99" s="960"/>
      <c r="J99" s="960"/>
      <c r="K99" s="124">
        <f>first_year+16</f>
        <v>2040</v>
      </c>
      <c r="L99" s="960"/>
      <c r="M99" s="960"/>
      <c r="N99" s="960"/>
      <c r="O99" s="960"/>
      <c r="P99" s="960"/>
      <c r="Q99" s="960"/>
      <c r="R99" s="960"/>
      <c r="S99" s="960"/>
      <c r="T99" s="439" cm="1" t="str">
        <f t="array" ref="T99:T99">T98</f>
        <v>false</v>
      </c>
      <c r="U99" s="960"/>
      <c r="V99" s="960"/>
      <c r="W99" s="960"/>
      <c r="X99" s="1482"/>
      <c r="Y99" s="1482"/>
      <c r="Z99" s="1465"/>
      <c r="AA99" s="1585"/>
      <c r="AB99" s="222" t="str">
        <f>K99&amp;" год"</f>
        <v>2040 год</v>
      </c>
      <c r="AC99" s="380"/>
      <c r="AD99" s="5043"/>
      <c r="AE99" s="5042"/>
      <c r="AF99" s="5042"/>
      <c r="AG99" s="5043"/>
      <c r="AH99" s="5042"/>
      <c r="AI99" s="5043"/>
      <c r="AJ99" s="5042"/>
      <c r="AK99" s="5044"/>
      <c r="AL99" s="375"/>
      <c r="AM99" s="960"/>
      <c r="AN99" s="1048" cm="1" t="str">
        <f t="array" ref="AN99:AN99">K99</f>
        <v>2040</v>
      </c>
      <c r="AO99" s="1048" t="s">
        <v>2125</v>
      </c>
      <c r="AP99" s="1058" cm="1" t="str">
        <f t="array" ref="AP99:AP99">AP98</f>
        <v>0</v>
      </c>
      <c r="AQ99" s="683"/>
      <c r="AR99" s="683"/>
    </row>
    <row s="5069" customFormat="1" customHeight="1" ht="14.25" hidden="1">
      <c r="A100" s="960"/>
      <c r="B100" s="418">
        <f>K100&lt;first_year+PERIOD_LENGTH</f>
        <v>0</v>
      </c>
      <c r="C100" s="960"/>
      <c r="D100" s="960"/>
      <c r="E100" s="683">
        <v>15</v>
      </c>
      <c r="F100" s="50" cm="1" t="str">
        <f t="array" ref="F100:F100">OFFSET(E100,-1,1)</f>
        <v>1</v>
      </c>
      <c r="G100" s="64" cm="1" t="str">
        <f t="array" ref="G100:G100">G99</f>
        <v>0</v>
      </c>
      <c r="H100" s="960"/>
      <c r="I100" s="960"/>
      <c r="J100" s="960"/>
      <c r="K100" s="124">
        <f>first_year+17</f>
        <v>2041</v>
      </c>
      <c r="L100" s="960"/>
      <c r="M100" s="960"/>
      <c r="N100" s="960"/>
      <c r="O100" s="960"/>
      <c r="P100" s="960"/>
      <c r="Q100" s="960"/>
      <c r="R100" s="960"/>
      <c r="S100" s="960"/>
      <c r="T100" s="439" cm="1" t="str">
        <f t="array" ref="T100:T100">T99</f>
        <v>false</v>
      </c>
      <c r="U100" s="960"/>
      <c r="V100" s="960"/>
      <c r="W100" s="960"/>
      <c r="X100" s="1482"/>
      <c r="Y100" s="1482"/>
      <c r="Z100" s="1465"/>
      <c r="AA100" s="1585"/>
      <c r="AB100" s="222" t="str">
        <f>K100&amp;" год"</f>
        <v>2041 год</v>
      </c>
      <c r="AC100" s="380"/>
      <c r="AD100" s="5043"/>
      <c r="AE100" s="5042"/>
      <c r="AF100" s="5042"/>
      <c r="AG100" s="5043"/>
      <c r="AH100" s="5042"/>
      <c r="AI100" s="5043"/>
      <c r="AJ100" s="5042"/>
      <c r="AK100" s="5044"/>
      <c r="AL100" s="375"/>
      <c r="AM100" s="960"/>
      <c r="AN100" s="1048" cm="1" t="str">
        <f t="array" ref="AN100:AN100">K100</f>
        <v>2041</v>
      </c>
      <c r="AO100" s="1048" t="s">
        <v>2125</v>
      </c>
      <c r="AP100" s="1058" cm="1" t="str">
        <f t="array" ref="AP100:AP100">AP99</f>
        <v>0</v>
      </c>
      <c r="AQ100" s="683"/>
      <c r="AR100" s="683"/>
    </row>
    <row s="5070" customFormat="1" customHeight="1" ht="14.25" hidden="1">
      <c r="A101" s="960"/>
      <c r="B101" s="418">
        <f>K101&lt;first_year+PERIOD_LENGTH</f>
        <v>0</v>
      </c>
      <c r="C101" s="960"/>
      <c r="D101" s="960"/>
      <c r="E101" s="683">
        <v>15</v>
      </c>
      <c r="F101" s="50" cm="1" t="str">
        <f t="array" ref="F101:F101">OFFSET(E101,-1,1)</f>
        <v>1</v>
      </c>
      <c r="G101" s="64" cm="1" t="str">
        <f t="array" ref="G101:G101">G100</f>
        <v>0</v>
      </c>
      <c r="H101" s="960"/>
      <c r="I101" s="960"/>
      <c r="J101" s="960"/>
      <c r="K101" s="124">
        <f>first_year+18</f>
        <v>2042</v>
      </c>
      <c r="L101" s="960"/>
      <c r="M101" s="960"/>
      <c r="N101" s="960"/>
      <c r="O101" s="960"/>
      <c r="P101" s="960"/>
      <c r="Q101" s="960"/>
      <c r="R101" s="960"/>
      <c r="S101" s="960"/>
      <c r="T101" s="439" cm="1" t="str">
        <f t="array" ref="T101:T101">T100</f>
        <v>false</v>
      </c>
      <c r="U101" s="960"/>
      <c r="V101" s="960"/>
      <c r="W101" s="960"/>
      <c r="X101" s="1482"/>
      <c r="Y101" s="1482"/>
      <c r="Z101" s="1465"/>
      <c r="AA101" s="1585"/>
      <c r="AB101" s="222" t="str">
        <f>K101&amp;" год"</f>
        <v>2042 год</v>
      </c>
      <c r="AC101" s="380"/>
      <c r="AD101" s="5043"/>
      <c r="AE101" s="5042"/>
      <c r="AF101" s="5042"/>
      <c r="AG101" s="5043"/>
      <c r="AH101" s="5042"/>
      <c r="AI101" s="5043"/>
      <c r="AJ101" s="5042"/>
      <c r="AK101" s="5044"/>
      <c r="AL101" s="375"/>
      <c r="AM101" s="960"/>
      <c r="AN101" s="1048" cm="1" t="str">
        <f t="array" ref="AN101:AN101">K101</f>
        <v>2042</v>
      </c>
      <c r="AO101" s="1048" t="s">
        <v>2125</v>
      </c>
      <c r="AP101" s="1058" cm="1" t="str">
        <f t="array" ref="AP101:AP101">AP100</f>
        <v>0</v>
      </c>
      <c r="AQ101" s="683"/>
      <c r="AR101" s="683"/>
    </row>
    <row s="5071" customFormat="1" customHeight="1" ht="14.25" hidden="1">
      <c r="A102" s="960"/>
      <c r="B102" s="418">
        <f>K102&lt;first_year+PERIOD_LENGTH</f>
        <v>0</v>
      </c>
      <c r="C102" s="960"/>
      <c r="D102" s="960"/>
      <c r="E102" s="683">
        <v>15</v>
      </c>
      <c r="F102" s="50" cm="1" t="str">
        <f t="array" ref="F102:F102">OFFSET(E102,-1,1)</f>
        <v>1</v>
      </c>
      <c r="G102" s="64" cm="1" t="str">
        <f t="array" ref="G102:G102">G101</f>
        <v>0</v>
      </c>
      <c r="H102" s="960"/>
      <c r="I102" s="960"/>
      <c r="J102" s="960"/>
      <c r="K102" s="124">
        <f>first_year+19</f>
        <v>2043</v>
      </c>
      <c r="L102" s="960"/>
      <c r="M102" s="960"/>
      <c r="N102" s="960"/>
      <c r="O102" s="960"/>
      <c r="P102" s="960"/>
      <c r="Q102" s="960"/>
      <c r="R102" s="960"/>
      <c r="S102" s="960"/>
      <c r="T102" s="439" cm="1" t="str">
        <f t="array" ref="T102:T102">T101</f>
        <v>false</v>
      </c>
      <c r="U102" s="960"/>
      <c r="V102" s="960"/>
      <c r="W102" s="960"/>
      <c r="X102" s="1482"/>
      <c r="Y102" s="1482"/>
      <c r="Z102" s="1465"/>
      <c r="AA102" s="1585"/>
      <c r="AB102" s="222" t="str">
        <f>K102&amp;" год"</f>
        <v>2043 год</v>
      </c>
      <c r="AC102" s="380"/>
      <c r="AD102" s="5043"/>
      <c r="AE102" s="5042"/>
      <c r="AF102" s="5042"/>
      <c r="AG102" s="5043"/>
      <c r="AH102" s="5042"/>
      <c r="AI102" s="5043"/>
      <c r="AJ102" s="5042"/>
      <c r="AK102" s="5044"/>
      <c r="AL102" s="375"/>
      <c r="AM102" s="960"/>
      <c r="AN102" s="1048" cm="1" t="str">
        <f t="array" ref="AN102:AN102">K102</f>
        <v>2043</v>
      </c>
      <c r="AO102" s="1048" t="s">
        <v>2125</v>
      </c>
      <c r="AP102" s="1058" cm="1" t="str">
        <f t="array" ref="AP102:AP102">AP101</f>
        <v>0</v>
      </c>
      <c r="AQ102" s="683"/>
      <c r="AR102" s="683"/>
    </row>
    <row s="5072" customFormat="1" customHeight="1" ht="14.25" hidden="1">
      <c r="A103" s="960"/>
      <c r="B103" s="418">
        <f>K103&lt;first_year+PERIOD_LENGTH</f>
        <v>0</v>
      </c>
      <c r="C103" s="960"/>
      <c r="D103" s="960"/>
      <c r="E103" s="683">
        <v>15</v>
      </c>
      <c r="F103" s="50" cm="1" t="str">
        <f t="array" ref="F103:F103">OFFSET(E103,-1,1)</f>
        <v>1</v>
      </c>
      <c r="G103" s="64" cm="1" t="str">
        <f t="array" ref="G103:G103">G102</f>
        <v>0</v>
      </c>
      <c r="H103" s="960"/>
      <c r="I103" s="960"/>
      <c r="J103" s="960"/>
      <c r="K103" s="124">
        <f>first_year+20</f>
        <v>2044</v>
      </c>
      <c r="L103" s="960"/>
      <c r="M103" s="960"/>
      <c r="N103" s="960"/>
      <c r="O103" s="960"/>
      <c r="P103" s="960"/>
      <c r="Q103" s="960"/>
      <c r="R103" s="960"/>
      <c r="S103" s="960"/>
      <c r="T103" s="439" cm="1" t="str">
        <f t="array" ref="T103:T103">T102</f>
        <v>false</v>
      </c>
      <c r="U103" s="960"/>
      <c r="V103" s="960"/>
      <c r="W103" s="960"/>
      <c r="X103" s="1482"/>
      <c r="Y103" s="1482"/>
      <c r="Z103" s="1465"/>
      <c r="AA103" s="1585"/>
      <c r="AB103" s="222" t="str">
        <f>K103&amp;" год"</f>
        <v>2044 год</v>
      </c>
      <c r="AC103" s="380"/>
      <c r="AD103" s="5043"/>
      <c r="AE103" s="5042"/>
      <c r="AF103" s="5042"/>
      <c r="AG103" s="5043"/>
      <c r="AH103" s="5042"/>
      <c r="AI103" s="5043"/>
      <c r="AJ103" s="5042"/>
      <c r="AK103" s="5044"/>
      <c r="AL103" s="375"/>
      <c r="AM103" s="960"/>
      <c r="AN103" s="1048" cm="1" t="str">
        <f t="array" ref="AN103:AN103">K103</f>
        <v>2044</v>
      </c>
      <c r="AO103" s="1048" t="s">
        <v>2125</v>
      </c>
      <c r="AP103" s="1058" cm="1" t="str">
        <f t="array" ref="AP103:AP103">AP102</f>
        <v>0</v>
      </c>
      <c r="AQ103" s="683"/>
      <c r="AR103" s="683"/>
    </row>
    <row s="5073" customFormat="1" customHeight="1" ht="14.25" hidden="1">
      <c r="A104" s="960"/>
      <c r="B104" s="418">
        <f>K104&lt;first_year+PERIOD_LENGTH</f>
        <v>0</v>
      </c>
      <c r="C104" s="960"/>
      <c r="D104" s="960"/>
      <c r="E104" s="683">
        <v>15</v>
      </c>
      <c r="F104" s="50" cm="1" t="str">
        <f t="array" ref="F104:F104">OFFSET(E104,-1,1)</f>
        <v>1</v>
      </c>
      <c r="G104" s="64" cm="1" t="str">
        <f t="array" ref="G104:G104">G103</f>
        <v>0</v>
      </c>
      <c r="H104" s="960"/>
      <c r="I104" s="960"/>
      <c r="J104" s="960"/>
      <c r="K104" s="124">
        <f>first_year+21</f>
        <v>2045</v>
      </c>
      <c r="L104" s="960"/>
      <c r="M104" s="960"/>
      <c r="N104" s="960"/>
      <c r="O104" s="960"/>
      <c r="P104" s="960"/>
      <c r="Q104" s="960"/>
      <c r="R104" s="960"/>
      <c r="S104" s="960"/>
      <c r="T104" s="439" cm="1" t="str">
        <f t="array" ref="T104:T104">T103</f>
        <v>false</v>
      </c>
      <c r="U104" s="960"/>
      <c r="V104" s="960"/>
      <c r="W104" s="960"/>
      <c r="X104" s="1482"/>
      <c r="Y104" s="1482"/>
      <c r="Z104" s="1465"/>
      <c r="AA104" s="1585"/>
      <c r="AB104" s="222" t="str">
        <f>K104&amp;" год"</f>
        <v>2045 год</v>
      </c>
      <c r="AC104" s="380"/>
      <c r="AD104" s="5043"/>
      <c r="AE104" s="5042"/>
      <c r="AF104" s="5042"/>
      <c r="AG104" s="5043"/>
      <c r="AH104" s="5042"/>
      <c r="AI104" s="5043"/>
      <c r="AJ104" s="5042"/>
      <c r="AK104" s="5044"/>
      <c r="AL104" s="375"/>
      <c r="AM104" s="960"/>
      <c r="AN104" s="1048" cm="1" t="str">
        <f t="array" ref="AN104:AN104">K104</f>
        <v>2045</v>
      </c>
      <c r="AO104" s="1048" t="s">
        <v>2125</v>
      </c>
      <c r="AP104" s="1058" cm="1" t="str">
        <f t="array" ref="AP104:AP104">AP103</f>
        <v>0</v>
      </c>
      <c r="AQ104" s="683"/>
      <c r="AR104" s="683"/>
    </row>
    <row s="5074" customFormat="1" customHeight="1" ht="14.25" hidden="1">
      <c r="A105" s="960"/>
      <c r="B105" s="418">
        <f>K105&lt;first_year+PERIOD_LENGTH</f>
        <v>0</v>
      </c>
      <c r="C105" s="960"/>
      <c r="D105" s="960"/>
      <c r="E105" s="683">
        <v>15</v>
      </c>
      <c r="F105" s="50" cm="1" t="str">
        <f t="array" ref="F105:F105">OFFSET(E105,-1,1)</f>
        <v>1</v>
      </c>
      <c r="G105" s="64" cm="1" t="str">
        <f t="array" ref="G105:G105">G104</f>
        <v>0</v>
      </c>
      <c r="H105" s="960"/>
      <c r="I105" s="960"/>
      <c r="J105" s="960"/>
      <c r="K105" s="124">
        <f>first_year+22</f>
        <v>2046</v>
      </c>
      <c r="L105" s="960"/>
      <c r="M105" s="960"/>
      <c r="N105" s="960"/>
      <c r="O105" s="960"/>
      <c r="P105" s="960"/>
      <c r="Q105" s="960"/>
      <c r="R105" s="960"/>
      <c r="S105" s="960"/>
      <c r="T105" s="439" cm="1" t="str">
        <f t="array" ref="T105:T105">T104</f>
        <v>false</v>
      </c>
      <c r="U105" s="960"/>
      <c r="V105" s="960"/>
      <c r="W105" s="960"/>
      <c r="X105" s="1482"/>
      <c r="Y105" s="1482"/>
      <c r="Z105" s="1465"/>
      <c r="AA105" s="1585"/>
      <c r="AB105" s="222" t="str">
        <f>K105&amp;" год"</f>
        <v>2046 год</v>
      </c>
      <c r="AC105" s="380"/>
      <c r="AD105" s="5043"/>
      <c r="AE105" s="5042"/>
      <c r="AF105" s="5042"/>
      <c r="AG105" s="5043"/>
      <c r="AH105" s="5042"/>
      <c r="AI105" s="5043"/>
      <c r="AJ105" s="5042"/>
      <c r="AK105" s="5044"/>
      <c r="AL105" s="375"/>
      <c r="AM105" s="960"/>
      <c r="AN105" s="1048" cm="1" t="str">
        <f t="array" ref="AN105:AN105">K105</f>
        <v>2046</v>
      </c>
      <c r="AO105" s="1048" t="s">
        <v>2125</v>
      </c>
      <c r="AP105" s="1058" cm="1" t="str">
        <f t="array" ref="AP105:AP105">AP104</f>
        <v>0</v>
      </c>
      <c r="AQ105" s="683"/>
      <c r="AR105" s="683"/>
    </row>
    <row s="5075" customFormat="1" customHeight="1" ht="14.25" hidden="1">
      <c r="A106" s="960"/>
      <c r="B106" s="418">
        <f>K106&lt;first_year+PERIOD_LENGTH</f>
        <v>0</v>
      </c>
      <c r="C106" s="960"/>
      <c r="D106" s="960"/>
      <c r="E106" s="683">
        <v>15</v>
      </c>
      <c r="F106" s="50" cm="1" t="str">
        <f t="array" ref="F106:F106">OFFSET(E106,-1,1)</f>
        <v>1</v>
      </c>
      <c r="G106" s="64" cm="1" t="str">
        <f t="array" ref="G106:G106">G105</f>
        <v>0</v>
      </c>
      <c r="H106" s="960"/>
      <c r="I106" s="960"/>
      <c r="J106" s="960"/>
      <c r="K106" s="124">
        <f>first_year+23</f>
        <v>2047</v>
      </c>
      <c r="L106" s="960"/>
      <c r="M106" s="960"/>
      <c r="N106" s="960"/>
      <c r="O106" s="960"/>
      <c r="P106" s="960"/>
      <c r="Q106" s="960"/>
      <c r="R106" s="960"/>
      <c r="S106" s="960"/>
      <c r="T106" s="439" cm="1" t="str">
        <f t="array" ref="T106:T106">T105</f>
        <v>false</v>
      </c>
      <c r="U106" s="960"/>
      <c r="V106" s="960"/>
      <c r="W106" s="960"/>
      <c r="X106" s="1482"/>
      <c r="Y106" s="1482"/>
      <c r="Z106" s="1465"/>
      <c r="AA106" s="1585"/>
      <c r="AB106" s="222" t="str">
        <f>K106&amp;" год"</f>
        <v>2047 год</v>
      </c>
      <c r="AC106" s="380"/>
      <c r="AD106" s="5043"/>
      <c r="AE106" s="5042"/>
      <c r="AF106" s="5042"/>
      <c r="AG106" s="5043"/>
      <c r="AH106" s="5042"/>
      <c r="AI106" s="5043"/>
      <c r="AJ106" s="5042"/>
      <c r="AK106" s="5044"/>
      <c r="AL106" s="375"/>
      <c r="AM106" s="960"/>
      <c r="AN106" s="1048" cm="1" t="str">
        <f t="array" ref="AN106:AN106">K106</f>
        <v>2047</v>
      </c>
      <c r="AO106" s="1048" t="s">
        <v>2125</v>
      </c>
      <c r="AP106" s="1058" cm="1" t="str">
        <f t="array" ref="AP106:AP106">AP105</f>
        <v>0</v>
      </c>
      <c r="AQ106" s="683"/>
      <c r="AR106" s="683"/>
    </row>
    <row s="5076" customFormat="1" customHeight="1" ht="14.25" hidden="1">
      <c r="A107" s="960"/>
      <c r="B107" s="418">
        <f>K107&lt;first_year+PERIOD_LENGTH</f>
        <v>0</v>
      </c>
      <c r="C107" s="960"/>
      <c r="D107" s="960"/>
      <c r="E107" s="683">
        <v>15</v>
      </c>
      <c r="F107" s="50" cm="1" t="str">
        <f t="array" ref="F107:F107">OFFSET(E107,-1,1)</f>
        <v>1</v>
      </c>
      <c r="G107" s="64" cm="1" t="str">
        <f t="array" ref="G107:G107">G106</f>
        <v>0</v>
      </c>
      <c r="H107" s="960"/>
      <c r="I107" s="960"/>
      <c r="J107" s="960"/>
      <c r="K107" s="124">
        <f>first_year+24</f>
        <v>2048</v>
      </c>
      <c r="L107" s="960"/>
      <c r="M107" s="960"/>
      <c r="N107" s="960"/>
      <c r="O107" s="960"/>
      <c r="P107" s="960"/>
      <c r="Q107" s="960"/>
      <c r="R107" s="960"/>
      <c r="S107" s="960"/>
      <c r="T107" s="439" cm="1" t="str">
        <f t="array" ref="T107:T107">T106</f>
        <v>false</v>
      </c>
      <c r="U107" s="960"/>
      <c r="V107" s="960"/>
      <c r="W107" s="960"/>
      <c r="X107" s="1482"/>
      <c r="Y107" s="1482"/>
      <c r="Z107" s="1465"/>
      <c r="AA107" s="1585"/>
      <c r="AB107" s="222" t="str">
        <f>K107&amp;" год"</f>
        <v>2048 год</v>
      </c>
      <c r="AC107" s="380"/>
      <c r="AD107" s="5043"/>
      <c r="AE107" s="5042"/>
      <c r="AF107" s="5042"/>
      <c r="AG107" s="5043"/>
      <c r="AH107" s="5042"/>
      <c r="AI107" s="5043"/>
      <c r="AJ107" s="5042"/>
      <c r="AK107" s="5044"/>
      <c r="AL107" s="375"/>
      <c r="AM107" s="960"/>
      <c r="AN107" s="1048" cm="1" t="str">
        <f t="array" ref="AN107:AN107">K107</f>
        <v>2048</v>
      </c>
      <c r="AO107" s="1048" t="s">
        <v>2125</v>
      </c>
      <c r="AP107" s="1058" cm="1" t="str">
        <f t="array" ref="AP107:AP107">AP106</f>
        <v>0</v>
      </c>
      <c r="AQ107" s="683"/>
      <c r="AR107" s="683"/>
    </row>
    <row s="5077" customFormat="1" customHeight="1" ht="14.25" hidden="1">
      <c r="A108" s="960"/>
      <c r="B108" s="418">
        <f>K108&lt;first_year+PERIOD_LENGTH</f>
        <v>0</v>
      </c>
      <c r="C108" s="960"/>
      <c r="D108" s="960"/>
      <c r="E108" s="683">
        <v>15</v>
      </c>
      <c r="F108" s="50" cm="1" t="str">
        <f t="array" ref="F108:F108">OFFSET(E108,-1,1)</f>
        <v>1</v>
      </c>
      <c r="G108" s="64" cm="1" t="str">
        <f t="array" ref="G108:G108">G107</f>
        <v>0</v>
      </c>
      <c r="H108" s="960"/>
      <c r="I108" s="960"/>
      <c r="J108" s="960"/>
      <c r="K108" s="124">
        <f>first_year+25</f>
        <v>2049</v>
      </c>
      <c r="L108" s="960"/>
      <c r="M108" s="960"/>
      <c r="N108" s="960"/>
      <c r="O108" s="960"/>
      <c r="P108" s="960"/>
      <c r="Q108" s="960"/>
      <c r="R108" s="960"/>
      <c r="S108" s="960"/>
      <c r="T108" s="439" cm="1" t="str">
        <f t="array" ref="T108:T108">T107</f>
        <v>false</v>
      </c>
      <c r="U108" s="960"/>
      <c r="V108" s="960"/>
      <c r="W108" s="960"/>
      <c r="X108" s="1482"/>
      <c r="Y108" s="1482"/>
      <c r="Z108" s="1465"/>
      <c r="AA108" s="1585"/>
      <c r="AB108" s="222" t="str">
        <f>K108&amp;" год"</f>
        <v>2049 год</v>
      </c>
      <c r="AC108" s="380"/>
      <c r="AD108" s="5043"/>
      <c r="AE108" s="5042"/>
      <c r="AF108" s="5042"/>
      <c r="AG108" s="5043"/>
      <c r="AH108" s="5042"/>
      <c r="AI108" s="5043"/>
      <c r="AJ108" s="5042"/>
      <c r="AK108" s="5044"/>
      <c r="AL108" s="375"/>
      <c r="AM108" s="960"/>
      <c r="AN108" s="1048" cm="1" t="str">
        <f t="array" ref="AN108:AN108">K108</f>
        <v>2049</v>
      </c>
      <c r="AO108" s="1048" t="s">
        <v>2125</v>
      </c>
      <c r="AP108" s="1058" cm="1" t="str">
        <f t="array" ref="AP108:AP108">AP107</f>
        <v>0</v>
      </c>
      <c r="AQ108" s="683"/>
      <c r="AR108" s="683"/>
    </row>
    <row s="5078" customFormat="1" customHeight="1" ht="14.25" hidden="1">
      <c r="A109" s="960"/>
      <c r="B109" s="418">
        <f>K109&lt;first_year+PERIOD_LENGTH</f>
        <v>0</v>
      </c>
      <c r="C109" s="960"/>
      <c r="D109" s="960"/>
      <c r="E109" s="683">
        <v>15</v>
      </c>
      <c r="F109" s="50" cm="1" t="str">
        <f t="array" ref="F109:F109">OFFSET(E109,-1,1)</f>
        <v>1</v>
      </c>
      <c r="G109" s="64" cm="1" t="str">
        <f t="array" ref="G109:G109">G108</f>
        <v>0</v>
      </c>
      <c r="H109" s="960"/>
      <c r="I109" s="960"/>
      <c r="J109" s="960"/>
      <c r="K109" s="124">
        <f>first_year+26</f>
        <v>2050</v>
      </c>
      <c r="L109" s="960"/>
      <c r="M109" s="960"/>
      <c r="N109" s="960"/>
      <c r="O109" s="960"/>
      <c r="P109" s="960"/>
      <c r="Q109" s="960"/>
      <c r="R109" s="960"/>
      <c r="S109" s="960"/>
      <c r="T109" s="439" cm="1" t="str">
        <f t="array" ref="T109:T109">T108</f>
        <v>false</v>
      </c>
      <c r="U109" s="960"/>
      <c r="V109" s="960"/>
      <c r="W109" s="960"/>
      <c r="X109" s="1482"/>
      <c r="Y109" s="1482"/>
      <c r="Z109" s="1465"/>
      <c r="AA109" s="1585"/>
      <c r="AB109" s="222" t="str">
        <f>K109&amp;" год"</f>
        <v>2050 год</v>
      </c>
      <c r="AC109" s="380"/>
      <c r="AD109" s="5043"/>
      <c r="AE109" s="5042"/>
      <c r="AF109" s="5042"/>
      <c r="AG109" s="5043"/>
      <c r="AH109" s="5042"/>
      <c r="AI109" s="5043"/>
      <c r="AJ109" s="5042"/>
      <c r="AK109" s="5044"/>
      <c r="AL109" s="375"/>
      <c r="AM109" s="960"/>
      <c r="AN109" s="1048" cm="1" t="str">
        <f t="array" ref="AN109:AN109">K109</f>
        <v>2050</v>
      </c>
      <c r="AO109" s="1048" t="s">
        <v>2125</v>
      </c>
      <c r="AP109" s="1058" cm="1" t="str">
        <f t="array" ref="AP109:AP109">AP108</f>
        <v>0</v>
      </c>
      <c r="AQ109" s="683"/>
      <c r="AR109" s="683"/>
    </row>
    <row s="5079" customFormat="1" customHeight="1" ht="14.25" hidden="1">
      <c r="A110" s="960"/>
      <c r="B110" s="418">
        <f>K110&lt;first_year+PERIOD_LENGTH</f>
        <v>0</v>
      </c>
      <c r="C110" s="960"/>
      <c r="D110" s="960"/>
      <c r="E110" s="683">
        <v>15</v>
      </c>
      <c r="F110" s="50" cm="1" t="str">
        <f t="array" ref="F110:F110">OFFSET(E110,-1,1)</f>
        <v>1</v>
      </c>
      <c r="G110" s="64" cm="1" t="str">
        <f t="array" ref="G110:G110">G109</f>
        <v>0</v>
      </c>
      <c r="H110" s="960"/>
      <c r="I110" s="960"/>
      <c r="J110" s="960"/>
      <c r="K110" s="124">
        <f>first_year+27</f>
        <v>2051</v>
      </c>
      <c r="L110" s="960"/>
      <c r="M110" s="960"/>
      <c r="N110" s="960"/>
      <c r="O110" s="960"/>
      <c r="P110" s="960"/>
      <c r="Q110" s="960"/>
      <c r="R110" s="960"/>
      <c r="S110" s="960"/>
      <c r="T110" s="439" cm="1" t="str">
        <f t="array" ref="T110:T110">T109</f>
        <v>false</v>
      </c>
      <c r="U110" s="960"/>
      <c r="V110" s="960"/>
      <c r="W110" s="960"/>
      <c r="X110" s="1482"/>
      <c r="Y110" s="1482"/>
      <c r="Z110" s="1465"/>
      <c r="AA110" s="1585"/>
      <c r="AB110" s="222" t="str">
        <f>K110&amp;" год"</f>
        <v>2051 год</v>
      </c>
      <c r="AC110" s="380"/>
      <c r="AD110" s="5043"/>
      <c r="AE110" s="5042"/>
      <c r="AF110" s="5042"/>
      <c r="AG110" s="5043"/>
      <c r="AH110" s="5042"/>
      <c r="AI110" s="5043"/>
      <c r="AJ110" s="5042"/>
      <c r="AK110" s="5044"/>
      <c r="AL110" s="375"/>
      <c r="AM110" s="960"/>
      <c r="AN110" s="1048" cm="1" t="str">
        <f t="array" ref="AN110:AN110">K110</f>
        <v>2051</v>
      </c>
      <c r="AO110" s="1048" t="s">
        <v>2125</v>
      </c>
      <c r="AP110" s="1058" cm="1" t="str">
        <f t="array" ref="AP110:AP110">AP109</f>
        <v>0</v>
      </c>
      <c r="AQ110" s="683"/>
      <c r="AR110" s="683"/>
    </row>
    <row s="5080" customFormat="1" customHeight="1" ht="14.25" hidden="1">
      <c r="A111" s="960"/>
      <c r="B111" s="418">
        <f>K111&lt;first_year+PERIOD_LENGTH</f>
        <v>0</v>
      </c>
      <c r="C111" s="960"/>
      <c r="D111" s="960"/>
      <c r="E111" s="683">
        <v>15</v>
      </c>
      <c r="F111" s="50" cm="1" t="str">
        <f t="array" ref="F111:F111">OFFSET(E111,-1,1)</f>
        <v>1</v>
      </c>
      <c r="G111" s="64" cm="1" t="str">
        <f t="array" ref="G111:G111">G110</f>
        <v>0</v>
      </c>
      <c r="H111" s="960"/>
      <c r="I111" s="960"/>
      <c r="J111" s="960"/>
      <c r="K111" s="124">
        <f>first_year+28</f>
        <v>2052</v>
      </c>
      <c r="L111" s="960"/>
      <c r="M111" s="960"/>
      <c r="N111" s="960"/>
      <c r="O111" s="960"/>
      <c r="P111" s="960"/>
      <c r="Q111" s="960"/>
      <c r="R111" s="960"/>
      <c r="S111" s="960"/>
      <c r="T111" s="439" cm="1" t="str">
        <f t="array" ref="T111:T111">T110</f>
        <v>false</v>
      </c>
      <c r="U111" s="960"/>
      <c r="V111" s="960"/>
      <c r="W111" s="960"/>
      <c r="X111" s="1482"/>
      <c r="Y111" s="1482"/>
      <c r="Z111" s="1465"/>
      <c r="AA111" s="1585"/>
      <c r="AB111" s="222" t="str">
        <f>K111&amp;" год"</f>
        <v>2052 год</v>
      </c>
      <c r="AC111" s="380"/>
      <c r="AD111" s="5043"/>
      <c r="AE111" s="5042"/>
      <c r="AF111" s="5042"/>
      <c r="AG111" s="5043"/>
      <c r="AH111" s="5042"/>
      <c r="AI111" s="5043"/>
      <c r="AJ111" s="5042"/>
      <c r="AK111" s="5044"/>
      <c r="AL111" s="375"/>
      <c r="AM111" s="960"/>
      <c r="AN111" s="1048" cm="1" t="str">
        <f t="array" ref="AN111:AN111">K111</f>
        <v>2052</v>
      </c>
      <c r="AO111" s="1048" t="s">
        <v>2125</v>
      </c>
      <c r="AP111" s="1058" cm="1" t="str">
        <f t="array" ref="AP111:AP111">AP110</f>
        <v>0</v>
      </c>
      <c r="AQ111" s="683"/>
      <c r="AR111" s="683"/>
    </row>
    <row s="5081" customFormat="1" customHeight="1" ht="14.25" hidden="1">
      <c r="A112" s="960"/>
      <c r="B112" s="418">
        <f>K112&lt;first_year+PERIOD_LENGTH</f>
        <v>0</v>
      </c>
      <c r="C112" s="960"/>
      <c r="D112" s="960"/>
      <c r="E112" s="683">
        <v>15</v>
      </c>
      <c r="F112" s="50" cm="1" t="str">
        <f t="array" ref="F112:F112">OFFSET(E112,-1,1)</f>
        <v>1</v>
      </c>
      <c r="G112" s="64" cm="1" t="str">
        <f t="array" ref="G112:G112">G111</f>
        <v>0</v>
      </c>
      <c r="H112" s="960"/>
      <c r="I112" s="960"/>
      <c r="J112" s="960"/>
      <c r="K112" s="124">
        <f>first_year+29</f>
        <v>2053</v>
      </c>
      <c r="L112" s="960"/>
      <c r="M112" s="960"/>
      <c r="N112" s="960"/>
      <c r="O112" s="960"/>
      <c r="P112" s="960"/>
      <c r="Q112" s="960"/>
      <c r="R112" s="960"/>
      <c r="S112" s="960"/>
      <c r="T112" s="439" cm="1" t="str">
        <f t="array" ref="T112:T112">T111</f>
        <v>false</v>
      </c>
      <c r="U112" s="960"/>
      <c r="V112" s="960"/>
      <c r="W112" s="960"/>
      <c r="X112" s="1482"/>
      <c r="Y112" s="1482"/>
      <c r="Z112" s="1465"/>
      <c r="AA112" s="1585"/>
      <c r="AB112" s="222" t="str">
        <f>K112&amp;" год"</f>
        <v>2053 год</v>
      </c>
      <c r="AC112" s="380"/>
      <c r="AD112" s="5043"/>
      <c r="AE112" s="5042"/>
      <c r="AF112" s="5042"/>
      <c r="AG112" s="5043"/>
      <c r="AH112" s="5042"/>
      <c r="AI112" s="5043"/>
      <c r="AJ112" s="5042"/>
      <c r="AK112" s="5044"/>
      <c r="AL112" s="375"/>
      <c r="AM112" s="960"/>
      <c r="AN112" s="1048" cm="1" t="str">
        <f t="array" ref="AN112:AN112">K112</f>
        <v>2053</v>
      </c>
      <c r="AO112" s="1048" t="s">
        <v>2125</v>
      </c>
      <c r="AP112" s="1058" cm="1" t="str">
        <f t="array" ref="AP112:AP112">AP111</f>
        <v>0</v>
      </c>
      <c r="AQ112" s="683"/>
      <c r="AR112" s="683"/>
    </row>
    <row s="5082" customFormat="1" customHeight="1" ht="14.25" hidden="1">
      <c r="A113" s="960"/>
      <c r="B113" s="418">
        <f>K113&lt;first_year+PERIOD_LENGTH</f>
        <v>0</v>
      </c>
      <c r="C113" s="960"/>
      <c r="D113" s="960"/>
      <c r="E113" s="683">
        <v>15</v>
      </c>
      <c r="F113" s="50" cm="1" t="str">
        <f t="array" ref="F113:F113">OFFSET(E113,-1,1)</f>
        <v>1</v>
      </c>
      <c r="G113" s="64" cm="1" t="str">
        <f t="array" ref="G113:G113">G112</f>
        <v>0</v>
      </c>
      <c r="H113" s="960"/>
      <c r="I113" s="960"/>
      <c r="J113" s="960"/>
      <c r="K113" s="124">
        <f>first_year+30</f>
        <v>2054</v>
      </c>
      <c r="L113" s="960"/>
      <c r="M113" s="960"/>
      <c r="N113" s="960"/>
      <c r="O113" s="960"/>
      <c r="P113" s="960"/>
      <c r="Q113" s="960"/>
      <c r="R113" s="960"/>
      <c r="S113" s="960"/>
      <c r="T113" s="439" cm="1" t="str">
        <f t="array" ref="T113:T113">T112</f>
        <v>false</v>
      </c>
      <c r="U113" s="960"/>
      <c r="V113" s="960"/>
      <c r="W113" s="960"/>
      <c r="X113" s="1482"/>
      <c r="Y113" s="1482"/>
      <c r="Z113" s="1465"/>
      <c r="AA113" s="1585"/>
      <c r="AB113" s="222" t="str">
        <f>K113&amp;" год"</f>
        <v>2054 год</v>
      </c>
      <c r="AC113" s="380"/>
      <c r="AD113" s="5043"/>
      <c r="AE113" s="5042"/>
      <c r="AF113" s="5042"/>
      <c r="AG113" s="5043"/>
      <c r="AH113" s="5042"/>
      <c r="AI113" s="5043"/>
      <c r="AJ113" s="5042"/>
      <c r="AK113" s="5044"/>
      <c r="AL113" s="375"/>
      <c r="AM113" s="960"/>
      <c r="AN113" s="1048" cm="1" t="str">
        <f t="array" ref="AN113:AN113">K113</f>
        <v>2054</v>
      </c>
      <c r="AO113" s="1048" t="s">
        <v>2125</v>
      </c>
      <c r="AP113" s="1058" cm="1" t="str">
        <f t="array" ref="AP113:AP113">AP112</f>
        <v>0</v>
      </c>
      <c r="AQ113" s="683"/>
      <c r="AR113" s="683"/>
    </row>
    <row s="5083" customFormat="1" customHeight="1" ht="14.25" hidden="1">
      <c r="A114" s="960"/>
      <c r="B114" s="418">
        <f>K114&lt;first_year+PERIOD_LENGTH</f>
        <v>0</v>
      </c>
      <c r="C114" s="960"/>
      <c r="D114" s="960"/>
      <c r="E114" s="683">
        <v>15</v>
      </c>
      <c r="F114" s="50" cm="1" t="str">
        <f t="array" ref="F114:F114">OFFSET(E114,-1,1)</f>
        <v>1</v>
      </c>
      <c r="G114" s="64" cm="1" t="str">
        <f t="array" ref="G114:G114">G113</f>
        <v>0</v>
      </c>
      <c r="H114" s="960"/>
      <c r="I114" s="960"/>
      <c r="J114" s="960"/>
      <c r="K114" s="124">
        <f>first_year+31</f>
        <v>2055</v>
      </c>
      <c r="L114" s="960"/>
      <c r="M114" s="960"/>
      <c r="N114" s="960"/>
      <c r="O114" s="960"/>
      <c r="P114" s="960"/>
      <c r="Q114" s="960"/>
      <c r="R114" s="960"/>
      <c r="S114" s="960"/>
      <c r="T114" s="439" cm="1" t="str">
        <f t="array" ref="T114:T114">T113</f>
        <v>false</v>
      </c>
      <c r="U114" s="960"/>
      <c r="V114" s="960"/>
      <c r="W114" s="960"/>
      <c r="X114" s="1482"/>
      <c r="Y114" s="1482"/>
      <c r="Z114" s="1465"/>
      <c r="AA114" s="1585"/>
      <c r="AB114" s="222" t="str">
        <f>K114&amp;" год"</f>
        <v>2055 год</v>
      </c>
      <c r="AC114" s="380"/>
      <c r="AD114" s="5043"/>
      <c r="AE114" s="5042"/>
      <c r="AF114" s="5042"/>
      <c r="AG114" s="5043"/>
      <c r="AH114" s="5042"/>
      <c r="AI114" s="5043"/>
      <c r="AJ114" s="5042"/>
      <c r="AK114" s="5044"/>
      <c r="AL114" s="375"/>
      <c r="AM114" s="960"/>
      <c r="AN114" s="1048" cm="1" t="str">
        <f t="array" ref="AN114:AN114">K114</f>
        <v>2055</v>
      </c>
      <c r="AO114" s="1048" t="s">
        <v>2125</v>
      </c>
      <c r="AP114" s="1058" cm="1" t="str">
        <f t="array" ref="AP114:AP114">AP113</f>
        <v>0</v>
      </c>
      <c r="AQ114" s="683"/>
      <c r="AR114" s="683"/>
    </row>
    <row s="5084" customFormat="1" customHeight="1" ht="14.25" hidden="1">
      <c r="A115" s="960"/>
      <c r="B115" s="418">
        <f>K115&lt;first_year+PERIOD_LENGTH</f>
        <v>0</v>
      </c>
      <c r="C115" s="960"/>
      <c r="D115" s="960"/>
      <c r="E115" s="683">
        <v>15</v>
      </c>
      <c r="F115" s="50" cm="1" t="str">
        <f t="array" ref="F115:F115">OFFSET(E115,-1,1)</f>
        <v>1</v>
      </c>
      <c r="G115" s="64" cm="1" t="str">
        <f t="array" ref="G115:G115">G114</f>
        <v>0</v>
      </c>
      <c r="H115" s="960"/>
      <c r="I115" s="960"/>
      <c r="J115" s="960"/>
      <c r="K115" s="124">
        <f>first_year+32</f>
        <v>2056</v>
      </c>
      <c r="L115" s="960"/>
      <c r="M115" s="960"/>
      <c r="N115" s="960"/>
      <c r="O115" s="960"/>
      <c r="P115" s="960"/>
      <c r="Q115" s="960"/>
      <c r="R115" s="960"/>
      <c r="S115" s="960"/>
      <c r="T115" s="439" cm="1" t="str">
        <f t="array" ref="T115:T115">T114</f>
        <v>false</v>
      </c>
      <c r="U115" s="960"/>
      <c r="V115" s="960"/>
      <c r="W115" s="960"/>
      <c r="X115" s="1482"/>
      <c r="Y115" s="1482"/>
      <c r="Z115" s="1465"/>
      <c r="AA115" s="1585"/>
      <c r="AB115" s="222" t="str">
        <f>K115&amp;" год"</f>
        <v>2056 год</v>
      </c>
      <c r="AC115" s="380"/>
      <c r="AD115" s="5043"/>
      <c r="AE115" s="5042"/>
      <c r="AF115" s="5042"/>
      <c r="AG115" s="5043"/>
      <c r="AH115" s="5042"/>
      <c r="AI115" s="5043"/>
      <c r="AJ115" s="5042"/>
      <c r="AK115" s="5044"/>
      <c r="AL115" s="375"/>
      <c r="AM115" s="960"/>
      <c r="AN115" s="1048" cm="1" t="str">
        <f t="array" ref="AN115:AN115">K115</f>
        <v>2056</v>
      </c>
      <c r="AO115" s="1048" t="s">
        <v>2125</v>
      </c>
      <c r="AP115" s="1058" cm="1" t="str">
        <f t="array" ref="AP115:AP115">AP114</f>
        <v>0</v>
      </c>
      <c r="AQ115" s="683"/>
      <c r="AR115" s="683"/>
    </row>
    <row s="5085" customFormat="1" customHeight="1" ht="14.25" hidden="1">
      <c r="A116" s="960"/>
      <c r="B116" s="418">
        <f>K116&lt;first_year+PERIOD_LENGTH</f>
        <v>0</v>
      </c>
      <c r="C116" s="960"/>
      <c r="D116" s="960"/>
      <c r="E116" s="683">
        <v>15</v>
      </c>
      <c r="F116" s="50" cm="1" t="str">
        <f t="array" ref="F116:F116">OFFSET(E116,-1,1)</f>
        <v>1</v>
      </c>
      <c r="G116" s="64" cm="1" t="str">
        <f t="array" ref="G116:G116">G115</f>
        <v>0</v>
      </c>
      <c r="H116" s="960"/>
      <c r="I116" s="960"/>
      <c r="J116" s="960"/>
      <c r="K116" s="124">
        <f>first_year+33</f>
        <v>2057</v>
      </c>
      <c r="L116" s="960"/>
      <c r="M116" s="960"/>
      <c r="N116" s="960"/>
      <c r="O116" s="960"/>
      <c r="P116" s="960"/>
      <c r="Q116" s="960"/>
      <c r="R116" s="960"/>
      <c r="S116" s="960"/>
      <c r="T116" s="439" cm="1" t="str">
        <f t="array" ref="T116:T116">T115</f>
        <v>false</v>
      </c>
      <c r="U116" s="960"/>
      <c r="V116" s="960"/>
      <c r="W116" s="960"/>
      <c r="X116" s="1482"/>
      <c r="Y116" s="1482"/>
      <c r="Z116" s="1465"/>
      <c r="AA116" s="1585"/>
      <c r="AB116" s="222" t="str">
        <f>K116&amp;" год"</f>
        <v>2057 год</v>
      </c>
      <c r="AC116" s="380"/>
      <c r="AD116" s="5043"/>
      <c r="AE116" s="5042"/>
      <c r="AF116" s="5042"/>
      <c r="AG116" s="5043"/>
      <c r="AH116" s="5042"/>
      <c r="AI116" s="5043"/>
      <c r="AJ116" s="5042"/>
      <c r="AK116" s="5044"/>
      <c r="AL116" s="375"/>
      <c r="AM116" s="960"/>
      <c r="AN116" s="1048" cm="1" t="str">
        <f t="array" ref="AN116:AN116">K116</f>
        <v>2057</v>
      </c>
      <c r="AO116" s="1048" t="s">
        <v>2125</v>
      </c>
      <c r="AP116" s="1058" cm="1" t="str">
        <f t="array" ref="AP116:AP116">AP115</f>
        <v>0</v>
      </c>
      <c r="AQ116" s="683"/>
      <c r="AR116" s="683"/>
    </row>
    <row s="5086" customFormat="1" customHeight="1" ht="14.25" hidden="1">
      <c r="A117" s="960"/>
      <c r="B117" s="418">
        <f>K117&lt;first_year+PERIOD_LENGTH</f>
        <v>0</v>
      </c>
      <c r="C117" s="960"/>
      <c r="D117" s="960"/>
      <c r="E117" s="683">
        <v>15</v>
      </c>
      <c r="F117" s="50" cm="1" t="str">
        <f t="array" ref="F117:F117">OFFSET(E117,-1,1)</f>
        <v>1</v>
      </c>
      <c r="G117" s="64" cm="1" t="str">
        <f t="array" ref="G117:G117">G116</f>
        <v>0</v>
      </c>
      <c r="H117" s="960"/>
      <c r="I117" s="960"/>
      <c r="J117" s="960"/>
      <c r="K117" s="124">
        <f>first_year+34</f>
        <v>2058</v>
      </c>
      <c r="L117" s="960"/>
      <c r="M117" s="960"/>
      <c r="N117" s="960"/>
      <c r="O117" s="960"/>
      <c r="P117" s="960"/>
      <c r="Q117" s="960"/>
      <c r="R117" s="960"/>
      <c r="S117" s="960"/>
      <c r="T117" s="439" cm="1" t="str">
        <f t="array" ref="T117:T117">T116</f>
        <v>false</v>
      </c>
      <c r="U117" s="960"/>
      <c r="V117" s="960"/>
      <c r="W117" s="960"/>
      <c r="X117" s="1482"/>
      <c r="Y117" s="1482"/>
      <c r="Z117" s="1465"/>
      <c r="AA117" s="1585"/>
      <c r="AB117" s="222" t="str">
        <f>K117&amp;" год"</f>
        <v>2058 год</v>
      </c>
      <c r="AC117" s="380"/>
      <c r="AD117" s="5043"/>
      <c r="AE117" s="5042"/>
      <c r="AF117" s="5042"/>
      <c r="AG117" s="5043"/>
      <c r="AH117" s="5042"/>
      <c r="AI117" s="5043"/>
      <c r="AJ117" s="5042"/>
      <c r="AK117" s="5044"/>
      <c r="AL117" s="375"/>
      <c r="AM117" s="960"/>
      <c r="AN117" s="1048" cm="1" t="str">
        <f t="array" ref="AN117:AN117">K117</f>
        <v>2058</v>
      </c>
      <c r="AO117" s="1048" t="s">
        <v>2125</v>
      </c>
      <c r="AP117" s="1058" cm="1" t="str">
        <f t="array" ref="AP117:AP117">AP116</f>
        <v>0</v>
      </c>
      <c r="AQ117" s="683"/>
      <c r="AR117" s="683"/>
    </row>
    <row s="5087" customFormat="1" customHeight="1" ht="14.25" hidden="1">
      <c r="A118" s="960"/>
      <c r="B118" s="418">
        <f>K118&lt;first_year+PERIOD_LENGTH</f>
        <v>0</v>
      </c>
      <c r="C118" s="960"/>
      <c r="D118" s="960"/>
      <c r="E118" s="683">
        <v>15</v>
      </c>
      <c r="F118" s="50" cm="1" t="str">
        <f t="array" ref="F118:F118">OFFSET(E118,-1,1)</f>
        <v>1</v>
      </c>
      <c r="G118" s="64" cm="1" t="str">
        <f t="array" ref="G118:G118">G117</f>
        <v>0</v>
      </c>
      <c r="H118" s="960"/>
      <c r="I118" s="960"/>
      <c r="J118" s="960"/>
      <c r="K118" s="124">
        <f>first_year+35</f>
        <v>2059</v>
      </c>
      <c r="L118" s="960"/>
      <c r="M118" s="960"/>
      <c r="N118" s="960"/>
      <c r="O118" s="960"/>
      <c r="P118" s="960"/>
      <c r="Q118" s="960"/>
      <c r="R118" s="960"/>
      <c r="S118" s="960"/>
      <c r="T118" s="439" cm="1" t="str">
        <f t="array" ref="T118:T118">T117</f>
        <v>false</v>
      </c>
      <c r="U118" s="960"/>
      <c r="V118" s="960"/>
      <c r="W118" s="960"/>
      <c r="X118" s="1482"/>
      <c r="Y118" s="1482"/>
      <c r="Z118" s="1465"/>
      <c r="AA118" s="1585"/>
      <c r="AB118" s="222" t="str">
        <f>K118&amp;" год"</f>
        <v>2059 год</v>
      </c>
      <c r="AC118" s="380"/>
      <c r="AD118" s="5043"/>
      <c r="AE118" s="5042"/>
      <c r="AF118" s="5042"/>
      <c r="AG118" s="5043"/>
      <c r="AH118" s="5042"/>
      <c r="AI118" s="5043"/>
      <c r="AJ118" s="5042"/>
      <c r="AK118" s="5044"/>
      <c r="AL118" s="375"/>
      <c r="AM118" s="960"/>
      <c r="AN118" s="1048" cm="1" t="str">
        <f t="array" ref="AN118:AN118">K118</f>
        <v>2059</v>
      </c>
      <c r="AO118" s="1048" t="s">
        <v>2125</v>
      </c>
      <c r="AP118" s="1058" cm="1" t="str">
        <f t="array" ref="AP118:AP118">AP117</f>
        <v>0</v>
      </c>
      <c r="AQ118" s="683"/>
      <c r="AR118" s="683"/>
    </row>
    <row s="5088" customFormat="1" customHeight="1" ht="14.25" hidden="1">
      <c r="A119" s="960"/>
      <c r="B119" s="418">
        <f>K119&lt;first_year+PERIOD_LENGTH</f>
        <v>0</v>
      </c>
      <c r="C119" s="960"/>
      <c r="D119" s="960"/>
      <c r="E119" s="683">
        <v>15</v>
      </c>
      <c r="F119" s="50" cm="1" t="str">
        <f t="array" ref="F119:F119">OFFSET(E119,-1,1)</f>
        <v>1</v>
      </c>
      <c r="G119" s="64" cm="1" t="str">
        <f t="array" ref="G119:G119">G118</f>
        <v>0</v>
      </c>
      <c r="H119" s="960"/>
      <c r="I119" s="960"/>
      <c r="J119" s="960"/>
      <c r="K119" s="124">
        <f>first_year+36</f>
        <v>2060</v>
      </c>
      <c r="L119" s="960"/>
      <c r="M119" s="960"/>
      <c r="N119" s="960"/>
      <c r="O119" s="960"/>
      <c r="P119" s="960"/>
      <c r="Q119" s="960"/>
      <c r="R119" s="960"/>
      <c r="S119" s="960"/>
      <c r="T119" s="439" cm="1" t="str">
        <f t="array" ref="T119:T119">T118</f>
        <v>false</v>
      </c>
      <c r="U119" s="960"/>
      <c r="V119" s="960"/>
      <c r="W119" s="960"/>
      <c r="X119" s="1482"/>
      <c r="Y119" s="1482"/>
      <c r="Z119" s="1465"/>
      <c r="AA119" s="1585"/>
      <c r="AB119" s="222" t="str">
        <f>K119&amp;" год"</f>
        <v>2060 год</v>
      </c>
      <c r="AC119" s="380"/>
      <c r="AD119" s="5043"/>
      <c r="AE119" s="5042"/>
      <c r="AF119" s="5042"/>
      <c r="AG119" s="5043"/>
      <c r="AH119" s="5042"/>
      <c r="AI119" s="5043"/>
      <c r="AJ119" s="5042"/>
      <c r="AK119" s="5044"/>
      <c r="AL119" s="375"/>
      <c r="AM119" s="960"/>
      <c r="AN119" s="1048" cm="1" t="str">
        <f t="array" ref="AN119:AN119">K119</f>
        <v>2060</v>
      </c>
      <c r="AO119" s="1048" t="s">
        <v>2125</v>
      </c>
      <c r="AP119" s="1058" cm="1" t="str">
        <f t="array" ref="AP119:AP119">AP118</f>
        <v>0</v>
      </c>
      <c r="AQ119" s="683"/>
      <c r="AR119" s="683"/>
    </row>
    <row s="5089" customFormat="1" customHeight="1" ht="14.25" hidden="1">
      <c r="A120" s="960"/>
      <c r="B120" s="418">
        <f>K120&lt;first_year+PERIOD_LENGTH</f>
        <v>0</v>
      </c>
      <c r="C120" s="960"/>
      <c r="D120" s="960"/>
      <c r="E120" s="683">
        <v>15</v>
      </c>
      <c r="F120" s="50" cm="1" t="str">
        <f t="array" ref="F120:F120">OFFSET(E120,-1,1)</f>
        <v>1</v>
      </c>
      <c r="G120" s="64" cm="1" t="str">
        <f t="array" ref="G120:G120">G119</f>
        <v>0</v>
      </c>
      <c r="H120" s="960"/>
      <c r="I120" s="960"/>
      <c r="J120" s="960"/>
      <c r="K120" s="124">
        <f>first_year+37</f>
        <v>2061</v>
      </c>
      <c r="L120" s="960"/>
      <c r="M120" s="960"/>
      <c r="N120" s="960"/>
      <c r="O120" s="960"/>
      <c r="P120" s="960"/>
      <c r="Q120" s="960"/>
      <c r="R120" s="960"/>
      <c r="S120" s="960"/>
      <c r="T120" s="439" cm="1" t="str">
        <f t="array" ref="T120:T120">T119</f>
        <v>false</v>
      </c>
      <c r="U120" s="960"/>
      <c r="V120" s="960"/>
      <c r="W120" s="960"/>
      <c r="X120" s="1482"/>
      <c r="Y120" s="1482"/>
      <c r="Z120" s="1465"/>
      <c r="AA120" s="1585"/>
      <c r="AB120" s="222" t="str">
        <f>K120&amp;" год"</f>
        <v>2061 год</v>
      </c>
      <c r="AC120" s="380"/>
      <c r="AD120" s="5043"/>
      <c r="AE120" s="5042"/>
      <c r="AF120" s="5042"/>
      <c r="AG120" s="5043"/>
      <c r="AH120" s="5042"/>
      <c r="AI120" s="5043"/>
      <c r="AJ120" s="5042"/>
      <c r="AK120" s="5044"/>
      <c r="AL120" s="375"/>
      <c r="AM120" s="960"/>
      <c r="AN120" s="1048" cm="1" t="str">
        <f t="array" ref="AN120:AN120">K120</f>
        <v>2061</v>
      </c>
      <c r="AO120" s="1048" t="s">
        <v>2125</v>
      </c>
      <c r="AP120" s="1058" cm="1" t="str">
        <f t="array" ref="AP120:AP120">AP119</f>
        <v>0</v>
      </c>
      <c r="AQ120" s="683"/>
      <c r="AR120" s="683"/>
    </row>
    <row s="5090" customFormat="1" customHeight="1" ht="14.25" hidden="1">
      <c r="A121" s="960"/>
      <c r="B121" s="418">
        <f>K121&lt;first_year+PERIOD_LENGTH</f>
        <v>0</v>
      </c>
      <c r="C121" s="960"/>
      <c r="D121" s="960"/>
      <c r="E121" s="683">
        <v>15</v>
      </c>
      <c r="F121" s="50" cm="1" t="str">
        <f t="array" ref="F121:F121">OFFSET(E121,-1,1)</f>
        <v>1</v>
      </c>
      <c r="G121" s="64" cm="1" t="str">
        <f t="array" ref="G121:G121">G120</f>
        <v>0</v>
      </c>
      <c r="H121" s="960"/>
      <c r="I121" s="960"/>
      <c r="J121" s="960"/>
      <c r="K121" s="124">
        <f>first_year+38</f>
        <v>2062</v>
      </c>
      <c r="L121" s="960"/>
      <c r="M121" s="960"/>
      <c r="N121" s="960"/>
      <c r="O121" s="960"/>
      <c r="P121" s="960"/>
      <c r="Q121" s="960"/>
      <c r="R121" s="960"/>
      <c r="S121" s="960"/>
      <c r="T121" s="439" cm="1" t="str">
        <f t="array" ref="T121:T121">T120</f>
        <v>false</v>
      </c>
      <c r="U121" s="960"/>
      <c r="V121" s="960"/>
      <c r="W121" s="960"/>
      <c r="X121" s="1482"/>
      <c r="Y121" s="1482"/>
      <c r="Z121" s="1465"/>
      <c r="AA121" s="1585"/>
      <c r="AB121" s="222" t="str">
        <f>K121&amp;" год"</f>
        <v>2062 год</v>
      </c>
      <c r="AC121" s="380"/>
      <c r="AD121" s="5043"/>
      <c r="AE121" s="5042"/>
      <c r="AF121" s="5042"/>
      <c r="AG121" s="5043"/>
      <c r="AH121" s="5042"/>
      <c r="AI121" s="5043"/>
      <c r="AJ121" s="5042"/>
      <c r="AK121" s="5044"/>
      <c r="AL121" s="375"/>
      <c r="AM121" s="960"/>
      <c r="AN121" s="1048" cm="1" t="str">
        <f t="array" ref="AN121:AN121">K121</f>
        <v>2062</v>
      </c>
      <c r="AO121" s="1048" t="s">
        <v>2125</v>
      </c>
      <c r="AP121" s="1058" cm="1" t="str">
        <f t="array" ref="AP121:AP121">AP120</f>
        <v>0</v>
      </c>
      <c r="AQ121" s="683"/>
      <c r="AR121" s="683"/>
    </row>
    <row s="5091" customFormat="1" customHeight="1" ht="14.25" hidden="1">
      <c r="A122" s="960"/>
      <c r="B122" s="418">
        <f>K122&lt;first_year+PERIOD_LENGTH</f>
        <v>0</v>
      </c>
      <c r="C122" s="960"/>
      <c r="D122" s="960"/>
      <c r="E122" s="683">
        <v>15</v>
      </c>
      <c r="F122" s="50" cm="1" t="str">
        <f t="array" ref="F122:F122">OFFSET(E122,-1,1)</f>
        <v>1</v>
      </c>
      <c r="G122" s="64" cm="1" t="str">
        <f t="array" ref="G122:G122">G121</f>
        <v>0</v>
      </c>
      <c r="H122" s="960"/>
      <c r="I122" s="960"/>
      <c r="J122" s="960"/>
      <c r="K122" s="124">
        <f>first_year+39</f>
        <v>2063</v>
      </c>
      <c r="L122" s="960"/>
      <c r="M122" s="960"/>
      <c r="N122" s="960"/>
      <c r="O122" s="960"/>
      <c r="P122" s="960"/>
      <c r="Q122" s="960"/>
      <c r="R122" s="960"/>
      <c r="S122" s="960"/>
      <c r="T122" s="439" cm="1" t="str">
        <f t="array" ref="T122:T122">T121</f>
        <v>false</v>
      </c>
      <c r="U122" s="960"/>
      <c r="V122" s="960"/>
      <c r="W122" s="960"/>
      <c r="X122" s="1482"/>
      <c r="Y122" s="1482"/>
      <c r="Z122" s="1465"/>
      <c r="AA122" s="1585"/>
      <c r="AB122" s="222" t="str">
        <f>K122&amp;" год"</f>
        <v>2063 год</v>
      </c>
      <c r="AC122" s="380"/>
      <c r="AD122" s="5043"/>
      <c r="AE122" s="5042"/>
      <c r="AF122" s="5042"/>
      <c r="AG122" s="5043"/>
      <c r="AH122" s="5042"/>
      <c r="AI122" s="5043"/>
      <c r="AJ122" s="5042"/>
      <c r="AK122" s="5044"/>
      <c r="AL122" s="375"/>
      <c r="AM122" s="960"/>
      <c r="AN122" s="1048" cm="1" t="str">
        <f t="array" ref="AN122:AN122">K122</f>
        <v>2063</v>
      </c>
      <c r="AO122" s="1048" t="s">
        <v>2125</v>
      </c>
      <c r="AP122" s="1058" cm="1" t="str">
        <f t="array" ref="AP122:AP122">AP121</f>
        <v>0</v>
      </c>
      <c r="AQ122" s="683"/>
      <c r="AR122" s="683"/>
    </row>
    <row s="5092" customFormat="1" customHeight="1" ht="14.25" hidden="1">
      <c r="A123" s="960"/>
      <c r="B123" s="418">
        <f>K123&lt;first_year+PERIOD_LENGTH</f>
        <v>0</v>
      </c>
      <c r="C123" s="960"/>
      <c r="D123" s="960"/>
      <c r="E123" s="683">
        <v>15</v>
      </c>
      <c r="F123" s="50" cm="1" t="str">
        <f t="array" ref="F123:F123">OFFSET(E123,-1,1)</f>
        <v>1</v>
      </c>
      <c r="G123" s="64" cm="1" t="str">
        <f t="array" ref="G123:G123">G122</f>
        <v>0</v>
      </c>
      <c r="H123" s="960"/>
      <c r="I123" s="960"/>
      <c r="J123" s="960"/>
      <c r="K123" s="124">
        <f>first_year+40</f>
        <v>2064</v>
      </c>
      <c r="L123" s="960"/>
      <c r="M123" s="960"/>
      <c r="N123" s="960"/>
      <c r="O123" s="960"/>
      <c r="P123" s="960"/>
      <c r="Q123" s="960"/>
      <c r="R123" s="960"/>
      <c r="S123" s="960"/>
      <c r="T123" s="439" cm="1" t="str">
        <f t="array" ref="T123:T123">T122</f>
        <v>false</v>
      </c>
      <c r="U123" s="960"/>
      <c r="V123" s="960"/>
      <c r="W123" s="960"/>
      <c r="X123" s="1482"/>
      <c r="Y123" s="1482"/>
      <c r="Z123" s="1465"/>
      <c r="AA123" s="1585"/>
      <c r="AB123" s="222" t="str">
        <f>K123&amp;" год"</f>
        <v>2064 год</v>
      </c>
      <c r="AC123" s="380"/>
      <c r="AD123" s="5043"/>
      <c r="AE123" s="5042"/>
      <c r="AF123" s="5042"/>
      <c r="AG123" s="5043"/>
      <c r="AH123" s="5042"/>
      <c r="AI123" s="5043"/>
      <c r="AJ123" s="5042"/>
      <c r="AK123" s="5044"/>
      <c r="AL123" s="375"/>
      <c r="AM123" s="960"/>
      <c r="AN123" s="1048" cm="1" t="str">
        <f t="array" ref="AN123:AN123">K123</f>
        <v>2064</v>
      </c>
      <c r="AO123" s="1048" t="s">
        <v>2125</v>
      </c>
      <c r="AP123" s="1058" cm="1" t="str">
        <f t="array" ref="AP123:AP123">AP122</f>
        <v>0</v>
      </c>
      <c r="AQ123" s="683"/>
      <c r="AR123" s="683"/>
    </row>
    <row s="5093" customFormat="1" customHeight="1" ht="14.25" hidden="1">
      <c r="A124" s="960"/>
      <c r="B124" s="418">
        <f>K124&lt;first_year+PERIOD_LENGTH</f>
        <v>0</v>
      </c>
      <c r="C124" s="960"/>
      <c r="D124" s="960"/>
      <c r="E124" s="683">
        <v>15</v>
      </c>
      <c r="F124" s="50" cm="1" t="str">
        <f t="array" ref="F124:F124">OFFSET(E124,-1,1)</f>
        <v>1</v>
      </c>
      <c r="G124" s="64" cm="1" t="str">
        <f t="array" ref="G124:G124">G123</f>
        <v>0</v>
      </c>
      <c r="H124" s="960"/>
      <c r="I124" s="960"/>
      <c r="J124" s="960"/>
      <c r="K124" s="124">
        <f>first_year+41</f>
        <v>2065</v>
      </c>
      <c r="L124" s="960"/>
      <c r="M124" s="960"/>
      <c r="N124" s="960"/>
      <c r="O124" s="960"/>
      <c r="P124" s="960"/>
      <c r="Q124" s="960"/>
      <c r="R124" s="960"/>
      <c r="S124" s="960"/>
      <c r="T124" s="439" cm="1" t="str">
        <f t="array" ref="T124:T124">T123</f>
        <v>false</v>
      </c>
      <c r="U124" s="960"/>
      <c r="V124" s="960"/>
      <c r="W124" s="960"/>
      <c r="X124" s="1482"/>
      <c r="Y124" s="1482"/>
      <c r="Z124" s="1465"/>
      <c r="AA124" s="1585"/>
      <c r="AB124" s="222" t="str">
        <f>K124&amp;" год"</f>
        <v>2065 год</v>
      </c>
      <c r="AC124" s="380"/>
      <c r="AD124" s="5043"/>
      <c r="AE124" s="5042"/>
      <c r="AF124" s="5042"/>
      <c r="AG124" s="5043"/>
      <c r="AH124" s="5042"/>
      <c r="AI124" s="5043"/>
      <c r="AJ124" s="5042"/>
      <c r="AK124" s="5044"/>
      <c r="AL124" s="375"/>
      <c r="AM124" s="960"/>
      <c r="AN124" s="1048" cm="1" t="str">
        <f t="array" ref="AN124:AN124">K124</f>
        <v>2065</v>
      </c>
      <c r="AO124" s="1048" t="s">
        <v>2125</v>
      </c>
      <c r="AP124" s="1058" cm="1" t="str">
        <f t="array" ref="AP124:AP124">AP123</f>
        <v>0</v>
      </c>
      <c r="AQ124" s="683"/>
      <c r="AR124" s="683"/>
    </row>
    <row s="5094" customFormat="1" customHeight="1" ht="14.25" hidden="1">
      <c r="A125" s="960"/>
      <c r="B125" s="418">
        <f>K125&lt;first_year+PERIOD_LENGTH</f>
        <v>0</v>
      </c>
      <c r="C125" s="960"/>
      <c r="D125" s="960"/>
      <c r="E125" s="683">
        <v>15</v>
      </c>
      <c r="F125" s="50" cm="1" t="str">
        <f t="array" ref="F125:F125">OFFSET(E125,-1,1)</f>
        <v>1</v>
      </c>
      <c r="G125" s="64" cm="1" t="str">
        <f t="array" ref="G125:G125">G124</f>
        <v>0</v>
      </c>
      <c r="H125" s="960"/>
      <c r="I125" s="960"/>
      <c r="J125" s="960"/>
      <c r="K125" s="124">
        <f>first_year+42</f>
        <v>2066</v>
      </c>
      <c r="L125" s="960"/>
      <c r="M125" s="960"/>
      <c r="N125" s="960"/>
      <c r="O125" s="960"/>
      <c r="P125" s="960"/>
      <c r="Q125" s="960"/>
      <c r="R125" s="960"/>
      <c r="S125" s="960"/>
      <c r="T125" s="439" cm="1" t="str">
        <f t="array" ref="T125:T125">T124</f>
        <v>false</v>
      </c>
      <c r="U125" s="960"/>
      <c r="V125" s="960"/>
      <c r="W125" s="960"/>
      <c r="X125" s="1482"/>
      <c r="Y125" s="1482"/>
      <c r="Z125" s="1465"/>
      <c r="AA125" s="1585"/>
      <c r="AB125" s="222" t="str">
        <f>K125&amp;" год"</f>
        <v>2066 год</v>
      </c>
      <c r="AC125" s="380"/>
      <c r="AD125" s="5043"/>
      <c r="AE125" s="5042"/>
      <c r="AF125" s="5042"/>
      <c r="AG125" s="5043"/>
      <c r="AH125" s="5042"/>
      <c r="AI125" s="5043"/>
      <c r="AJ125" s="5042"/>
      <c r="AK125" s="5044"/>
      <c r="AL125" s="375"/>
      <c r="AM125" s="960"/>
      <c r="AN125" s="1048" cm="1" t="str">
        <f t="array" ref="AN125:AN125">K125</f>
        <v>2066</v>
      </c>
      <c r="AO125" s="1048" t="s">
        <v>2125</v>
      </c>
      <c r="AP125" s="1058" cm="1" t="str">
        <f t="array" ref="AP125:AP125">AP124</f>
        <v>0</v>
      </c>
      <c r="AQ125" s="683"/>
      <c r="AR125" s="683"/>
    </row>
    <row s="5095" customFormat="1" customHeight="1" ht="14.25" hidden="1">
      <c r="A126" s="960"/>
      <c r="B126" s="418">
        <f>K126&lt;first_year+PERIOD_LENGTH</f>
        <v>0</v>
      </c>
      <c r="C126" s="960"/>
      <c r="D126" s="960"/>
      <c r="E126" s="683">
        <v>15</v>
      </c>
      <c r="F126" s="50" cm="1" t="str">
        <f t="array" ref="F126:F126">OFFSET(E126,-1,1)</f>
        <v>1</v>
      </c>
      <c r="G126" s="64" cm="1" t="str">
        <f t="array" ref="G126:G126">G125</f>
        <v>0</v>
      </c>
      <c r="H126" s="960"/>
      <c r="I126" s="960"/>
      <c r="J126" s="960"/>
      <c r="K126" s="124">
        <f>first_year+43</f>
        <v>2067</v>
      </c>
      <c r="L126" s="960"/>
      <c r="M126" s="960"/>
      <c r="N126" s="960"/>
      <c r="O126" s="960"/>
      <c r="P126" s="960"/>
      <c r="Q126" s="960"/>
      <c r="R126" s="960"/>
      <c r="S126" s="960"/>
      <c r="T126" s="439" cm="1" t="str">
        <f t="array" ref="T126:T126">T125</f>
        <v>false</v>
      </c>
      <c r="U126" s="960"/>
      <c r="V126" s="960"/>
      <c r="W126" s="960"/>
      <c r="X126" s="1482"/>
      <c r="Y126" s="1482"/>
      <c r="Z126" s="1465"/>
      <c r="AA126" s="1585"/>
      <c r="AB126" s="222" t="str">
        <f>K126&amp;" год"</f>
        <v>2067 год</v>
      </c>
      <c r="AC126" s="380"/>
      <c r="AD126" s="5043"/>
      <c r="AE126" s="5042"/>
      <c r="AF126" s="5042"/>
      <c r="AG126" s="5043"/>
      <c r="AH126" s="5042"/>
      <c r="AI126" s="5043"/>
      <c r="AJ126" s="5042"/>
      <c r="AK126" s="5044"/>
      <c r="AL126" s="375"/>
      <c r="AM126" s="960"/>
      <c r="AN126" s="1048" cm="1" t="str">
        <f t="array" ref="AN126:AN126">K126</f>
        <v>2067</v>
      </c>
      <c r="AO126" s="1048" t="s">
        <v>2125</v>
      </c>
      <c r="AP126" s="1058" cm="1" t="str">
        <f t="array" ref="AP126:AP126">AP125</f>
        <v>0</v>
      </c>
      <c r="AQ126" s="683"/>
      <c r="AR126" s="683"/>
    </row>
    <row s="5096" customFormat="1" customHeight="1" ht="14.25" hidden="1">
      <c r="A127" s="960"/>
      <c r="B127" s="418">
        <f>K127&lt;first_year+PERIOD_LENGTH</f>
        <v>0</v>
      </c>
      <c r="C127" s="960"/>
      <c r="D127" s="960"/>
      <c r="E127" s="683">
        <v>15</v>
      </c>
      <c r="F127" s="50" cm="1" t="str">
        <f t="array" ref="F127:F127">OFFSET(E127,-1,1)</f>
        <v>1</v>
      </c>
      <c r="G127" s="64" cm="1" t="str">
        <f t="array" ref="G127:G127">G126</f>
        <v>0</v>
      </c>
      <c r="H127" s="960"/>
      <c r="I127" s="960"/>
      <c r="J127" s="960"/>
      <c r="K127" s="124">
        <f>first_year+44</f>
        <v>2068</v>
      </c>
      <c r="L127" s="960"/>
      <c r="M127" s="960"/>
      <c r="N127" s="960"/>
      <c r="O127" s="960"/>
      <c r="P127" s="960"/>
      <c r="Q127" s="960"/>
      <c r="R127" s="960"/>
      <c r="S127" s="960"/>
      <c r="T127" s="439" cm="1" t="str">
        <f t="array" ref="T127:T127">T126</f>
        <v>false</v>
      </c>
      <c r="U127" s="960"/>
      <c r="V127" s="960"/>
      <c r="W127" s="960"/>
      <c r="X127" s="1482"/>
      <c r="Y127" s="1482"/>
      <c r="Z127" s="1465"/>
      <c r="AA127" s="1585"/>
      <c r="AB127" s="222" t="str">
        <f>K127&amp;" год"</f>
        <v>2068 год</v>
      </c>
      <c r="AC127" s="380"/>
      <c r="AD127" s="5043"/>
      <c r="AE127" s="5042"/>
      <c r="AF127" s="5042"/>
      <c r="AG127" s="5043"/>
      <c r="AH127" s="5042"/>
      <c r="AI127" s="5043"/>
      <c r="AJ127" s="5042"/>
      <c r="AK127" s="5044"/>
      <c r="AL127" s="375"/>
      <c r="AM127" s="960"/>
      <c r="AN127" s="1048" cm="1" t="str">
        <f t="array" ref="AN127:AN127">K127</f>
        <v>2068</v>
      </c>
      <c r="AO127" s="1048" t="s">
        <v>2125</v>
      </c>
      <c r="AP127" s="1058" cm="1" t="str">
        <f t="array" ref="AP127:AP127">AP126</f>
        <v>0</v>
      </c>
      <c r="AQ127" s="683"/>
      <c r="AR127" s="683"/>
    </row>
    <row s="5097" customFormat="1" customHeight="1" ht="14.25" hidden="1">
      <c r="A128" s="960"/>
      <c r="B128" s="418">
        <f>K128&lt;first_year+PERIOD_LENGTH</f>
        <v>0</v>
      </c>
      <c r="C128" s="960"/>
      <c r="D128" s="960"/>
      <c r="E128" s="683">
        <v>15</v>
      </c>
      <c r="F128" s="50" cm="1" t="str">
        <f t="array" ref="F128:F128">OFFSET(E128,-1,1)</f>
        <v>1</v>
      </c>
      <c r="G128" s="64" cm="1" t="str">
        <f t="array" ref="G128:G128">G127</f>
        <v>0</v>
      </c>
      <c r="H128" s="960"/>
      <c r="I128" s="960"/>
      <c r="J128" s="960"/>
      <c r="K128" s="124">
        <f>first_year+45</f>
        <v>2069</v>
      </c>
      <c r="L128" s="960"/>
      <c r="M128" s="960"/>
      <c r="N128" s="960"/>
      <c r="O128" s="960"/>
      <c r="P128" s="960"/>
      <c r="Q128" s="960"/>
      <c r="R128" s="960"/>
      <c r="S128" s="960"/>
      <c r="T128" s="439" cm="1" t="str">
        <f t="array" ref="T128:T128">T127</f>
        <v>false</v>
      </c>
      <c r="U128" s="960"/>
      <c r="V128" s="960"/>
      <c r="W128" s="960"/>
      <c r="X128" s="1482"/>
      <c r="Y128" s="1482"/>
      <c r="Z128" s="1465"/>
      <c r="AA128" s="1585"/>
      <c r="AB128" s="222" t="str">
        <f>K128&amp;" год"</f>
        <v>2069 год</v>
      </c>
      <c r="AC128" s="380"/>
      <c r="AD128" s="5043"/>
      <c r="AE128" s="5042"/>
      <c r="AF128" s="5042"/>
      <c r="AG128" s="5043"/>
      <c r="AH128" s="5042"/>
      <c r="AI128" s="5043"/>
      <c r="AJ128" s="5042"/>
      <c r="AK128" s="5044"/>
      <c r="AL128" s="375"/>
      <c r="AM128" s="960"/>
      <c r="AN128" s="1048" cm="1" t="str">
        <f t="array" ref="AN128:AN128">K128</f>
        <v>2069</v>
      </c>
      <c r="AO128" s="1048" t="s">
        <v>2125</v>
      </c>
      <c r="AP128" s="1058" cm="1" t="str">
        <f t="array" ref="AP128:AP128">AP127</f>
        <v>0</v>
      </c>
      <c r="AQ128" s="683"/>
      <c r="AR128" s="683"/>
    </row>
    <row s="5098" customFormat="1" customHeight="1" ht="14.25" hidden="1">
      <c r="A129" s="960"/>
      <c r="B129" s="418">
        <f>K129&lt;first_year+PERIOD_LENGTH</f>
        <v>0</v>
      </c>
      <c r="C129" s="960"/>
      <c r="D129" s="960"/>
      <c r="E129" s="683">
        <v>15</v>
      </c>
      <c r="F129" s="50" cm="1" t="str">
        <f t="array" ref="F129:F129">OFFSET(E129,-1,1)</f>
        <v>1</v>
      </c>
      <c r="G129" s="64" cm="1" t="str">
        <f t="array" ref="G129:G129">G128</f>
        <v>0</v>
      </c>
      <c r="H129" s="960"/>
      <c r="I129" s="960"/>
      <c r="J129" s="960"/>
      <c r="K129" s="124">
        <f>first_year+46</f>
        <v>2070</v>
      </c>
      <c r="L129" s="960"/>
      <c r="M129" s="960"/>
      <c r="N129" s="960"/>
      <c r="O129" s="960"/>
      <c r="P129" s="960"/>
      <c r="Q129" s="960"/>
      <c r="R129" s="960"/>
      <c r="S129" s="960"/>
      <c r="T129" s="439" cm="1" t="str">
        <f t="array" ref="T129:T129">T128</f>
        <v>false</v>
      </c>
      <c r="U129" s="960"/>
      <c r="V129" s="960"/>
      <c r="W129" s="960"/>
      <c r="X129" s="1482"/>
      <c r="Y129" s="1482"/>
      <c r="Z129" s="1465"/>
      <c r="AA129" s="1585"/>
      <c r="AB129" s="222" t="str">
        <f>K129&amp;" год"</f>
        <v>2070 год</v>
      </c>
      <c r="AC129" s="380"/>
      <c r="AD129" s="5043"/>
      <c r="AE129" s="5042"/>
      <c r="AF129" s="5042"/>
      <c r="AG129" s="5043"/>
      <c r="AH129" s="5042"/>
      <c r="AI129" s="5043"/>
      <c r="AJ129" s="5042"/>
      <c r="AK129" s="5044"/>
      <c r="AL129" s="375"/>
      <c r="AM129" s="960"/>
      <c r="AN129" s="1048" cm="1" t="str">
        <f t="array" ref="AN129:AN129">K129</f>
        <v>2070</v>
      </c>
      <c r="AO129" s="1048" t="s">
        <v>2125</v>
      </c>
      <c r="AP129" s="1058" cm="1" t="str">
        <f t="array" ref="AP129:AP129">AP128</f>
        <v>0</v>
      </c>
      <c r="AQ129" s="683"/>
      <c r="AR129" s="683"/>
    </row>
    <row s="5099" customFormat="1" customHeight="1" ht="14.25" hidden="1">
      <c r="A130" s="960"/>
      <c r="B130" s="418">
        <f>K130&lt;first_year+PERIOD_LENGTH</f>
        <v>0</v>
      </c>
      <c r="C130" s="960"/>
      <c r="D130" s="960"/>
      <c r="E130" s="683">
        <v>15</v>
      </c>
      <c r="F130" s="50" cm="1" t="str">
        <f t="array" ref="F130:F130">OFFSET(E130,-1,1)</f>
        <v>1</v>
      </c>
      <c r="G130" s="64" cm="1" t="str">
        <f t="array" ref="G130:G130">G129</f>
        <v>0</v>
      </c>
      <c r="H130" s="960"/>
      <c r="I130" s="960"/>
      <c r="J130" s="960"/>
      <c r="K130" s="124">
        <f>first_year+47</f>
        <v>2071</v>
      </c>
      <c r="L130" s="960"/>
      <c r="M130" s="960"/>
      <c r="N130" s="960"/>
      <c r="O130" s="960"/>
      <c r="P130" s="960"/>
      <c r="Q130" s="960"/>
      <c r="R130" s="960"/>
      <c r="S130" s="960"/>
      <c r="T130" s="439" cm="1" t="str">
        <f t="array" ref="T130:T130">T129</f>
        <v>false</v>
      </c>
      <c r="U130" s="960"/>
      <c r="V130" s="960"/>
      <c r="W130" s="960"/>
      <c r="X130" s="1482"/>
      <c r="Y130" s="1482"/>
      <c r="Z130" s="1465"/>
      <c r="AA130" s="1585"/>
      <c r="AB130" s="222" t="str">
        <f>K130&amp;" год"</f>
        <v>2071 год</v>
      </c>
      <c r="AC130" s="380"/>
      <c r="AD130" s="5043"/>
      <c r="AE130" s="5042"/>
      <c r="AF130" s="5042"/>
      <c r="AG130" s="5043"/>
      <c r="AH130" s="5042"/>
      <c r="AI130" s="5043"/>
      <c r="AJ130" s="5042"/>
      <c r="AK130" s="5044"/>
      <c r="AL130" s="375"/>
      <c r="AM130" s="960"/>
      <c r="AN130" s="1048" cm="1" t="str">
        <f t="array" ref="AN130:AN130">K130</f>
        <v>2071</v>
      </c>
      <c r="AO130" s="1048" t="s">
        <v>2125</v>
      </c>
      <c r="AP130" s="1058" cm="1" t="str">
        <f t="array" ref="AP130:AP130">AP129</f>
        <v>0</v>
      </c>
      <c r="AQ130" s="683"/>
      <c r="AR130" s="683"/>
    </row>
    <row s="5100" customFormat="1" customHeight="1" ht="14.25" hidden="1">
      <c r="A131" s="960"/>
      <c r="B131" s="418">
        <f>K131&lt;first_year+PERIOD_LENGTH</f>
        <v>0</v>
      </c>
      <c r="C131" s="960"/>
      <c r="D131" s="960"/>
      <c r="E131" s="683">
        <v>15</v>
      </c>
      <c r="F131" s="50" cm="1" t="str">
        <f t="array" ref="F131:F131">OFFSET(E131,-1,1)</f>
        <v>1</v>
      </c>
      <c r="G131" s="64" cm="1" t="str">
        <f t="array" ref="G131:G131">G130</f>
        <v>0</v>
      </c>
      <c r="H131" s="960"/>
      <c r="I131" s="960"/>
      <c r="J131" s="960"/>
      <c r="K131" s="124">
        <f>first_year+48</f>
        <v>2072</v>
      </c>
      <c r="L131" s="960"/>
      <c r="M131" s="960"/>
      <c r="N131" s="960"/>
      <c r="O131" s="960"/>
      <c r="P131" s="960"/>
      <c r="Q131" s="960"/>
      <c r="R131" s="960"/>
      <c r="S131" s="960"/>
      <c r="T131" s="439" cm="1" t="str">
        <f t="array" ref="T131:T131">T130</f>
        <v>false</v>
      </c>
      <c r="U131" s="960"/>
      <c r="V131" s="960"/>
      <c r="W131" s="960"/>
      <c r="X131" s="1482"/>
      <c r="Y131" s="1482"/>
      <c r="Z131" s="1465"/>
      <c r="AA131" s="1585"/>
      <c r="AB131" s="222" t="str">
        <f>K131&amp;" год"</f>
        <v>2072 год</v>
      </c>
      <c r="AC131" s="380"/>
      <c r="AD131" s="5043"/>
      <c r="AE131" s="5042"/>
      <c r="AF131" s="5042"/>
      <c r="AG131" s="5043"/>
      <c r="AH131" s="5042"/>
      <c r="AI131" s="5043"/>
      <c r="AJ131" s="5042"/>
      <c r="AK131" s="5044"/>
      <c r="AL131" s="375"/>
      <c r="AM131" s="960"/>
      <c r="AN131" s="1048" cm="1" t="str">
        <f t="array" ref="AN131:AN131">K131</f>
        <v>2072</v>
      </c>
      <c r="AO131" s="1048" t="s">
        <v>2125</v>
      </c>
      <c r="AP131" s="1058" cm="1" t="str">
        <f t="array" ref="AP131:AP131">AP130</f>
        <v>0</v>
      </c>
      <c r="AQ131" s="683"/>
      <c r="AR131" s="683"/>
    </row>
    <row s="5101" customFormat="1" customHeight="1" ht="14.25" hidden="1">
      <c r="A132" s="960"/>
      <c r="B132" s="418">
        <f>K132&lt;first_year+PERIOD_LENGTH</f>
        <v>0</v>
      </c>
      <c r="C132" s="960"/>
      <c r="D132" s="960"/>
      <c r="E132" s="683">
        <v>15</v>
      </c>
      <c r="F132" s="50" cm="1" t="str">
        <f t="array" ref="F132:F132">OFFSET(E132,-1,1)</f>
        <v>1</v>
      </c>
      <c r="G132" s="64" cm="1" t="str">
        <f t="array" ref="G132:G132">G131</f>
        <v>0</v>
      </c>
      <c r="H132" s="960"/>
      <c r="I132" s="960"/>
      <c r="J132" s="960"/>
      <c r="K132" s="124">
        <f>first_year+49</f>
        <v>2073</v>
      </c>
      <c r="L132" s="960"/>
      <c r="M132" s="960"/>
      <c r="N132" s="960"/>
      <c r="O132" s="960"/>
      <c r="P132" s="960"/>
      <c r="Q132" s="960"/>
      <c r="R132" s="960"/>
      <c r="S132" s="960"/>
      <c r="T132" s="439" cm="1" t="str">
        <f t="array" ref="T132:T132">T131</f>
        <v>false</v>
      </c>
      <c r="U132" s="960"/>
      <c r="V132" s="960"/>
      <c r="W132" s="960"/>
      <c r="X132" s="1482"/>
      <c r="Y132" s="1482"/>
      <c r="Z132" s="1465"/>
      <c r="AA132" s="1585"/>
      <c r="AB132" s="222" t="str">
        <f>K132&amp;" год"</f>
        <v>2073 год</v>
      </c>
      <c r="AC132" s="380"/>
      <c r="AD132" s="5043"/>
      <c r="AE132" s="5042"/>
      <c r="AF132" s="5042"/>
      <c r="AG132" s="5043"/>
      <c r="AH132" s="5042"/>
      <c r="AI132" s="5043"/>
      <c r="AJ132" s="5042"/>
      <c r="AK132" s="5044"/>
      <c r="AL132" s="375"/>
      <c r="AM132" s="960"/>
      <c r="AN132" s="1048" cm="1" t="str">
        <f t="array" ref="AN132:AN132">K132</f>
        <v>2073</v>
      </c>
      <c r="AO132" s="1048" t="s">
        <v>2125</v>
      </c>
      <c r="AP132" s="1058" cm="1" t="str">
        <f t="array" ref="AP132:AP132">AP131</f>
        <v>0</v>
      </c>
      <c r="AQ132" s="683"/>
      <c r="AR132" s="683"/>
    </row>
    <row s="1621" customFormat="1" customHeight="1" ht="14.25">
      <c r="A133" s="124"/>
      <c r="B133" s="405"/>
      <c r="C133" s="124"/>
      <c r="D133" s="124"/>
      <c r="E133" s="683">
        <v>15</v>
      </c>
      <c r="F133" s="1202" cm="1" t="str">
        <f t="array" ref="F133:F133">OFFSET(E133,-1,1)</f>
        <v>1</v>
      </c>
      <c r="G133" s="124" t="str">
        <f>"!== 'не определено'"</f>
        <v>!== 'не определено'</v>
      </c>
      <c r="H133" s="124"/>
      <c r="I133" s="124"/>
      <c r="J133" s="124"/>
      <c r="K133" s="124"/>
      <c r="L133" s="124"/>
      <c r="M133" s="124"/>
      <c r="N133" s="124"/>
      <c r="O133" s="124"/>
      <c r="P133" s="124"/>
      <c r="Q133" s="124"/>
      <c r="R133" s="124"/>
      <c r="S133" s="124"/>
      <c r="T133" s="439">
        <f>F133&gt;0</f>
        <v>1</v>
      </c>
      <c r="U133" s="124"/>
      <c r="V133" s="124"/>
      <c r="W133" s="810" t="s">
        <v>2126</v>
      </c>
      <c r="X133" s="1482"/>
      <c r="Y133" s="124"/>
      <c r="Z133" s="1465"/>
      <c r="AA133" s="124"/>
      <c r="AB133" s="920" t="s">
        <v>177</v>
      </c>
      <c r="AC133" s="271"/>
      <c r="AD133" s="271"/>
      <c r="AE133" s="271"/>
      <c r="AF133" s="271"/>
      <c r="AG133" s="271"/>
      <c r="AH133" s="271"/>
      <c r="AI133" s="271"/>
      <c r="AJ133" s="271"/>
      <c r="AK133" s="271"/>
      <c r="AL133" s="375"/>
      <c r="AM133" s="1621"/>
      <c r="AN133" s="987"/>
      <c r="AO133" s="987"/>
      <c r="AP133" s="987"/>
      <c r="AQ133" s="990" t="s">
        <v>2125</v>
      </c>
      <c r="AR133" s="603"/>
    </row>
    <row s="5112" customFormat="1" customHeight="1" ht="14.25">
      <c r="A134" s="1153"/>
      <c r="B134" s="401"/>
      <c r="C134" s="1153"/>
      <c r="D134" s="1153"/>
      <c r="E134" s="597">
        <v>15</v>
      </c>
      <c r="F134" s="64" cm="1" t="str">
        <f t="array" ref="F134:F134">X134</f>
        <v>2</v>
      </c>
      <c r="G134" s="1153"/>
      <c r="H134" s="1153"/>
      <c r="I134" s="1153"/>
      <c r="J134" s="1153"/>
      <c r="K134" s="1153"/>
      <c r="L134" s="1153"/>
      <c r="M134" s="1153"/>
      <c r="N134" s="1153"/>
      <c r="O134" s="1153"/>
      <c r="P134" s="1153"/>
      <c r="Q134" s="1153"/>
      <c r="R134" s="1153"/>
      <c r="S134" s="1153"/>
      <c r="T134" s="439">
        <f>X134&gt;0</f>
        <v>1</v>
      </c>
      <c r="U134" s="1153"/>
      <c r="V134" s="88" cm="1" t="str">
        <f t="array" ref="V134:V134">ДПР!$AB$132</f>
        <v>Тариф 2 (Водоотведение) - тариф на водоотведение (Оказание услуг на территории: Прокопьевский муниципальный округ (ОКТМО: 32522000) - п Калачево)</v>
      </c>
      <c r="W134" s="1153"/>
      <c r="X134" s="1482" t="s">
        <v>283</v>
      </c>
      <c r="Y134" s="1153"/>
      <c r="Z134" s="1465"/>
      <c r="AA134" s="1153"/>
      <c r="AB134" s="348" cm="1" t="str">
        <f t="array" ref="AB134:AB134">ДПР!$AB$132</f>
        <v>Тариф 2 (Водоотведение) - тариф на водоотведение (Оказание услуг на территории: Прокопьевский муниципальный округ (ОКТМО: 32522000) - п Калачево)</v>
      </c>
      <c r="AC134" s="210"/>
      <c r="AD134" s="210"/>
      <c r="AE134" s="210"/>
      <c r="AF134" s="210"/>
      <c r="AG134" s="210"/>
      <c r="AH134" s="210"/>
      <c r="AI134" s="210"/>
      <c r="AJ134" s="210"/>
      <c r="AK134" s="210"/>
      <c r="AL134" s="374"/>
      <c r="AM134" s="1153"/>
      <c r="AN134" s="980"/>
      <c r="AO134" s="980"/>
      <c r="AP134" s="980"/>
      <c r="AQ134" s="597"/>
      <c r="AR134" s="597"/>
    </row>
    <row s="5113" customFormat="1" customHeight="1" ht="14.25" hidden="1">
      <c r="A135" s="1153"/>
      <c r="B135" s="401"/>
      <c r="C135" s="1153"/>
      <c r="D135" s="1153"/>
      <c r="E135" s="597">
        <v>15</v>
      </c>
      <c r="F135" s="50" cm="1" t="str">
        <f t="array" ref="F135:F135">OFFSET(E135,-1,1)</f>
        <v>2</v>
      </c>
      <c r="G135" s="88" cm="1" t="str">
        <f t="array" ref="G135:G135">AB135</f>
        <v>0</v>
      </c>
      <c r="H135" s="1153"/>
      <c r="I135" s="1153"/>
      <c r="J135" s="1153"/>
      <c r="K135" s="1153"/>
      <c r="L135" s="1153"/>
      <c r="M135" s="1153"/>
      <c r="N135" s="1153"/>
      <c r="O135" s="1153"/>
      <c r="P135" s="1153"/>
      <c r="Q135" s="1153"/>
      <c r="R135" s="1153"/>
      <c r="S135" s="1153"/>
      <c r="T135" s="439">
        <f>AND(F135&gt;0,Y135&gt;0)</f>
        <v>0</v>
      </c>
      <c r="U135" s="1153"/>
      <c r="V135" s="1153"/>
      <c r="W135" s="88" t="s">
        <v>173</v>
      </c>
      <c r="X135" s="1482"/>
      <c r="Y135" s="1482">
        <v>0</v>
      </c>
      <c r="Z135" s="1465"/>
      <c r="AA135" s="1585" t="s">
        <v>174</v>
      </c>
      <c r="AB135" s="5038"/>
      <c r="AC135" s="5038"/>
      <c r="AD135" s="5038"/>
      <c r="AE135" s="5038"/>
      <c r="AF135" s="5038"/>
      <c r="AG135" s="5038"/>
      <c r="AH135" s="5038"/>
      <c r="AI135" s="5038"/>
      <c r="AJ135" s="5038"/>
      <c r="AK135" s="5039"/>
      <c r="AL135" s="374"/>
      <c r="AM135" s="1153"/>
      <c r="AN135" s="980"/>
      <c r="AO135" s="1048" t="s">
        <v>2125</v>
      </c>
      <c r="AP135" s="1063" cm="1" t="str">
        <f t="array" ref="AP135:AP135">AB135</f>
        <v>0</v>
      </c>
      <c r="AQ135" s="597"/>
      <c r="AR135" s="597" t="b">
        <v>1</v>
      </c>
    </row>
    <row s="5114" customFormat="1" customHeight="1" ht="14.25" hidden="1">
      <c r="A136" s="960"/>
      <c r="B136" s="418">
        <f>K136&lt;first_year+PERIOD_LENGTH</f>
        <v>1</v>
      </c>
      <c r="C136" s="960"/>
      <c r="D136" s="960"/>
      <c r="E136" s="683">
        <v>15</v>
      </c>
      <c r="F136" s="50" cm="1" t="str">
        <f t="array" ref="F136:F136">OFFSET(E136,-1,1)</f>
        <v>2</v>
      </c>
      <c r="G136" s="64" cm="1" t="str">
        <f t="array" ref="G136:G136">G135</f>
        <v>0</v>
      </c>
      <c r="H136" s="960"/>
      <c r="I136" s="960"/>
      <c r="J136" s="960"/>
      <c r="K136" s="124" cm="1" t="str">
        <f t="array" ref="K136:K136">first_year</f>
        <v>2024</v>
      </c>
      <c r="L136" s="960"/>
      <c r="M136" s="960"/>
      <c r="N136" s="960"/>
      <c r="O136" s="960"/>
      <c r="P136" s="960"/>
      <c r="Q136" s="960"/>
      <c r="R136" s="960"/>
      <c r="S136" s="960"/>
      <c r="T136" s="439" cm="1" t="str">
        <f t="array" ref="T136:T136">T135</f>
        <v>false</v>
      </c>
      <c r="U136" s="960"/>
      <c r="V136" s="960"/>
      <c r="W136" s="960"/>
      <c r="X136" s="1482"/>
      <c r="Y136" s="1482"/>
      <c r="Z136" s="1465"/>
      <c r="AA136" s="1585"/>
      <c r="AB136" s="269" t="str">
        <f>K136&amp;" год"</f>
        <v>2024 год</v>
      </c>
      <c r="AC136" s="5042"/>
      <c r="AD136" s="5043"/>
      <c r="AE136" s="5042"/>
      <c r="AF136" s="5042"/>
      <c r="AG136" s="5043"/>
      <c r="AH136" s="5042"/>
      <c r="AI136" s="5043"/>
      <c r="AJ136" s="5042"/>
      <c r="AK136" s="5044"/>
      <c r="AL136" s="375"/>
      <c r="AM136" s="960"/>
      <c r="AN136" s="1048" cm="1" t="str">
        <f t="array" ref="AN136:AN136">K136</f>
        <v>2024</v>
      </c>
      <c r="AO136" s="1048" t="s">
        <v>2125</v>
      </c>
      <c r="AP136" s="1058" cm="1" t="str">
        <f t="array" ref="AP136:AP136">AP135</f>
        <v>0</v>
      </c>
      <c r="AQ136" s="683"/>
      <c r="AR136" s="683"/>
    </row>
    <row s="5115" customFormat="1" customHeight="1" ht="14.25" hidden="1">
      <c r="A137" s="960"/>
      <c r="B137" s="418">
        <f>K137&lt;first_year+PERIOD_LENGTH</f>
        <v>1</v>
      </c>
      <c r="C137" s="960"/>
      <c r="D137" s="960"/>
      <c r="E137" s="683">
        <v>15</v>
      </c>
      <c r="F137" s="50" cm="1" t="str">
        <f t="array" ref="F137:F137">OFFSET(E137,-1,1)</f>
        <v>2</v>
      </c>
      <c r="G137" s="64" cm="1" t="str">
        <f t="array" ref="G137:G137">G136</f>
        <v>0</v>
      </c>
      <c r="H137" s="960"/>
      <c r="I137" s="960"/>
      <c r="J137" s="960"/>
      <c r="K137" s="124">
        <f>first_year+1</f>
        <v>2025</v>
      </c>
      <c r="L137" s="960"/>
      <c r="M137" s="960"/>
      <c r="N137" s="960"/>
      <c r="O137" s="960"/>
      <c r="P137" s="960"/>
      <c r="Q137" s="960"/>
      <c r="R137" s="960"/>
      <c r="S137" s="960"/>
      <c r="T137" s="439" cm="1" t="str">
        <f t="array" ref="T137:T137">T136</f>
        <v>false</v>
      </c>
      <c r="U137" s="960"/>
      <c r="V137" s="960"/>
      <c r="W137" s="960"/>
      <c r="X137" s="1482"/>
      <c r="Y137" s="1482"/>
      <c r="Z137" s="1465"/>
      <c r="AA137" s="1585"/>
      <c r="AB137" s="222" t="str">
        <f>K137&amp;" год"</f>
        <v>2025 год</v>
      </c>
      <c r="AC137" s="380"/>
      <c r="AD137" s="5043"/>
      <c r="AE137" s="5042"/>
      <c r="AF137" s="5042"/>
      <c r="AG137" s="5043"/>
      <c r="AH137" s="5042"/>
      <c r="AI137" s="5043"/>
      <c r="AJ137" s="5042"/>
      <c r="AK137" s="5044"/>
      <c r="AL137" s="375"/>
      <c r="AM137" s="960"/>
      <c r="AN137" s="1048" cm="1" t="str">
        <f t="array" ref="AN137:AN137">K137</f>
        <v>2025</v>
      </c>
      <c r="AO137" s="1048" t="s">
        <v>2125</v>
      </c>
      <c r="AP137" s="1058" cm="1" t="str">
        <f t="array" ref="AP137:AP137">AP136</f>
        <v>0</v>
      </c>
      <c r="AQ137" s="683"/>
      <c r="AR137" s="683"/>
    </row>
    <row s="5116" customFormat="1" customHeight="1" ht="14.25" hidden="1">
      <c r="A138" s="960"/>
      <c r="B138" s="418">
        <f>K138&lt;first_year+PERIOD_LENGTH</f>
        <v>1</v>
      </c>
      <c r="C138" s="960"/>
      <c r="D138" s="960"/>
      <c r="E138" s="683">
        <v>15</v>
      </c>
      <c r="F138" s="50" cm="1" t="str">
        <f t="array" ref="F138:F138">OFFSET(E138,-1,1)</f>
        <v>2</v>
      </c>
      <c r="G138" s="64" cm="1" t="str">
        <f t="array" ref="G138:G138">G137</f>
        <v>0</v>
      </c>
      <c r="H138" s="960"/>
      <c r="I138" s="960"/>
      <c r="J138" s="960"/>
      <c r="K138" s="124">
        <f>first_year+2</f>
        <v>2026</v>
      </c>
      <c r="L138" s="960"/>
      <c r="M138" s="960"/>
      <c r="N138" s="960"/>
      <c r="O138" s="960"/>
      <c r="P138" s="960"/>
      <c r="Q138" s="960"/>
      <c r="R138" s="960"/>
      <c r="S138" s="960"/>
      <c r="T138" s="439" cm="1" t="str">
        <f t="array" ref="T138:T138">T137</f>
        <v>false</v>
      </c>
      <c r="U138" s="960"/>
      <c r="V138" s="960"/>
      <c r="W138" s="960"/>
      <c r="X138" s="1482"/>
      <c r="Y138" s="1482"/>
      <c r="Z138" s="1465"/>
      <c r="AA138" s="1585"/>
      <c r="AB138" s="222" t="str">
        <f>K138&amp;" год"</f>
        <v>2026 год</v>
      </c>
      <c r="AC138" s="380"/>
      <c r="AD138" s="5043"/>
      <c r="AE138" s="5042"/>
      <c r="AF138" s="5042"/>
      <c r="AG138" s="5043"/>
      <c r="AH138" s="5042"/>
      <c r="AI138" s="5043"/>
      <c r="AJ138" s="5042"/>
      <c r="AK138" s="5044"/>
      <c r="AL138" s="375"/>
      <c r="AM138" s="960"/>
      <c r="AN138" s="1048" cm="1" t="str">
        <f t="array" ref="AN138:AN138">K138</f>
        <v>2026</v>
      </c>
      <c r="AO138" s="1048" t="s">
        <v>2125</v>
      </c>
      <c r="AP138" s="1058" cm="1" t="str">
        <f t="array" ref="AP138:AP138">AP137</f>
        <v>0</v>
      </c>
      <c r="AQ138" s="683"/>
      <c r="AR138" s="683"/>
    </row>
    <row s="5117" customFormat="1" customHeight="1" ht="14.25" hidden="1">
      <c r="A139" s="960"/>
      <c r="B139" s="418">
        <f>K139&lt;first_year+PERIOD_LENGTH</f>
        <v>1</v>
      </c>
      <c r="C139" s="960"/>
      <c r="D139" s="960"/>
      <c r="E139" s="683">
        <v>15</v>
      </c>
      <c r="F139" s="50" cm="1" t="str">
        <f t="array" ref="F139:F139">OFFSET(E139,-1,1)</f>
        <v>2</v>
      </c>
      <c r="G139" s="64" cm="1" t="str">
        <f t="array" ref="G139:G139">G138</f>
        <v>0</v>
      </c>
      <c r="H139" s="960"/>
      <c r="I139" s="960"/>
      <c r="J139" s="960"/>
      <c r="K139" s="124">
        <f>first_year+3</f>
        <v>2027</v>
      </c>
      <c r="L139" s="960"/>
      <c r="M139" s="960"/>
      <c r="N139" s="960"/>
      <c r="O139" s="960"/>
      <c r="P139" s="960"/>
      <c r="Q139" s="960"/>
      <c r="R139" s="960"/>
      <c r="S139" s="960"/>
      <c r="T139" s="439" cm="1" t="str">
        <f t="array" ref="T139:T139">T138</f>
        <v>false</v>
      </c>
      <c r="U139" s="960"/>
      <c r="V139" s="960"/>
      <c r="W139" s="960"/>
      <c r="X139" s="1482"/>
      <c r="Y139" s="1482"/>
      <c r="Z139" s="1465"/>
      <c r="AA139" s="1585"/>
      <c r="AB139" s="222" t="str">
        <f>K139&amp;" год"</f>
        <v>2027 год</v>
      </c>
      <c r="AC139" s="380"/>
      <c r="AD139" s="5043"/>
      <c r="AE139" s="5042"/>
      <c r="AF139" s="5042"/>
      <c r="AG139" s="5043"/>
      <c r="AH139" s="5042"/>
      <c r="AI139" s="5043"/>
      <c r="AJ139" s="5042"/>
      <c r="AK139" s="5044"/>
      <c r="AL139" s="375"/>
      <c r="AM139" s="960"/>
      <c r="AN139" s="1048" cm="1" t="str">
        <f t="array" ref="AN139:AN139">K139</f>
        <v>2027</v>
      </c>
      <c r="AO139" s="1048" t="s">
        <v>2125</v>
      </c>
      <c r="AP139" s="1058" cm="1" t="str">
        <f t="array" ref="AP139:AP139">AP138</f>
        <v>0</v>
      </c>
      <c r="AQ139" s="683"/>
      <c r="AR139" s="683"/>
    </row>
    <row s="5118" customFormat="1" customHeight="1" ht="14.25" hidden="1">
      <c r="A140" s="960"/>
      <c r="B140" s="418">
        <f>K140&lt;first_year+PERIOD_LENGTH</f>
        <v>1</v>
      </c>
      <c r="C140" s="960"/>
      <c r="D140" s="960"/>
      <c r="E140" s="683">
        <v>15</v>
      </c>
      <c r="F140" s="50" cm="1" t="str">
        <f t="array" ref="F140:F140">OFFSET(E140,-1,1)</f>
        <v>2</v>
      </c>
      <c r="G140" s="64" cm="1" t="str">
        <f t="array" ref="G140:G140">G139</f>
        <v>0</v>
      </c>
      <c r="H140" s="960"/>
      <c r="I140" s="960"/>
      <c r="J140" s="960"/>
      <c r="K140" s="124">
        <f>first_year+4</f>
        <v>2028</v>
      </c>
      <c r="L140" s="960"/>
      <c r="M140" s="960"/>
      <c r="N140" s="960"/>
      <c r="O140" s="960"/>
      <c r="P140" s="960"/>
      <c r="Q140" s="960"/>
      <c r="R140" s="960"/>
      <c r="S140" s="960"/>
      <c r="T140" s="439" cm="1" t="str">
        <f t="array" ref="T140:T140">T139</f>
        <v>false</v>
      </c>
      <c r="U140" s="960"/>
      <c r="V140" s="960"/>
      <c r="W140" s="960"/>
      <c r="X140" s="1482"/>
      <c r="Y140" s="1482"/>
      <c r="Z140" s="1465"/>
      <c r="AA140" s="1585"/>
      <c r="AB140" s="222" t="str">
        <f>K140&amp;" год"</f>
        <v>2028 год</v>
      </c>
      <c r="AC140" s="380"/>
      <c r="AD140" s="5043"/>
      <c r="AE140" s="5042"/>
      <c r="AF140" s="5042"/>
      <c r="AG140" s="5043"/>
      <c r="AH140" s="5042"/>
      <c r="AI140" s="5043"/>
      <c r="AJ140" s="5042"/>
      <c r="AK140" s="5044"/>
      <c r="AL140" s="375"/>
      <c r="AM140" s="960"/>
      <c r="AN140" s="1048" cm="1" t="str">
        <f t="array" ref="AN140:AN140">K140</f>
        <v>2028</v>
      </c>
      <c r="AO140" s="1048" t="s">
        <v>2125</v>
      </c>
      <c r="AP140" s="1058" cm="1" t="str">
        <f t="array" ref="AP140:AP140">AP139</f>
        <v>0</v>
      </c>
      <c r="AQ140" s="683"/>
      <c r="AR140" s="683"/>
    </row>
    <row s="5119" customFormat="1" customHeight="1" ht="14.25" hidden="1">
      <c r="A141" s="960"/>
      <c r="B141" s="418">
        <f>K141&lt;first_year+PERIOD_LENGTH</f>
        <v>0</v>
      </c>
      <c r="C141" s="960"/>
      <c r="D141" s="960"/>
      <c r="E141" s="683">
        <v>15</v>
      </c>
      <c r="F141" s="50" cm="1" t="str">
        <f t="array" ref="F141:F141">OFFSET(E141,-1,1)</f>
        <v>2</v>
      </c>
      <c r="G141" s="64" cm="1" t="str">
        <f t="array" ref="G141:G141">G140</f>
        <v>0</v>
      </c>
      <c r="H141" s="960"/>
      <c r="I141" s="960"/>
      <c r="J141" s="960"/>
      <c r="K141" s="124">
        <f>first_year+5</f>
        <v>2029</v>
      </c>
      <c r="L141" s="960"/>
      <c r="M141" s="960"/>
      <c r="N141" s="960"/>
      <c r="O141" s="960"/>
      <c r="P141" s="960"/>
      <c r="Q141" s="960"/>
      <c r="R141" s="960"/>
      <c r="S141" s="960"/>
      <c r="T141" s="439" cm="1" t="str">
        <f t="array" ref="T141:T141">T140</f>
        <v>false</v>
      </c>
      <c r="U141" s="960"/>
      <c r="V141" s="960"/>
      <c r="W141" s="960"/>
      <c r="X141" s="1482"/>
      <c r="Y141" s="1482"/>
      <c r="Z141" s="1465"/>
      <c r="AA141" s="1585"/>
      <c r="AB141" s="222" t="str">
        <f>K141&amp;" год"</f>
        <v>2029 год</v>
      </c>
      <c r="AC141" s="380"/>
      <c r="AD141" s="5043"/>
      <c r="AE141" s="5042"/>
      <c r="AF141" s="5042"/>
      <c r="AG141" s="5043"/>
      <c r="AH141" s="5042"/>
      <c r="AI141" s="5043"/>
      <c r="AJ141" s="5042"/>
      <c r="AK141" s="5044"/>
      <c r="AL141" s="375"/>
      <c r="AM141" s="960"/>
      <c r="AN141" s="1048" cm="1" t="str">
        <f t="array" ref="AN141:AN141">K141</f>
        <v>2029</v>
      </c>
      <c r="AO141" s="1048" t="s">
        <v>2125</v>
      </c>
      <c r="AP141" s="1058" cm="1" t="str">
        <f t="array" ref="AP141:AP141">AP140</f>
        <v>0</v>
      </c>
      <c r="AQ141" s="683"/>
      <c r="AR141" s="683"/>
    </row>
    <row s="5120" customFormat="1" customHeight="1" ht="14.25" hidden="1">
      <c r="A142" s="960"/>
      <c r="B142" s="418">
        <f>K142&lt;first_year+PERIOD_LENGTH</f>
        <v>0</v>
      </c>
      <c r="C142" s="960"/>
      <c r="D142" s="960"/>
      <c r="E142" s="683">
        <v>15</v>
      </c>
      <c r="F142" s="50" cm="1" t="str">
        <f t="array" ref="F142:F142">OFFSET(E142,-1,1)</f>
        <v>2</v>
      </c>
      <c r="G142" s="64" cm="1" t="str">
        <f t="array" ref="G142:G142">G141</f>
        <v>0</v>
      </c>
      <c r="H142" s="960"/>
      <c r="I142" s="960"/>
      <c r="J142" s="960"/>
      <c r="K142" s="124">
        <f>first_year+6</f>
        <v>2030</v>
      </c>
      <c r="L142" s="960"/>
      <c r="M142" s="960"/>
      <c r="N142" s="960"/>
      <c r="O142" s="960"/>
      <c r="P142" s="960"/>
      <c r="Q142" s="960"/>
      <c r="R142" s="960"/>
      <c r="S142" s="960"/>
      <c r="T142" s="439" cm="1" t="str">
        <f t="array" ref="T142:T142">T141</f>
        <v>false</v>
      </c>
      <c r="U142" s="960"/>
      <c r="V142" s="960"/>
      <c r="W142" s="960"/>
      <c r="X142" s="1482"/>
      <c r="Y142" s="1482"/>
      <c r="Z142" s="1465"/>
      <c r="AA142" s="1585"/>
      <c r="AB142" s="222" t="str">
        <f>K142&amp;" год"</f>
        <v>2030 год</v>
      </c>
      <c r="AC142" s="380"/>
      <c r="AD142" s="5043"/>
      <c r="AE142" s="5042"/>
      <c r="AF142" s="5042"/>
      <c r="AG142" s="5043"/>
      <c r="AH142" s="5042"/>
      <c r="AI142" s="5043"/>
      <c r="AJ142" s="5042"/>
      <c r="AK142" s="5044"/>
      <c r="AL142" s="375"/>
      <c r="AM142" s="960"/>
      <c r="AN142" s="1048" cm="1" t="str">
        <f t="array" ref="AN142:AN142">K142</f>
        <v>2030</v>
      </c>
      <c r="AO142" s="1048" t="s">
        <v>2125</v>
      </c>
      <c r="AP142" s="1058" cm="1" t="str">
        <f t="array" ref="AP142:AP142">AP141</f>
        <v>0</v>
      </c>
      <c r="AQ142" s="683"/>
      <c r="AR142" s="683"/>
    </row>
    <row s="5121" customFormat="1" customHeight="1" ht="14.25" hidden="1">
      <c r="A143" s="960"/>
      <c r="B143" s="418">
        <f>K143&lt;first_year+PERIOD_LENGTH</f>
        <v>0</v>
      </c>
      <c r="C143" s="960"/>
      <c r="D143" s="960"/>
      <c r="E143" s="683">
        <v>15</v>
      </c>
      <c r="F143" s="50" cm="1" t="str">
        <f t="array" ref="F143:F143">OFFSET(E143,-1,1)</f>
        <v>2</v>
      </c>
      <c r="G143" s="64" cm="1" t="str">
        <f t="array" ref="G143:G143">G142</f>
        <v>0</v>
      </c>
      <c r="H143" s="960"/>
      <c r="I143" s="960"/>
      <c r="J143" s="960"/>
      <c r="K143" s="124">
        <f>first_year+7</f>
        <v>2031</v>
      </c>
      <c r="L143" s="960"/>
      <c r="M143" s="960"/>
      <c r="N143" s="960"/>
      <c r="O143" s="960"/>
      <c r="P143" s="960"/>
      <c r="Q143" s="960"/>
      <c r="R143" s="960"/>
      <c r="S143" s="960"/>
      <c r="T143" s="439" cm="1" t="str">
        <f t="array" ref="T143:T143">T142</f>
        <v>false</v>
      </c>
      <c r="U143" s="960"/>
      <c r="V143" s="960"/>
      <c r="W143" s="960"/>
      <c r="X143" s="1482"/>
      <c r="Y143" s="1482"/>
      <c r="Z143" s="1465"/>
      <c r="AA143" s="1585"/>
      <c r="AB143" s="222" t="str">
        <f>K143&amp;" год"</f>
        <v>2031 год</v>
      </c>
      <c r="AC143" s="380"/>
      <c r="AD143" s="5043"/>
      <c r="AE143" s="5042"/>
      <c r="AF143" s="5042"/>
      <c r="AG143" s="5043"/>
      <c r="AH143" s="5042"/>
      <c r="AI143" s="5043"/>
      <c r="AJ143" s="5042"/>
      <c r="AK143" s="5044"/>
      <c r="AL143" s="375"/>
      <c r="AM143" s="960"/>
      <c r="AN143" s="1048" cm="1" t="str">
        <f t="array" ref="AN143:AN143">K143</f>
        <v>2031</v>
      </c>
      <c r="AO143" s="1048" t="s">
        <v>2125</v>
      </c>
      <c r="AP143" s="1058" cm="1" t="str">
        <f t="array" ref="AP143:AP143">AP142</f>
        <v>0</v>
      </c>
      <c r="AQ143" s="683"/>
      <c r="AR143" s="683"/>
    </row>
    <row s="5122" customFormat="1" customHeight="1" ht="14.25" hidden="1">
      <c r="A144" s="960"/>
      <c r="B144" s="418">
        <f>K144&lt;first_year+PERIOD_LENGTH</f>
        <v>0</v>
      </c>
      <c r="C144" s="960"/>
      <c r="D144" s="960"/>
      <c r="E144" s="683">
        <v>15</v>
      </c>
      <c r="F144" s="50" cm="1" t="str">
        <f t="array" ref="F144:F144">OFFSET(E144,-1,1)</f>
        <v>2</v>
      </c>
      <c r="G144" s="64" cm="1" t="str">
        <f t="array" ref="G144:G144">G143</f>
        <v>0</v>
      </c>
      <c r="H144" s="960"/>
      <c r="I144" s="960"/>
      <c r="J144" s="960"/>
      <c r="K144" s="124">
        <f>first_year+8</f>
        <v>2032</v>
      </c>
      <c r="L144" s="960"/>
      <c r="M144" s="960"/>
      <c r="N144" s="960"/>
      <c r="O144" s="960"/>
      <c r="P144" s="960"/>
      <c r="Q144" s="960"/>
      <c r="R144" s="960"/>
      <c r="S144" s="960"/>
      <c r="T144" s="439" cm="1" t="str">
        <f t="array" ref="T144:T144">T143</f>
        <v>false</v>
      </c>
      <c r="U144" s="960"/>
      <c r="V144" s="960"/>
      <c r="W144" s="960"/>
      <c r="X144" s="1482"/>
      <c r="Y144" s="1482"/>
      <c r="Z144" s="1465"/>
      <c r="AA144" s="1585"/>
      <c r="AB144" s="222" t="str">
        <f>K144&amp;" год"</f>
        <v>2032 год</v>
      </c>
      <c r="AC144" s="380"/>
      <c r="AD144" s="5043"/>
      <c r="AE144" s="5042"/>
      <c r="AF144" s="5042"/>
      <c r="AG144" s="5043"/>
      <c r="AH144" s="5042"/>
      <c r="AI144" s="5043"/>
      <c r="AJ144" s="5042"/>
      <c r="AK144" s="5044"/>
      <c r="AL144" s="375"/>
      <c r="AM144" s="960"/>
      <c r="AN144" s="1048" cm="1" t="str">
        <f t="array" ref="AN144:AN144">K144</f>
        <v>2032</v>
      </c>
      <c r="AO144" s="1048" t="s">
        <v>2125</v>
      </c>
      <c r="AP144" s="1058" cm="1" t="str">
        <f t="array" ref="AP144:AP144">AP143</f>
        <v>0</v>
      </c>
      <c r="AQ144" s="683"/>
      <c r="AR144" s="683"/>
    </row>
    <row s="5123" customFormat="1" customHeight="1" ht="14.25" hidden="1">
      <c r="A145" s="960"/>
      <c r="B145" s="418">
        <f>K145&lt;first_year+PERIOD_LENGTH</f>
        <v>0</v>
      </c>
      <c r="C145" s="960"/>
      <c r="D145" s="960"/>
      <c r="E145" s="683">
        <v>15</v>
      </c>
      <c r="F145" s="50" cm="1" t="str">
        <f t="array" ref="F145:F145">OFFSET(E145,-1,1)</f>
        <v>2</v>
      </c>
      <c r="G145" s="64" cm="1" t="str">
        <f t="array" ref="G145:G145">G144</f>
        <v>0</v>
      </c>
      <c r="H145" s="960"/>
      <c r="I145" s="960"/>
      <c r="J145" s="960"/>
      <c r="K145" s="124">
        <f>first_year+9</f>
        <v>2033</v>
      </c>
      <c r="L145" s="960"/>
      <c r="M145" s="960"/>
      <c r="N145" s="960"/>
      <c r="O145" s="960"/>
      <c r="P145" s="960"/>
      <c r="Q145" s="960"/>
      <c r="R145" s="960"/>
      <c r="S145" s="960"/>
      <c r="T145" s="439" cm="1" t="str">
        <f t="array" ref="T145:T145">T144</f>
        <v>false</v>
      </c>
      <c r="U145" s="960"/>
      <c r="V145" s="960"/>
      <c r="W145" s="960"/>
      <c r="X145" s="1482"/>
      <c r="Y145" s="1482"/>
      <c r="Z145" s="1465"/>
      <c r="AA145" s="1585"/>
      <c r="AB145" s="222" t="str">
        <f>K145&amp;" год"</f>
        <v>2033 год</v>
      </c>
      <c r="AC145" s="380"/>
      <c r="AD145" s="5043"/>
      <c r="AE145" s="5042"/>
      <c r="AF145" s="5042"/>
      <c r="AG145" s="5043"/>
      <c r="AH145" s="5042"/>
      <c r="AI145" s="5043"/>
      <c r="AJ145" s="5042"/>
      <c r="AK145" s="5044"/>
      <c r="AL145" s="375"/>
      <c r="AM145" s="960"/>
      <c r="AN145" s="1048" cm="1" t="str">
        <f t="array" ref="AN145:AN145">K145</f>
        <v>2033</v>
      </c>
      <c r="AO145" s="1048" t="s">
        <v>2125</v>
      </c>
      <c r="AP145" s="1058" cm="1" t="str">
        <f t="array" ref="AP145:AP145">AP144</f>
        <v>0</v>
      </c>
      <c r="AQ145" s="683"/>
      <c r="AR145" s="683"/>
    </row>
    <row s="5124" customFormat="1" customHeight="1" ht="14.25" hidden="1">
      <c r="A146" s="960"/>
      <c r="B146" s="418">
        <f>K146&lt;first_year+PERIOD_LENGTH</f>
        <v>0</v>
      </c>
      <c r="C146" s="960"/>
      <c r="D146" s="960"/>
      <c r="E146" s="683">
        <v>15</v>
      </c>
      <c r="F146" s="50" cm="1" t="str">
        <f t="array" ref="F146:F146">OFFSET(E146,-1,1)</f>
        <v>2</v>
      </c>
      <c r="G146" s="64" cm="1" t="str">
        <f t="array" ref="G146:G146">G145</f>
        <v>0</v>
      </c>
      <c r="H146" s="960"/>
      <c r="I146" s="960"/>
      <c r="J146" s="960"/>
      <c r="K146" s="124">
        <f>first_year+10</f>
        <v>2034</v>
      </c>
      <c r="L146" s="960"/>
      <c r="M146" s="960"/>
      <c r="N146" s="960"/>
      <c r="O146" s="960"/>
      <c r="P146" s="960"/>
      <c r="Q146" s="960"/>
      <c r="R146" s="960"/>
      <c r="S146" s="960"/>
      <c r="T146" s="439" cm="1" t="str">
        <f t="array" ref="T146:T146">T145</f>
        <v>false</v>
      </c>
      <c r="U146" s="960"/>
      <c r="V146" s="960"/>
      <c r="W146" s="960"/>
      <c r="X146" s="1482"/>
      <c r="Y146" s="1482"/>
      <c r="Z146" s="1465"/>
      <c r="AA146" s="1585"/>
      <c r="AB146" s="222" t="str">
        <f>K146&amp;" год"</f>
        <v>2034 год</v>
      </c>
      <c r="AC146" s="380"/>
      <c r="AD146" s="5043"/>
      <c r="AE146" s="5042"/>
      <c r="AF146" s="5042"/>
      <c r="AG146" s="5043"/>
      <c r="AH146" s="5042"/>
      <c r="AI146" s="5043"/>
      <c r="AJ146" s="5042"/>
      <c r="AK146" s="5044"/>
      <c r="AL146" s="375"/>
      <c r="AM146" s="960"/>
      <c r="AN146" s="1048" cm="1" t="str">
        <f t="array" ref="AN146:AN146">K146</f>
        <v>2034</v>
      </c>
      <c r="AO146" s="1048" t="s">
        <v>2125</v>
      </c>
      <c r="AP146" s="1058" cm="1" t="str">
        <f t="array" ref="AP146:AP146">AP145</f>
        <v>0</v>
      </c>
      <c r="AQ146" s="683"/>
      <c r="AR146" s="683"/>
    </row>
    <row s="5125" customFormat="1" customHeight="1" ht="14.25" hidden="1">
      <c r="A147" s="960"/>
      <c r="B147" s="418">
        <f>K147&lt;first_year+PERIOD_LENGTH</f>
        <v>0</v>
      </c>
      <c r="C147" s="960"/>
      <c r="D147" s="960"/>
      <c r="E147" s="683">
        <v>15</v>
      </c>
      <c r="F147" s="50" cm="1" t="str">
        <f t="array" ref="F147:F147">OFFSET(E147,-1,1)</f>
        <v>2</v>
      </c>
      <c r="G147" s="64" cm="1" t="str">
        <f t="array" ref="G147:G147">G146</f>
        <v>0</v>
      </c>
      <c r="H147" s="960"/>
      <c r="I147" s="960"/>
      <c r="J147" s="960"/>
      <c r="K147" s="124">
        <f>first_year+11</f>
        <v>2035</v>
      </c>
      <c r="L147" s="960"/>
      <c r="M147" s="960"/>
      <c r="N147" s="960"/>
      <c r="O147" s="960"/>
      <c r="P147" s="960"/>
      <c r="Q147" s="960"/>
      <c r="R147" s="960"/>
      <c r="S147" s="960"/>
      <c r="T147" s="439" cm="1" t="str">
        <f t="array" ref="T147:T147">T146</f>
        <v>false</v>
      </c>
      <c r="U147" s="960"/>
      <c r="V147" s="960"/>
      <c r="W147" s="960"/>
      <c r="X147" s="1482"/>
      <c r="Y147" s="1482"/>
      <c r="Z147" s="1465"/>
      <c r="AA147" s="1585"/>
      <c r="AB147" s="222" t="str">
        <f>K147&amp;" год"</f>
        <v>2035 год</v>
      </c>
      <c r="AC147" s="380"/>
      <c r="AD147" s="5043"/>
      <c r="AE147" s="5042"/>
      <c r="AF147" s="5042"/>
      <c r="AG147" s="5043"/>
      <c r="AH147" s="5042"/>
      <c r="AI147" s="5043"/>
      <c r="AJ147" s="5042"/>
      <c r="AK147" s="5044"/>
      <c r="AL147" s="375"/>
      <c r="AM147" s="960"/>
      <c r="AN147" s="1048" cm="1" t="str">
        <f t="array" ref="AN147:AN147">K147</f>
        <v>2035</v>
      </c>
      <c r="AO147" s="1048" t="s">
        <v>2125</v>
      </c>
      <c r="AP147" s="1058" cm="1" t="str">
        <f t="array" ref="AP147:AP147">AP146</f>
        <v>0</v>
      </c>
      <c r="AQ147" s="683"/>
      <c r="AR147" s="683"/>
    </row>
    <row s="5126" customFormat="1" customHeight="1" ht="14.25" hidden="1">
      <c r="A148" s="960"/>
      <c r="B148" s="418">
        <f>K148&lt;first_year+PERIOD_LENGTH</f>
        <v>0</v>
      </c>
      <c r="C148" s="960"/>
      <c r="D148" s="960"/>
      <c r="E148" s="683">
        <v>15</v>
      </c>
      <c r="F148" s="50" cm="1" t="str">
        <f t="array" ref="F148:F148">OFFSET(E148,-1,1)</f>
        <v>2</v>
      </c>
      <c r="G148" s="64" cm="1" t="str">
        <f t="array" ref="G148:G148">G147</f>
        <v>0</v>
      </c>
      <c r="H148" s="960"/>
      <c r="I148" s="960"/>
      <c r="J148" s="960"/>
      <c r="K148" s="124">
        <f>first_year+12</f>
        <v>2036</v>
      </c>
      <c r="L148" s="960"/>
      <c r="M148" s="960"/>
      <c r="N148" s="960"/>
      <c r="O148" s="960"/>
      <c r="P148" s="960"/>
      <c r="Q148" s="960"/>
      <c r="R148" s="960"/>
      <c r="S148" s="960"/>
      <c r="T148" s="439" cm="1" t="str">
        <f t="array" ref="T148:T148">T147</f>
        <v>false</v>
      </c>
      <c r="U148" s="960"/>
      <c r="V148" s="960"/>
      <c r="W148" s="960"/>
      <c r="X148" s="1482"/>
      <c r="Y148" s="1482"/>
      <c r="Z148" s="1465"/>
      <c r="AA148" s="1585"/>
      <c r="AB148" s="222" t="str">
        <f>K148&amp;" год"</f>
        <v>2036 год</v>
      </c>
      <c r="AC148" s="380"/>
      <c r="AD148" s="5043"/>
      <c r="AE148" s="5042"/>
      <c r="AF148" s="5042"/>
      <c r="AG148" s="5043"/>
      <c r="AH148" s="5042"/>
      <c r="AI148" s="5043"/>
      <c r="AJ148" s="5042"/>
      <c r="AK148" s="5044"/>
      <c r="AL148" s="375"/>
      <c r="AM148" s="960"/>
      <c r="AN148" s="1048" cm="1" t="str">
        <f t="array" ref="AN148:AN148">K148</f>
        <v>2036</v>
      </c>
      <c r="AO148" s="1048" t="s">
        <v>2125</v>
      </c>
      <c r="AP148" s="1058" cm="1" t="str">
        <f t="array" ref="AP148:AP148">AP147</f>
        <v>0</v>
      </c>
      <c r="AQ148" s="683"/>
      <c r="AR148" s="683"/>
    </row>
    <row s="5127" customFormat="1" customHeight="1" ht="14.25" hidden="1">
      <c r="A149" s="960"/>
      <c r="B149" s="418">
        <f>K149&lt;first_year+PERIOD_LENGTH</f>
        <v>0</v>
      </c>
      <c r="C149" s="960"/>
      <c r="D149" s="960"/>
      <c r="E149" s="683">
        <v>15</v>
      </c>
      <c r="F149" s="50" cm="1" t="str">
        <f t="array" ref="F149:F149">OFFSET(E149,-1,1)</f>
        <v>2</v>
      </c>
      <c r="G149" s="64" cm="1" t="str">
        <f t="array" ref="G149:G149">G148</f>
        <v>0</v>
      </c>
      <c r="H149" s="960"/>
      <c r="I149" s="960"/>
      <c r="J149" s="960"/>
      <c r="K149" s="124">
        <f>first_year+13</f>
        <v>2037</v>
      </c>
      <c r="L149" s="960"/>
      <c r="M149" s="960"/>
      <c r="N149" s="960"/>
      <c r="O149" s="960"/>
      <c r="P149" s="960"/>
      <c r="Q149" s="960"/>
      <c r="R149" s="960"/>
      <c r="S149" s="960"/>
      <c r="T149" s="439" cm="1" t="str">
        <f t="array" ref="T149:T149">T148</f>
        <v>false</v>
      </c>
      <c r="U149" s="960"/>
      <c r="V149" s="960"/>
      <c r="W149" s="960"/>
      <c r="X149" s="1482"/>
      <c r="Y149" s="1482"/>
      <c r="Z149" s="1465"/>
      <c r="AA149" s="1585"/>
      <c r="AB149" s="222" t="str">
        <f>K149&amp;" год"</f>
        <v>2037 год</v>
      </c>
      <c r="AC149" s="380"/>
      <c r="AD149" s="5043"/>
      <c r="AE149" s="5042"/>
      <c r="AF149" s="5042"/>
      <c r="AG149" s="5043"/>
      <c r="AH149" s="5042"/>
      <c r="AI149" s="5043"/>
      <c r="AJ149" s="5042"/>
      <c r="AK149" s="5044"/>
      <c r="AL149" s="375"/>
      <c r="AM149" s="960"/>
      <c r="AN149" s="1048" cm="1" t="str">
        <f t="array" ref="AN149:AN149">K149</f>
        <v>2037</v>
      </c>
      <c r="AO149" s="1048" t="s">
        <v>2125</v>
      </c>
      <c r="AP149" s="1058" cm="1" t="str">
        <f t="array" ref="AP149:AP149">AP148</f>
        <v>0</v>
      </c>
      <c r="AQ149" s="683"/>
      <c r="AR149" s="683"/>
    </row>
    <row s="5128" customFormat="1" customHeight="1" ht="14.25" hidden="1">
      <c r="A150" s="960"/>
      <c r="B150" s="418">
        <f>K150&lt;first_year+PERIOD_LENGTH</f>
        <v>0</v>
      </c>
      <c r="C150" s="960"/>
      <c r="D150" s="960"/>
      <c r="E150" s="683">
        <v>15</v>
      </c>
      <c r="F150" s="50" cm="1" t="str">
        <f t="array" ref="F150:F150">OFFSET(E150,-1,1)</f>
        <v>2</v>
      </c>
      <c r="G150" s="64" cm="1" t="str">
        <f t="array" ref="G150:G150">G149</f>
        <v>0</v>
      </c>
      <c r="H150" s="960"/>
      <c r="I150" s="960"/>
      <c r="J150" s="960"/>
      <c r="K150" s="124">
        <f>first_year+14</f>
        <v>2038</v>
      </c>
      <c r="L150" s="960"/>
      <c r="M150" s="960"/>
      <c r="N150" s="960"/>
      <c r="O150" s="960"/>
      <c r="P150" s="960"/>
      <c r="Q150" s="960"/>
      <c r="R150" s="960"/>
      <c r="S150" s="960"/>
      <c r="T150" s="439" cm="1" t="str">
        <f t="array" ref="T150:T150">T149</f>
        <v>false</v>
      </c>
      <c r="U150" s="960"/>
      <c r="V150" s="960"/>
      <c r="W150" s="960"/>
      <c r="X150" s="1482"/>
      <c r="Y150" s="1482"/>
      <c r="Z150" s="1465"/>
      <c r="AA150" s="1585"/>
      <c r="AB150" s="222" t="str">
        <f>K150&amp;" год"</f>
        <v>2038 год</v>
      </c>
      <c r="AC150" s="380"/>
      <c r="AD150" s="5043"/>
      <c r="AE150" s="5042"/>
      <c r="AF150" s="5042"/>
      <c r="AG150" s="5043"/>
      <c r="AH150" s="5042"/>
      <c r="AI150" s="5043"/>
      <c r="AJ150" s="5042"/>
      <c r="AK150" s="5044"/>
      <c r="AL150" s="375"/>
      <c r="AM150" s="960"/>
      <c r="AN150" s="1048" cm="1" t="str">
        <f t="array" ref="AN150:AN150">K150</f>
        <v>2038</v>
      </c>
      <c r="AO150" s="1048" t="s">
        <v>2125</v>
      </c>
      <c r="AP150" s="1058" cm="1" t="str">
        <f t="array" ref="AP150:AP150">AP149</f>
        <v>0</v>
      </c>
      <c r="AQ150" s="683"/>
      <c r="AR150" s="683"/>
    </row>
    <row s="5129" customFormat="1" customHeight="1" ht="14.25" hidden="1">
      <c r="A151" s="960"/>
      <c r="B151" s="418">
        <f>K151&lt;first_year+PERIOD_LENGTH</f>
        <v>0</v>
      </c>
      <c r="C151" s="960"/>
      <c r="D151" s="960"/>
      <c r="E151" s="683">
        <v>15</v>
      </c>
      <c r="F151" s="50" cm="1" t="str">
        <f t="array" ref="F151:F151">OFFSET(E151,-1,1)</f>
        <v>2</v>
      </c>
      <c r="G151" s="64" cm="1" t="str">
        <f t="array" ref="G151:G151">G150</f>
        <v>0</v>
      </c>
      <c r="H151" s="960"/>
      <c r="I151" s="960"/>
      <c r="J151" s="960"/>
      <c r="K151" s="124">
        <f>first_year+15</f>
        <v>2039</v>
      </c>
      <c r="L151" s="960"/>
      <c r="M151" s="960"/>
      <c r="N151" s="960"/>
      <c r="O151" s="960"/>
      <c r="P151" s="960"/>
      <c r="Q151" s="960"/>
      <c r="R151" s="960"/>
      <c r="S151" s="960"/>
      <c r="T151" s="439" cm="1" t="str">
        <f t="array" ref="T151:T151">T150</f>
        <v>false</v>
      </c>
      <c r="U151" s="960"/>
      <c r="V151" s="960"/>
      <c r="W151" s="960"/>
      <c r="X151" s="1482"/>
      <c r="Y151" s="1482"/>
      <c r="Z151" s="1465"/>
      <c r="AA151" s="1585"/>
      <c r="AB151" s="222" t="str">
        <f>K151&amp;" год"</f>
        <v>2039 год</v>
      </c>
      <c r="AC151" s="380"/>
      <c r="AD151" s="5043"/>
      <c r="AE151" s="5042"/>
      <c r="AF151" s="5042"/>
      <c r="AG151" s="5043"/>
      <c r="AH151" s="5042"/>
      <c r="AI151" s="5043"/>
      <c r="AJ151" s="5042"/>
      <c r="AK151" s="5044"/>
      <c r="AL151" s="375"/>
      <c r="AM151" s="960"/>
      <c r="AN151" s="1048" cm="1" t="str">
        <f t="array" ref="AN151:AN151">K151</f>
        <v>2039</v>
      </c>
      <c r="AO151" s="1048" t="s">
        <v>2125</v>
      </c>
      <c r="AP151" s="1058" cm="1" t="str">
        <f t="array" ref="AP151:AP151">AP150</f>
        <v>0</v>
      </c>
      <c r="AQ151" s="683"/>
      <c r="AR151" s="683"/>
    </row>
    <row s="5130" customFormat="1" customHeight="1" ht="14.25" hidden="1">
      <c r="A152" s="960"/>
      <c r="B152" s="418">
        <f>K152&lt;first_year+PERIOD_LENGTH</f>
        <v>0</v>
      </c>
      <c r="C152" s="960"/>
      <c r="D152" s="960"/>
      <c r="E152" s="683">
        <v>15</v>
      </c>
      <c r="F152" s="50" cm="1" t="str">
        <f t="array" ref="F152:F152">OFFSET(E152,-1,1)</f>
        <v>2</v>
      </c>
      <c r="G152" s="64" cm="1" t="str">
        <f t="array" ref="G152:G152">G151</f>
        <v>0</v>
      </c>
      <c r="H152" s="960"/>
      <c r="I152" s="960"/>
      <c r="J152" s="960"/>
      <c r="K152" s="124">
        <f>first_year+16</f>
        <v>2040</v>
      </c>
      <c r="L152" s="960"/>
      <c r="M152" s="960"/>
      <c r="N152" s="960"/>
      <c r="O152" s="960"/>
      <c r="P152" s="960"/>
      <c r="Q152" s="960"/>
      <c r="R152" s="960"/>
      <c r="S152" s="960"/>
      <c r="T152" s="439" cm="1" t="str">
        <f t="array" ref="T152:T152">T151</f>
        <v>false</v>
      </c>
      <c r="U152" s="960"/>
      <c r="V152" s="960"/>
      <c r="W152" s="960"/>
      <c r="X152" s="1482"/>
      <c r="Y152" s="1482"/>
      <c r="Z152" s="1465"/>
      <c r="AA152" s="1585"/>
      <c r="AB152" s="222" t="str">
        <f>K152&amp;" год"</f>
        <v>2040 год</v>
      </c>
      <c r="AC152" s="380"/>
      <c r="AD152" s="5043"/>
      <c r="AE152" s="5042"/>
      <c r="AF152" s="5042"/>
      <c r="AG152" s="5043"/>
      <c r="AH152" s="5042"/>
      <c r="AI152" s="5043"/>
      <c r="AJ152" s="5042"/>
      <c r="AK152" s="5044"/>
      <c r="AL152" s="375"/>
      <c r="AM152" s="960"/>
      <c r="AN152" s="1048" cm="1" t="str">
        <f t="array" ref="AN152:AN152">K152</f>
        <v>2040</v>
      </c>
      <c r="AO152" s="1048" t="s">
        <v>2125</v>
      </c>
      <c r="AP152" s="1058" cm="1" t="str">
        <f t="array" ref="AP152:AP152">AP151</f>
        <v>0</v>
      </c>
      <c r="AQ152" s="683"/>
      <c r="AR152" s="683"/>
    </row>
    <row s="5131" customFormat="1" customHeight="1" ht="14.25" hidden="1">
      <c r="A153" s="960"/>
      <c r="B153" s="418">
        <f>K153&lt;first_year+PERIOD_LENGTH</f>
        <v>0</v>
      </c>
      <c r="C153" s="960"/>
      <c r="D153" s="960"/>
      <c r="E153" s="683">
        <v>15</v>
      </c>
      <c r="F153" s="50" cm="1" t="str">
        <f t="array" ref="F153:F153">OFFSET(E153,-1,1)</f>
        <v>2</v>
      </c>
      <c r="G153" s="64" cm="1" t="str">
        <f t="array" ref="G153:G153">G152</f>
        <v>0</v>
      </c>
      <c r="H153" s="960"/>
      <c r="I153" s="960"/>
      <c r="J153" s="960"/>
      <c r="K153" s="124">
        <f>first_year+17</f>
        <v>2041</v>
      </c>
      <c r="L153" s="960"/>
      <c r="M153" s="960"/>
      <c r="N153" s="960"/>
      <c r="O153" s="960"/>
      <c r="P153" s="960"/>
      <c r="Q153" s="960"/>
      <c r="R153" s="960"/>
      <c r="S153" s="960"/>
      <c r="T153" s="439" cm="1" t="str">
        <f t="array" ref="T153:T153">T152</f>
        <v>false</v>
      </c>
      <c r="U153" s="960"/>
      <c r="V153" s="960"/>
      <c r="W153" s="960"/>
      <c r="X153" s="1482"/>
      <c r="Y153" s="1482"/>
      <c r="Z153" s="1465"/>
      <c r="AA153" s="1585"/>
      <c r="AB153" s="222" t="str">
        <f>K153&amp;" год"</f>
        <v>2041 год</v>
      </c>
      <c r="AC153" s="380"/>
      <c r="AD153" s="5043"/>
      <c r="AE153" s="5042"/>
      <c r="AF153" s="5042"/>
      <c r="AG153" s="5043"/>
      <c r="AH153" s="5042"/>
      <c r="AI153" s="5043"/>
      <c r="AJ153" s="5042"/>
      <c r="AK153" s="5044"/>
      <c r="AL153" s="375"/>
      <c r="AM153" s="960"/>
      <c r="AN153" s="1048" cm="1" t="str">
        <f t="array" ref="AN153:AN153">K153</f>
        <v>2041</v>
      </c>
      <c r="AO153" s="1048" t="s">
        <v>2125</v>
      </c>
      <c r="AP153" s="1058" cm="1" t="str">
        <f t="array" ref="AP153:AP153">AP152</f>
        <v>0</v>
      </c>
      <c r="AQ153" s="683"/>
      <c r="AR153" s="683"/>
    </row>
    <row s="5132" customFormat="1" customHeight="1" ht="14.25" hidden="1">
      <c r="A154" s="960"/>
      <c r="B154" s="418">
        <f>K154&lt;first_year+PERIOD_LENGTH</f>
        <v>0</v>
      </c>
      <c r="C154" s="960"/>
      <c r="D154" s="960"/>
      <c r="E154" s="683">
        <v>15</v>
      </c>
      <c r="F154" s="50" cm="1" t="str">
        <f t="array" ref="F154:F154">OFFSET(E154,-1,1)</f>
        <v>2</v>
      </c>
      <c r="G154" s="64" cm="1" t="str">
        <f t="array" ref="G154:G154">G153</f>
        <v>0</v>
      </c>
      <c r="H154" s="960"/>
      <c r="I154" s="960"/>
      <c r="J154" s="960"/>
      <c r="K154" s="124">
        <f>first_year+18</f>
        <v>2042</v>
      </c>
      <c r="L154" s="960"/>
      <c r="M154" s="960"/>
      <c r="N154" s="960"/>
      <c r="O154" s="960"/>
      <c r="P154" s="960"/>
      <c r="Q154" s="960"/>
      <c r="R154" s="960"/>
      <c r="S154" s="960"/>
      <c r="T154" s="439" cm="1" t="str">
        <f t="array" ref="T154:T154">T153</f>
        <v>false</v>
      </c>
      <c r="U154" s="960"/>
      <c r="V154" s="960"/>
      <c r="W154" s="960"/>
      <c r="X154" s="1482"/>
      <c r="Y154" s="1482"/>
      <c r="Z154" s="1465"/>
      <c r="AA154" s="1585"/>
      <c r="AB154" s="222" t="str">
        <f>K154&amp;" год"</f>
        <v>2042 год</v>
      </c>
      <c r="AC154" s="380"/>
      <c r="AD154" s="5043"/>
      <c r="AE154" s="5042"/>
      <c r="AF154" s="5042"/>
      <c r="AG154" s="5043"/>
      <c r="AH154" s="5042"/>
      <c r="AI154" s="5043"/>
      <c r="AJ154" s="5042"/>
      <c r="AK154" s="5044"/>
      <c r="AL154" s="375"/>
      <c r="AM154" s="960"/>
      <c r="AN154" s="1048" cm="1" t="str">
        <f t="array" ref="AN154:AN154">K154</f>
        <v>2042</v>
      </c>
      <c r="AO154" s="1048" t="s">
        <v>2125</v>
      </c>
      <c r="AP154" s="1058" cm="1" t="str">
        <f t="array" ref="AP154:AP154">AP153</f>
        <v>0</v>
      </c>
      <c r="AQ154" s="683"/>
      <c r="AR154" s="683"/>
    </row>
    <row s="5133" customFormat="1" customHeight="1" ht="14.25" hidden="1">
      <c r="A155" s="960"/>
      <c r="B155" s="418">
        <f>K155&lt;first_year+PERIOD_LENGTH</f>
        <v>0</v>
      </c>
      <c r="C155" s="960"/>
      <c r="D155" s="960"/>
      <c r="E155" s="683">
        <v>15</v>
      </c>
      <c r="F155" s="50" cm="1" t="str">
        <f t="array" ref="F155:F155">OFFSET(E155,-1,1)</f>
        <v>2</v>
      </c>
      <c r="G155" s="64" cm="1" t="str">
        <f t="array" ref="G155:G155">G154</f>
        <v>0</v>
      </c>
      <c r="H155" s="960"/>
      <c r="I155" s="960"/>
      <c r="J155" s="960"/>
      <c r="K155" s="124">
        <f>first_year+19</f>
        <v>2043</v>
      </c>
      <c r="L155" s="960"/>
      <c r="M155" s="960"/>
      <c r="N155" s="960"/>
      <c r="O155" s="960"/>
      <c r="P155" s="960"/>
      <c r="Q155" s="960"/>
      <c r="R155" s="960"/>
      <c r="S155" s="960"/>
      <c r="T155" s="439" cm="1" t="str">
        <f t="array" ref="T155:T155">T154</f>
        <v>false</v>
      </c>
      <c r="U155" s="960"/>
      <c r="V155" s="960"/>
      <c r="W155" s="960"/>
      <c r="X155" s="1482"/>
      <c r="Y155" s="1482"/>
      <c r="Z155" s="1465"/>
      <c r="AA155" s="1585"/>
      <c r="AB155" s="222" t="str">
        <f>K155&amp;" год"</f>
        <v>2043 год</v>
      </c>
      <c r="AC155" s="380"/>
      <c r="AD155" s="5043"/>
      <c r="AE155" s="5042"/>
      <c r="AF155" s="5042"/>
      <c r="AG155" s="5043"/>
      <c r="AH155" s="5042"/>
      <c r="AI155" s="5043"/>
      <c r="AJ155" s="5042"/>
      <c r="AK155" s="5044"/>
      <c r="AL155" s="375"/>
      <c r="AM155" s="960"/>
      <c r="AN155" s="1048" cm="1" t="str">
        <f t="array" ref="AN155:AN155">K155</f>
        <v>2043</v>
      </c>
      <c r="AO155" s="1048" t="s">
        <v>2125</v>
      </c>
      <c r="AP155" s="1058" cm="1" t="str">
        <f t="array" ref="AP155:AP155">AP154</f>
        <v>0</v>
      </c>
      <c r="AQ155" s="683"/>
      <c r="AR155" s="683"/>
    </row>
    <row s="5134" customFormat="1" customHeight="1" ht="14.25" hidden="1">
      <c r="A156" s="960"/>
      <c r="B156" s="418">
        <f>K156&lt;first_year+PERIOD_LENGTH</f>
        <v>0</v>
      </c>
      <c r="C156" s="960"/>
      <c r="D156" s="960"/>
      <c r="E156" s="683">
        <v>15</v>
      </c>
      <c r="F156" s="50" cm="1" t="str">
        <f t="array" ref="F156:F156">OFFSET(E156,-1,1)</f>
        <v>2</v>
      </c>
      <c r="G156" s="64" cm="1" t="str">
        <f t="array" ref="G156:G156">G155</f>
        <v>0</v>
      </c>
      <c r="H156" s="960"/>
      <c r="I156" s="960"/>
      <c r="J156" s="960"/>
      <c r="K156" s="124">
        <f>first_year+20</f>
        <v>2044</v>
      </c>
      <c r="L156" s="960"/>
      <c r="M156" s="960"/>
      <c r="N156" s="960"/>
      <c r="O156" s="960"/>
      <c r="P156" s="960"/>
      <c r="Q156" s="960"/>
      <c r="R156" s="960"/>
      <c r="S156" s="960"/>
      <c r="T156" s="439" cm="1" t="str">
        <f t="array" ref="T156:T156">T155</f>
        <v>false</v>
      </c>
      <c r="U156" s="960"/>
      <c r="V156" s="960"/>
      <c r="W156" s="960"/>
      <c r="X156" s="1482"/>
      <c r="Y156" s="1482"/>
      <c r="Z156" s="1465"/>
      <c r="AA156" s="1585"/>
      <c r="AB156" s="222" t="str">
        <f>K156&amp;" год"</f>
        <v>2044 год</v>
      </c>
      <c r="AC156" s="380"/>
      <c r="AD156" s="5043"/>
      <c r="AE156" s="5042"/>
      <c r="AF156" s="5042"/>
      <c r="AG156" s="5043"/>
      <c r="AH156" s="5042"/>
      <c r="AI156" s="5043"/>
      <c r="AJ156" s="5042"/>
      <c r="AK156" s="5044"/>
      <c r="AL156" s="375"/>
      <c r="AM156" s="960"/>
      <c r="AN156" s="1048" cm="1" t="str">
        <f t="array" ref="AN156:AN156">K156</f>
        <v>2044</v>
      </c>
      <c r="AO156" s="1048" t="s">
        <v>2125</v>
      </c>
      <c r="AP156" s="1058" cm="1" t="str">
        <f t="array" ref="AP156:AP156">AP155</f>
        <v>0</v>
      </c>
      <c r="AQ156" s="683"/>
      <c r="AR156" s="683"/>
    </row>
    <row s="5135" customFormat="1" customHeight="1" ht="14.25" hidden="1">
      <c r="A157" s="960"/>
      <c r="B157" s="418">
        <f>K157&lt;first_year+PERIOD_LENGTH</f>
        <v>0</v>
      </c>
      <c r="C157" s="960"/>
      <c r="D157" s="960"/>
      <c r="E157" s="683">
        <v>15</v>
      </c>
      <c r="F157" s="50" cm="1" t="str">
        <f t="array" ref="F157:F157">OFFSET(E157,-1,1)</f>
        <v>2</v>
      </c>
      <c r="G157" s="64" cm="1" t="str">
        <f t="array" ref="G157:G157">G156</f>
        <v>0</v>
      </c>
      <c r="H157" s="960"/>
      <c r="I157" s="960"/>
      <c r="J157" s="960"/>
      <c r="K157" s="124">
        <f>first_year+21</f>
        <v>2045</v>
      </c>
      <c r="L157" s="960"/>
      <c r="M157" s="960"/>
      <c r="N157" s="960"/>
      <c r="O157" s="960"/>
      <c r="P157" s="960"/>
      <c r="Q157" s="960"/>
      <c r="R157" s="960"/>
      <c r="S157" s="960"/>
      <c r="T157" s="439" cm="1" t="str">
        <f t="array" ref="T157:T157">T156</f>
        <v>false</v>
      </c>
      <c r="U157" s="960"/>
      <c r="V157" s="960"/>
      <c r="W157" s="960"/>
      <c r="X157" s="1482"/>
      <c r="Y157" s="1482"/>
      <c r="Z157" s="1465"/>
      <c r="AA157" s="1585"/>
      <c r="AB157" s="222" t="str">
        <f>K157&amp;" год"</f>
        <v>2045 год</v>
      </c>
      <c r="AC157" s="380"/>
      <c r="AD157" s="5043"/>
      <c r="AE157" s="5042"/>
      <c r="AF157" s="5042"/>
      <c r="AG157" s="5043"/>
      <c r="AH157" s="5042"/>
      <c r="AI157" s="5043"/>
      <c r="AJ157" s="5042"/>
      <c r="AK157" s="5044"/>
      <c r="AL157" s="375"/>
      <c r="AM157" s="960"/>
      <c r="AN157" s="1048" cm="1" t="str">
        <f t="array" ref="AN157:AN157">K157</f>
        <v>2045</v>
      </c>
      <c r="AO157" s="1048" t="s">
        <v>2125</v>
      </c>
      <c r="AP157" s="1058" cm="1" t="str">
        <f t="array" ref="AP157:AP157">AP156</f>
        <v>0</v>
      </c>
      <c r="AQ157" s="683"/>
      <c r="AR157" s="683"/>
    </row>
    <row s="5136" customFormat="1" customHeight="1" ht="14.25" hidden="1">
      <c r="A158" s="960"/>
      <c r="B158" s="418">
        <f>K158&lt;first_year+PERIOD_LENGTH</f>
        <v>0</v>
      </c>
      <c r="C158" s="960"/>
      <c r="D158" s="960"/>
      <c r="E158" s="683">
        <v>15</v>
      </c>
      <c r="F158" s="50" cm="1" t="str">
        <f t="array" ref="F158:F158">OFFSET(E158,-1,1)</f>
        <v>2</v>
      </c>
      <c r="G158" s="64" cm="1" t="str">
        <f t="array" ref="G158:G158">G157</f>
        <v>0</v>
      </c>
      <c r="H158" s="960"/>
      <c r="I158" s="960"/>
      <c r="J158" s="960"/>
      <c r="K158" s="124">
        <f>first_year+22</f>
        <v>2046</v>
      </c>
      <c r="L158" s="960"/>
      <c r="M158" s="960"/>
      <c r="N158" s="960"/>
      <c r="O158" s="960"/>
      <c r="P158" s="960"/>
      <c r="Q158" s="960"/>
      <c r="R158" s="960"/>
      <c r="S158" s="960"/>
      <c r="T158" s="439" cm="1" t="str">
        <f t="array" ref="T158:T158">T157</f>
        <v>false</v>
      </c>
      <c r="U158" s="960"/>
      <c r="V158" s="960"/>
      <c r="W158" s="960"/>
      <c r="X158" s="1482"/>
      <c r="Y158" s="1482"/>
      <c r="Z158" s="1465"/>
      <c r="AA158" s="1585"/>
      <c r="AB158" s="222" t="str">
        <f>K158&amp;" год"</f>
        <v>2046 год</v>
      </c>
      <c r="AC158" s="380"/>
      <c r="AD158" s="5043"/>
      <c r="AE158" s="5042"/>
      <c r="AF158" s="5042"/>
      <c r="AG158" s="5043"/>
      <c r="AH158" s="5042"/>
      <c r="AI158" s="5043"/>
      <c r="AJ158" s="5042"/>
      <c r="AK158" s="5044"/>
      <c r="AL158" s="375"/>
      <c r="AM158" s="960"/>
      <c r="AN158" s="1048" cm="1" t="str">
        <f t="array" ref="AN158:AN158">K158</f>
        <v>2046</v>
      </c>
      <c r="AO158" s="1048" t="s">
        <v>2125</v>
      </c>
      <c r="AP158" s="1058" cm="1" t="str">
        <f t="array" ref="AP158:AP158">AP157</f>
        <v>0</v>
      </c>
      <c r="AQ158" s="683"/>
      <c r="AR158" s="683"/>
    </row>
    <row s="5137" customFormat="1" customHeight="1" ht="14.25" hidden="1">
      <c r="A159" s="960"/>
      <c r="B159" s="418">
        <f>K159&lt;first_year+PERIOD_LENGTH</f>
        <v>0</v>
      </c>
      <c r="C159" s="960"/>
      <c r="D159" s="960"/>
      <c r="E159" s="683">
        <v>15</v>
      </c>
      <c r="F159" s="50" cm="1" t="str">
        <f t="array" ref="F159:F159">OFFSET(E159,-1,1)</f>
        <v>2</v>
      </c>
      <c r="G159" s="64" cm="1" t="str">
        <f t="array" ref="G159:G159">G158</f>
        <v>0</v>
      </c>
      <c r="H159" s="960"/>
      <c r="I159" s="960"/>
      <c r="J159" s="960"/>
      <c r="K159" s="124">
        <f>first_year+23</f>
        <v>2047</v>
      </c>
      <c r="L159" s="960"/>
      <c r="M159" s="960"/>
      <c r="N159" s="960"/>
      <c r="O159" s="960"/>
      <c r="P159" s="960"/>
      <c r="Q159" s="960"/>
      <c r="R159" s="960"/>
      <c r="S159" s="960"/>
      <c r="T159" s="439" cm="1" t="str">
        <f t="array" ref="T159:T159">T158</f>
        <v>false</v>
      </c>
      <c r="U159" s="960"/>
      <c r="V159" s="960"/>
      <c r="W159" s="960"/>
      <c r="X159" s="1482"/>
      <c r="Y159" s="1482"/>
      <c r="Z159" s="1465"/>
      <c r="AA159" s="1585"/>
      <c r="AB159" s="222" t="str">
        <f>K159&amp;" год"</f>
        <v>2047 год</v>
      </c>
      <c r="AC159" s="380"/>
      <c r="AD159" s="5043"/>
      <c r="AE159" s="5042"/>
      <c r="AF159" s="5042"/>
      <c r="AG159" s="5043"/>
      <c r="AH159" s="5042"/>
      <c r="AI159" s="5043"/>
      <c r="AJ159" s="5042"/>
      <c r="AK159" s="5044"/>
      <c r="AL159" s="375"/>
      <c r="AM159" s="960"/>
      <c r="AN159" s="1048" cm="1" t="str">
        <f t="array" ref="AN159:AN159">K159</f>
        <v>2047</v>
      </c>
      <c r="AO159" s="1048" t="s">
        <v>2125</v>
      </c>
      <c r="AP159" s="1058" cm="1" t="str">
        <f t="array" ref="AP159:AP159">AP158</f>
        <v>0</v>
      </c>
      <c r="AQ159" s="683"/>
      <c r="AR159" s="683"/>
    </row>
    <row s="5138" customFormat="1" customHeight="1" ht="14.25" hidden="1">
      <c r="A160" s="960"/>
      <c r="B160" s="418">
        <f>K160&lt;first_year+PERIOD_LENGTH</f>
        <v>0</v>
      </c>
      <c r="C160" s="960"/>
      <c r="D160" s="960"/>
      <c r="E160" s="683">
        <v>15</v>
      </c>
      <c r="F160" s="50" cm="1" t="str">
        <f t="array" ref="F160:F160">OFFSET(E160,-1,1)</f>
        <v>2</v>
      </c>
      <c r="G160" s="64" cm="1" t="str">
        <f t="array" ref="G160:G160">G159</f>
        <v>0</v>
      </c>
      <c r="H160" s="960"/>
      <c r="I160" s="960"/>
      <c r="J160" s="960"/>
      <c r="K160" s="124">
        <f>first_year+24</f>
        <v>2048</v>
      </c>
      <c r="L160" s="960"/>
      <c r="M160" s="960"/>
      <c r="N160" s="960"/>
      <c r="O160" s="960"/>
      <c r="P160" s="960"/>
      <c r="Q160" s="960"/>
      <c r="R160" s="960"/>
      <c r="S160" s="960"/>
      <c r="T160" s="439" cm="1" t="str">
        <f t="array" ref="T160:T160">T159</f>
        <v>false</v>
      </c>
      <c r="U160" s="960"/>
      <c r="V160" s="960"/>
      <c r="W160" s="960"/>
      <c r="X160" s="1482"/>
      <c r="Y160" s="1482"/>
      <c r="Z160" s="1465"/>
      <c r="AA160" s="1585"/>
      <c r="AB160" s="222" t="str">
        <f>K160&amp;" год"</f>
        <v>2048 год</v>
      </c>
      <c r="AC160" s="380"/>
      <c r="AD160" s="5043"/>
      <c r="AE160" s="5042"/>
      <c r="AF160" s="5042"/>
      <c r="AG160" s="5043"/>
      <c r="AH160" s="5042"/>
      <c r="AI160" s="5043"/>
      <c r="AJ160" s="5042"/>
      <c r="AK160" s="5044"/>
      <c r="AL160" s="375"/>
      <c r="AM160" s="960"/>
      <c r="AN160" s="1048" cm="1" t="str">
        <f t="array" ref="AN160:AN160">K160</f>
        <v>2048</v>
      </c>
      <c r="AO160" s="1048" t="s">
        <v>2125</v>
      </c>
      <c r="AP160" s="1058" cm="1" t="str">
        <f t="array" ref="AP160:AP160">AP159</f>
        <v>0</v>
      </c>
      <c r="AQ160" s="683"/>
      <c r="AR160" s="683"/>
    </row>
    <row s="5139" customFormat="1" customHeight="1" ht="14.25" hidden="1">
      <c r="A161" s="960"/>
      <c r="B161" s="418">
        <f>K161&lt;first_year+PERIOD_LENGTH</f>
        <v>0</v>
      </c>
      <c r="C161" s="960"/>
      <c r="D161" s="960"/>
      <c r="E161" s="683">
        <v>15</v>
      </c>
      <c r="F161" s="50" cm="1" t="str">
        <f t="array" ref="F161:F161">OFFSET(E161,-1,1)</f>
        <v>2</v>
      </c>
      <c r="G161" s="64" cm="1" t="str">
        <f t="array" ref="G161:G161">G160</f>
        <v>0</v>
      </c>
      <c r="H161" s="960"/>
      <c r="I161" s="960"/>
      <c r="J161" s="960"/>
      <c r="K161" s="124">
        <f>first_year+25</f>
        <v>2049</v>
      </c>
      <c r="L161" s="960"/>
      <c r="M161" s="960"/>
      <c r="N161" s="960"/>
      <c r="O161" s="960"/>
      <c r="P161" s="960"/>
      <c r="Q161" s="960"/>
      <c r="R161" s="960"/>
      <c r="S161" s="960"/>
      <c r="T161" s="439" cm="1" t="str">
        <f t="array" ref="T161:T161">T160</f>
        <v>false</v>
      </c>
      <c r="U161" s="960"/>
      <c r="V161" s="960"/>
      <c r="W161" s="960"/>
      <c r="X161" s="1482"/>
      <c r="Y161" s="1482"/>
      <c r="Z161" s="1465"/>
      <c r="AA161" s="1585"/>
      <c r="AB161" s="222" t="str">
        <f>K161&amp;" год"</f>
        <v>2049 год</v>
      </c>
      <c r="AC161" s="380"/>
      <c r="AD161" s="5043"/>
      <c r="AE161" s="5042"/>
      <c r="AF161" s="5042"/>
      <c r="AG161" s="5043"/>
      <c r="AH161" s="5042"/>
      <c r="AI161" s="5043"/>
      <c r="AJ161" s="5042"/>
      <c r="AK161" s="5044"/>
      <c r="AL161" s="375"/>
      <c r="AM161" s="960"/>
      <c r="AN161" s="1048" cm="1" t="str">
        <f t="array" ref="AN161:AN161">K161</f>
        <v>2049</v>
      </c>
      <c r="AO161" s="1048" t="s">
        <v>2125</v>
      </c>
      <c r="AP161" s="1058" cm="1" t="str">
        <f t="array" ref="AP161:AP161">AP160</f>
        <v>0</v>
      </c>
      <c r="AQ161" s="683"/>
      <c r="AR161" s="683"/>
    </row>
    <row s="5140" customFormat="1" customHeight="1" ht="14.25" hidden="1">
      <c r="A162" s="960"/>
      <c r="B162" s="418">
        <f>K162&lt;first_year+PERIOD_LENGTH</f>
        <v>0</v>
      </c>
      <c r="C162" s="960"/>
      <c r="D162" s="960"/>
      <c r="E162" s="683">
        <v>15</v>
      </c>
      <c r="F162" s="50" cm="1" t="str">
        <f t="array" ref="F162:F162">OFFSET(E162,-1,1)</f>
        <v>2</v>
      </c>
      <c r="G162" s="64" cm="1" t="str">
        <f t="array" ref="G162:G162">G161</f>
        <v>0</v>
      </c>
      <c r="H162" s="960"/>
      <c r="I162" s="960"/>
      <c r="J162" s="960"/>
      <c r="K162" s="124">
        <f>first_year+26</f>
        <v>2050</v>
      </c>
      <c r="L162" s="960"/>
      <c r="M162" s="960"/>
      <c r="N162" s="960"/>
      <c r="O162" s="960"/>
      <c r="P162" s="960"/>
      <c r="Q162" s="960"/>
      <c r="R162" s="960"/>
      <c r="S162" s="960"/>
      <c r="T162" s="439" cm="1" t="str">
        <f t="array" ref="T162:T162">T161</f>
        <v>false</v>
      </c>
      <c r="U162" s="960"/>
      <c r="V162" s="960"/>
      <c r="W162" s="960"/>
      <c r="X162" s="1482"/>
      <c r="Y162" s="1482"/>
      <c r="Z162" s="1465"/>
      <c r="AA162" s="1585"/>
      <c r="AB162" s="222" t="str">
        <f>K162&amp;" год"</f>
        <v>2050 год</v>
      </c>
      <c r="AC162" s="380"/>
      <c r="AD162" s="5043"/>
      <c r="AE162" s="5042"/>
      <c r="AF162" s="5042"/>
      <c r="AG162" s="5043"/>
      <c r="AH162" s="5042"/>
      <c r="AI162" s="5043"/>
      <c r="AJ162" s="5042"/>
      <c r="AK162" s="5044"/>
      <c r="AL162" s="375"/>
      <c r="AM162" s="960"/>
      <c r="AN162" s="1048" cm="1" t="str">
        <f t="array" ref="AN162:AN162">K162</f>
        <v>2050</v>
      </c>
      <c r="AO162" s="1048" t="s">
        <v>2125</v>
      </c>
      <c r="AP162" s="1058" cm="1" t="str">
        <f t="array" ref="AP162:AP162">AP161</f>
        <v>0</v>
      </c>
      <c r="AQ162" s="683"/>
      <c r="AR162" s="683"/>
    </row>
    <row s="5141" customFormat="1" customHeight="1" ht="14.25" hidden="1">
      <c r="A163" s="960"/>
      <c r="B163" s="418">
        <f>K163&lt;first_year+PERIOD_LENGTH</f>
        <v>0</v>
      </c>
      <c r="C163" s="960"/>
      <c r="D163" s="960"/>
      <c r="E163" s="683">
        <v>15</v>
      </c>
      <c r="F163" s="50" cm="1" t="str">
        <f t="array" ref="F163:F163">OFFSET(E163,-1,1)</f>
        <v>2</v>
      </c>
      <c r="G163" s="64" cm="1" t="str">
        <f t="array" ref="G163:G163">G162</f>
        <v>0</v>
      </c>
      <c r="H163" s="960"/>
      <c r="I163" s="960"/>
      <c r="J163" s="960"/>
      <c r="K163" s="124">
        <f>first_year+27</f>
        <v>2051</v>
      </c>
      <c r="L163" s="960"/>
      <c r="M163" s="960"/>
      <c r="N163" s="960"/>
      <c r="O163" s="960"/>
      <c r="P163" s="960"/>
      <c r="Q163" s="960"/>
      <c r="R163" s="960"/>
      <c r="S163" s="960"/>
      <c r="T163" s="439" cm="1" t="str">
        <f t="array" ref="T163:T163">T162</f>
        <v>false</v>
      </c>
      <c r="U163" s="960"/>
      <c r="V163" s="960"/>
      <c r="W163" s="960"/>
      <c r="X163" s="1482"/>
      <c r="Y163" s="1482"/>
      <c r="Z163" s="1465"/>
      <c r="AA163" s="1585"/>
      <c r="AB163" s="222" t="str">
        <f>K163&amp;" год"</f>
        <v>2051 год</v>
      </c>
      <c r="AC163" s="380"/>
      <c r="AD163" s="5043"/>
      <c r="AE163" s="5042"/>
      <c r="AF163" s="5042"/>
      <c r="AG163" s="5043"/>
      <c r="AH163" s="5042"/>
      <c r="AI163" s="5043"/>
      <c r="AJ163" s="5042"/>
      <c r="AK163" s="5044"/>
      <c r="AL163" s="375"/>
      <c r="AM163" s="960"/>
      <c r="AN163" s="1048" cm="1" t="str">
        <f t="array" ref="AN163:AN163">K163</f>
        <v>2051</v>
      </c>
      <c r="AO163" s="1048" t="s">
        <v>2125</v>
      </c>
      <c r="AP163" s="1058" cm="1" t="str">
        <f t="array" ref="AP163:AP163">AP162</f>
        <v>0</v>
      </c>
      <c r="AQ163" s="683"/>
      <c r="AR163" s="683"/>
    </row>
    <row s="5142" customFormat="1" customHeight="1" ht="14.25" hidden="1">
      <c r="A164" s="960"/>
      <c r="B164" s="418">
        <f>K164&lt;first_year+PERIOD_LENGTH</f>
        <v>0</v>
      </c>
      <c r="C164" s="960"/>
      <c r="D164" s="960"/>
      <c r="E164" s="683">
        <v>15</v>
      </c>
      <c r="F164" s="50" cm="1" t="str">
        <f t="array" ref="F164:F164">OFFSET(E164,-1,1)</f>
        <v>2</v>
      </c>
      <c r="G164" s="64" cm="1" t="str">
        <f t="array" ref="G164:G164">G163</f>
        <v>0</v>
      </c>
      <c r="H164" s="960"/>
      <c r="I164" s="960"/>
      <c r="J164" s="960"/>
      <c r="K164" s="124">
        <f>first_year+28</f>
        <v>2052</v>
      </c>
      <c r="L164" s="960"/>
      <c r="M164" s="960"/>
      <c r="N164" s="960"/>
      <c r="O164" s="960"/>
      <c r="P164" s="960"/>
      <c r="Q164" s="960"/>
      <c r="R164" s="960"/>
      <c r="S164" s="960"/>
      <c r="T164" s="439" cm="1" t="str">
        <f t="array" ref="T164:T164">T163</f>
        <v>false</v>
      </c>
      <c r="U164" s="960"/>
      <c r="V164" s="960"/>
      <c r="W164" s="960"/>
      <c r="X164" s="1482"/>
      <c r="Y164" s="1482"/>
      <c r="Z164" s="1465"/>
      <c r="AA164" s="1585"/>
      <c r="AB164" s="222" t="str">
        <f>K164&amp;" год"</f>
        <v>2052 год</v>
      </c>
      <c r="AC164" s="380"/>
      <c r="AD164" s="5043"/>
      <c r="AE164" s="5042"/>
      <c r="AF164" s="5042"/>
      <c r="AG164" s="5043"/>
      <c r="AH164" s="5042"/>
      <c r="AI164" s="5043"/>
      <c r="AJ164" s="5042"/>
      <c r="AK164" s="5044"/>
      <c r="AL164" s="375"/>
      <c r="AM164" s="960"/>
      <c r="AN164" s="1048" cm="1" t="str">
        <f t="array" ref="AN164:AN164">K164</f>
        <v>2052</v>
      </c>
      <c r="AO164" s="1048" t="s">
        <v>2125</v>
      </c>
      <c r="AP164" s="1058" cm="1" t="str">
        <f t="array" ref="AP164:AP164">AP163</f>
        <v>0</v>
      </c>
      <c r="AQ164" s="683"/>
      <c r="AR164" s="683"/>
    </row>
    <row s="5143" customFormat="1" customHeight="1" ht="14.25" hidden="1">
      <c r="A165" s="960"/>
      <c r="B165" s="418">
        <f>K165&lt;first_year+PERIOD_LENGTH</f>
        <v>0</v>
      </c>
      <c r="C165" s="960"/>
      <c r="D165" s="960"/>
      <c r="E165" s="683">
        <v>15</v>
      </c>
      <c r="F165" s="50" cm="1" t="str">
        <f t="array" ref="F165:F165">OFFSET(E165,-1,1)</f>
        <v>2</v>
      </c>
      <c r="G165" s="64" cm="1" t="str">
        <f t="array" ref="G165:G165">G164</f>
        <v>0</v>
      </c>
      <c r="H165" s="960"/>
      <c r="I165" s="960"/>
      <c r="J165" s="960"/>
      <c r="K165" s="124">
        <f>first_year+29</f>
        <v>2053</v>
      </c>
      <c r="L165" s="960"/>
      <c r="M165" s="960"/>
      <c r="N165" s="960"/>
      <c r="O165" s="960"/>
      <c r="P165" s="960"/>
      <c r="Q165" s="960"/>
      <c r="R165" s="960"/>
      <c r="S165" s="960"/>
      <c r="T165" s="439" cm="1" t="str">
        <f t="array" ref="T165:T165">T164</f>
        <v>false</v>
      </c>
      <c r="U165" s="960"/>
      <c r="V165" s="960"/>
      <c r="W165" s="960"/>
      <c r="X165" s="1482"/>
      <c r="Y165" s="1482"/>
      <c r="Z165" s="1465"/>
      <c r="AA165" s="1585"/>
      <c r="AB165" s="222" t="str">
        <f>K165&amp;" год"</f>
        <v>2053 год</v>
      </c>
      <c r="AC165" s="380"/>
      <c r="AD165" s="5043"/>
      <c r="AE165" s="5042"/>
      <c r="AF165" s="5042"/>
      <c r="AG165" s="5043"/>
      <c r="AH165" s="5042"/>
      <c r="AI165" s="5043"/>
      <c r="AJ165" s="5042"/>
      <c r="AK165" s="5044"/>
      <c r="AL165" s="375"/>
      <c r="AM165" s="960"/>
      <c r="AN165" s="1048" cm="1" t="str">
        <f t="array" ref="AN165:AN165">K165</f>
        <v>2053</v>
      </c>
      <c r="AO165" s="1048" t="s">
        <v>2125</v>
      </c>
      <c r="AP165" s="1058" cm="1" t="str">
        <f t="array" ref="AP165:AP165">AP164</f>
        <v>0</v>
      </c>
      <c r="AQ165" s="683"/>
      <c r="AR165" s="683"/>
    </row>
    <row s="5144" customFormat="1" customHeight="1" ht="14.25" hidden="1">
      <c r="A166" s="960"/>
      <c r="B166" s="418">
        <f>K166&lt;first_year+PERIOD_LENGTH</f>
        <v>0</v>
      </c>
      <c r="C166" s="960"/>
      <c r="D166" s="960"/>
      <c r="E166" s="683">
        <v>15</v>
      </c>
      <c r="F166" s="50" cm="1" t="str">
        <f t="array" ref="F166:F166">OFFSET(E166,-1,1)</f>
        <v>2</v>
      </c>
      <c r="G166" s="64" cm="1" t="str">
        <f t="array" ref="G166:G166">G165</f>
        <v>0</v>
      </c>
      <c r="H166" s="960"/>
      <c r="I166" s="960"/>
      <c r="J166" s="960"/>
      <c r="K166" s="124">
        <f>first_year+30</f>
        <v>2054</v>
      </c>
      <c r="L166" s="960"/>
      <c r="M166" s="960"/>
      <c r="N166" s="960"/>
      <c r="O166" s="960"/>
      <c r="P166" s="960"/>
      <c r="Q166" s="960"/>
      <c r="R166" s="960"/>
      <c r="S166" s="960"/>
      <c r="T166" s="439" cm="1" t="str">
        <f t="array" ref="T166:T166">T165</f>
        <v>false</v>
      </c>
      <c r="U166" s="960"/>
      <c r="V166" s="960"/>
      <c r="W166" s="960"/>
      <c r="X166" s="1482"/>
      <c r="Y166" s="1482"/>
      <c r="Z166" s="1465"/>
      <c r="AA166" s="1585"/>
      <c r="AB166" s="222" t="str">
        <f>K166&amp;" год"</f>
        <v>2054 год</v>
      </c>
      <c r="AC166" s="380"/>
      <c r="AD166" s="5043"/>
      <c r="AE166" s="5042"/>
      <c r="AF166" s="5042"/>
      <c r="AG166" s="5043"/>
      <c r="AH166" s="5042"/>
      <c r="AI166" s="5043"/>
      <c r="AJ166" s="5042"/>
      <c r="AK166" s="5044"/>
      <c r="AL166" s="375"/>
      <c r="AM166" s="960"/>
      <c r="AN166" s="1048" cm="1" t="str">
        <f t="array" ref="AN166:AN166">K166</f>
        <v>2054</v>
      </c>
      <c r="AO166" s="1048" t="s">
        <v>2125</v>
      </c>
      <c r="AP166" s="1058" cm="1" t="str">
        <f t="array" ref="AP166:AP166">AP165</f>
        <v>0</v>
      </c>
      <c r="AQ166" s="683"/>
      <c r="AR166" s="683"/>
    </row>
    <row s="5145" customFormat="1" customHeight="1" ht="14.25" hidden="1">
      <c r="A167" s="960"/>
      <c r="B167" s="418">
        <f>K167&lt;first_year+PERIOD_LENGTH</f>
        <v>0</v>
      </c>
      <c r="C167" s="960"/>
      <c r="D167" s="960"/>
      <c r="E167" s="683">
        <v>15</v>
      </c>
      <c r="F167" s="50" cm="1" t="str">
        <f t="array" ref="F167:F167">OFFSET(E167,-1,1)</f>
        <v>2</v>
      </c>
      <c r="G167" s="64" cm="1" t="str">
        <f t="array" ref="G167:G167">G166</f>
        <v>0</v>
      </c>
      <c r="H167" s="960"/>
      <c r="I167" s="960"/>
      <c r="J167" s="960"/>
      <c r="K167" s="124">
        <f>first_year+31</f>
        <v>2055</v>
      </c>
      <c r="L167" s="960"/>
      <c r="M167" s="960"/>
      <c r="N167" s="960"/>
      <c r="O167" s="960"/>
      <c r="P167" s="960"/>
      <c r="Q167" s="960"/>
      <c r="R167" s="960"/>
      <c r="S167" s="960"/>
      <c r="T167" s="439" cm="1" t="str">
        <f t="array" ref="T167:T167">T166</f>
        <v>false</v>
      </c>
      <c r="U167" s="960"/>
      <c r="V167" s="960"/>
      <c r="W167" s="960"/>
      <c r="X167" s="1482"/>
      <c r="Y167" s="1482"/>
      <c r="Z167" s="1465"/>
      <c r="AA167" s="1585"/>
      <c r="AB167" s="222" t="str">
        <f>K167&amp;" год"</f>
        <v>2055 год</v>
      </c>
      <c r="AC167" s="380"/>
      <c r="AD167" s="5043"/>
      <c r="AE167" s="5042"/>
      <c r="AF167" s="5042"/>
      <c r="AG167" s="5043"/>
      <c r="AH167" s="5042"/>
      <c r="AI167" s="5043"/>
      <c r="AJ167" s="5042"/>
      <c r="AK167" s="5044"/>
      <c r="AL167" s="375"/>
      <c r="AM167" s="960"/>
      <c r="AN167" s="1048" cm="1" t="str">
        <f t="array" ref="AN167:AN167">K167</f>
        <v>2055</v>
      </c>
      <c r="AO167" s="1048" t="s">
        <v>2125</v>
      </c>
      <c r="AP167" s="1058" cm="1" t="str">
        <f t="array" ref="AP167:AP167">AP166</f>
        <v>0</v>
      </c>
      <c r="AQ167" s="683"/>
      <c r="AR167" s="683"/>
    </row>
    <row s="5146" customFormat="1" customHeight="1" ht="14.25" hidden="1">
      <c r="A168" s="960"/>
      <c r="B168" s="418">
        <f>K168&lt;first_year+PERIOD_LENGTH</f>
        <v>0</v>
      </c>
      <c r="C168" s="960"/>
      <c r="D168" s="960"/>
      <c r="E168" s="683">
        <v>15</v>
      </c>
      <c r="F168" s="50" cm="1" t="str">
        <f t="array" ref="F168:F168">OFFSET(E168,-1,1)</f>
        <v>2</v>
      </c>
      <c r="G168" s="64" cm="1" t="str">
        <f t="array" ref="G168:G168">G167</f>
        <v>0</v>
      </c>
      <c r="H168" s="960"/>
      <c r="I168" s="960"/>
      <c r="J168" s="960"/>
      <c r="K168" s="124">
        <f>first_year+32</f>
        <v>2056</v>
      </c>
      <c r="L168" s="960"/>
      <c r="M168" s="960"/>
      <c r="N168" s="960"/>
      <c r="O168" s="960"/>
      <c r="P168" s="960"/>
      <c r="Q168" s="960"/>
      <c r="R168" s="960"/>
      <c r="S168" s="960"/>
      <c r="T168" s="439" cm="1" t="str">
        <f t="array" ref="T168:T168">T167</f>
        <v>false</v>
      </c>
      <c r="U168" s="960"/>
      <c r="V168" s="960"/>
      <c r="W168" s="960"/>
      <c r="X168" s="1482"/>
      <c r="Y168" s="1482"/>
      <c r="Z168" s="1465"/>
      <c r="AA168" s="1585"/>
      <c r="AB168" s="222" t="str">
        <f>K168&amp;" год"</f>
        <v>2056 год</v>
      </c>
      <c r="AC168" s="380"/>
      <c r="AD168" s="5043"/>
      <c r="AE168" s="5042"/>
      <c r="AF168" s="5042"/>
      <c r="AG168" s="5043"/>
      <c r="AH168" s="5042"/>
      <c r="AI168" s="5043"/>
      <c r="AJ168" s="5042"/>
      <c r="AK168" s="5044"/>
      <c r="AL168" s="375"/>
      <c r="AM168" s="960"/>
      <c r="AN168" s="1048" cm="1" t="str">
        <f t="array" ref="AN168:AN168">K168</f>
        <v>2056</v>
      </c>
      <c r="AO168" s="1048" t="s">
        <v>2125</v>
      </c>
      <c r="AP168" s="1058" cm="1" t="str">
        <f t="array" ref="AP168:AP168">AP167</f>
        <v>0</v>
      </c>
      <c r="AQ168" s="683"/>
      <c r="AR168" s="683"/>
    </row>
    <row s="5147" customFormat="1" customHeight="1" ht="14.25" hidden="1">
      <c r="A169" s="960"/>
      <c r="B169" s="418">
        <f>K169&lt;first_year+PERIOD_LENGTH</f>
        <v>0</v>
      </c>
      <c r="C169" s="960"/>
      <c r="D169" s="960"/>
      <c r="E169" s="683">
        <v>15</v>
      </c>
      <c r="F169" s="50" cm="1" t="str">
        <f t="array" ref="F169:F169">OFFSET(E169,-1,1)</f>
        <v>2</v>
      </c>
      <c r="G169" s="64" cm="1" t="str">
        <f t="array" ref="G169:G169">G168</f>
        <v>0</v>
      </c>
      <c r="H169" s="960"/>
      <c r="I169" s="960"/>
      <c r="J169" s="960"/>
      <c r="K169" s="124">
        <f>first_year+33</f>
        <v>2057</v>
      </c>
      <c r="L169" s="960"/>
      <c r="M169" s="960"/>
      <c r="N169" s="960"/>
      <c r="O169" s="960"/>
      <c r="P169" s="960"/>
      <c r="Q169" s="960"/>
      <c r="R169" s="960"/>
      <c r="S169" s="960"/>
      <c r="T169" s="439" cm="1" t="str">
        <f t="array" ref="T169:T169">T168</f>
        <v>false</v>
      </c>
      <c r="U169" s="960"/>
      <c r="V169" s="960"/>
      <c r="W169" s="960"/>
      <c r="X169" s="1482"/>
      <c r="Y169" s="1482"/>
      <c r="Z169" s="1465"/>
      <c r="AA169" s="1585"/>
      <c r="AB169" s="222" t="str">
        <f>K169&amp;" год"</f>
        <v>2057 год</v>
      </c>
      <c r="AC169" s="380"/>
      <c r="AD169" s="5043"/>
      <c r="AE169" s="5042"/>
      <c r="AF169" s="5042"/>
      <c r="AG169" s="5043"/>
      <c r="AH169" s="5042"/>
      <c r="AI169" s="5043"/>
      <c r="AJ169" s="5042"/>
      <c r="AK169" s="5044"/>
      <c r="AL169" s="375"/>
      <c r="AM169" s="960"/>
      <c r="AN169" s="1048" cm="1" t="str">
        <f t="array" ref="AN169:AN169">K169</f>
        <v>2057</v>
      </c>
      <c r="AO169" s="1048" t="s">
        <v>2125</v>
      </c>
      <c r="AP169" s="1058" cm="1" t="str">
        <f t="array" ref="AP169:AP169">AP168</f>
        <v>0</v>
      </c>
      <c r="AQ169" s="683"/>
      <c r="AR169" s="683"/>
    </row>
    <row s="5148" customFormat="1" customHeight="1" ht="14.25" hidden="1">
      <c r="A170" s="960"/>
      <c r="B170" s="418">
        <f>K170&lt;first_year+PERIOD_LENGTH</f>
        <v>0</v>
      </c>
      <c r="C170" s="960"/>
      <c r="D170" s="960"/>
      <c r="E170" s="683">
        <v>15</v>
      </c>
      <c r="F170" s="50" cm="1" t="str">
        <f t="array" ref="F170:F170">OFFSET(E170,-1,1)</f>
        <v>2</v>
      </c>
      <c r="G170" s="64" cm="1" t="str">
        <f t="array" ref="G170:G170">G169</f>
        <v>0</v>
      </c>
      <c r="H170" s="960"/>
      <c r="I170" s="960"/>
      <c r="J170" s="960"/>
      <c r="K170" s="124">
        <f>first_year+34</f>
        <v>2058</v>
      </c>
      <c r="L170" s="960"/>
      <c r="M170" s="960"/>
      <c r="N170" s="960"/>
      <c r="O170" s="960"/>
      <c r="P170" s="960"/>
      <c r="Q170" s="960"/>
      <c r="R170" s="960"/>
      <c r="S170" s="960"/>
      <c r="T170" s="439" cm="1" t="str">
        <f t="array" ref="T170:T170">T169</f>
        <v>false</v>
      </c>
      <c r="U170" s="960"/>
      <c r="V170" s="960"/>
      <c r="W170" s="960"/>
      <c r="X170" s="1482"/>
      <c r="Y170" s="1482"/>
      <c r="Z170" s="1465"/>
      <c r="AA170" s="1585"/>
      <c r="AB170" s="222" t="str">
        <f>K170&amp;" год"</f>
        <v>2058 год</v>
      </c>
      <c r="AC170" s="380"/>
      <c r="AD170" s="5043"/>
      <c r="AE170" s="5042"/>
      <c r="AF170" s="5042"/>
      <c r="AG170" s="5043"/>
      <c r="AH170" s="5042"/>
      <c r="AI170" s="5043"/>
      <c r="AJ170" s="5042"/>
      <c r="AK170" s="5044"/>
      <c r="AL170" s="375"/>
      <c r="AM170" s="960"/>
      <c r="AN170" s="1048" cm="1" t="str">
        <f t="array" ref="AN170:AN170">K170</f>
        <v>2058</v>
      </c>
      <c r="AO170" s="1048" t="s">
        <v>2125</v>
      </c>
      <c r="AP170" s="1058" cm="1" t="str">
        <f t="array" ref="AP170:AP170">AP169</f>
        <v>0</v>
      </c>
      <c r="AQ170" s="683"/>
      <c r="AR170" s="683"/>
    </row>
    <row s="5149" customFormat="1" customHeight="1" ht="14.25" hidden="1">
      <c r="A171" s="960"/>
      <c r="B171" s="418">
        <f>K171&lt;first_year+PERIOD_LENGTH</f>
        <v>0</v>
      </c>
      <c r="C171" s="960"/>
      <c r="D171" s="960"/>
      <c r="E171" s="683">
        <v>15</v>
      </c>
      <c r="F171" s="50" cm="1" t="str">
        <f t="array" ref="F171:F171">OFFSET(E171,-1,1)</f>
        <v>2</v>
      </c>
      <c r="G171" s="64" cm="1" t="str">
        <f t="array" ref="G171:G171">G170</f>
        <v>0</v>
      </c>
      <c r="H171" s="960"/>
      <c r="I171" s="960"/>
      <c r="J171" s="960"/>
      <c r="K171" s="124">
        <f>first_year+35</f>
        <v>2059</v>
      </c>
      <c r="L171" s="960"/>
      <c r="M171" s="960"/>
      <c r="N171" s="960"/>
      <c r="O171" s="960"/>
      <c r="P171" s="960"/>
      <c r="Q171" s="960"/>
      <c r="R171" s="960"/>
      <c r="S171" s="960"/>
      <c r="T171" s="439" cm="1" t="str">
        <f t="array" ref="T171:T171">T170</f>
        <v>false</v>
      </c>
      <c r="U171" s="960"/>
      <c r="V171" s="960"/>
      <c r="W171" s="960"/>
      <c r="X171" s="1482"/>
      <c r="Y171" s="1482"/>
      <c r="Z171" s="1465"/>
      <c r="AA171" s="1585"/>
      <c r="AB171" s="222" t="str">
        <f>K171&amp;" год"</f>
        <v>2059 год</v>
      </c>
      <c r="AC171" s="380"/>
      <c r="AD171" s="5043"/>
      <c r="AE171" s="5042"/>
      <c r="AF171" s="5042"/>
      <c r="AG171" s="5043"/>
      <c r="AH171" s="5042"/>
      <c r="AI171" s="5043"/>
      <c r="AJ171" s="5042"/>
      <c r="AK171" s="5044"/>
      <c r="AL171" s="375"/>
      <c r="AM171" s="960"/>
      <c r="AN171" s="1048" cm="1" t="str">
        <f t="array" ref="AN171:AN171">K171</f>
        <v>2059</v>
      </c>
      <c r="AO171" s="1048" t="s">
        <v>2125</v>
      </c>
      <c r="AP171" s="1058" cm="1" t="str">
        <f t="array" ref="AP171:AP171">AP170</f>
        <v>0</v>
      </c>
      <c r="AQ171" s="683"/>
      <c r="AR171" s="683"/>
    </row>
    <row s="5150" customFormat="1" customHeight="1" ht="14.25" hidden="1">
      <c r="A172" s="960"/>
      <c r="B172" s="418">
        <f>K172&lt;first_year+PERIOD_LENGTH</f>
        <v>0</v>
      </c>
      <c r="C172" s="960"/>
      <c r="D172" s="960"/>
      <c r="E172" s="683">
        <v>15</v>
      </c>
      <c r="F172" s="50" cm="1" t="str">
        <f t="array" ref="F172:F172">OFFSET(E172,-1,1)</f>
        <v>2</v>
      </c>
      <c r="G172" s="64" cm="1" t="str">
        <f t="array" ref="G172:G172">G171</f>
        <v>0</v>
      </c>
      <c r="H172" s="960"/>
      <c r="I172" s="960"/>
      <c r="J172" s="960"/>
      <c r="K172" s="124">
        <f>first_year+36</f>
        <v>2060</v>
      </c>
      <c r="L172" s="960"/>
      <c r="M172" s="960"/>
      <c r="N172" s="960"/>
      <c r="O172" s="960"/>
      <c r="P172" s="960"/>
      <c r="Q172" s="960"/>
      <c r="R172" s="960"/>
      <c r="S172" s="960"/>
      <c r="T172" s="439" cm="1" t="str">
        <f t="array" ref="T172:T172">T171</f>
        <v>false</v>
      </c>
      <c r="U172" s="960"/>
      <c r="V172" s="960"/>
      <c r="W172" s="960"/>
      <c r="X172" s="1482"/>
      <c r="Y172" s="1482"/>
      <c r="Z172" s="1465"/>
      <c r="AA172" s="1585"/>
      <c r="AB172" s="222" t="str">
        <f>K172&amp;" год"</f>
        <v>2060 год</v>
      </c>
      <c r="AC172" s="380"/>
      <c r="AD172" s="5043"/>
      <c r="AE172" s="5042"/>
      <c r="AF172" s="5042"/>
      <c r="AG172" s="5043"/>
      <c r="AH172" s="5042"/>
      <c r="AI172" s="5043"/>
      <c r="AJ172" s="5042"/>
      <c r="AK172" s="5044"/>
      <c r="AL172" s="375"/>
      <c r="AM172" s="960"/>
      <c r="AN172" s="1048" cm="1" t="str">
        <f t="array" ref="AN172:AN172">K172</f>
        <v>2060</v>
      </c>
      <c r="AO172" s="1048" t="s">
        <v>2125</v>
      </c>
      <c r="AP172" s="1058" cm="1" t="str">
        <f t="array" ref="AP172:AP172">AP171</f>
        <v>0</v>
      </c>
      <c r="AQ172" s="683"/>
      <c r="AR172" s="683"/>
    </row>
    <row s="5151" customFormat="1" customHeight="1" ht="14.25" hidden="1">
      <c r="A173" s="960"/>
      <c r="B173" s="418">
        <f>K173&lt;first_year+PERIOD_LENGTH</f>
        <v>0</v>
      </c>
      <c r="C173" s="960"/>
      <c r="D173" s="960"/>
      <c r="E173" s="683">
        <v>15</v>
      </c>
      <c r="F173" s="50" cm="1" t="str">
        <f t="array" ref="F173:F173">OFFSET(E173,-1,1)</f>
        <v>2</v>
      </c>
      <c r="G173" s="64" cm="1" t="str">
        <f t="array" ref="G173:G173">G172</f>
        <v>0</v>
      </c>
      <c r="H173" s="960"/>
      <c r="I173" s="960"/>
      <c r="J173" s="960"/>
      <c r="K173" s="124">
        <f>first_year+37</f>
        <v>2061</v>
      </c>
      <c r="L173" s="960"/>
      <c r="M173" s="960"/>
      <c r="N173" s="960"/>
      <c r="O173" s="960"/>
      <c r="P173" s="960"/>
      <c r="Q173" s="960"/>
      <c r="R173" s="960"/>
      <c r="S173" s="960"/>
      <c r="T173" s="439" cm="1" t="str">
        <f t="array" ref="T173:T173">T172</f>
        <v>false</v>
      </c>
      <c r="U173" s="960"/>
      <c r="V173" s="960"/>
      <c r="W173" s="960"/>
      <c r="X173" s="1482"/>
      <c r="Y173" s="1482"/>
      <c r="Z173" s="1465"/>
      <c r="AA173" s="1585"/>
      <c r="AB173" s="222" t="str">
        <f>K173&amp;" год"</f>
        <v>2061 год</v>
      </c>
      <c r="AC173" s="380"/>
      <c r="AD173" s="5043"/>
      <c r="AE173" s="5042"/>
      <c r="AF173" s="5042"/>
      <c r="AG173" s="5043"/>
      <c r="AH173" s="5042"/>
      <c r="AI173" s="5043"/>
      <c r="AJ173" s="5042"/>
      <c r="AK173" s="5044"/>
      <c r="AL173" s="375"/>
      <c r="AM173" s="960"/>
      <c r="AN173" s="1048" cm="1" t="str">
        <f t="array" ref="AN173:AN173">K173</f>
        <v>2061</v>
      </c>
      <c r="AO173" s="1048" t="s">
        <v>2125</v>
      </c>
      <c r="AP173" s="1058" cm="1" t="str">
        <f t="array" ref="AP173:AP173">AP172</f>
        <v>0</v>
      </c>
      <c r="AQ173" s="683"/>
      <c r="AR173" s="683"/>
    </row>
    <row s="5152" customFormat="1" customHeight="1" ht="14.25" hidden="1">
      <c r="A174" s="960"/>
      <c r="B174" s="418">
        <f>K174&lt;first_year+PERIOD_LENGTH</f>
        <v>0</v>
      </c>
      <c r="C174" s="960"/>
      <c r="D174" s="960"/>
      <c r="E174" s="683">
        <v>15</v>
      </c>
      <c r="F174" s="50" cm="1" t="str">
        <f t="array" ref="F174:F174">OFFSET(E174,-1,1)</f>
        <v>2</v>
      </c>
      <c r="G174" s="64" cm="1" t="str">
        <f t="array" ref="G174:G174">G173</f>
        <v>0</v>
      </c>
      <c r="H174" s="960"/>
      <c r="I174" s="960"/>
      <c r="J174" s="960"/>
      <c r="K174" s="124">
        <f>first_year+38</f>
        <v>2062</v>
      </c>
      <c r="L174" s="960"/>
      <c r="M174" s="960"/>
      <c r="N174" s="960"/>
      <c r="O174" s="960"/>
      <c r="P174" s="960"/>
      <c r="Q174" s="960"/>
      <c r="R174" s="960"/>
      <c r="S174" s="960"/>
      <c r="T174" s="439" cm="1" t="str">
        <f t="array" ref="T174:T174">T173</f>
        <v>false</v>
      </c>
      <c r="U174" s="960"/>
      <c r="V174" s="960"/>
      <c r="W174" s="960"/>
      <c r="X174" s="1482"/>
      <c r="Y174" s="1482"/>
      <c r="Z174" s="1465"/>
      <c r="AA174" s="1585"/>
      <c r="AB174" s="222" t="str">
        <f>K174&amp;" год"</f>
        <v>2062 год</v>
      </c>
      <c r="AC174" s="380"/>
      <c r="AD174" s="5043"/>
      <c r="AE174" s="5042"/>
      <c r="AF174" s="5042"/>
      <c r="AG174" s="5043"/>
      <c r="AH174" s="5042"/>
      <c r="AI174" s="5043"/>
      <c r="AJ174" s="5042"/>
      <c r="AK174" s="5044"/>
      <c r="AL174" s="375"/>
      <c r="AM174" s="960"/>
      <c r="AN174" s="1048" cm="1" t="str">
        <f t="array" ref="AN174:AN174">K174</f>
        <v>2062</v>
      </c>
      <c r="AO174" s="1048" t="s">
        <v>2125</v>
      </c>
      <c r="AP174" s="1058" cm="1" t="str">
        <f t="array" ref="AP174:AP174">AP173</f>
        <v>0</v>
      </c>
      <c r="AQ174" s="683"/>
      <c r="AR174" s="683"/>
    </row>
    <row s="5153" customFormat="1" customHeight="1" ht="14.25" hidden="1">
      <c r="A175" s="960"/>
      <c r="B175" s="418">
        <f>K175&lt;first_year+PERIOD_LENGTH</f>
        <v>0</v>
      </c>
      <c r="C175" s="960"/>
      <c r="D175" s="960"/>
      <c r="E175" s="683">
        <v>15</v>
      </c>
      <c r="F175" s="50" cm="1" t="str">
        <f t="array" ref="F175:F175">OFFSET(E175,-1,1)</f>
        <v>2</v>
      </c>
      <c r="G175" s="64" cm="1" t="str">
        <f t="array" ref="G175:G175">G174</f>
        <v>0</v>
      </c>
      <c r="H175" s="960"/>
      <c r="I175" s="960"/>
      <c r="J175" s="960"/>
      <c r="K175" s="124">
        <f>first_year+39</f>
        <v>2063</v>
      </c>
      <c r="L175" s="960"/>
      <c r="M175" s="960"/>
      <c r="N175" s="960"/>
      <c r="O175" s="960"/>
      <c r="P175" s="960"/>
      <c r="Q175" s="960"/>
      <c r="R175" s="960"/>
      <c r="S175" s="960"/>
      <c r="T175" s="439" cm="1" t="str">
        <f t="array" ref="T175:T175">T174</f>
        <v>false</v>
      </c>
      <c r="U175" s="960"/>
      <c r="V175" s="960"/>
      <c r="W175" s="960"/>
      <c r="X175" s="1482"/>
      <c r="Y175" s="1482"/>
      <c r="Z175" s="1465"/>
      <c r="AA175" s="1585"/>
      <c r="AB175" s="222" t="str">
        <f>K175&amp;" год"</f>
        <v>2063 год</v>
      </c>
      <c r="AC175" s="380"/>
      <c r="AD175" s="5043"/>
      <c r="AE175" s="5042"/>
      <c r="AF175" s="5042"/>
      <c r="AG175" s="5043"/>
      <c r="AH175" s="5042"/>
      <c r="AI175" s="5043"/>
      <c r="AJ175" s="5042"/>
      <c r="AK175" s="5044"/>
      <c r="AL175" s="375"/>
      <c r="AM175" s="960"/>
      <c r="AN175" s="1048" cm="1" t="str">
        <f t="array" ref="AN175:AN175">K175</f>
        <v>2063</v>
      </c>
      <c r="AO175" s="1048" t="s">
        <v>2125</v>
      </c>
      <c r="AP175" s="1058" cm="1" t="str">
        <f t="array" ref="AP175:AP175">AP174</f>
        <v>0</v>
      </c>
      <c r="AQ175" s="683"/>
      <c r="AR175" s="683"/>
    </row>
    <row s="5154" customFormat="1" customHeight="1" ht="14.25" hidden="1">
      <c r="A176" s="960"/>
      <c r="B176" s="418">
        <f>K176&lt;first_year+PERIOD_LENGTH</f>
        <v>0</v>
      </c>
      <c r="C176" s="960"/>
      <c r="D176" s="960"/>
      <c r="E176" s="683">
        <v>15</v>
      </c>
      <c r="F176" s="50" cm="1" t="str">
        <f t="array" ref="F176:F176">OFFSET(E176,-1,1)</f>
        <v>2</v>
      </c>
      <c r="G176" s="64" cm="1" t="str">
        <f t="array" ref="G176:G176">G175</f>
        <v>0</v>
      </c>
      <c r="H176" s="960"/>
      <c r="I176" s="960"/>
      <c r="J176" s="960"/>
      <c r="K176" s="124">
        <f>first_year+40</f>
        <v>2064</v>
      </c>
      <c r="L176" s="960"/>
      <c r="M176" s="960"/>
      <c r="N176" s="960"/>
      <c r="O176" s="960"/>
      <c r="P176" s="960"/>
      <c r="Q176" s="960"/>
      <c r="R176" s="960"/>
      <c r="S176" s="960"/>
      <c r="T176" s="439" cm="1" t="str">
        <f t="array" ref="T176:T176">T175</f>
        <v>false</v>
      </c>
      <c r="U176" s="960"/>
      <c r="V176" s="960"/>
      <c r="W176" s="960"/>
      <c r="X176" s="1482"/>
      <c r="Y176" s="1482"/>
      <c r="Z176" s="1465"/>
      <c r="AA176" s="1585"/>
      <c r="AB176" s="222" t="str">
        <f>K176&amp;" год"</f>
        <v>2064 год</v>
      </c>
      <c r="AC176" s="380"/>
      <c r="AD176" s="5043"/>
      <c r="AE176" s="5042"/>
      <c r="AF176" s="5042"/>
      <c r="AG176" s="5043"/>
      <c r="AH176" s="5042"/>
      <c r="AI176" s="5043"/>
      <c r="AJ176" s="5042"/>
      <c r="AK176" s="5044"/>
      <c r="AL176" s="375"/>
      <c r="AM176" s="960"/>
      <c r="AN176" s="1048" cm="1" t="str">
        <f t="array" ref="AN176:AN176">K176</f>
        <v>2064</v>
      </c>
      <c r="AO176" s="1048" t="s">
        <v>2125</v>
      </c>
      <c r="AP176" s="1058" cm="1" t="str">
        <f t="array" ref="AP176:AP176">AP175</f>
        <v>0</v>
      </c>
      <c r="AQ176" s="683"/>
      <c r="AR176" s="683"/>
    </row>
    <row s="5155" customFormat="1" customHeight="1" ht="14.25" hidden="1">
      <c r="A177" s="960"/>
      <c r="B177" s="418">
        <f>K177&lt;first_year+PERIOD_LENGTH</f>
        <v>0</v>
      </c>
      <c r="C177" s="960"/>
      <c r="D177" s="960"/>
      <c r="E177" s="683">
        <v>15</v>
      </c>
      <c r="F177" s="50" cm="1" t="str">
        <f t="array" ref="F177:F177">OFFSET(E177,-1,1)</f>
        <v>2</v>
      </c>
      <c r="G177" s="64" cm="1" t="str">
        <f t="array" ref="G177:G177">G176</f>
        <v>0</v>
      </c>
      <c r="H177" s="960"/>
      <c r="I177" s="960"/>
      <c r="J177" s="960"/>
      <c r="K177" s="124">
        <f>first_year+41</f>
        <v>2065</v>
      </c>
      <c r="L177" s="960"/>
      <c r="M177" s="960"/>
      <c r="N177" s="960"/>
      <c r="O177" s="960"/>
      <c r="P177" s="960"/>
      <c r="Q177" s="960"/>
      <c r="R177" s="960"/>
      <c r="S177" s="960"/>
      <c r="T177" s="439" cm="1" t="str">
        <f t="array" ref="T177:T177">T176</f>
        <v>false</v>
      </c>
      <c r="U177" s="960"/>
      <c r="V177" s="960"/>
      <c r="W177" s="960"/>
      <c r="X177" s="1482"/>
      <c r="Y177" s="1482"/>
      <c r="Z177" s="1465"/>
      <c r="AA177" s="1585"/>
      <c r="AB177" s="222" t="str">
        <f>K177&amp;" год"</f>
        <v>2065 год</v>
      </c>
      <c r="AC177" s="380"/>
      <c r="AD177" s="5043"/>
      <c r="AE177" s="5042"/>
      <c r="AF177" s="5042"/>
      <c r="AG177" s="5043"/>
      <c r="AH177" s="5042"/>
      <c r="AI177" s="5043"/>
      <c r="AJ177" s="5042"/>
      <c r="AK177" s="5044"/>
      <c r="AL177" s="375"/>
      <c r="AM177" s="960"/>
      <c r="AN177" s="1048" cm="1" t="str">
        <f t="array" ref="AN177:AN177">K177</f>
        <v>2065</v>
      </c>
      <c r="AO177" s="1048" t="s">
        <v>2125</v>
      </c>
      <c r="AP177" s="1058" cm="1" t="str">
        <f t="array" ref="AP177:AP177">AP176</f>
        <v>0</v>
      </c>
      <c r="AQ177" s="683"/>
      <c r="AR177" s="683"/>
    </row>
    <row s="5156" customFormat="1" customHeight="1" ht="14.25" hidden="1">
      <c r="A178" s="960"/>
      <c r="B178" s="418">
        <f>K178&lt;first_year+PERIOD_LENGTH</f>
        <v>0</v>
      </c>
      <c r="C178" s="960"/>
      <c r="D178" s="960"/>
      <c r="E178" s="683">
        <v>15</v>
      </c>
      <c r="F178" s="50" cm="1" t="str">
        <f t="array" ref="F178:F178">OFFSET(E178,-1,1)</f>
        <v>2</v>
      </c>
      <c r="G178" s="64" cm="1" t="str">
        <f t="array" ref="G178:G178">G177</f>
        <v>0</v>
      </c>
      <c r="H178" s="960"/>
      <c r="I178" s="960"/>
      <c r="J178" s="960"/>
      <c r="K178" s="124">
        <f>first_year+42</f>
        <v>2066</v>
      </c>
      <c r="L178" s="960"/>
      <c r="M178" s="960"/>
      <c r="N178" s="960"/>
      <c r="O178" s="960"/>
      <c r="P178" s="960"/>
      <c r="Q178" s="960"/>
      <c r="R178" s="960"/>
      <c r="S178" s="960"/>
      <c r="T178" s="439" cm="1" t="str">
        <f t="array" ref="T178:T178">T177</f>
        <v>false</v>
      </c>
      <c r="U178" s="960"/>
      <c r="V178" s="960"/>
      <c r="W178" s="960"/>
      <c r="X178" s="1482"/>
      <c r="Y178" s="1482"/>
      <c r="Z178" s="1465"/>
      <c r="AA178" s="1585"/>
      <c r="AB178" s="222" t="str">
        <f>K178&amp;" год"</f>
        <v>2066 год</v>
      </c>
      <c r="AC178" s="380"/>
      <c r="AD178" s="5043"/>
      <c r="AE178" s="5042"/>
      <c r="AF178" s="5042"/>
      <c r="AG178" s="5043"/>
      <c r="AH178" s="5042"/>
      <c r="AI178" s="5043"/>
      <c r="AJ178" s="5042"/>
      <c r="AK178" s="5044"/>
      <c r="AL178" s="375"/>
      <c r="AM178" s="960"/>
      <c r="AN178" s="1048" cm="1" t="str">
        <f t="array" ref="AN178:AN178">K178</f>
        <v>2066</v>
      </c>
      <c r="AO178" s="1048" t="s">
        <v>2125</v>
      </c>
      <c r="AP178" s="1058" cm="1" t="str">
        <f t="array" ref="AP178:AP178">AP177</f>
        <v>0</v>
      </c>
      <c r="AQ178" s="683"/>
      <c r="AR178" s="683"/>
    </row>
    <row s="5157" customFormat="1" customHeight="1" ht="14.25" hidden="1">
      <c r="A179" s="960"/>
      <c r="B179" s="418">
        <f>K179&lt;first_year+PERIOD_LENGTH</f>
        <v>0</v>
      </c>
      <c r="C179" s="960"/>
      <c r="D179" s="960"/>
      <c r="E179" s="683">
        <v>15</v>
      </c>
      <c r="F179" s="50" cm="1" t="str">
        <f t="array" ref="F179:F179">OFFSET(E179,-1,1)</f>
        <v>2</v>
      </c>
      <c r="G179" s="64" cm="1" t="str">
        <f t="array" ref="G179:G179">G178</f>
        <v>0</v>
      </c>
      <c r="H179" s="960"/>
      <c r="I179" s="960"/>
      <c r="J179" s="960"/>
      <c r="K179" s="124">
        <f>first_year+43</f>
        <v>2067</v>
      </c>
      <c r="L179" s="960"/>
      <c r="M179" s="960"/>
      <c r="N179" s="960"/>
      <c r="O179" s="960"/>
      <c r="P179" s="960"/>
      <c r="Q179" s="960"/>
      <c r="R179" s="960"/>
      <c r="S179" s="960"/>
      <c r="T179" s="439" cm="1" t="str">
        <f t="array" ref="T179:T179">T178</f>
        <v>false</v>
      </c>
      <c r="U179" s="960"/>
      <c r="V179" s="960"/>
      <c r="W179" s="960"/>
      <c r="X179" s="1482"/>
      <c r="Y179" s="1482"/>
      <c r="Z179" s="1465"/>
      <c r="AA179" s="1585"/>
      <c r="AB179" s="222" t="str">
        <f>K179&amp;" год"</f>
        <v>2067 год</v>
      </c>
      <c r="AC179" s="380"/>
      <c r="AD179" s="5043"/>
      <c r="AE179" s="5042"/>
      <c r="AF179" s="5042"/>
      <c r="AG179" s="5043"/>
      <c r="AH179" s="5042"/>
      <c r="AI179" s="5043"/>
      <c r="AJ179" s="5042"/>
      <c r="AK179" s="5044"/>
      <c r="AL179" s="375"/>
      <c r="AM179" s="960"/>
      <c r="AN179" s="1048" cm="1" t="str">
        <f t="array" ref="AN179:AN179">K179</f>
        <v>2067</v>
      </c>
      <c r="AO179" s="1048" t="s">
        <v>2125</v>
      </c>
      <c r="AP179" s="1058" cm="1" t="str">
        <f t="array" ref="AP179:AP179">AP178</f>
        <v>0</v>
      </c>
      <c r="AQ179" s="683"/>
      <c r="AR179" s="683"/>
    </row>
    <row s="5158" customFormat="1" customHeight="1" ht="14.25" hidden="1">
      <c r="A180" s="960"/>
      <c r="B180" s="418">
        <f>K180&lt;first_year+PERIOD_LENGTH</f>
        <v>0</v>
      </c>
      <c r="C180" s="960"/>
      <c r="D180" s="960"/>
      <c r="E180" s="683">
        <v>15</v>
      </c>
      <c r="F180" s="50" cm="1" t="str">
        <f t="array" ref="F180:F180">OFFSET(E180,-1,1)</f>
        <v>2</v>
      </c>
      <c r="G180" s="64" cm="1" t="str">
        <f t="array" ref="G180:G180">G179</f>
        <v>0</v>
      </c>
      <c r="H180" s="960"/>
      <c r="I180" s="960"/>
      <c r="J180" s="960"/>
      <c r="K180" s="124">
        <f>first_year+44</f>
        <v>2068</v>
      </c>
      <c r="L180" s="960"/>
      <c r="M180" s="960"/>
      <c r="N180" s="960"/>
      <c r="O180" s="960"/>
      <c r="P180" s="960"/>
      <c r="Q180" s="960"/>
      <c r="R180" s="960"/>
      <c r="S180" s="960"/>
      <c r="T180" s="439" cm="1" t="str">
        <f t="array" ref="T180:T180">T179</f>
        <v>false</v>
      </c>
      <c r="U180" s="960"/>
      <c r="V180" s="960"/>
      <c r="W180" s="960"/>
      <c r="X180" s="1482"/>
      <c r="Y180" s="1482"/>
      <c r="Z180" s="1465"/>
      <c r="AA180" s="1585"/>
      <c r="AB180" s="222" t="str">
        <f>K180&amp;" год"</f>
        <v>2068 год</v>
      </c>
      <c r="AC180" s="380"/>
      <c r="AD180" s="5043"/>
      <c r="AE180" s="5042"/>
      <c r="AF180" s="5042"/>
      <c r="AG180" s="5043"/>
      <c r="AH180" s="5042"/>
      <c r="AI180" s="5043"/>
      <c r="AJ180" s="5042"/>
      <c r="AK180" s="5044"/>
      <c r="AL180" s="375"/>
      <c r="AM180" s="960"/>
      <c r="AN180" s="1048" cm="1" t="str">
        <f t="array" ref="AN180:AN180">K180</f>
        <v>2068</v>
      </c>
      <c r="AO180" s="1048" t="s">
        <v>2125</v>
      </c>
      <c r="AP180" s="1058" cm="1" t="str">
        <f t="array" ref="AP180:AP180">AP179</f>
        <v>0</v>
      </c>
      <c r="AQ180" s="683"/>
      <c r="AR180" s="683"/>
    </row>
    <row s="5159" customFormat="1" customHeight="1" ht="14.25" hidden="1">
      <c r="A181" s="960"/>
      <c r="B181" s="418">
        <f>K181&lt;first_year+PERIOD_LENGTH</f>
        <v>0</v>
      </c>
      <c r="C181" s="960"/>
      <c r="D181" s="960"/>
      <c r="E181" s="683">
        <v>15</v>
      </c>
      <c r="F181" s="50" cm="1" t="str">
        <f t="array" ref="F181:F181">OFFSET(E181,-1,1)</f>
        <v>2</v>
      </c>
      <c r="G181" s="64" cm="1" t="str">
        <f t="array" ref="G181:G181">G180</f>
        <v>0</v>
      </c>
      <c r="H181" s="960"/>
      <c r="I181" s="960"/>
      <c r="J181" s="960"/>
      <c r="K181" s="124">
        <f>first_year+45</f>
        <v>2069</v>
      </c>
      <c r="L181" s="960"/>
      <c r="M181" s="960"/>
      <c r="N181" s="960"/>
      <c r="O181" s="960"/>
      <c r="P181" s="960"/>
      <c r="Q181" s="960"/>
      <c r="R181" s="960"/>
      <c r="S181" s="960"/>
      <c r="T181" s="439" cm="1" t="str">
        <f t="array" ref="T181:T181">T180</f>
        <v>false</v>
      </c>
      <c r="U181" s="960"/>
      <c r="V181" s="960"/>
      <c r="W181" s="960"/>
      <c r="X181" s="1482"/>
      <c r="Y181" s="1482"/>
      <c r="Z181" s="1465"/>
      <c r="AA181" s="1585"/>
      <c r="AB181" s="222" t="str">
        <f>K181&amp;" год"</f>
        <v>2069 год</v>
      </c>
      <c r="AC181" s="380"/>
      <c r="AD181" s="5043"/>
      <c r="AE181" s="5042"/>
      <c r="AF181" s="5042"/>
      <c r="AG181" s="5043"/>
      <c r="AH181" s="5042"/>
      <c r="AI181" s="5043"/>
      <c r="AJ181" s="5042"/>
      <c r="AK181" s="5044"/>
      <c r="AL181" s="375"/>
      <c r="AM181" s="960"/>
      <c r="AN181" s="1048" cm="1" t="str">
        <f t="array" ref="AN181:AN181">K181</f>
        <v>2069</v>
      </c>
      <c r="AO181" s="1048" t="s">
        <v>2125</v>
      </c>
      <c r="AP181" s="1058" cm="1" t="str">
        <f t="array" ref="AP181:AP181">AP180</f>
        <v>0</v>
      </c>
      <c r="AQ181" s="683"/>
      <c r="AR181" s="683"/>
    </row>
    <row s="5160" customFormat="1" customHeight="1" ht="14.25" hidden="1">
      <c r="A182" s="960"/>
      <c r="B182" s="418">
        <f>K182&lt;first_year+PERIOD_LENGTH</f>
        <v>0</v>
      </c>
      <c r="C182" s="960"/>
      <c r="D182" s="960"/>
      <c r="E182" s="683">
        <v>15</v>
      </c>
      <c r="F182" s="50" cm="1" t="str">
        <f t="array" ref="F182:F182">OFFSET(E182,-1,1)</f>
        <v>2</v>
      </c>
      <c r="G182" s="64" cm="1" t="str">
        <f t="array" ref="G182:G182">G181</f>
        <v>0</v>
      </c>
      <c r="H182" s="960"/>
      <c r="I182" s="960"/>
      <c r="J182" s="960"/>
      <c r="K182" s="124">
        <f>first_year+46</f>
        <v>2070</v>
      </c>
      <c r="L182" s="960"/>
      <c r="M182" s="960"/>
      <c r="N182" s="960"/>
      <c r="O182" s="960"/>
      <c r="P182" s="960"/>
      <c r="Q182" s="960"/>
      <c r="R182" s="960"/>
      <c r="S182" s="960"/>
      <c r="T182" s="439" cm="1" t="str">
        <f t="array" ref="T182:T182">T181</f>
        <v>false</v>
      </c>
      <c r="U182" s="960"/>
      <c r="V182" s="960"/>
      <c r="W182" s="960"/>
      <c r="X182" s="1482"/>
      <c r="Y182" s="1482"/>
      <c r="Z182" s="1465"/>
      <c r="AA182" s="1585"/>
      <c r="AB182" s="222" t="str">
        <f>K182&amp;" год"</f>
        <v>2070 год</v>
      </c>
      <c r="AC182" s="380"/>
      <c r="AD182" s="5043"/>
      <c r="AE182" s="5042"/>
      <c r="AF182" s="5042"/>
      <c r="AG182" s="5043"/>
      <c r="AH182" s="5042"/>
      <c r="AI182" s="5043"/>
      <c r="AJ182" s="5042"/>
      <c r="AK182" s="5044"/>
      <c r="AL182" s="375"/>
      <c r="AM182" s="960"/>
      <c r="AN182" s="1048" cm="1" t="str">
        <f t="array" ref="AN182:AN182">K182</f>
        <v>2070</v>
      </c>
      <c r="AO182" s="1048" t="s">
        <v>2125</v>
      </c>
      <c r="AP182" s="1058" cm="1" t="str">
        <f t="array" ref="AP182:AP182">AP181</f>
        <v>0</v>
      </c>
      <c r="AQ182" s="683"/>
      <c r="AR182" s="683"/>
    </row>
    <row s="5161" customFormat="1" customHeight="1" ht="14.25" hidden="1">
      <c r="A183" s="960"/>
      <c r="B183" s="418">
        <f>K183&lt;first_year+PERIOD_LENGTH</f>
        <v>0</v>
      </c>
      <c r="C183" s="960"/>
      <c r="D183" s="960"/>
      <c r="E183" s="683">
        <v>15</v>
      </c>
      <c r="F183" s="50" cm="1" t="str">
        <f t="array" ref="F183:F183">OFFSET(E183,-1,1)</f>
        <v>2</v>
      </c>
      <c r="G183" s="64" cm="1" t="str">
        <f t="array" ref="G183:G183">G182</f>
        <v>0</v>
      </c>
      <c r="H183" s="960"/>
      <c r="I183" s="960"/>
      <c r="J183" s="960"/>
      <c r="K183" s="124">
        <f>first_year+47</f>
        <v>2071</v>
      </c>
      <c r="L183" s="960"/>
      <c r="M183" s="960"/>
      <c r="N183" s="960"/>
      <c r="O183" s="960"/>
      <c r="P183" s="960"/>
      <c r="Q183" s="960"/>
      <c r="R183" s="960"/>
      <c r="S183" s="960"/>
      <c r="T183" s="439" cm="1" t="str">
        <f t="array" ref="T183:T183">T182</f>
        <v>false</v>
      </c>
      <c r="U183" s="960"/>
      <c r="V183" s="960"/>
      <c r="W183" s="960"/>
      <c r="X183" s="1482"/>
      <c r="Y183" s="1482"/>
      <c r="Z183" s="1465"/>
      <c r="AA183" s="1585"/>
      <c r="AB183" s="222" t="str">
        <f>K183&amp;" год"</f>
        <v>2071 год</v>
      </c>
      <c r="AC183" s="380"/>
      <c r="AD183" s="5043"/>
      <c r="AE183" s="5042"/>
      <c r="AF183" s="5042"/>
      <c r="AG183" s="5043"/>
      <c r="AH183" s="5042"/>
      <c r="AI183" s="5043"/>
      <c r="AJ183" s="5042"/>
      <c r="AK183" s="5044"/>
      <c r="AL183" s="375"/>
      <c r="AM183" s="960"/>
      <c r="AN183" s="1048" cm="1" t="str">
        <f t="array" ref="AN183:AN183">K183</f>
        <v>2071</v>
      </c>
      <c r="AO183" s="1048" t="s">
        <v>2125</v>
      </c>
      <c r="AP183" s="1058" cm="1" t="str">
        <f t="array" ref="AP183:AP183">AP182</f>
        <v>0</v>
      </c>
      <c r="AQ183" s="683"/>
      <c r="AR183" s="683"/>
    </row>
    <row s="5162" customFormat="1" customHeight="1" ht="14.25" hidden="1">
      <c r="A184" s="960"/>
      <c r="B184" s="418">
        <f>K184&lt;first_year+PERIOD_LENGTH</f>
        <v>0</v>
      </c>
      <c r="C184" s="960"/>
      <c r="D184" s="960"/>
      <c r="E184" s="683">
        <v>15</v>
      </c>
      <c r="F184" s="50" cm="1" t="str">
        <f t="array" ref="F184:F184">OFFSET(E184,-1,1)</f>
        <v>2</v>
      </c>
      <c r="G184" s="64" cm="1" t="str">
        <f t="array" ref="G184:G184">G183</f>
        <v>0</v>
      </c>
      <c r="H184" s="960"/>
      <c r="I184" s="960"/>
      <c r="J184" s="960"/>
      <c r="K184" s="124">
        <f>first_year+48</f>
        <v>2072</v>
      </c>
      <c r="L184" s="960"/>
      <c r="M184" s="960"/>
      <c r="N184" s="960"/>
      <c r="O184" s="960"/>
      <c r="P184" s="960"/>
      <c r="Q184" s="960"/>
      <c r="R184" s="960"/>
      <c r="S184" s="960"/>
      <c r="T184" s="439" cm="1" t="str">
        <f t="array" ref="T184:T184">T183</f>
        <v>false</v>
      </c>
      <c r="U184" s="960"/>
      <c r="V184" s="960"/>
      <c r="W184" s="960"/>
      <c r="X184" s="1482"/>
      <c r="Y184" s="1482"/>
      <c r="Z184" s="1465"/>
      <c r="AA184" s="1585"/>
      <c r="AB184" s="222" t="str">
        <f>K184&amp;" год"</f>
        <v>2072 год</v>
      </c>
      <c r="AC184" s="380"/>
      <c r="AD184" s="5043"/>
      <c r="AE184" s="5042"/>
      <c r="AF184" s="5042"/>
      <c r="AG184" s="5043"/>
      <c r="AH184" s="5042"/>
      <c r="AI184" s="5043"/>
      <c r="AJ184" s="5042"/>
      <c r="AK184" s="5044"/>
      <c r="AL184" s="375"/>
      <c r="AM184" s="960"/>
      <c r="AN184" s="1048" cm="1" t="str">
        <f t="array" ref="AN184:AN184">K184</f>
        <v>2072</v>
      </c>
      <c r="AO184" s="1048" t="s">
        <v>2125</v>
      </c>
      <c r="AP184" s="1058" cm="1" t="str">
        <f t="array" ref="AP184:AP184">AP183</f>
        <v>0</v>
      </c>
      <c r="AQ184" s="683"/>
      <c r="AR184" s="683"/>
    </row>
    <row s="5163" customFormat="1" customHeight="1" ht="14.25" hidden="1">
      <c r="A185" s="960"/>
      <c r="B185" s="418">
        <f>K185&lt;first_year+PERIOD_LENGTH</f>
        <v>0</v>
      </c>
      <c r="C185" s="960"/>
      <c r="D185" s="960"/>
      <c r="E185" s="683">
        <v>15</v>
      </c>
      <c r="F185" s="50" cm="1" t="str">
        <f t="array" ref="F185:F185">OFFSET(E185,-1,1)</f>
        <v>2</v>
      </c>
      <c r="G185" s="64" cm="1" t="str">
        <f t="array" ref="G185:G185">G184</f>
        <v>0</v>
      </c>
      <c r="H185" s="960"/>
      <c r="I185" s="960"/>
      <c r="J185" s="960"/>
      <c r="K185" s="124">
        <f>first_year+49</f>
        <v>2073</v>
      </c>
      <c r="L185" s="960"/>
      <c r="M185" s="960"/>
      <c r="N185" s="960"/>
      <c r="O185" s="960"/>
      <c r="P185" s="960"/>
      <c r="Q185" s="960"/>
      <c r="R185" s="960"/>
      <c r="S185" s="960"/>
      <c r="T185" s="439" cm="1" t="str">
        <f t="array" ref="T185:T185">T184</f>
        <v>false</v>
      </c>
      <c r="U185" s="960"/>
      <c r="V185" s="960"/>
      <c r="W185" s="960"/>
      <c r="X185" s="1482"/>
      <c r="Y185" s="1482"/>
      <c r="Z185" s="1465"/>
      <c r="AA185" s="1585"/>
      <c r="AB185" s="222" t="str">
        <f>K185&amp;" год"</f>
        <v>2073 год</v>
      </c>
      <c r="AC185" s="380"/>
      <c r="AD185" s="5043"/>
      <c r="AE185" s="5042"/>
      <c r="AF185" s="5042"/>
      <c r="AG185" s="5043"/>
      <c r="AH185" s="5042"/>
      <c r="AI185" s="5043"/>
      <c r="AJ185" s="5042"/>
      <c r="AK185" s="5044"/>
      <c r="AL185" s="375"/>
      <c r="AM185" s="960"/>
      <c r="AN185" s="1048" cm="1" t="str">
        <f t="array" ref="AN185:AN185">K185</f>
        <v>2073</v>
      </c>
      <c r="AO185" s="1048" t="s">
        <v>2125</v>
      </c>
      <c r="AP185" s="1058" cm="1" t="str">
        <f t="array" ref="AP185:AP185">AP184</f>
        <v>0</v>
      </c>
      <c r="AQ185" s="683"/>
      <c r="AR185" s="683"/>
    </row>
    <row s="1621" customFormat="1" customHeight="1" ht="14.25">
      <c r="A186" s="124"/>
      <c r="B186" s="405"/>
      <c r="C186" s="124"/>
      <c r="D186" s="124"/>
      <c r="E186" s="683">
        <v>15</v>
      </c>
      <c r="F186" s="1202" cm="1" t="str">
        <f t="array" ref="F186:F186">OFFSET(E186,-1,1)</f>
        <v>2</v>
      </c>
      <c r="G186" s="124" t="str">
        <f>"!== 'не определено'"</f>
        <v>!== 'не определено'</v>
      </c>
      <c r="H186" s="124"/>
      <c r="I186" s="124"/>
      <c r="J186" s="124"/>
      <c r="K186" s="124"/>
      <c r="L186" s="124"/>
      <c r="M186" s="124"/>
      <c r="N186" s="124"/>
      <c r="O186" s="124"/>
      <c r="P186" s="124"/>
      <c r="Q186" s="124"/>
      <c r="R186" s="124"/>
      <c r="S186" s="124"/>
      <c r="T186" s="439">
        <f>F186&gt;0</f>
        <v>1</v>
      </c>
      <c r="U186" s="124"/>
      <c r="V186" s="124"/>
      <c r="W186" s="810" t="s">
        <v>2126</v>
      </c>
      <c r="X186" s="1482"/>
      <c r="Y186" s="124"/>
      <c r="Z186" s="1465"/>
      <c r="AA186" s="124"/>
      <c r="AB186" s="920" t="s">
        <v>177</v>
      </c>
      <c r="AC186" s="271"/>
      <c r="AD186" s="271"/>
      <c r="AE186" s="271"/>
      <c r="AF186" s="271"/>
      <c r="AG186" s="271"/>
      <c r="AH186" s="271"/>
      <c r="AI186" s="271"/>
      <c r="AJ186" s="271"/>
      <c r="AK186" s="271"/>
      <c r="AL186" s="375"/>
      <c r="AM186" s="1621"/>
      <c r="AN186" s="987"/>
      <c r="AO186" s="987"/>
      <c r="AP186" s="987"/>
      <c r="AQ186" s="990" t="s">
        <v>2125</v>
      </c>
      <c r="AR186" s="603"/>
    </row>
    <row customHeight="1" ht="10.96875">
      <c r="E187" s="683">
        <v>11.25</v>
      </c>
      <c r="U187" s="676" t="s">
        <v>177</v>
      </c>
      <c r="V187" s="689" t="s">
        <v>2127</v>
      </c>
      <c r="AH187" s="676"/>
      <c r="AI187" s="676"/>
      <c r="AJ187" s="676"/>
      <c r="AK187" s="676"/>
      <c r="AN187" s="989"/>
      <c r="AO187" s="989"/>
      <c r="AP187" s="989"/>
      <c r="AQ187" s="655"/>
      <c r="AR187" s="655"/>
    </row>
    <row customHeight="1" ht="14.625">
      <c r="E188" s="611">
        <v>15</v>
      </c>
      <c r="AB188" s="1489" t="s">
        <v>398</v>
      </c>
      <c r="AC188" s="1489"/>
      <c r="AD188" s="1489"/>
      <c r="AE188" s="1489"/>
      <c r="AF188" s="1489"/>
      <c r="AG188" s="1489"/>
      <c r="AH188" s="1489"/>
      <c r="AI188" s="1489"/>
      <c r="AJ188" s="1489"/>
      <c r="AK188" s="1489"/>
    </row>
    <row customHeight="1" ht="14.625">
      <c r="E189" s="611">
        <v>15</v>
      </c>
      <c r="AA189" s="641"/>
      <c r="AB189" s="1581"/>
      <c r="AC189" s="1581"/>
      <c r="AD189" s="1581"/>
      <c r="AE189" s="1581"/>
      <c r="AF189" s="1581"/>
      <c r="AG189" s="1581"/>
      <c r="AH189" s="5031"/>
      <c r="AI189" s="5031"/>
      <c r="AJ189" s="5031"/>
      <c r="AK189" s="5031"/>
    </row>
    <row customHeight="1" ht="14.625" hidden="1">
      <c r="A190" s="676"/>
      <c r="B190" s="1176"/>
      <c r="C190" s="676"/>
      <c r="D190" s="676"/>
      <c r="E190" s="611">
        <v>15</v>
      </c>
      <c r="F190" s="676"/>
      <c r="G190" s="676"/>
      <c r="H190" s="676"/>
      <c r="I190" s="676"/>
      <c r="J190" s="676"/>
      <c r="K190" s="676"/>
      <c r="L190" s="676"/>
      <c r="M190" s="676"/>
      <c r="N190" s="676"/>
      <c r="O190" s="676"/>
      <c r="P190" s="676"/>
      <c r="Q190" s="676"/>
      <c r="R190" s="676"/>
      <c r="S190" s="676"/>
      <c r="T190" s="64">
        <f>ROW(W190)&gt;ROW(W$190)</f>
        <v>0</v>
      </c>
      <c r="U190" s="676"/>
      <c r="V190" s="676"/>
      <c r="W190" s="64" t="s">
        <v>173</v>
      </c>
      <c r="X190" s="676"/>
      <c r="Y190" s="676"/>
      <c r="Z190" s="676"/>
      <c r="AA190" s="393" t="s">
        <v>174</v>
      </c>
      <c r="AB190" s="5031" t="s">
        <v>222</v>
      </c>
      <c r="AC190" s="5031"/>
      <c r="AD190" s="5031"/>
      <c r="AE190" s="5031"/>
      <c r="AF190" s="5031"/>
      <c r="AG190" s="5031"/>
      <c r="AH190" s="5031"/>
      <c r="AI190" s="5031"/>
      <c r="AJ190" s="5031"/>
      <c r="AK190" s="5174"/>
      <c r="AL190" s="676"/>
      <c r="AM190" s="676"/>
      <c r="AN190" s="1061"/>
      <c r="AO190" s="1061"/>
      <c r="AP190" s="1061"/>
      <c r="AQ190" s="697"/>
      <c r="AR190" s="697"/>
    </row>
    <row customHeight="1" ht="14.625">
      <c r="E191" s="611">
        <v>15</v>
      </c>
      <c r="W191" s="810" t="s">
        <v>399</v>
      </c>
      <c r="AB191" s="627"/>
      <c r="AC191" s="488" t="s">
        <v>400</v>
      </c>
      <c r="AD191" s="280"/>
      <c r="AE191" s="280"/>
      <c r="AF191" s="280"/>
      <c r="AG191" s="280"/>
      <c r="AH191" s="280"/>
      <c r="AI191" s="280"/>
      <c r="AJ191" s="280"/>
      <c r="AK191" s="690"/>
    </row>
    <row customHeight="1" ht="10.725000000000001">
      <c r="E192" s="611">
        <v>11</v>
      </c>
      <c r="AH192" s="676"/>
      <c r="AI192" s="676"/>
      <c r="AJ192" s="676"/>
      <c r="AK192" s="676"/>
      <c r="AL192" s="399"/>
    </row>
  </sheetData>
  <sheetProtection formatColumns="0" formatRows="0" insertRows="0" deleteColumns="0" deleteRows="0" sort="0" autoFilter="0" insertColumns="1"/>
  <mergeCells count="23">
    <mergeCell ref="AB189:AK189"/>
    <mergeCell ref="AB188:AK188"/>
    <mergeCell ref="AB190:AK190"/>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 ref="X134:X186"/>
    <mergeCell ref="Z134:Z186"/>
    <mergeCell ref="Y135:Y185"/>
    <mergeCell ref="AA135:AA185"/>
    <mergeCell ref="AB135:AK135"/>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743D38-3FC6-A467-056E-22B75485E56E}" mc:Ignorable="x14ac xr xr2 xr3">
  <sheetPr>
    <tabColor rgb="FF002060"/>
    <outlinePr summaryRight="0" summaryBelow="0"/>
    <pageSetUpPr fitToPage="1"/>
  </sheetPr>
  <dimension ref="A1:AP318"/>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647" width="5.140625" hidden="1" customWidth="1"/>
    <col min="2" max="2" style="462" width="9.28125" hidden="1" customWidth="1"/>
    <col min="3" max="3" style="462" width="5.140625" hidden="1" customWidth="1"/>
    <col min="4" max="4" style="462" width="2.7109375" hidden="1" customWidth="1"/>
    <col min="5" max="5" style="629" width="5.7109375" hidden="1" customWidth="1"/>
    <col min="6" max="6" style="462" width="2.7109375" hidden="1" customWidth="1"/>
    <col min="7" max="7" style="462" width="7.57421875" hidden="1" customWidth="1"/>
    <col min="8" max="9" style="462" width="2.7109375" hidden="1" customWidth="1"/>
    <col min="10" max="10" style="462" width="8.140625" hidden="1" customWidth="1"/>
    <col min="11" max="18" style="462" width="2.7109375" hidden="1" customWidth="1"/>
    <col min="19" max="19" style="462" width="4.421875" hidden="1" customWidth="1"/>
    <col min="20" max="20" style="462" width="9.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00390625" customWidth="1"/>
    <col min="29" max="29" style="462" width="58.00390625" customWidth="1"/>
    <col min="30" max="30" style="1520" width="11.00390625" customWidth="1"/>
    <col min="31" max="31" style="1520" width="18.29296875" customWidth="1"/>
    <col min="32" max="32" style="1316" width="8.7109375"/>
    <col min="33" max="33" style="1316" width="8.7109375" hidden="1"/>
    <col min="34" max="36" style="1317" width="8.7109375" hidden="1"/>
    <col min="37" max="38" style="1318" width="8.7109375" hidden="1"/>
    <col min="39" max="42" width="8.7109375" hidden="1"/>
  </cols>
  <sheetData>
    <row customHeight="1" ht="11.25" hidden="1">
      <c r="E1" s="462"/>
      <c r="F1" s="462" t="s">
        <v>313</v>
      </c>
      <c r="H1" s="462" t="s">
        <v>324</v>
      </c>
      <c r="I1" s="462" t="s">
        <v>351</v>
      </c>
      <c r="T1" s="439" t="s">
        <v>92</v>
      </c>
      <c r="U1" s="439" t="s">
        <v>97</v>
      </c>
      <c r="V1" s="439" t="s">
        <v>93</v>
      </c>
      <c r="W1" s="439" t="s">
        <v>94</v>
      </c>
      <c r="X1" s="439" t="s">
        <v>95</v>
      </c>
      <c r="Y1" s="441" t="s">
        <v>315</v>
      </c>
      <c r="Z1" s="439" t="s">
        <v>99</v>
      </c>
      <c r="AA1" s="441" t="s">
        <v>96</v>
      </c>
      <c r="AB1" s="388"/>
      <c r="AC1" s="440" t="s">
        <v>98</v>
      </c>
      <c r="AH1" s="984" t="s">
        <v>316</v>
      </c>
      <c r="AI1" s="984" t="s">
        <v>317</v>
      </c>
      <c r="AJ1" s="984" t="s">
        <v>318</v>
      </c>
      <c r="AK1" s="636" t="s">
        <v>321</v>
      </c>
      <c r="AL1" s="636" t="s">
        <v>322</v>
      </c>
    </row>
    <row customHeight="1" ht="11.25" hidden="1">
      <c r="B2" s="1292" t="s">
        <v>18</v>
      </c>
      <c r="E2" s="462"/>
    </row>
    <row customHeight="1" ht="11.25" hidden="1">
      <c r="E3" s="462"/>
    </row>
    <row customHeight="1" ht="11.25" hidden="1">
      <c r="E4" s="462"/>
    </row>
    <row s="629" customFormat="1" customHeight="1" ht="11.25" hidden="1">
      <c r="A5" s="647"/>
      <c r="B5" s="462"/>
      <c r="C5" s="462"/>
      <c r="D5" s="462"/>
      <c r="E5" s="629" t="s">
        <v>19</v>
      </c>
      <c r="AA5" s="629">
        <v>3</v>
      </c>
      <c r="AB5" s="629">
        <v>11</v>
      </c>
      <c r="AC5" s="629">
        <v>58</v>
      </c>
      <c r="AD5" s="631">
        <v>11</v>
      </c>
      <c r="AE5" s="631">
        <v>18.29</v>
      </c>
      <c r="AF5" s="636" t="s">
        <v>323</v>
      </c>
      <c r="AG5" s="636"/>
      <c r="AH5" s="984"/>
      <c r="AI5" s="984"/>
      <c r="AJ5" s="984"/>
      <c r="AK5" s="636"/>
      <c r="AL5" s="636"/>
      <c r="AM5" s="655"/>
      <c r="AN5" s="655"/>
      <c r="AO5" s="655"/>
      <c r="AP5" s="655"/>
    </row>
    <row customHeight="1" ht="13.5" hidden="1">
      <c r="A6" s="647" t="s">
        <v>354</v>
      </c>
      <c r="AE6" s="532">
        <f>god-2</f>
        <v>2024</v>
      </c>
    </row>
    <row customHeight="1" ht="11.25" hidden="1">
      <c r="AE7" s="532"/>
    </row>
    <row customHeight="1" ht="11.25" hidden="1">
      <c r="AE8" s="532"/>
    </row>
    <row customHeight="1" ht="11.25" hidden="1">
      <c r="AE9" s="532" cm="1" t="str">
        <f t="array" ref="AE9:AE9">god</f>
        <v>2026</v>
      </c>
    </row>
    <row s="1009" customFormat="1" customHeight="1" ht="11.25" hidden="1">
      <c r="A10" s="1059" t="s">
        <v>331</v>
      </c>
      <c r="AC10" s="1009" t="s">
        <v>318</v>
      </c>
      <c r="AD10" s="1010"/>
      <c r="AE10" s="1060"/>
      <c r="AF10" s="984"/>
      <c r="AG10" s="984"/>
      <c r="AH10" s="984"/>
      <c r="AI10" s="984"/>
      <c r="AJ10" s="984"/>
      <c r="AK10" s="636"/>
      <c r="AL10" s="636"/>
      <c r="AM10" s="989"/>
      <c r="AN10" s="989"/>
      <c r="AO10" s="989"/>
      <c r="AP10" s="989"/>
    </row>
    <row customHeight="1" ht="11.25" hidden="1">
      <c r="AE11" s="532"/>
    </row>
    <row customHeight="1" ht="11.25" hidden="1">
      <c r="AE12" s="532"/>
    </row>
    <row customHeight="1" ht="11.25" hidden="1">
      <c r="AE13" s="532"/>
    </row>
    <row customHeight="1" ht="11.25" hidden="1">
      <c r="AE14" s="532"/>
    </row>
    <row customHeight="1" ht="11.25" hidden="1">
      <c r="AE15" s="532"/>
    </row>
    <row customHeight="1" ht="11.25" hidden="1">
      <c r="AE16" s="532"/>
    </row>
    <row customHeight="1" ht="11.25" hidden="1">
      <c r="AE17" s="491"/>
    </row>
    <row customHeight="1" ht="11.25" hidden="1">
      <c r="A18" s="647" t="s">
        <v>332</v>
      </c>
      <c r="AC18" s="462" t="s">
        <v>194</v>
      </c>
    </row>
    <row customHeight="1" ht="11.25" hidden="1"/>
    <row customHeight="1" ht="11.25" hidden="1"/>
    <row customHeight="1" ht="14.625">
      <c r="E21" s="629">
        <v>15</v>
      </c>
      <c r="AA21" s="462"/>
      <c r="AC21" s="498" cm="1" t="str">
        <f t="array" ref="AC21:AC21">tpl_title</f>
        <v>Кемеровская область / 2026 / Филиал АО "УК "Кузбассразрезуголь" "Талдинский угольный разрез" (ИНН:4205049090, КПП:423802002) / ДПР: 2024-2028</v>
      </c>
    </row>
    <row customHeight="1" ht="43.875">
      <c r="E22" s="629">
        <v>45</v>
      </c>
      <c r="AB22" s="159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59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customHeight="1" ht="10.96875">
      <c r="E23" s="629">
        <v>11.25</v>
      </c>
      <c r="AB23" s="1497"/>
      <c r="AC23" s="1497"/>
      <c r="AD23" s="1497"/>
      <c r="AE23" s="1497"/>
    </row>
    <row customHeight="1" ht="14.625">
      <c r="E24" s="629">
        <v>15</v>
      </c>
      <c r="AB24" s="1498" t="s">
        <v>766</v>
      </c>
      <c r="AC24" s="1543" t="s">
        <v>194</v>
      </c>
      <c r="AD24" s="1498" t="s">
        <v>363</v>
      </c>
      <c r="AE24" s="1368" t="str">
        <f>god-2&amp;" год"</f>
        <v>2024 год</v>
      </c>
    </row>
    <row customHeight="1" ht="48.75">
      <c r="E25" s="629">
        <v>50</v>
      </c>
      <c r="AB25" s="1498"/>
      <c r="AC25" s="1543"/>
      <c r="AD25" s="1597"/>
      <c r="AE25" s="533" t="s">
        <v>2128</v>
      </c>
    </row>
    <row customHeight="1" ht="11.25" hidden="1">
      <c r="E26" s="629">
        <v>0</v>
      </c>
      <c r="AB26" s="703"/>
      <c r="AC26" s="702"/>
      <c r="AD26" s="703"/>
      <c r="AE26" s="709"/>
    </row>
    <row customHeight="1" ht="14.625" hidden="1">
      <c r="A27" s="647"/>
      <c r="B27" s="462"/>
      <c r="C27" s="462"/>
      <c r="D27" s="462"/>
      <c r="E27" s="629">
        <v>15</v>
      </c>
      <c r="F27" s="817" cm="1" t="str">
        <f t="array" ref="F27:F27">X27</f>
        <v>0</v>
      </c>
      <c r="G27" s="462" t="s">
        <v>777</v>
      </c>
      <c r="H27" s="462"/>
      <c r="I27" s="462"/>
      <c r="J27" s="462"/>
      <c r="K27" s="462"/>
      <c r="L27" s="462"/>
      <c r="M27" s="462"/>
      <c r="N27" s="462"/>
      <c r="O27" s="462"/>
      <c r="P27" s="462"/>
      <c r="Q27" s="462"/>
      <c r="R27" s="462"/>
      <c r="S27" s="462"/>
      <c r="T27" s="439">
        <f>X27&gt;0</f>
        <v>0</v>
      </c>
      <c r="U27" s="462"/>
      <c r="V27" s="462" t="s">
        <v>261</v>
      </c>
      <c r="W27" s="462"/>
      <c r="X27" s="1519">
        <v>0</v>
      </c>
      <c r="Y27" s="462"/>
      <c r="Z27" s="1520"/>
      <c r="AA27" s="462"/>
      <c r="AB27" s="189" cm="1" t="str">
        <f t="array" ref="AB27:AB27">INDEX('Общие сведения'!$AG$179:$AG$222,MATCH($X27,'Общие сведения'!$Z$179:$Z$222,0))</f>
        <v>Тариф 0 () - </v>
      </c>
      <c r="AC27" s="147"/>
      <c r="AD27" s="141"/>
      <c r="AE27" s="1293">
        <f>AE28+AE78+AE115</f>
        <v>0</v>
      </c>
      <c r="AF27" s="1316"/>
      <c r="AG27" s="1316"/>
      <c r="AH27" s="1317"/>
      <c r="AI27" s="1317"/>
      <c r="AJ27" s="1317"/>
      <c r="AK27" s="1318"/>
      <c r="AL27" s="1318"/>
      <c r="AM27" s="5178"/>
      <c r="AN27" s="5178"/>
      <c r="AO27" s="5178"/>
      <c r="AP27" s="5178"/>
    </row>
    <row customHeight="1" ht="14.625" hidden="1">
      <c r="A28" s="647"/>
      <c r="B28" s="462"/>
      <c r="C28" s="462"/>
      <c r="D28" s="462"/>
      <c r="E28" s="629">
        <v>15</v>
      </c>
      <c r="F28" s="50" cm="1" t="str">
        <f t="array" ref="F28:F28">OFFSET(E28,-1,1)</f>
        <v>0</v>
      </c>
      <c r="G28" s="462"/>
      <c r="H28" s="462" t="s">
        <v>325</v>
      </c>
      <c r="I28" s="462"/>
      <c r="J28" s="462"/>
      <c r="K28" s="462"/>
      <c r="L28" s="462"/>
      <c r="M28" s="462"/>
      <c r="N28" s="462"/>
      <c r="O28" s="462"/>
      <c r="P28" s="462"/>
      <c r="Q28" s="462"/>
      <c r="R28" s="462"/>
      <c r="S28" s="462"/>
      <c r="T28" s="439" cm="1" t="str">
        <f t="array" ref="T28:T28">T27</f>
        <v>false</v>
      </c>
      <c r="U28" s="462"/>
      <c r="V28" s="462"/>
      <c r="W28" s="462"/>
      <c r="X28" s="1519"/>
      <c r="Y28" s="462"/>
      <c r="Z28" s="1520"/>
      <c r="AA28" s="462"/>
      <c r="AB28" s="1294" t="s">
        <v>272</v>
      </c>
      <c r="AC28" s="1295" t="s">
        <v>1798</v>
      </c>
      <c r="AD28" s="1296" t="s">
        <v>784</v>
      </c>
      <c r="AE28" s="1369">
        <f>AE29+AE47+AE55+AE75</f>
        <v>0</v>
      </c>
      <c r="AF28" s="1316"/>
      <c r="AG28" s="1316"/>
      <c r="AH28" s="984" t="s">
        <v>504</v>
      </c>
      <c r="AI28" s="1317"/>
      <c r="AJ28" s="1317"/>
      <c r="AK28" s="1318"/>
      <c r="AL28" s="1318"/>
      <c r="AM28" s="5178"/>
      <c r="AN28" s="5178"/>
      <c r="AO28" s="5178"/>
      <c r="AP28" s="5178"/>
    </row>
    <row customHeight="1" ht="14.625" hidden="1">
      <c r="A29" s="647"/>
      <c r="B29" s="462"/>
      <c r="C29" s="462"/>
      <c r="D29" s="462"/>
      <c r="E29" s="629">
        <v>15</v>
      </c>
      <c r="F29" s="50" cm="1" t="str">
        <f t="array" ref="F29:F29">OFFSET(E29,-1,1)</f>
        <v>0</v>
      </c>
      <c r="G29" s="462"/>
      <c r="H29" s="462" t="s">
        <v>441</v>
      </c>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97" t="s">
        <v>845</v>
      </c>
      <c r="AC29" s="1298" t="s">
        <v>1586</v>
      </c>
      <c r="AD29" s="1299" t="s">
        <v>784</v>
      </c>
      <c r="AE29" s="534">
        <f>AE30+AE31+AE32+AE37+AE38+AE39</f>
        <v>0</v>
      </c>
      <c r="AF29" s="1316"/>
      <c r="AG29" s="1316"/>
      <c r="AH29" s="984" t="s">
        <v>1040</v>
      </c>
      <c r="AI29" s="1317"/>
      <c r="AJ29" s="1317"/>
      <c r="AK29" s="1318"/>
      <c r="AL29" s="1318"/>
      <c r="AM29" s="5178"/>
      <c r="AN29" s="5178"/>
      <c r="AO29" s="5178"/>
      <c r="AP29" s="5178"/>
    </row>
    <row customHeight="1" ht="14.625" hidden="1">
      <c r="A30" s="647"/>
      <c r="B30" s="462"/>
      <c r="C30" s="462"/>
      <c r="D30" s="462"/>
      <c r="E30" s="629">
        <v>15</v>
      </c>
      <c r="F30" s="50" cm="1" t="str">
        <f t="array" ref="F30:F30">OFFSET(E30,-1,1)</f>
        <v>0</v>
      </c>
      <c r="G30" s="462"/>
      <c r="H30" s="462" t="s">
        <v>954</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695" t="s">
        <v>955</v>
      </c>
      <c r="AC30" s="1300" t="s">
        <v>2129</v>
      </c>
      <c r="AD30" s="525" t="s">
        <v>784</v>
      </c>
      <c r="AE30" s="5190"/>
      <c r="AF30" s="1316"/>
      <c r="AG30" s="1316"/>
      <c r="AH30" s="984" t="s">
        <v>1136</v>
      </c>
      <c r="AI30" s="1317"/>
      <c r="AJ30" s="1317"/>
      <c r="AK30" s="1318"/>
      <c r="AL30" s="1318"/>
      <c r="AM30" s="5178"/>
      <c r="AN30" s="5178"/>
      <c r="AO30" s="5178"/>
      <c r="AP30" s="5178"/>
    </row>
    <row customHeight="1" ht="21.9375" hidden="1">
      <c r="A31" s="647"/>
      <c r="B31" s="462"/>
      <c r="C31" s="462"/>
      <c r="D31" s="462"/>
      <c r="E31" s="629">
        <v>22.5</v>
      </c>
      <c r="F31" s="50" cm="1" t="str">
        <f t="array" ref="F31:F31">OFFSET(E31,-1,1)</f>
        <v>0</v>
      </c>
      <c r="G31" s="462"/>
      <c r="H31" s="462" t="s">
        <v>958</v>
      </c>
      <c r="I31" s="462"/>
      <c r="J31" s="462"/>
      <c r="K31" s="462"/>
      <c r="L31" s="462"/>
      <c r="M31" s="462"/>
      <c r="N31" s="462"/>
      <c r="O31" s="462"/>
      <c r="P31" s="462"/>
      <c r="Q31" s="462"/>
      <c r="R31" s="462"/>
      <c r="S31" s="462"/>
      <c r="T31" s="439" cm="1" t="str">
        <f t="array" ref="T31:T31">T30</f>
        <v>false</v>
      </c>
      <c r="U31" s="462"/>
      <c r="V31" s="462"/>
      <c r="W31" s="462"/>
      <c r="X31" s="1519"/>
      <c r="Y31" s="462"/>
      <c r="Z31" s="1520"/>
      <c r="AA31" s="462"/>
      <c r="AB31" s="695" t="s">
        <v>959</v>
      </c>
      <c r="AC31" s="526" t="s">
        <v>1806</v>
      </c>
      <c r="AD31" s="525" t="s">
        <v>784</v>
      </c>
      <c r="AE31" s="5190"/>
      <c r="AF31" s="1316"/>
      <c r="AG31" s="1316"/>
      <c r="AH31" s="984" t="s">
        <v>1619</v>
      </c>
      <c r="AI31" s="1317"/>
      <c r="AJ31" s="1317"/>
      <c r="AK31" s="1318"/>
      <c r="AL31" s="1318"/>
      <c r="AM31" s="5178"/>
      <c r="AN31" s="5178"/>
      <c r="AO31" s="5178"/>
      <c r="AP31" s="5178"/>
    </row>
    <row customHeight="1" ht="32.90625" hidden="1">
      <c r="A32" s="647"/>
      <c r="B32" s="462"/>
      <c r="C32" s="462"/>
      <c r="D32" s="462"/>
      <c r="E32" s="629">
        <v>33.75</v>
      </c>
      <c r="F32" s="50" cm="1" t="str">
        <f t="array" ref="F32:F32">OFFSET(E32,-1,1)</f>
        <v>0</v>
      </c>
      <c r="G32" s="462"/>
      <c r="H32" s="462" t="s">
        <v>1194</v>
      </c>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695" t="s">
        <v>1195</v>
      </c>
      <c r="AC32" s="526" t="s">
        <v>2130</v>
      </c>
      <c r="AD32" s="525" t="s">
        <v>784</v>
      </c>
      <c r="AE32" s="534">
        <f>AE33+AE36</f>
        <v>0</v>
      </c>
      <c r="AF32" s="1316"/>
      <c r="AG32" s="1316"/>
      <c r="AH32" s="984" t="s">
        <v>1621</v>
      </c>
      <c r="AI32" s="1317"/>
      <c r="AJ32" s="1317"/>
      <c r="AK32" s="1318"/>
      <c r="AL32" s="1318"/>
      <c r="AM32" s="5178"/>
      <c r="AN32" s="5178"/>
      <c r="AO32" s="5178"/>
      <c r="AP32" s="5178"/>
    </row>
    <row customHeight="1" ht="21.9375" hidden="1">
      <c r="A33" s="647"/>
      <c r="B33" s="462"/>
      <c r="C33" s="462"/>
      <c r="D33" s="462"/>
      <c r="E33" s="629">
        <v>22.5</v>
      </c>
      <c r="F33" s="50" cm="1" t="str">
        <f t="array" ref="F33:F33">OFFSET(E33,-1,1)</f>
        <v>0</v>
      </c>
      <c r="G33" s="462"/>
      <c r="H33" s="462" t="s">
        <v>2131</v>
      </c>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695" t="s">
        <v>2132</v>
      </c>
      <c r="AC33" s="1301" t="s">
        <v>2133</v>
      </c>
      <c r="AD33" s="525" t="s">
        <v>784</v>
      </c>
      <c r="AE33" s="5190"/>
      <c r="AF33" s="1316"/>
      <c r="AG33" s="1316"/>
      <c r="AH33" s="984" t="s">
        <v>1623</v>
      </c>
      <c r="AI33" s="1317"/>
      <c r="AJ33" s="1317"/>
      <c r="AK33" s="1318"/>
      <c r="AL33" s="1318"/>
      <c r="AM33" s="5178"/>
      <c r="AN33" s="5178"/>
      <c r="AO33" s="5178"/>
      <c r="AP33" s="5178"/>
    </row>
    <row customHeight="1" ht="21.9375" hidden="1">
      <c r="A34" s="647"/>
      <c r="B34" s="462"/>
      <c r="C34" s="462"/>
      <c r="D34" s="462"/>
      <c r="E34" s="629">
        <v>22.5</v>
      </c>
      <c r="F34" s="50" cm="1" t="str">
        <f t="array" ref="F34:F34">OFFSET(E34,-1,1)</f>
        <v>0</v>
      </c>
      <c r="G34" s="462"/>
      <c r="H34" s="462" t="s">
        <v>2134</v>
      </c>
      <c r="I34" s="462"/>
      <c r="J34" s="462"/>
      <c r="K34" s="462"/>
      <c r="L34" s="462"/>
      <c r="M34" s="462"/>
      <c r="N34" s="462"/>
      <c r="O34" s="462"/>
      <c r="P34" s="462"/>
      <c r="Q34" s="462"/>
      <c r="R34" s="462"/>
      <c r="S34" s="462"/>
      <c r="T34" s="439" cm="1" t="str">
        <f t="array" ref="T34:T34">T33</f>
        <v>false</v>
      </c>
      <c r="U34" s="462"/>
      <c r="V34" s="462"/>
      <c r="W34" s="462"/>
      <c r="X34" s="1519"/>
      <c r="Y34" s="462"/>
      <c r="Z34" s="1520"/>
      <c r="AA34" s="462"/>
      <c r="AB34" s="695" t="s">
        <v>2135</v>
      </c>
      <c r="AC34" s="1302" t="s">
        <v>2136</v>
      </c>
      <c r="AD34" s="525" t="s">
        <v>2137</v>
      </c>
      <c r="AE34" s="5190"/>
      <c r="AF34" s="1316"/>
      <c r="AG34" s="1316"/>
      <c r="AH34" s="984" t="s">
        <v>2138</v>
      </c>
      <c r="AI34" s="1317"/>
      <c r="AJ34" s="1317"/>
      <c r="AK34" s="1318"/>
      <c r="AL34" s="1318"/>
      <c r="AM34" s="5178"/>
      <c r="AN34" s="5178"/>
      <c r="AO34" s="5178"/>
      <c r="AP34" s="5178"/>
    </row>
    <row customHeight="1" ht="21.9375" hidden="1">
      <c r="A35" s="647"/>
      <c r="B35" s="462"/>
      <c r="C35" s="462"/>
      <c r="D35" s="462"/>
      <c r="E35" s="629">
        <v>22.5</v>
      </c>
      <c r="F35" s="50" cm="1" t="str">
        <f t="array" ref="F35:F35">OFFSET(E35,-1,1)</f>
        <v>0</v>
      </c>
      <c r="G35" s="462"/>
      <c r="H35" s="462" t="s">
        <v>2139</v>
      </c>
      <c r="I35" s="462"/>
      <c r="J35" s="462"/>
      <c r="K35" s="462"/>
      <c r="L35" s="462"/>
      <c r="M35" s="462"/>
      <c r="N35" s="462"/>
      <c r="O35" s="462"/>
      <c r="P35" s="462"/>
      <c r="Q35" s="462"/>
      <c r="R35" s="462"/>
      <c r="S35" s="462"/>
      <c r="T35" s="439" cm="1" t="str">
        <f t="array" ref="T35:T35">T34</f>
        <v>false</v>
      </c>
      <c r="U35" s="462"/>
      <c r="V35" s="462"/>
      <c r="W35" s="462"/>
      <c r="X35" s="1519"/>
      <c r="Y35" s="462"/>
      <c r="Z35" s="1520"/>
      <c r="AA35" s="462"/>
      <c r="AB35" s="695" t="s">
        <v>2140</v>
      </c>
      <c r="AC35" s="528" t="s">
        <v>2141</v>
      </c>
      <c r="AD35" s="525" t="s">
        <v>2142</v>
      </c>
      <c r="AE35" s="5190"/>
      <c r="AF35" s="1316"/>
      <c r="AG35" s="1316"/>
      <c r="AH35" s="984" t="s">
        <v>2143</v>
      </c>
      <c r="AI35" s="1317"/>
      <c r="AJ35" s="1317"/>
      <c r="AK35" s="1318"/>
      <c r="AL35" s="1318"/>
      <c r="AM35" s="5178"/>
      <c r="AN35" s="5178"/>
      <c r="AO35" s="5178"/>
      <c r="AP35" s="5178"/>
    </row>
    <row customHeight="1" ht="21.9375" hidden="1">
      <c r="A36" s="647"/>
      <c r="B36" s="462"/>
      <c r="C36" s="462"/>
      <c r="D36" s="462"/>
      <c r="E36" s="629">
        <v>22.5</v>
      </c>
      <c r="F36" s="50" cm="1" t="str">
        <f t="array" ref="F36:F36">OFFSET(E36,-1,1)</f>
        <v>0</v>
      </c>
      <c r="G36" s="462"/>
      <c r="H36" s="462" t="s">
        <v>2144</v>
      </c>
      <c r="I36" s="462"/>
      <c r="J36" s="462"/>
      <c r="K36" s="462"/>
      <c r="L36" s="462"/>
      <c r="M36" s="462"/>
      <c r="N36" s="462"/>
      <c r="O36" s="462"/>
      <c r="P36" s="462"/>
      <c r="Q36" s="462"/>
      <c r="R36" s="462"/>
      <c r="S36" s="462"/>
      <c r="T36" s="439" cm="1" t="str">
        <f t="array" ref="T36:T36">T35</f>
        <v>false</v>
      </c>
      <c r="U36" s="462"/>
      <c r="V36" s="462"/>
      <c r="W36" s="462"/>
      <c r="X36" s="1519"/>
      <c r="Y36" s="462"/>
      <c r="Z36" s="1520"/>
      <c r="AA36" s="462"/>
      <c r="AB36" s="695" t="s">
        <v>2145</v>
      </c>
      <c r="AC36" s="527" t="s">
        <v>2146</v>
      </c>
      <c r="AD36" s="525" t="s">
        <v>784</v>
      </c>
      <c r="AE36" s="5190"/>
      <c r="AF36" s="1316"/>
      <c r="AG36" s="1316"/>
      <c r="AH36" s="984" t="s">
        <v>1625</v>
      </c>
      <c r="AI36" s="1317"/>
      <c r="AJ36" s="1317"/>
      <c r="AK36" s="1318"/>
      <c r="AL36" s="1318"/>
      <c r="AM36" s="5178"/>
      <c r="AN36" s="5178"/>
      <c r="AO36" s="5178"/>
      <c r="AP36" s="5178"/>
    </row>
    <row customHeight="1" ht="14.625" hidden="1">
      <c r="A37" s="647"/>
      <c r="B37" s="462"/>
      <c r="C37" s="462"/>
      <c r="D37" s="462"/>
      <c r="E37" s="629">
        <v>15</v>
      </c>
      <c r="F37" s="50" cm="1" t="str">
        <f t="array" ref="F37:F37">OFFSET(E37,-1,1)</f>
        <v>0</v>
      </c>
      <c r="G37" s="462"/>
      <c r="H37" s="462" t="s">
        <v>1198</v>
      </c>
      <c r="I37" s="462"/>
      <c r="J37" s="462"/>
      <c r="K37" s="462"/>
      <c r="L37" s="462"/>
      <c r="M37" s="462"/>
      <c r="N37" s="462"/>
      <c r="O37" s="462"/>
      <c r="P37" s="462"/>
      <c r="Q37" s="462"/>
      <c r="R37" s="462"/>
      <c r="S37" s="462"/>
      <c r="T37" s="439" cm="1" t="str">
        <f t="array" ref="T37:T37">T36</f>
        <v>false</v>
      </c>
      <c r="U37" s="462"/>
      <c r="V37" s="462"/>
      <c r="W37" s="462"/>
      <c r="X37" s="1519"/>
      <c r="Y37" s="462"/>
      <c r="Z37" s="1520"/>
      <c r="AA37" s="462"/>
      <c r="AB37" s="695" t="s">
        <v>1199</v>
      </c>
      <c r="AC37" s="526" t="s">
        <v>2147</v>
      </c>
      <c r="AD37" s="525" t="s">
        <v>784</v>
      </c>
      <c r="AE37" s="5190"/>
      <c r="AF37" s="1316"/>
      <c r="AG37" s="1316"/>
      <c r="AH37" s="984" t="s">
        <v>1985</v>
      </c>
      <c r="AI37" s="1317"/>
      <c r="AJ37" s="1317"/>
      <c r="AK37" s="1318"/>
      <c r="AL37" s="1318"/>
      <c r="AM37" s="5178"/>
      <c r="AN37" s="5178"/>
      <c r="AO37" s="5178"/>
      <c r="AP37" s="5178"/>
    </row>
    <row customHeight="1" ht="14.625" hidden="1">
      <c r="A38" s="647"/>
      <c r="B38" s="462"/>
      <c r="C38" s="462"/>
      <c r="D38" s="462"/>
      <c r="E38" s="629">
        <v>15</v>
      </c>
      <c r="F38" s="50" cm="1" t="str">
        <f t="array" ref="F38:F38">OFFSET(E38,-1,1)</f>
        <v>0</v>
      </c>
      <c r="G38" s="462"/>
      <c r="H38" s="462" t="s">
        <v>2148</v>
      </c>
      <c r="I38" s="462"/>
      <c r="J38" s="462"/>
      <c r="K38" s="462"/>
      <c r="L38" s="462"/>
      <c r="M38" s="462"/>
      <c r="N38" s="462"/>
      <c r="O38" s="462"/>
      <c r="P38" s="462"/>
      <c r="Q38" s="462"/>
      <c r="R38" s="462"/>
      <c r="S38" s="462"/>
      <c r="T38" s="439" cm="1" t="str">
        <f t="array" ref="T38:T38">T37</f>
        <v>false</v>
      </c>
      <c r="U38" s="462"/>
      <c r="V38" s="462"/>
      <c r="W38" s="462"/>
      <c r="X38" s="1519"/>
      <c r="Y38" s="462"/>
      <c r="Z38" s="1520"/>
      <c r="AA38" s="462"/>
      <c r="AB38" s="695" t="s">
        <v>1202</v>
      </c>
      <c r="AC38" s="526" t="s">
        <v>1812</v>
      </c>
      <c r="AD38" s="525" t="s">
        <v>784</v>
      </c>
      <c r="AE38" s="5190"/>
      <c r="AF38" s="1316"/>
      <c r="AG38" s="1316"/>
      <c r="AH38" s="984" t="s">
        <v>1630</v>
      </c>
      <c r="AI38" s="1317"/>
      <c r="AJ38" s="1317"/>
      <c r="AK38" s="1318"/>
      <c r="AL38" s="1318"/>
      <c r="AM38" s="5178"/>
      <c r="AN38" s="5178"/>
      <c r="AO38" s="5178"/>
      <c r="AP38" s="5178"/>
    </row>
    <row customHeight="1" ht="14.625" hidden="1">
      <c r="A39" s="647"/>
      <c r="B39" s="462"/>
      <c r="C39" s="462"/>
      <c r="D39" s="462"/>
      <c r="E39" s="629">
        <v>15</v>
      </c>
      <c r="F39" s="50" cm="1" t="str">
        <f t="array" ref="F39:F39">OFFSET(E39,-1,1)</f>
        <v>0</v>
      </c>
      <c r="G39" s="462"/>
      <c r="H39" s="462" t="s">
        <v>2149</v>
      </c>
      <c r="I39" s="462"/>
      <c r="J39" s="462"/>
      <c r="K39" s="462"/>
      <c r="L39" s="462"/>
      <c r="M39" s="462"/>
      <c r="N39" s="462"/>
      <c r="O39" s="462"/>
      <c r="P39" s="462"/>
      <c r="Q39" s="462"/>
      <c r="R39" s="462"/>
      <c r="S39" s="462"/>
      <c r="T39" s="439" cm="1" t="str">
        <f t="array" ref="T39:T39">T38</f>
        <v>false</v>
      </c>
      <c r="U39" s="462"/>
      <c r="V39" s="462"/>
      <c r="W39" s="462"/>
      <c r="X39" s="1519"/>
      <c r="Y39" s="462"/>
      <c r="Z39" s="1520"/>
      <c r="AA39" s="462"/>
      <c r="AB39" s="695" t="s">
        <v>2150</v>
      </c>
      <c r="AC39" s="526" t="s">
        <v>2151</v>
      </c>
      <c r="AD39" s="525" t="s">
        <v>784</v>
      </c>
      <c r="AE39" s="534">
        <f>SUM(AE40:AE46)</f>
        <v>0</v>
      </c>
      <c r="AF39" s="1316"/>
      <c r="AG39" s="1316"/>
      <c r="AH39" s="984" t="s">
        <v>1634</v>
      </c>
      <c r="AI39" s="1317"/>
      <c r="AJ39" s="1317"/>
      <c r="AK39" s="1318"/>
      <c r="AL39" s="1318"/>
      <c r="AM39" s="5178"/>
      <c r="AN39" s="5178"/>
      <c r="AO39" s="5178"/>
      <c r="AP39" s="5178"/>
    </row>
    <row customHeight="1" ht="14.625" hidden="1">
      <c r="A40" s="647"/>
      <c r="B40" s="462"/>
      <c r="C40" s="462"/>
      <c r="D40" s="462"/>
      <c r="E40" s="629">
        <v>15</v>
      </c>
      <c r="F40" s="50" cm="1" t="str">
        <f t="array" ref="F40:F40">OFFSET(E40,-1,1)</f>
        <v>0</v>
      </c>
      <c r="G40" s="462"/>
      <c r="H40" s="462" t="s">
        <v>2152</v>
      </c>
      <c r="I40" s="462"/>
      <c r="J40" s="462"/>
      <c r="K40" s="462"/>
      <c r="L40" s="462"/>
      <c r="M40" s="462"/>
      <c r="N40" s="462"/>
      <c r="O40" s="462"/>
      <c r="P40" s="462"/>
      <c r="Q40" s="462"/>
      <c r="R40" s="462"/>
      <c r="S40" s="462"/>
      <c r="T40" s="439" cm="1" t="str">
        <f t="array" ref="T40:T40">T39</f>
        <v>false</v>
      </c>
      <c r="U40" s="462"/>
      <c r="V40" s="462"/>
      <c r="W40" s="462"/>
      <c r="X40" s="1519"/>
      <c r="Y40" s="462"/>
      <c r="Z40" s="1520"/>
      <c r="AA40" s="462"/>
      <c r="AB40" s="695" t="s">
        <v>2153</v>
      </c>
      <c r="AC40" s="527" t="s">
        <v>1641</v>
      </c>
      <c r="AD40" s="525" t="s">
        <v>784</v>
      </c>
      <c r="AE40" s="5190"/>
      <c r="AF40" s="1316"/>
      <c r="AG40" s="1316"/>
      <c r="AH40" s="984" t="s">
        <v>2154</v>
      </c>
      <c r="AI40" s="1317"/>
      <c r="AJ40" s="1317"/>
      <c r="AK40" s="1318"/>
      <c r="AL40" s="1318"/>
      <c r="AM40" s="5178"/>
      <c r="AN40" s="5178"/>
      <c r="AO40" s="5178"/>
      <c r="AP40" s="5178"/>
    </row>
    <row customHeight="1" ht="21.9375" hidden="1">
      <c r="A41" s="647"/>
      <c r="B41" s="462"/>
      <c r="C41" s="462"/>
      <c r="D41" s="462"/>
      <c r="E41" s="629">
        <v>22.5</v>
      </c>
      <c r="F41" s="50" cm="1" t="str">
        <f t="array" ref="F41:F41">OFFSET(E41,-1,1)</f>
        <v>0</v>
      </c>
      <c r="G41" s="462"/>
      <c r="H41" s="462" t="s">
        <v>2155</v>
      </c>
      <c r="I41" s="462"/>
      <c r="J41" s="462"/>
      <c r="K41" s="462"/>
      <c r="L41" s="462"/>
      <c r="M41" s="462"/>
      <c r="N41" s="462"/>
      <c r="O41" s="462"/>
      <c r="P41" s="462"/>
      <c r="Q41" s="462"/>
      <c r="R41" s="462"/>
      <c r="S41" s="462"/>
      <c r="T41" s="439" cm="1" t="str">
        <f t="array" ref="T41:T41">T40</f>
        <v>false</v>
      </c>
      <c r="U41" s="462"/>
      <c r="V41" s="462"/>
      <c r="W41" s="462"/>
      <c r="X41" s="1519"/>
      <c r="Y41" s="462"/>
      <c r="Z41" s="1520"/>
      <c r="AA41" s="462"/>
      <c r="AB41" s="695" t="s">
        <v>2156</v>
      </c>
      <c r="AC41" s="527" t="s">
        <v>1820</v>
      </c>
      <c r="AD41" s="525" t="s">
        <v>784</v>
      </c>
      <c r="AE41" s="5190"/>
      <c r="AF41" s="1316"/>
      <c r="AG41" s="1316"/>
      <c r="AH41" s="1048" t="s">
        <v>1821</v>
      </c>
      <c r="AI41" s="1317"/>
      <c r="AJ41" s="1317"/>
      <c r="AK41" s="1318"/>
      <c r="AL41" s="1318"/>
      <c r="AM41" s="5178"/>
      <c r="AN41" s="5178"/>
      <c r="AO41" s="5178"/>
      <c r="AP41" s="5178"/>
    </row>
    <row customHeight="1" ht="21.9375" hidden="1">
      <c r="A42" s="647"/>
      <c r="B42" s="462"/>
      <c r="C42" s="462"/>
      <c r="D42" s="462"/>
      <c r="E42" s="629">
        <v>22.5</v>
      </c>
      <c r="F42" s="50" cm="1" t="str">
        <f t="array" ref="F42:F42">OFFSET(E42,-1,1)</f>
        <v>0</v>
      </c>
      <c r="G42" s="462"/>
      <c r="H42" s="462" t="s">
        <v>2157</v>
      </c>
      <c r="I42" s="462"/>
      <c r="J42" s="462"/>
      <c r="K42" s="462"/>
      <c r="L42" s="462"/>
      <c r="M42" s="462"/>
      <c r="N42" s="462"/>
      <c r="O42" s="462"/>
      <c r="P42" s="462"/>
      <c r="Q42" s="462"/>
      <c r="R42" s="462"/>
      <c r="S42" s="462"/>
      <c r="T42" s="439" cm="1" t="str">
        <f t="array" ref="T42:T42">T41</f>
        <v>false</v>
      </c>
      <c r="U42" s="462"/>
      <c r="V42" s="462"/>
      <c r="W42" s="462"/>
      <c r="X42" s="1519"/>
      <c r="Y42" s="462"/>
      <c r="Z42" s="1520"/>
      <c r="AA42" s="462"/>
      <c r="AB42" s="695" t="s">
        <v>2158</v>
      </c>
      <c r="AC42" s="527" t="s">
        <v>1824</v>
      </c>
      <c r="AD42" s="525" t="s">
        <v>784</v>
      </c>
      <c r="AE42" s="5190"/>
      <c r="AF42" s="1316"/>
      <c r="AG42" s="1316"/>
      <c r="AH42" s="1048" t="s">
        <v>1825</v>
      </c>
      <c r="AI42" s="1317"/>
      <c r="AJ42" s="1317"/>
      <c r="AK42" s="1318"/>
      <c r="AL42" s="1318"/>
      <c r="AM42" s="5178"/>
      <c r="AN42" s="5178"/>
      <c r="AO42" s="5178"/>
      <c r="AP42" s="5178"/>
    </row>
    <row customHeight="1" ht="21.9375" hidden="1">
      <c r="A43" s="647"/>
      <c r="B43" s="462"/>
      <c r="C43" s="462"/>
      <c r="D43" s="462"/>
      <c r="E43" s="629">
        <v>22.5</v>
      </c>
      <c r="F43" s="50" cm="1" t="str">
        <f t="array" ref="F43:F43">OFFSET(E43,-1,1)</f>
        <v>0</v>
      </c>
      <c r="G43" s="462"/>
      <c r="H43" s="462" t="s">
        <v>2159</v>
      </c>
      <c r="I43" s="462"/>
      <c r="J43" s="462"/>
      <c r="K43" s="462"/>
      <c r="L43" s="462"/>
      <c r="M43" s="462"/>
      <c r="N43" s="462"/>
      <c r="O43" s="462"/>
      <c r="P43" s="462"/>
      <c r="Q43" s="462"/>
      <c r="R43" s="462"/>
      <c r="S43" s="462"/>
      <c r="T43" s="439" cm="1" t="str">
        <f t="array" ref="T43:T43">T42</f>
        <v>false</v>
      </c>
      <c r="U43" s="462"/>
      <c r="V43" s="462"/>
      <c r="W43" s="462"/>
      <c r="X43" s="1519"/>
      <c r="Y43" s="462"/>
      <c r="Z43" s="1520"/>
      <c r="AA43" s="462"/>
      <c r="AB43" s="695" t="s">
        <v>2160</v>
      </c>
      <c r="AC43" s="527" t="s">
        <v>2161</v>
      </c>
      <c r="AD43" s="525" t="s">
        <v>784</v>
      </c>
      <c r="AE43" s="5190"/>
      <c r="AF43" s="1316"/>
      <c r="AG43" s="1316"/>
      <c r="AH43" s="1048" t="s">
        <v>1829</v>
      </c>
      <c r="AI43" s="1317"/>
      <c r="AJ43" s="1317"/>
      <c r="AK43" s="1318"/>
      <c r="AL43" s="1318"/>
      <c r="AM43" s="5178"/>
      <c r="AN43" s="5178"/>
      <c r="AO43" s="5178"/>
      <c r="AP43" s="5178"/>
    </row>
    <row customHeight="1" ht="54.84375" hidden="1">
      <c r="A44" s="647"/>
      <c r="B44" s="462"/>
      <c r="C44" s="462"/>
      <c r="D44" s="462"/>
      <c r="E44" s="629">
        <v>56.25</v>
      </c>
      <c r="F44" s="50" cm="1" t="str">
        <f t="array" ref="F44:F44">OFFSET(E44,-1,1)</f>
        <v>0</v>
      </c>
      <c r="G44" s="462"/>
      <c r="H44" s="462" t="s">
        <v>2162</v>
      </c>
      <c r="I44" s="462"/>
      <c r="J44" s="462"/>
      <c r="K44" s="462"/>
      <c r="L44" s="462"/>
      <c r="M44" s="462"/>
      <c r="N44" s="462"/>
      <c r="O44" s="462"/>
      <c r="P44" s="462"/>
      <c r="Q44" s="462"/>
      <c r="R44" s="462"/>
      <c r="S44" s="462"/>
      <c r="T44" s="439" cm="1" t="str">
        <f t="array" ref="T44:T44">T43</f>
        <v>false</v>
      </c>
      <c r="U44" s="462"/>
      <c r="V44" s="462"/>
      <c r="W44" s="462"/>
      <c r="X44" s="1519"/>
      <c r="Y44" s="462"/>
      <c r="Z44" s="1520"/>
      <c r="AA44" s="462"/>
      <c r="AB44" s="695" t="s">
        <v>2163</v>
      </c>
      <c r="AC44" s="527" t="s">
        <v>1832</v>
      </c>
      <c r="AD44" s="525" t="s">
        <v>784</v>
      </c>
      <c r="AE44" s="5190"/>
      <c r="AF44" s="1316"/>
      <c r="AG44" s="1316"/>
      <c r="AH44" s="1048" t="s">
        <v>1646</v>
      </c>
      <c r="AI44" s="1317"/>
      <c r="AJ44" s="1317"/>
      <c r="AK44" s="1318"/>
      <c r="AL44" s="1318"/>
      <c r="AM44" s="5178"/>
      <c r="AN44" s="5178"/>
      <c r="AO44" s="5178"/>
      <c r="AP44" s="5178"/>
    </row>
    <row customHeight="1" ht="14.625" hidden="1">
      <c r="A45" s="647"/>
      <c r="B45" s="462"/>
      <c r="C45" s="462"/>
      <c r="D45" s="462"/>
      <c r="E45" s="629">
        <v>15</v>
      </c>
      <c r="F45" s="50" cm="1" t="str">
        <f t="array" ref="F45:F45">OFFSET(E45,-1,1)</f>
        <v>0</v>
      </c>
      <c r="G45" s="462"/>
      <c r="H45" s="462" t="s">
        <v>2164</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695" t="s">
        <v>2165</v>
      </c>
      <c r="AC45" s="527" t="s">
        <v>1649</v>
      </c>
      <c r="AD45" s="525" t="s">
        <v>784</v>
      </c>
      <c r="AE45" s="5190"/>
      <c r="AF45" s="1316"/>
      <c r="AG45" s="1316"/>
      <c r="AH45" s="1048" t="s">
        <v>1650</v>
      </c>
      <c r="AI45" s="1317"/>
      <c r="AJ45" s="1317"/>
      <c r="AK45" s="1318"/>
      <c r="AL45" s="1318"/>
      <c r="AM45" s="5178"/>
      <c r="AN45" s="5178"/>
      <c r="AO45" s="5178"/>
      <c r="AP45" s="5178"/>
    </row>
    <row customHeight="1" ht="14.625" hidden="1">
      <c r="A46" s="647"/>
      <c r="B46" s="462"/>
      <c r="C46" s="462"/>
      <c r="D46" s="462"/>
      <c r="E46" s="629">
        <v>15</v>
      </c>
      <c r="F46" s="50" cm="1" t="str">
        <f t="array" ref="F46:F46">OFFSET(E46,-1,1)</f>
        <v>0</v>
      </c>
      <c r="G46" s="462"/>
      <c r="H46" s="462" t="s">
        <v>2166</v>
      </c>
      <c r="I46" s="462"/>
      <c r="J46" s="462"/>
      <c r="K46" s="462"/>
      <c r="L46" s="462"/>
      <c r="M46" s="462"/>
      <c r="N46" s="462"/>
      <c r="O46" s="462"/>
      <c r="P46" s="462"/>
      <c r="Q46" s="462"/>
      <c r="R46" s="462"/>
      <c r="S46" s="462"/>
      <c r="T46" s="439" cm="1" t="str">
        <f t="array" ref="T46:T46">T45</f>
        <v>false</v>
      </c>
      <c r="U46" s="462"/>
      <c r="V46" s="462"/>
      <c r="W46" s="462"/>
      <c r="X46" s="1519"/>
      <c r="Y46" s="462"/>
      <c r="Z46" s="1520"/>
      <c r="AA46" s="462"/>
      <c r="AB46" s="695" t="s">
        <v>2167</v>
      </c>
      <c r="AC46" s="527" t="s">
        <v>1128</v>
      </c>
      <c r="AD46" s="525" t="s">
        <v>784</v>
      </c>
      <c r="AE46" s="5190"/>
      <c r="AF46" s="1316"/>
      <c r="AG46" s="1316"/>
      <c r="AH46" s="1048" t="s">
        <v>1634</v>
      </c>
      <c r="AI46" s="1317"/>
      <c r="AJ46" s="1317"/>
      <c r="AK46" s="1318"/>
      <c r="AL46" s="1318"/>
      <c r="AM46" s="5178"/>
      <c r="AN46" s="5178"/>
      <c r="AO46" s="5178"/>
      <c r="AP46" s="5178"/>
    </row>
    <row customHeight="1" ht="14.625" hidden="1">
      <c r="A47" s="647"/>
      <c r="B47" s="462"/>
      <c r="C47" s="462"/>
      <c r="D47" s="462"/>
      <c r="E47" s="629">
        <v>15</v>
      </c>
      <c r="F47" s="50" cm="1" t="str">
        <f t="array" ref="F47:F47">OFFSET(E47,-1,1)</f>
        <v>0</v>
      </c>
      <c r="G47" s="462"/>
      <c r="H47" s="462" t="s">
        <v>445</v>
      </c>
      <c r="I47" s="462"/>
      <c r="J47" s="462"/>
      <c r="K47" s="462"/>
      <c r="L47" s="462"/>
      <c r="M47" s="462"/>
      <c r="N47" s="462"/>
      <c r="O47" s="462"/>
      <c r="P47" s="462"/>
      <c r="Q47" s="462"/>
      <c r="R47" s="462"/>
      <c r="S47" s="462"/>
      <c r="T47" s="439" cm="1" t="str">
        <f t="array" ref="T47:T47">T46</f>
        <v>false</v>
      </c>
      <c r="U47" s="462"/>
      <c r="V47" s="462"/>
      <c r="W47" s="462"/>
      <c r="X47" s="1519"/>
      <c r="Y47" s="462"/>
      <c r="Z47" s="1520"/>
      <c r="AA47" s="462"/>
      <c r="AB47" s="695" t="s">
        <v>848</v>
      </c>
      <c r="AC47" s="524" t="s">
        <v>2168</v>
      </c>
      <c r="AD47" s="525" t="s">
        <v>784</v>
      </c>
      <c r="AE47" s="534">
        <f>AE48+AE49+AE50</f>
        <v>0</v>
      </c>
      <c r="AF47" s="1316"/>
      <c r="AG47" s="1316"/>
      <c r="AH47" s="1047" t="s">
        <v>1655</v>
      </c>
      <c r="AI47" s="1317"/>
      <c r="AJ47" s="1317"/>
      <c r="AK47" s="1318"/>
      <c r="AL47" s="1318"/>
      <c r="AM47" s="5178"/>
      <c r="AN47" s="5178"/>
      <c r="AO47" s="5178"/>
      <c r="AP47" s="5178"/>
    </row>
    <row customHeight="1" ht="14.625" hidden="1">
      <c r="A48" s="647"/>
      <c r="B48" s="462"/>
      <c r="C48" s="462"/>
      <c r="D48" s="462"/>
      <c r="E48" s="629">
        <v>15</v>
      </c>
      <c r="F48" s="50" cm="1" t="str">
        <f t="array" ref="F48:F48">OFFSET(E48,-1,1)</f>
        <v>0</v>
      </c>
      <c r="G48" s="462"/>
      <c r="H48" s="462" t="s">
        <v>1219</v>
      </c>
      <c r="I48" s="462"/>
      <c r="J48" s="462"/>
      <c r="K48" s="462"/>
      <c r="L48" s="462"/>
      <c r="M48" s="462"/>
      <c r="N48" s="462"/>
      <c r="O48" s="462"/>
      <c r="P48" s="462"/>
      <c r="Q48" s="462"/>
      <c r="R48" s="462"/>
      <c r="S48" s="462"/>
      <c r="T48" s="439" cm="1" t="str">
        <f t="array" ref="T48:T48">T47</f>
        <v>false</v>
      </c>
      <c r="U48" s="462"/>
      <c r="V48" s="462"/>
      <c r="W48" s="462"/>
      <c r="X48" s="1519"/>
      <c r="Y48" s="462"/>
      <c r="Z48" s="1520"/>
      <c r="AA48" s="462"/>
      <c r="AB48" s="695" t="s">
        <v>1220</v>
      </c>
      <c r="AC48" s="526" t="s">
        <v>2169</v>
      </c>
      <c r="AD48" s="525" t="s">
        <v>784</v>
      </c>
      <c r="AE48" s="5190"/>
      <c r="AF48" s="1316"/>
      <c r="AG48" s="1316"/>
      <c r="AH48" s="1046" t="s">
        <v>1657</v>
      </c>
      <c r="AI48" s="1317"/>
      <c r="AJ48" s="1317"/>
      <c r="AK48" s="1318"/>
      <c r="AL48" s="1318"/>
      <c r="AM48" s="5178"/>
      <c r="AN48" s="5178"/>
      <c r="AO48" s="5178"/>
      <c r="AP48" s="5178"/>
    </row>
    <row customHeight="1" ht="14.625" hidden="1">
      <c r="A49" s="647"/>
      <c r="B49" s="462"/>
      <c r="C49" s="462"/>
      <c r="D49" s="462"/>
      <c r="E49" s="629">
        <v>15</v>
      </c>
      <c r="F49" s="50" cm="1" t="str">
        <f t="array" ref="F49:F49">OFFSET(E49,-1,1)</f>
        <v>0</v>
      </c>
      <c r="G49" s="462"/>
      <c r="H49" s="462" t="s">
        <v>1222</v>
      </c>
      <c r="I49" s="462"/>
      <c r="J49" s="462"/>
      <c r="K49" s="462"/>
      <c r="L49" s="462"/>
      <c r="M49" s="462"/>
      <c r="N49" s="462"/>
      <c r="O49" s="462"/>
      <c r="P49" s="462"/>
      <c r="Q49" s="462"/>
      <c r="R49" s="462"/>
      <c r="S49" s="462"/>
      <c r="T49" s="439" cm="1" t="str">
        <f t="array" ref="T49:T49">T48</f>
        <v>false</v>
      </c>
      <c r="U49" s="462"/>
      <c r="V49" s="462"/>
      <c r="W49" s="462"/>
      <c r="X49" s="1519"/>
      <c r="Y49" s="462"/>
      <c r="Z49" s="1520"/>
      <c r="AA49" s="462"/>
      <c r="AB49" s="695" t="s">
        <v>1223</v>
      </c>
      <c r="AC49" s="526" t="s">
        <v>2170</v>
      </c>
      <c r="AD49" s="525" t="s">
        <v>784</v>
      </c>
      <c r="AE49" s="5190"/>
      <c r="AF49" s="1316"/>
      <c r="AG49" s="1316"/>
      <c r="AH49" s="1048" t="s">
        <v>1840</v>
      </c>
      <c r="AI49" s="1317"/>
      <c r="AJ49" s="1317"/>
      <c r="AK49" s="1318"/>
      <c r="AL49" s="1318"/>
      <c r="AM49" s="5178"/>
      <c r="AN49" s="5178"/>
      <c r="AO49" s="5178"/>
      <c r="AP49" s="5178"/>
    </row>
    <row customHeight="1" ht="21.9375" hidden="1">
      <c r="A50" s="647"/>
      <c r="B50" s="462"/>
      <c r="C50" s="462"/>
      <c r="D50" s="462"/>
      <c r="E50" s="629">
        <v>22.5</v>
      </c>
      <c r="F50" s="50" cm="1" t="str">
        <f t="array" ref="F50:F50">OFFSET(E50,-1,1)</f>
        <v>0</v>
      </c>
      <c r="G50" s="462"/>
      <c r="H50" s="462" t="s">
        <v>1226</v>
      </c>
      <c r="I50" s="462"/>
      <c r="J50" s="462"/>
      <c r="K50" s="462"/>
      <c r="L50" s="462"/>
      <c r="M50" s="462"/>
      <c r="N50" s="462"/>
      <c r="O50" s="462"/>
      <c r="P50" s="462"/>
      <c r="Q50" s="462"/>
      <c r="R50" s="462"/>
      <c r="S50" s="462"/>
      <c r="T50" s="439" cm="1" t="str">
        <f t="array" ref="T50:T50">T49</f>
        <v>false</v>
      </c>
      <c r="U50" s="462"/>
      <c r="V50" s="462"/>
      <c r="W50" s="462"/>
      <c r="X50" s="1519"/>
      <c r="Y50" s="462"/>
      <c r="Z50" s="1520"/>
      <c r="AA50" s="462"/>
      <c r="AB50" s="695" t="s">
        <v>1227</v>
      </c>
      <c r="AC50" s="526" t="s">
        <v>2171</v>
      </c>
      <c r="AD50" s="525" t="s">
        <v>784</v>
      </c>
      <c r="AE50" s="534">
        <f>AE51+AE54</f>
        <v>0</v>
      </c>
      <c r="AF50" s="1316"/>
      <c r="AG50" s="1316"/>
      <c r="AH50" s="1046" t="s">
        <v>1659</v>
      </c>
      <c r="AI50" s="1317"/>
      <c r="AJ50" s="1317"/>
      <c r="AK50" s="1318"/>
      <c r="AL50" s="1318"/>
      <c r="AM50" s="5178"/>
      <c r="AN50" s="5178"/>
      <c r="AO50" s="5178"/>
      <c r="AP50" s="5178"/>
    </row>
    <row customHeight="1" ht="14.625" hidden="1">
      <c r="A51" s="647"/>
      <c r="B51" s="462"/>
      <c r="C51" s="462"/>
      <c r="D51" s="462"/>
      <c r="E51" s="629">
        <v>15</v>
      </c>
      <c r="F51" s="50" cm="1" t="str">
        <f t="array" ref="F51:F51">OFFSET(E51,-1,1)</f>
        <v>0</v>
      </c>
      <c r="G51" s="462"/>
      <c r="H51" s="462" t="s">
        <v>1370</v>
      </c>
      <c r="I51" s="462"/>
      <c r="J51" s="462"/>
      <c r="K51" s="462"/>
      <c r="L51" s="462"/>
      <c r="M51" s="462"/>
      <c r="N51" s="462"/>
      <c r="O51" s="462"/>
      <c r="P51" s="462"/>
      <c r="Q51" s="462"/>
      <c r="R51" s="462"/>
      <c r="S51" s="462"/>
      <c r="T51" s="439" cm="1" t="str">
        <f t="array" ref="T51:T51">T50</f>
        <v>false</v>
      </c>
      <c r="U51" s="462"/>
      <c r="V51" s="462"/>
      <c r="W51" s="462"/>
      <c r="X51" s="1519"/>
      <c r="Y51" s="462"/>
      <c r="Z51" s="1520"/>
      <c r="AA51" s="462"/>
      <c r="AB51" s="695" t="s">
        <v>1809</v>
      </c>
      <c r="AC51" s="527" t="s">
        <v>1661</v>
      </c>
      <c r="AD51" s="525" t="s">
        <v>784</v>
      </c>
      <c r="AE51" s="5190"/>
      <c r="AF51" s="1316"/>
      <c r="AG51" s="1316"/>
      <c r="AH51" s="1046" t="s">
        <v>1662</v>
      </c>
      <c r="AI51" s="1317"/>
      <c r="AJ51" s="1317"/>
      <c r="AK51" s="1318"/>
      <c r="AL51" s="1318"/>
      <c r="AM51" s="5178"/>
      <c r="AN51" s="5178"/>
      <c r="AO51" s="5178"/>
      <c r="AP51" s="5178"/>
    </row>
    <row customHeight="1" ht="14.625" hidden="1">
      <c r="A52" s="647"/>
      <c r="B52" s="462"/>
      <c r="C52" s="462"/>
      <c r="D52" s="462"/>
      <c r="E52" s="629">
        <v>15</v>
      </c>
      <c r="F52" s="50" cm="1" t="str">
        <f t="array" ref="F52:F52">OFFSET(E52,-1,1)</f>
        <v>0</v>
      </c>
      <c r="G52" s="462"/>
      <c r="H52" s="462" t="s">
        <v>2172</v>
      </c>
      <c r="I52" s="462"/>
      <c r="J52" s="462"/>
      <c r="K52" s="462"/>
      <c r="L52" s="462"/>
      <c r="M52" s="462"/>
      <c r="N52" s="462"/>
      <c r="O52" s="462"/>
      <c r="P52" s="462"/>
      <c r="Q52" s="462"/>
      <c r="R52" s="462"/>
      <c r="S52" s="462"/>
      <c r="T52" s="439" cm="1" t="str">
        <f t="array" ref="T52:T52">T51</f>
        <v>false</v>
      </c>
      <c r="U52" s="462"/>
      <c r="V52" s="462"/>
      <c r="W52" s="462"/>
      <c r="X52" s="1519"/>
      <c r="Y52" s="462"/>
      <c r="Z52" s="1520"/>
      <c r="AA52" s="462"/>
      <c r="AB52" s="695" t="s">
        <v>2173</v>
      </c>
      <c r="AC52" s="528" t="s">
        <v>2174</v>
      </c>
      <c r="AD52" s="525" t="s">
        <v>2137</v>
      </c>
      <c r="AE52" s="5190"/>
      <c r="AF52" s="1316"/>
      <c r="AG52" s="1316"/>
      <c r="AH52" s="984" t="s">
        <v>2175</v>
      </c>
      <c r="AI52" s="1317"/>
      <c r="AJ52" s="1317"/>
      <c r="AK52" s="1318"/>
      <c r="AL52" s="1318"/>
      <c r="AM52" s="5178"/>
      <c r="AN52" s="5178"/>
      <c r="AO52" s="5178"/>
      <c r="AP52" s="5178"/>
    </row>
    <row customHeight="1" ht="14.625" hidden="1">
      <c r="A53" s="647"/>
      <c r="B53" s="462"/>
      <c r="C53" s="462"/>
      <c r="D53" s="462"/>
      <c r="E53" s="629">
        <v>15</v>
      </c>
      <c r="F53" s="50" cm="1" t="str">
        <f t="array" ref="F53:F53">OFFSET(E53,-1,1)</f>
        <v>0</v>
      </c>
      <c r="G53" s="462"/>
      <c r="H53" s="462" t="s">
        <v>2176</v>
      </c>
      <c r="I53" s="462"/>
      <c r="J53" s="462"/>
      <c r="K53" s="462"/>
      <c r="L53" s="462"/>
      <c r="M53" s="462"/>
      <c r="N53" s="462"/>
      <c r="O53" s="462"/>
      <c r="P53" s="462"/>
      <c r="Q53" s="462"/>
      <c r="R53" s="462"/>
      <c r="S53" s="462"/>
      <c r="T53" s="439" cm="1" t="str">
        <f t="array" ref="T53:T53">T52</f>
        <v>false</v>
      </c>
      <c r="U53" s="462"/>
      <c r="V53" s="462"/>
      <c r="W53" s="462"/>
      <c r="X53" s="1519"/>
      <c r="Y53" s="462"/>
      <c r="Z53" s="1520"/>
      <c r="AA53" s="462"/>
      <c r="AB53" s="695" t="s">
        <v>2177</v>
      </c>
      <c r="AC53" s="528" t="s">
        <v>2178</v>
      </c>
      <c r="AD53" s="525" t="s">
        <v>2142</v>
      </c>
      <c r="AE53" s="5190"/>
      <c r="AF53" s="1316"/>
      <c r="AG53" s="1316"/>
      <c r="AH53" s="984" t="s">
        <v>2179</v>
      </c>
      <c r="AI53" s="1317"/>
      <c r="AJ53" s="1317"/>
      <c r="AK53" s="1318"/>
      <c r="AL53" s="1318"/>
      <c r="AM53" s="5178"/>
      <c r="AN53" s="5178"/>
      <c r="AO53" s="5178"/>
      <c r="AP53" s="5178"/>
    </row>
    <row customHeight="1" ht="21.9375" hidden="1">
      <c r="A54" s="647"/>
      <c r="B54" s="462"/>
      <c r="C54" s="462"/>
      <c r="D54" s="462"/>
      <c r="E54" s="629">
        <v>22.5</v>
      </c>
      <c r="F54" s="50" cm="1" t="str">
        <f t="array" ref="F54:F54">OFFSET(E54,-1,1)</f>
        <v>0</v>
      </c>
      <c r="G54" s="462"/>
      <c r="H54" s="462" t="s">
        <v>1374</v>
      </c>
      <c r="I54" s="462"/>
      <c r="J54" s="462"/>
      <c r="K54" s="462"/>
      <c r="L54" s="462"/>
      <c r="M54" s="462"/>
      <c r="N54" s="462"/>
      <c r="O54" s="462"/>
      <c r="P54" s="462"/>
      <c r="Q54" s="462"/>
      <c r="R54" s="462"/>
      <c r="S54" s="462"/>
      <c r="T54" s="439" cm="1" t="str">
        <f t="array" ref="T54:T54">T53</f>
        <v>false</v>
      </c>
      <c r="U54" s="462"/>
      <c r="V54" s="462"/>
      <c r="W54" s="462"/>
      <c r="X54" s="1519"/>
      <c r="Y54" s="462"/>
      <c r="Z54" s="1520"/>
      <c r="AA54" s="462"/>
      <c r="AB54" s="695" t="s">
        <v>1810</v>
      </c>
      <c r="AC54" s="527" t="s">
        <v>1846</v>
      </c>
      <c r="AD54" s="525" t="s">
        <v>784</v>
      </c>
      <c r="AE54" s="5190"/>
      <c r="AF54" s="1316"/>
      <c r="AG54" s="1316"/>
      <c r="AH54" s="1046" t="s">
        <v>1665</v>
      </c>
      <c r="AI54" s="1317"/>
      <c r="AJ54" s="1317"/>
      <c r="AK54" s="1318"/>
      <c r="AL54" s="1318"/>
      <c r="AM54" s="5178"/>
      <c r="AN54" s="5178"/>
      <c r="AO54" s="5178"/>
      <c r="AP54" s="5178"/>
    </row>
    <row customHeight="1" ht="14.625" hidden="1">
      <c r="A55" s="647"/>
      <c r="B55" s="462"/>
      <c r="C55" s="462"/>
      <c r="D55" s="462"/>
      <c r="E55" s="629">
        <v>15</v>
      </c>
      <c r="F55" s="50" cm="1" t="str">
        <f t="array" ref="F55:F55">OFFSET(E55,-1,1)</f>
        <v>0</v>
      </c>
      <c r="G55" s="462"/>
      <c r="H55" s="462" t="s">
        <v>448</v>
      </c>
      <c r="I55" s="462"/>
      <c r="J55" s="462"/>
      <c r="K55" s="462"/>
      <c r="L55" s="462"/>
      <c r="M55" s="462"/>
      <c r="N55" s="462"/>
      <c r="O55" s="462"/>
      <c r="P55" s="462"/>
      <c r="Q55" s="462"/>
      <c r="R55" s="462"/>
      <c r="S55" s="462"/>
      <c r="T55" s="439" cm="1" t="str">
        <f t="array" ref="T55:T55">T54</f>
        <v>false</v>
      </c>
      <c r="U55" s="462"/>
      <c r="V55" s="462"/>
      <c r="W55" s="462"/>
      <c r="X55" s="1519"/>
      <c r="Y55" s="462"/>
      <c r="Z55" s="1520"/>
      <c r="AA55" s="462"/>
      <c r="AB55" s="695" t="s">
        <v>851</v>
      </c>
      <c r="AC55" s="524" t="s">
        <v>1847</v>
      </c>
      <c r="AD55" s="525" t="s">
        <v>784</v>
      </c>
      <c r="AE55" s="534">
        <f>AE56+AE62+AE67+AE68+AE69+AE70+AE71</f>
        <v>0</v>
      </c>
      <c r="AF55" s="1316"/>
      <c r="AG55" s="1316"/>
      <c r="AH55" s="1047" t="s">
        <v>1667</v>
      </c>
      <c r="AI55" s="1317"/>
      <c r="AJ55" s="1317"/>
      <c r="AK55" s="1318"/>
      <c r="AL55" s="1318"/>
      <c r="AM55" s="5178"/>
      <c r="AN55" s="5178"/>
      <c r="AO55" s="5178"/>
      <c r="AP55" s="5178"/>
    </row>
    <row customHeight="1" ht="21.9375" hidden="1">
      <c r="A56" s="647"/>
      <c r="B56" s="462"/>
      <c r="C56" s="462"/>
      <c r="D56" s="462"/>
      <c r="E56" s="629">
        <v>22.5</v>
      </c>
      <c r="F56" s="50" cm="1" t="str">
        <f t="array" ref="F56:F56">OFFSET(E56,-1,1)</f>
        <v>0</v>
      </c>
      <c r="G56" s="462"/>
      <c r="H56" s="462" t="s">
        <v>1232</v>
      </c>
      <c r="I56" s="462"/>
      <c r="J56" s="462"/>
      <c r="K56" s="462"/>
      <c r="L56" s="462"/>
      <c r="M56" s="462"/>
      <c r="N56" s="462"/>
      <c r="O56" s="462"/>
      <c r="P56" s="462"/>
      <c r="Q56" s="462"/>
      <c r="R56" s="462"/>
      <c r="S56" s="462"/>
      <c r="T56" s="439" cm="1" t="str">
        <f t="array" ref="T56:T56">T55</f>
        <v>false</v>
      </c>
      <c r="U56" s="462"/>
      <c r="V56" s="462"/>
      <c r="W56" s="462"/>
      <c r="X56" s="1519"/>
      <c r="Y56" s="462"/>
      <c r="Z56" s="1520"/>
      <c r="AA56" s="462"/>
      <c r="AB56" s="695" t="s">
        <v>1233</v>
      </c>
      <c r="AC56" s="526" t="s">
        <v>1668</v>
      </c>
      <c r="AD56" s="525" t="s">
        <v>784</v>
      </c>
      <c r="AE56" s="534">
        <f>SUM(AE57:AE61)</f>
        <v>0</v>
      </c>
      <c r="AF56" s="1316"/>
      <c r="AG56" s="1316"/>
      <c r="AH56" s="1046" t="s">
        <v>1081</v>
      </c>
      <c r="AI56" s="1317"/>
      <c r="AJ56" s="1317"/>
      <c r="AK56" s="1318"/>
      <c r="AL56" s="1318"/>
      <c r="AM56" s="5178"/>
      <c r="AN56" s="5178"/>
      <c r="AO56" s="5178"/>
      <c r="AP56" s="5178"/>
    </row>
    <row customHeight="1" ht="14.625" hidden="1">
      <c r="A57" s="647"/>
      <c r="B57" s="462"/>
      <c r="C57" s="462"/>
      <c r="D57" s="462"/>
      <c r="E57" s="629">
        <v>15</v>
      </c>
      <c r="F57" s="50" cm="1" t="str">
        <f t="array" ref="F57:F57">OFFSET(E57,-1,1)</f>
        <v>0</v>
      </c>
      <c r="G57" s="462"/>
      <c r="H57" s="462" t="s">
        <v>2180</v>
      </c>
      <c r="I57" s="462"/>
      <c r="J57" s="462"/>
      <c r="K57" s="462"/>
      <c r="L57" s="462"/>
      <c r="M57" s="462"/>
      <c r="N57" s="462"/>
      <c r="O57" s="462"/>
      <c r="P57" s="462"/>
      <c r="Q57" s="462"/>
      <c r="R57" s="462"/>
      <c r="S57" s="462"/>
      <c r="T57" s="439" cm="1" t="str">
        <f t="array" ref="T57:T57">T56</f>
        <v>false</v>
      </c>
      <c r="U57" s="462"/>
      <c r="V57" s="462"/>
      <c r="W57" s="462"/>
      <c r="X57" s="1519"/>
      <c r="Y57" s="462"/>
      <c r="Z57" s="1520"/>
      <c r="AA57" s="462"/>
      <c r="AB57" s="695" t="s">
        <v>2181</v>
      </c>
      <c r="AC57" s="527" t="s">
        <v>1083</v>
      </c>
      <c r="AD57" s="525" t="s">
        <v>784</v>
      </c>
      <c r="AE57" s="5190"/>
      <c r="AF57" s="1316"/>
      <c r="AG57" s="1316"/>
      <c r="AH57" s="1048" t="s">
        <v>1084</v>
      </c>
      <c r="AI57" s="1317"/>
      <c r="AJ57" s="1317"/>
      <c r="AK57" s="1318"/>
      <c r="AL57" s="1318"/>
      <c r="AM57" s="5178"/>
      <c r="AN57" s="5178"/>
      <c r="AO57" s="5178"/>
      <c r="AP57" s="5178"/>
    </row>
    <row customHeight="1" ht="14.625" hidden="1">
      <c r="A58" s="647"/>
      <c r="B58" s="462"/>
      <c r="C58" s="462"/>
      <c r="D58" s="462"/>
      <c r="E58" s="629">
        <v>15</v>
      </c>
      <c r="F58" s="50" cm="1" t="str">
        <f t="array" ref="F58:F58">OFFSET(E58,-1,1)</f>
        <v>0</v>
      </c>
      <c r="G58" s="462"/>
      <c r="H58" s="462" t="s">
        <v>2182</v>
      </c>
      <c r="I58" s="462"/>
      <c r="J58" s="462"/>
      <c r="K58" s="462"/>
      <c r="L58" s="462"/>
      <c r="M58" s="462"/>
      <c r="N58" s="462"/>
      <c r="O58" s="462"/>
      <c r="P58" s="462"/>
      <c r="Q58" s="462"/>
      <c r="R58" s="462"/>
      <c r="S58" s="462"/>
      <c r="T58" s="439" cm="1" t="str">
        <f t="array" ref="T58:T58">T57</f>
        <v>false</v>
      </c>
      <c r="U58" s="462"/>
      <c r="V58" s="462"/>
      <c r="W58" s="462"/>
      <c r="X58" s="1519"/>
      <c r="Y58" s="462"/>
      <c r="Z58" s="1520"/>
      <c r="AA58" s="462"/>
      <c r="AB58" s="695" t="s">
        <v>2183</v>
      </c>
      <c r="AC58" s="527" t="s">
        <v>1086</v>
      </c>
      <c r="AD58" s="525" t="s">
        <v>784</v>
      </c>
      <c r="AE58" s="5190"/>
      <c r="AF58" s="1316"/>
      <c r="AG58" s="1316"/>
      <c r="AH58" s="1048" t="s">
        <v>1087</v>
      </c>
      <c r="AI58" s="1317"/>
      <c r="AJ58" s="1317"/>
      <c r="AK58" s="1318"/>
      <c r="AL58" s="1318"/>
      <c r="AM58" s="5178"/>
      <c r="AN58" s="5178"/>
      <c r="AO58" s="5178"/>
      <c r="AP58" s="5178"/>
    </row>
    <row customHeight="1" ht="14.625" hidden="1">
      <c r="A59" s="647"/>
      <c r="B59" s="462"/>
      <c r="C59" s="462"/>
      <c r="D59" s="462"/>
      <c r="E59" s="629">
        <v>15</v>
      </c>
      <c r="F59" s="50" cm="1" t="str">
        <f t="array" ref="F59:F59">OFFSET(E59,-1,1)</f>
        <v>0</v>
      </c>
      <c r="G59" s="462"/>
      <c r="H59" s="462" t="s">
        <v>2184</v>
      </c>
      <c r="I59" s="462"/>
      <c r="J59" s="462"/>
      <c r="K59" s="462"/>
      <c r="L59" s="462"/>
      <c r="M59" s="462"/>
      <c r="N59" s="462"/>
      <c r="O59" s="462"/>
      <c r="P59" s="462"/>
      <c r="Q59" s="462"/>
      <c r="R59" s="462"/>
      <c r="S59" s="462"/>
      <c r="T59" s="439" cm="1" t="str">
        <f t="array" ref="T59:T59">T58</f>
        <v>false</v>
      </c>
      <c r="U59" s="462"/>
      <c r="V59" s="462"/>
      <c r="W59" s="462"/>
      <c r="X59" s="1519"/>
      <c r="Y59" s="462"/>
      <c r="Z59" s="1520"/>
      <c r="AA59" s="462"/>
      <c r="AB59" s="695" t="s">
        <v>2185</v>
      </c>
      <c r="AC59" s="527" t="s">
        <v>1089</v>
      </c>
      <c r="AD59" s="525" t="s">
        <v>784</v>
      </c>
      <c r="AE59" s="5190"/>
      <c r="AF59" s="1316"/>
      <c r="AG59" s="1316"/>
      <c r="AH59" s="1048" t="s">
        <v>1090</v>
      </c>
      <c r="AI59" s="1317"/>
      <c r="AJ59" s="1317"/>
      <c r="AK59" s="1318"/>
      <c r="AL59" s="1318"/>
      <c r="AM59" s="5178"/>
      <c r="AN59" s="5178"/>
      <c r="AO59" s="5178"/>
      <c r="AP59" s="5178"/>
    </row>
    <row customHeight="1" ht="14.625" hidden="1">
      <c r="A60" s="647"/>
      <c r="B60" s="462"/>
      <c r="C60" s="462"/>
      <c r="D60" s="462"/>
      <c r="E60" s="629">
        <v>15</v>
      </c>
      <c r="F60" s="50" cm="1" t="str">
        <f t="array" ref="F60:F60">OFFSET(E60,-1,1)</f>
        <v>0</v>
      </c>
      <c r="G60" s="462"/>
      <c r="H60" s="462" t="s">
        <v>2186</v>
      </c>
      <c r="I60" s="462"/>
      <c r="J60" s="462"/>
      <c r="K60" s="462"/>
      <c r="L60" s="462"/>
      <c r="M60" s="462"/>
      <c r="N60" s="462"/>
      <c r="O60" s="462"/>
      <c r="P60" s="462"/>
      <c r="Q60" s="462"/>
      <c r="R60" s="462"/>
      <c r="S60" s="462"/>
      <c r="T60" s="439" cm="1" t="str">
        <f t="array" ref="T60:T60">T59</f>
        <v>false</v>
      </c>
      <c r="U60" s="462"/>
      <c r="V60" s="462"/>
      <c r="W60" s="462"/>
      <c r="X60" s="1519"/>
      <c r="Y60" s="462"/>
      <c r="Z60" s="1520"/>
      <c r="AA60" s="462"/>
      <c r="AB60" s="695" t="s">
        <v>2187</v>
      </c>
      <c r="AC60" s="527" t="s">
        <v>1092</v>
      </c>
      <c r="AD60" s="525" t="s">
        <v>784</v>
      </c>
      <c r="AE60" s="5190"/>
      <c r="AF60" s="1316"/>
      <c r="AG60" s="1316"/>
      <c r="AH60" s="1048" t="s">
        <v>1093</v>
      </c>
      <c r="AI60" s="1317"/>
      <c r="AJ60" s="1317"/>
      <c r="AK60" s="1318"/>
      <c r="AL60" s="1318"/>
      <c r="AM60" s="5178"/>
      <c r="AN60" s="5178"/>
      <c r="AO60" s="5178"/>
      <c r="AP60" s="5178"/>
    </row>
    <row customHeight="1" ht="14.625" hidden="1">
      <c r="A61" s="647"/>
      <c r="B61" s="462"/>
      <c r="C61" s="462"/>
      <c r="D61" s="462"/>
      <c r="E61" s="629">
        <v>15</v>
      </c>
      <c r="F61" s="50" cm="1" t="str">
        <f t="array" ref="F61:F61">OFFSET(E61,-1,1)</f>
        <v>0</v>
      </c>
      <c r="G61" s="462"/>
      <c r="H61" s="462" t="s">
        <v>2188</v>
      </c>
      <c r="I61" s="462"/>
      <c r="J61" s="462"/>
      <c r="K61" s="462"/>
      <c r="L61" s="462"/>
      <c r="M61" s="462"/>
      <c r="N61" s="462"/>
      <c r="O61" s="462"/>
      <c r="P61" s="462"/>
      <c r="Q61" s="462"/>
      <c r="R61" s="462"/>
      <c r="S61" s="462"/>
      <c r="T61" s="439" cm="1" t="str">
        <f t="array" ref="T61:T61">T60</f>
        <v>false</v>
      </c>
      <c r="U61" s="462"/>
      <c r="V61" s="462"/>
      <c r="W61" s="462"/>
      <c r="X61" s="1519"/>
      <c r="Y61" s="462"/>
      <c r="Z61" s="1520"/>
      <c r="AA61" s="462"/>
      <c r="AB61" s="695" t="s">
        <v>2189</v>
      </c>
      <c r="AC61" s="527" t="s">
        <v>1100</v>
      </c>
      <c r="AD61" s="525" t="s">
        <v>784</v>
      </c>
      <c r="AE61" s="5190"/>
      <c r="AF61" s="1316"/>
      <c r="AG61" s="1316"/>
      <c r="AH61" s="1048" t="s">
        <v>1101</v>
      </c>
      <c r="AI61" s="1317"/>
      <c r="AJ61" s="1317"/>
      <c r="AK61" s="1318"/>
      <c r="AL61" s="1318"/>
      <c r="AM61" s="5178"/>
      <c r="AN61" s="5178"/>
      <c r="AO61" s="5178"/>
      <c r="AP61" s="5178"/>
    </row>
    <row customHeight="1" ht="32.90625" hidden="1">
      <c r="A62" s="647"/>
      <c r="B62" s="462"/>
      <c r="C62" s="462"/>
      <c r="D62" s="462"/>
      <c r="E62" s="629">
        <v>33.75</v>
      </c>
      <c r="F62" s="50" cm="1" t="str">
        <f t="array" ref="F62:F62">OFFSET(E62,-1,1)</f>
        <v>0</v>
      </c>
      <c r="G62" s="462"/>
      <c r="H62" s="462" t="s">
        <v>1236</v>
      </c>
      <c r="I62" s="462"/>
      <c r="J62" s="462"/>
      <c r="K62" s="462"/>
      <c r="L62" s="462"/>
      <c r="M62" s="462"/>
      <c r="N62" s="462"/>
      <c r="O62" s="462"/>
      <c r="P62" s="462"/>
      <c r="Q62" s="462"/>
      <c r="R62" s="462"/>
      <c r="S62" s="462"/>
      <c r="T62" s="439" cm="1" t="str">
        <f t="array" ref="T62:T62">T61</f>
        <v>false</v>
      </c>
      <c r="U62" s="462"/>
      <c r="V62" s="462"/>
      <c r="W62" s="462"/>
      <c r="X62" s="1519"/>
      <c r="Y62" s="462"/>
      <c r="Z62" s="1520"/>
      <c r="AA62" s="462"/>
      <c r="AB62" s="695" t="s">
        <v>1237</v>
      </c>
      <c r="AC62" s="526" t="s">
        <v>2190</v>
      </c>
      <c r="AD62" s="525" t="s">
        <v>784</v>
      </c>
      <c r="AE62" s="534">
        <f>AE63+AE66</f>
        <v>0</v>
      </c>
      <c r="AF62" s="1316"/>
      <c r="AG62" s="1316"/>
      <c r="AH62" s="1046" t="s">
        <v>1670</v>
      </c>
      <c r="AI62" s="1317"/>
      <c r="AJ62" s="1317"/>
      <c r="AK62" s="1318"/>
      <c r="AL62" s="1318"/>
      <c r="AM62" s="5178"/>
      <c r="AN62" s="5178"/>
      <c r="AO62" s="5178"/>
      <c r="AP62" s="5178"/>
    </row>
    <row customHeight="1" ht="21.9375" hidden="1">
      <c r="A63" s="647"/>
      <c r="B63" s="462"/>
      <c r="C63" s="462"/>
      <c r="D63" s="462"/>
      <c r="E63" s="629">
        <v>22.5</v>
      </c>
      <c r="F63" s="50" cm="1" t="str">
        <f t="array" ref="F63:F63">OFFSET(E63,-1,1)</f>
        <v>0</v>
      </c>
      <c r="G63" s="462"/>
      <c r="H63" s="462" t="s">
        <v>2191</v>
      </c>
      <c r="I63" s="462"/>
      <c r="J63" s="462"/>
      <c r="K63" s="462"/>
      <c r="L63" s="462"/>
      <c r="M63" s="462"/>
      <c r="N63" s="462"/>
      <c r="O63" s="462"/>
      <c r="P63" s="462"/>
      <c r="Q63" s="462"/>
      <c r="R63" s="462"/>
      <c r="S63" s="462"/>
      <c r="T63" s="439" cm="1" t="str">
        <f t="array" ref="T63:T63">T62</f>
        <v>false</v>
      </c>
      <c r="U63" s="462"/>
      <c r="V63" s="462"/>
      <c r="W63" s="462"/>
      <c r="X63" s="1519"/>
      <c r="Y63" s="462"/>
      <c r="Z63" s="1520"/>
      <c r="AA63" s="462"/>
      <c r="AB63" s="695" t="s">
        <v>2192</v>
      </c>
      <c r="AC63" s="527" t="s">
        <v>1671</v>
      </c>
      <c r="AD63" s="525" t="s">
        <v>784</v>
      </c>
      <c r="AE63" s="5190"/>
      <c r="AF63" s="1316"/>
      <c r="AG63" s="1316"/>
      <c r="AH63" s="1046" t="s">
        <v>1078</v>
      </c>
      <c r="AI63" s="1317"/>
      <c r="AJ63" s="1317"/>
      <c r="AK63" s="1318"/>
      <c r="AL63" s="1318"/>
      <c r="AM63" s="5178"/>
      <c r="AN63" s="5178"/>
      <c r="AO63" s="5178"/>
      <c r="AP63" s="5178"/>
    </row>
    <row customHeight="1" ht="14.625" hidden="1">
      <c r="A64" s="647"/>
      <c r="B64" s="462"/>
      <c r="C64" s="462"/>
      <c r="D64" s="462"/>
      <c r="E64" s="629">
        <v>15</v>
      </c>
      <c r="F64" s="50" cm="1" t="str">
        <f t="array" ref="F64:F64">OFFSET(E64,-1,1)</f>
        <v>0</v>
      </c>
      <c r="G64" s="462"/>
      <c r="H64" s="462" t="s">
        <v>2193</v>
      </c>
      <c r="I64" s="462"/>
      <c r="J64" s="462"/>
      <c r="K64" s="462"/>
      <c r="L64" s="462"/>
      <c r="M64" s="462"/>
      <c r="N64" s="462"/>
      <c r="O64" s="462"/>
      <c r="P64" s="462"/>
      <c r="Q64" s="462"/>
      <c r="R64" s="462"/>
      <c r="S64" s="462"/>
      <c r="T64" s="439" cm="1" t="str">
        <f t="array" ref="T64:T64">T63</f>
        <v>false</v>
      </c>
      <c r="U64" s="462"/>
      <c r="V64" s="462"/>
      <c r="W64" s="462"/>
      <c r="X64" s="1519"/>
      <c r="Y64" s="462"/>
      <c r="Z64" s="1520"/>
      <c r="AA64" s="462"/>
      <c r="AB64" s="695" t="s">
        <v>2194</v>
      </c>
      <c r="AC64" s="528" t="s">
        <v>2195</v>
      </c>
      <c r="AD64" s="525" t="s">
        <v>2137</v>
      </c>
      <c r="AE64" s="5190"/>
      <c r="AF64" s="1316"/>
      <c r="AG64" s="1316"/>
      <c r="AH64" s="984" t="s">
        <v>2196</v>
      </c>
      <c r="AI64" s="1317"/>
      <c r="AJ64" s="1317"/>
      <c r="AK64" s="1318"/>
      <c r="AL64" s="1318"/>
      <c r="AM64" s="5178"/>
      <c r="AN64" s="5178"/>
      <c r="AO64" s="5178"/>
      <c r="AP64" s="5178"/>
    </row>
    <row customHeight="1" ht="21.9375" hidden="1">
      <c r="A65" s="647"/>
      <c r="B65" s="462"/>
      <c r="C65" s="462"/>
      <c r="D65" s="462"/>
      <c r="E65" s="629">
        <v>22.5</v>
      </c>
      <c r="F65" s="50" cm="1" t="str">
        <f t="array" ref="F65:F65">OFFSET(E65,-1,1)</f>
        <v>0</v>
      </c>
      <c r="G65" s="462"/>
      <c r="H65" s="462" t="s">
        <v>2197</v>
      </c>
      <c r="I65" s="462"/>
      <c r="J65" s="462"/>
      <c r="K65" s="462"/>
      <c r="L65" s="462"/>
      <c r="M65" s="462"/>
      <c r="N65" s="462"/>
      <c r="O65" s="462"/>
      <c r="P65" s="462"/>
      <c r="Q65" s="462"/>
      <c r="R65" s="462"/>
      <c r="S65" s="462"/>
      <c r="T65" s="439" cm="1" t="str">
        <f t="array" ref="T65:T65">T64</f>
        <v>false</v>
      </c>
      <c r="U65" s="462"/>
      <c r="V65" s="462"/>
      <c r="W65" s="462"/>
      <c r="X65" s="1519"/>
      <c r="Y65" s="462"/>
      <c r="Z65" s="1520"/>
      <c r="AA65" s="462"/>
      <c r="AB65" s="695" t="s">
        <v>2198</v>
      </c>
      <c r="AC65" s="528" t="s">
        <v>2199</v>
      </c>
      <c r="AD65" s="525" t="s">
        <v>2142</v>
      </c>
      <c r="AE65" s="5190"/>
      <c r="AF65" s="1316"/>
      <c r="AG65" s="1316"/>
      <c r="AH65" s="984" t="s">
        <v>2200</v>
      </c>
      <c r="AI65" s="1317"/>
      <c r="AJ65" s="1317"/>
      <c r="AK65" s="1318"/>
      <c r="AL65" s="1318"/>
      <c r="AM65" s="5178"/>
      <c r="AN65" s="5178"/>
      <c r="AO65" s="5178"/>
      <c r="AP65" s="5178"/>
    </row>
    <row customHeight="1" ht="21.9375" hidden="1">
      <c r="A66" s="647"/>
      <c r="B66" s="462"/>
      <c r="C66" s="462"/>
      <c r="D66" s="462"/>
      <c r="E66" s="629">
        <v>22.5</v>
      </c>
      <c r="F66" s="50" cm="1" t="str">
        <f t="array" ref="F66:F66">OFFSET(E66,-1,1)</f>
        <v>0</v>
      </c>
      <c r="G66" s="462"/>
      <c r="H66" s="462" t="s">
        <v>2201</v>
      </c>
      <c r="I66" s="462"/>
      <c r="J66" s="462"/>
      <c r="K66" s="462"/>
      <c r="L66" s="462"/>
      <c r="M66" s="462"/>
      <c r="N66" s="462"/>
      <c r="O66" s="462"/>
      <c r="P66" s="462"/>
      <c r="Q66" s="462"/>
      <c r="R66" s="462"/>
      <c r="S66" s="462"/>
      <c r="T66" s="439" cm="1" t="str">
        <f t="array" ref="T66:T66">T65</f>
        <v>false</v>
      </c>
      <c r="U66" s="462"/>
      <c r="V66" s="462"/>
      <c r="W66" s="462"/>
      <c r="X66" s="1519"/>
      <c r="Y66" s="462"/>
      <c r="Z66" s="1520"/>
      <c r="AA66" s="462"/>
      <c r="AB66" s="695" t="s">
        <v>2202</v>
      </c>
      <c r="AC66" s="527" t="s">
        <v>1870</v>
      </c>
      <c r="AD66" s="525" t="s">
        <v>784</v>
      </c>
      <c r="AE66" s="5190"/>
      <c r="AF66" s="1316"/>
      <c r="AG66" s="1316"/>
      <c r="AH66" s="1046" t="s">
        <v>1673</v>
      </c>
      <c r="AI66" s="1317"/>
      <c r="AJ66" s="1317"/>
      <c r="AK66" s="1318"/>
      <c r="AL66" s="1318"/>
      <c r="AM66" s="5178"/>
      <c r="AN66" s="5178"/>
      <c r="AO66" s="5178"/>
      <c r="AP66" s="5178"/>
    </row>
    <row customHeight="1" ht="21.9375" hidden="1">
      <c r="A67" s="647"/>
      <c r="B67" s="462"/>
      <c r="C67" s="462"/>
      <c r="D67" s="462"/>
      <c r="E67" s="629">
        <v>22.5</v>
      </c>
      <c r="F67" s="50" cm="1" t="str">
        <f t="array" ref="F67:F67">OFFSET(E67,-1,1)</f>
        <v>0</v>
      </c>
      <c r="G67" s="462"/>
      <c r="H67" s="462" t="s">
        <v>1240</v>
      </c>
      <c r="I67" s="462"/>
      <c r="J67" s="462"/>
      <c r="K67" s="462"/>
      <c r="L67" s="462"/>
      <c r="M67" s="462"/>
      <c r="N67" s="462"/>
      <c r="O67" s="462"/>
      <c r="P67" s="462"/>
      <c r="Q67" s="462"/>
      <c r="R67" s="462"/>
      <c r="S67" s="462"/>
      <c r="T67" s="439" cm="1" t="str">
        <f t="array" ref="T67:T67">T66</f>
        <v>false</v>
      </c>
      <c r="U67" s="462"/>
      <c r="V67" s="462"/>
      <c r="W67" s="462"/>
      <c r="X67" s="1519"/>
      <c r="Y67" s="462"/>
      <c r="Z67" s="1520"/>
      <c r="AA67" s="462"/>
      <c r="AB67" s="695" t="s">
        <v>1241</v>
      </c>
      <c r="AC67" s="526" t="s">
        <v>2203</v>
      </c>
      <c r="AD67" s="525" t="s">
        <v>784</v>
      </c>
      <c r="AE67" s="5190"/>
      <c r="AF67" s="1316"/>
      <c r="AG67" s="1316"/>
      <c r="AH67" s="1046" t="s">
        <v>1109</v>
      </c>
      <c r="AI67" s="1317"/>
      <c r="AJ67" s="1317"/>
      <c r="AK67" s="1318"/>
      <c r="AL67" s="1318"/>
      <c r="AM67" s="5178"/>
      <c r="AN67" s="5178"/>
      <c r="AO67" s="5178"/>
      <c r="AP67" s="5178"/>
    </row>
    <row customHeight="1" ht="14.625" hidden="1">
      <c r="A68" s="647"/>
      <c r="B68" s="462"/>
      <c r="C68" s="462"/>
      <c r="D68" s="462"/>
      <c r="E68" s="629">
        <v>15</v>
      </c>
      <c r="F68" s="50" cm="1" t="str">
        <f t="array" ref="F68:F68">OFFSET(E68,-1,1)</f>
        <v>0</v>
      </c>
      <c r="G68" s="462"/>
      <c r="H68" s="462" t="s">
        <v>2204</v>
      </c>
      <c r="I68" s="462"/>
      <c r="J68" s="462"/>
      <c r="K68" s="462"/>
      <c r="L68" s="462"/>
      <c r="M68" s="462"/>
      <c r="N68" s="462"/>
      <c r="O68" s="462"/>
      <c r="P68" s="462"/>
      <c r="Q68" s="462"/>
      <c r="R68" s="462"/>
      <c r="S68" s="462"/>
      <c r="T68" s="439" cm="1" t="str">
        <f t="array" ref="T68:T68">T67</f>
        <v>false</v>
      </c>
      <c r="U68" s="462"/>
      <c r="V68" s="462"/>
      <c r="W68" s="462"/>
      <c r="X68" s="1519"/>
      <c r="Y68" s="462"/>
      <c r="Z68" s="1520"/>
      <c r="AA68" s="462"/>
      <c r="AB68" s="695" t="s">
        <v>2205</v>
      </c>
      <c r="AC68" s="526" t="s">
        <v>1111</v>
      </c>
      <c r="AD68" s="525" t="s">
        <v>784</v>
      </c>
      <c r="AE68" s="5190"/>
      <c r="AF68" s="1316"/>
      <c r="AG68" s="1316"/>
      <c r="AH68" s="1046" t="s">
        <v>1112</v>
      </c>
      <c r="AI68" s="1317"/>
      <c r="AJ68" s="1317"/>
      <c r="AK68" s="1318"/>
      <c r="AL68" s="1318"/>
      <c r="AM68" s="5178"/>
      <c r="AN68" s="5178"/>
      <c r="AO68" s="5178"/>
      <c r="AP68" s="5178"/>
    </row>
    <row customHeight="1" ht="14.625" hidden="1">
      <c r="A69" s="647"/>
      <c r="B69" s="462"/>
      <c r="C69" s="462"/>
      <c r="D69" s="462"/>
      <c r="E69" s="629">
        <v>15</v>
      </c>
      <c r="F69" s="50" cm="1" t="str">
        <f t="array" ref="F69:F69">OFFSET(E69,-1,1)</f>
        <v>0</v>
      </c>
      <c r="G69" s="462"/>
      <c r="H69" s="462" t="s">
        <v>2206</v>
      </c>
      <c r="I69" s="462"/>
      <c r="J69" s="462"/>
      <c r="K69" s="462"/>
      <c r="L69" s="462"/>
      <c r="M69" s="462"/>
      <c r="N69" s="462"/>
      <c r="O69" s="462"/>
      <c r="P69" s="462"/>
      <c r="Q69" s="462"/>
      <c r="R69" s="462"/>
      <c r="S69" s="462"/>
      <c r="T69" s="439" cm="1" t="str">
        <f t="array" ref="T69:T69">T68</f>
        <v>false</v>
      </c>
      <c r="U69" s="462"/>
      <c r="V69" s="462"/>
      <c r="W69" s="462"/>
      <c r="X69" s="1519"/>
      <c r="Y69" s="462"/>
      <c r="Z69" s="1520"/>
      <c r="AA69" s="462"/>
      <c r="AB69" s="695" t="s">
        <v>2207</v>
      </c>
      <c r="AC69" s="526" t="s">
        <v>1114</v>
      </c>
      <c r="AD69" s="525" t="s">
        <v>784</v>
      </c>
      <c r="AE69" s="5190"/>
      <c r="AF69" s="1316"/>
      <c r="AG69" s="1316"/>
      <c r="AH69" s="1046" t="s">
        <v>1115</v>
      </c>
      <c r="AI69" s="1317"/>
      <c r="AJ69" s="1317"/>
      <c r="AK69" s="1318"/>
      <c r="AL69" s="1318"/>
      <c r="AM69" s="5178"/>
      <c r="AN69" s="5178"/>
      <c r="AO69" s="5178"/>
      <c r="AP69" s="5178"/>
    </row>
    <row customHeight="1" ht="21.9375" hidden="1">
      <c r="A70" s="647"/>
      <c r="B70" s="462"/>
      <c r="C70" s="462"/>
      <c r="D70" s="462"/>
      <c r="E70" s="629">
        <v>22.5</v>
      </c>
      <c r="F70" s="50" cm="1" t="str">
        <f t="array" ref="F70:F70">OFFSET(E70,-1,1)</f>
        <v>0</v>
      </c>
      <c r="G70" s="462"/>
      <c r="H70" s="462" t="s">
        <v>2208</v>
      </c>
      <c r="I70" s="462"/>
      <c r="J70" s="462"/>
      <c r="K70" s="462"/>
      <c r="L70" s="462"/>
      <c r="M70" s="462"/>
      <c r="N70" s="462"/>
      <c r="O70" s="462"/>
      <c r="P70" s="462"/>
      <c r="Q70" s="462"/>
      <c r="R70" s="462"/>
      <c r="S70" s="462"/>
      <c r="T70" s="439" cm="1" t="str">
        <f t="array" ref="T70:T70">T69</f>
        <v>false</v>
      </c>
      <c r="U70" s="462"/>
      <c r="V70" s="462"/>
      <c r="W70" s="462"/>
      <c r="X70" s="1519"/>
      <c r="Y70" s="462"/>
      <c r="Z70" s="1520"/>
      <c r="AA70" s="462"/>
      <c r="AB70" s="695" t="s">
        <v>2209</v>
      </c>
      <c r="AC70" s="526" t="s">
        <v>2210</v>
      </c>
      <c r="AD70" s="525" t="s">
        <v>784</v>
      </c>
      <c r="AE70" s="5190"/>
      <c r="AF70" s="1316"/>
      <c r="AG70" s="1316"/>
      <c r="AH70" s="1046" t="s">
        <v>1675</v>
      </c>
      <c r="AI70" s="1317"/>
      <c r="AJ70" s="1317"/>
      <c r="AK70" s="1318"/>
      <c r="AL70" s="1318"/>
      <c r="AM70" s="5178"/>
      <c r="AN70" s="5178"/>
      <c r="AO70" s="5178"/>
      <c r="AP70" s="5178"/>
    </row>
    <row customHeight="1" ht="14.625" hidden="1">
      <c r="A71" s="647"/>
      <c r="B71" s="462"/>
      <c r="C71" s="462"/>
      <c r="D71" s="462"/>
      <c r="E71" s="629">
        <v>15</v>
      </c>
      <c r="F71" s="50" cm="1" t="str">
        <f t="array" ref="F71:F71">OFFSET(E71,-1,1)</f>
        <v>0</v>
      </c>
      <c r="G71" s="462"/>
      <c r="H71" s="462" t="s">
        <v>2211</v>
      </c>
      <c r="I71" s="462"/>
      <c r="J71" s="462"/>
      <c r="K71" s="462"/>
      <c r="L71" s="462"/>
      <c r="M71" s="462"/>
      <c r="N71" s="462"/>
      <c r="O71" s="462"/>
      <c r="P71" s="462"/>
      <c r="Q71" s="462"/>
      <c r="R71" s="462"/>
      <c r="S71" s="462"/>
      <c r="T71" s="439" cm="1" t="str">
        <f t="array" ref="T71:T71">T70</f>
        <v>false</v>
      </c>
      <c r="U71" s="462"/>
      <c r="V71" s="462"/>
      <c r="W71" s="462"/>
      <c r="X71" s="1519"/>
      <c r="Y71" s="462"/>
      <c r="Z71" s="1520"/>
      <c r="AA71" s="462"/>
      <c r="AB71" s="695" t="s">
        <v>2212</v>
      </c>
      <c r="AC71" s="526" t="s">
        <v>2213</v>
      </c>
      <c r="AD71" s="525" t="s">
        <v>784</v>
      </c>
      <c r="AE71" s="534">
        <f>AE72+AE73+AE74</f>
        <v>0</v>
      </c>
      <c r="AF71" s="1316"/>
      <c r="AG71" s="1316"/>
      <c r="AH71" s="1046" t="s">
        <v>1677</v>
      </c>
      <c r="AI71" s="1317"/>
      <c r="AJ71" s="1317"/>
      <c r="AK71" s="1318"/>
      <c r="AL71" s="1318"/>
      <c r="AM71" s="5178"/>
      <c r="AN71" s="5178"/>
      <c r="AO71" s="5178"/>
      <c r="AP71" s="5178"/>
    </row>
    <row customHeight="1" ht="14.625" hidden="1">
      <c r="A72" s="647"/>
      <c r="B72" s="462"/>
      <c r="C72" s="462"/>
      <c r="D72" s="462"/>
      <c r="E72" s="629">
        <v>15</v>
      </c>
      <c r="F72" s="50" cm="1" t="str">
        <f t="array" ref="F72:F72">OFFSET(E72,-1,1)</f>
        <v>0</v>
      </c>
      <c r="G72" s="462"/>
      <c r="H72" s="462" t="s">
        <v>2214</v>
      </c>
      <c r="I72" s="462"/>
      <c r="J72" s="462"/>
      <c r="K72" s="462"/>
      <c r="L72" s="462"/>
      <c r="M72" s="462"/>
      <c r="N72" s="462"/>
      <c r="O72" s="462"/>
      <c r="P72" s="462"/>
      <c r="Q72" s="462"/>
      <c r="R72" s="462"/>
      <c r="S72" s="462"/>
      <c r="T72" s="439" cm="1" t="str">
        <f t="array" ref="T72:T72">T71</f>
        <v>false</v>
      </c>
      <c r="U72" s="462"/>
      <c r="V72" s="462"/>
      <c r="W72" s="462"/>
      <c r="X72" s="1519"/>
      <c r="Y72" s="462"/>
      <c r="Z72" s="1520"/>
      <c r="AA72" s="462"/>
      <c r="AB72" s="695" t="s">
        <v>2215</v>
      </c>
      <c r="AC72" s="527" t="s">
        <v>2216</v>
      </c>
      <c r="AD72" s="525" t="s">
        <v>784</v>
      </c>
      <c r="AE72" s="5190"/>
      <c r="AF72" s="1316"/>
      <c r="AG72" s="1316"/>
      <c r="AH72" s="1046" t="s">
        <v>1681</v>
      </c>
      <c r="AI72" s="1317"/>
      <c r="AJ72" s="1317"/>
      <c r="AK72" s="1318"/>
      <c r="AL72" s="1318"/>
      <c r="AM72" s="5178"/>
      <c r="AN72" s="5178"/>
      <c r="AO72" s="5178"/>
      <c r="AP72" s="5178"/>
    </row>
    <row customHeight="1" ht="14.625" hidden="1">
      <c r="A73" s="647"/>
      <c r="B73" s="462"/>
      <c r="C73" s="462"/>
      <c r="D73" s="462"/>
      <c r="E73" s="629">
        <v>15</v>
      </c>
      <c r="F73" s="50" cm="1" t="str">
        <f t="array" ref="F73:F73">OFFSET(E73,-1,1)</f>
        <v>0</v>
      </c>
      <c r="G73" s="462"/>
      <c r="H73" s="462" t="s">
        <v>2217</v>
      </c>
      <c r="I73" s="462"/>
      <c r="J73" s="462"/>
      <c r="K73" s="462"/>
      <c r="L73" s="462"/>
      <c r="M73" s="462"/>
      <c r="N73" s="462"/>
      <c r="O73" s="462"/>
      <c r="P73" s="462"/>
      <c r="Q73" s="462"/>
      <c r="R73" s="462"/>
      <c r="S73" s="462"/>
      <c r="T73" s="439" cm="1" t="str">
        <f t="array" ref="T73:T73">T72</f>
        <v>false</v>
      </c>
      <c r="U73" s="462"/>
      <c r="V73" s="462"/>
      <c r="W73" s="462"/>
      <c r="X73" s="1519"/>
      <c r="Y73" s="462"/>
      <c r="Z73" s="1520"/>
      <c r="AA73" s="462"/>
      <c r="AB73" s="696" t="s">
        <v>2218</v>
      </c>
      <c r="AC73" s="529" t="s">
        <v>2219</v>
      </c>
      <c r="AD73" s="530" t="s">
        <v>784</v>
      </c>
      <c r="AE73" s="5190"/>
      <c r="AF73" s="1316"/>
      <c r="AG73" s="1316"/>
      <c r="AH73" s="1046" t="s">
        <v>1684</v>
      </c>
      <c r="AI73" s="1317"/>
      <c r="AJ73" s="1317"/>
      <c r="AK73" s="1318"/>
      <c r="AL73" s="1318"/>
      <c r="AM73" s="5178"/>
      <c r="AN73" s="5178"/>
      <c r="AO73" s="5178"/>
      <c r="AP73" s="5178"/>
    </row>
    <row customHeight="1" ht="14.625" hidden="1">
      <c r="A74" s="647"/>
      <c r="B74" s="462"/>
      <c r="C74" s="462"/>
      <c r="D74" s="462"/>
      <c r="E74" s="629">
        <v>15</v>
      </c>
      <c r="F74" s="50" cm="1" t="str">
        <f t="array" ref="F74:F74">OFFSET(E74,-1,1)</f>
        <v>0</v>
      </c>
      <c r="G74" s="462"/>
      <c r="H74" s="462" t="s">
        <v>2220</v>
      </c>
      <c r="I74" s="462"/>
      <c r="J74" s="462"/>
      <c r="K74" s="462"/>
      <c r="L74" s="462"/>
      <c r="M74" s="462"/>
      <c r="N74" s="462"/>
      <c r="O74" s="462"/>
      <c r="P74" s="462"/>
      <c r="Q74" s="462"/>
      <c r="R74" s="462"/>
      <c r="S74" s="462"/>
      <c r="T74" s="439" cm="1" t="str">
        <f t="array" ref="T74:T74">T73</f>
        <v>false</v>
      </c>
      <c r="U74" s="462"/>
      <c r="V74" s="462"/>
      <c r="W74" s="462"/>
      <c r="X74" s="1519"/>
      <c r="Y74" s="462"/>
      <c r="Z74" s="1520"/>
      <c r="AA74" s="462"/>
      <c r="AB74" s="696" t="s">
        <v>2221</v>
      </c>
      <c r="AC74" s="529" t="s">
        <v>1128</v>
      </c>
      <c r="AD74" s="530" t="s">
        <v>784</v>
      </c>
      <c r="AE74" s="5190"/>
      <c r="AF74" s="1316"/>
      <c r="AG74" s="1316"/>
      <c r="AH74" s="1046" t="s">
        <v>1687</v>
      </c>
      <c r="AI74" s="1317"/>
      <c r="AJ74" s="1317"/>
      <c r="AK74" s="1318"/>
      <c r="AL74" s="1318"/>
      <c r="AM74" s="5178"/>
      <c r="AN74" s="5178"/>
      <c r="AO74" s="5178"/>
      <c r="AP74" s="5178"/>
    </row>
    <row customHeight="1" ht="14.625" hidden="1">
      <c r="A75" s="647"/>
      <c r="B75" s="462"/>
      <c r="C75" s="462"/>
      <c r="D75" s="462"/>
      <c r="E75" s="629">
        <v>15</v>
      </c>
      <c r="F75" s="50" cm="1" t="str">
        <f t="array" ref="F75:F75">OFFSET(E75,-1,1)</f>
        <v>0</v>
      </c>
      <c r="G75" s="462"/>
      <c r="H75" s="462" t="s">
        <v>452</v>
      </c>
      <c r="I75" s="462"/>
      <c r="J75" s="462"/>
      <c r="K75" s="462"/>
      <c r="L75" s="462"/>
      <c r="M75" s="462"/>
      <c r="N75" s="462"/>
      <c r="O75" s="462"/>
      <c r="P75" s="462"/>
      <c r="Q75" s="462"/>
      <c r="R75" s="462"/>
      <c r="S75" s="462"/>
      <c r="T75" s="439" cm="1" t="str">
        <f t="array" ref="T75:T75">T74</f>
        <v>false</v>
      </c>
      <c r="U75" s="462"/>
      <c r="V75" s="462"/>
      <c r="W75" s="462"/>
      <c r="X75" s="1519"/>
      <c r="Y75" s="462"/>
      <c r="Z75" s="1520"/>
      <c r="AA75" s="462"/>
      <c r="AB75" s="696" t="s">
        <v>854</v>
      </c>
      <c r="AC75" s="531" t="s">
        <v>2222</v>
      </c>
      <c r="AD75" s="530" t="s">
        <v>784</v>
      </c>
      <c r="AE75" s="534">
        <f>SUM(AE76:AE77)</f>
        <v>0</v>
      </c>
      <c r="AF75" s="1316"/>
      <c r="AG75" s="1316"/>
      <c r="AH75" s="1048" t="s">
        <v>2223</v>
      </c>
      <c r="AI75" s="1317"/>
      <c r="AJ75" s="1317"/>
      <c r="AK75" s="1318"/>
      <c r="AL75" s="1318"/>
      <c r="AM75" s="5178"/>
      <c r="AN75" s="5178"/>
      <c r="AO75" s="5178"/>
      <c r="AP75" s="5178"/>
    </row>
    <row customHeight="1" ht="14.625" hidden="1">
      <c r="A76" s="647"/>
      <c r="B76" s="462"/>
      <c r="C76" s="462"/>
      <c r="D76" s="462"/>
      <c r="E76" s="629">
        <v>15</v>
      </c>
      <c r="F76" s="50" cm="1" t="str">
        <f t="array" ref="F76:F76">OFFSET(E76,-1,1)</f>
        <v>0</v>
      </c>
      <c r="G76" s="462"/>
      <c r="H76" s="462" t="s">
        <v>452</v>
      </c>
      <c r="I76" s="540" cm="1" t="str">
        <f t="array" ref="I76:I76">AC76</f>
        <v>0</v>
      </c>
      <c r="J76" s="462"/>
      <c r="K76" s="462"/>
      <c r="L76" s="462"/>
      <c r="M76" s="462"/>
      <c r="N76" s="462"/>
      <c r="O76" s="462"/>
      <c r="P76" s="462"/>
      <c r="Q76" s="462"/>
      <c r="R76" s="462"/>
      <c r="S76" s="462"/>
      <c r="T76" s="439">
        <f>AND(F76&gt;0,Y76&gt;0)</f>
        <v>0</v>
      </c>
      <c r="U76" s="462"/>
      <c r="V76" s="462"/>
      <c r="W76" s="532" t="s">
        <v>173</v>
      </c>
      <c r="X76" s="1519"/>
      <c r="Y76" s="462">
        <v>0</v>
      </c>
      <c r="Z76" s="1520"/>
      <c r="AA76" s="1303" t="s">
        <v>174</v>
      </c>
      <c r="AB76" s="695" t="str">
        <f>"1.4."&amp;Y76</f>
        <v>1.4.0</v>
      </c>
      <c r="AC76" s="5204"/>
      <c r="AD76" s="525" t="s">
        <v>784</v>
      </c>
      <c r="AE76" s="5205"/>
      <c r="AF76" s="1316"/>
      <c r="AG76" s="1316"/>
      <c r="AH76" s="1048" t="s">
        <v>2223</v>
      </c>
      <c r="AI76" s="984" t="s">
        <v>2224</v>
      </c>
      <c r="AJ76" s="984" cm="1" t="str">
        <f t="array" ref="AJ76:AJ76">AC76</f>
        <v>0</v>
      </c>
      <c r="AK76" s="1318"/>
      <c r="AL76" s="636" t="b">
        <v>1</v>
      </c>
      <c r="AM76" s="5178"/>
      <c r="AN76" s="5178"/>
      <c r="AO76" s="5178"/>
      <c r="AP76" s="5178"/>
    </row>
    <row customHeight="1" ht="14.625" hidden="1">
      <c r="A77" s="647"/>
      <c r="B77" s="462"/>
      <c r="C77" s="462"/>
      <c r="D77" s="462"/>
      <c r="E77" s="629">
        <v>15</v>
      </c>
      <c r="F77" s="50" cm="1" t="str">
        <f t="array" ref="F77:F77">OFFSET(E77,-1,1)</f>
        <v>0</v>
      </c>
      <c r="G77" s="462"/>
      <c r="H77" s="462"/>
      <c r="I77" s="1305" t="str">
        <f>"!== 'не определено' &amp;&amp; row.l1_4 !== null"</f>
        <v>!== 'не определено' &amp;&amp; row.l1_4 !== null</v>
      </c>
      <c r="J77" s="462"/>
      <c r="K77" s="462"/>
      <c r="L77" s="462"/>
      <c r="M77" s="462"/>
      <c r="N77" s="462"/>
      <c r="O77" s="462"/>
      <c r="P77" s="462"/>
      <c r="Q77" s="462"/>
      <c r="R77" s="462"/>
      <c r="S77" s="462"/>
      <c r="T77" s="439">
        <f>F77&gt;0</f>
        <v>0</v>
      </c>
      <c r="U77" s="462"/>
      <c r="V77" s="462"/>
      <c r="W77" s="810" t="s">
        <v>392</v>
      </c>
      <c r="X77" s="1519"/>
      <c r="Y77" s="462"/>
      <c r="Z77" s="1520"/>
      <c r="AA77" s="462"/>
      <c r="AB77" s="1306"/>
      <c r="AC77" s="1307" t="s">
        <v>177</v>
      </c>
      <c r="AD77" s="1308"/>
      <c r="AE77" s="1371"/>
      <c r="AF77" s="1316"/>
      <c r="AG77" s="1316"/>
      <c r="AH77" s="1317"/>
      <c r="AI77" s="1317"/>
      <c r="AJ77" s="1317"/>
      <c r="AK77" s="636" t="s">
        <v>2224</v>
      </c>
      <c r="AL77" s="1318"/>
      <c r="AM77" s="5178"/>
      <c r="AN77" s="5178"/>
      <c r="AO77" s="5178"/>
      <c r="AP77" s="5178"/>
    </row>
    <row customHeight="1" ht="14.625" hidden="1">
      <c r="A78" s="647"/>
      <c r="B78" s="462"/>
      <c r="C78" s="462"/>
      <c r="D78" s="462"/>
      <c r="E78" s="629">
        <v>15</v>
      </c>
      <c r="F78" s="50" cm="1" t="str">
        <f t="array" ref="F78:F78">OFFSET(E78,-1,1)</f>
        <v>0</v>
      </c>
      <c r="G78" s="462"/>
      <c r="H78" s="462" t="s">
        <v>326</v>
      </c>
      <c r="I78" s="462"/>
      <c r="J78" s="462"/>
      <c r="K78" s="462"/>
      <c r="L78" s="462"/>
      <c r="M78" s="462"/>
      <c r="N78" s="462"/>
      <c r="O78" s="462"/>
      <c r="P78" s="462"/>
      <c r="Q78" s="462"/>
      <c r="R78" s="462"/>
      <c r="S78" s="462"/>
      <c r="T78" s="439" cm="1" t="str">
        <f t="array" ref="T78:T78">T77</f>
        <v>false</v>
      </c>
      <c r="U78" s="462"/>
      <c r="V78" s="462"/>
      <c r="W78" s="462"/>
      <c r="X78" s="1519"/>
      <c r="Y78" s="462"/>
      <c r="Z78" s="1520"/>
      <c r="AA78" s="462"/>
      <c r="AB78" s="694" t="s">
        <v>283</v>
      </c>
      <c r="AC78" s="522" t="s">
        <v>1895</v>
      </c>
      <c r="AD78" s="523" t="s">
        <v>784</v>
      </c>
      <c r="AE78" s="534">
        <f>AE79+AE91+AE92+AE102+AE103+AE104+AE107+AE108+AE109+AE110+AE111+AE112</f>
        <v>0</v>
      </c>
      <c r="AF78" s="1316"/>
      <c r="AG78" s="1316"/>
      <c r="AH78" s="984" t="s">
        <v>2225</v>
      </c>
      <c r="AI78" s="1317"/>
      <c r="AJ78" s="1317"/>
      <c r="AK78" s="1318"/>
      <c r="AL78" s="1318"/>
      <c r="AM78" s="5178"/>
      <c r="AN78" s="5178"/>
      <c r="AO78" s="5178"/>
      <c r="AP78" s="5178"/>
    </row>
    <row s="1310" customFormat="1" customHeight="1" ht="26.325000000000003" hidden="1">
      <c r="A79" s="647"/>
      <c r="B79" s="462"/>
      <c r="C79" s="462"/>
      <c r="D79" s="462"/>
      <c r="E79" s="629">
        <v>27</v>
      </c>
      <c r="F79" s="498" cm="1" t="str">
        <f t="array" ref="F79:F79">OFFSET(E79,-1,1)</f>
        <v>0</v>
      </c>
      <c r="G79" s="462"/>
      <c r="H79" s="462"/>
      <c r="I79" s="462"/>
      <c r="J79" s="462"/>
      <c r="K79" s="462"/>
      <c r="L79" s="462"/>
      <c r="M79" s="462"/>
      <c r="N79" s="462"/>
      <c r="O79" s="462"/>
      <c r="P79" s="462"/>
      <c r="Q79" s="462"/>
      <c r="R79" s="462"/>
      <c r="S79" s="462"/>
      <c r="T79" s="439" cm="1" t="str">
        <f t="array" ref="T79:T79">T78</f>
        <v>false</v>
      </c>
      <c r="U79" s="462"/>
      <c r="V79" s="462"/>
      <c r="W79" s="462"/>
      <c r="X79" s="1519"/>
      <c r="Y79" s="462"/>
      <c r="Z79" s="1520"/>
      <c r="AA79" s="462"/>
      <c r="AB79" s="1297" t="s">
        <v>515</v>
      </c>
      <c r="AC79" s="1309" t="s">
        <v>1897</v>
      </c>
      <c r="AD79" s="1296" t="s">
        <v>784</v>
      </c>
      <c r="AE79" s="534">
        <f>SUM(AE80:AE90)</f>
        <v>0</v>
      </c>
      <c r="AF79" s="1093"/>
      <c r="AG79" s="1093"/>
      <c r="AH79" s="1048" t="s">
        <v>1129</v>
      </c>
      <c r="AI79" s="1042"/>
      <c r="AJ79" s="1042"/>
      <c r="AK79" s="948"/>
      <c r="AL79" s="948"/>
      <c r="AM79" s="1310"/>
      <c r="AN79" s="1310"/>
      <c r="AO79" s="1310"/>
      <c r="AP79" s="1310"/>
    </row>
    <row s="1310" customFormat="1" customHeight="1" ht="14.625" hidden="1">
      <c r="A80" s="647"/>
      <c r="B80" s="462"/>
      <c r="C80" s="462"/>
      <c r="D80" s="462"/>
      <c r="E80" s="629">
        <v>15</v>
      </c>
      <c r="F80" s="498" cm="1" t="str">
        <f t="array" ref="F80:F80">OFFSET(E80,-1,1)</f>
        <v>0</v>
      </c>
      <c r="G80" s="462"/>
      <c r="H80" s="462"/>
      <c r="I80" s="462"/>
      <c r="J80" s="462"/>
      <c r="K80" s="462"/>
      <c r="L80" s="462"/>
      <c r="M80" s="462"/>
      <c r="N80" s="462"/>
      <c r="O80" s="462"/>
      <c r="P80" s="462"/>
      <c r="Q80" s="462"/>
      <c r="R80" s="462"/>
      <c r="S80" s="462"/>
      <c r="T80" s="439" cm="1" t="str">
        <f t="array" ref="T80:T80">T79</f>
        <v>false</v>
      </c>
      <c r="U80" s="462"/>
      <c r="V80" s="462"/>
      <c r="W80" s="462"/>
      <c r="X80" s="1519"/>
      <c r="Y80" s="462"/>
      <c r="Z80" s="1520"/>
      <c r="AA80" s="462"/>
      <c r="AB80" s="1297" t="s">
        <v>467</v>
      </c>
      <c r="AC80" s="1300" t="s">
        <v>1898</v>
      </c>
      <c r="AD80" s="1299" t="s">
        <v>784</v>
      </c>
      <c r="AE80" s="5219"/>
      <c r="AF80" s="1093"/>
      <c r="AG80" s="1093"/>
      <c r="AH80" s="1048" t="s">
        <v>2226</v>
      </c>
      <c r="AI80" s="1042"/>
      <c r="AJ80" s="1042"/>
      <c r="AK80" s="948"/>
      <c r="AL80" s="948"/>
      <c r="AM80" s="1310"/>
      <c r="AN80" s="1310"/>
      <c r="AO80" s="1310"/>
      <c r="AP80" s="1310"/>
    </row>
    <row s="1310" customFormat="1" customHeight="1" ht="14.625" hidden="1">
      <c r="A81" s="647"/>
      <c r="B81" s="462"/>
      <c r="C81" s="462"/>
      <c r="D81" s="462"/>
      <c r="E81" s="629">
        <v>15</v>
      </c>
      <c r="F81" s="498" cm="1" t="str">
        <f t="array" ref="F81:F81">OFFSET(E81,-1,1)</f>
        <v>0</v>
      </c>
      <c r="G81" s="462"/>
      <c r="H81" s="462"/>
      <c r="I81" s="462"/>
      <c r="J81" s="462"/>
      <c r="K81" s="462"/>
      <c r="L81" s="462"/>
      <c r="M81" s="462"/>
      <c r="N81" s="462"/>
      <c r="O81" s="462"/>
      <c r="P81" s="462"/>
      <c r="Q81" s="462"/>
      <c r="R81" s="462"/>
      <c r="S81" s="462"/>
      <c r="T81" s="439" cm="1" t="str">
        <f t="array" ref="T81:T81">T80</f>
        <v>false</v>
      </c>
      <c r="U81" s="462"/>
      <c r="V81" s="462"/>
      <c r="W81" s="462"/>
      <c r="X81" s="1519"/>
      <c r="Y81" s="462"/>
      <c r="Z81" s="1520"/>
      <c r="AA81" s="462"/>
      <c r="AB81" s="1297" t="s">
        <v>1899</v>
      </c>
      <c r="AC81" s="1300" t="s">
        <v>1900</v>
      </c>
      <c r="AD81" s="1299" t="s">
        <v>784</v>
      </c>
      <c r="AE81" s="5219"/>
      <c r="AF81" s="1093"/>
      <c r="AG81" s="1093"/>
      <c r="AH81" s="1048" t="s">
        <v>2227</v>
      </c>
      <c r="AI81" s="1042"/>
      <c r="AJ81" s="1042"/>
      <c r="AK81" s="948"/>
      <c r="AL81" s="948"/>
      <c r="AM81" s="1310"/>
      <c r="AN81" s="1310"/>
      <c r="AO81" s="1310"/>
      <c r="AP81" s="1310"/>
    </row>
    <row s="1310" customFormat="1" customHeight="1" ht="14.625" hidden="1">
      <c r="A82" s="647"/>
      <c r="B82" s="462"/>
      <c r="C82" s="462"/>
      <c r="D82" s="462"/>
      <c r="E82" s="629">
        <v>15</v>
      </c>
      <c r="F82" s="498" cm="1" t="str">
        <f t="array" ref="F82:F82">OFFSET(E82,-1,1)</f>
        <v>0</v>
      </c>
      <c r="G82" s="462"/>
      <c r="H82" s="462"/>
      <c r="I82" s="462"/>
      <c r="J82" s="462"/>
      <c r="K82" s="462"/>
      <c r="L82" s="462"/>
      <c r="M82" s="462"/>
      <c r="N82" s="462"/>
      <c r="O82" s="462"/>
      <c r="P82" s="462"/>
      <c r="Q82" s="462"/>
      <c r="R82" s="462"/>
      <c r="S82" s="462"/>
      <c r="T82" s="439" cm="1" t="str">
        <f t="array" ref="T82:T82">T81</f>
        <v>false</v>
      </c>
      <c r="U82" s="462"/>
      <c r="V82" s="462"/>
      <c r="W82" s="462"/>
      <c r="X82" s="1519"/>
      <c r="Y82" s="462"/>
      <c r="Z82" s="1520"/>
      <c r="AA82" s="462"/>
      <c r="AB82" s="1297" t="s">
        <v>1901</v>
      </c>
      <c r="AC82" s="1300" t="s">
        <v>1902</v>
      </c>
      <c r="AD82" s="1299" t="s">
        <v>784</v>
      </c>
      <c r="AE82" s="5219"/>
      <c r="AF82" s="1093"/>
      <c r="AG82" s="1093"/>
      <c r="AH82" s="1048" t="s">
        <v>2228</v>
      </c>
      <c r="AI82" s="1042"/>
      <c r="AJ82" s="1042"/>
      <c r="AK82" s="948"/>
      <c r="AL82" s="948"/>
      <c r="AM82" s="1310"/>
      <c r="AN82" s="1310"/>
      <c r="AO82" s="1310"/>
      <c r="AP82" s="1310"/>
    </row>
    <row s="1310" customFormat="1" customHeight="1" ht="14.625" hidden="1">
      <c r="A83" s="647"/>
      <c r="B83" s="462"/>
      <c r="C83" s="462"/>
      <c r="D83" s="462"/>
      <c r="E83" s="629">
        <v>15</v>
      </c>
      <c r="F83" s="498" cm="1" t="str">
        <f t="array" ref="F83:F83">OFFSET(E83,-1,1)</f>
        <v>0</v>
      </c>
      <c r="G83" s="462"/>
      <c r="H83" s="462"/>
      <c r="I83" s="462"/>
      <c r="J83" s="462"/>
      <c r="K83" s="462"/>
      <c r="L83" s="462"/>
      <c r="M83" s="462"/>
      <c r="N83" s="462"/>
      <c r="O83" s="462"/>
      <c r="P83" s="462"/>
      <c r="Q83" s="462"/>
      <c r="R83" s="462"/>
      <c r="S83" s="462"/>
      <c r="T83" s="439" cm="1" t="str">
        <f t="array" ref="T83:T83">T82</f>
        <v>false</v>
      </c>
      <c r="U83" s="462"/>
      <c r="V83" s="462"/>
      <c r="W83" s="462"/>
      <c r="X83" s="1519"/>
      <c r="Y83" s="462"/>
      <c r="Z83" s="1520"/>
      <c r="AA83" s="462"/>
      <c r="AB83" s="1297" t="s">
        <v>1904</v>
      </c>
      <c r="AC83" s="1300" t="s">
        <v>1905</v>
      </c>
      <c r="AD83" s="1299" t="s">
        <v>784</v>
      </c>
      <c r="AE83" s="5219"/>
      <c r="AF83" s="1093"/>
      <c r="AG83" s="1093"/>
      <c r="AH83" s="1048" t="s">
        <v>2229</v>
      </c>
      <c r="AI83" s="1042"/>
      <c r="AJ83" s="1042"/>
      <c r="AK83" s="948"/>
      <c r="AL83" s="948"/>
      <c r="AM83" s="1310"/>
      <c r="AN83" s="1310"/>
      <c r="AO83" s="1310"/>
      <c r="AP83" s="1310"/>
    </row>
    <row s="1310" customFormat="1" customHeight="1" ht="14.625" hidden="1">
      <c r="A84" s="647"/>
      <c r="B84" s="462"/>
      <c r="C84" s="462"/>
      <c r="D84" s="462"/>
      <c r="E84" s="629">
        <v>15</v>
      </c>
      <c r="F84" s="498" cm="1" t="str">
        <f t="array" ref="F84:F84">OFFSET(E84,-1,1)</f>
        <v>0</v>
      </c>
      <c r="G84" s="462"/>
      <c r="H84" s="462"/>
      <c r="I84" s="462"/>
      <c r="J84" s="462"/>
      <c r="K84" s="462"/>
      <c r="L84" s="462"/>
      <c r="M84" s="462"/>
      <c r="N84" s="462"/>
      <c r="O84" s="462"/>
      <c r="P84" s="462"/>
      <c r="Q84" s="462"/>
      <c r="R84" s="462"/>
      <c r="S84" s="462"/>
      <c r="T84" s="439" cm="1" t="str">
        <f t="array" ref="T84:T84">T83</f>
        <v>false</v>
      </c>
      <c r="U84" s="462"/>
      <c r="V84" s="462"/>
      <c r="W84" s="462"/>
      <c r="X84" s="1519"/>
      <c r="Y84" s="462"/>
      <c r="Z84" s="1520"/>
      <c r="AA84" s="462"/>
      <c r="AB84" s="1297" t="s">
        <v>1907</v>
      </c>
      <c r="AC84" s="1300" t="s">
        <v>1908</v>
      </c>
      <c r="AD84" s="1299" t="s">
        <v>784</v>
      </c>
      <c r="AE84" s="5219"/>
      <c r="AF84" s="1093"/>
      <c r="AG84" s="1093"/>
      <c r="AH84" s="1048" t="s">
        <v>2230</v>
      </c>
      <c r="AI84" s="1042"/>
      <c r="AJ84" s="1042"/>
      <c r="AK84" s="948"/>
      <c r="AL84" s="948"/>
      <c r="AM84" s="1310"/>
      <c r="AN84" s="1310"/>
      <c r="AO84" s="1310"/>
      <c r="AP84" s="1310"/>
    </row>
    <row s="1310" customFormat="1" customHeight="1" ht="26.325000000000003" hidden="1">
      <c r="A85" s="647"/>
      <c r="B85" s="462"/>
      <c r="C85" s="462"/>
      <c r="D85" s="462"/>
      <c r="E85" s="629">
        <v>27</v>
      </c>
      <c r="F85" s="498" cm="1" t="str">
        <f t="array" ref="F85:F85">OFFSET(E85,-1,1)</f>
        <v>0</v>
      </c>
      <c r="G85" s="462"/>
      <c r="H85" s="462"/>
      <c r="I85" s="462"/>
      <c r="J85" s="462"/>
      <c r="K85" s="462"/>
      <c r="L85" s="462"/>
      <c r="M85" s="462"/>
      <c r="N85" s="462"/>
      <c r="O85" s="462"/>
      <c r="P85" s="462"/>
      <c r="Q85" s="462"/>
      <c r="R85" s="462"/>
      <c r="S85" s="462"/>
      <c r="T85" s="439" cm="1" t="str">
        <f t="array" ref="T85:T85">T84</f>
        <v>false</v>
      </c>
      <c r="U85" s="462"/>
      <c r="V85" s="462"/>
      <c r="W85" s="462"/>
      <c r="X85" s="1519"/>
      <c r="Y85" s="462"/>
      <c r="Z85" s="1520"/>
      <c r="AA85" s="462"/>
      <c r="AB85" s="1297" t="s">
        <v>1910</v>
      </c>
      <c r="AC85" s="1300" t="s">
        <v>1911</v>
      </c>
      <c r="AD85" s="1299" t="s">
        <v>784</v>
      </c>
      <c r="AE85" s="5219"/>
      <c r="AF85" s="1093"/>
      <c r="AG85" s="1093"/>
      <c r="AH85" s="1048" t="s">
        <v>2231</v>
      </c>
      <c r="AI85" s="1042"/>
      <c r="AJ85" s="1042"/>
      <c r="AK85" s="948"/>
      <c r="AL85" s="948"/>
      <c r="AM85" s="1310"/>
      <c r="AN85" s="1310"/>
      <c r="AO85" s="1310"/>
      <c r="AP85" s="1310"/>
    </row>
    <row s="1310" customFormat="1" customHeight="1" ht="14.625" hidden="1">
      <c r="A86" s="647"/>
      <c r="B86" s="462"/>
      <c r="C86" s="462"/>
      <c r="D86" s="462"/>
      <c r="E86" s="629">
        <v>15</v>
      </c>
      <c r="F86" s="498" cm="1" t="str">
        <f t="array" ref="F86:F86">OFFSET(E86,-1,1)</f>
        <v>0</v>
      </c>
      <c r="G86" s="462"/>
      <c r="H86" s="462"/>
      <c r="I86" s="462"/>
      <c r="J86" s="462"/>
      <c r="K86" s="462"/>
      <c r="L86" s="462"/>
      <c r="M86" s="462"/>
      <c r="N86" s="462"/>
      <c r="O86" s="462"/>
      <c r="P86" s="462"/>
      <c r="Q86" s="462"/>
      <c r="R86" s="462"/>
      <c r="S86" s="462"/>
      <c r="T86" s="439" cm="1" t="str">
        <f t="array" ref="T86:T86">T85</f>
        <v>false</v>
      </c>
      <c r="U86" s="462"/>
      <c r="V86" s="462"/>
      <c r="W86" s="462"/>
      <c r="X86" s="1519"/>
      <c r="Y86" s="462"/>
      <c r="Z86" s="1520"/>
      <c r="AA86" s="462"/>
      <c r="AB86" s="1297" t="s">
        <v>1914</v>
      </c>
      <c r="AC86" s="1300" t="s">
        <v>1915</v>
      </c>
      <c r="AD86" s="1299" t="s">
        <v>784</v>
      </c>
      <c r="AE86" s="5219"/>
      <c r="AF86" s="1093"/>
      <c r="AG86" s="1093"/>
      <c r="AH86" s="1048" t="s">
        <v>2232</v>
      </c>
      <c r="AI86" s="1042"/>
      <c r="AJ86" s="1042"/>
      <c r="AK86" s="948"/>
      <c r="AL86" s="948"/>
      <c r="AM86" s="1310"/>
      <c r="AN86" s="1310"/>
      <c r="AO86" s="1310"/>
      <c r="AP86" s="1310"/>
    </row>
    <row s="1310" customFormat="1" customHeight="1" ht="14.625" hidden="1">
      <c r="A87" s="647"/>
      <c r="B87" s="462"/>
      <c r="C87" s="462"/>
      <c r="D87" s="462"/>
      <c r="E87" s="629">
        <v>15</v>
      </c>
      <c r="F87" s="498" cm="1" t="str">
        <f t="array" ref="F87:F87">OFFSET(E87,-1,1)</f>
        <v>0</v>
      </c>
      <c r="G87" s="462"/>
      <c r="H87" s="462"/>
      <c r="I87" s="462"/>
      <c r="J87" s="462"/>
      <c r="K87" s="462"/>
      <c r="L87" s="462"/>
      <c r="M87" s="462"/>
      <c r="N87" s="462"/>
      <c r="O87" s="462"/>
      <c r="P87" s="462"/>
      <c r="Q87" s="462"/>
      <c r="R87" s="462"/>
      <c r="S87" s="462"/>
      <c r="T87" s="439" cm="1" t="str">
        <f t="array" ref="T87:T87">T86</f>
        <v>false</v>
      </c>
      <c r="U87" s="462"/>
      <c r="V87" s="462"/>
      <c r="W87" s="462"/>
      <c r="X87" s="1519"/>
      <c r="Y87" s="462"/>
      <c r="Z87" s="1520"/>
      <c r="AA87" s="462"/>
      <c r="AB87" s="1297" t="s">
        <v>1918</v>
      </c>
      <c r="AC87" s="1300" t="s">
        <v>1919</v>
      </c>
      <c r="AD87" s="1299" t="s">
        <v>784</v>
      </c>
      <c r="AE87" s="5219"/>
      <c r="AF87" s="1093"/>
      <c r="AG87" s="1093"/>
      <c r="AH87" s="1048" t="s">
        <v>2233</v>
      </c>
      <c r="AI87" s="1042"/>
      <c r="AJ87" s="1042"/>
      <c r="AK87" s="948"/>
      <c r="AL87" s="948"/>
      <c r="AM87" s="1310"/>
      <c r="AN87" s="1310"/>
      <c r="AO87" s="1310"/>
      <c r="AP87" s="1310"/>
    </row>
    <row s="1310" customFormat="1" customHeight="1" ht="14.625" hidden="1">
      <c r="A88" s="647"/>
      <c r="B88" s="462"/>
      <c r="C88" s="462"/>
      <c r="D88" s="462"/>
      <c r="E88" s="629">
        <v>15</v>
      </c>
      <c r="F88" s="498" cm="1" t="str">
        <f t="array" ref="F88:F88">OFFSET(E88,-1,1)</f>
        <v>0</v>
      </c>
      <c r="G88" s="462"/>
      <c r="H88" s="462"/>
      <c r="I88" s="462"/>
      <c r="J88" s="462"/>
      <c r="K88" s="462"/>
      <c r="L88" s="462"/>
      <c r="M88" s="462"/>
      <c r="N88" s="462"/>
      <c r="O88" s="462"/>
      <c r="P88" s="462"/>
      <c r="Q88" s="462"/>
      <c r="R88" s="462"/>
      <c r="S88" s="462"/>
      <c r="T88" s="439" cm="1" t="str">
        <f t="array" ref="T88:T88">T87</f>
        <v>false</v>
      </c>
      <c r="U88" s="462"/>
      <c r="V88" s="462"/>
      <c r="W88" s="462"/>
      <c r="X88" s="1519"/>
      <c r="Y88" s="462"/>
      <c r="Z88" s="1520"/>
      <c r="AA88" s="462"/>
      <c r="AB88" s="1297" t="s">
        <v>1921</v>
      </c>
      <c r="AC88" s="1300" t="s">
        <v>1922</v>
      </c>
      <c r="AD88" s="1299" t="s">
        <v>784</v>
      </c>
      <c r="AE88" s="5219"/>
      <c r="AF88" s="1093"/>
      <c r="AG88" s="1093"/>
      <c r="AH88" s="1048" t="s">
        <v>2234</v>
      </c>
      <c r="AI88" s="1042"/>
      <c r="AJ88" s="1042"/>
      <c r="AK88" s="948"/>
      <c r="AL88" s="948"/>
      <c r="AM88" s="1310"/>
      <c r="AN88" s="1310"/>
      <c r="AO88" s="1310"/>
      <c r="AP88" s="1310"/>
    </row>
    <row s="1310" customFormat="1" customHeight="1" ht="14.625" hidden="1">
      <c r="A89" s="647"/>
      <c r="B89" s="462"/>
      <c r="C89" s="462"/>
      <c r="D89" s="462"/>
      <c r="E89" s="629">
        <v>15</v>
      </c>
      <c r="F89" s="498" cm="1" t="str">
        <f t="array" ref="F89:F89">OFFSET(E89,-1,1)</f>
        <v>0</v>
      </c>
      <c r="G89" s="462"/>
      <c r="H89" s="462"/>
      <c r="I89" s="462"/>
      <c r="J89" s="462"/>
      <c r="K89" s="462"/>
      <c r="L89" s="462"/>
      <c r="M89" s="462"/>
      <c r="N89" s="462"/>
      <c r="O89" s="462"/>
      <c r="P89" s="462"/>
      <c r="Q89" s="462"/>
      <c r="R89" s="462"/>
      <c r="S89" s="462"/>
      <c r="T89" s="439" cm="1" t="str">
        <f t="array" ref="T89:T89">T88</f>
        <v>false</v>
      </c>
      <c r="U89" s="462"/>
      <c r="V89" s="462"/>
      <c r="W89" s="462"/>
      <c r="X89" s="1519"/>
      <c r="Y89" s="462"/>
      <c r="Z89" s="1520"/>
      <c r="AA89" s="462"/>
      <c r="AB89" s="1297" t="s">
        <v>1924</v>
      </c>
      <c r="AC89" s="1300" t="s">
        <v>1925</v>
      </c>
      <c r="AD89" s="1299" t="s">
        <v>784</v>
      </c>
      <c r="AE89" s="5219"/>
      <c r="AF89" s="1093"/>
      <c r="AG89" s="1093"/>
      <c r="AH89" s="1048" t="s">
        <v>2235</v>
      </c>
      <c r="AI89" s="1042"/>
      <c r="AJ89" s="1042"/>
      <c r="AK89" s="948"/>
      <c r="AL89" s="948"/>
      <c r="AM89" s="1310"/>
      <c r="AN89" s="1310"/>
      <c r="AO89" s="1310"/>
      <c r="AP89" s="1310"/>
    </row>
    <row s="1310" customFormat="1" customHeight="1" ht="14.625" hidden="1">
      <c r="A90" s="647"/>
      <c r="B90" s="462"/>
      <c r="C90" s="462"/>
      <c r="D90" s="462"/>
      <c r="E90" s="629">
        <v>15</v>
      </c>
      <c r="F90" s="498" cm="1" t="str">
        <f t="array" ref="F90:F90">OFFSET(E90,-1,1)</f>
        <v>0</v>
      </c>
      <c r="G90" s="462"/>
      <c r="H90" s="462"/>
      <c r="I90" s="462"/>
      <c r="J90" s="462"/>
      <c r="K90" s="462"/>
      <c r="L90" s="462"/>
      <c r="M90" s="462"/>
      <c r="N90" s="462"/>
      <c r="O90" s="462"/>
      <c r="P90" s="462"/>
      <c r="Q90" s="462"/>
      <c r="R90" s="462"/>
      <c r="S90" s="462"/>
      <c r="T90" s="439" cm="1" t="str">
        <f t="array" ref="T90:T90">T89</f>
        <v>false</v>
      </c>
      <c r="U90" s="462"/>
      <c r="V90" s="462"/>
      <c r="W90" s="462"/>
      <c r="X90" s="1519"/>
      <c r="Y90" s="462"/>
      <c r="Z90" s="1520"/>
      <c r="AA90" s="462"/>
      <c r="AB90" s="1297" t="s">
        <v>1926</v>
      </c>
      <c r="AC90" s="1300" t="s">
        <v>1927</v>
      </c>
      <c r="AD90" s="1299" t="s">
        <v>784</v>
      </c>
      <c r="AE90" s="5219"/>
      <c r="AF90" s="1093"/>
      <c r="AG90" s="1093"/>
      <c r="AH90" s="1048" t="s">
        <v>2236</v>
      </c>
      <c r="AI90" s="1042"/>
      <c r="AJ90" s="1042"/>
      <c r="AK90" s="948"/>
      <c r="AL90" s="948"/>
      <c r="AM90" s="1310"/>
      <c r="AN90" s="1310"/>
      <c r="AO90" s="1310"/>
      <c r="AP90" s="1310"/>
    </row>
    <row s="1310" customFormat="1" customHeight="1" ht="14.625" hidden="1">
      <c r="A91" s="647"/>
      <c r="B91" s="462"/>
      <c r="C91" s="462"/>
      <c r="D91" s="462"/>
      <c r="E91" s="629">
        <v>15</v>
      </c>
      <c r="F91" s="498" cm="1" t="str">
        <f t="array" ref="F91:F91">OFFSET(E91,-1,1)</f>
        <v>0</v>
      </c>
      <c r="G91" s="462"/>
      <c r="H91" s="462"/>
      <c r="I91" s="462"/>
      <c r="J91" s="462"/>
      <c r="K91" s="462"/>
      <c r="L91" s="462"/>
      <c r="M91" s="462"/>
      <c r="N91" s="462"/>
      <c r="O91" s="462"/>
      <c r="P91" s="462"/>
      <c r="Q91" s="462"/>
      <c r="R91" s="462"/>
      <c r="S91" s="462"/>
      <c r="T91" s="439" cm="1" t="str">
        <f t="array" ref="T91:T91">T90</f>
        <v>false</v>
      </c>
      <c r="U91" s="462"/>
      <c r="V91" s="462"/>
      <c r="W91" s="462"/>
      <c r="X91" s="1519"/>
      <c r="Y91" s="462"/>
      <c r="Z91" s="1520"/>
      <c r="AA91" s="462"/>
      <c r="AB91" s="1297" t="s">
        <v>519</v>
      </c>
      <c r="AC91" s="1298" t="s">
        <v>1928</v>
      </c>
      <c r="AD91" s="1299" t="s">
        <v>784</v>
      </c>
      <c r="AE91" s="5219"/>
      <c r="AF91" s="1093"/>
      <c r="AG91" s="1093"/>
      <c r="AH91" s="1048" t="s">
        <v>2237</v>
      </c>
      <c r="AI91" s="1042"/>
      <c r="AJ91" s="1042"/>
      <c r="AK91" s="948"/>
      <c r="AL91" s="948"/>
      <c r="AM91" s="1310"/>
      <c r="AN91" s="1310"/>
      <c r="AO91" s="1310"/>
      <c r="AP91" s="1310"/>
    </row>
    <row customHeight="1" ht="14.625" hidden="1">
      <c r="A92" s="647"/>
      <c r="B92" s="462"/>
      <c r="C92" s="462"/>
      <c r="D92" s="462"/>
      <c r="E92" s="629">
        <v>15</v>
      </c>
      <c r="F92" s="50" cm="1" t="str">
        <f t="array" ref="F92:F92">OFFSET(E92,-1,1)</f>
        <v>0</v>
      </c>
      <c r="G92" s="462"/>
      <c r="H92" s="462" t="s">
        <v>462</v>
      </c>
      <c r="I92" s="462"/>
      <c r="J92" s="462"/>
      <c r="K92" s="462"/>
      <c r="L92" s="462"/>
      <c r="M92" s="462"/>
      <c r="N92" s="462"/>
      <c r="O92" s="462"/>
      <c r="P92" s="462"/>
      <c r="Q92" s="462"/>
      <c r="R92" s="462"/>
      <c r="S92" s="462"/>
      <c r="T92" s="439" cm="1" t="str">
        <f t="array" ref="T92:T92">T78</f>
        <v>false</v>
      </c>
      <c r="U92" s="462"/>
      <c r="V92" s="462"/>
      <c r="W92" s="462"/>
      <c r="X92" s="1519"/>
      <c r="Y92" s="462"/>
      <c r="Z92" s="1520"/>
      <c r="AA92" s="462"/>
      <c r="AB92" s="695" t="s">
        <v>523</v>
      </c>
      <c r="AC92" s="524" t="s">
        <v>2238</v>
      </c>
      <c r="AD92" s="525" t="s">
        <v>784</v>
      </c>
      <c r="AE92" s="534">
        <f>SUM(AE93:AE101)</f>
        <v>0</v>
      </c>
      <c r="AF92" s="1316"/>
      <c r="AG92" s="1316"/>
      <c r="AH92" s="1054" t="s">
        <v>1151</v>
      </c>
      <c r="AI92" s="1317"/>
      <c r="AJ92" s="1317"/>
      <c r="AK92" s="1318"/>
      <c r="AL92" s="1318"/>
      <c r="AM92" s="5178"/>
      <c r="AN92" s="5178"/>
      <c r="AO92" s="5178"/>
      <c r="AP92" s="5178"/>
    </row>
    <row customHeight="1" ht="14.625" hidden="1">
      <c r="A93" s="647"/>
      <c r="B93" s="462"/>
      <c r="C93" s="462"/>
      <c r="D93" s="462"/>
      <c r="E93" s="629">
        <v>15</v>
      </c>
      <c r="F93" s="50" cm="1" t="str">
        <f t="array" ref="F93:F93">OFFSET(E93,-1,1)</f>
        <v>0</v>
      </c>
      <c r="G93" s="462"/>
      <c r="H93" s="462" t="s">
        <v>1660</v>
      </c>
      <c r="I93" s="462"/>
      <c r="J93" s="462"/>
      <c r="K93" s="462"/>
      <c r="L93" s="462"/>
      <c r="M93" s="462"/>
      <c r="N93" s="462"/>
      <c r="O93" s="462"/>
      <c r="P93" s="462"/>
      <c r="Q93" s="462"/>
      <c r="R93" s="462"/>
      <c r="S93" s="462"/>
      <c r="T93" s="439" cm="1" t="str">
        <f t="array" ref="T93:T93">T92</f>
        <v>false</v>
      </c>
      <c r="U93" s="462"/>
      <c r="V93" s="462"/>
      <c r="W93" s="462"/>
      <c r="X93" s="1519"/>
      <c r="Y93" s="462"/>
      <c r="Z93" s="1520"/>
      <c r="AA93" s="462"/>
      <c r="AB93" s="695" t="s">
        <v>478</v>
      </c>
      <c r="AC93" s="526" t="s">
        <v>1166</v>
      </c>
      <c r="AD93" s="525" t="s">
        <v>784</v>
      </c>
      <c r="AE93" s="5190"/>
      <c r="AF93" s="1316"/>
      <c r="AG93" s="1316"/>
      <c r="AH93" s="1048" t="s">
        <v>1931</v>
      </c>
      <c r="AI93" s="1317"/>
      <c r="AJ93" s="1317"/>
      <c r="AK93" s="1318"/>
      <c r="AL93" s="1318"/>
      <c r="AM93" s="5178"/>
      <c r="AN93" s="5178"/>
      <c r="AO93" s="5178"/>
      <c r="AP93" s="5178"/>
    </row>
    <row customHeight="1" ht="14.625" hidden="1">
      <c r="A94" s="647"/>
      <c r="B94" s="462"/>
      <c r="C94" s="462"/>
      <c r="D94" s="462"/>
      <c r="E94" s="629">
        <v>15</v>
      </c>
      <c r="F94" s="50" cm="1" t="str">
        <f t="array" ref="F94:F94">OFFSET(E94,-1,1)</f>
        <v>0</v>
      </c>
      <c r="G94" s="462"/>
      <c r="H94" s="462" t="s">
        <v>1663</v>
      </c>
      <c r="I94" s="462"/>
      <c r="J94" s="462"/>
      <c r="K94" s="462"/>
      <c r="L94" s="462"/>
      <c r="M94" s="462"/>
      <c r="N94" s="462"/>
      <c r="O94" s="462"/>
      <c r="P94" s="462"/>
      <c r="Q94" s="462"/>
      <c r="R94" s="462"/>
      <c r="S94" s="462"/>
      <c r="T94" s="439" cm="1" t="str">
        <f t="array" ref="T94:T94">T93</f>
        <v>false</v>
      </c>
      <c r="U94" s="462"/>
      <c r="V94" s="462"/>
      <c r="W94" s="462"/>
      <c r="X94" s="1519"/>
      <c r="Y94" s="462"/>
      <c r="Z94" s="1520"/>
      <c r="AA94" s="462"/>
      <c r="AB94" s="695" t="s">
        <v>1375</v>
      </c>
      <c r="AC94" s="526" t="s">
        <v>2239</v>
      </c>
      <c r="AD94" s="525" t="s">
        <v>784</v>
      </c>
      <c r="AE94" s="5190"/>
      <c r="AF94" s="1316"/>
      <c r="AG94" s="1316"/>
      <c r="AH94" s="1048" t="s">
        <v>1934</v>
      </c>
      <c r="AI94" s="1317"/>
      <c r="AJ94" s="1317"/>
      <c r="AK94" s="1318"/>
      <c r="AL94" s="1318"/>
      <c r="AM94" s="5178"/>
      <c r="AN94" s="5178"/>
      <c r="AO94" s="5178"/>
      <c r="AP94" s="5178"/>
    </row>
    <row customHeight="1" ht="14.625" hidden="1">
      <c r="A95" s="647"/>
      <c r="B95" s="462"/>
      <c r="C95" s="462"/>
      <c r="D95" s="462"/>
      <c r="E95" s="629">
        <v>15</v>
      </c>
      <c r="F95" s="50" cm="1" t="str">
        <f t="array" ref="F95:F95">OFFSET(E95,-1,1)</f>
        <v>0</v>
      </c>
      <c r="G95" s="462"/>
      <c r="H95" s="462" t="s">
        <v>2240</v>
      </c>
      <c r="I95" s="462"/>
      <c r="J95" s="462"/>
      <c r="K95" s="462"/>
      <c r="L95" s="462"/>
      <c r="M95" s="462"/>
      <c r="N95" s="462"/>
      <c r="O95" s="462"/>
      <c r="P95" s="462"/>
      <c r="Q95" s="462"/>
      <c r="R95" s="462"/>
      <c r="S95" s="462"/>
      <c r="T95" s="439" cm="1" t="str">
        <f t="array" ref="T95:T95">T94</f>
        <v>false</v>
      </c>
      <c r="U95" s="462"/>
      <c r="V95" s="462"/>
      <c r="W95" s="462"/>
      <c r="X95" s="1519"/>
      <c r="Y95" s="462"/>
      <c r="Z95" s="1520"/>
      <c r="AA95" s="462"/>
      <c r="AB95" s="695" t="s">
        <v>1380</v>
      </c>
      <c r="AC95" s="526" t="s">
        <v>2241</v>
      </c>
      <c r="AD95" s="525" t="s">
        <v>784</v>
      </c>
      <c r="AE95" s="5190"/>
      <c r="AF95" s="1316"/>
      <c r="AG95" s="1316"/>
      <c r="AH95" s="1048" t="s">
        <v>1937</v>
      </c>
      <c r="AI95" s="1317"/>
      <c r="AJ95" s="1317"/>
      <c r="AK95" s="1318"/>
      <c r="AL95" s="1318"/>
      <c r="AM95" s="5178"/>
      <c r="AN95" s="5178"/>
      <c r="AO95" s="5178"/>
      <c r="AP95" s="5178"/>
    </row>
    <row customHeight="1" ht="14.625" hidden="1">
      <c r="A96" s="647"/>
      <c r="B96" s="462"/>
      <c r="C96" s="462"/>
      <c r="D96" s="462"/>
      <c r="E96" s="629">
        <v>15</v>
      </c>
      <c r="F96" s="50" cm="1" t="str">
        <f t="array" ref="F96:F96">OFFSET(E96,-1,1)</f>
        <v>0</v>
      </c>
      <c r="G96" s="462"/>
      <c r="H96" s="462" t="s">
        <v>2242</v>
      </c>
      <c r="I96" s="462"/>
      <c r="J96" s="462"/>
      <c r="K96" s="462"/>
      <c r="L96" s="462"/>
      <c r="M96" s="462"/>
      <c r="N96" s="462"/>
      <c r="O96" s="462"/>
      <c r="P96" s="462"/>
      <c r="Q96" s="462"/>
      <c r="R96" s="462"/>
      <c r="S96" s="462"/>
      <c r="T96" s="439" cm="1" t="str">
        <f t="array" ref="T96:T96">T95</f>
        <v>false</v>
      </c>
      <c r="U96" s="462"/>
      <c r="V96" s="462"/>
      <c r="W96" s="462"/>
      <c r="X96" s="1519"/>
      <c r="Y96" s="462"/>
      <c r="Z96" s="1520"/>
      <c r="AA96" s="462"/>
      <c r="AB96" s="695" t="s">
        <v>1939</v>
      </c>
      <c r="AC96" s="526" t="s">
        <v>1159</v>
      </c>
      <c r="AD96" s="525" t="s">
        <v>784</v>
      </c>
      <c r="AE96" s="5190"/>
      <c r="AF96" s="1316"/>
      <c r="AG96" s="1316"/>
      <c r="AH96" s="1048" t="s">
        <v>1941</v>
      </c>
      <c r="AI96" s="1317"/>
      <c r="AJ96" s="1317"/>
      <c r="AK96" s="1318"/>
      <c r="AL96" s="1318"/>
      <c r="AM96" s="5178"/>
      <c r="AN96" s="5178"/>
      <c r="AO96" s="5178"/>
      <c r="AP96" s="5178"/>
    </row>
    <row customHeight="1" ht="14.625" hidden="1">
      <c r="A97" s="647"/>
      <c r="B97" s="462"/>
      <c r="C97" s="462"/>
      <c r="D97" s="462"/>
      <c r="E97" s="629">
        <v>15</v>
      </c>
      <c r="F97" s="50" cm="1" t="str">
        <f t="array" ref="F97:F97">OFFSET(E97,-1,1)</f>
        <v>0</v>
      </c>
      <c r="G97" s="462"/>
      <c r="H97" s="462" t="s">
        <v>2243</v>
      </c>
      <c r="I97" s="462"/>
      <c r="J97" s="462"/>
      <c r="K97" s="462"/>
      <c r="L97" s="462"/>
      <c r="M97" s="462"/>
      <c r="N97" s="462"/>
      <c r="O97" s="462"/>
      <c r="P97" s="462"/>
      <c r="Q97" s="462"/>
      <c r="R97" s="462"/>
      <c r="S97" s="462"/>
      <c r="T97" s="439" cm="1" t="str">
        <f t="array" ref="T97:T97">T96</f>
        <v>false</v>
      </c>
      <c r="U97" s="462"/>
      <c r="V97" s="462"/>
      <c r="W97" s="462"/>
      <c r="X97" s="1519"/>
      <c r="Y97" s="462"/>
      <c r="Z97" s="1520"/>
      <c r="AA97" s="462"/>
      <c r="AB97" s="695" t="s">
        <v>1943</v>
      </c>
      <c r="AC97" s="526" t="s">
        <v>1161</v>
      </c>
      <c r="AD97" s="525" t="s">
        <v>784</v>
      </c>
      <c r="AE97" s="5190"/>
      <c r="AF97" s="1316"/>
      <c r="AG97" s="1316"/>
      <c r="AH97" s="1048" t="s">
        <v>1945</v>
      </c>
      <c r="AI97" s="1317"/>
      <c r="AJ97" s="1317"/>
      <c r="AK97" s="1318"/>
      <c r="AL97" s="1318"/>
      <c r="AM97" s="5178"/>
      <c r="AN97" s="5178"/>
      <c r="AO97" s="5178"/>
      <c r="AP97" s="5178"/>
    </row>
    <row customHeight="1" ht="14.625" hidden="1">
      <c r="A98" s="647"/>
      <c r="B98" s="462"/>
      <c r="C98" s="462"/>
      <c r="D98" s="462"/>
      <c r="E98" s="629">
        <v>15</v>
      </c>
      <c r="F98" s="50" cm="1" t="str">
        <f t="array" ref="F98:F98">OFFSET(E98,-1,1)</f>
        <v>0</v>
      </c>
      <c r="G98" s="462"/>
      <c r="H98" s="462" t="s">
        <v>2244</v>
      </c>
      <c r="I98" s="462"/>
      <c r="J98" s="462"/>
      <c r="K98" s="462"/>
      <c r="L98" s="462"/>
      <c r="M98" s="462"/>
      <c r="N98" s="462"/>
      <c r="O98" s="462"/>
      <c r="P98" s="462"/>
      <c r="Q98" s="462"/>
      <c r="R98" s="462"/>
      <c r="S98" s="462"/>
      <c r="T98" s="439" cm="1" t="str">
        <f t="array" ref="T98:T98">T97</f>
        <v>false</v>
      </c>
      <c r="U98" s="462"/>
      <c r="V98" s="462"/>
      <c r="W98" s="462"/>
      <c r="X98" s="1519"/>
      <c r="Y98" s="462"/>
      <c r="Z98" s="1520"/>
      <c r="AA98" s="462"/>
      <c r="AB98" s="695" t="s">
        <v>1947</v>
      </c>
      <c r="AC98" s="526" t="s">
        <v>1152</v>
      </c>
      <c r="AD98" s="525" t="s">
        <v>784</v>
      </c>
      <c r="AE98" s="5190"/>
      <c r="AF98" s="1316"/>
      <c r="AG98" s="1316"/>
      <c r="AH98" s="1048" t="s">
        <v>1949</v>
      </c>
      <c r="AI98" s="1317"/>
      <c r="AJ98" s="1317"/>
      <c r="AK98" s="1318"/>
      <c r="AL98" s="1318"/>
      <c r="AM98" s="5178"/>
      <c r="AN98" s="5178"/>
      <c r="AO98" s="5178"/>
      <c r="AP98" s="5178"/>
    </row>
    <row s="1310" customFormat="1" customHeight="1" ht="14.625" hidden="1">
      <c r="A99" s="647"/>
      <c r="B99" s="462"/>
      <c r="C99" s="462"/>
      <c r="D99" s="462"/>
      <c r="E99" s="629">
        <v>15</v>
      </c>
      <c r="F99" s="498" cm="1" t="str">
        <f t="array" ref="F99:F99">OFFSET(E99,-1,1)</f>
        <v>0</v>
      </c>
      <c r="G99" s="462"/>
      <c r="H99" s="462"/>
      <c r="I99" s="462"/>
      <c r="J99" s="462"/>
      <c r="K99" s="462"/>
      <c r="L99" s="462"/>
      <c r="M99" s="462"/>
      <c r="N99" s="462"/>
      <c r="O99" s="462"/>
      <c r="P99" s="462"/>
      <c r="Q99" s="462"/>
      <c r="R99" s="462"/>
      <c r="S99" s="462"/>
      <c r="T99" s="439" cm="1" t="str">
        <f t="array" ref="T99:T99">T98</f>
        <v>false</v>
      </c>
      <c r="U99" s="462"/>
      <c r="V99" s="462"/>
      <c r="W99" s="462"/>
      <c r="X99" s="1519"/>
      <c r="Y99" s="462"/>
      <c r="Z99" s="1520"/>
      <c r="AA99" s="462"/>
      <c r="AB99" s="1297" t="s">
        <v>1951</v>
      </c>
      <c r="AC99" s="1300" t="s">
        <v>2245</v>
      </c>
      <c r="AD99" s="1299" t="s">
        <v>784</v>
      </c>
      <c r="AE99" s="5219"/>
      <c r="AF99" s="1093"/>
      <c r="AG99" s="1093"/>
      <c r="AH99" s="1048" t="s">
        <v>1169</v>
      </c>
      <c r="AI99" s="1042"/>
      <c r="AJ99" s="1042"/>
      <c r="AK99" s="948"/>
      <c r="AL99" s="948"/>
      <c r="AM99" s="1310"/>
      <c r="AN99" s="1310"/>
      <c r="AO99" s="1310"/>
      <c r="AP99" s="1310"/>
    </row>
    <row s="1310" customFormat="1" customHeight="1" ht="14.625" hidden="1">
      <c r="A100" s="647"/>
      <c r="B100" s="462"/>
      <c r="C100" s="462"/>
      <c r="D100" s="462"/>
      <c r="E100" s="629">
        <v>15</v>
      </c>
      <c r="F100" s="498" cm="1" t="str">
        <f t="array" ref="F100:F100">OFFSET(E100,-1,1)</f>
        <v>0</v>
      </c>
      <c r="G100" s="462"/>
      <c r="H100" s="462"/>
      <c r="I100" s="462"/>
      <c r="J100" s="462"/>
      <c r="K100" s="462"/>
      <c r="L100" s="462"/>
      <c r="M100" s="462"/>
      <c r="N100" s="462"/>
      <c r="O100" s="462"/>
      <c r="P100" s="462"/>
      <c r="Q100" s="462"/>
      <c r="R100" s="462"/>
      <c r="S100" s="462"/>
      <c r="T100" s="439" cm="1" t="str">
        <f t="array" ref="T100:T100">T99</f>
        <v>false</v>
      </c>
      <c r="U100" s="462"/>
      <c r="V100" s="462"/>
      <c r="W100" s="462"/>
      <c r="X100" s="1519"/>
      <c r="Y100" s="462"/>
      <c r="Z100" s="1520"/>
      <c r="AA100" s="462"/>
      <c r="AB100" s="1297" t="s">
        <v>1955</v>
      </c>
      <c r="AC100" s="1300" t="s">
        <v>1170</v>
      </c>
      <c r="AD100" s="1299" t="s">
        <v>784</v>
      </c>
      <c r="AE100" s="5219"/>
      <c r="AF100" s="1093"/>
      <c r="AG100" s="1093"/>
      <c r="AH100" s="1048" t="s">
        <v>2246</v>
      </c>
      <c r="AI100" s="1042"/>
      <c r="AJ100" s="1042"/>
      <c r="AK100" s="948"/>
      <c r="AL100" s="948"/>
      <c r="AM100" s="1310"/>
      <c r="AN100" s="1310"/>
      <c r="AO100" s="1310"/>
      <c r="AP100" s="1310"/>
    </row>
    <row customHeight="1" ht="14.625" hidden="1">
      <c r="A101" s="647"/>
      <c r="B101" s="462"/>
      <c r="C101" s="462"/>
      <c r="D101" s="462"/>
      <c r="E101" s="629">
        <v>15</v>
      </c>
      <c r="F101" s="50" cm="1" t="str">
        <f t="array" ref="F101:F101">OFFSET(E101,-1,1)</f>
        <v>0</v>
      </c>
      <c r="G101" s="462"/>
      <c r="H101" s="462" t="s">
        <v>2247</v>
      </c>
      <c r="I101" s="462"/>
      <c r="J101" s="462"/>
      <c r="K101" s="462"/>
      <c r="L101" s="462"/>
      <c r="M101" s="462"/>
      <c r="N101" s="462"/>
      <c r="O101" s="462"/>
      <c r="P101" s="462"/>
      <c r="Q101" s="462"/>
      <c r="R101" s="462"/>
      <c r="S101" s="462"/>
      <c r="T101" s="439" cm="1" t="str">
        <f t="array" ref="T101:T101">T98</f>
        <v>false</v>
      </c>
      <c r="U101" s="462"/>
      <c r="V101" s="462"/>
      <c r="W101" s="462"/>
      <c r="X101" s="1519"/>
      <c r="Y101" s="462"/>
      <c r="Z101" s="1520"/>
      <c r="AA101" s="462"/>
      <c r="AB101" s="695" t="s">
        <v>1957</v>
      </c>
      <c r="AC101" s="526" t="s">
        <v>1172</v>
      </c>
      <c r="AD101" s="525" t="s">
        <v>784</v>
      </c>
      <c r="AE101" s="5190"/>
      <c r="AF101" s="1316"/>
      <c r="AG101" s="1316"/>
      <c r="AH101" s="1048" t="s">
        <v>1963</v>
      </c>
      <c r="AI101" s="1317"/>
      <c r="AJ101" s="1317"/>
      <c r="AK101" s="1318"/>
      <c r="AL101" s="1318"/>
      <c r="AM101" s="5178"/>
      <c r="AN101" s="5178"/>
      <c r="AO101" s="5178"/>
      <c r="AP101" s="5178"/>
    </row>
    <row customHeight="1" ht="14.625" hidden="1">
      <c r="A102" s="647"/>
      <c r="B102" s="462"/>
      <c r="C102" s="462"/>
      <c r="D102" s="462"/>
      <c r="E102" s="629">
        <v>15</v>
      </c>
      <c r="F102" s="50" cm="1" t="str">
        <f t="array" ref="F102:F102">OFFSET(E102,-1,1)</f>
        <v>0</v>
      </c>
      <c r="G102" s="462"/>
      <c r="H102" s="462" t="s">
        <v>865</v>
      </c>
      <c r="I102" s="462"/>
      <c r="J102" s="462"/>
      <c r="K102" s="462"/>
      <c r="L102" s="462"/>
      <c r="M102" s="462"/>
      <c r="N102" s="462"/>
      <c r="O102" s="462"/>
      <c r="P102" s="462"/>
      <c r="Q102" s="462"/>
      <c r="R102" s="462"/>
      <c r="S102" s="462"/>
      <c r="T102" s="439" cm="1" t="str">
        <f t="array" ref="T102:T102">T101</f>
        <v>false</v>
      </c>
      <c r="U102" s="462"/>
      <c r="V102" s="462"/>
      <c r="W102" s="462"/>
      <c r="X102" s="1519"/>
      <c r="Y102" s="462"/>
      <c r="Z102" s="1520"/>
      <c r="AA102" s="462"/>
      <c r="AB102" s="695" t="s">
        <v>868</v>
      </c>
      <c r="AC102" s="526" t="s">
        <v>969</v>
      </c>
      <c r="AD102" s="525" t="s">
        <v>784</v>
      </c>
      <c r="AE102" s="5190"/>
      <c r="AF102" s="1316"/>
      <c r="AG102" s="1316"/>
      <c r="AH102" s="1048" t="s">
        <v>1109</v>
      </c>
      <c r="AI102" s="1317"/>
      <c r="AJ102" s="1317"/>
      <c r="AK102" s="1318"/>
      <c r="AL102" s="1318"/>
      <c r="AM102" s="5178"/>
      <c r="AN102" s="5178"/>
      <c r="AO102" s="5178"/>
      <c r="AP102" s="5178"/>
    </row>
    <row customHeight="1" ht="14.625" hidden="1">
      <c r="A103" s="647"/>
      <c r="B103" s="462"/>
      <c r="C103" s="462"/>
      <c r="D103" s="462"/>
      <c r="E103" s="629">
        <v>15</v>
      </c>
      <c r="F103" s="50" cm="1" t="str">
        <f t="array" ref="F103:F103">OFFSET(E103,-1,1)</f>
        <v>0</v>
      </c>
      <c r="G103" s="462"/>
      <c r="H103" s="462" t="s">
        <v>1966</v>
      </c>
      <c r="I103" s="462"/>
      <c r="J103" s="462"/>
      <c r="K103" s="462"/>
      <c r="L103" s="462"/>
      <c r="M103" s="462"/>
      <c r="N103" s="462"/>
      <c r="O103" s="462"/>
      <c r="P103" s="462"/>
      <c r="Q103" s="462"/>
      <c r="R103" s="462"/>
      <c r="S103" s="462"/>
      <c r="T103" s="439" cm="1" t="str">
        <f t="array" ref="T103:T103">T102</f>
        <v>false</v>
      </c>
      <c r="U103" s="462"/>
      <c r="V103" s="462"/>
      <c r="W103" s="462"/>
      <c r="X103" s="1519"/>
      <c r="Y103" s="462"/>
      <c r="Z103" s="1520"/>
      <c r="AA103" s="462"/>
      <c r="AB103" s="695" t="s">
        <v>871</v>
      </c>
      <c r="AC103" s="524" t="s">
        <v>1347</v>
      </c>
      <c r="AD103" s="525" t="s">
        <v>784</v>
      </c>
      <c r="AE103" s="5190"/>
      <c r="AF103" s="1316"/>
      <c r="AG103" s="1316"/>
      <c r="AH103" s="1055" t="s">
        <v>1704</v>
      </c>
      <c r="AI103" s="1317"/>
      <c r="AJ103" s="1317"/>
      <c r="AK103" s="1318"/>
      <c r="AL103" s="1318"/>
      <c r="AM103" s="5178"/>
      <c r="AN103" s="5178"/>
      <c r="AO103" s="5178"/>
      <c r="AP103" s="5178"/>
    </row>
    <row customHeight="1" ht="14.625" hidden="1">
      <c r="A104" s="647"/>
      <c r="B104" s="462"/>
      <c r="C104" s="462"/>
      <c r="D104" s="462"/>
      <c r="E104" s="629">
        <v>15</v>
      </c>
      <c r="F104" s="50" cm="1" t="str">
        <f t="array" ref="F104:F104">OFFSET(E104,-1,1)</f>
        <v>0</v>
      </c>
      <c r="G104" s="462"/>
      <c r="H104" s="462" t="s">
        <v>1973</v>
      </c>
      <c r="I104" s="462"/>
      <c r="J104" s="462"/>
      <c r="K104" s="462"/>
      <c r="L104" s="462"/>
      <c r="M104" s="462"/>
      <c r="N104" s="462"/>
      <c r="O104" s="462"/>
      <c r="P104" s="462"/>
      <c r="Q104" s="462"/>
      <c r="R104" s="462"/>
      <c r="S104" s="462"/>
      <c r="T104" s="439" cm="1" t="str">
        <f t="array" ref="T104:T104">T103</f>
        <v>false</v>
      </c>
      <c r="U104" s="462"/>
      <c r="V104" s="462"/>
      <c r="W104" s="462"/>
      <c r="X104" s="1519"/>
      <c r="Y104" s="462"/>
      <c r="Z104" s="1520"/>
      <c r="AA104" s="462"/>
      <c r="AB104" s="695" t="s">
        <v>1395</v>
      </c>
      <c r="AC104" s="524" t="s">
        <v>1357</v>
      </c>
      <c r="AD104" s="525" t="s">
        <v>784</v>
      </c>
      <c r="AE104" s="534">
        <f>AE105+AE106</f>
        <v>0</v>
      </c>
      <c r="AF104" s="1316"/>
      <c r="AG104" s="1316"/>
      <c r="AH104" s="1048" t="s">
        <v>1978</v>
      </c>
      <c r="AI104" s="1317"/>
      <c r="AJ104" s="1317"/>
      <c r="AK104" s="1318"/>
      <c r="AL104" s="1318"/>
      <c r="AM104" s="5178"/>
      <c r="AN104" s="5178"/>
      <c r="AO104" s="5178"/>
      <c r="AP104" s="5178"/>
    </row>
    <row customHeight="1" ht="14.625" hidden="1">
      <c r="A105" s="647"/>
      <c r="B105" s="462"/>
      <c r="C105" s="462"/>
      <c r="D105" s="462"/>
      <c r="E105" s="629">
        <v>15</v>
      </c>
      <c r="F105" s="50" cm="1" t="str">
        <f t="array" ref="F105:F105">OFFSET(E105,-1,1)</f>
        <v>0</v>
      </c>
      <c r="G105" s="462"/>
      <c r="H105" s="462" t="s">
        <v>2248</v>
      </c>
      <c r="I105" s="462"/>
      <c r="J105" s="462"/>
      <c r="K105" s="462"/>
      <c r="L105" s="462"/>
      <c r="M105" s="462"/>
      <c r="N105" s="462"/>
      <c r="O105" s="462"/>
      <c r="P105" s="462"/>
      <c r="Q105" s="462"/>
      <c r="R105" s="462"/>
      <c r="S105" s="462"/>
      <c r="T105" s="439" cm="1" t="str">
        <f t="array" ref="T105:T105">T104</f>
        <v>false</v>
      </c>
      <c r="U105" s="462"/>
      <c r="V105" s="462"/>
      <c r="W105" s="462"/>
      <c r="X105" s="1519"/>
      <c r="Y105" s="462"/>
      <c r="Z105" s="1520"/>
      <c r="AA105" s="462"/>
      <c r="AB105" s="695" t="s">
        <v>1969</v>
      </c>
      <c r="AC105" s="526" t="s">
        <v>2249</v>
      </c>
      <c r="AD105" s="525" t="s">
        <v>784</v>
      </c>
      <c r="AE105" s="5190"/>
      <c r="AF105" s="1316"/>
      <c r="AG105" s="1316"/>
      <c r="AH105" s="1048" t="s">
        <v>1144</v>
      </c>
      <c r="AI105" s="1317"/>
      <c r="AJ105" s="1317"/>
      <c r="AK105" s="1318"/>
      <c r="AL105" s="1318"/>
      <c r="AM105" s="5178"/>
      <c r="AN105" s="5178"/>
      <c r="AO105" s="5178"/>
      <c r="AP105" s="5178"/>
    </row>
    <row customHeight="1" ht="21.9375" hidden="1">
      <c r="A106" s="647"/>
      <c r="B106" s="462"/>
      <c r="C106" s="462"/>
      <c r="D106" s="462"/>
      <c r="E106" s="629">
        <v>22.5</v>
      </c>
      <c r="F106" s="50" cm="1" t="str">
        <f t="array" ref="F106:F106">OFFSET(E106,-1,1)</f>
        <v>0</v>
      </c>
      <c r="G106" s="462"/>
      <c r="H106" s="462" t="s">
        <v>2250</v>
      </c>
      <c r="I106" s="462"/>
      <c r="J106" s="462"/>
      <c r="K106" s="462"/>
      <c r="L106" s="462"/>
      <c r="M106" s="462"/>
      <c r="N106" s="462"/>
      <c r="O106" s="462"/>
      <c r="P106" s="462"/>
      <c r="Q106" s="462"/>
      <c r="R106" s="462"/>
      <c r="S106" s="462"/>
      <c r="T106" s="439" cm="1" t="str">
        <f t="array" ref="T106:T106">T105</f>
        <v>false</v>
      </c>
      <c r="U106" s="462"/>
      <c r="V106" s="462"/>
      <c r="W106" s="462"/>
      <c r="X106" s="1519"/>
      <c r="Y106" s="462"/>
      <c r="Z106" s="1520"/>
      <c r="AA106" s="462"/>
      <c r="AB106" s="695" t="s">
        <v>2251</v>
      </c>
      <c r="AC106" s="526" t="s">
        <v>2252</v>
      </c>
      <c r="AD106" s="525" t="s">
        <v>784</v>
      </c>
      <c r="AE106" s="5190"/>
      <c r="AF106" s="1316"/>
      <c r="AG106" s="1316"/>
      <c r="AH106" s="1048" t="s">
        <v>1985</v>
      </c>
      <c r="AI106" s="1317"/>
      <c r="AJ106" s="1317"/>
      <c r="AK106" s="1318"/>
      <c r="AL106" s="1318"/>
      <c r="AM106" s="5178"/>
      <c r="AN106" s="5178"/>
      <c r="AO106" s="5178"/>
      <c r="AP106" s="5178"/>
    </row>
    <row customHeight="1" ht="76.78125" hidden="1">
      <c r="A107" s="647"/>
      <c r="B107" s="462"/>
      <c r="C107" s="462"/>
      <c r="D107" s="462"/>
      <c r="E107" s="629">
        <v>78.75</v>
      </c>
      <c r="F107" s="50" cm="1" t="str">
        <f t="array" ref="F107:F107">OFFSET(E107,-1,1)</f>
        <v>0</v>
      </c>
      <c r="G107" s="462"/>
      <c r="H107" s="462" t="s">
        <v>1977</v>
      </c>
      <c r="I107" s="462"/>
      <c r="J107" s="462"/>
      <c r="K107" s="462"/>
      <c r="L107" s="462"/>
      <c r="M107" s="462"/>
      <c r="N107" s="462"/>
      <c r="O107" s="462"/>
      <c r="P107" s="462"/>
      <c r="Q107" s="462"/>
      <c r="R107" s="462"/>
      <c r="S107" s="462"/>
      <c r="T107" s="439" cm="1" t="str">
        <f t="array" ref="T107:T107">T106</f>
        <v>false</v>
      </c>
      <c r="U107" s="462"/>
      <c r="V107" s="462"/>
      <c r="W107" s="462"/>
      <c r="X107" s="1519"/>
      <c r="Y107" s="462"/>
      <c r="Z107" s="1520"/>
      <c r="AA107" s="462"/>
      <c r="AB107" s="695" t="s">
        <v>1400</v>
      </c>
      <c r="AC107" s="1311" t="s">
        <v>1331</v>
      </c>
      <c r="AD107" s="525" t="s">
        <v>784</v>
      </c>
      <c r="AE107" s="5190"/>
      <c r="AF107" s="1316"/>
      <c r="AG107" s="1316"/>
      <c r="AH107" s="1048" t="s">
        <v>1964</v>
      </c>
      <c r="AI107" s="1317"/>
      <c r="AJ107" s="1317"/>
      <c r="AK107" s="1318"/>
      <c r="AL107" s="1318"/>
      <c r="AM107" s="5178"/>
      <c r="AN107" s="5178"/>
      <c r="AO107" s="5178"/>
      <c r="AP107" s="5178"/>
    </row>
    <row s="1310" customFormat="1" customHeight="1" ht="14.625" hidden="1">
      <c r="A108" s="647"/>
      <c r="B108" s="462"/>
      <c r="C108" s="462"/>
      <c r="D108" s="462"/>
      <c r="E108" s="629">
        <v>15</v>
      </c>
      <c r="F108" s="498" cm="1" t="str">
        <f t="array" ref="F108:F108">OFFSET(E108,-1,1)</f>
        <v>0</v>
      </c>
      <c r="G108" s="462"/>
      <c r="H108" s="462"/>
      <c r="I108" s="462"/>
      <c r="J108" s="462"/>
      <c r="K108" s="462"/>
      <c r="L108" s="462"/>
      <c r="M108" s="462"/>
      <c r="N108" s="462"/>
      <c r="O108" s="462"/>
      <c r="P108" s="462"/>
      <c r="Q108" s="462"/>
      <c r="R108" s="462"/>
      <c r="S108" s="462"/>
      <c r="T108" s="439" cm="1" t="str">
        <f t="array" ref="T108:T108">T107</f>
        <v>false</v>
      </c>
      <c r="U108" s="462"/>
      <c r="V108" s="462"/>
      <c r="W108" s="462"/>
      <c r="X108" s="1519"/>
      <c r="Y108" s="462"/>
      <c r="Z108" s="1520"/>
      <c r="AA108" s="462"/>
      <c r="AB108" s="1297" t="s">
        <v>1974</v>
      </c>
      <c r="AC108" s="1311" t="s">
        <v>949</v>
      </c>
      <c r="AD108" s="1299" t="s">
        <v>784</v>
      </c>
      <c r="AE108" s="5219"/>
      <c r="AF108" s="1093"/>
      <c r="AG108" s="1093"/>
      <c r="AH108" s="1048" t="s">
        <v>951</v>
      </c>
      <c r="AI108" s="1042"/>
      <c r="AJ108" s="1042"/>
      <c r="AK108" s="948"/>
      <c r="AL108" s="948"/>
      <c r="AM108" s="1310"/>
      <c r="AN108" s="1310"/>
      <c r="AO108" s="1310"/>
      <c r="AP108" s="1310"/>
    </row>
    <row s="1310" customFormat="1" customHeight="1" ht="14.625" hidden="1">
      <c r="A109" s="647"/>
      <c r="B109" s="462"/>
      <c r="C109" s="462"/>
      <c r="D109" s="462"/>
      <c r="E109" s="629">
        <v>15</v>
      </c>
      <c r="F109" s="498" cm="1" t="str">
        <f t="array" ref="F109:F109">OFFSET(E109,-1,1)</f>
        <v>0</v>
      </c>
      <c r="G109" s="462"/>
      <c r="H109" s="462"/>
      <c r="I109" s="462"/>
      <c r="J109" s="462"/>
      <c r="K109" s="462"/>
      <c r="L109" s="462"/>
      <c r="M109" s="462"/>
      <c r="N109" s="462"/>
      <c r="O109" s="462"/>
      <c r="P109" s="462"/>
      <c r="Q109" s="462"/>
      <c r="R109" s="462"/>
      <c r="S109" s="462"/>
      <c r="T109" s="439" cm="1" t="str">
        <f t="array" ref="T109:T109">T108</f>
        <v>false</v>
      </c>
      <c r="U109" s="462"/>
      <c r="V109" s="462"/>
      <c r="W109" s="462"/>
      <c r="X109" s="1519"/>
      <c r="Y109" s="462"/>
      <c r="Z109" s="1520"/>
      <c r="AA109" s="462"/>
      <c r="AB109" s="1297" t="s">
        <v>1419</v>
      </c>
      <c r="AC109" s="1311" t="s">
        <v>1342</v>
      </c>
      <c r="AD109" s="1299" t="s">
        <v>784</v>
      </c>
      <c r="AE109" s="5219"/>
      <c r="AF109" s="1093"/>
      <c r="AG109" s="1093"/>
      <c r="AH109" s="1048" t="s">
        <v>2253</v>
      </c>
      <c r="AI109" s="1042"/>
      <c r="AJ109" s="1042"/>
      <c r="AK109" s="948"/>
      <c r="AL109" s="948"/>
      <c r="AM109" s="1310"/>
      <c r="AN109" s="1310"/>
      <c r="AO109" s="1310"/>
      <c r="AP109" s="1310"/>
    </row>
    <row customHeight="1" ht="14.625" hidden="1">
      <c r="A110" s="647"/>
      <c r="B110" s="462"/>
      <c r="C110" s="462"/>
      <c r="D110" s="462"/>
      <c r="E110" s="629">
        <v>15</v>
      </c>
      <c r="F110" s="50" cm="1" t="str">
        <f t="array" ref="F110:F110">OFFSET(E110,-1,1)</f>
        <v>0</v>
      </c>
      <c r="G110" s="462"/>
      <c r="H110" s="462" t="s">
        <v>2254</v>
      </c>
      <c r="I110" s="462"/>
      <c r="J110" s="462"/>
      <c r="K110" s="462"/>
      <c r="L110" s="462"/>
      <c r="M110" s="462"/>
      <c r="N110" s="462"/>
      <c r="O110" s="462"/>
      <c r="P110" s="462"/>
      <c r="Q110" s="462"/>
      <c r="R110" s="462"/>
      <c r="S110" s="462"/>
      <c r="T110" s="439" cm="1" t="str">
        <f t="array" ref="T110:T110">T107</f>
        <v>false</v>
      </c>
      <c r="U110" s="462"/>
      <c r="V110" s="462"/>
      <c r="W110" s="462"/>
      <c r="X110" s="1519"/>
      <c r="Y110" s="462"/>
      <c r="Z110" s="1520"/>
      <c r="AA110" s="462"/>
      <c r="AB110" s="695" t="s">
        <v>1423</v>
      </c>
      <c r="AC110" s="524" t="s">
        <v>2255</v>
      </c>
      <c r="AD110" s="525" t="s">
        <v>784</v>
      </c>
      <c r="AE110" s="5190"/>
      <c r="AF110" s="1316"/>
      <c r="AG110" s="1316"/>
      <c r="AH110" s="984" t="s">
        <v>2256</v>
      </c>
      <c r="AI110" s="1317"/>
      <c r="AJ110" s="1317"/>
      <c r="AK110" s="1318"/>
      <c r="AL110" s="1318"/>
      <c r="AM110" s="5178"/>
      <c r="AN110" s="5178"/>
      <c r="AO110" s="5178"/>
      <c r="AP110" s="5178"/>
    </row>
    <row s="1310" customFormat="1" customHeight="1" ht="32.175" hidden="1">
      <c r="A111" s="647"/>
      <c r="B111" s="462"/>
      <c r="C111" s="462"/>
      <c r="D111" s="462"/>
      <c r="E111" s="629">
        <v>33</v>
      </c>
      <c r="F111" s="498" cm="1" t="str">
        <f t="array" ref="F111:F111">OFFSET(E111,-1,1)</f>
        <v>0</v>
      </c>
      <c r="G111" s="462"/>
      <c r="H111" s="462"/>
      <c r="I111" s="462"/>
      <c r="J111" s="462"/>
      <c r="K111" s="462"/>
      <c r="L111" s="462"/>
      <c r="M111" s="462"/>
      <c r="N111" s="462"/>
      <c r="O111" s="462"/>
      <c r="P111" s="462"/>
      <c r="Q111" s="462"/>
      <c r="R111" s="462"/>
      <c r="S111" s="462"/>
      <c r="T111" s="439" cm="1" t="str">
        <f t="array" ref="T111:T111">T110</f>
        <v>false</v>
      </c>
      <c r="U111" s="462"/>
      <c r="V111" s="462"/>
      <c r="W111" s="462"/>
      <c r="X111" s="1519"/>
      <c r="Y111" s="462"/>
      <c r="Z111" s="1520"/>
      <c r="AA111" s="462"/>
      <c r="AB111" s="1297" t="s">
        <v>1426</v>
      </c>
      <c r="AC111" s="1298" t="s">
        <v>1987</v>
      </c>
      <c r="AD111" s="1299" t="s">
        <v>784</v>
      </c>
      <c r="AE111" s="5219"/>
      <c r="AF111" s="1093"/>
      <c r="AG111" s="1093"/>
      <c r="AH111" s="1042" t="s">
        <v>2257</v>
      </c>
      <c r="AI111" s="1042"/>
      <c r="AJ111" s="1042"/>
      <c r="AK111" s="948"/>
      <c r="AL111" s="948"/>
      <c r="AM111" s="1310"/>
      <c r="AN111" s="1310"/>
      <c r="AO111" s="1310"/>
      <c r="AP111" s="1310"/>
    </row>
    <row customHeight="1" ht="14.625" hidden="1">
      <c r="A112" s="647"/>
      <c r="B112" s="462"/>
      <c r="C112" s="462"/>
      <c r="D112" s="462"/>
      <c r="E112" s="629">
        <v>15</v>
      </c>
      <c r="F112" s="50" cm="1" t="str">
        <f t="array" ref="F112:F112">OFFSET(E112,-1,1)</f>
        <v>0</v>
      </c>
      <c r="G112" s="462"/>
      <c r="H112" s="462" t="s">
        <v>2258</v>
      </c>
      <c r="I112" s="462"/>
      <c r="J112" s="462"/>
      <c r="K112" s="462"/>
      <c r="L112" s="462"/>
      <c r="M112" s="462"/>
      <c r="N112" s="462"/>
      <c r="O112" s="462"/>
      <c r="P112" s="462"/>
      <c r="Q112" s="462"/>
      <c r="R112" s="462"/>
      <c r="S112" s="462"/>
      <c r="T112" s="439" cm="1" t="str">
        <f t="array" ref="T112:T112">T110</f>
        <v>false</v>
      </c>
      <c r="U112" s="462"/>
      <c r="V112" s="462"/>
      <c r="W112" s="462"/>
      <c r="X112" s="1519"/>
      <c r="Y112" s="462"/>
      <c r="Z112" s="1520"/>
      <c r="AA112" s="462"/>
      <c r="AB112" s="695" t="s">
        <v>2259</v>
      </c>
      <c r="AC112" s="524" t="s">
        <v>2260</v>
      </c>
      <c r="AD112" s="525" t="s">
        <v>784</v>
      </c>
      <c r="AE112" s="534">
        <f>SUM(AE113:AE114)</f>
        <v>0</v>
      </c>
      <c r="AF112" s="1316"/>
      <c r="AG112" s="1316"/>
      <c r="AH112" s="984" t="s">
        <v>2261</v>
      </c>
      <c r="AI112" s="1317"/>
      <c r="AJ112" s="1317"/>
      <c r="AK112" s="1318"/>
      <c r="AL112" s="1318"/>
      <c r="AM112" s="5178"/>
      <c r="AN112" s="5178"/>
      <c r="AO112" s="5178"/>
      <c r="AP112" s="5178"/>
    </row>
    <row customHeight="1" ht="14.625" hidden="1">
      <c r="A113" s="647"/>
      <c r="B113" s="462"/>
      <c r="C113" s="462"/>
      <c r="D113" s="462"/>
      <c r="E113" s="629">
        <v>15</v>
      </c>
      <c r="F113" s="50" cm="1" t="str">
        <f t="array" ref="F113:F113">OFFSET(E113,-1,1)</f>
        <v>0</v>
      </c>
      <c r="G113" s="462"/>
      <c r="H113" s="462" t="s">
        <v>2258</v>
      </c>
      <c r="I113" s="540" cm="1" t="str">
        <f t="array" ref="I113:I113">AC113</f>
        <v>0</v>
      </c>
      <c r="J113" s="462"/>
      <c r="K113" s="462"/>
      <c r="L113" s="462"/>
      <c r="M113" s="462"/>
      <c r="N113" s="462"/>
      <c r="O113" s="462"/>
      <c r="P113" s="462"/>
      <c r="Q113" s="462"/>
      <c r="R113" s="462"/>
      <c r="S113" s="462"/>
      <c r="T113" s="439">
        <f>AND(F113&gt;0,Y113&gt;0)</f>
        <v>0</v>
      </c>
      <c r="U113" s="462"/>
      <c r="V113" s="462"/>
      <c r="W113" s="532" t="s">
        <v>173</v>
      </c>
      <c r="X113" s="1519"/>
      <c r="Y113" s="462">
        <v>0</v>
      </c>
      <c r="Z113" s="1520"/>
      <c r="AA113" s="642" t="s">
        <v>174</v>
      </c>
      <c r="AB113" s="695" t="str">
        <f>"2.12."&amp;Y113</f>
        <v>2.12.0</v>
      </c>
      <c r="AC113" s="5204"/>
      <c r="AD113" s="525" t="s">
        <v>784</v>
      </c>
      <c r="AE113" s="5205"/>
      <c r="AF113" s="1316"/>
      <c r="AG113" s="1316"/>
      <c r="AH113" s="984" t="s">
        <v>2261</v>
      </c>
      <c r="AI113" s="984" t="s">
        <v>2262</v>
      </c>
      <c r="AJ113" s="989" cm="1" t="str">
        <f t="array" ref="AJ113:AJ113">AC113</f>
        <v>0</v>
      </c>
      <c r="AK113" s="1318"/>
      <c r="AL113" s="636" t="b">
        <v>1</v>
      </c>
      <c r="AM113" s="5178"/>
      <c r="AN113" s="5178"/>
      <c r="AO113" s="5178"/>
      <c r="AP113" s="5178"/>
    </row>
    <row customHeight="1" ht="14.625" hidden="1">
      <c r="A114" s="647"/>
      <c r="B114" s="462"/>
      <c r="C114" s="462"/>
      <c r="D114" s="462"/>
      <c r="E114" s="629">
        <v>15</v>
      </c>
      <c r="F114" s="50" cm="1" t="str">
        <f t="array" ref="F114:F114">OFFSET(E114,-1,1)</f>
        <v>0</v>
      </c>
      <c r="G114" s="462"/>
      <c r="H114" s="462"/>
      <c r="I114" s="124" t="str">
        <f>"!== 'не определено' &amp;&amp; row.l2_13 !== null"</f>
        <v>!== 'не определено' &amp;&amp; row.l2_13 !== null</v>
      </c>
      <c r="J114" s="462"/>
      <c r="K114" s="462"/>
      <c r="L114" s="462"/>
      <c r="M114" s="462"/>
      <c r="N114" s="462"/>
      <c r="O114" s="462"/>
      <c r="P114" s="462"/>
      <c r="Q114" s="462"/>
      <c r="R114" s="462"/>
      <c r="S114" s="462"/>
      <c r="T114" s="439">
        <f>F114&gt;0</f>
        <v>0</v>
      </c>
      <c r="U114" s="462"/>
      <c r="V114" s="462"/>
      <c r="W114" s="810" t="s">
        <v>832</v>
      </c>
      <c r="X114" s="1519"/>
      <c r="Y114" s="462"/>
      <c r="Z114" s="1520"/>
      <c r="AA114" s="462"/>
      <c r="AB114" s="1306"/>
      <c r="AC114" s="1372" t="s">
        <v>177</v>
      </c>
      <c r="AD114" s="1308"/>
      <c r="AE114" s="1371"/>
      <c r="AF114" s="1316"/>
      <c r="AG114" s="1316"/>
      <c r="AH114" s="1317"/>
      <c r="AI114" s="1317"/>
      <c r="AJ114" s="1317"/>
      <c r="AK114" s="636" t="s">
        <v>2262</v>
      </c>
      <c r="AL114" s="1318"/>
      <c r="AM114" s="5178"/>
      <c r="AN114" s="5178"/>
      <c r="AO114" s="5178"/>
      <c r="AP114" s="5178"/>
    </row>
    <row customHeight="1" ht="14.625" hidden="1">
      <c r="A115" s="647"/>
      <c r="B115" s="462"/>
      <c r="C115" s="462"/>
      <c r="D115" s="462"/>
      <c r="E115" s="629">
        <v>15</v>
      </c>
      <c r="F115" s="50" cm="1" t="str">
        <f t="array" ref="F115:F115">OFFSET(E115,-1,1)</f>
        <v>0</v>
      </c>
      <c r="G115" s="462" t="s">
        <v>49</v>
      </c>
      <c r="H115" s="462" t="s">
        <v>327</v>
      </c>
      <c r="I115" s="462"/>
      <c r="J115" s="462"/>
      <c r="K115" s="462"/>
      <c r="L115" s="462"/>
      <c r="M115" s="462"/>
      <c r="N115" s="462"/>
      <c r="O115" s="462"/>
      <c r="P115" s="462"/>
      <c r="Q115" s="462"/>
      <c r="R115" s="462"/>
      <c r="S115" s="462"/>
      <c r="T115" s="439" cm="1" t="str">
        <f t="array" ref="T115:T115">T114</f>
        <v>false</v>
      </c>
      <c r="U115" s="462"/>
      <c r="V115" s="462"/>
      <c r="W115" s="462"/>
      <c r="X115" s="1519"/>
      <c r="Y115" s="462"/>
      <c r="Z115" s="1520"/>
      <c r="AA115" s="462"/>
      <c r="AB115" s="694" t="s">
        <v>323</v>
      </c>
      <c r="AC115" s="522" t="s">
        <v>1990</v>
      </c>
      <c r="AD115" s="523" t="s">
        <v>784</v>
      </c>
      <c r="AE115" s="5222"/>
      <c r="AF115" s="1316"/>
      <c r="AG115" s="1316"/>
      <c r="AH115" s="984" t="s">
        <v>1598</v>
      </c>
      <c r="AI115" s="1317"/>
      <c r="AJ115" s="1317"/>
      <c r="AK115" s="1318"/>
      <c r="AL115" s="1318"/>
      <c r="AM115" s="5178"/>
      <c r="AN115" s="5178"/>
      <c r="AO115" s="5178"/>
      <c r="AP115" s="5178"/>
    </row>
    <row s="1621" customFormat="1" customHeight="1" ht="14.25">
      <c r="A116" s="647"/>
      <c r="B116" s="462"/>
      <c r="C116" s="462"/>
      <c r="D116" s="462"/>
      <c r="E116" s="629">
        <v>15</v>
      </c>
      <c r="F116" s="817" cm="1" t="str">
        <f t="array" ref="F116:F116">X116</f>
        <v>1</v>
      </c>
      <c r="G116" s="462" t="s">
        <v>777</v>
      </c>
      <c r="H116" s="462"/>
      <c r="I116" s="462"/>
      <c r="J116" s="462"/>
      <c r="K116" s="462"/>
      <c r="L116" s="462"/>
      <c r="M116" s="462"/>
      <c r="N116" s="462"/>
      <c r="O116" s="462"/>
      <c r="P116" s="462"/>
      <c r="Q116" s="462"/>
      <c r="R116" s="462"/>
      <c r="S116" s="462"/>
      <c r="T116" s="439">
        <f>X116&gt;0</f>
        <v>1</v>
      </c>
      <c r="U116" s="462"/>
      <c r="V116" s="462" cm="1" t="str">
        <f t="array" ref="V116:V116">'ДПР (концессии)'!$AB$81</f>
        <v>Тариф 1 (Водоснабжение) - тариф на техническую воду (Оказание услуг на территории: Прокопьевский муниципальный округ (ОКТМО: 32522000) - п Калачево)</v>
      </c>
      <c r="W116" s="462"/>
      <c r="X116" s="1519" t="s">
        <v>272</v>
      </c>
      <c r="Y116" s="462"/>
      <c r="Z116" s="1520"/>
      <c r="AA116" s="462"/>
      <c r="AB116" s="189" cm="1" t="str">
        <f t="array" ref="AB116:AB116">'ДПР (концессии)'!$AB$81</f>
        <v>Тариф 1 (Водоснабжение) - тариф на техническую воду (Оказание услуг на территории: Прокопьевский муниципальный округ (ОКТМО: 32522000) - п Калачево)</v>
      </c>
      <c r="AC116" s="147"/>
      <c r="AD116" s="141"/>
      <c r="AE116" s="1293">
        <f>AE117+AE167+AE204</f>
        <v>0</v>
      </c>
      <c r="AF116" s="1316"/>
      <c r="AG116" s="1316"/>
      <c r="AH116" s="1317"/>
      <c r="AI116" s="1317"/>
      <c r="AJ116" s="1317"/>
      <c r="AK116" s="1318"/>
      <c r="AL116" s="1318"/>
      <c r="AM116" s="1621"/>
      <c r="AN116" s="1621"/>
      <c r="AO116" s="1621"/>
      <c r="AP116" s="1621"/>
    </row>
    <row s="1621" customFormat="1" customHeight="1" ht="14.25">
      <c r="A117" s="647"/>
      <c r="B117" s="462"/>
      <c r="C117" s="462"/>
      <c r="D117" s="462"/>
      <c r="E117" s="629">
        <v>15</v>
      </c>
      <c r="F117" s="50" cm="1" t="str">
        <f t="array" ref="F117:F117">OFFSET(E117,-1,1)</f>
        <v>1</v>
      </c>
      <c r="G117" s="462"/>
      <c r="H117" s="462" t="s">
        <v>325</v>
      </c>
      <c r="I117" s="462"/>
      <c r="J117" s="462"/>
      <c r="K117" s="462"/>
      <c r="L117" s="462"/>
      <c r="M117" s="462"/>
      <c r="N117" s="462"/>
      <c r="O117" s="462"/>
      <c r="P117" s="462"/>
      <c r="Q117" s="462"/>
      <c r="R117" s="462"/>
      <c r="S117" s="462"/>
      <c r="T117" s="439" cm="1" t="str">
        <f t="array" ref="T117:T117">T116</f>
        <v>true</v>
      </c>
      <c r="U117" s="462"/>
      <c r="V117" s="462"/>
      <c r="W117" s="462"/>
      <c r="X117" s="1519"/>
      <c r="Y117" s="462"/>
      <c r="Z117" s="1520"/>
      <c r="AA117" s="462"/>
      <c r="AB117" s="1294" t="s">
        <v>272</v>
      </c>
      <c r="AC117" s="1295" t="s">
        <v>1798</v>
      </c>
      <c r="AD117" s="1296" t="s">
        <v>784</v>
      </c>
      <c r="AE117" s="1369">
        <f>AE118+AE136+AE144+AE164</f>
        <v>0</v>
      </c>
      <c r="AF117" s="1316"/>
      <c r="AG117" s="1316"/>
      <c r="AH117" s="984" t="s">
        <v>504</v>
      </c>
      <c r="AI117" s="1317"/>
      <c r="AJ117" s="1317"/>
      <c r="AK117" s="1318"/>
      <c r="AL117" s="1318"/>
      <c r="AM117" s="1621"/>
      <c r="AN117" s="1621"/>
      <c r="AO117" s="1621"/>
      <c r="AP117" s="1621"/>
    </row>
    <row s="1621" customFormat="1" customHeight="1" ht="14.25">
      <c r="A118" s="647"/>
      <c r="B118" s="462"/>
      <c r="C118" s="462"/>
      <c r="D118" s="462"/>
      <c r="E118" s="629">
        <v>15</v>
      </c>
      <c r="F118" s="50" cm="1" t="str">
        <f t="array" ref="F118:F118">OFFSET(E118,-1,1)</f>
        <v>1</v>
      </c>
      <c r="G118" s="462"/>
      <c r="H118" s="462" t="s">
        <v>441</v>
      </c>
      <c r="I118" s="462"/>
      <c r="J118" s="462"/>
      <c r="K118" s="462"/>
      <c r="L118" s="462"/>
      <c r="M118" s="462"/>
      <c r="N118" s="462"/>
      <c r="O118" s="462"/>
      <c r="P118" s="462"/>
      <c r="Q118" s="462"/>
      <c r="R118" s="462"/>
      <c r="S118" s="462"/>
      <c r="T118" s="439" cm="1" t="str">
        <f t="array" ref="T118:T118">T117</f>
        <v>true</v>
      </c>
      <c r="U118" s="462"/>
      <c r="V118" s="462"/>
      <c r="W118" s="462"/>
      <c r="X118" s="1519"/>
      <c r="Y118" s="462"/>
      <c r="Z118" s="1520"/>
      <c r="AA118" s="462"/>
      <c r="AB118" s="1297" t="s">
        <v>845</v>
      </c>
      <c r="AC118" s="1298" t="s">
        <v>1586</v>
      </c>
      <c r="AD118" s="1299" t="s">
        <v>784</v>
      </c>
      <c r="AE118" s="534">
        <f>AE119+AE120+AE121+AE126+AE127+AE128</f>
        <v>0</v>
      </c>
      <c r="AF118" s="1316"/>
      <c r="AG118" s="1316"/>
      <c r="AH118" s="984" t="s">
        <v>1040</v>
      </c>
      <c r="AI118" s="1317"/>
      <c r="AJ118" s="1317"/>
      <c r="AK118" s="1318"/>
      <c r="AL118" s="1318"/>
      <c r="AM118" s="1621"/>
      <c r="AN118" s="1621"/>
      <c r="AO118" s="1621"/>
      <c r="AP118" s="1621"/>
    </row>
    <row s="1621" customFormat="1" customHeight="1" ht="14.25">
      <c r="A119" s="647"/>
      <c r="B119" s="462"/>
      <c r="C119" s="462"/>
      <c r="D119" s="462"/>
      <c r="E119" s="629">
        <v>15</v>
      </c>
      <c r="F119" s="50" cm="1" t="str">
        <f t="array" ref="F119:F119">OFFSET(E119,-1,1)</f>
        <v>1</v>
      </c>
      <c r="G119" s="462"/>
      <c r="H119" s="462" t="s">
        <v>954</v>
      </c>
      <c r="I119" s="462"/>
      <c r="J119" s="462"/>
      <c r="K119" s="462"/>
      <c r="L119" s="462"/>
      <c r="M119" s="462"/>
      <c r="N119" s="462"/>
      <c r="O119" s="462"/>
      <c r="P119" s="462"/>
      <c r="Q119" s="462"/>
      <c r="R119" s="462"/>
      <c r="S119" s="462"/>
      <c r="T119" s="439" cm="1" t="str">
        <f t="array" ref="T119:T119">T118</f>
        <v>true</v>
      </c>
      <c r="U119" s="462"/>
      <c r="V119" s="462"/>
      <c r="W119" s="462"/>
      <c r="X119" s="1519"/>
      <c r="Y119" s="462"/>
      <c r="Z119" s="1520"/>
      <c r="AA119" s="462"/>
      <c r="AB119" s="695" t="s">
        <v>955</v>
      </c>
      <c r="AC119" s="1300" t="s">
        <v>2129</v>
      </c>
      <c r="AD119" s="525" t="s">
        <v>784</v>
      </c>
      <c r="AE119" s="1370"/>
      <c r="AF119" s="1316"/>
      <c r="AG119" s="1316"/>
      <c r="AH119" s="984" t="s">
        <v>1136</v>
      </c>
      <c r="AI119" s="1317"/>
      <c r="AJ119" s="1317"/>
      <c r="AK119" s="1318"/>
      <c r="AL119" s="1318"/>
      <c r="AM119" s="1621"/>
      <c r="AN119" s="1621"/>
      <c r="AO119" s="1621"/>
      <c r="AP119" s="1621"/>
    </row>
    <row s="1621" customFormat="1" customHeight="1" ht="21.75">
      <c r="A120" s="647"/>
      <c r="B120" s="462"/>
      <c r="C120" s="462"/>
      <c r="D120" s="462"/>
      <c r="E120" s="629">
        <v>22.5</v>
      </c>
      <c r="F120" s="50" cm="1" t="str">
        <f t="array" ref="F120:F120">OFFSET(E120,-1,1)</f>
        <v>1</v>
      </c>
      <c r="G120" s="462"/>
      <c r="H120" s="462" t="s">
        <v>958</v>
      </c>
      <c r="I120" s="462"/>
      <c r="J120" s="462"/>
      <c r="K120" s="462"/>
      <c r="L120" s="462"/>
      <c r="M120" s="462"/>
      <c r="N120" s="462"/>
      <c r="O120" s="462"/>
      <c r="P120" s="462"/>
      <c r="Q120" s="462"/>
      <c r="R120" s="462"/>
      <c r="S120" s="462"/>
      <c r="T120" s="439" cm="1" t="str">
        <f t="array" ref="T120:T120">T119</f>
        <v>true</v>
      </c>
      <c r="U120" s="462"/>
      <c r="V120" s="462"/>
      <c r="W120" s="462"/>
      <c r="X120" s="1519"/>
      <c r="Y120" s="462"/>
      <c r="Z120" s="1520"/>
      <c r="AA120" s="462"/>
      <c r="AB120" s="695" t="s">
        <v>959</v>
      </c>
      <c r="AC120" s="526" t="s">
        <v>1806</v>
      </c>
      <c r="AD120" s="525" t="s">
        <v>784</v>
      </c>
      <c r="AE120" s="1370"/>
      <c r="AF120" s="1316"/>
      <c r="AG120" s="1316"/>
      <c r="AH120" s="984" t="s">
        <v>1619</v>
      </c>
      <c r="AI120" s="1317"/>
      <c r="AJ120" s="1317"/>
      <c r="AK120" s="1318"/>
      <c r="AL120" s="1318"/>
      <c r="AM120" s="1621"/>
      <c r="AN120" s="1621"/>
      <c r="AO120" s="1621"/>
      <c r="AP120" s="1621"/>
    </row>
    <row s="1621" customFormat="1" customHeight="1" ht="32.25">
      <c r="A121" s="647"/>
      <c r="B121" s="462"/>
      <c r="C121" s="462"/>
      <c r="D121" s="462"/>
      <c r="E121" s="629">
        <v>33.75</v>
      </c>
      <c r="F121" s="50" cm="1" t="str">
        <f t="array" ref="F121:F121">OFFSET(E121,-1,1)</f>
        <v>1</v>
      </c>
      <c r="G121" s="462"/>
      <c r="H121" s="462" t="s">
        <v>1194</v>
      </c>
      <c r="I121" s="462"/>
      <c r="J121" s="462"/>
      <c r="K121" s="462"/>
      <c r="L121" s="462"/>
      <c r="M121" s="462"/>
      <c r="N121" s="462"/>
      <c r="O121" s="462"/>
      <c r="P121" s="462"/>
      <c r="Q121" s="462"/>
      <c r="R121" s="462"/>
      <c r="S121" s="462"/>
      <c r="T121" s="439" cm="1" t="str">
        <f t="array" ref="T121:T121">T120</f>
        <v>true</v>
      </c>
      <c r="U121" s="462"/>
      <c r="V121" s="462"/>
      <c r="W121" s="462"/>
      <c r="X121" s="1519"/>
      <c r="Y121" s="462"/>
      <c r="Z121" s="1520"/>
      <c r="AA121" s="462"/>
      <c r="AB121" s="695" t="s">
        <v>1195</v>
      </c>
      <c r="AC121" s="526" t="s">
        <v>2130</v>
      </c>
      <c r="AD121" s="525" t="s">
        <v>784</v>
      </c>
      <c r="AE121" s="534">
        <f>AE122+AE125</f>
        <v>0</v>
      </c>
      <c r="AF121" s="1316"/>
      <c r="AG121" s="1316"/>
      <c r="AH121" s="984" t="s">
        <v>1621</v>
      </c>
      <c r="AI121" s="1317"/>
      <c r="AJ121" s="1317"/>
      <c r="AK121" s="1318"/>
      <c r="AL121" s="1318"/>
      <c r="AM121" s="1621"/>
      <c r="AN121" s="1621"/>
      <c r="AO121" s="1621"/>
      <c r="AP121" s="1621"/>
    </row>
    <row s="1621" customFormat="1" customHeight="1" ht="21.75">
      <c r="A122" s="647"/>
      <c r="B122" s="462"/>
      <c r="C122" s="462"/>
      <c r="D122" s="462"/>
      <c r="E122" s="629">
        <v>22.5</v>
      </c>
      <c r="F122" s="50" cm="1" t="str">
        <f t="array" ref="F122:F122">OFFSET(E122,-1,1)</f>
        <v>1</v>
      </c>
      <c r="G122" s="462"/>
      <c r="H122" s="462" t="s">
        <v>2131</v>
      </c>
      <c r="I122" s="462"/>
      <c r="J122" s="462"/>
      <c r="K122" s="462"/>
      <c r="L122" s="462"/>
      <c r="M122" s="462"/>
      <c r="N122" s="462"/>
      <c r="O122" s="462"/>
      <c r="P122" s="462"/>
      <c r="Q122" s="462"/>
      <c r="R122" s="462"/>
      <c r="S122" s="462"/>
      <c r="T122" s="439" cm="1" t="str">
        <f t="array" ref="T122:T122">T121</f>
        <v>true</v>
      </c>
      <c r="U122" s="462"/>
      <c r="V122" s="462"/>
      <c r="W122" s="462"/>
      <c r="X122" s="1519"/>
      <c r="Y122" s="462"/>
      <c r="Z122" s="1520"/>
      <c r="AA122" s="462"/>
      <c r="AB122" s="695" t="s">
        <v>2132</v>
      </c>
      <c r="AC122" s="1301" t="s">
        <v>2133</v>
      </c>
      <c r="AD122" s="525" t="s">
        <v>784</v>
      </c>
      <c r="AE122" s="1370"/>
      <c r="AF122" s="1316"/>
      <c r="AG122" s="1316"/>
      <c r="AH122" s="984" t="s">
        <v>1623</v>
      </c>
      <c r="AI122" s="1317"/>
      <c r="AJ122" s="1317"/>
      <c r="AK122" s="1318"/>
      <c r="AL122" s="1318"/>
      <c r="AM122" s="1621"/>
      <c r="AN122" s="1621"/>
      <c r="AO122" s="1621"/>
      <c r="AP122" s="1621"/>
    </row>
    <row s="1621" customFormat="1" customHeight="1" ht="21.75">
      <c r="A123" s="647"/>
      <c r="B123" s="462"/>
      <c r="C123" s="462"/>
      <c r="D123" s="462"/>
      <c r="E123" s="629">
        <v>22.5</v>
      </c>
      <c r="F123" s="50" cm="1" t="str">
        <f t="array" ref="F123:F123">OFFSET(E123,-1,1)</f>
        <v>1</v>
      </c>
      <c r="G123" s="462"/>
      <c r="H123" s="462" t="s">
        <v>2134</v>
      </c>
      <c r="I123" s="462"/>
      <c r="J123" s="462"/>
      <c r="K123" s="462"/>
      <c r="L123" s="462"/>
      <c r="M123" s="462"/>
      <c r="N123" s="462"/>
      <c r="O123" s="462"/>
      <c r="P123" s="462"/>
      <c r="Q123" s="462"/>
      <c r="R123" s="462"/>
      <c r="S123" s="462"/>
      <c r="T123" s="439" cm="1" t="str">
        <f t="array" ref="T123:T123">T122</f>
        <v>true</v>
      </c>
      <c r="U123" s="462"/>
      <c r="V123" s="462"/>
      <c r="W123" s="462"/>
      <c r="X123" s="1519"/>
      <c r="Y123" s="462"/>
      <c r="Z123" s="1520"/>
      <c r="AA123" s="462"/>
      <c r="AB123" s="695" t="s">
        <v>2135</v>
      </c>
      <c r="AC123" s="1302" t="s">
        <v>2136</v>
      </c>
      <c r="AD123" s="525" t="s">
        <v>2137</v>
      </c>
      <c r="AE123" s="1370"/>
      <c r="AF123" s="1316"/>
      <c r="AG123" s="1316"/>
      <c r="AH123" s="984" t="s">
        <v>2138</v>
      </c>
      <c r="AI123" s="1317"/>
      <c r="AJ123" s="1317"/>
      <c r="AK123" s="1318"/>
      <c r="AL123" s="1318"/>
      <c r="AM123" s="1621"/>
      <c r="AN123" s="1621"/>
      <c r="AO123" s="1621"/>
      <c r="AP123" s="1621"/>
    </row>
    <row s="1621" customFormat="1" customHeight="1" ht="21.75">
      <c r="A124" s="647"/>
      <c r="B124" s="462"/>
      <c r="C124" s="462"/>
      <c r="D124" s="462"/>
      <c r="E124" s="629">
        <v>22.5</v>
      </c>
      <c r="F124" s="50" cm="1" t="str">
        <f t="array" ref="F124:F124">OFFSET(E124,-1,1)</f>
        <v>1</v>
      </c>
      <c r="G124" s="462"/>
      <c r="H124" s="462" t="s">
        <v>2139</v>
      </c>
      <c r="I124" s="462"/>
      <c r="J124" s="462"/>
      <c r="K124" s="462"/>
      <c r="L124" s="462"/>
      <c r="M124" s="462"/>
      <c r="N124" s="462"/>
      <c r="O124" s="462"/>
      <c r="P124" s="462"/>
      <c r="Q124" s="462"/>
      <c r="R124" s="462"/>
      <c r="S124" s="462"/>
      <c r="T124" s="439" cm="1" t="str">
        <f t="array" ref="T124:T124">T123</f>
        <v>true</v>
      </c>
      <c r="U124" s="462"/>
      <c r="V124" s="462"/>
      <c r="W124" s="462"/>
      <c r="X124" s="1519"/>
      <c r="Y124" s="462"/>
      <c r="Z124" s="1520"/>
      <c r="AA124" s="462"/>
      <c r="AB124" s="695" t="s">
        <v>2140</v>
      </c>
      <c r="AC124" s="528" t="s">
        <v>2141</v>
      </c>
      <c r="AD124" s="525" t="s">
        <v>2142</v>
      </c>
      <c r="AE124" s="1370"/>
      <c r="AF124" s="1316"/>
      <c r="AG124" s="1316"/>
      <c r="AH124" s="984" t="s">
        <v>2143</v>
      </c>
      <c r="AI124" s="1317"/>
      <c r="AJ124" s="1317"/>
      <c r="AK124" s="1318"/>
      <c r="AL124" s="1318"/>
      <c r="AM124" s="1621"/>
      <c r="AN124" s="1621"/>
      <c r="AO124" s="1621"/>
      <c r="AP124" s="1621"/>
    </row>
    <row s="1621" customFormat="1" customHeight="1" ht="21.75">
      <c r="A125" s="647"/>
      <c r="B125" s="462"/>
      <c r="C125" s="462"/>
      <c r="D125" s="462"/>
      <c r="E125" s="629">
        <v>22.5</v>
      </c>
      <c r="F125" s="50" cm="1" t="str">
        <f t="array" ref="F125:F125">OFFSET(E125,-1,1)</f>
        <v>1</v>
      </c>
      <c r="G125" s="462"/>
      <c r="H125" s="462" t="s">
        <v>2144</v>
      </c>
      <c r="I125" s="462"/>
      <c r="J125" s="462"/>
      <c r="K125" s="462"/>
      <c r="L125" s="462"/>
      <c r="M125" s="462"/>
      <c r="N125" s="462"/>
      <c r="O125" s="462"/>
      <c r="P125" s="462"/>
      <c r="Q125" s="462"/>
      <c r="R125" s="462"/>
      <c r="S125" s="462"/>
      <c r="T125" s="439" cm="1" t="str">
        <f t="array" ref="T125:T125">T124</f>
        <v>true</v>
      </c>
      <c r="U125" s="462"/>
      <c r="V125" s="462"/>
      <c r="W125" s="462"/>
      <c r="X125" s="1519"/>
      <c r="Y125" s="462"/>
      <c r="Z125" s="1520"/>
      <c r="AA125" s="462"/>
      <c r="AB125" s="695" t="s">
        <v>2145</v>
      </c>
      <c r="AC125" s="527" t="s">
        <v>2146</v>
      </c>
      <c r="AD125" s="525" t="s">
        <v>784</v>
      </c>
      <c r="AE125" s="1370"/>
      <c r="AF125" s="1316"/>
      <c r="AG125" s="1316"/>
      <c r="AH125" s="984" t="s">
        <v>1625</v>
      </c>
      <c r="AI125" s="1317"/>
      <c r="AJ125" s="1317"/>
      <c r="AK125" s="1318"/>
      <c r="AL125" s="1318"/>
      <c r="AM125" s="1621"/>
      <c r="AN125" s="1621"/>
      <c r="AO125" s="1621"/>
      <c r="AP125" s="1621"/>
    </row>
    <row s="1621" customFormat="1" customHeight="1" ht="14.25">
      <c r="A126" s="647"/>
      <c r="B126" s="462"/>
      <c r="C126" s="462"/>
      <c r="D126" s="462"/>
      <c r="E126" s="629">
        <v>15</v>
      </c>
      <c r="F126" s="50" cm="1" t="str">
        <f t="array" ref="F126:F126">OFFSET(E126,-1,1)</f>
        <v>1</v>
      </c>
      <c r="G126" s="462"/>
      <c r="H126" s="462" t="s">
        <v>1198</v>
      </c>
      <c r="I126" s="462"/>
      <c r="J126" s="462"/>
      <c r="K126" s="462"/>
      <c r="L126" s="462"/>
      <c r="M126" s="462"/>
      <c r="N126" s="462"/>
      <c r="O126" s="462"/>
      <c r="P126" s="462"/>
      <c r="Q126" s="462"/>
      <c r="R126" s="462"/>
      <c r="S126" s="462"/>
      <c r="T126" s="439" cm="1" t="str">
        <f t="array" ref="T126:T126">T125</f>
        <v>true</v>
      </c>
      <c r="U126" s="462"/>
      <c r="V126" s="462"/>
      <c r="W126" s="462"/>
      <c r="X126" s="1519"/>
      <c r="Y126" s="462"/>
      <c r="Z126" s="1520"/>
      <c r="AA126" s="462"/>
      <c r="AB126" s="695" t="s">
        <v>1199</v>
      </c>
      <c r="AC126" s="526" t="s">
        <v>2147</v>
      </c>
      <c r="AD126" s="525" t="s">
        <v>784</v>
      </c>
      <c r="AE126" s="1370"/>
      <c r="AF126" s="1316"/>
      <c r="AG126" s="1316"/>
      <c r="AH126" s="984" t="s">
        <v>1985</v>
      </c>
      <c r="AI126" s="1317"/>
      <c r="AJ126" s="1317"/>
      <c r="AK126" s="1318"/>
      <c r="AL126" s="1318"/>
      <c r="AM126" s="1621"/>
      <c r="AN126" s="1621"/>
      <c r="AO126" s="1621"/>
      <c r="AP126" s="1621"/>
    </row>
    <row s="1621" customFormat="1" customHeight="1" ht="14.25">
      <c r="A127" s="647"/>
      <c r="B127" s="462"/>
      <c r="C127" s="462"/>
      <c r="D127" s="462"/>
      <c r="E127" s="629">
        <v>15</v>
      </c>
      <c r="F127" s="50" cm="1" t="str">
        <f t="array" ref="F127:F127">OFFSET(E127,-1,1)</f>
        <v>1</v>
      </c>
      <c r="G127" s="462"/>
      <c r="H127" s="462" t="s">
        <v>2148</v>
      </c>
      <c r="I127" s="462"/>
      <c r="J127" s="462"/>
      <c r="K127" s="462"/>
      <c r="L127" s="462"/>
      <c r="M127" s="462"/>
      <c r="N127" s="462"/>
      <c r="O127" s="462"/>
      <c r="P127" s="462"/>
      <c r="Q127" s="462"/>
      <c r="R127" s="462"/>
      <c r="S127" s="462"/>
      <c r="T127" s="439" cm="1" t="str">
        <f t="array" ref="T127:T127">T126</f>
        <v>true</v>
      </c>
      <c r="U127" s="462"/>
      <c r="V127" s="462"/>
      <c r="W127" s="462"/>
      <c r="X127" s="1519"/>
      <c r="Y127" s="462"/>
      <c r="Z127" s="1520"/>
      <c r="AA127" s="462"/>
      <c r="AB127" s="695" t="s">
        <v>1202</v>
      </c>
      <c r="AC127" s="526" t="s">
        <v>1812</v>
      </c>
      <c r="AD127" s="525" t="s">
        <v>784</v>
      </c>
      <c r="AE127" s="1370"/>
      <c r="AF127" s="1316"/>
      <c r="AG127" s="1316"/>
      <c r="AH127" s="984" t="s">
        <v>1630</v>
      </c>
      <c r="AI127" s="1317"/>
      <c r="AJ127" s="1317"/>
      <c r="AK127" s="1318"/>
      <c r="AL127" s="1318"/>
      <c r="AM127" s="1621"/>
      <c r="AN127" s="1621"/>
      <c r="AO127" s="1621"/>
      <c r="AP127" s="1621"/>
    </row>
    <row s="1621" customFormat="1" customHeight="1" ht="14.25">
      <c r="A128" s="647"/>
      <c r="B128" s="462"/>
      <c r="C128" s="462"/>
      <c r="D128" s="462"/>
      <c r="E128" s="629">
        <v>15</v>
      </c>
      <c r="F128" s="50" cm="1" t="str">
        <f t="array" ref="F128:F128">OFFSET(E128,-1,1)</f>
        <v>1</v>
      </c>
      <c r="G128" s="462"/>
      <c r="H128" s="462" t="s">
        <v>2149</v>
      </c>
      <c r="I128" s="462"/>
      <c r="J128" s="462"/>
      <c r="K128" s="462"/>
      <c r="L128" s="462"/>
      <c r="M128" s="462"/>
      <c r="N128" s="462"/>
      <c r="O128" s="462"/>
      <c r="P128" s="462"/>
      <c r="Q128" s="462"/>
      <c r="R128" s="462"/>
      <c r="S128" s="462"/>
      <c r="T128" s="439" cm="1" t="str">
        <f t="array" ref="T128:T128">T127</f>
        <v>true</v>
      </c>
      <c r="U128" s="462"/>
      <c r="V128" s="462"/>
      <c r="W128" s="462"/>
      <c r="X128" s="1519"/>
      <c r="Y128" s="462"/>
      <c r="Z128" s="1520"/>
      <c r="AA128" s="462"/>
      <c r="AB128" s="695" t="s">
        <v>2150</v>
      </c>
      <c r="AC128" s="526" t="s">
        <v>2151</v>
      </c>
      <c r="AD128" s="525" t="s">
        <v>784</v>
      </c>
      <c r="AE128" s="534">
        <f>SUM(AE129:AE135)</f>
        <v>0</v>
      </c>
      <c r="AF128" s="1316"/>
      <c r="AG128" s="1316"/>
      <c r="AH128" s="984" t="s">
        <v>1634</v>
      </c>
      <c r="AI128" s="1317"/>
      <c r="AJ128" s="1317"/>
      <c r="AK128" s="1318"/>
      <c r="AL128" s="1318"/>
      <c r="AM128" s="1621"/>
      <c r="AN128" s="1621"/>
      <c r="AO128" s="1621"/>
      <c r="AP128" s="1621"/>
    </row>
    <row s="1621" customFormat="1" customHeight="1" ht="14.25">
      <c r="A129" s="647"/>
      <c r="B129" s="462"/>
      <c r="C129" s="462"/>
      <c r="D129" s="462"/>
      <c r="E129" s="629">
        <v>15</v>
      </c>
      <c r="F129" s="50" cm="1" t="str">
        <f t="array" ref="F129:F129">OFFSET(E129,-1,1)</f>
        <v>1</v>
      </c>
      <c r="G129" s="462"/>
      <c r="H129" s="462" t="s">
        <v>2152</v>
      </c>
      <c r="I129" s="462"/>
      <c r="J129" s="462"/>
      <c r="K129" s="462"/>
      <c r="L129" s="462"/>
      <c r="M129" s="462"/>
      <c r="N129" s="462"/>
      <c r="O129" s="462"/>
      <c r="P129" s="462"/>
      <c r="Q129" s="462"/>
      <c r="R129" s="462"/>
      <c r="S129" s="462"/>
      <c r="T129" s="439" cm="1" t="str">
        <f t="array" ref="T129:T129">T128</f>
        <v>true</v>
      </c>
      <c r="U129" s="462"/>
      <c r="V129" s="462"/>
      <c r="W129" s="462"/>
      <c r="X129" s="1519"/>
      <c r="Y129" s="462"/>
      <c r="Z129" s="1520"/>
      <c r="AA129" s="462"/>
      <c r="AB129" s="695" t="s">
        <v>2153</v>
      </c>
      <c r="AC129" s="527" t="s">
        <v>1641</v>
      </c>
      <c r="AD129" s="525" t="s">
        <v>784</v>
      </c>
      <c r="AE129" s="1370"/>
      <c r="AF129" s="1316"/>
      <c r="AG129" s="1316"/>
      <c r="AH129" s="984" t="s">
        <v>2154</v>
      </c>
      <c r="AI129" s="1317"/>
      <c r="AJ129" s="1317"/>
      <c r="AK129" s="1318"/>
      <c r="AL129" s="1318"/>
      <c r="AM129" s="1621"/>
      <c r="AN129" s="1621"/>
      <c r="AO129" s="1621"/>
      <c r="AP129" s="1621"/>
    </row>
    <row s="1621" customFormat="1" customHeight="1" ht="21.75">
      <c r="A130" s="647"/>
      <c r="B130" s="462"/>
      <c r="C130" s="462"/>
      <c r="D130" s="462"/>
      <c r="E130" s="629">
        <v>22.5</v>
      </c>
      <c r="F130" s="50" cm="1" t="str">
        <f t="array" ref="F130:F130">OFFSET(E130,-1,1)</f>
        <v>1</v>
      </c>
      <c r="G130" s="462"/>
      <c r="H130" s="462" t="s">
        <v>2155</v>
      </c>
      <c r="I130" s="462"/>
      <c r="J130" s="462"/>
      <c r="K130" s="462"/>
      <c r="L130" s="462"/>
      <c r="M130" s="462"/>
      <c r="N130" s="462"/>
      <c r="O130" s="462"/>
      <c r="P130" s="462"/>
      <c r="Q130" s="462"/>
      <c r="R130" s="462"/>
      <c r="S130" s="462"/>
      <c r="T130" s="439" cm="1" t="str">
        <f t="array" ref="T130:T130">T129</f>
        <v>true</v>
      </c>
      <c r="U130" s="462"/>
      <c r="V130" s="462"/>
      <c r="W130" s="462"/>
      <c r="X130" s="1519"/>
      <c r="Y130" s="462"/>
      <c r="Z130" s="1520"/>
      <c r="AA130" s="462"/>
      <c r="AB130" s="695" t="s">
        <v>2156</v>
      </c>
      <c r="AC130" s="527" t="s">
        <v>1820</v>
      </c>
      <c r="AD130" s="525" t="s">
        <v>784</v>
      </c>
      <c r="AE130" s="1370"/>
      <c r="AF130" s="1316"/>
      <c r="AG130" s="1316"/>
      <c r="AH130" s="1048" t="s">
        <v>1821</v>
      </c>
      <c r="AI130" s="1317"/>
      <c r="AJ130" s="1317"/>
      <c r="AK130" s="1318"/>
      <c r="AL130" s="1318"/>
      <c r="AM130" s="1621"/>
      <c r="AN130" s="1621"/>
      <c r="AO130" s="1621"/>
      <c r="AP130" s="1621"/>
    </row>
    <row s="1621" customFormat="1" customHeight="1" ht="21.75">
      <c r="A131" s="647"/>
      <c r="B131" s="462"/>
      <c r="C131" s="462"/>
      <c r="D131" s="462"/>
      <c r="E131" s="629">
        <v>22.5</v>
      </c>
      <c r="F131" s="50" cm="1" t="str">
        <f t="array" ref="F131:F131">OFFSET(E131,-1,1)</f>
        <v>1</v>
      </c>
      <c r="G131" s="462"/>
      <c r="H131" s="462" t="s">
        <v>2157</v>
      </c>
      <c r="I131" s="462"/>
      <c r="J131" s="462"/>
      <c r="K131" s="462"/>
      <c r="L131" s="462"/>
      <c r="M131" s="462"/>
      <c r="N131" s="462"/>
      <c r="O131" s="462"/>
      <c r="P131" s="462"/>
      <c r="Q131" s="462"/>
      <c r="R131" s="462"/>
      <c r="S131" s="462"/>
      <c r="T131" s="439" cm="1" t="str">
        <f t="array" ref="T131:T131">T130</f>
        <v>true</v>
      </c>
      <c r="U131" s="462"/>
      <c r="V131" s="462"/>
      <c r="W131" s="462"/>
      <c r="X131" s="1519"/>
      <c r="Y131" s="462"/>
      <c r="Z131" s="1520"/>
      <c r="AA131" s="462"/>
      <c r="AB131" s="695" t="s">
        <v>2158</v>
      </c>
      <c r="AC131" s="527" t="s">
        <v>1824</v>
      </c>
      <c r="AD131" s="525" t="s">
        <v>784</v>
      </c>
      <c r="AE131" s="1370"/>
      <c r="AF131" s="1316"/>
      <c r="AG131" s="1316"/>
      <c r="AH131" s="1048" t="s">
        <v>1825</v>
      </c>
      <c r="AI131" s="1317"/>
      <c r="AJ131" s="1317"/>
      <c r="AK131" s="1318"/>
      <c r="AL131" s="1318"/>
      <c r="AM131" s="1621"/>
      <c r="AN131" s="1621"/>
      <c r="AO131" s="1621"/>
      <c r="AP131" s="1621"/>
    </row>
    <row s="1621" customFormat="1" customHeight="1" ht="21.75">
      <c r="A132" s="647"/>
      <c r="B132" s="462"/>
      <c r="C132" s="462"/>
      <c r="D132" s="462"/>
      <c r="E132" s="629">
        <v>22.5</v>
      </c>
      <c r="F132" s="50" cm="1" t="str">
        <f t="array" ref="F132:F132">OFFSET(E132,-1,1)</f>
        <v>1</v>
      </c>
      <c r="G132" s="462"/>
      <c r="H132" s="462" t="s">
        <v>2159</v>
      </c>
      <c r="I132" s="462"/>
      <c r="J132" s="462"/>
      <c r="K132" s="462"/>
      <c r="L132" s="462"/>
      <c r="M132" s="462"/>
      <c r="N132" s="462"/>
      <c r="O132" s="462"/>
      <c r="P132" s="462"/>
      <c r="Q132" s="462"/>
      <c r="R132" s="462"/>
      <c r="S132" s="462"/>
      <c r="T132" s="439" cm="1" t="str">
        <f t="array" ref="T132:T132">T131</f>
        <v>true</v>
      </c>
      <c r="U132" s="462"/>
      <c r="V132" s="462"/>
      <c r="W132" s="462"/>
      <c r="X132" s="1519"/>
      <c r="Y132" s="462"/>
      <c r="Z132" s="1520"/>
      <c r="AA132" s="462"/>
      <c r="AB132" s="695" t="s">
        <v>2160</v>
      </c>
      <c r="AC132" s="527" t="s">
        <v>2161</v>
      </c>
      <c r="AD132" s="525" t="s">
        <v>784</v>
      </c>
      <c r="AE132" s="1370"/>
      <c r="AF132" s="1316"/>
      <c r="AG132" s="1316"/>
      <c r="AH132" s="1048" t="s">
        <v>1829</v>
      </c>
      <c r="AI132" s="1317"/>
      <c r="AJ132" s="1317"/>
      <c r="AK132" s="1318"/>
      <c r="AL132" s="1318"/>
      <c r="AM132" s="1621"/>
      <c r="AN132" s="1621"/>
      <c r="AO132" s="1621"/>
      <c r="AP132" s="1621"/>
    </row>
    <row s="1621" customFormat="1" customHeight="1" ht="54.75">
      <c r="A133" s="647"/>
      <c r="B133" s="462"/>
      <c r="C133" s="462"/>
      <c r="D133" s="462"/>
      <c r="E133" s="629">
        <v>56.25</v>
      </c>
      <c r="F133" s="50" cm="1" t="str">
        <f t="array" ref="F133:F133">OFFSET(E133,-1,1)</f>
        <v>1</v>
      </c>
      <c r="G133" s="462"/>
      <c r="H133" s="462" t="s">
        <v>2162</v>
      </c>
      <c r="I133" s="462"/>
      <c r="J133" s="462"/>
      <c r="K133" s="462"/>
      <c r="L133" s="462"/>
      <c r="M133" s="462"/>
      <c r="N133" s="462"/>
      <c r="O133" s="462"/>
      <c r="P133" s="462"/>
      <c r="Q133" s="462"/>
      <c r="R133" s="462"/>
      <c r="S133" s="462"/>
      <c r="T133" s="439" cm="1" t="str">
        <f t="array" ref="T133:T133">T132</f>
        <v>true</v>
      </c>
      <c r="U133" s="462"/>
      <c r="V133" s="462"/>
      <c r="W133" s="462"/>
      <c r="X133" s="1519"/>
      <c r="Y133" s="462"/>
      <c r="Z133" s="1520"/>
      <c r="AA133" s="462"/>
      <c r="AB133" s="695" t="s">
        <v>2163</v>
      </c>
      <c r="AC133" s="527" t="s">
        <v>1832</v>
      </c>
      <c r="AD133" s="525" t="s">
        <v>784</v>
      </c>
      <c r="AE133" s="1370"/>
      <c r="AF133" s="1316"/>
      <c r="AG133" s="1316"/>
      <c r="AH133" s="1048" t="s">
        <v>1646</v>
      </c>
      <c r="AI133" s="1317"/>
      <c r="AJ133" s="1317"/>
      <c r="AK133" s="1318"/>
      <c r="AL133" s="1318"/>
      <c r="AM133" s="1621"/>
      <c r="AN133" s="1621"/>
      <c r="AO133" s="1621"/>
      <c r="AP133" s="1621"/>
    </row>
    <row s="1621" customFormat="1" customHeight="1" ht="14.25">
      <c r="A134" s="647"/>
      <c r="B134" s="462"/>
      <c r="C134" s="462"/>
      <c r="D134" s="462"/>
      <c r="E134" s="629">
        <v>15</v>
      </c>
      <c r="F134" s="50" cm="1" t="str">
        <f t="array" ref="F134:F134">OFFSET(E134,-1,1)</f>
        <v>1</v>
      </c>
      <c r="G134" s="462"/>
      <c r="H134" s="462" t="s">
        <v>2164</v>
      </c>
      <c r="I134" s="462"/>
      <c r="J134" s="462"/>
      <c r="K134" s="462"/>
      <c r="L134" s="462"/>
      <c r="M134" s="462"/>
      <c r="N134" s="462"/>
      <c r="O134" s="462"/>
      <c r="P134" s="462"/>
      <c r="Q134" s="462"/>
      <c r="R134" s="462"/>
      <c r="S134" s="462"/>
      <c r="T134" s="439" cm="1" t="str">
        <f t="array" ref="T134:T134">T133</f>
        <v>true</v>
      </c>
      <c r="U134" s="462"/>
      <c r="V134" s="462"/>
      <c r="W134" s="462"/>
      <c r="X134" s="1519"/>
      <c r="Y134" s="462"/>
      <c r="Z134" s="1520"/>
      <c r="AA134" s="462"/>
      <c r="AB134" s="695" t="s">
        <v>2165</v>
      </c>
      <c r="AC134" s="527" t="s">
        <v>1649</v>
      </c>
      <c r="AD134" s="525" t="s">
        <v>784</v>
      </c>
      <c r="AE134" s="1370"/>
      <c r="AF134" s="1316"/>
      <c r="AG134" s="1316"/>
      <c r="AH134" s="1048" t="s">
        <v>1650</v>
      </c>
      <c r="AI134" s="1317"/>
      <c r="AJ134" s="1317"/>
      <c r="AK134" s="1318"/>
      <c r="AL134" s="1318"/>
      <c r="AM134" s="1621"/>
      <c r="AN134" s="1621"/>
      <c r="AO134" s="1621"/>
      <c r="AP134" s="1621"/>
    </row>
    <row s="1621" customFormat="1" customHeight="1" ht="14.25">
      <c r="A135" s="647"/>
      <c r="B135" s="462"/>
      <c r="C135" s="462"/>
      <c r="D135" s="462"/>
      <c r="E135" s="629">
        <v>15</v>
      </c>
      <c r="F135" s="50" cm="1" t="str">
        <f t="array" ref="F135:F135">OFFSET(E135,-1,1)</f>
        <v>1</v>
      </c>
      <c r="G135" s="462"/>
      <c r="H135" s="462" t="s">
        <v>2166</v>
      </c>
      <c r="I135" s="462"/>
      <c r="J135" s="462"/>
      <c r="K135" s="462"/>
      <c r="L135" s="462"/>
      <c r="M135" s="462"/>
      <c r="N135" s="462"/>
      <c r="O135" s="462"/>
      <c r="P135" s="462"/>
      <c r="Q135" s="462"/>
      <c r="R135" s="462"/>
      <c r="S135" s="462"/>
      <c r="T135" s="439" cm="1" t="str">
        <f t="array" ref="T135:T135">T134</f>
        <v>true</v>
      </c>
      <c r="U135" s="462"/>
      <c r="V135" s="462"/>
      <c r="W135" s="462"/>
      <c r="X135" s="1519"/>
      <c r="Y135" s="462"/>
      <c r="Z135" s="1520"/>
      <c r="AA135" s="462"/>
      <c r="AB135" s="695" t="s">
        <v>2167</v>
      </c>
      <c r="AC135" s="527" t="s">
        <v>1128</v>
      </c>
      <c r="AD135" s="525" t="s">
        <v>784</v>
      </c>
      <c r="AE135" s="1370"/>
      <c r="AF135" s="1316"/>
      <c r="AG135" s="1316"/>
      <c r="AH135" s="1048" t="s">
        <v>1634</v>
      </c>
      <c r="AI135" s="1317"/>
      <c r="AJ135" s="1317"/>
      <c r="AK135" s="1318"/>
      <c r="AL135" s="1318"/>
      <c r="AM135" s="1621"/>
      <c r="AN135" s="1621"/>
      <c r="AO135" s="1621"/>
      <c r="AP135" s="1621"/>
    </row>
    <row s="1621" customFormat="1" customHeight="1" ht="14.25">
      <c r="A136" s="647"/>
      <c r="B136" s="462"/>
      <c r="C136" s="462"/>
      <c r="D136" s="462"/>
      <c r="E136" s="629">
        <v>15</v>
      </c>
      <c r="F136" s="50" cm="1" t="str">
        <f t="array" ref="F136:F136">OFFSET(E136,-1,1)</f>
        <v>1</v>
      </c>
      <c r="G136" s="462"/>
      <c r="H136" s="462" t="s">
        <v>445</v>
      </c>
      <c r="I136" s="462"/>
      <c r="J136" s="462"/>
      <c r="K136" s="462"/>
      <c r="L136" s="462"/>
      <c r="M136" s="462"/>
      <c r="N136" s="462"/>
      <c r="O136" s="462"/>
      <c r="P136" s="462"/>
      <c r="Q136" s="462"/>
      <c r="R136" s="462"/>
      <c r="S136" s="462"/>
      <c r="T136" s="439" cm="1" t="str">
        <f t="array" ref="T136:T136">T135</f>
        <v>true</v>
      </c>
      <c r="U136" s="462"/>
      <c r="V136" s="462"/>
      <c r="W136" s="462"/>
      <c r="X136" s="1519"/>
      <c r="Y136" s="462"/>
      <c r="Z136" s="1520"/>
      <c r="AA136" s="462"/>
      <c r="AB136" s="695" t="s">
        <v>848</v>
      </c>
      <c r="AC136" s="524" t="s">
        <v>2168</v>
      </c>
      <c r="AD136" s="525" t="s">
        <v>784</v>
      </c>
      <c r="AE136" s="534">
        <f>AE137+AE138+AE139</f>
        <v>0</v>
      </c>
      <c r="AF136" s="1316"/>
      <c r="AG136" s="1316"/>
      <c r="AH136" s="1047" t="s">
        <v>1655</v>
      </c>
      <c r="AI136" s="1317"/>
      <c r="AJ136" s="1317"/>
      <c r="AK136" s="1318"/>
      <c r="AL136" s="1318"/>
      <c r="AM136" s="1621"/>
      <c r="AN136" s="1621"/>
      <c r="AO136" s="1621"/>
      <c r="AP136" s="1621"/>
    </row>
    <row s="1621" customFormat="1" customHeight="1" ht="14.25">
      <c r="A137" s="647"/>
      <c r="B137" s="462"/>
      <c r="C137" s="462"/>
      <c r="D137" s="462"/>
      <c r="E137" s="629">
        <v>15</v>
      </c>
      <c r="F137" s="50" cm="1" t="str">
        <f t="array" ref="F137:F137">OFFSET(E137,-1,1)</f>
        <v>1</v>
      </c>
      <c r="G137" s="462"/>
      <c r="H137" s="462" t="s">
        <v>1219</v>
      </c>
      <c r="I137" s="462"/>
      <c r="J137" s="462"/>
      <c r="K137" s="462"/>
      <c r="L137" s="462"/>
      <c r="M137" s="462"/>
      <c r="N137" s="462"/>
      <c r="O137" s="462"/>
      <c r="P137" s="462"/>
      <c r="Q137" s="462"/>
      <c r="R137" s="462"/>
      <c r="S137" s="462"/>
      <c r="T137" s="439" cm="1" t="str">
        <f t="array" ref="T137:T137">T136</f>
        <v>true</v>
      </c>
      <c r="U137" s="462"/>
      <c r="V137" s="462"/>
      <c r="W137" s="462"/>
      <c r="X137" s="1519"/>
      <c r="Y137" s="462"/>
      <c r="Z137" s="1520"/>
      <c r="AA137" s="462"/>
      <c r="AB137" s="695" t="s">
        <v>1220</v>
      </c>
      <c r="AC137" s="526" t="s">
        <v>2169</v>
      </c>
      <c r="AD137" s="525" t="s">
        <v>784</v>
      </c>
      <c r="AE137" s="1370"/>
      <c r="AF137" s="1316"/>
      <c r="AG137" s="1316"/>
      <c r="AH137" s="1046" t="s">
        <v>1657</v>
      </c>
      <c r="AI137" s="1317"/>
      <c r="AJ137" s="1317"/>
      <c r="AK137" s="1318"/>
      <c r="AL137" s="1318"/>
      <c r="AM137" s="1621"/>
      <c r="AN137" s="1621"/>
      <c r="AO137" s="1621"/>
      <c r="AP137" s="1621"/>
    </row>
    <row s="1621" customFormat="1" customHeight="1" ht="14.25">
      <c r="A138" s="647"/>
      <c r="B138" s="462"/>
      <c r="C138" s="462"/>
      <c r="D138" s="462"/>
      <c r="E138" s="629">
        <v>15</v>
      </c>
      <c r="F138" s="50" cm="1" t="str">
        <f t="array" ref="F138:F138">OFFSET(E138,-1,1)</f>
        <v>1</v>
      </c>
      <c r="G138" s="462"/>
      <c r="H138" s="462" t="s">
        <v>1222</v>
      </c>
      <c r="I138" s="462"/>
      <c r="J138" s="462"/>
      <c r="K138" s="462"/>
      <c r="L138" s="462"/>
      <c r="M138" s="462"/>
      <c r="N138" s="462"/>
      <c r="O138" s="462"/>
      <c r="P138" s="462"/>
      <c r="Q138" s="462"/>
      <c r="R138" s="462"/>
      <c r="S138" s="462"/>
      <c r="T138" s="439" cm="1" t="str">
        <f t="array" ref="T138:T138">T137</f>
        <v>true</v>
      </c>
      <c r="U138" s="462"/>
      <c r="V138" s="462"/>
      <c r="W138" s="462"/>
      <c r="X138" s="1519"/>
      <c r="Y138" s="462"/>
      <c r="Z138" s="1520"/>
      <c r="AA138" s="462"/>
      <c r="AB138" s="695" t="s">
        <v>1223</v>
      </c>
      <c r="AC138" s="526" t="s">
        <v>2170</v>
      </c>
      <c r="AD138" s="525" t="s">
        <v>784</v>
      </c>
      <c r="AE138" s="1370"/>
      <c r="AF138" s="1316"/>
      <c r="AG138" s="1316"/>
      <c r="AH138" s="1048" t="s">
        <v>1840</v>
      </c>
      <c r="AI138" s="1317"/>
      <c r="AJ138" s="1317"/>
      <c r="AK138" s="1318"/>
      <c r="AL138" s="1318"/>
      <c r="AM138" s="1621"/>
      <c r="AN138" s="1621"/>
      <c r="AO138" s="1621"/>
      <c r="AP138" s="1621"/>
    </row>
    <row s="1621" customFormat="1" customHeight="1" ht="21.75">
      <c r="A139" s="647"/>
      <c r="B139" s="462"/>
      <c r="C139" s="462"/>
      <c r="D139" s="462"/>
      <c r="E139" s="629">
        <v>22.5</v>
      </c>
      <c r="F139" s="50" cm="1" t="str">
        <f t="array" ref="F139:F139">OFFSET(E139,-1,1)</f>
        <v>1</v>
      </c>
      <c r="G139" s="462"/>
      <c r="H139" s="462" t="s">
        <v>1226</v>
      </c>
      <c r="I139" s="462"/>
      <c r="J139" s="462"/>
      <c r="K139" s="462"/>
      <c r="L139" s="462"/>
      <c r="M139" s="462"/>
      <c r="N139" s="462"/>
      <c r="O139" s="462"/>
      <c r="P139" s="462"/>
      <c r="Q139" s="462"/>
      <c r="R139" s="462"/>
      <c r="S139" s="462"/>
      <c r="T139" s="439" cm="1" t="str">
        <f t="array" ref="T139:T139">T138</f>
        <v>true</v>
      </c>
      <c r="U139" s="462"/>
      <c r="V139" s="462"/>
      <c r="W139" s="462"/>
      <c r="X139" s="1519"/>
      <c r="Y139" s="462"/>
      <c r="Z139" s="1520"/>
      <c r="AA139" s="462"/>
      <c r="AB139" s="695" t="s">
        <v>1227</v>
      </c>
      <c r="AC139" s="526" t="s">
        <v>2171</v>
      </c>
      <c r="AD139" s="525" t="s">
        <v>784</v>
      </c>
      <c r="AE139" s="534">
        <f>AE140+AE143</f>
        <v>0</v>
      </c>
      <c r="AF139" s="1316"/>
      <c r="AG139" s="1316"/>
      <c r="AH139" s="1046" t="s">
        <v>1659</v>
      </c>
      <c r="AI139" s="1317"/>
      <c r="AJ139" s="1317"/>
      <c r="AK139" s="1318"/>
      <c r="AL139" s="1318"/>
      <c r="AM139" s="1621"/>
      <c r="AN139" s="1621"/>
      <c r="AO139" s="1621"/>
      <c r="AP139" s="1621"/>
    </row>
    <row s="1621" customFormat="1" customHeight="1" ht="14.25">
      <c r="A140" s="647"/>
      <c r="B140" s="462"/>
      <c r="C140" s="462"/>
      <c r="D140" s="462"/>
      <c r="E140" s="629">
        <v>15</v>
      </c>
      <c r="F140" s="50" cm="1" t="str">
        <f t="array" ref="F140:F140">OFFSET(E140,-1,1)</f>
        <v>1</v>
      </c>
      <c r="G140" s="462"/>
      <c r="H140" s="462" t="s">
        <v>1370</v>
      </c>
      <c r="I140" s="462"/>
      <c r="J140" s="462"/>
      <c r="K140" s="462"/>
      <c r="L140" s="462"/>
      <c r="M140" s="462"/>
      <c r="N140" s="462"/>
      <c r="O140" s="462"/>
      <c r="P140" s="462"/>
      <c r="Q140" s="462"/>
      <c r="R140" s="462"/>
      <c r="S140" s="462"/>
      <c r="T140" s="439" cm="1" t="str">
        <f t="array" ref="T140:T140">T139</f>
        <v>true</v>
      </c>
      <c r="U140" s="462"/>
      <c r="V140" s="462"/>
      <c r="W140" s="462"/>
      <c r="X140" s="1519"/>
      <c r="Y140" s="462"/>
      <c r="Z140" s="1520"/>
      <c r="AA140" s="462"/>
      <c r="AB140" s="695" t="s">
        <v>1809</v>
      </c>
      <c r="AC140" s="527" t="s">
        <v>1661</v>
      </c>
      <c r="AD140" s="525" t="s">
        <v>784</v>
      </c>
      <c r="AE140" s="1370"/>
      <c r="AF140" s="1316"/>
      <c r="AG140" s="1316"/>
      <c r="AH140" s="1046" t="s">
        <v>1662</v>
      </c>
      <c r="AI140" s="1317"/>
      <c r="AJ140" s="1317"/>
      <c r="AK140" s="1318"/>
      <c r="AL140" s="1318"/>
      <c r="AM140" s="1621"/>
      <c r="AN140" s="1621"/>
      <c r="AO140" s="1621"/>
      <c r="AP140" s="1621"/>
    </row>
    <row s="1621" customFormat="1" customHeight="1" ht="14.25">
      <c r="A141" s="647"/>
      <c r="B141" s="462"/>
      <c r="C141" s="462"/>
      <c r="D141" s="462"/>
      <c r="E141" s="629">
        <v>15</v>
      </c>
      <c r="F141" s="50" cm="1" t="str">
        <f t="array" ref="F141:F141">OFFSET(E141,-1,1)</f>
        <v>1</v>
      </c>
      <c r="G141" s="462"/>
      <c r="H141" s="462" t="s">
        <v>2172</v>
      </c>
      <c r="I141" s="462"/>
      <c r="J141" s="462"/>
      <c r="K141" s="462"/>
      <c r="L141" s="462"/>
      <c r="M141" s="462"/>
      <c r="N141" s="462"/>
      <c r="O141" s="462"/>
      <c r="P141" s="462"/>
      <c r="Q141" s="462"/>
      <c r="R141" s="462"/>
      <c r="S141" s="462"/>
      <c r="T141" s="439" cm="1" t="str">
        <f t="array" ref="T141:T141">T140</f>
        <v>true</v>
      </c>
      <c r="U141" s="462"/>
      <c r="V141" s="462"/>
      <c r="W141" s="462"/>
      <c r="X141" s="1519"/>
      <c r="Y141" s="462"/>
      <c r="Z141" s="1520"/>
      <c r="AA141" s="462"/>
      <c r="AB141" s="695" t="s">
        <v>2173</v>
      </c>
      <c r="AC141" s="528" t="s">
        <v>2174</v>
      </c>
      <c r="AD141" s="525" t="s">
        <v>2137</v>
      </c>
      <c r="AE141" s="1370"/>
      <c r="AF141" s="1316"/>
      <c r="AG141" s="1316"/>
      <c r="AH141" s="984" t="s">
        <v>2175</v>
      </c>
      <c r="AI141" s="1317"/>
      <c r="AJ141" s="1317"/>
      <c r="AK141" s="1318"/>
      <c r="AL141" s="1318"/>
      <c r="AM141" s="1621"/>
      <c r="AN141" s="1621"/>
      <c r="AO141" s="1621"/>
      <c r="AP141" s="1621"/>
    </row>
    <row s="1621" customFormat="1" customHeight="1" ht="14.25">
      <c r="A142" s="647"/>
      <c r="B142" s="462"/>
      <c r="C142" s="462"/>
      <c r="D142" s="462"/>
      <c r="E142" s="629">
        <v>15</v>
      </c>
      <c r="F142" s="50" cm="1" t="str">
        <f t="array" ref="F142:F142">OFFSET(E142,-1,1)</f>
        <v>1</v>
      </c>
      <c r="G142" s="462"/>
      <c r="H142" s="462" t="s">
        <v>2176</v>
      </c>
      <c r="I142" s="462"/>
      <c r="J142" s="462"/>
      <c r="K142" s="462"/>
      <c r="L142" s="462"/>
      <c r="M142" s="462"/>
      <c r="N142" s="462"/>
      <c r="O142" s="462"/>
      <c r="P142" s="462"/>
      <c r="Q142" s="462"/>
      <c r="R142" s="462"/>
      <c r="S142" s="462"/>
      <c r="T142" s="439" cm="1" t="str">
        <f t="array" ref="T142:T142">T141</f>
        <v>true</v>
      </c>
      <c r="U142" s="462"/>
      <c r="V142" s="462"/>
      <c r="W142" s="462"/>
      <c r="X142" s="1519"/>
      <c r="Y142" s="462"/>
      <c r="Z142" s="1520"/>
      <c r="AA142" s="462"/>
      <c r="AB142" s="695" t="s">
        <v>2177</v>
      </c>
      <c r="AC142" s="528" t="s">
        <v>2178</v>
      </c>
      <c r="AD142" s="525" t="s">
        <v>2142</v>
      </c>
      <c r="AE142" s="1370"/>
      <c r="AF142" s="1316"/>
      <c r="AG142" s="1316"/>
      <c r="AH142" s="984" t="s">
        <v>2179</v>
      </c>
      <c r="AI142" s="1317"/>
      <c r="AJ142" s="1317"/>
      <c r="AK142" s="1318"/>
      <c r="AL142" s="1318"/>
      <c r="AM142" s="1621"/>
      <c r="AN142" s="1621"/>
      <c r="AO142" s="1621"/>
      <c r="AP142" s="1621"/>
    </row>
    <row s="1621" customFormat="1" customHeight="1" ht="21.75">
      <c r="A143" s="647"/>
      <c r="B143" s="462"/>
      <c r="C143" s="462"/>
      <c r="D143" s="462"/>
      <c r="E143" s="629">
        <v>22.5</v>
      </c>
      <c r="F143" s="50" cm="1" t="str">
        <f t="array" ref="F143:F143">OFFSET(E143,-1,1)</f>
        <v>1</v>
      </c>
      <c r="G143" s="462"/>
      <c r="H143" s="462" t="s">
        <v>1374</v>
      </c>
      <c r="I143" s="462"/>
      <c r="J143" s="462"/>
      <c r="K143" s="462"/>
      <c r="L143" s="462"/>
      <c r="M143" s="462"/>
      <c r="N143" s="462"/>
      <c r="O143" s="462"/>
      <c r="P143" s="462"/>
      <c r="Q143" s="462"/>
      <c r="R143" s="462"/>
      <c r="S143" s="462"/>
      <c r="T143" s="439" cm="1" t="str">
        <f t="array" ref="T143:T143">T142</f>
        <v>true</v>
      </c>
      <c r="U143" s="462"/>
      <c r="V143" s="462"/>
      <c r="W143" s="462"/>
      <c r="X143" s="1519"/>
      <c r="Y143" s="462"/>
      <c r="Z143" s="1520"/>
      <c r="AA143" s="462"/>
      <c r="AB143" s="695" t="s">
        <v>1810</v>
      </c>
      <c r="AC143" s="527" t="s">
        <v>1846</v>
      </c>
      <c r="AD143" s="525" t="s">
        <v>784</v>
      </c>
      <c r="AE143" s="1370"/>
      <c r="AF143" s="1316"/>
      <c r="AG143" s="1316"/>
      <c r="AH143" s="1046" t="s">
        <v>1665</v>
      </c>
      <c r="AI143" s="1317"/>
      <c r="AJ143" s="1317"/>
      <c r="AK143" s="1318"/>
      <c r="AL143" s="1318"/>
      <c r="AM143" s="1621"/>
      <c r="AN143" s="1621"/>
      <c r="AO143" s="1621"/>
      <c r="AP143" s="1621"/>
    </row>
    <row s="1621" customFormat="1" customHeight="1" ht="14.25">
      <c r="A144" s="647"/>
      <c r="B144" s="462"/>
      <c r="C144" s="462"/>
      <c r="D144" s="462"/>
      <c r="E144" s="629">
        <v>15</v>
      </c>
      <c r="F144" s="50" cm="1" t="str">
        <f t="array" ref="F144:F144">OFFSET(E144,-1,1)</f>
        <v>1</v>
      </c>
      <c r="G144" s="462"/>
      <c r="H144" s="462" t="s">
        <v>448</v>
      </c>
      <c r="I144" s="462"/>
      <c r="J144" s="462"/>
      <c r="K144" s="462"/>
      <c r="L144" s="462"/>
      <c r="M144" s="462"/>
      <c r="N144" s="462"/>
      <c r="O144" s="462"/>
      <c r="P144" s="462"/>
      <c r="Q144" s="462"/>
      <c r="R144" s="462"/>
      <c r="S144" s="462"/>
      <c r="T144" s="439" cm="1" t="str">
        <f t="array" ref="T144:T144">T143</f>
        <v>true</v>
      </c>
      <c r="U144" s="462"/>
      <c r="V144" s="462"/>
      <c r="W144" s="462"/>
      <c r="X144" s="1519"/>
      <c r="Y144" s="462"/>
      <c r="Z144" s="1520"/>
      <c r="AA144" s="462"/>
      <c r="AB144" s="695" t="s">
        <v>851</v>
      </c>
      <c r="AC144" s="524" t="s">
        <v>1847</v>
      </c>
      <c r="AD144" s="525" t="s">
        <v>784</v>
      </c>
      <c r="AE144" s="534">
        <f>AE145+AE151+AE156+AE157+AE158+AE159+AE160</f>
        <v>0</v>
      </c>
      <c r="AF144" s="1316"/>
      <c r="AG144" s="1316"/>
      <c r="AH144" s="1047" t="s">
        <v>1667</v>
      </c>
      <c r="AI144" s="1317"/>
      <c r="AJ144" s="1317"/>
      <c r="AK144" s="1318"/>
      <c r="AL144" s="1318"/>
      <c r="AM144" s="1621"/>
      <c r="AN144" s="1621"/>
      <c r="AO144" s="1621"/>
      <c r="AP144" s="1621"/>
    </row>
    <row s="1621" customFormat="1" customHeight="1" ht="21.75">
      <c r="A145" s="647"/>
      <c r="B145" s="462"/>
      <c r="C145" s="462"/>
      <c r="D145" s="462"/>
      <c r="E145" s="629">
        <v>22.5</v>
      </c>
      <c r="F145" s="50" cm="1" t="str">
        <f t="array" ref="F145:F145">OFFSET(E145,-1,1)</f>
        <v>1</v>
      </c>
      <c r="G145" s="462"/>
      <c r="H145" s="462" t="s">
        <v>1232</v>
      </c>
      <c r="I145" s="462"/>
      <c r="J145" s="462"/>
      <c r="K145" s="462"/>
      <c r="L145" s="462"/>
      <c r="M145" s="462"/>
      <c r="N145" s="462"/>
      <c r="O145" s="462"/>
      <c r="P145" s="462"/>
      <c r="Q145" s="462"/>
      <c r="R145" s="462"/>
      <c r="S145" s="462"/>
      <c r="T145" s="439" cm="1" t="str">
        <f t="array" ref="T145:T145">T144</f>
        <v>true</v>
      </c>
      <c r="U145" s="462"/>
      <c r="V145" s="462"/>
      <c r="W145" s="462"/>
      <c r="X145" s="1519"/>
      <c r="Y145" s="462"/>
      <c r="Z145" s="1520"/>
      <c r="AA145" s="462"/>
      <c r="AB145" s="695" t="s">
        <v>1233</v>
      </c>
      <c r="AC145" s="526" t="s">
        <v>1668</v>
      </c>
      <c r="AD145" s="525" t="s">
        <v>784</v>
      </c>
      <c r="AE145" s="534">
        <f>SUM(AE146:AE150)</f>
        <v>0</v>
      </c>
      <c r="AF145" s="1316"/>
      <c r="AG145" s="1316"/>
      <c r="AH145" s="1046" t="s">
        <v>1081</v>
      </c>
      <c r="AI145" s="1317"/>
      <c r="AJ145" s="1317"/>
      <c r="AK145" s="1318"/>
      <c r="AL145" s="1318"/>
      <c r="AM145" s="1621"/>
      <c r="AN145" s="1621"/>
      <c r="AO145" s="1621"/>
      <c r="AP145" s="1621"/>
    </row>
    <row s="1621" customFormat="1" customHeight="1" ht="14.25">
      <c r="A146" s="647"/>
      <c r="B146" s="462"/>
      <c r="C146" s="462"/>
      <c r="D146" s="462"/>
      <c r="E146" s="629">
        <v>15</v>
      </c>
      <c r="F146" s="50" cm="1" t="str">
        <f t="array" ref="F146:F146">OFFSET(E146,-1,1)</f>
        <v>1</v>
      </c>
      <c r="G146" s="462"/>
      <c r="H146" s="462" t="s">
        <v>2180</v>
      </c>
      <c r="I146" s="462"/>
      <c r="J146" s="462"/>
      <c r="K146" s="462"/>
      <c r="L146" s="462"/>
      <c r="M146" s="462"/>
      <c r="N146" s="462"/>
      <c r="O146" s="462"/>
      <c r="P146" s="462"/>
      <c r="Q146" s="462"/>
      <c r="R146" s="462"/>
      <c r="S146" s="462"/>
      <c r="T146" s="439" cm="1" t="str">
        <f t="array" ref="T146:T146">T145</f>
        <v>true</v>
      </c>
      <c r="U146" s="462"/>
      <c r="V146" s="462"/>
      <c r="W146" s="462"/>
      <c r="X146" s="1519"/>
      <c r="Y146" s="462"/>
      <c r="Z146" s="1520"/>
      <c r="AA146" s="462"/>
      <c r="AB146" s="695" t="s">
        <v>2181</v>
      </c>
      <c r="AC146" s="527" t="s">
        <v>1083</v>
      </c>
      <c r="AD146" s="525" t="s">
        <v>784</v>
      </c>
      <c r="AE146" s="1370"/>
      <c r="AF146" s="1316"/>
      <c r="AG146" s="1316"/>
      <c r="AH146" s="1048" t="s">
        <v>1084</v>
      </c>
      <c r="AI146" s="1317"/>
      <c r="AJ146" s="1317"/>
      <c r="AK146" s="1318"/>
      <c r="AL146" s="1318"/>
      <c r="AM146" s="1621"/>
      <c r="AN146" s="1621"/>
      <c r="AO146" s="1621"/>
      <c r="AP146" s="1621"/>
    </row>
    <row s="1621" customFormat="1" customHeight="1" ht="14.25">
      <c r="A147" s="647"/>
      <c r="B147" s="462"/>
      <c r="C147" s="462"/>
      <c r="D147" s="462"/>
      <c r="E147" s="629">
        <v>15</v>
      </c>
      <c r="F147" s="50" cm="1" t="str">
        <f t="array" ref="F147:F147">OFFSET(E147,-1,1)</f>
        <v>1</v>
      </c>
      <c r="G147" s="462"/>
      <c r="H147" s="462" t="s">
        <v>2182</v>
      </c>
      <c r="I147" s="462"/>
      <c r="J147" s="462"/>
      <c r="K147" s="462"/>
      <c r="L147" s="462"/>
      <c r="M147" s="462"/>
      <c r="N147" s="462"/>
      <c r="O147" s="462"/>
      <c r="P147" s="462"/>
      <c r="Q147" s="462"/>
      <c r="R147" s="462"/>
      <c r="S147" s="462"/>
      <c r="T147" s="439" cm="1" t="str">
        <f t="array" ref="T147:T147">T146</f>
        <v>true</v>
      </c>
      <c r="U147" s="462"/>
      <c r="V147" s="462"/>
      <c r="W147" s="462"/>
      <c r="X147" s="1519"/>
      <c r="Y147" s="462"/>
      <c r="Z147" s="1520"/>
      <c r="AA147" s="462"/>
      <c r="AB147" s="695" t="s">
        <v>2183</v>
      </c>
      <c r="AC147" s="527" t="s">
        <v>1086</v>
      </c>
      <c r="AD147" s="525" t="s">
        <v>784</v>
      </c>
      <c r="AE147" s="1370"/>
      <c r="AF147" s="1316"/>
      <c r="AG147" s="1316"/>
      <c r="AH147" s="1048" t="s">
        <v>1087</v>
      </c>
      <c r="AI147" s="1317"/>
      <c r="AJ147" s="1317"/>
      <c r="AK147" s="1318"/>
      <c r="AL147" s="1318"/>
      <c r="AM147" s="1621"/>
      <c r="AN147" s="1621"/>
      <c r="AO147" s="1621"/>
      <c r="AP147" s="1621"/>
    </row>
    <row s="1621" customFormat="1" customHeight="1" ht="14.25">
      <c r="A148" s="647"/>
      <c r="B148" s="462"/>
      <c r="C148" s="462"/>
      <c r="D148" s="462"/>
      <c r="E148" s="629">
        <v>15</v>
      </c>
      <c r="F148" s="50" cm="1" t="str">
        <f t="array" ref="F148:F148">OFFSET(E148,-1,1)</f>
        <v>1</v>
      </c>
      <c r="G148" s="462"/>
      <c r="H148" s="462" t="s">
        <v>2184</v>
      </c>
      <c r="I148" s="462"/>
      <c r="J148" s="462"/>
      <c r="K148" s="462"/>
      <c r="L148" s="462"/>
      <c r="M148" s="462"/>
      <c r="N148" s="462"/>
      <c r="O148" s="462"/>
      <c r="P148" s="462"/>
      <c r="Q148" s="462"/>
      <c r="R148" s="462"/>
      <c r="S148" s="462"/>
      <c r="T148" s="439" cm="1" t="str">
        <f t="array" ref="T148:T148">T147</f>
        <v>true</v>
      </c>
      <c r="U148" s="462"/>
      <c r="V148" s="462"/>
      <c r="W148" s="462"/>
      <c r="X148" s="1519"/>
      <c r="Y148" s="462"/>
      <c r="Z148" s="1520"/>
      <c r="AA148" s="462"/>
      <c r="AB148" s="695" t="s">
        <v>2185</v>
      </c>
      <c r="AC148" s="527" t="s">
        <v>1089</v>
      </c>
      <c r="AD148" s="525" t="s">
        <v>784</v>
      </c>
      <c r="AE148" s="1370"/>
      <c r="AF148" s="1316"/>
      <c r="AG148" s="1316"/>
      <c r="AH148" s="1048" t="s">
        <v>1090</v>
      </c>
      <c r="AI148" s="1317"/>
      <c r="AJ148" s="1317"/>
      <c r="AK148" s="1318"/>
      <c r="AL148" s="1318"/>
      <c r="AM148" s="1621"/>
      <c r="AN148" s="1621"/>
      <c r="AO148" s="1621"/>
      <c r="AP148" s="1621"/>
    </row>
    <row s="1621" customFormat="1" customHeight="1" ht="14.25">
      <c r="A149" s="647"/>
      <c r="B149" s="462"/>
      <c r="C149" s="462"/>
      <c r="D149" s="462"/>
      <c r="E149" s="629">
        <v>15</v>
      </c>
      <c r="F149" s="50" cm="1" t="str">
        <f t="array" ref="F149:F149">OFFSET(E149,-1,1)</f>
        <v>1</v>
      </c>
      <c r="G149" s="462"/>
      <c r="H149" s="462" t="s">
        <v>2186</v>
      </c>
      <c r="I149" s="462"/>
      <c r="J149" s="462"/>
      <c r="K149" s="462"/>
      <c r="L149" s="462"/>
      <c r="M149" s="462"/>
      <c r="N149" s="462"/>
      <c r="O149" s="462"/>
      <c r="P149" s="462"/>
      <c r="Q149" s="462"/>
      <c r="R149" s="462"/>
      <c r="S149" s="462"/>
      <c r="T149" s="439" cm="1" t="str">
        <f t="array" ref="T149:T149">T148</f>
        <v>true</v>
      </c>
      <c r="U149" s="462"/>
      <c r="V149" s="462"/>
      <c r="W149" s="462"/>
      <c r="X149" s="1519"/>
      <c r="Y149" s="462"/>
      <c r="Z149" s="1520"/>
      <c r="AA149" s="462"/>
      <c r="AB149" s="695" t="s">
        <v>2187</v>
      </c>
      <c r="AC149" s="527" t="s">
        <v>1092</v>
      </c>
      <c r="AD149" s="525" t="s">
        <v>784</v>
      </c>
      <c r="AE149" s="1370"/>
      <c r="AF149" s="1316"/>
      <c r="AG149" s="1316"/>
      <c r="AH149" s="1048" t="s">
        <v>1093</v>
      </c>
      <c r="AI149" s="1317"/>
      <c r="AJ149" s="1317"/>
      <c r="AK149" s="1318"/>
      <c r="AL149" s="1318"/>
      <c r="AM149" s="1621"/>
      <c r="AN149" s="1621"/>
      <c r="AO149" s="1621"/>
      <c r="AP149" s="1621"/>
    </row>
    <row s="1621" customFormat="1" customHeight="1" ht="14.25">
      <c r="A150" s="647"/>
      <c r="B150" s="462"/>
      <c r="C150" s="462"/>
      <c r="D150" s="462"/>
      <c r="E150" s="629">
        <v>15</v>
      </c>
      <c r="F150" s="50" cm="1" t="str">
        <f t="array" ref="F150:F150">OFFSET(E150,-1,1)</f>
        <v>1</v>
      </c>
      <c r="G150" s="462"/>
      <c r="H150" s="462" t="s">
        <v>2188</v>
      </c>
      <c r="I150" s="462"/>
      <c r="J150" s="462"/>
      <c r="K150" s="462"/>
      <c r="L150" s="462"/>
      <c r="M150" s="462"/>
      <c r="N150" s="462"/>
      <c r="O150" s="462"/>
      <c r="P150" s="462"/>
      <c r="Q150" s="462"/>
      <c r="R150" s="462"/>
      <c r="S150" s="462"/>
      <c r="T150" s="439" cm="1" t="str">
        <f t="array" ref="T150:T150">T149</f>
        <v>true</v>
      </c>
      <c r="U150" s="462"/>
      <c r="V150" s="462"/>
      <c r="W150" s="462"/>
      <c r="X150" s="1519"/>
      <c r="Y150" s="462"/>
      <c r="Z150" s="1520"/>
      <c r="AA150" s="462"/>
      <c r="AB150" s="695" t="s">
        <v>2189</v>
      </c>
      <c r="AC150" s="527" t="s">
        <v>1100</v>
      </c>
      <c r="AD150" s="525" t="s">
        <v>784</v>
      </c>
      <c r="AE150" s="1370"/>
      <c r="AF150" s="1316"/>
      <c r="AG150" s="1316"/>
      <c r="AH150" s="1048" t="s">
        <v>1101</v>
      </c>
      <c r="AI150" s="1317"/>
      <c r="AJ150" s="1317"/>
      <c r="AK150" s="1318"/>
      <c r="AL150" s="1318"/>
      <c r="AM150" s="1621"/>
      <c r="AN150" s="1621"/>
      <c r="AO150" s="1621"/>
      <c r="AP150" s="1621"/>
    </row>
    <row s="1621" customFormat="1" customHeight="1" ht="32.25">
      <c r="A151" s="647"/>
      <c r="B151" s="462"/>
      <c r="C151" s="462"/>
      <c r="D151" s="462"/>
      <c r="E151" s="629">
        <v>33.75</v>
      </c>
      <c r="F151" s="50" cm="1" t="str">
        <f t="array" ref="F151:F151">OFFSET(E151,-1,1)</f>
        <v>1</v>
      </c>
      <c r="G151" s="462"/>
      <c r="H151" s="462" t="s">
        <v>1236</v>
      </c>
      <c r="I151" s="462"/>
      <c r="J151" s="462"/>
      <c r="K151" s="462"/>
      <c r="L151" s="462"/>
      <c r="M151" s="462"/>
      <c r="N151" s="462"/>
      <c r="O151" s="462"/>
      <c r="P151" s="462"/>
      <c r="Q151" s="462"/>
      <c r="R151" s="462"/>
      <c r="S151" s="462"/>
      <c r="T151" s="439" cm="1" t="str">
        <f t="array" ref="T151:T151">T150</f>
        <v>true</v>
      </c>
      <c r="U151" s="462"/>
      <c r="V151" s="462"/>
      <c r="W151" s="462"/>
      <c r="X151" s="1519"/>
      <c r="Y151" s="462"/>
      <c r="Z151" s="1520"/>
      <c r="AA151" s="462"/>
      <c r="AB151" s="695" t="s">
        <v>1237</v>
      </c>
      <c r="AC151" s="526" t="s">
        <v>2190</v>
      </c>
      <c r="AD151" s="525" t="s">
        <v>784</v>
      </c>
      <c r="AE151" s="534">
        <f>AE152+AE155</f>
        <v>0</v>
      </c>
      <c r="AF151" s="1316"/>
      <c r="AG151" s="1316"/>
      <c r="AH151" s="1046" t="s">
        <v>1670</v>
      </c>
      <c r="AI151" s="1317"/>
      <c r="AJ151" s="1317"/>
      <c r="AK151" s="1318"/>
      <c r="AL151" s="1318"/>
      <c r="AM151" s="1621"/>
      <c r="AN151" s="1621"/>
      <c r="AO151" s="1621"/>
      <c r="AP151" s="1621"/>
    </row>
    <row s="1621" customFormat="1" customHeight="1" ht="21.75">
      <c r="A152" s="647"/>
      <c r="B152" s="462"/>
      <c r="C152" s="462"/>
      <c r="D152" s="462"/>
      <c r="E152" s="629">
        <v>22.5</v>
      </c>
      <c r="F152" s="50" cm="1" t="str">
        <f t="array" ref="F152:F152">OFFSET(E152,-1,1)</f>
        <v>1</v>
      </c>
      <c r="G152" s="462"/>
      <c r="H152" s="462" t="s">
        <v>2191</v>
      </c>
      <c r="I152" s="462"/>
      <c r="J152" s="462"/>
      <c r="K152" s="462"/>
      <c r="L152" s="462"/>
      <c r="M152" s="462"/>
      <c r="N152" s="462"/>
      <c r="O152" s="462"/>
      <c r="P152" s="462"/>
      <c r="Q152" s="462"/>
      <c r="R152" s="462"/>
      <c r="S152" s="462"/>
      <c r="T152" s="439" cm="1" t="str">
        <f t="array" ref="T152:T152">T151</f>
        <v>true</v>
      </c>
      <c r="U152" s="462"/>
      <c r="V152" s="462"/>
      <c r="W152" s="462"/>
      <c r="X152" s="1519"/>
      <c r="Y152" s="462"/>
      <c r="Z152" s="1520"/>
      <c r="AA152" s="462"/>
      <c r="AB152" s="695" t="s">
        <v>2192</v>
      </c>
      <c r="AC152" s="527" t="s">
        <v>1671</v>
      </c>
      <c r="AD152" s="525" t="s">
        <v>784</v>
      </c>
      <c r="AE152" s="1370"/>
      <c r="AF152" s="1316"/>
      <c r="AG152" s="1316"/>
      <c r="AH152" s="1046" t="s">
        <v>1078</v>
      </c>
      <c r="AI152" s="1317"/>
      <c r="AJ152" s="1317"/>
      <c r="AK152" s="1318"/>
      <c r="AL152" s="1318"/>
      <c r="AM152" s="1621"/>
      <c r="AN152" s="1621"/>
      <c r="AO152" s="1621"/>
      <c r="AP152" s="1621"/>
    </row>
    <row s="1621" customFormat="1" customHeight="1" ht="14.25">
      <c r="A153" s="647"/>
      <c r="B153" s="462"/>
      <c r="C153" s="462"/>
      <c r="D153" s="462"/>
      <c r="E153" s="629">
        <v>15</v>
      </c>
      <c r="F153" s="50" cm="1" t="str">
        <f t="array" ref="F153:F153">OFFSET(E153,-1,1)</f>
        <v>1</v>
      </c>
      <c r="G153" s="462"/>
      <c r="H153" s="462" t="s">
        <v>2193</v>
      </c>
      <c r="I153" s="462"/>
      <c r="J153" s="462"/>
      <c r="K153" s="462"/>
      <c r="L153" s="462"/>
      <c r="M153" s="462"/>
      <c r="N153" s="462"/>
      <c r="O153" s="462"/>
      <c r="P153" s="462"/>
      <c r="Q153" s="462"/>
      <c r="R153" s="462"/>
      <c r="S153" s="462"/>
      <c r="T153" s="439" cm="1" t="str">
        <f t="array" ref="T153:T153">T152</f>
        <v>true</v>
      </c>
      <c r="U153" s="462"/>
      <c r="V153" s="462"/>
      <c r="W153" s="462"/>
      <c r="X153" s="1519"/>
      <c r="Y153" s="462"/>
      <c r="Z153" s="1520"/>
      <c r="AA153" s="462"/>
      <c r="AB153" s="695" t="s">
        <v>2194</v>
      </c>
      <c r="AC153" s="528" t="s">
        <v>2195</v>
      </c>
      <c r="AD153" s="525" t="s">
        <v>2137</v>
      </c>
      <c r="AE153" s="1370"/>
      <c r="AF153" s="1316"/>
      <c r="AG153" s="1316"/>
      <c r="AH153" s="984" t="s">
        <v>2196</v>
      </c>
      <c r="AI153" s="1317"/>
      <c r="AJ153" s="1317"/>
      <c r="AK153" s="1318"/>
      <c r="AL153" s="1318"/>
      <c r="AM153" s="1621"/>
      <c r="AN153" s="1621"/>
      <c r="AO153" s="1621"/>
      <c r="AP153" s="1621"/>
    </row>
    <row s="1621" customFormat="1" customHeight="1" ht="21.75">
      <c r="A154" s="647"/>
      <c r="B154" s="462"/>
      <c r="C154" s="462"/>
      <c r="D154" s="462"/>
      <c r="E154" s="629">
        <v>22.5</v>
      </c>
      <c r="F154" s="50" cm="1" t="str">
        <f t="array" ref="F154:F154">OFFSET(E154,-1,1)</f>
        <v>1</v>
      </c>
      <c r="G154" s="462"/>
      <c r="H154" s="462" t="s">
        <v>2197</v>
      </c>
      <c r="I154" s="462"/>
      <c r="J154" s="462"/>
      <c r="K154" s="462"/>
      <c r="L154" s="462"/>
      <c r="M154" s="462"/>
      <c r="N154" s="462"/>
      <c r="O154" s="462"/>
      <c r="P154" s="462"/>
      <c r="Q154" s="462"/>
      <c r="R154" s="462"/>
      <c r="S154" s="462"/>
      <c r="T154" s="439" cm="1" t="str">
        <f t="array" ref="T154:T154">T153</f>
        <v>true</v>
      </c>
      <c r="U154" s="462"/>
      <c r="V154" s="462"/>
      <c r="W154" s="462"/>
      <c r="X154" s="1519"/>
      <c r="Y154" s="462"/>
      <c r="Z154" s="1520"/>
      <c r="AA154" s="462"/>
      <c r="AB154" s="695" t="s">
        <v>2198</v>
      </c>
      <c r="AC154" s="528" t="s">
        <v>2199</v>
      </c>
      <c r="AD154" s="525" t="s">
        <v>2142</v>
      </c>
      <c r="AE154" s="1370"/>
      <c r="AF154" s="1316"/>
      <c r="AG154" s="1316"/>
      <c r="AH154" s="984" t="s">
        <v>2200</v>
      </c>
      <c r="AI154" s="1317"/>
      <c r="AJ154" s="1317"/>
      <c r="AK154" s="1318"/>
      <c r="AL154" s="1318"/>
      <c r="AM154" s="1621"/>
      <c r="AN154" s="1621"/>
      <c r="AO154" s="1621"/>
      <c r="AP154" s="1621"/>
    </row>
    <row s="1621" customFormat="1" customHeight="1" ht="21.75">
      <c r="A155" s="647"/>
      <c r="B155" s="462"/>
      <c r="C155" s="462"/>
      <c r="D155" s="462"/>
      <c r="E155" s="629">
        <v>22.5</v>
      </c>
      <c r="F155" s="50" cm="1" t="str">
        <f t="array" ref="F155:F155">OFFSET(E155,-1,1)</f>
        <v>1</v>
      </c>
      <c r="G155" s="462"/>
      <c r="H155" s="462" t="s">
        <v>2201</v>
      </c>
      <c r="I155" s="462"/>
      <c r="J155" s="462"/>
      <c r="K155" s="462"/>
      <c r="L155" s="462"/>
      <c r="M155" s="462"/>
      <c r="N155" s="462"/>
      <c r="O155" s="462"/>
      <c r="P155" s="462"/>
      <c r="Q155" s="462"/>
      <c r="R155" s="462"/>
      <c r="S155" s="462"/>
      <c r="T155" s="439" cm="1" t="str">
        <f t="array" ref="T155:T155">T154</f>
        <v>true</v>
      </c>
      <c r="U155" s="462"/>
      <c r="V155" s="462"/>
      <c r="W155" s="462"/>
      <c r="X155" s="1519"/>
      <c r="Y155" s="462"/>
      <c r="Z155" s="1520"/>
      <c r="AA155" s="462"/>
      <c r="AB155" s="695" t="s">
        <v>2202</v>
      </c>
      <c r="AC155" s="527" t="s">
        <v>1870</v>
      </c>
      <c r="AD155" s="525" t="s">
        <v>784</v>
      </c>
      <c r="AE155" s="1370"/>
      <c r="AF155" s="1316"/>
      <c r="AG155" s="1316"/>
      <c r="AH155" s="1046" t="s">
        <v>1673</v>
      </c>
      <c r="AI155" s="1317"/>
      <c r="AJ155" s="1317"/>
      <c r="AK155" s="1318"/>
      <c r="AL155" s="1318"/>
      <c r="AM155" s="1621"/>
      <c r="AN155" s="1621"/>
      <c r="AO155" s="1621"/>
      <c r="AP155" s="1621"/>
    </row>
    <row s="1621" customFormat="1" customHeight="1" ht="21.75">
      <c r="A156" s="647"/>
      <c r="B156" s="462"/>
      <c r="C156" s="462"/>
      <c r="D156" s="462"/>
      <c r="E156" s="629">
        <v>22.5</v>
      </c>
      <c r="F156" s="50" cm="1" t="str">
        <f t="array" ref="F156:F156">OFFSET(E156,-1,1)</f>
        <v>1</v>
      </c>
      <c r="G156" s="462"/>
      <c r="H156" s="462" t="s">
        <v>1240</v>
      </c>
      <c r="I156" s="462"/>
      <c r="J156" s="462"/>
      <c r="K156" s="462"/>
      <c r="L156" s="462"/>
      <c r="M156" s="462"/>
      <c r="N156" s="462"/>
      <c r="O156" s="462"/>
      <c r="P156" s="462"/>
      <c r="Q156" s="462"/>
      <c r="R156" s="462"/>
      <c r="S156" s="462"/>
      <c r="T156" s="439" cm="1" t="str">
        <f t="array" ref="T156:T156">T155</f>
        <v>true</v>
      </c>
      <c r="U156" s="462"/>
      <c r="V156" s="462"/>
      <c r="W156" s="462"/>
      <c r="X156" s="1519"/>
      <c r="Y156" s="462"/>
      <c r="Z156" s="1520"/>
      <c r="AA156" s="462"/>
      <c r="AB156" s="695" t="s">
        <v>1241</v>
      </c>
      <c r="AC156" s="526" t="s">
        <v>2203</v>
      </c>
      <c r="AD156" s="525" t="s">
        <v>784</v>
      </c>
      <c r="AE156" s="1370"/>
      <c r="AF156" s="1316"/>
      <c r="AG156" s="1316"/>
      <c r="AH156" s="1046" t="s">
        <v>1109</v>
      </c>
      <c r="AI156" s="1317"/>
      <c r="AJ156" s="1317"/>
      <c r="AK156" s="1318"/>
      <c r="AL156" s="1318"/>
      <c r="AM156" s="1621"/>
      <c r="AN156" s="1621"/>
      <c r="AO156" s="1621"/>
      <c r="AP156" s="1621"/>
    </row>
    <row s="1621" customFormat="1" customHeight="1" ht="14.25">
      <c r="A157" s="647"/>
      <c r="B157" s="462"/>
      <c r="C157" s="462"/>
      <c r="D157" s="462"/>
      <c r="E157" s="629">
        <v>15</v>
      </c>
      <c r="F157" s="50" cm="1" t="str">
        <f t="array" ref="F157:F157">OFFSET(E157,-1,1)</f>
        <v>1</v>
      </c>
      <c r="G157" s="462"/>
      <c r="H157" s="462" t="s">
        <v>2204</v>
      </c>
      <c r="I157" s="462"/>
      <c r="J157" s="462"/>
      <c r="K157" s="462"/>
      <c r="L157" s="462"/>
      <c r="M157" s="462"/>
      <c r="N157" s="462"/>
      <c r="O157" s="462"/>
      <c r="P157" s="462"/>
      <c r="Q157" s="462"/>
      <c r="R157" s="462"/>
      <c r="S157" s="462"/>
      <c r="T157" s="439" cm="1" t="str">
        <f t="array" ref="T157:T157">T156</f>
        <v>true</v>
      </c>
      <c r="U157" s="462"/>
      <c r="V157" s="462"/>
      <c r="W157" s="462"/>
      <c r="X157" s="1519"/>
      <c r="Y157" s="462"/>
      <c r="Z157" s="1520"/>
      <c r="AA157" s="462"/>
      <c r="AB157" s="695" t="s">
        <v>2205</v>
      </c>
      <c r="AC157" s="526" t="s">
        <v>1111</v>
      </c>
      <c r="AD157" s="525" t="s">
        <v>784</v>
      </c>
      <c r="AE157" s="1370"/>
      <c r="AF157" s="1316"/>
      <c r="AG157" s="1316"/>
      <c r="AH157" s="1046" t="s">
        <v>1112</v>
      </c>
      <c r="AI157" s="1317"/>
      <c r="AJ157" s="1317"/>
      <c r="AK157" s="1318"/>
      <c r="AL157" s="1318"/>
      <c r="AM157" s="1621"/>
      <c r="AN157" s="1621"/>
      <c r="AO157" s="1621"/>
      <c r="AP157" s="1621"/>
    </row>
    <row s="1621" customFormat="1" customHeight="1" ht="14.25">
      <c r="A158" s="647"/>
      <c r="B158" s="462"/>
      <c r="C158" s="462"/>
      <c r="D158" s="462"/>
      <c r="E158" s="629">
        <v>15</v>
      </c>
      <c r="F158" s="50" cm="1" t="str">
        <f t="array" ref="F158:F158">OFFSET(E158,-1,1)</f>
        <v>1</v>
      </c>
      <c r="G158" s="462"/>
      <c r="H158" s="462" t="s">
        <v>2206</v>
      </c>
      <c r="I158" s="462"/>
      <c r="J158" s="462"/>
      <c r="K158" s="462"/>
      <c r="L158" s="462"/>
      <c r="M158" s="462"/>
      <c r="N158" s="462"/>
      <c r="O158" s="462"/>
      <c r="P158" s="462"/>
      <c r="Q158" s="462"/>
      <c r="R158" s="462"/>
      <c r="S158" s="462"/>
      <c r="T158" s="439" cm="1" t="str">
        <f t="array" ref="T158:T158">T157</f>
        <v>true</v>
      </c>
      <c r="U158" s="462"/>
      <c r="V158" s="462"/>
      <c r="W158" s="462"/>
      <c r="X158" s="1519"/>
      <c r="Y158" s="462"/>
      <c r="Z158" s="1520"/>
      <c r="AA158" s="462"/>
      <c r="AB158" s="695" t="s">
        <v>2207</v>
      </c>
      <c r="AC158" s="526" t="s">
        <v>1114</v>
      </c>
      <c r="AD158" s="525" t="s">
        <v>784</v>
      </c>
      <c r="AE158" s="1370"/>
      <c r="AF158" s="1316"/>
      <c r="AG158" s="1316"/>
      <c r="AH158" s="1046" t="s">
        <v>1115</v>
      </c>
      <c r="AI158" s="1317"/>
      <c r="AJ158" s="1317"/>
      <c r="AK158" s="1318"/>
      <c r="AL158" s="1318"/>
      <c r="AM158" s="1621"/>
      <c r="AN158" s="1621"/>
      <c r="AO158" s="1621"/>
      <c r="AP158" s="1621"/>
    </row>
    <row s="1621" customFormat="1" customHeight="1" ht="21.75">
      <c r="A159" s="647"/>
      <c r="B159" s="462"/>
      <c r="C159" s="462"/>
      <c r="D159" s="462"/>
      <c r="E159" s="629">
        <v>22.5</v>
      </c>
      <c r="F159" s="50" cm="1" t="str">
        <f t="array" ref="F159:F159">OFFSET(E159,-1,1)</f>
        <v>1</v>
      </c>
      <c r="G159" s="462"/>
      <c r="H159" s="462" t="s">
        <v>2208</v>
      </c>
      <c r="I159" s="462"/>
      <c r="J159" s="462"/>
      <c r="K159" s="462"/>
      <c r="L159" s="462"/>
      <c r="M159" s="462"/>
      <c r="N159" s="462"/>
      <c r="O159" s="462"/>
      <c r="P159" s="462"/>
      <c r="Q159" s="462"/>
      <c r="R159" s="462"/>
      <c r="S159" s="462"/>
      <c r="T159" s="439" cm="1" t="str">
        <f t="array" ref="T159:T159">T158</f>
        <v>true</v>
      </c>
      <c r="U159" s="462"/>
      <c r="V159" s="462"/>
      <c r="W159" s="462"/>
      <c r="X159" s="1519"/>
      <c r="Y159" s="462"/>
      <c r="Z159" s="1520"/>
      <c r="AA159" s="462"/>
      <c r="AB159" s="695" t="s">
        <v>2209</v>
      </c>
      <c r="AC159" s="526" t="s">
        <v>2210</v>
      </c>
      <c r="AD159" s="525" t="s">
        <v>784</v>
      </c>
      <c r="AE159" s="1370"/>
      <c r="AF159" s="1316"/>
      <c r="AG159" s="1316"/>
      <c r="AH159" s="1046" t="s">
        <v>1675</v>
      </c>
      <c r="AI159" s="1317"/>
      <c r="AJ159" s="1317"/>
      <c r="AK159" s="1318"/>
      <c r="AL159" s="1318"/>
      <c r="AM159" s="1621"/>
      <c r="AN159" s="1621"/>
      <c r="AO159" s="1621"/>
      <c r="AP159" s="1621"/>
    </row>
    <row s="1621" customFormat="1" customHeight="1" ht="14.25">
      <c r="A160" s="647"/>
      <c r="B160" s="462"/>
      <c r="C160" s="462"/>
      <c r="D160" s="462"/>
      <c r="E160" s="629">
        <v>15</v>
      </c>
      <c r="F160" s="50" cm="1" t="str">
        <f t="array" ref="F160:F160">OFFSET(E160,-1,1)</f>
        <v>1</v>
      </c>
      <c r="G160" s="462"/>
      <c r="H160" s="462" t="s">
        <v>2211</v>
      </c>
      <c r="I160" s="462"/>
      <c r="J160" s="462"/>
      <c r="K160" s="462"/>
      <c r="L160" s="462"/>
      <c r="M160" s="462"/>
      <c r="N160" s="462"/>
      <c r="O160" s="462"/>
      <c r="P160" s="462"/>
      <c r="Q160" s="462"/>
      <c r="R160" s="462"/>
      <c r="S160" s="462"/>
      <c r="T160" s="439" cm="1" t="str">
        <f t="array" ref="T160:T160">T159</f>
        <v>true</v>
      </c>
      <c r="U160" s="462"/>
      <c r="V160" s="462"/>
      <c r="W160" s="462"/>
      <c r="X160" s="1519"/>
      <c r="Y160" s="462"/>
      <c r="Z160" s="1520"/>
      <c r="AA160" s="462"/>
      <c r="AB160" s="695" t="s">
        <v>2212</v>
      </c>
      <c r="AC160" s="526" t="s">
        <v>2213</v>
      </c>
      <c r="AD160" s="525" t="s">
        <v>784</v>
      </c>
      <c r="AE160" s="534">
        <f>AE161+AE162+AE163</f>
        <v>0</v>
      </c>
      <c r="AF160" s="1316"/>
      <c r="AG160" s="1316"/>
      <c r="AH160" s="1046" t="s">
        <v>1677</v>
      </c>
      <c r="AI160" s="1317"/>
      <c r="AJ160" s="1317"/>
      <c r="AK160" s="1318"/>
      <c r="AL160" s="1318"/>
      <c r="AM160" s="1621"/>
      <c r="AN160" s="1621"/>
      <c r="AO160" s="1621"/>
      <c r="AP160" s="1621"/>
    </row>
    <row s="1621" customFormat="1" customHeight="1" ht="14.25">
      <c r="A161" s="647"/>
      <c r="B161" s="462"/>
      <c r="C161" s="462"/>
      <c r="D161" s="462"/>
      <c r="E161" s="629">
        <v>15</v>
      </c>
      <c r="F161" s="50" cm="1" t="str">
        <f t="array" ref="F161:F161">OFFSET(E161,-1,1)</f>
        <v>1</v>
      </c>
      <c r="G161" s="462"/>
      <c r="H161" s="462" t="s">
        <v>2214</v>
      </c>
      <c r="I161" s="462"/>
      <c r="J161" s="462"/>
      <c r="K161" s="462"/>
      <c r="L161" s="462"/>
      <c r="M161" s="462"/>
      <c r="N161" s="462"/>
      <c r="O161" s="462"/>
      <c r="P161" s="462"/>
      <c r="Q161" s="462"/>
      <c r="R161" s="462"/>
      <c r="S161" s="462"/>
      <c r="T161" s="439" cm="1" t="str">
        <f t="array" ref="T161:T161">T160</f>
        <v>true</v>
      </c>
      <c r="U161" s="462"/>
      <c r="V161" s="462"/>
      <c r="W161" s="462"/>
      <c r="X161" s="1519"/>
      <c r="Y161" s="462"/>
      <c r="Z161" s="1520"/>
      <c r="AA161" s="462"/>
      <c r="AB161" s="695" t="s">
        <v>2215</v>
      </c>
      <c r="AC161" s="527" t="s">
        <v>2216</v>
      </c>
      <c r="AD161" s="525" t="s">
        <v>784</v>
      </c>
      <c r="AE161" s="1370"/>
      <c r="AF161" s="1316"/>
      <c r="AG161" s="1316"/>
      <c r="AH161" s="1046" t="s">
        <v>1681</v>
      </c>
      <c r="AI161" s="1317"/>
      <c r="AJ161" s="1317"/>
      <c r="AK161" s="1318"/>
      <c r="AL161" s="1318"/>
      <c r="AM161" s="1621"/>
      <c r="AN161" s="1621"/>
      <c r="AO161" s="1621"/>
      <c r="AP161" s="1621"/>
    </row>
    <row s="1621" customFormat="1" customHeight="1" ht="14.25">
      <c r="A162" s="647"/>
      <c r="B162" s="462"/>
      <c r="C162" s="462"/>
      <c r="D162" s="462"/>
      <c r="E162" s="629">
        <v>15</v>
      </c>
      <c r="F162" s="50" cm="1" t="str">
        <f t="array" ref="F162:F162">OFFSET(E162,-1,1)</f>
        <v>1</v>
      </c>
      <c r="G162" s="462"/>
      <c r="H162" s="462" t="s">
        <v>2217</v>
      </c>
      <c r="I162" s="462"/>
      <c r="J162" s="462"/>
      <c r="K162" s="462"/>
      <c r="L162" s="462"/>
      <c r="M162" s="462"/>
      <c r="N162" s="462"/>
      <c r="O162" s="462"/>
      <c r="P162" s="462"/>
      <c r="Q162" s="462"/>
      <c r="R162" s="462"/>
      <c r="S162" s="462"/>
      <c r="T162" s="439" cm="1" t="str">
        <f t="array" ref="T162:T162">T161</f>
        <v>true</v>
      </c>
      <c r="U162" s="462"/>
      <c r="V162" s="462"/>
      <c r="W162" s="462"/>
      <c r="X162" s="1519"/>
      <c r="Y162" s="462"/>
      <c r="Z162" s="1520"/>
      <c r="AA162" s="462"/>
      <c r="AB162" s="696" t="s">
        <v>2218</v>
      </c>
      <c r="AC162" s="529" t="s">
        <v>2219</v>
      </c>
      <c r="AD162" s="530" t="s">
        <v>784</v>
      </c>
      <c r="AE162" s="1370"/>
      <c r="AF162" s="1316"/>
      <c r="AG162" s="1316"/>
      <c r="AH162" s="1046" t="s">
        <v>1684</v>
      </c>
      <c r="AI162" s="1317"/>
      <c r="AJ162" s="1317"/>
      <c r="AK162" s="1318"/>
      <c r="AL162" s="1318"/>
      <c r="AM162" s="1621"/>
      <c r="AN162" s="1621"/>
      <c r="AO162" s="1621"/>
      <c r="AP162" s="1621"/>
    </row>
    <row s="1621" customFormat="1" customHeight="1" ht="14.25">
      <c r="A163" s="647"/>
      <c r="B163" s="462"/>
      <c r="C163" s="462"/>
      <c r="D163" s="462"/>
      <c r="E163" s="629">
        <v>15</v>
      </c>
      <c r="F163" s="50" cm="1" t="str">
        <f t="array" ref="F163:F163">OFFSET(E163,-1,1)</f>
        <v>1</v>
      </c>
      <c r="G163" s="462"/>
      <c r="H163" s="462" t="s">
        <v>2220</v>
      </c>
      <c r="I163" s="462"/>
      <c r="J163" s="462"/>
      <c r="K163" s="462"/>
      <c r="L163" s="462"/>
      <c r="M163" s="462"/>
      <c r="N163" s="462"/>
      <c r="O163" s="462"/>
      <c r="P163" s="462"/>
      <c r="Q163" s="462"/>
      <c r="R163" s="462"/>
      <c r="S163" s="462"/>
      <c r="T163" s="439" cm="1" t="str">
        <f t="array" ref="T163:T163">T162</f>
        <v>true</v>
      </c>
      <c r="U163" s="462"/>
      <c r="V163" s="462"/>
      <c r="W163" s="462"/>
      <c r="X163" s="1519"/>
      <c r="Y163" s="462"/>
      <c r="Z163" s="1520"/>
      <c r="AA163" s="462"/>
      <c r="AB163" s="696" t="s">
        <v>2221</v>
      </c>
      <c r="AC163" s="529" t="s">
        <v>1128</v>
      </c>
      <c r="AD163" s="530" t="s">
        <v>784</v>
      </c>
      <c r="AE163" s="1370"/>
      <c r="AF163" s="1316"/>
      <c r="AG163" s="1316"/>
      <c r="AH163" s="1046" t="s">
        <v>1687</v>
      </c>
      <c r="AI163" s="1317"/>
      <c r="AJ163" s="1317"/>
      <c r="AK163" s="1318"/>
      <c r="AL163" s="1318"/>
      <c r="AM163" s="1621"/>
      <c r="AN163" s="1621"/>
      <c r="AO163" s="1621"/>
      <c r="AP163" s="1621"/>
    </row>
    <row s="1621" customFormat="1" customHeight="1" ht="14.25">
      <c r="A164" s="647"/>
      <c r="B164" s="462"/>
      <c r="C164" s="462"/>
      <c r="D164" s="462"/>
      <c r="E164" s="629">
        <v>15</v>
      </c>
      <c r="F164" s="50" cm="1" t="str">
        <f t="array" ref="F164:F164">OFFSET(E164,-1,1)</f>
        <v>1</v>
      </c>
      <c r="G164" s="462"/>
      <c r="H164" s="462" t="s">
        <v>452</v>
      </c>
      <c r="I164" s="462"/>
      <c r="J164" s="462"/>
      <c r="K164" s="462"/>
      <c r="L164" s="462"/>
      <c r="M164" s="462"/>
      <c r="N164" s="462"/>
      <c r="O164" s="462"/>
      <c r="P164" s="462"/>
      <c r="Q164" s="462"/>
      <c r="R164" s="462"/>
      <c r="S164" s="462"/>
      <c r="T164" s="439" cm="1" t="str">
        <f t="array" ref="T164:T164">T163</f>
        <v>true</v>
      </c>
      <c r="U164" s="462"/>
      <c r="V164" s="462"/>
      <c r="W164" s="462"/>
      <c r="X164" s="1519"/>
      <c r="Y164" s="462"/>
      <c r="Z164" s="1520"/>
      <c r="AA164" s="462"/>
      <c r="AB164" s="696" t="s">
        <v>854</v>
      </c>
      <c r="AC164" s="531" t="s">
        <v>2222</v>
      </c>
      <c r="AD164" s="530" t="s">
        <v>784</v>
      </c>
      <c r="AE164" s="534">
        <f>SUM(AE165:AE166)</f>
        <v>0</v>
      </c>
      <c r="AF164" s="1316"/>
      <c r="AG164" s="1316"/>
      <c r="AH164" s="1048" t="s">
        <v>2223</v>
      </c>
      <c r="AI164" s="1317"/>
      <c r="AJ164" s="1317"/>
      <c r="AK164" s="1318"/>
      <c r="AL164" s="1318"/>
      <c r="AM164" s="1621"/>
      <c r="AN164" s="1621"/>
      <c r="AO164" s="1621"/>
      <c r="AP164" s="1621"/>
    </row>
    <row s="1621" customFormat="1" customHeight="1" ht="14.25" hidden="1">
      <c r="A165" s="647"/>
      <c r="B165" s="462"/>
      <c r="C165" s="462"/>
      <c r="D165" s="462"/>
      <c r="E165" s="629">
        <v>15</v>
      </c>
      <c r="F165" s="50" cm="1" t="str">
        <f t="array" ref="F165:F165">OFFSET(E165,-1,1)</f>
        <v>1</v>
      </c>
      <c r="G165" s="462"/>
      <c r="H165" s="462" t="s">
        <v>452</v>
      </c>
      <c r="I165" s="540" cm="1" t="str">
        <f t="array" ref="I165:I165">AC165</f>
        <v>0</v>
      </c>
      <c r="J165" s="462"/>
      <c r="K165" s="462"/>
      <c r="L165" s="462"/>
      <c r="M165" s="462"/>
      <c r="N165" s="462"/>
      <c r="O165" s="462"/>
      <c r="P165" s="462"/>
      <c r="Q165" s="462"/>
      <c r="R165" s="462"/>
      <c r="S165" s="462"/>
      <c r="T165" s="439">
        <f>AND(F165&gt;0,Y165&gt;0)</f>
        <v>0</v>
      </c>
      <c r="U165" s="462"/>
      <c r="V165" s="462"/>
      <c r="W165" s="532" t="s">
        <v>173</v>
      </c>
      <c r="X165" s="1519"/>
      <c r="Y165" s="462">
        <v>0</v>
      </c>
      <c r="Z165" s="1520"/>
      <c r="AA165" s="1303" t="s">
        <v>174</v>
      </c>
      <c r="AB165" s="695" t="str">
        <f>"1.4."&amp;Y165</f>
        <v>1.4.0</v>
      </c>
      <c r="AC165" s="5204"/>
      <c r="AD165" s="525" t="s">
        <v>784</v>
      </c>
      <c r="AE165" s="5205"/>
      <c r="AF165" s="1316"/>
      <c r="AG165" s="1316"/>
      <c r="AH165" s="1048" t="s">
        <v>2223</v>
      </c>
      <c r="AI165" s="984" t="s">
        <v>2224</v>
      </c>
      <c r="AJ165" s="984" cm="1" t="str">
        <f t="array" ref="AJ165:AJ165">AC165</f>
        <v>0</v>
      </c>
      <c r="AK165" s="1318"/>
      <c r="AL165" s="636" t="b">
        <v>1</v>
      </c>
      <c r="AM165" s="1621"/>
      <c r="AN165" s="1621"/>
      <c r="AO165" s="1621"/>
      <c r="AP165" s="1621"/>
    </row>
    <row s="1621" customFormat="1" customHeight="1" ht="14.25">
      <c r="A166" s="647"/>
      <c r="B166" s="462"/>
      <c r="C166" s="462"/>
      <c r="D166" s="462"/>
      <c r="E166" s="629">
        <v>15</v>
      </c>
      <c r="F166" s="50" cm="1" t="str">
        <f t="array" ref="F166:F166">OFFSET(E166,-1,1)</f>
        <v>1</v>
      </c>
      <c r="G166" s="462"/>
      <c r="H166" s="462"/>
      <c r="I166" s="1305" t="str">
        <f>"!== 'не определено' &amp;&amp; row.l1_4 !== null"</f>
        <v>!== 'не определено' &amp;&amp; row.l1_4 !== null</v>
      </c>
      <c r="J166" s="462"/>
      <c r="K166" s="462"/>
      <c r="L166" s="462"/>
      <c r="M166" s="462"/>
      <c r="N166" s="462"/>
      <c r="O166" s="462"/>
      <c r="P166" s="462"/>
      <c r="Q166" s="462"/>
      <c r="R166" s="462"/>
      <c r="S166" s="462"/>
      <c r="T166" s="439">
        <f>F166&gt;0</f>
        <v>1</v>
      </c>
      <c r="U166" s="462"/>
      <c r="V166" s="462"/>
      <c r="W166" s="810" t="s">
        <v>392</v>
      </c>
      <c r="X166" s="1519"/>
      <c r="Y166" s="462"/>
      <c r="Z166" s="1520"/>
      <c r="AA166" s="462"/>
      <c r="AB166" s="1306"/>
      <c r="AC166" s="1307" t="s">
        <v>177</v>
      </c>
      <c r="AD166" s="1308"/>
      <c r="AE166" s="1371"/>
      <c r="AF166" s="1316"/>
      <c r="AG166" s="1316"/>
      <c r="AH166" s="1317"/>
      <c r="AI166" s="1317"/>
      <c r="AJ166" s="1317"/>
      <c r="AK166" s="636" t="s">
        <v>2224</v>
      </c>
      <c r="AL166" s="1318"/>
      <c r="AM166" s="1621"/>
      <c r="AN166" s="1621"/>
      <c r="AO166" s="1621"/>
      <c r="AP166" s="1621"/>
    </row>
    <row s="1621" customFormat="1" customHeight="1" ht="14.25">
      <c r="A167" s="647"/>
      <c r="B167" s="462"/>
      <c r="C167" s="462"/>
      <c r="D167" s="462"/>
      <c r="E167" s="629">
        <v>15</v>
      </c>
      <c r="F167" s="50" cm="1" t="str">
        <f t="array" ref="F167:F167">OFFSET(E167,-1,1)</f>
        <v>1</v>
      </c>
      <c r="G167" s="462"/>
      <c r="H167" s="462" t="s">
        <v>326</v>
      </c>
      <c r="I167" s="462"/>
      <c r="J167" s="462"/>
      <c r="K167" s="462"/>
      <c r="L167" s="462"/>
      <c r="M167" s="462"/>
      <c r="N167" s="462"/>
      <c r="O167" s="462"/>
      <c r="P167" s="462"/>
      <c r="Q167" s="462"/>
      <c r="R167" s="462"/>
      <c r="S167" s="462"/>
      <c r="T167" s="439" cm="1" t="str">
        <f t="array" ref="T167:T167">T166</f>
        <v>true</v>
      </c>
      <c r="U167" s="462"/>
      <c r="V167" s="462"/>
      <c r="W167" s="462"/>
      <c r="X167" s="1519"/>
      <c r="Y167" s="462"/>
      <c r="Z167" s="1520"/>
      <c r="AA167" s="462"/>
      <c r="AB167" s="694" t="s">
        <v>283</v>
      </c>
      <c r="AC167" s="522" t="s">
        <v>1895</v>
      </c>
      <c r="AD167" s="523" t="s">
        <v>784</v>
      </c>
      <c r="AE167" s="534">
        <f>AE168+AE180+AE181+AE191+AE192+AE193+AE196+AE197+AE198+AE199+AE200+AE201</f>
        <v>0</v>
      </c>
      <c r="AF167" s="1316"/>
      <c r="AG167" s="1316"/>
      <c r="AH167" s="984" t="s">
        <v>2225</v>
      </c>
      <c r="AI167" s="1317"/>
      <c r="AJ167" s="1317"/>
      <c r="AK167" s="1318"/>
      <c r="AL167" s="1318"/>
      <c r="AM167" s="1621"/>
      <c r="AN167" s="1621"/>
      <c r="AO167" s="1621"/>
      <c r="AP167" s="1621"/>
    </row>
    <row s="1310" customFormat="1" customHeight="1" ht="26.25">
      <c r="A168" s="647"/>
      <c r="B168" s="462"/>
      <c r="C168" s="462"/>
      <c r="D168" s="462"/>
      <c r="E168" s="629">
        <v>27</v>
      </c>
      <c r="F168" s="498" cm="1" t="str">
        <f t="array" ref="F168:F168">OFFSET(E168,-1,1)</f>
        <v>1</v>
      </c>
      <c r="G168" s="462"/>
      <c r="H168" s="462"/>
      <c r="I168" s="462"/>
      <c r="J168" s="462"/>
      <c r="K168" s="462"/>
      <c r="L168" s="462"/>
      <c r="M168" s="462"/>
      <c r="N168" s="462"/>
      <c r="O168" s="462"/>
      <c r="P168" s="462"/>
      <c r="Q168" s="462"/>
      <c r="R168" s="462"/>
      <c r="S168" s="462"/>
      <c r="T168" s="439" cm="1" t="str">
        <f t="array" ref="T168:T168">T167</f>
        <v>true</v>
      </c>
      <c r="U168" s="462"/>
      <c r="V168" s="462"/>
      <c r="W168" s="462"/>
      <c r="X168" s="1519"/>
      <c r="Y168" s="462"/>
      <c r="Z168" s="1520"/>
      <c r="AA168" s="462"/>
      <c r="AB168" s="1297" t="s">
        <v>515</v>
      </c>
      <c r="AC168" s="1309" t="s">
        <v>1897</v>
      </c>
      <c r="AD168" s="1296" t="s">
        <v>784</v>
      </c>
      <c r="AE168" s="534">
        <f>SUM(AE169:AE179)</f>
        <v>0</v>
      </c>
      <c r="AF168" s="1093"/>
      <c r="AG168" s="1093"/>
      <c r="AH168" s="1048" t="s">
        <v>1129</v>
      </c>
      <c r="AI168" s="1042"/>
      <c r="AJ168" s="1042"/>
      <c r="AK168" s="948"/>
      <c r="AL168" s="948"/>
      <c r="AM168" s="1310"/>
      <c r="AN168" s="1310"/>
      <c r="AO168" s="1310"/>
      <c r="AP168" s="1310"/>
    </row>
    <row s="1310" customFormat="1" customHeight="1" ht="14.25">
      <c r="A169" s="647"/>
      <c r="B169" s="462"/>
      <c r="C169" s="462"/>
      <c r="D169" s="462"/>
      <c r="E169" s="629">
        <v>15</v>
      </c>
      <c r="F169" s="498" cm="1" t="str">
        <f t="array" ref="F169:F169">OFFSET(E169,-1,1)</f>
        <v>1</v>
      </c>
      <c r="G169" s="462"/>
      <c r="H169" s="462"/>
      <c r="I169" s="462"/>
      <c r="J169" s="462"/>
      <c r="K169" s="462"/>
      <c r="L169" s="462"/>
      <c r="M169" s="462"/>
      <c r="N169" s="462"/>
      <c r="O169" s="462"/>
      <c r="P169" s="462"/>
      <c r="Q169" s="462"/>
      <c r="R169" s="462"/>
      <c r="S169" s="462"/>
      <c r="T169" s="439" cm="1" t="str">
        <f t="array" ref="T169:T169">T168</f>
        <v>true</v>
      </c>
      <c r="U169" s="462"/>
      <c r="V169" s="462"/>
      <c r="W169" s="462"/>
      <c r="X169" s="1519"/>
      <c r="Y169" s="462"/>
      <c r="Z169" s="1520"/>
      <c r="AA169" s="462"/>
      <c r="AB169" s="1297" t="s">
        <v>467</v>
      </c>
      <c r="AC169" s="1300" t="s">
        <v>1898</v>
      </c>
      <c r="AD169" s="1299" t="s">
        <v>784</v>
      </c>
      <c r="AE169" s="535"/>
      <c r="AF169" s="1093"/>
      <c r="AG169" s="1093"/>
      <c r="AH169" s="1048" t="s">
        <v>2226</v>
      </c>
      <c r="AI169" s="1042"/>
      <c r="AJ169" s="1042"/>
      <c r="AK169" s="948"/>
      <c r="AL169" s="948"/>
      <c r="AM169" s="1310"/>
      <c r="AN169" s="1310"/>
      <c r="AO169" s="1310"/>
      <c r="AP169" s="1310"/>
    </row>
    <row s="1310" customFormat="1" customHeight="1" ht="14.25">
      <c r="A170" s="647"/>
      <c r="B170" s="462"/>
      <c r="C170" s="462"/>
      <c r="D170" s="462"/>
      <c r="E170" s="629">
        <v>15</v>
      </c>
      <c r="F170" s="498" cm="1" t="str">
        <f t="array" ref="F170:F170">OFFSET(E170,-1,1)</f>
        <v>1</v>
      </c>
      <c r="G170" s="462"/>
      <c r="H170" s="462"/>
      <c r="I170" s="462"/>
      <c r="J170" s="462"/>
      <c r="K170" s="462"/>
      <c r="L170" s="462"/>
      <c r="M170" s="462"/>
      <c r="N170" s="462"/>
      <c r="O170" s="462"/>
      <c r="P170" s="462"/>
      <c r="Q170" s="462"/>
      <c r="R170" s="462"/>
      <c r="S170" s="462"/>
      <c r="T170" s="439" cm="1" t="str">
        <f t="array" ref="T170:T170">T169</f>
        <v>true</v>
      </c>
      <c r="U170" s="462"/>
      <c r="V170" s="462"/>
      <c r="W170" s="462"/>
      <c r="X170" s="1519"/>
      <c r="Y170" s="462"/>
      <c r="Z170" s="1520"/>
      <c r="AA170" s="462"/>
      <c r="AB170" s="1297" t="s">
        <v>1899</v>
      </c>
      <c r="AC170" s="1300" t="s">
        <v>1900</v>
      </c>
      <c r="AD170" s="1299" t="s">
        <v>784</v>
      </c>
      <c r="AE170" s="535"/>
      <c r="AF170" s="1093"/>
      <c r="AG170" s="1093"/>
      <c r="AH170" s="1048" t="s">
        <v>2227</v>
      </c>
      <c r="AI170" s="1042"/>
      <c r="AJ170" s="1042"/>
      <c r="AK170" s="948"/>
      <c r="AL170" s="948"/>
      <c r="AM170" s="1310"/>
      <c r="AN170" s="1310"/>
      <c r="AO170" s="1310"/>
      <c r="AP170" s="1310"/>
    </row>
    <row s="1310" customFormat="1" customHeight="1" ht="14.25">
      <c r="A171" s="647"/>
      <c r="B171" s="462"/>
      <c r="C171" s="462"/>
      <c r="D171" s="462"/>
      <c r="E171" s="629">
        <v>15</v>
      </c>
      <c r="F171" s="498" cm="1" t="str">
        <f t="array" ref="F171:F171">OFFSET(E171,-1,1)</f>
        <v>1</v>
      </c>
      <c r="G171" s="462"/>
      <c r="H171" s="462"/>
      <c r="I171" s="462"/>
      <c r="J171" s="462"/>
      <c r="K171" s="462"/>
      <c r="L171" s="462"/>
      <c r="M171" s="462"/>
      <c r="N171" s="462"/>
      <c r="O171" s="462"/>
      <c r="P171" s="462"/>
      <c r="Q171" s="462"/>
      <c r="R171" s="462"/>
      <c r="S171" s="462"/>
      <c r="T171" s="439" cm="1" t="str">
        <f t="array" ref="T171:T171">T170</f>
        <v>true</v>
      </c>
      <c r="U171" s="462"/>
      <c r="V171" s="462"/>
      <c r="W171" s="462"/>
      <c r="X171" s="1519"/>
      <c r="Y171" s="462"/>
      <c r="Z171" s="1520"/>
      <c r="AA171" s="462"/>
      <c r="AB171" s="1297" t="s">
        <v>1901</v>
      </c>
      <c r="AC171" s="1300" t="s">
        <v>1902</v>
      </c>
      <c r="AD171" s="1299" t="s">
        <v>784</v>
      </c>
      <c r="AE171" s="535"/>
      <c r="AF171" s="1093"/>
      <c r="AG171" s="1093"/>
      <c r="AH171" s="1048" t="s">
        <v>2228</v>
      </c>
      <c r="AI171" s="1042"/>
      <c r="AJ171" s="1042"/>
      <c r="AK171" s="948"/>
      <c r="AL171" s="948"/>
      <c r="AM171" s="1310"/>
      <c r="AN171" s="1310"/>
      <c r="AO171" s="1310"/>
      <c r="AP171" s="1310"/>
    </row>
    <row s="1310" customFormat="1" customHeight="1" ht="14.25">
      <c r="A172" s="647"/>
      <c r="B172" s="462"/>
      <c r="C172" s="462"/>
      <c r="D172" s="462"/>
      <c r="E172" s="629">
        <v>15</v>
      </c>
      <c r="F172" s="498" cm="1" t="str">
        <f t="array" ref="F172:F172">OFFSET(E172,-1,1)</f>
        <v>1</v>
      </c>
      <c r="G172" s="462"/>
      <c r="H172" s="462"/>
      <c r="I172" s="462"/>
      <c r="J172" s="462"/>
      <c r="K172" s="462"/>
      <c r="L172" s="462"/>
      <c r="M172" s="462"/>
      <c r="N172" s="462"/>
      <c r="O172" s="462"/>
      <c r="P172" s="462"/>
      <c r="Q172" s="462"/>
      <c r="R172" s="462"/>
      <c r="S172" s="462"/>
      <c r="T172" s="439" cm="1" t="str">
        <f t="array" ref="T172:T172">T171</f>
        <v>true</v>
      </c>
      <c r="U172" s="462"/>
      <c r="V172" s="462"/>
      <c r="W172" s="462"/>
      <c r="X172" s="1519"/>
      <c r="Y172" s="462"/>
      <c r="Z172" s="1520"/>
      <c r="AA172" s="462"/>
      <c r="AB172" s="1297" t="s">
        <v>1904</v>
      </c>
      <c r="AC172" s="1300" t="s">
        <v>1905</v>
      </c>
      <c r="AD172" s="1299" t="s">
        <v>784</v>
      </c>
      <c r="AE172" s="535"/>
      <c r="AF172" s="1093"/>
      <c r="AG172" s="1093"/>
      <c r="AH172" s="1048" t="s">
        <v>2229</v>
      </c>
      <c r="AI172" s="1042"/>
      <c r="AJ172" s="1042"/>
      <c r="AK172" s="948"/>
      <c r="AL172" s="948"/>
      <c r="AM172" s="1310"/>
      <c r="AN172" s="1310"/>
      <c r="AO172" s="1310"/>
      <c r="AP172" s="1310"/>
    </row>
    <row s="1310" customFormat="1" customHeight="1" ht="14.25">
      <c r="A173" s="647"/>
      <c r="B173" s="462"/>
      <c r="C173" s="462"/>
      <c r="D173" s="462"/>
      <c r="E173" s="629">
        <v>15</v>
      </c>
      <c r="F173" s="498" cm="1" t="str">
        <f t="array" ref="F173:F173">OFFSET(E173,-1,1)</f>
        <v>1</v>
      </c>
      <c r="G173" s="462"/>
      <c r="H173" s="462"/>
      <c r="I173" s="462"/>
      <c r="J173" s="462"/>
      <c r="K173" s="462"/>
      <c r="L173" s="462"/>
      <c r="M173" s="462"/>
      <c r="N173" s="462"/>
      <c r="O173" s="462"/>
      <c r="P173" s="462"/>
      <c r="Q173" s="462"/>
      <c r="R173" s="462"/>
      <c r="S173" s="462"/>
      <c r="T173" s="439" cm="1" t="str">
        <f t="array" ref="T173:T173">T172</f>
        <v>true</v>
      </c>
      <c r="U173" s="462"/>
      <c r="V173" s="462"/>
      <c r="W173" s="462"/>
      <c r="X173" s="1519"/>
      <c r="Y173" s="462"/>
      <c r="Z173" s="1520"/>
      <c r="AA173" s="462"/>
      <c r="AB173" s="1297" t="s">
        <v>1907</v>
      </c>
      <c r="AC173" s="1300" t="s">
        <v>1908</v>
      </c>
      <c r="AD173" s="1299" t="s">
        <v>784</v>
      </c>
      <c r="AE173" s="535"/>
      <c r="AF173" s="1093"/>
      <c r="AG173" s="1093"/>
      <c r="AH173" s="1048" t="s">
        <v>2230</v>
      </c>
      <c r="AI173" s="1042"/>
      <c r="AJ173" s="1042"/>
      <c r="AK173" s="948"/>
      <c r="AL173" s="948"/>
      <c r="AM173" s="1310"/>
      <c r="AN173" s="1310"/>
      <c r="AO173" s="1310"/>
      <c r="AP173" s="1310"/>
    </row>
    <row s="1310" customFormat="1" customHeight="1" ht="26.25">
      <c r="A174" s="647"/>
      <c r="B174" s="462"/>
      <c r="C174" s="462"/>
      <c r="D174" s="462"/>
      <c r="E174" s="629">
        <v>27</v>
      </c>
      <c r="F174" s="498" cm="1" t="str">
        <f t="array" ref="F174:F174">OFFSET(E174,-1,1)</f>
        <v>1</v>
      </c>
      <c r="G174" s="462"/>
      <c r="H174" s="462"/>
      <c r="I174" s="462"/>
      <c r="J174" s="462"/>
      <c r="K174" s="462"/>
      <c r="L174" s="462"/>
      <c r="M174" s="462"/>
      <c r="N174" s="462"/>
      <c r="O174" s="462"/>
      <c r="P174" s="462"/>
      <c r="Q174" s="462"/>
      <c r="R174" s="462"/>
      <c r="S174" s="462"/>
      <c r="T174" s="439" cm="1" t="str">
        <f t="array" ref="T174:T174">T173</f>
        <v>true</v>
      </c>
      <c r="U174" s="462"/>
      <c r="V174" s="462"/>
      <c r="W174" s="462"/>
      <c r="X174" s="1519"/>
      <c r="Y174" s="462"/>
      <c r="Z174" s="1520"/>
      <c r="AA174" s="462"/>
      <c r="AB174" s="1297" t="s">
        <v>1910</v>
      </c>
      <c r="AC174" s="1300" t="s">
        <v>1911</v>
      </c>
      <c r="AD174" s="1299" t="s">
        <v>784</v>
      </c>
      <c r="AE174" s="535"/>
      <c r="AF174" s="1093"/>
      <c r="AG174" s="1093"/>
      <c r="AH174" s="1048" t="s">
        <v>2231</v>
      </c>
      <c r="AI174" s="1042"/>
      <c r="AJ174" s="1042"/>
      <c r="AK174" s="948"/>
      <c r="AL174" s="948"/>
      <c r="AM174" s="1310"/>
      <c r="AN174" s="1310"/>
      <c r="AO174" s="1310"/>
      <c r="AP174" s="1310"/>
    </row>
    <row s="1310" customFormat="1" customHeight="1" ht="14.25">
      <c r="A175" s="647"/>
      <c r="B175" s="462"/>
      <c r="C175" s="462"/>
      <c r="D175" s="462"/>
      <c r="E175" s="629">
        <v>15</v>
      </c>
      <c r="F175" s="498" cm="1" t="str">
        <f t="array" ref="F175:F175">OFFSET(E175,-1,1)</f>
        <v>1</v>
      </c>
      <c r="G175" s="462"/>
      <c r="H175" s="462"/>
      <c r="I175" s="462"/>
      <c r="J175" s="462"/>
      <c r="K175" s="462"/>
      <c r="L175" s="462"/>
      <c r="M175" s="462"/>
      <c r="N175" s="462"/>
      <c r="O175" s="462"/>
      <c r="P175" s="462"/>
      <c r="Q175" s="462"/>
      <c r="R175" s="462"/>
      <c r="S175" s="462"/>
      <c r="T175" s="439" cm="1" t="str">
        <f t="array" ref="T175:T175">T174</f>
        <v>true</v>
      </c>
      <c r="U175" s="462"/>
      <c r="V175" s="462"/>
      <c r="W175" s="462"/>
      <c r="X175" s="1519"/>
      <c r="Y175" s="462"/>
      <c r="Z175" s="1520"/>
      <c r="AA175" s="462"/>
      <c r="AB175" s="1297" t="s">
        <v>1914</v>
      </c>
      <c r="AC175" s="1300" t="s">
        <v>1915</v>
      </c>
      <c r="AD175" s="1299" t="s">
        <v>784</v>
      </c>
      <c r="AE175" s="535"/>
      <c r="AF175" s="1093"/>
      <c r="AG175" s="1093"/>
      <c r="AH175" s="1048" t="s">
        <v>2232</v>
      </c>
      <c r="AI175" s="1042"/>
      <c r="AJ175" s="1042"/>
      <c r="AK175" s="948"/>
      <c r="AL175" s="948"/>
      <c r="AM175" s="1310"/>
      <c r="AN175" s="1310"/>
      <c r="AO175" s="1310"/>
      <c r="AP175" s="1310"/>
    </row>
    <row s="1310" customFormat="1" customHeight="1" ht="14.25">
      <c r="A176" s="647"/>
      <c r="B176" s="462"/>
      <c r="C176" s="462"/>
      <c r="D176" s="462"/>
      <c r="E176" s="629">
        <v>15</v>
      </c>
      <c r="F176" s="498" cm="1" t="str">
        <f t="array" ref="F176:F176">OFFSET(E176,-1,1)</f>
        <v>1</v>
      </c>
      <c r="G176" s="462"/>
      <c r="H176" s="462"/>
      <c r="I176" s="462"/>
      <c r="J176" s="462"/>
      <c r="K176" s="462"/>
      <c r="L176" s="462"/>
      <c r="M176" s="462"/>
      <c r="N176" s="462"/>
      <c r="O176" s="462"/>
      <c r="P176" s="462"/>
      <c r="Q176" s="462"/>
      <c r="R176" s="462"/>
      <c r="S176" s="462"/>
      <c r="T176" s="439" cm="1" t="str">
        <f t="array" ref="T176:T176">T175</f>
        <v>true</v>
      </c>
      <c r="U176" s="462"/>
      <c r="V176" s="462"/>
      <c r="W176" s="462"/>
      <c r="X176" s="1519"/>
      <c r="Y176" s="462"/>
      <c r="Z176" s="1520"/>
      <c r="AA176" s="462"/>
      <c r="AB176" s="1297" t="s">
        <v>1918</v>
      </c>
      <c r="AC176" s="1300" t="s">
        <v>1919</v>
      </c>
      <c r="AD176" s="1299" t="s">
        <v>784</v>
      </c>
      <c r="AE176" s="535"/>
      <c r="AF176" s="1093"/>
      <c r="AG176" s="1093"/>
      <c r="AH176" s="1048" t="s">
        <v>2233</v>
      </c>
      <c r="AI176" s="1042"/>
      <c r="AJ176" s="1042"/>
      <c r="AK176" s="948"/>
      <c r="AL176" s="948"/>
      <c r="AM176" s="1310"/>
      <c r="AN176" s="1310"/>
      <c r="AO176" s="1310"/>
      <c r="AP176" s="1310"/>
    </row>
    <row s="1310" customFormat="1" customHeight="1" ht="14.25">
      <c r="A177" s="647"/>
      <c r="B177" s="462"/>
      <c r="C177" s="462"/>
      <c r="D177" s="462"/>
      <c r="E177" s="629">
        <v>15</v>
      </c>
      <c r="F177" s="498" cm="1" t="str">
        <f t="array" ref="F177:F177">OFFSET(E177,-1,1)</f>
        <v>1</v>
      </c>
      <c r="G177" s="462"/>
      <c r="H177" s="462"/>
      <c r="I177" s="462"/>
      <c r="J177" s="462"/>
      <c r="K177" s="462"/>
      <c r="L177" s="462"/>
      <c r="M177" s="462"/>
      <c r="N177" s="462"/>
      <c r="O177" s="462"/>
      <c r="P177" s="462"/>
      <c r="Q177" s="462"/>
      <c r="R177" s="462"/>
      <c r="S177" s="462"/>
      <c r="T177" s="439" cm="1" t="str">
        <f t="array" ref="T177:T177">T176</f>
        <v>true</v>
      </c>
      <c r="U177" s="462"/>
      <c r="V177" s="462"/>
      <c r="W177" s="462"/>
      <c r="X177" s="1519"/>
      <c r="Y177" s="462"/>
      <c r="Z177" s="1520"/>
      <c r="AA177" s="462"/>
      <c r="AB177" s="1297" t="s">
        <v>1921</v>
      </c>
      <c r="AC177" s="1300" t="s">
        <v>1922</v>
      </c>
      <c r="AD177" s="1299" t="s">
        <v>784</v>
      </c>
      <c r="AE177" s="535"/>
      <c r="AF177" s="1093"/>
      <c r="AG177" s="1093"/>
      <c r="AH177" s="1048" t="s">
        <v>2234</v>
      </c>
      <c r="AI177" s="1042"/>
      <c r="AJ177" s="1042"/>
      <c r="AK177" s="948"/>
      <c r="AL177" s="948"/>
      <c r="AM177" s="1310"/>
      <c r="AN177" s="1310"/>
      <c r="AO177" s="1310"/>
      <c r="AP177" s="1310"/>
    </row>
    <row s="1310" customFormat="1" customHeight="1" ht="14.25">
      <c r="A178" s="647"/>
      <c r="B178" s="462"/>
      <c r="C178" s="462"/>
      <c r="D178" s="462"/>
      <c r="E178" s="629">
        <v>15</v>
      </c>
      <c r="F178" s="498" cm="1" t="str">
        <f t="array" ref="F178:F178">OFFSET(E178,-1,1)</f>
        <v>1</v>
      </c>
      <c r="G178" s="462"/>
      <c r="H178" s="462"/>
      <c r="I178" s="462"/>
      <c r="J178" s="462"/>
      <c r="K178" s="462"/>
      <c r="L178" s="462"/>
      <c r="M178" s="462"/>
      <c r="N178" s="462"/>
      <c r="O178" s="462"/>
      <c r="P178" s="462"/>
      <c r="Q178" s="462"/>
      <c r="R178" s="462"/>
      <c r="S178" s="462"/>
      <c r="T178" s="439" cm="1" t="str">
        <f t="array" ref="T178:T178">T177</f>
        <v>true</v>
      </c>
      <c r="U178" s="462"/>
      <c r="V178" s="462"/>
      <c r="W178" s="462"/>
      <c r="X178" s="1519"/>
      <c r="Y178" s="462"/>
      <c r="Z178" s="1520"/>
      <c r="AA178" s="462"/>
      <c r="AB178" s="1297" t="s">
        <v>1924</v>
      </c>
      <c r="AC178" s="1300" t="s">
        <v>1925</v>
      </c>
      <c r="AD178" s="1299" t="s">
        <v>784</v>
      </c>
      <c r="AE178" s="535"/>
      <c r="AF178" s="1093"/>
      <c r="AG178" s="1093"/>
      <c r="AH178" s="1048" t="s">
        <v>2235</v>
      </c>
      <c r="AI178" s="1042"/>
      <c r="AJ178" s="1042"/>
      <c r="AK178" s="948"/>
      <c r="AL178" s="948"/>
      <c r="AM178" s="1310"/>
      <c r="AN178" s="1310"/>
      <c r="AO178" s="1310"/>
      <c r="AP178" s="1310"/>
    </row>
    <row s="1310" customFormat="1" customHeight="1" ht="14.25">
      <c r="A179" s="647"/>
      <c r="B179" s="462"/>
      <c r="C179" s="462"/>
      <c r="D179" s="462"/>
      <c r="E179" s="629">
        <v>15</v>
      </c>
      <c r="F179" s="498" cm="1" t="str">
        <f t="array" ref="F179:F179">OFFSET(E179,-1,1)</f>
        <v>1</v>
      </c>
      <c r="G179" s="462"/>
      <c r="H179" s="462"/>
      <c r="I179" s="462"/>
      <c r="J179" s="462"/>
      <c r="K179" s="462"/>
      <c r="L179" s="462"/>
      <c r="M179" s="462"/>
      <c r="N179" s="462"/>
      <c r="O179" s="462"/>
      <c r="P179" s="462"/>
      <c r="Q179" s="462"/>
      <c r="R179" s="462"/>
      <c r="S179" s="462"/>
      <c r="T179" s="439" cm="1" t="str">
        <f t="array" ref="T179:T179">T178</f>
        <v>true</v>
      </c>
      <c r="U179" s="462"/>
      <c r="V179" s="462"/>
      <c r="W179" s="462"/>
      <c r="X179" s="1519"/>
      <c r="Y179" s="462"/>
      <c r="Z179" s="1520"/>
      <c r="AA179" s="462"/>
      <c r="AB179" s="1297" t="s">
        <v>1926</v>
      </c>
      <c r="AC179" s="1300" t="s">
        <v>1927</v>
      </c>
      <c r="AD179" s="1299" t="s">
        <v>784</v>
      </c>
      <c r="AE179" s="535"/>
      <c r="AF179" s="1093"/>
      <c r="AG179" s="1093"/>
      <c r="AH179" s="1048" t="s">
        <v>2236</v>
      </c>
      <c r="AI179" s="1042"/>
      <c r="AJ179" s="1042"/>
      <c r="AK179" s="948"/>
      <c r="AL179" s="948"/>
      <c r="AM179" s="1310"/>
      <c r="AN179" s="1310"/>
      <c r="AO179" s="1310"/>
      <c r="AP179" s="1310"/>
    </row>
    <row s="1310" customFormat="1" customHeight="1" ht="14.25">
      <c r="A180" s="647"/>
      <c r="B180" s="462"/>
      <c r="C180" s="462"/>
      <c r="D180" s="462"/>
      <c r="E180" s="629">
        <v>15</v>
      </c>
      <c r="F180" s="498" cm="1" t="str">
        <f t="array" ref="F180:F180">OFFSET(E180,-1,1)</f>
        <v>1</v>
      </c>
      <c r="G180" s="462"/>
      <c r="H180" s="462"/>
      <c r="I180" s="462"/>
      <c r="J180" s="462"/>
      <c r="K180" s="462"/>
      <c r="L180" s="462"/>
      <c r="M180" s="462"/>
      <c r="N180" s="462"/>
      <c r="O180" s="462"/>
      <c r="P180" s="462"/>
      <c r="Q180" s="462"/>
      <c r="R180" s="462"/>
      <c r="S180" s="462"/>
      <c r="T180" s="439" cm="1" t="str">
        <f t="array" ref="T180:T180">T179</f>
        <v>true</v>
      </c>
      <c r="U180" s="462"/>
      <c r="V180" s="462"/>
      <c r="W180" s="462"/>
      <c r="X180" s="1519"/>
      <c r="Y180" s="462"/>
      <c r="Z180" s="1520"/>
      <c r="AA180" s="462"/>
      <c r="AB180" s="1297" t="s">
        <v>519</v>
      </c>
      <c r="AC180" s="1298" t="s">
        <v>1928</v>
      </c>
      <c r="AD180" s="1299" t="s">
        <v>784</v>
      </c>
      <c r="AE180" s="535"/>
      <c r="AF180" s="1093"/>
      <c r="AG180" s="1093"/>
      <c r="AH180" s="1048" t="s">
        <v>2237</v>
      </c>
      <c r="AI180" s="1042"/>
      <c r="AJ180" s="1042"/>
      <c r="AK180" s="948"/>
      <c r="AL180" s="948"/>
      <c r="AM180" s="1310"/>
      <c r="AN180" s="1310"/>
      <c r="AO180" s="1310"/>
      <c r="AP180" s="1310"/>
    </row>
    <row s="1621" customFormat="1" customHeight="1" ht="14.25">
      <c r="A181" s="647"/>
      <c r="B181" s="462"/>
      <c r="C181" s="462"/>
      <c r="D181" s="462"/>
      <c r="E181" s="629">
        <v>15</v>
      </c>
      <c r="F181" s="50" cm="1" t="str">
        <f t="array" ref="F181:F181">OFFSET(E181,-1,1)</f>
        <v>1</v>
      </c>
      <c r="G181" s="462"/>
      <c r="H181" s="462" t="s">
        <v>462</v>
      </c>
      <c r="I181" s="462"/>
      <c r="J181" s="462"/>
      <c r="K181" s="462"/>
      <c r="L181" s="462"/>
      <c r="M181" s="462"/>
      <c r="N181" s="462"/>
      <c r="O181" s="462"/>
      <c r="P181" s="462"/>
      <c r="Q181" s="462"/>
      <c r="R181" s="462"/>
      <c r="S181" s="462"/>
      <c r="T181" s="439" cm="1" t="str">
        <f t="array" ref="T181:T181">T167</f>
        <v>true</v>
      </c>
      <c r="U181" s="462"/>
      <c r="V181" s="462"/>
      <c r="W181" s="462"/>
      <c r="X181" s="1519"/>
      <c r="Y181" s="462"/>
      <c r="Z181" s="1520"/>
      <c r="AA181" s="462"/>
      <c r="AB181" s="695" t="s">
        <v>523</v>
      </c>
      <c r="AC181" s="524" t="s">
        <v>2238</v>
      </c>
      <c r="AD181" s="525" t="s">
        <v>784</v>
      </c>
      <c r="AE181" s="534">
        <f>SUM(AE182:AE190)</f>
        <v>0</v>
      </c>
      <c r="AF181" s="1316"/>
      <c r="AG181" s="1316"/>
      <c r="AH181" s="1054" t="s">
        <v>1151</v>
      </c>
      <c r="AI181" s="1317"/>
      <c r="AJ181" s="1317"/>
      <c r="AK181" s="1318"/>
      <c r="AL181" s="1318"/>
      <c r="AM181" s="1621"/>
      <c r="AN181" s="1621"/>
      <c r="AO181" s="1621"/>
      <c r="AP181" s="1621"/>
    </row>
    <row s="1621" customFormat="1" customHeight="1" ht="14.25">
      <c r="A182" s="647"/>
      <c r="B182" s="462"/>
      <c r="C182" s="462"/>
      <c r="D182" s="462"/>
      <c r="E182" s="629">
        <v>15</v>
      </c>
      <c r="F182" s="50" cm="1" t="str">
        <f t="array" ref="F182:F182">OFFSET(E182,-1,1)</f>
        <v>1</v>
      </c>
      <c r="G182" s="462"/>
      <c r="H182" s="462" t="s">
        <v>1660</v>
      </c>
      <c r="I182" s="462"/>
      <c r="J182" s="462"/>
      <c r="K182" s="462"/>
      <c r="L182" s="462"/>
      <c r="M182" s="462"/>
      <c r="N182" s="462"/>
      <c r="O182" s="462"/>
      <c r="P182" s="462"/>
      <c r="Q182" s="462"/>
      <c r="R182" s="462"/>
      <c r="S182" s="462"/>
      <c r="T182" s="439" cm="1" t="str">
        <f t="array" ref="T182:T182">T181</f>
        <v>true</v>
      </c>
      <c r="U182" s="462"/>
      <c r="V182" s="462"/>
      <c r="W182" s="462"/>
      <c r="X182" s="1519"/>
      <c r="Y182" s="462"/>
      <c r="Z182" s="1520"/>
      <c r="AA182" s="462"/>
      <c r="AB182" s="695" t="s">
        <v>478</v>
      </c>
      <c r="AC182" s="526" t="s">
        <v>1166</v>
      </c>
      <c r="AD182" s="525" t="s">
        <v>784</v>
      </c>
      <c r="AE182" s="1370"/>
      <c r="AF182" s="1316"/>
      <c r="AG182" s="1316"/>
      <c r="AH182" s="1048" t="s">
        <v>1931</v>
      </c>
      <c r="AI182" s="1317"/>
      <c r="AJ182" s="1317"/>
      <c r="AK182" s="1318"/>
      <c r="AL182" s="1318"/>
      <c r="AM182" s="1621"/>
      <c r="AN182" s="1621"/>
      <c r="AO182" s="1621"/>
      <c r="AP182" s="1621"/>
    </row>
    <row s="1621" customFormat="1" customHeight="1" ht="14.25">
      <c r="A183" s="647"/>
      <c r="B183" s="462"/>
      <c r="C183" s="462"/>
      <c r="D183" s="462"/>
      <c r="E183" s="629">
        <v>15</v>
      </c>
      <c r="F183" s="50" cm="1" t="str">
        <f t="array" ref="F183:F183">OFFSET(E183,-1,1)</f>
        <v>1</v>
      </c>
      <c r="G183" s="462"/>
      <c r="H183" s="462" t="s">
        <v>1663</v>
      </c>
      <c r="I183" s="462"/>
      <c r="J183" s="462"/>
      <c r="K183" s="462"/>
      <c r="L183" s="462"/>
      <c r="M183" s="462"/>
      <c r="N183" s="462"/>
      <c r="O183" s="462"/>
      <c r="P183" s="462"/>
      <c r="Q183" s="462"/>
      <c r="R183" s="462"/>
      <c r="S183" s="462"/>
      <c r="T183" s="439" cm="1" t="str">
        <f t="array" ref="T183:T183">T182</f>
        <v>true</v>
      </c>
      <c r="U183" s="462"/>
      <c r="V183" s="462"/>
      <c r="W183" s="462"/>
      <c r="X183" s="1519"/>
      <c r="Y183" s="462"/>
      <c r="Z183" s="1520"/>
      <c r="AA183" s="462"/>
      <c r="AB183" s="695" t="s">
        <v>1375</v>
      </c>
      <c r="AC183" s="526" t="s">
        <v>2239</v>
      </c>
      <c r="AD183" s="525" t="s">
        <v>784</v>
      </c>
      <c r="AE183" s="1370"/>
      <c r="AF183" s="1316"/>
      <c r="AG183" s="1316"/>
      <c r="AH183" s="1048" t="s">
        <v>1934</v>
      </c>
      <c r="AI183" s="1317"/>
      <c r="AJ183" s="1317"/>
      <c r="AK183" s="1318"/>
      <c r="AL183" s="1318"/>
      <c r="AM183" s="1621"/>
      <c r="AN183" s="1621"/>
      <c r="AO183" s="1621"/>
      <c r="AP183" s="1621"/>
    </row>
    <row s="1621" customFormat="1" customHeight="1" ht="14.25">
      <c r="A184" s="647"/>
      <c r="B184" s="462"/>
      <c r="C184" s="462"/>
      <c r="D184" s="462"/>
      <c r="E184" s="629">
        <v>15</v>
      </c>
      <c r="F184" s="50" cm="1" t="str">
        <f t="array" ref="F184:F184">OFFSET(E184,-1,1)</f>
        <v>1</v>
      </c>
      <c r="G184" s="462"/>
      <c r="H184" s="462" t="s">
        <v>2240</v>
      </c>
      <c r="I184" s="462"/>
      <c r="J184" s="462"/>
      <c r="K184" s="462"/>
      <c r="L184" s="462"/>
      <c r="M184" s="462"/>
      <c r="N184" s="462"/>
      <c r="O184" s="462"/>
      <c r="P184" s="462"/>
      <c r="Q184" s="462"/>
      <c r="R184" s="462"/>
      <c r="S184" s="462"/>
      <c r="T184" s="439" cm="1" t="str">
        <f t="array" ref="T184:T184">T183</f>
        <v>true</v>
      </c>
      <c r="U184" s="462"/>
      <c r="V184" s="462"/>
      <c r="W184" s="462"/>
      <c r="X184" s="1519"/>
      <c r="Y184" s="462"/>
      <c r="Z184" s="1520"/>
      <c r="AA184" s="462"/>
      <c r="AB184" s="695" t="s">
        <v>1380</v>
      </c>
      <c r="AC184" s="526" t="s">
        <v>2241</v>
      </c>
      <c r="AD184" s="525" t="s">
        <v>784</v>
      </c>
      <c r="AE184" s="1370"/>
      <c r="AF184" s="1316"/>
      <c r="AG184" s="1316"/>
      <c r="AH184" s="1048" t="s">
        <v>1937</v>
      </c>
      <c r="AI184" s="1317"/>
      <c r="AJ184" s="1317"/>
      <c r="AK184" s="1318"/>
      <c r="AL184" s="1318"/>
      <c r="AM184" s="1621"/>
      <c r="AN184" s="1621"/>
      <c r="AO184" s="1621"/>
      <c r="AP184" s="1621"/>
    </row>
    <row s="1621" customFormat="1" customHeight="1" ht="14.25">
      <c r="A185" s="647"/>
      <c r="B185" s="462"/>
      <c r="C185" s="462"/>
      <c r="D185" s="462"/>
      <c r="E185" s="629">
        <v>15</v>
      </c>
      <c r="F185" s="50" cm="1" t="str">
        <f t="array" ref="F185:F185">OFFSET(E185,-1,1)</f>
        <v>1</v>
      </c>
      <c r="G185" s="462"/>
      <c r="H185" s="462" t="s">
        <v>2242</v>
      </c>
      <c r="I185" s="462"/>
      <c r="J185" s="462"/>
      <c r="K185" s="462"/>
      <c r="L185" s="462"/>
      <c r="M185" s="462"/>
      <c r="N185" s="462"/>
      <c r="O185" s="462"/>
      <c r="P185" s="462"/>
      <c r="Q185" s="462"/>
      <c r="R185" s="462"/>
      <c r="S185" s="462"/>
      <c r="T185" s="439" cm="1" t="str">
        <f t="array" ref="T185:T185">T184</f>
        <v>true</v>
      </c>
      <c r="U185" s="462"/>
      <c r="V185" s="462"/>
      <c r="W185" s="462"/>
      <c r="X185" s="1519"/>
      <c r="Y185" s="462"/>
      <c r="Z185" s="1520"/>
      <c r="AA185" s="462"/>
      <c r="AB185" s="695" t="s">
        <v>1939</v>
      </c>
      <c r="AC185" s="526" t="s">
        <v>1159</v>
      </c>
      <c r="AD185" s="525" t="s">
        <v>784</v>
      </c>
      <c r="AE185" s="1370"/>
      <c r="AF185" s="1316"/>
      <c r="AG185" s="1316"/>
      <c r="AH185" s="1048" t="s">
        <v>1941</v>
      </c>
      <c r="AI185" s="1317"/>
      <c r="AJ185" s="1317"/>
      <c r="AK185" s="1318"/>
      <c r="AL185" s="1318"/>
      <c r="AM185" s="1621"/>
      <c r="AN185" s="1621"/>
      <c r="AO185" s="1621"/>
      <c r="AP185" s="1621"/>
    </row>
    <row s="1621" customFormat="1" customHeight="1" ht="14.25">
      <c r="A186" s="647"/>
      <c r="B186" s="462"/>
      <c r="C186" s="462"/>
      <c r="D186" s="462"/>
      <c r="E186" s="629">
        <v>15</v>
      </c>
      <c r="F186" s="50" cm="1" t="str">
        <f t="array" ref="F186:F186">OFFSET(E186,-1,1)</f>
        <v>1</v>
      </c>
      <c r="G186" s="462"/>
      <c r="H186" s="462" t="s">
        <v>2243</v>
      </c>
      <c r="I186" s="462"/>
      <c r="J186" s="462"/>
      <c r="K186" s="462"/>
      <c r="L186" s="462"/>
      <c r="M186" s="462"/>
      <c r="N186" s="462"/>
      <c r="O186" s="462"/>
      <c r="P186" s="462"/>
      <c r="Q186" s="462"/>
      <c r="R186" s="462"/>
      <c r="S186" s="462"/>
      <c r="T186" s="439" cm="1" t="str">
        <f t="array" ref="T186:T186">T185</f>
        <v>true</v>
      </c>
      <c r="U186" s="462"/>
      <c r="V186" s="462"/>
      <c r="W186" s="462"/>
      <c r="X186" s="1519"/>
      <c r="Y186" s="462"/>
      <c r="Z186" s="1520"/>
      <c r="AA186" s="462"/>
      <c r="AB186" s="695" t="s">
        <v>1943</v>
      </c>
      <c r="AC186" s="526" t="s">
        <v>1161</v>
      </c>
      <c r="AD186" s="525" t="s">
        <v>784</v>
      </c>
      <c r="AE186" s="1370"/>
      <c r="AF186" s="1316"/>
      <c r="AG186" s="1316"/>
      <c r="AH186" s="1048" t="s">
        <v>1945</v>
      </c>
      <c r="AI186" s="1317"/>
      <c r="AJ186" s="1317"/>
      <c r="AK186" s="1318"/>
      <c r="AL186" s="1318"/>
      <c r="AM186" s="1621"/>
      <c r="AN186" s="1621"/>
      <c r="AO186" s="1621"/>
      <c r="AP186" s="1621"/>
    </row>
    <row s="1621" customFormat="1" customHeight="1" ht="14.25">
      <c r="A187" s="647"/>
      <c r="B187" s="462"/>
      <c r="C187" s="462"/>
      <c r="D187" s="462"/>
      <c r="E187" s="629">
        <v>15</v>
      </c>
      <c r="F187" s="50" cm="1" t="str">
        <f t="array" ref="F187:F187">OFFSET(E187,-1,1)</f>
        <v>1</v>
      </c>
      <c r="G187" s="462"/>
      <c r="H187" s="462" t="s">
        <v>2244</v>
      </c>
      <c r="I187" s="462"/>
      <c r="J187" s="462"/>
      <c r="K187" s="462"/>
      <c r="L187" s="462"/>
      <c r="M187" s="462"/>
      <c r="N187" s="462"/>
      <c r="O187" s="462"/>
      <c r="P187" s="462"/>
      <c r="Q187" s="462"/>
      <c r="R187" s="462"/>
      <c r="S187" s="462"/>
      <c r="T187" s="439" cm="1" t="str">
        <f t="array" ref="T187:T187">T186</f>
        <v>true</v>
      </c>
      <c r="U187" s="462"/>
      <c r="V187" s="462"/>
      <c r="W187" s="462"/>
      <c r="X187" s="1519"/>
      <c r="Y187" s="462"/>
      <c r="Z187" s="1520"/>
      <c r="AA187" s="462"/>
      <c r="AB187" s="695" t="s">
        <v>1947</v>
      </c>
      <c r="AC187" s="526" t="s">
        <v>1152</v>
      </c>
      <c r="AD187" s="525" t="s">
        <v>784</v>
      </c>
      <c r="AE187" s="1370"/>
      <c r="AF187" s="1316"/>
      <c r="AG187" s="1316"/>
      <c r="AH187" s="1048" t="s">
        <v>1949</v>
      </c>
      <c r="AI187" s="1317"/>
      <c r="AJ187" s="1317"/>
      <c r="AK187" s="1318"/>
      <c r="AL187" s="1318"/>
      <c r="AM187" s="1621"/>
      <c r="AN187" s="1621"/>
      <c r="AO187" s="1621"/>
      <c r="AP187" s="1621"/>
    </row>
    <row s="1310" customFormat="1" customHeight="1" ht="14.25">
      <c r="A188" s="647"/>
      <c r="B188" s="462"/>
      <c r="C188" s="462"/>
      <c r="D188" s="462"/>
      <c r="E188" s="629">
        <v>15</v>
      </c>
      <c r="F188" s="498" cm="1" t="str">
        <f t="array" ref="F188:F188">OFFSET(E188,-1,1)</f>
        <v>1</v>
      </c>
      <c r="G188" s="462"/>
      <c r="H188" s="462"/>
      <c r="I188" s="462"/>
      <c r="J188" s="462"/>
      <c r="K188" s="462"/>
      <c r="L188" s="462"/>
      <c r="M188" s="462"/>
      <c r="N188" s="462"/>
      <c r="O188" s="462"/>
      <c r="P188" s="462"/>
      <c r="Q188" s="462"/>
      <c r="R188" s="462"/>
      <c r="S188" s="462"/>
      <c r="T188" s="439" cm="1" t="str">
        <f t="array" ref="T188:T188">T187</f>
        <v>true</v>
      </c>
      <c r="U188" s="462"/>
      <c r="V188" s="462"/>
      <c r="W188" s="462"/>
      <c r="X188" s="1519"/>
      <c r="Y188" s="462"/>
      <c r="Z188" s="1520"/>
      <c r="AA188" s="462"/>
      <c r="AB188" s="1297" t="s">
        <v>1951</v>
      </c>
      <c r="AC188" s="1300" t="s">
        <v>2245</v>
      </c>
      <c r="AD188" s="1299" t="s">
        <v>784</v>
      </c>
      <c r="AE188" s="535"/>
      <c r="AF188" s="1093"/>
      <c r="AG188" s="1093"/>
      <c r="AH188" s="1048" t="s">
        <v>1169</v>
      </c>
      <c r="AI188" s="1042"/>
      <c r="AJ188" s="1042"/>
      <c r="AK188" s="948"/>
      <c r="AL188" s="948"/>
      <c r="AM188" s="1310"/>
      <c r="AN188" s="1310"/>
      <c r="AO188" s="1310"/>
      <c r="AP188" s="1310"/>
    </row>
    <row s="1310" customFormat="1" customHeight="1" ht="14.25">
      <c r="A189" s="647"/>
      <c r="B189" s="462"/>
      <c r="C189" s="462"/>
      <c r="D189" s="462"/>
      <c r="E189" s="629">
        <v>15</v>
      </c>
      <c r="F189" s="498" cm="1" t="str">
        <f t="array" ref="F189:F189">OFFSET(E189,-1,1)</f>
        <v>1</v>
      </c>
      <c r="G189" s="462"/>
      <c r="H189" s="462"/>
      <c r="I189" s="462"/>
      <c r="J189" s="462"/>
      <c r="K189" s="462"/>
      <c r="L189" s="462"/>
      <c r="M189" s="462"/>
      <c r="N189" s="462"/>
      <c r="O189" s="462"/>
      <c r="P189" s="462"/>
      <c r="Q189" s="462"/>
      <c r="R189" s="462"/>
      <c r="S189" s="462"/>
      <c r="T189" s="439" cm="1" t="str">
        <f t="array" ref="T189:T189">T188</f>
        <v>true</v>
      </c>
      <c r="U189" s="462"/>
      <c r="V189" s="462"/>
      <c r="W189" s="462"/>
      <c r="X189" s="1519"/>
      <c r="Y189" s="462"/>
      <c r="Z189" s="1520"/>
      <c r="AA189" s="462"/>
      <c r="AB189" s="1297" t="s">
        <v>1955</v>
      </c>
      <c r="AC189" s="1300" t="s">
        <v>1170</v>
      </c>
      <c r="AD189" s="1299" t="s">
        <v>784</v>
      </c>
      <c r="AE189" s="535"/>
      <c r="AF189" s="1093"/>
      <c r="AG189" s="1093"/>
      <c r="AH189" s="1048" t="s">
        <v>2246</v>
      </c>
      <c r="AI189" s="1042"/>
      <c r="AJ189" s="1042"/>
      <c r="AK189" s="948"/>
      <c r="AL189" s="948"/>
      <c r="AM189" s="1310"/>
      <c r="AN189" s="1310"/>
      <c r="AO189" s="1310"/>
      <c r="AP189" s="1310"/>
    </row>
    <row s="1621" customFormat="1" customHeight="1" ht="14.25">
      <c r="A190" s="647"/>
      <c r="B190" s="462"/>
      <c r="C190" s="462"/>
      <c r="D190" s="462"/>
      <c r="E190" s="629">
        <v>15</v>
      </c>
      <c r="F190" s="50" cm="1" t="str">
        <f t="array" ref="F190:F190">OFFSET(E190,-1,1)</f>
        <v>1</v>
      </c>
      <c r="G190" s="462"/>
      <c r="H190" s="462" t="s">
        <v>2247</v>
      </c>
      <c r="I190" s="462"/>
      <c r="J190" s="462"/>
      <c r="K190" s="462"/>
      <c r="L190" s="462"/>
      <c r="M190" s="462"/>
      <c r="N190" s="462"/>
      <c r="O190" s="462"/>
      <c r="P190" s="462"/>
      <c r="Q190" s="462"/>
      <c r="R190" s="462"/>
      <c r="S190" s="462"/>
      <c r="T190" s="439" cm="1" t="str">
        <f t="array" ref="T190:T190">T187</f>
        <v>true</v>
      </c>
      <c r="U190" s="462"/>
      <c r="V190" s="462"/>
      <c r="W190" s="462"/>
      <c r="X190" s="1519"/>
      <c r="Y190" s="462"/>
      <c r="Z190" s="1520"/>
      <c r="AA190" s="462"/>
      <c r="AB190" s="695" t="s">
        <v>1957</v>
      </c>
      <c r="AC190" s="526" t="s">
        <v>1172</v>
      </c>
      <c r="AD190" s="525" t="s">
        <v>784</v>
      </c>
      <c r="AE190" s="1370"/>
      <c r="AF190" s="1316"/>
      <c r="AG190" s="1316"/>
      <c r="AH190" s="1048" t="s">
        <v>1963</v>
      </c>
      <c r="AI190" s="1317"/>
      <c r="AJ190" s="1317"/>
      <c r="AK190" s="1318"/>
      <c r="AL190" s="1318"/>
      <c r="AM190" s="1621"/>
      <c r="AN190" s="1621"/>
      <c r="AO190" s="1621"/>
      <c r="AP190" s="1621"/>
    </row>
    <row s="1621" customFormat="1" customHeight="1" ht="14.25">
      <c r="A191" s="647"/>
      <c r="B191" s="462"/>
      <c r="C191" s="462"/>
      <c r="D191" s="462"/>
      <c r="E191" s="629">
        <v>15</v>
      </c>
      <c r="F191" s="50" cm="1" t="str">
        <f t="array" ref="F191:F191">OFFSET(E191,-1,1)</f>
        <v>1</v>
      </c>
      <c r="G191" s="462"/>
      <c r="H191" s="462" t="s">
        <v>865</v>
      </c>
      <c r="I191" s="462"/>
      <c r="J191" s="462"/>
      <c r="K191" s="462"/>
      <c r="L191" s="462"/>
      <c r="M191" s="462"/>
      <c r="N191" s="462"/>
      <c r="O191" s="462"/>
      <c r="P191" s="462"/>
      <c r="Q191" s="462"/>
      <c r="R191" s="462"/>
      <c r="S191" s="462"/>
      <c r="T191" s="439" cm="1" t="str">
        <f t="array" ref="T191:T191">T190</f>
        <v>true</v>
      </c>
      <c r="U191" s="462"/>
      <c r="V191" s="462"/>
      <c r="W191" s="462"/>
      <c r="X191" s="1519"/>
      <c r="Y191" s="462"/>
      <c r="Z191" s="1520"/>
      <c r="AA191" s="462"/>
      <c r="AB191" s="695" t="s">
        <v>868</v>
      </c>
      <c r="AC191" s="526" t="s">
        <v>969</v>
      </c>
      <c r="AD191" s="525" t="s">
        <v>784</v>
      </c>
      <c r="AE191" s="1370"/>
      <c r="AF191" s="1316"/>
      <c r="AG191" s="1316"/>
      <c r="AH191" s="1048" t="s">
        <v>1109</v>
      </c>
      <c r="AI191" s="1317"/>
      <c r="AJ191" s="1317"/>
      <c r="AK191" s="1318"/>
      <c r="AL191" s="1318"/>
      <c r="AM191" s="1621"/>
      <c r="AN191" s="1621"/>
      <c r="AO191" s="1621"/>
      <c r="AP191" s="1621"/>
    </row>
    <row s="1621" customFormat="1" customHeight="1" ht="14.25">
      <c r="A192" s="647"/>
      <c r="B192" s="462"/>
      <c r="C192" s="462"/>
      <c r="D192" s="462"/>
      <c r="E192" s="629">
        <v>15</v>
      </c>
      <c r="F192" s="50" cm="1" t="str">
        <f t="array" ref="F192:F192">OFFSET(E192,-1,1)</f>
        <v>1</v>
      </c>
      <c r="G192" s="462"/>
      <c r="H192" s="462" t="s">
        <v>1966</v>
      </c>
      <c r="I192" s="462"/>
      <c r="J192" s="462"/>
      <c r="K192" s="462"/>
      <c r="L192" s="462"/>
      <c r="M192" s="462"/>
      <c r="N192" s="462"/>
      <c r="O192" s="462"/>
      <c r="P192" s="462"/>
      <c r="Q192" s="462"/>
      <c r="R192" s="462"/>
      <c r="S192" s="462"/>
      <c r="T192" s="439" cm="1" t="str">
        <f t="array" ref="T192:T192">T191</f>
        <v>true</v>
      </c>
      <c r="U192" s="462"/>
      <c r="V192" s="462"/>
      <c r="W192" s="462"/>
      <c r="X192" s="1519"/>
      <c r="Y192" s="462"/>
      <c r="Z192" s="1520"/>
      <c r="AA192" s="462"/>
      <c r="AB192" s="695" t="s">
        <v>871</v>
      </c>
      <c r="AC192" s="524" t="s">
        <v>1347</v>
      </c>
      <c r="AD192" s="525" t="s">
        <v>784</v>
      </c>
      <c r="AE192" s="1370"/>
      <c r="AF192" s="1316"/>
      <c r="AG192" s="1316"/>
      <c r="AH192" s="1055" t="s">
        <v>1704</v>
      </c>
      <c r="AI192" s="1317"/>
      <c r="AJ192" s="1317"/>
      <c r="AK192" s="1318"/>
      <c r="AL192" s="1318"/>
      <c r="AM192" s="1621"/>
      <c r="AN192" s="1621"/>
      <c r="AO192" s="1621"/>
      <c r="AP192" s="1621"/>
    </row>
    <row s="1621" customFormat="1" customHeight="1" ht="14.25">
      <c r="A193" s="647"/>
      <c r="B193" s="462"/>
      <c r="C193" s="462"/>
      <c r="D193" s="462"/>
      <c r="E193" s="629">
        <v>15</v>
      </c>
      <c r="F193" s="50" cm="1" t="str">
        <f t="array" ref="F193:F193">OFFSET(E193,-1,1)</f>
        <v>1</v>
      </c>
      <c r="G193" s="462"/>
      <c r="H193" s="462" t="s">
        <v>1973</v>
      </c>
      <c r="I193" s="462"/>
      <c r="J193" s="462"/>
      <c r="K193" s="462"/>
      <c r="L193" s="462"/>
      <c r="M193" s="462"/>
      <c r="N193" s="462"/>
      <c r="O193" s="462"/>
      <c r="P193" s="462"/>
      <c r="Q193" s="462"/>
      <c r="R193" s="462"/>
      <c r="S193" s="462"/>
      <c r="T193" s="439" cm="1" t="str">
        <f t="array" ref="T193:T193">T192</f>
        <v>true</v>
      </c>
      <c r="U193" s="462"/>
      <c r="V193" s="462"/>
      <c r="W193" s="462"/>
      <c r="X193" s="1519"/>
      <c r="Y193" s="462"/>
      <c r="Z193" s="1520"/>
      <c r="AA193" s="462"/>
      <c r="AB193" s="695" t="s">
        <v>1395</v>
      </c>
      <c r="AC193" s="524" t="s">
        <v>1357</v>
      </c>
      <c r="AD193" s="525" t="s">
        <v>784</v>
      </c>
      <c r="AE193" s="534">
        <f>AE194+AE195</f>
        <v>0</v>
      </c>
      <c r="AF193" s="1316"/>
      <c r="AG193" s="1316"/>
      <c r="AH193" s="1048" t="s">
        <v>1978</v>
      </c>
      <c r="AI193" s="1317"/>
      <c r="AJ193" s="1317"/>
      <c r="AK193" s="1318"/>
      <c r="AL193" s="1318"/>
      <c r="AM193" s="1621"/>
      <c r="AN193" s="1621"/>
      <c r="AO193" s="1621"/>
      <c r="AP193" s="1621"/>
    </row>
    <row s="1621" customFormat="1" customHeight="1" ht="14.25">
      <c r="A194" s="647"/>
      <c r="B194" s="462"/>
      <c r="C194" s="462"/>
      <c r="D194" s="462"/>
      <c r="E194" s="629">
        <v>15</v>
      </c>
      <c r="F194" s="50" cm="1" t="str">
        <f t="array" ref="F194:F194">OFFSET(E194,-1,1)</f>
        <v>1</v>
      </c>
      <c r="G194" s="462"/>
      <c r="H194" s="462" t="s">
        <v>2248</v>
      </c>
      <c r="I194" s="462"/>
      <c r="J194" s="462"/>
      <c r="K194" s="462"/>
      <c r="L194" s="462"/>
      <c r="M194" s="462"/>
      <c r="N194" s="462"/>
      <c r="O194" s="462"/>
      <c r="P194" s="462"/>
      <c r="Q194" s="462"/>
      <c r="R194" s="462"/>
      <c r="S194" s="462"/>
      <c r="T194" s="439" cm="1" t="str">
        <f t="array" ref="T194:T194">T193</f>
        <v>true</v>
      </c>
      <c r="U194" s="462"/>
      <c r="V194" s="462"/>
      <c r="W194" s="462"/>
      <c r="X194" s="1519"/>
      <c r="Y194" s="462"/>
      <c r="Z194" s="1520"/>
      <c r="AA194" s="462"/>
      <c r="AB194" s="695" t="s">
        <v>1969</v>
      </c>
      <c r="AC194" s="526" t="s">
        <v>2249</v>
      </c>
      <c r="AD194" s="525" t="s">
        <v>784</v>
      </c>
      <c r="AE194" s="1370"/>
      <c r="AF194" s="1316"/>
      <c r="AG194" s="1316"/>
      <c r="AH194" s="1048" t="s">
        <v>1144</v>
      </c>
      <c r="AI194" s="1317"/>
      <c r="AJ194" s="1317"/>
      <c r="AK194" s="1318"/>
      <c r="AL194" s="1318"/>
      <c r="AM194" s="1621"/>
      <c r="AN194" s="1621"/>
      <c r="AO194" s="1621"/>
      <c r="AP194" s="1621"/>
    </row>
    <row s="1621" customFormat="1" customHeight="1" ht="21.75">
      <c r="A195" s="647"/>
      <c r="B195" s="462"/>
      <c r="C195" s="462"/>
      <c r="D195" s="462"/>
      <c r="E195" s="629">
        <v>22.5</v>
      </c>
      <c r="F195" s="50" cm="1" t="str">
        <f t="array" ref="F195:F195">OFFSET(E195,-1,1)</f>
        <v>1</v>
      </c>
      <c r="G195" s="462"/>
      <c r="H195" s="462" t="s">
        <v>2250</v>
      </c>
      <c r="I195" s="462"/>
      <c r="J195" s="462"/>
      <c r="K195" s="462"/>
      <c r="L195" s="462"/>
      <c r="M195" s="462"/>
      <c r="N195" s="462"/>
      <c r="O195" s="462"/>
      <c r="P195" s="462"/>
      <c r="Q195" s="462"/>
      <c r="R195" s="462"/>
      <c r="S195" s="462"/>
      <c r="T195" s="439" cm="1" t="str">
        <f t="array" ref="T195:T195">T194</f>
        <v>true</v>
      </c>
      <c r="U195" s="462"/>
      <c r="V195" s="462"/>
      <c r="W195" s="462"/>
      <c r="X195" s="1519"/>
      <c r="Y195" s="462"/>
      <c r="Z195" s="1520"/>
      <c r="AA195" s="462"/>
      <c r="AB195" s="695" t="s">
        <v>2251</v>
      </c>
      <c r="AC195" s="526" t="s">
        <v>2252</v>
      </c>
      <c r="AD195" s="525" t="s">
        <v>784</v>
      </c>
      <c r="AE195" s="1370"/>
      <c r="AF195" s="1316"/>
      <c r="AG195" s="1316"/>
      <c r="AH195" s="1048" t="s">
        <v>1985</v>
      </c>
      <c r="AI195" s="1317"/>
      <c r="AJ195" s="1317"/>
      <c r="AK195" s="1318"/>
      <c r="AL195" s="1318"/>
      <c r="AM195" s="1621"/>
      <c r="AN195" s="1621"/>
      <c r="AO195" s="1621"/>
      <c r="AP195" s="1621"/>
    </row>
    <row s="1621" customFormat="1" customHeight="1" ht="76.5">
      <c r="A196" s="647"/>
      <c r="B196" s="462"/>
      <c r="C196" s="462"/>
      <c r="D196" s="462"/>
      <c r="E196" s="629">
        <v>78.75</v>
      </c>
      <c r="F196" s="50" cm="1" t="str">
        <f t="array" ref="F196:F196">OFFSET(E196,-1,1)</f>
        <v>1</v>
      </c>
      <c r="G196" s="462"/>
      <c r="H196" s="462" t="s">
        <v>1977</v>
      </c>
      <c r="I196" s="462"/>
      <c r="J196" s="462"/>
      <c r="K196" s="462"/>
      <c r="L196" s="462"/>
      <c r="M196" s="462"/>
      <c r="N196" s="462"/>
      <c r="O196" s="462"/>
      <c r="P196" s="462"/>
      <c r="Q196" s="462"/>
      <c r="R196" s="462"/>
      <c r="S196" s="462"/>
      <c r="T196" s="439" cm="1" t="str">
        <f t="array" ref="T196:T196">T195</f>
        <v>true</v>
      </c>
      <c r="U196" s="462"/>
      <c r="V196" s="462"/>
      <c r="W196" s="462"/>
      <c r="X196" s="1519"/>
      <c r="Y196" s="462"/>
      <c r="Z196" s="1520"/>
      <c r="AA196" s="462"/>
      <c r="AB196" s="695" t="s">
        <v>1400</v>
      </c>
      <c r="AC196" s="1311" t="s">
        <v>1331</v>
      </c>
      <c r="AD196" s="525" t="s">
        <v>784</v>
      </c>
      <c r="AE196" s="1370"/>
      <c r="AF196" s="1316"/>
      <c r="AG196" s="1316"/>
      <c r="AH196" s="1048" t="s">
        <v>1964</v>
      </c>
      <c r="AI196" s="1317"/>
      <c r="AJ196" s="1317"/>
      <c r="AK196" s="1318"/>
      <c r="AL196" s="1318"/>
      <c r="AM196" s="1621"/>
      <c r="AN196" s="1621"/>
      <c r="AO196" s="1621"/>
      <c r="AP196" s="1621"/>
    </row>
    <row s="1310" customFormat="1" customHeight="1" ht="14.25">
      <c r="A197" s="647"/>
      <c r="B197" s="462"/>
      <c r="C197" s="462"/>
      <c r="D197" s="462"/>
      <c r="E197" s="629">
        <v>15</v>
      </c>
      <c r="F197" s="498" cm="1" t="str">
        <f t="array" ref="F197:F197">OFFSET(E197,-1,1)</f>
        <v>1</v>
      </c>
      <c r="G197" s="462"/>
      <c r="H197" s="462"/>
      <c r="I197" s="462"/>
      <c r="J197" s="462"/>
      <c r="K197" s="462"/>
      <c r="L197" s="462"/>
      <c r="M197" s="462"/>
      <c r="N197" s="462"/>
      <c r="O197" s="462"/>
      <c r="P197" s="462"/>
      <c r="Q197" s="462"/>
      <c r="R197" s="462"/>
      <c r="S197" s="462"/>
      <c r="T197" s="439" cm="1" t="str">
        <f t="array" ref="T197:T197">T196</f>
        <v>true</v>
      </c>
      <c r="U197" s="462"/>
      <c r="V197" s="462"/>
      <c r="W197" s="462"/>
      <c r="X197" s="1519"/>
      <c r="Y197" s="462"/>
      <c r="Z197" s="1520"/>
      <c r="AA197" s="462"/>
      <c r="AB197" s="1297" t="s">
        <v>1974</v>
      </c>
      <c r="AC197" s="1311" t="s">
        <v>949</v>
      </c>
      <c r="AD197" s="1299" t="s">
        <v>784</v>
      </c>
      <c r="AE197" s="535"/>
      <c r="AF197" s="1093"/>
      <c r="AG197" s="1093"/>
      <c r="AH197" s="1048" t="s">
        <v>951</v>
      </c>
      <c r="AI197" s="1042"/>
      <c r="AJ197" s="1042"/>
      <c r="AK197" s="948"/>
      <c r="AL197" s="948"/>
      <c r="AM197" s="1310"/>
      <c r="AN197" s="1310"/>
      <c r="AO197" s="1310"/>
      <c r="AP197" s="1310"/>
    </row>
    <row s="1310" customFormat="1" customHeight="1" ht="14.25">
      <c r="A198" s="647"/>
      <c r="B198" s="462"/>
      <c r="C198" s="462"/>
      <c r="D198" s="462"/>
      <c r="E198" s="629">
        <v>15</v>
      </c>
      <c r="F198" s="498" cm="1" t="str">
        <f t="array" ref="F198:F198">OFFSET(E198,-1,1)</f>
        <v>1</v>
      </c>
      <c r="G198" s="462"/>
      <c r="H198" s="462"/>
      <c r="I198" s="462"/>
      <c r="J198" s="462"/>
      <c r="K198" s="462"/>
      <c r="L198" s="462"/>
      <c r="M198" s="462"/>
      <c r="N198" s="462"/>
      <c r="O198" s="462"/>
      <c r="P198" s="462"/>
      <c r="Q198" s="462"/>
      <c r="R198" s="462"/>
      <c r="S198" s="462"/>
      <c r="T198" s="439" cm="1" t="str">
        <f t="array" ref="T198:T198">T197</f>
        <v>true</v>
      </c>
      <c r="U198" s="462"/>
      <c r="V198" s="462"/>
      <c r="W198" s="462"/>
      <c r="X198" s="1519"/>
      <c r="Y198" s="462"/>
      <c r="Z198" s="1520"/>
      <c r="AA198" s="462"/>
      <c r="AB198" s="1297" t="s">
        <v>1419</v>
      </c>
      <c r="AC198" s="1311" t="s">
        <v>1342</v>
      </c>
      <c r="AD198" s="1299" t="s">
        <v>784</v>
      </c>
      <c r="AE198" s="535"/>
      <c r="AF198" s="1093"/>
      <c r="AG198" s="1093"/>
      <c r="AH198" s="1048" t="s">
        <v>2253</v>
      </c>
      <c r="AI198" s="1042"/>
      <c r="AJ198" s="1042"/>
      <c r="AK198" s="948"/>
      <c r="AL198" s="948"/>
      <c r="AM198" s="1310"/>
      <c r="AN198" s="1310"/>
      <c r="AO198" s="1310"/>
      <c r="AP198" s="1310"/>
    </row>
    <row s="1621" customFormat="1" customHeight="1" ht="14.25">
      <c r="A199" s="647"/>
      <c r="B199" s="462"/>
      <c r="C199" s="462"/>
      <c r="D199" s="462"/>
      <c r="E199" s="629">
        <v>15</v>
      </c>
      <c r="F199" s="50" cm="1" t="str">
        <f t="array" ref="F199:F199">OFFSET(E199,-1,1)</f>
        <v>1</v>
      </c>
      <c r="G199" s="462"/>
      <c r="H199" s="462" t="s">
        <v>2254</v>
      </c>
      <c r="I199" s="462"/>
      <c r="J199" s="462"/>
      <c r="K199" s="462"/>
      <c r="L199" s="462"/>
      <c r="M199" s="462"/>
      <c r="N199" s="462"/>
      <c r="O199" s="462"/>
      <c r="P199" s="462"/>
      <c r="Q199" s="462"/>
      <c r="R199" s="462"/>
      <c r="S199" s="462"/>
      <c r="T199" s="439" cm="1" t="str">
        <f t="array" ref="T199:T199">T196</f>
        <v>true</v>
      </c>
      <c r="U199" s="462"/>
      <c r="V199" s="462"/>
      <c r="W199" s="462"/>
      <c r="X199" s="1519"/>
      <c r="Y199" s="462"/>
      <c r="Z199" s="1520"/>
      <c r="AA199" s="462"/>
      <c r="AB199" s="695" t="s">
        <v>1423</v>
      </c>
      <c r="AC199" s="524" t="s">
        <v>2255</v>
      </c>
      <c r="AD199" s="525" t="s">
        <v>784</v>
      </c>
      <c r="AE199" s="1370"/>
      <c r="AF199" s="1316"/>
      <c r="AG199" s="1316"/>
      <c r="AH199" s="984" t="s">
        <v>2256</v>
      </c>
      <c r="AI199" s="1317"/>
      <c r="AJ199" s="1317"/>
      <c r="AK199" s="1318"/>
      <c r="AL199" s="1318"/>
      <c r="AM199" s="1621"/>
      <c r="AN199" s="1621"/>
      <c r="AO199" s="1621"/>
      <c r="AP199" s="1621"/>
    </row>
    <row s="1310" customFormat="1" customHeight="1" ht="31.5">
      <c r="A200" s="647"/>
      <c r="B200" s="462"/>
      <c r="C200" s="462"/>
      <c r="D200" s="462"/>
      <c r="E200" s="629">
        <v>33</v>
      </c>
      <c r="F200" s="498" cm="1" t="str">
        <f t="array" ref="F200:F200">OFFSET(E200,-1,1)</f>
        <v>1</v>
      </c>
      <c r="G200" s="462"/>
      <c r="H200" s="462"/>
      <c r="I200" s="462"/>
      <c r="J200" s="462"/>
      <c r="K200" s="462"/>
      <c r="L200" s="462"/>
      <c r="M200" s="462"/>
      <c r="N200" s="462"/>
      <c r="O200" s="462"/>
      <c r="P200" s="462"/>
      <c r="Q200" s="462"/>
      <c r="R200" s="462"/>
      <c r="S200" s="462"/>
      <c r="T200" s="439" cm="1" t="str">
        <f t="array" ref="T200:T200">T199</f>
        <v>true</v>
      </c>
      <c r="U200" s="462"/>
      <c r="V200" s="462"/>
      <c r="W200" s="462"/>
      <c r="X200" s="1519"/>
      <c r="Y200" s="462"/>
      <c r="Z200" s="1520"/>
      <c r="AA200" s="462"/>
      <c r="AB200" s="1297" t="s">
        <v>1426</v>
      </c>
      <c r="AC200" s="1298" t="s">
        <v>1987</v>
      </c>
      <c r="AD200" s="1299" t="s">
        <v>784</v>
      </c>
      <c r="AE200" s="535"/>
      <c r="AF200" s="1093"/>
      <c r="AG200" s="1093"/>
      <c r="AH200" s="1042" t="s">
        <v>2257</v>
      </c>
      <c r="AI200" s="1042"/>
      <c r="AJ200" s="1042"/>
      <c r="AK200" s="948"/>
      <c r="AL200" s="948"/>
      <c r="AM200" s="1310"/>
      <c r="AN200" s="1310"/>
      <c r="AO200" s="1310"/>
      <c r="AP200" s="1310"/>
    </row>
    <row s="1621" customFormat="1" customHeight="1" ht="14.25">
      <c r="A201" s="647"/>
      <c r="B201" s="462"/>
      <c r="C201" s="462"/>
      <c r="D201" s="462"/>
      <c r="E201" s="629">
        <v>15</v>
      </c>
      <c r="F201" s="50" cm="1" t="str">
        <f t="array" ref="F201:F201">OFFSET(E201,-1,1)</f>
        <v>1</v>
      </c>
      <c r="G201" s="462"/>
      <c r="H201" s="462" t="s">
        <v>2258</v>
      </c>
      <c r="I201" s="462"/>
      <c r="J201" s="462"/>
      <c r="K201" s="462"/>
      <c r="L201" s="462"/>
      <c r="M201" s="462"/>
      <c r="N201" s="462"/>
      <c r="O201" s="462"/>
      <c r="P201" s="462"/>
      <c r="Q201" s="462"/>
      <c r="R201" s="462"/>
      <c r="S201" s="462"/>
      <c r="T201" s="439" cm="1" t="str">
        <f t="array" ref="T201:T201">T199</f>
        <v>true</v>
      </c>
      <c r="U201" s="462"/>
      <c r="V201" s="462"/>
      <c r="W201" s="462"/>
      <c r="X201" s="1519"/>
      <c r="Y201" s="462"/>
      <c r="Z201" s="1520"/>
      <c r="AA201" s="462"/>
      <c r="AB201" s="695" t="s">
        <v>2259</v>
      </c>
      <c r="AC201" s="524" t="s">
        <v>2260</v>
      </c>
      <c r="AD201" s="525" t="s">
        <v>784</v>
      </c>
      <c r="AE201" s="534">
        <f>SUM(AE202:AE203)</f>
        <v>0</v>
      </c>
      <c r="AF201" s="1316"/>
      <c r="AG201" s="1316"/>
      <c r="AH201" s="984" t="s">
        <v>2261</v>
      </c>
      <c r="AI201" s="1317"/>
      <c r="AJ201" s="1317"/>
      <c r="AK201" s="1318"/>
      <c r="AL201" s="1318"/>
      <c r="AM201" s="1621"/>
      <c r="AN201" s="1621"/>
      <c r="AO201" s="1621"/>
      <c r="AP201" s="1621"/>
    </row>
    <row s="1621" customFormat="1" customHeight="1" ht="14.25" hidden="1">
      <c r="A202" s="647"/>
      <c r="B202" s="462"/>
      <c r="C202" s="462"/>
      <c r="D202" s="462"/>
      <c r="E202" s="629">
        <v>15</v>
      </c>
      <c r="F202" s="50" cm="1" t="str">
        <f t="array" ref="F202:F202">OFFSET(E202,-1,1)</f>
        <v>1</v>
      </c>
      <c r="G202" s="462"/>
      <c r="H202" s="462" t="s">
        <v>2258</v>
      </c>
      <c r="I202" s="540" cm="1" t="str">
        <f t="array" ref="I202:I202">AC202</f>
        <v>0</v>
      </c>
      <c r="J202" s="462"/>
      <c r="K202" s="462"/>
      <c r="L202" s="462"/>
      <c r="M202" s="462"/>
      <c r="N202" s="462"/>
      <c r="O202" s="462"/>
      <c r="P202" s="462"/>
      <c r="Q202" s="462"/>
      <c r="R202" s="462"/>
      <c r="S202" s="462"/>
      <c r="T202" s="439">
        <f>AND(F202&gt;0,Y202&gt;0)</f>
        <v>0</v>
      </c>
      <c r="U202" s="462"/>
      <c r="V202" s="462"/>
      <c r="W202" s="532" t="s">
        <v>173</v>
      </c>
      <c r="X202" s="1519"/>
      <c r="Y202" s="462">
        <v>0</v>
      </c>
      <c r="Z202" s="1520"/>
      <c r="AA202" s="642" t="s">
        <v>174</v>
      </c>
      <c r="AB202" s="695" t="str">
        <f>"2.12."&amp;Y202</f>
        <v>2.12.0</v>
      </c>
      <c r="AC202" s="5204"/>
      <c r="AD202" s="525" t="s">
        <v>784</v>
      </c>
      <c r="AE202" s="5205"/>
      <c r="AF202" s="1316"/>
      <c r="AG202" s="1316"/>
      <c r="AH202" s="984" t="s">
        <v>2261</v>
      </c>
      <c r="AI202" s="984" t="s">
        <v>2262</v>
      </c>
      <c r="AJ202" s="989" cm="1" t="str">
        <f t="array" ref="AJ202:AJ202">AC202</f>
        <v>0</v>
      </c>
      <c r="AK202" s="1318"/>
      <c r="AL202" s="636" t="b">
        <v>1</v>
      </c>
      <c r="AM202" s="1621"/>
      <c r="AN202" s="1621"/>
      <c r="AO202" s="1621"/>
      <c r="AP202" s="1621"/>
    </row>
    <row s="1621" customFormat="1" customHeight="1" ht="14.25">
      <c r="A203" s="647"/>
      <c r="B203" s="462"/>
      <c r="C203" s="462"/>
      <c r="D203" s="462"/>
      <c r="E203" s="629">
        <v>15</v>
      </c>
      <c r="F203" s="50" cm="1" t="str">
        <f t="array" ref="F203:F203">OFFSET(E203,-1,1)</f>
        <v>1</v>
      </c>
      <c r="G203" s="462"/>
      <c r="H203" s="462"/>
      <c r="I203" s="124" t="str">
        <f>"!== 'не определено' &amp;&amp; row.l2_13 !== null"</f>
        <v>!== 'не определено' &amp;&amp; row.l2_13 !== null</v>
      </c>
      <c r="J203" s="462"/>
      <c r="K203" s="462"/>
      <c r="L203" s="462"/>
      <c r="M203" s="462"/>
      <c r="N203" s="462"/>
      <c r="O203" s="462"/>
      <c r="P203" s="462"/>
      <c r="Q203" s="462"/>
      <c r="R203" s="462"/>
      <c r="S203" s="462"/>
      <c r="T203" s="439">
        <f>F203&gt;0</f>
        <v>1</v>
      </c>
      <c r="U203" s="462"/>
      <c r="V203" s="462"/>
      <c r="W203" s="810" t="s">
        <v>832</v>
      </c>
      <c r="X203" s="1519"/>
      <c r="Y203" s="462"/>
      <c r="Z203" s="1520"/>
      <c r="AA203" s="462"/>
      <c r="AB203" s="1306"/>
      <c r="AC203" s="1372" t="s">
        <v>177</v>
      </c>
      <c r="AD203" s="1308"/>
      <c r="AE203" s="1371"/>
      <c r="AF203" s="1316"/>
      <c r="AG203" s="1316"/>
      <c r="AH203" s="1317"/>
      <c r="AI203" s="1317"/>
      <c r="AJ203" s="1317"/>
      <c r="AK203" s="636" t="s">
        <v>2262</v>
      </c>
      <c r="AL203" s="1318"/>
      <c r="AM203" s="1621"/>
      <c r="AN203" s="1621"/>
      <c r="AO203" s="1621"/>
      <c r="AP203" s="1621"/>
    </row>
    <row s="1621" customFormat="1" customHeight="1" ht="14.25">
      <c r="A204" s="647"/>
      <c r="B204" s="462"/>
      <c r="C204" s="462"/>
      <c r="D204" s="462"/>
      <c r="E204" s="629">
        <v>15</v>
      </c>
      <c r="F204" s="50" cm="1" t="str">
        <f t="array" ref="F204:F204">OFFSET(E204,-1,1)</f>
        <v>1</v>
      </c>
      <c r="G204" s="462" t="s">
        <v>49</v>
      </c>
      <c r="H204" s="462" t="s">
        <v>327</v>
      </c>
      <c r="I204" s="462"/>
      <c r="J204" s="462"/>
      <c r="K204" s="462"/>
      <c r="L204" s="462"/>
      <c r="M204" s="462"/>
      <c r="N204" s="462"/>
      <c r="O204" s="462"/>
      <c r="P204" s="462"/>
      <c r="Q204" s="462"/>
      <c r="R204" s="462"/>
      <c r="S204" s="462"/>
      <c r="T204" s="439" cm="1" t="str">
        <f t="array" ref="T204:T204">T203</f>
        <v>true</v>
      </c>
      <c r="U204" s="462"/>
      <c r="V204" s="462"/>
      <c r="W204" s="462"/>
      <c r="X204" s="1519"/>
      <c r="Y204" s="462"/>
      <c r="Z204" s="1520"/>
      <c r="AA204" s="462"/>
      <c r="AB204" s="694" t="s">
        <v>323</v>
      </c>
      <c r="AC204" s="522" t="s">
        <v>1990</v>
      </c>
      <c r="AD204" s="523" t="s">
        <v>784</v>
      </c>
      <c r="AE204" s="1373"/>
      <c r="AF204" s="1316"/>
      <c r="AG204" s="1316"/>
      <c r="AH204" s="984" t="s">
        <v>1598</v>
      </c>
      <c r="AI204" s="1317"/>
      <c r="AJ204" s="1317"/>
      <c r="AK204" s="1318"/>
      <c r="AL204" s="1318"/>
      <c r="AM204" s="1621"/>
      <c r="AN204" s="1621"/>
      <c r="AO204" s="1621"/>
      <c r="AP204" s="1621"/>
    </row>
    <row s="1621" customFormat="1" customHeight="1" ht="14.25">
      <c r="A205" s="647"/>
      <c r="B205" s="462"/>
      <c r="C205" s="462"/>
      <c r="D205" s="462"/>
      <c r="E205" s="629">
        <v>15</v>
      </c>
      <c r="F205" s="817" cm="1" t="str">
        <f t="array" ref="F205:F205">X205</f>
        <v>2</v>
      </c>
      <c r="G205" s="462" t="s">
        <v>777</v>
      </c>
      <c r="H205" s="462"/>
      <c r="I205" s="462"/>
      <c r="J205" s="462"/>
      <c r="K205" s="462"/>
      <c r="L205" s="462"/>
      <c r="M205" s="462"/>
      <c r="N205" s="462"/>
      <c r="O205" s="462"/>
      <c r="P205" s="462"/>
      <c r="Q205" s="462"/>
      <c r="R205" s="462"/>
      <c r="S205" s="462"/>
      <c r="T205" s="439">
        <f>X205&gt;0</f>
        <v>1</v>
      </c>
      <c r="U205" s="462"/>
      <c r="V205" s="462" cm="1" t="str">
        <f t="array" ref="V205:V205">'ДПР (концессии)'!$AB$134</f>
        <v>Тариф 2 (Водоотведение) - тариф на водоотведение (Оказание услуг на территории: Прокопьевский муниципальный округ (ОКТМО: 32522000) - п Калачево)</v>
      </c>
      <c r="W205" s="462"/>
      <c r="X205" s="1519" t="s">
        <v>283</v>
      </c>
      <c r="Y205" s="462"/>
      <c r="Z205" s="1520"/>
      <c r="AA205" s="462"/>
      <c r="AB205" s="189" cm="1" t="str">
        <f t="array" ref="AB205:AB205">'ДПР (концессии)'!$AB$134</f>
        <v>Тариф 2 (Водоотведение) - тариф на водоотведение (Оказание услуг на территории: Прокопьевский муниципальный округ (ОКТМО: 32522000) - п Калачево)</v>
      </c>
      <c r="AC205" s="147"/>
      <c r="AD205" s="141"/>
      <c r="AE205" s="1293">
        <f>AE206+AE256+AE293</f>
        <v>0</v>
      </c>
      <c r="AF205" s="1316"/>
      <c r="AG205" s="1316"/>
      <c r="AH205" s="1317"/>
      <c r="AI205" s="1317"/>
      <c r="AJ205" s="1317"/>
      <c r="AK205" s="1318"/>
      <c r="AL205" s="1318"/>
      <c r="AM205" s="1621"/>
      <c r="AN205" s="1621"/>
      <c r="AO205" s="1621"/>
      <c r="AP205" s="1621"/>
    </row>
    <row s="1621" customFormat="1" customHeight="1" ht="14.25">
      <c r="A206" s="647"/>
      <c r="B206" s="462"/>
      <c r="C206" s="462"/>
      <c r="D206" s="462"/>
      <c r="E206" s="629">
        <v>15</v>
      </c>
      <c r="F206" s="50" cm="1" t="str">
        <f t="array" ref="F206:F206">OFFSET(E206,-1,1)</f>
        <v>2</v>
      </c>
      <c r="G206" s="462"/>
      <c r="H206" s="462" t="s">
        <v>325</v>
      </c>
      <c r="I206" s="462"/>
      <c r="J206" s="462"/>
      <c r="K206" s="462"/>
      <c r="L206" s="462"/>
      <c r="M206" s="462"/>
      <c r="N206" s="462"/>
      <c r="O206" s="462"/>
      <c r="P206" s="462"/>
      <c r="Q206" s="462"/>
      <c r="R206" s="462"/>
      <c r="S206" s="462"/>
      <c r="T206" s="439" cm="1" t="str">
        <f t="array" ref="T206:T206">T205</f>
        <v>true</v>
      </c>
      <c r="U206" s="462"/>
      <c r="V206" s="462"/>
      <c r="W206" s="462"/>
      <c r="X206" s="1519"/>
      <c r="Y206" s="462"/>
      <c r="Z206" s="1520"/>
      <c r="AA206" s="462"/>
      <c r="AB206" s="1294" t="s">
        <v>272</v>
      </c>
      <c r="AC206" s="1295" t="s">
        <v>1798</v>
      </c>
      <c r="AD206" s="1296" t="s">
        <v>784</v>
      </c>
      <c r="AE206" s="1369">
        <f>AE207+AE225+AE233+AE253</f>
        <v>0</v>
      </c>
      <c r="AF206" s="1316"/>
      <c r="AG206" s="1316"/>
      <c r="AH206" s="984" t="s">
        <v>504</v>
      </c>
      <c r="AI206" s="1317"/>
      <c r="AJ206" s="1317"/>
      <c r="AK206" s="1318"/>
      <c r="AL206" s="1318"/>
      <c r="AM206" s="1621"/>
      <c r="AN206" s="1621"/>
      <c r="AO206" s="1621"/>
      <c r="AP206" s="1621"/>
    </row>
    <row s="1621" customFormat="1" customHeight="1" ht="14.25">
      <c r="A207" s="647"/>
      <c r="B207" s="462"/>
      <c r="C207" s="462"/>
      <c r="D207" s="462"/>
      <c r="E207" s="629">
        <v>15</v>
      </c>
      <c r="F207" s="50" cm="1" t="str">
        <f t="array" ref="F207:F207">OFFSET(E207,-1,1)</f>
        <v>2</v>
      </c>
      <c r="G207" s="462"/>
      <c r="H207" s="462" t="s">
        <v>441</v>
      </c>
      <c r="I207" s="462"/>
      <c r="J207" s="462"/>
      <c r="K207" s="462"/>
      <c r="L207" s="462"/>
      <c r="M207" s="462"/>
      <c r="N207" s="462"/>
      <c r="O207" s="462"/>
      <c r="P207" s="462"/>
      <c r="Q207" s="462"/>
      <c r="R207" s="462"/>
      <c r="S207" s="462"/>
      <c r="T207" s="439" cm="1" t="str">
        <f t="array" ref="T207:T207">T206</f>
        <v>true</v>
      </c>
      <c r="U207" s="462"/>
      <c r="V207" s="462"/>
      <c r="W207" s="462"/>
      <c r="X207" s="1519"/>
      <c r="Y207" s="462"/>
      <c r="Z207" s="1520"/>
      <c r="AA207" s="462"/>
      <c r="AB207" s="1297" t="s">
        <v>845</v>
      </c>
      <c r="AC207" s="1298" t="s">
        <v>1586</v>
      </c>
      <c r="AD207" s="1299" t="s">
        <v>784</v>
      </c>
      <c r="AE207" s="534">
        <f>AE208+AE209+AE210+AE215+AE216+AE217</f>
        <v>0</v>
      </c>
      <c r="AF207" s="1316"/>
      <c r="AG207" s="1316"/>
      <c r="AH207" s="984" t="s">
        <v>1040</v>
      </c>
      <c r="AI207" s="1317"/>
      <c r="AJ207" s="1317"/>
      <c r="AK207" s="1318"/>
      <c r="AL207" s="1318"/>
      <c r="AM207" s="1621"/>
      <c r="AN207" s="1621"/>
      <c r="AO207" s="1621"/>
      <c r="AP207" s="1621"/>
    </row>
    <row s="1621" customFormat="1" customHeight="1" ht="14.25">
      <c r="A208" s="647"/>
      <c r="B208" s="462"/>
      <c r="C208" s="462"/>
      <c r="D208" s="462"/>
      <c r="E208" s="629">
        <v>15</v>
      </c>
      <c r="F208" s="50" cm="1" t="str">
        <f t="array" ref="F208:F208">OFFSET(E208,-1,1)</f>
        <v>2</v>
      </c>
      <c r="G208" s="462"/>
      <c r="H208" s="462" t="s">
        <v>954</v>
      </c>
      <c r="I208" s="462"/>
      <c r="J208" s="462"/>
      <c r="K208" s="462"/>
      <c r="L208" s="462"/>
      <c r="M208" s="462"/>
      <c r="N208" s="462"/>
      <c r="O208" s="462"/>
      <c r="P208" s="462"/>
      <c r="Q208" s="462"/>
      <c r="R208" s="462"/>
      <c r="S208" s="462"/>
      <c r="T208" s="439" cm="1" t="str">
        <f t="array" ref="T208:T208">T207</f>
        <v>true</v>
      </c>
      <c r="U208" s="462"/>
      <c r="V208" s="462"/>
      <c r="W208" s="462"/>
      <c r="X208" s="1519"/>
      <c r="Y208" s="462"/>
      <c r="Z208" s="1520"/>
      <c r="AA208" s="462"/>
      <c r="AB208" s="695" t="s">
        <v>955</v>
      </c>
      <c r="AC208" s="1300" t="s">
        <v>2129</v>
      </c>
      <c r="AD208" s="525" t="s">
        <v>784</v>
      </c>
      <c r="AE208" s="1370"/>
      <c r="AF208" s="1316"/>
      <c r="AG208" s="1316"/>
      <c r="AH208" s="984" t="s">
        <v>1136</v>
      </c>
      <c r="AI208" s="1317"/>
      <c r="AJ208" s="1317"/>
      <c r="AK208" s="1318"/>
      <c r="AL208" s="1318"/>
      <c r="AM208" s="1621"/>
      <c r="AN208" s="1621"/>
      <c r="AO208" s="1621"/>
      <c r="AP208" s="1621"/>
    </row>
    <row s="1621" customFormat="1" customHeight="1" ht="21.75">
      <c r="A209" s="647"/>
      <c r="B209" s="462"/>
      <c r="C209" s="462"/>
      <c r="D209" s="462"/>
      <c r="E209" s="629">
        <v>22.5</v>
      </c>
      <c r="F209" s="50" cm="1" t="str">
        <f t="array" ref="F209:F209">OFFSET(E209,-1,1)</f>
        <v>2</v>
      </c>
      <c r="G209" s="462"/>
      <c r="H209" s="462" t="s">
        <v>958</v>
      </c>
      <c r="I209" s="462"/>
      <c r="J209" s="462"/>
      <c r="K209" s="462"/>
      <c r="L209" s="462"/>
      <c r="M209" s="462"/>
      <c r="N209" s="462"/>
      <c r="O209" s="462"/>
      <c r="P209" s="462"/>
      <c r="Q209" s="462"/>
      <c r="R209" s="462"/>
      <c r="S209" s="462"/>
      <c r="T209" s="439" cm="1" t="str">
        <f t="array" ref="T209:T209">T208</f>
        <v>true</v>
      </c>
      <c r="U209" s="462"/>
      <c r="V209" s="462"/>
      <c r="W209" s="462"/>
      <c r="X209" s="1519"/>
      <c r="Y209" s="462"/>
      <c r="Z209" s="1520"/>
      <c r="AA209" s="462"/>
      <c r="AB209" s="695" t="s">
        <v>959</v>
      </c>
      <c r="AC209" s="526" t="s">
        <v>1806</v>
      </c>
      <c r="AD209" s="525" t="s">
        <v>784</v>
      </c>
      <c r="AE209" s="1370"/>
      <c r="AF209" s="1316"/>
      <c r="AG209" s="1316"/>
      <c r="AH209" s="984" t="s">
        <v>1619</v>
      </c>
      <c r="AI209" s="1317"/>
      <c r="AJ209" s="1317"/>
      <c r="AK209" s="1318"/>
      <c r="AL209" s="1318"/>
      <c r="AM209" s="1621"/>
      <c r="AN209" s="1621"/>
      <c r="AO209" s="1621"/>
      <c r="AP209" s="1621"/>
    </row>
    <row s="1621" customFormat="1" customHeight="1" ht="32.25">
      <c r="A210" s="647"/>
      <c r="B210" s="462"/>
      <c r="C210" s="462"/>
      <c r="D210" s="462"/>
      <c r="E210" s="629">
        <v>33.75</v>
      </c>
      <c r="F210" s="50" cm="1" t="str">
        <f t="array" ref="F210:F210">OFFSET(E210,-1,1)</f>
        <v>2</v>
      </c>
      <c r="G210" s="462"/>
      <c r="H210" s="462" t="s">
        <v>1194</v>
      </c>
      <c r="I210" s="462"/>
      <c r="J210" s="462"/>
      <c r="K210" s="462"/>
      <c r="L210" s="462"/>
      <c r="M210" s="462"/>
      <c r="N210" s="462"/>
      <c r="O210" s="462"/>
      <c r="P210" s="462"/>
      <c r="Q210" s="462"/>
      <c r="R210" s="462"/>
      <c r="S210" s="462"/>
      <c r="T210" s="439" cm="1" t="str">
        <f t="array" ref="T210:T210">T209</f>
        <v>true</v>
      </c>
      <c r="U210" s="462"/>
      <c r="V210" s="462"/>
      <c r="W210" s="462"/>
      <c r="X210" s="1519"/>
      <c r="Y210" s="462"/>
      <c r="Z210" s="1520"/>
      <c r="AA210" s="462"/>
      <c r="AB210" s="695" t="s">
        <v>1195</v>
      </c>
      <c r="AC210" s="526" t="s">
        <v>2130</v>
      </c>
      <c r="AD210" s="525" t="s">
        <v>784</v>
      </c>
      <c r="AE210" s="534">
        <f>AE211+AE214</f>
        <v>0</v>
      </c>
      <c r="AF210" s="1316"/>
      <c r="AG210" s="1316"/>
      <c r="AH210" s="984" t="s">
        <v>1621</v>
      </c>
      <c r="AI210" s="1317"/>
      <c r="AJ210" s="1317"/>
      <c r="AK210" s="1318"/>
      <c r="AL210" s="1318"/>
      <c r="AM210" s="1621"/>
      <c r="AN210" s="1621"/>
      <c r="AO210" s="1621"/>
      <c r="AP210" s="1621"/>
    </row>
    <row s="1621" customFormat="1" customHeight="1" ht="21.75">
      <c r="A211" s="647"/>
      <c r="B211" s="462"/>
      <c r="C211" s="462"/>
      <c r="D211" s="462"/>
      <c r="E211" s="629">
        <v>22.5</v>
      </c>
      <c r="F211" s="50" cm="1" t="str">
        <f t="array" ref="F211:F211">OFFSET(E211,-1,1)</f>
        <v>2</v>
      </c>
      <c r="G211" s="462"/>
      <c r="H211" s="462" t="s">
        <v>2131</v>
      </c>
      <c r="I211" s="462"/>
      <c r="J211" s="462"/>
      <c r="K211" s="462"/>
      <c r="L211" s="462"/>
      <c r="M211" s="462"/>
      <c r="N211" s="462"/>
      <c r="O211" s="462"/>
      <c r="P211" s="462"/>
      <c r="Q211" s="462"/>
      <c r="R211" s="462"/>
      <c r="S211" s="462"/>
      <c r="T211" s="439" cm="1" t="str">
        <f t="array" ref="T211:T211">T210</f>
        <v>true</v>
      </c>
      <c r="U211" s="462"/>
      <c r="V211" s="462"/>
      <c r="W211" s="462"/>
      <c r="X211" s="1519"/>
      <c r="Y211" s="462"/>
      <c r="Z211" s="1520"/>
      <c r="AA211" s="462"/>
      <c r="AB211" s="695" t="s">
        <v>2132</v>
      </c>
      <c r="AC211" s="1301" t="s">
        <v>2133</v>
      </c>
      <c r="AD211" s="525" t="s">
        <v>784</v>
      </c>
      <c r="AE211" s="1370"/>
      <c r="AF211" s="1316"/>
      <c r="AG211" s="1316"/>
      <c r="AH211" s="984" t="s">
        <v>1623</v>
      </c>
      <c r="AI211" s="1317"/>
      <c r="AJ211" s="1317"/>
      <c r="AK211" s="1318"/>
      <c r="AL211" s="1318"/>
      <c r="AM211" s="1621"/>
      <c r="AN211" s="1621"/>
      <c r="AO211" s="1621"/>
      <c r="AP211" s="1621"/>
    </row>
    <row s="1621" customFormat="1" customHeight="1" ht="21.75">
      <c r="A212" s="647"/>
      <c r="B212" s="462"/>
      <c r="C212" s="462"/>
      <c r="D212" s="462"/>
      <c r="E212" s="629">
        <v>22.5</v>
      </c>
      <c r="F212" s="50" cm="1" t="str">
        <f t="array" ref="F212:F212">OFFSET(E212,-1,1)</f>
        <v>2</v>
      </c>
      <c r="G212" s="462"/>
      <c r="H212" s="462" t="s">
        <v>2134</v>
      </c>
      <c r="I212" s="462"/>
      <c r="J212" s="462"/>
      <c r="K212" s="462"/>
      <c r="L212" s="462"/>
      <c r="M212" s="462"/>
      <c r="N212" s="462"/>
      <c r="O212" s="462"/>
      <c r="P212" s="462"/>
      <c r="Q212" s="462"/>
      <c r="R212" s="462"/>
      <c r="S212" s="462"/>
      <c r="T212" s="439" cm="1" t="str">
        <f t="array" ref="T212:T212">T211</f>
        <v>true</v>
      </c>
      <c r="U212" s="462"/>
      <c r="V212" s="462"/>
      <c r="W212" s="462"/>
      <c r="X212" s="1519"/>
      <c r="Y212" s="462"/>
      <c r="Z212" s="1520"/>
      <c r="AA212" s="462"/>
      <c r="AB212" s="695" t="s">
        <v>2135</v>
      </c>
      <c r="AC212" s="1302" t="s">
        <v>2136</v>
      </c>
      <c r="AD212" s="525" t="s">
        <v>2137</v>
      </c>
      <c r="AE212" s="1370"/>
      <c r="AF212" s="1316"/>
      <c r="AG212" s="1316"/>
      <c r="AH212" s="984" t="s">
        <v>2138</v>
      </c>
      <c r="AI212" s="1317"/>
      <c r="AJ212" s="1317"/>
      <c r="AK212" s="1318"/>
      <c r="AL212" s="1318"/>
      <c r="AM212" s="1621"/>
      <c r="AN212" s="1621"/>
      <c r="AO212" s="1621"/>
      <c r="AP212" s="1621"/>
    </row>
    <row s="1621" customFormat="1" customHeight="1" ht="21.75">
      <c r="A213" s="647"/>
      <c r="B213" s="462"/>
      <c r="C213" s="462"/>
      <c r="D213" s="462"/>
      <c r="E213" s="629">
        <v>22.5</v>
      </c>
      <c r="F213" s="50" cm="1" t="str">
        <f t="array" ref="F213:F213">OFFSET(E213,-1,1)</f>
        <v>2</v>
      </c>
      <c r="G213" s="462"/>
      <c r="H213" s="462" t="s">
        <v>2139</v>
      </c>
      <c r="I213" s="462"/>
      <c r="J213" s="462"/>
      <c r="K213" s="462"/>
      <c r="L213" s="462"/>
      <c r="M213" s="462"/>
      <c r="N213" s="462"/>
      <c r="O213" s="462"/>
      <c r="P213" s="462"/>
      <c r="Q213" s="462"/>
      <c r="R213" s="462"/>
      <c r="S213" s="462"/>
      <c r="T213" s="439" cm="1" t="str">
        <f t="array" ref="T213:T213">T212</f>
        <v>true</v>
      </c>
      <c r="U213" s="462"/>
      <c r="V213" s="462"/>
      <c r="W213" s="462"/>
      <c r="X213" s="1519"/>
      <c r="Y213" s="462"/>
      <c r="Z213" s="1520"/>
      <c r="AA213" s="462"/>
      <c r="AB213" s="695" t="s">
        <v>2140</v>
      </c>
      <c r="AC213" s="528" t="s">
        <v>2141</v>
      </c>
      <c r="AD213" s="525" t="s">
        <v>2142</v>
      </c>
      <c r="AE213" s="1370"/>
      <c r="AF213" s="1316"/>
      <c r="AG213" s="1316"/>
      <c r="AH213" s="984" t="s">
        <v>2143</v>
      </c>
      <c r="AI213" s="1317"/>
      <c r="AJ213" s="1317"/>
      <c r="AK213" s="1318"/>
      <c r="AL213" s="1318"/>
      <c r="AM213" s="1621"/>
      <c r="AN213" s="1621"/>
      <c r="AO213" s="1621"/>
      <c r="AP213" s="1621"/>
    </row>
    <row s="1621" customFormat="1" customHeight="1" ht="21.75">
      <c r="A214" s="647"/>
      <c r="B214" s="462"/>
      <c r="C214" s="462"/>
      <c r="D214" s="462"/>
      <c r="E214" s="629">
        <v>22.5</v>
      </c>
      <c r="F214" s="50" cm="1" t="str">
        <f t="array" ref="F214:F214">OFFSET(E214,-1,1)</f>
        <v>2</v>
      </c>
      <c r="G214" s="462"/>
      <c r="H214" s="462" t="s">
        <v>2144</v>
      </c>
      <c r="I214" s="462"/>
      <c r="J214" s="462"/>
      <c r="K214" s="462"/>
      <c r="L214" s="462"/>
      <c r="M214" s="462"/>
      <c r="N214" s="462"/>
      <c r="O214" s="462"/>
      <c r="P214" s="462"/>
      <c r="Q214" s="462"/>
      <c r="R214" s="462"/>
      <c r="S214" s="462"/>
      <c r="T214" s="439" cm="1" t="str">
        <f t="array" ref="T214:T214">T213</f>
        <v>true</v>
      </c>
      <c r="U214" s="462"/>
      <c r="V214" s="462"/>
      <c r="W214" s="462"/>
      <c r="X214" s="1519"/>
      <c r="Y214" s="462"/>
      <c r="Z214" s="1520"/>
      <c r="AA214" s="462"/>
      <c r="AB214" s="695" t="s">
        <v>2145</v>
      </c>
      <c r="AC214" s="527" t="s">
        <v>2146</v>
      </c>
      <c r="AD214" s="525" t="s">
        <v>784</v>
      </c>
      <c r="AE214" s="1370"/>
      <c r="AF214" s="1316"/>
      <c r="AG214" s="1316"/>
      <c r="AH214" s="984" t="s">
        <v>1625</v>
      </c>
      <c r="AI214" s="1317"/>
      <c r="AJ214" s="1317"/>
      <c r="AK214" s="1318"/>
      <c r="AL214" s="1318"/>
      <c r="AM214" s="1621"/>
      <c r="AN214" s="1621"/>
      <c r="AO214" s="1621"/>
      <c r="AP214" s="1621"/>
    </row>
    <row s="1621" customFormat="1" customHeight="1" ht="14.25">
      <c r="A215" s="647"/>
      <c r="B215" s="462"/>
      <c r="C215" s="462"/>
      <c r="D215" s="462"/>
      <c r="E215" s="629">
        <v>15</v>
      </c>
      <c r="F215" s="50" cm="1" t="str">
        <f t="array" ref="F215:F215">OFFSET(E215,-1,1)</f>
        <v>2</v>
      </c>
      <c r="G215" s="462"/>
      <c r="H215" s="462" t="s">
        <v>1198</v>
      </c>
      <c r="I215" s="462"/>
      <c r="J215" s="462"/>
      <c r="K215" s="462"/>
      <c r="L215" s="462"/>
      <c r="M215" s="462"/>
      <c r="N215" s="462"/>
      <c r="O215" s="462"/>
      <c r="P215" s="462"/>
      <c r="Q215" s="462"/>
      <c r="R215" s="462"/>
      <c r="S215" s="462"/>
      <c r="T215" s="439" cm="1" t="str">
        <f t="array" ref="T215:T215">T214</f>
        <v>true</v>
      </c>
      <c r="U215" s="462"/>
      <c r="V215" s="462"/>
      <c r="W215" s="462"/>
      <c r="X215" s="1519"/>
      <c r="Y215" s="462"/>
      <c r="Z215" s="1520"/>
      <c r="AA215" s="462"/>
      <c r="AB215" s="695" t="s">
        <v>1199</v>
      </c>
      <c r="AC215" s="526" t="s">
        <v>2147</v>
      </c>
      <c r="AD215" s="525" t="s">
        <v>784</v>
      </c>
      <c r="AE215" s="1370"/>
      <c r="AF215" s="1316"/>
      <c r="AG215" s="1316"/>
      <c r="AH215" s="984" t="s">
        <v>1985</v>
      </c>
      <c r="AI215" s="1317"/>
      <c r="AJ215" s="1317"/>
      <c r="AK215" s="1318"/>
      <c r="AL215" s="1318"/>
      <c r="AM215" s="1621"/>
      <c r="AN215" s="1621"/>
      <c r="AO215" s="1621"/>
      <c r="AP215" s="1621"/>
    </row>
    <row s="1621" customFormat="1" customHeight="1" ht="14.25">
      <c r="A216" s="647"/>
      <c r="B216" s="462"/>
      <c r="C216" s="462"/>
      <c r="D216" s="462"/>
      <c r="E216" s="629">
        <v>15</v>
      </c>
      <c r="F216" s="50" cm="1" t="str">
        <f t="array" ref="F216:F216">OFFSET(E216,-1,1)</f>
        <v>2</v>
      </c>
      <c r="G216" s="462"/>
      <c r="H216" s="462" t="s">
        <v>2148</v>
      </c>
      <c r="I216" s="462"/>
      <c r="J216" s="462"/>
      <c r="K216" s="462"/>
      <c r="L216" s="462"/>
      <c r="M216" s="462"/>
      <c r="N216" s="462"/>
      <c r="O216" s="462"/>
      <c r="P216" s="462"/>
      <c r="Q216" s="462"/>
      <c r="R216" s="462"/>
      <c r="S216" s="462"/>
      <c r="T216" s="439" cm="1" t="str">
        <f t="array" ref="T216:T216">T215</f>
        <v>true</v>
      </c>
      <c r="U216" s="462"/>
      <c r="V216" s="462"/>
      <c r="W216" s="462"/>
      <c r="X216" s="1519"/>
      <c r="Y216" s="462"/>
      <c r="Z216" s="1520"/>
      <c r="AA216" s="462"/>
      <c r="AB216" s="695" t="s">
        <v>1202</v>
      </c>
      <c r="AC216" s="526" t="s">
        <v>1812</v>
      </c>
      <c r="AD216" s="525" t="s">
        <v>784</v>
      </c>
      <c r="AE216" s="1370"/>
      <c r="AF216" s="1316"/>
      <c r="AG216" s="1316"/>
      <c r="AH216" s="984" t="s">
        <v>1630</v>
      </c>
      <c r="AI216" s="1317"/>
      <c r="AJ216" s="1317"/>
      <c r="AK216" s="1318"/>
      <c r="AL216" s="1318"/>
      <c r="AM216" s="1621"/>
      <c r="AN216" s="1621"/>
      <c r="AO216" s="1621"/>
      <c r="AP216" s="1621"/>
    </row>
    <row s="1621" customFormat="1" customHeight="1" ht="14.25">
      <c r="A217" s="647"/>
      <c r="B217" s="462"/>
      <c r="C217" s="462"/>
      <c r="D217" s="462"/>
      <c r="E217" s="629">
        <v>15</v>
      </c>
      <c r="F217" s="50" cm="1" t="str">
        <f t="array" ref="F217:F217">OFFSET(E217,-1,1)</f>
        <v>2</v>
      </c>
      <c r="G217" s="462"/>
      <c r="H217" s="462" t="s">
        <v>2149</v>
      </c>
      <c r="I217" s="462"/>
      <c r="J217" s="462"/>
      <c r="K217" s="462"/>
      <c r="L217" s="462"/>
      <c r="M217" s="462"/>
      <c r="N217" s="462"/>
      <c r="O217" s="462"/>
      <c r="P217" s="462"/>
      <c r="Q217" s="462"/>
      <c r="R217" s="462"/>
      <c r="S217" s="462"/>
      <c r="T217" s="439" cm="1" t="str">
        <f t="array" ref="T217:T217">T216</f>
        <v>true</v>
      </c>
      <c r="U217" s="462"/>
      <c r="V217" s="462"/>
      <c r="W217" s="462"/>
      <c r="X217" s="1519"/>
      <c r="Y217" s="462"/>
      <c r="Z217" s="1520"/>
      <c r="AA217" s="462"/>
      <c r="AB217" s="695" t="s">
        <v>2150</v>
      </c>
      <c r="AC217" s="526" t="s">
        <v>2151</v>
      </c>
      <c r="AD217" s="525" t="s">
        <v>784</v>
      </c>
      <c r="AE217" s="534">
        <f>SUM(AE218:AE224)</f>
        <v>0</v>
      </c>
      <c r="AF217" s="1316"/>
      <c r="AG217" s="1316"/>
      <c r="AH217" s="984" t="s">
        <v>1634</v>
      </c>
      <c r="AI217" s="1317"/>
      <c r="AJ217" s="1317"/>
      <c r="AK217" s="1318"/>
      <c r="AL217" s="1318"/>
      <c r="AM217" s="1621"/>
      <c r="AN217" s="1621"/>
      <c r="AO217" s="1621"/>
      <c r="AP217" s="1621"/>
    </row>
    <row s="1621" customFormat="1" customHeight="1" ht="14.25">
      <c r="A218" s="647"/>
      <c r="B218" s="462"/>
      <c r="C218" s="462"/>
      <c r="D218" s="462"/>
      <c r="E218" s="629">
        <v>15</v>
      </c>
      <c r="F218" s="50" cm="1" t="str">
        <f t="array" ref="F218:F218">OFFSET(E218,-1,1)</f>
        <v>2</v>
      </c>
      <c r="G218" s="462"/>
      <c r="H218" s="462" t="s">
        <v>2152</v>
      </c>
      <c r="I218" s="462"/>
      <c r="J218" s="462"/>
      <c r="K218" s="462"/>
      <c r="L218" s="462"/>
      <c r="M218" s="462"/>
      <c r="N218" s="462"/>
      <c r="O218" s="462"/>
      <c r="P218" s="462"/>
      <c r="Q218" s="462"/>
      <c r="R218" s="462"/>
      <c r="S218" s="462"/>
      <c r="T218" s="439" cm="1" t="str">
        <f t="array" ref="T218:T218">T217</f>
        <v>true</v>
      </c>
      <c r="U218" s="462"/>
      <c r="V218" s="462"/>
      <c r="W218" s="462"/>
      <c r="X218" s="1519"/>
      <c r="Y218" s="462"/>
      <c r="Z218" s="1520"/>
      <c r="AA218" s="462"/>
      <c r="AB218" s="695" t="s">
        <v>2153</v>
      </c>
      <c r="AC218" s="527" t="s">
        <v>1641</v>
      </c>
      <c r="AD218" s="525" t="s">
        <v>784</v>
      </c>
      <c r="AE218" s="1370"/>
      <c r="AF218" s="1316"/>
      <c r="AG218" s="1316"/>
      <c r="AH218" s="984" t="s">
        <v>2154</v>
      </c>
      <c r="AI218" s="1317"/>
      <c r="AJ218" s="1317"/>
      <c r="AK218" s="1318"/>
      <c r="AL218" s="1318"/>
      <c r="AM218" s="1621"/>
      <c r="AN218" s="1621"/>
      <c r="AO218" s="1621"/>
      <c r="AP218" s="1621"/>
    </row>
    <row s="1621" customFormat="1" customHeight="1" ht="21.75">
      <c r="A219" s="647"/>
      <c r="B219" s="462"/>
      <c r="C219" s="462"/>
      <c r="D219" s="462"/>
      <c r="E219" s="629">
        <v>22.5</v>
      </c>
      <c r="F219" s="50" cm="1" t="str">
        <f t="array" ref="F219:F219">OFFSET(E219,-1,1)</f>
        <v>2</v>
      </c>
      <c r="G219" s="462"/>
      <c r="H219" s="462" t="s">
        <v>2155</v>
      </c>
      <c r="I219" s="462"/>
      <c r="J219" s="462"/>
      <c r="K219" s="462"/>
      <c r="L219" s="462"/>
      <c r="M219" s="462"/>
      <c r="N219" s="462"/>
      <c r="O219" s="462"/>
      <c r="P219" s="462"/>
      <c r="Q219" s="462"/>
      <c r="R219" s="462"/>
      <c r="S219" s="462"/>
      <c r="T219" s="439" cm="1" t="str">
        <f t="array" ref="T219:T219">T218</f>
        <v>true</v>
      </c>
      <c r="U219" s="462"/>
      <c r="V219" s="462"/>
      <c r="W219" s="462"/>
      <c r="X219" s="1519"/>
      <c r="Y219" s="462"/>
      <c r="Z219" s="1520"/>
      <c r="AA219" s="462"/>
      <c r="AB219" s="695" t="s">
        <v>2156</v>
      </c>
      <c r="AC219" s="527" t="s">
        <v>1820</v>
      </c>
      <c r="AD219" s="525" t="s">
        <v>784</v>
      </c>
      <c r="AE219" s="1370"/>
      <c r="AF219" s="1316"/>
      <c r="AG219" s="1316"/>
      <c r="AH219" s="1048" t="s">
        <v>1821</v>
      </c>
      <c r="AI219" s="1317"/>
      <c r="AJ219" s="1317"/>
      <c r="AK219" s="1318"/>
      <c r="AL219" s="1318"/>
      <c r="AM219" s="1621"/>
      <c r="AN219" s="1621"/>
      <c r="AO219" s="1621"/>
      <c r="AP219" s="1621"/>
    </row>
    <row s="1621" customFormat="1" customHeight="1" ht="21.75">
      <c r="A220" s="647"/>
      <c r="B220" s="462"/>
      <c r="C220" s="462"/>
      <c r="D220" s="462"/>
      <c r="E220" s="629">
        <v>22.5</v>
      </c>
      <c r="F220" s="50" cm="1" t="str">
        <f t="array" ref="F220:F220">OFFSET(E220,-1,1)</f>
        <v>2</v>
      </c>
      <c r="G220" s="462"/>
      <c r="H220" s="462" t="s">
        <v>2157</v>
      </c>
      <c r="I220" s="462"/>
      <c r="J220" s="462"/>
      <c r="K220" s="462"/>
      <c r="L220" s="462"/>
      <c r="M220" s="462"/>
      <c r="N220" s="462"/>
      <c r="O220" s="462"/>
      <c r="P220" s="462"/>
      <c r="Q220" s="462"/>
      <c r="R220" s="462"/>
      <c r="S220" s="462"/>
      <c r="T220" s="439" cm="1" t="str">
        <f t="array" ref="T220:T220">T219</f>
        <v>true</v>
      </c>
      <c r="U220" s="462"/>
      <c r="V220" s="462"/>
      <c r="W220" s="462"/>
      <c r="X220" s="1519"/>
      <c r="Y220" s="462"/>
      <c r="Z220" s="1520"/>
      <c r="AA220" s="462"/>
      <c r="AB220" s="695" t="s">
        <v>2158</v>
      </c>
      <c r="AC220" s="527" t="s">
        <v>1824</v>
      </c>
      <c r="AD220" s="525" t="s">
        <v>784</v>
      </c>
      <c r="AE220" s="1370"/>
      <c r="AF220" s="1316"/>
      <c r="AG220" s="1316"/>
      <c r="AH220" s="1048" t="s">
        <v>1825</v>
      </c>
      <c r="AI220" s="1317"/>
      <c r="AJ220" s="1317"/>
      <c r="AK220" s="1318"/>
      <c r="AL220" s="1318"/>
      <c r="AM220" s="1621"/>
      <c r="AN220" s="1621"/>
      <c r="AO220" s="1621"/>
      <c r="AP220" s="1621"/>
    </row>
    <row s="1621" customFormat="1" customHeight="1" ht="21.75">
      <c r="A221" s="647"/>
      <c r="B221" s="462"/>
      <c r="C221" s="462"/>
      <c r="D221" s="462"/>
      <c r="E221" s="629">
        <v>22.5</v>
      </c>
      <c r="F221" s="50" cm="1" t="str">
        <f t="array" ref="F221:F221">OFFSET(E221,-1,1)</f>
        <v>2</v>
      </c>
      <c r="G221" s="462"/>
      <c r="H221" s="462" t="s">
        <v>2159</v>
      </c>
      <c r="I221" s="462"/>
      <c r="J221" s="462"/>
      <c r="K221" s="462"/>
      <c r="L221" s="462"/>
      <c r="M221" s="462"/>
      <c r="N221" s="462"/>
      <c r="O221" s="462"/>
      <c r="P221" s="462"/>
      <c r="Q221" s="462"/>
      <c r="R221" s="462"/>
      <c r="S221" s="462"/>
      <c r="T221" s="439" cm="1" t="str">
        <f t="array" ref="T221:T221">T220</f>
        <v>true</v>
      </c>
      <c r="U221" s="462"/>
      <c r="V221" s="462"/>
      <c r="W221" s="462"/>
      <c r="X221" s="1519"/>
      <c r="Y221" s="462"/>
      <c r="Z221" s="1520"/>
      <c r="AA221" s="462"/>
      <c r="AB221" s="695" t="s">
        <v>2160</v>
      </c>
      <c r="AC221" s="527" t="s">
        <v>2161</v>
      </c>
      <c r="AD221" s="525" t="s">
        <v>784</v>
      </c>
      <c r="AE221" s="1370"/>
      <c r="AF221" s="1316"/>
      <c r="AG221" s="1316"/>
      <c r="AH221" s="1048" t="s">
        <v>1829</v>
      </c>
      <c r="AI221" s="1317"/>
      <c r="AJ221" s="1317"/>
      <c r="AK221" s="1318"/>
      <c r="AL221" s="1318"/>
      <c r="AM221" s="1621"/>
      <c r="AN221" s="1621"/>
      <c r="AO221" s="1621"/>
      <c r="AP221" s="1621"/>
    </row>
    <row s="1621" customFormat="1" customHeight="1" ht="54.75">
      <c r="A222" s="647"/>
      <c r="B222" s="462"/>
      <c r="C222" s="462"/>
      <c r="D222" s="462"/>
      <c r="E222" s="629">
        <v>56.25</v>
      </c>
      <c r="F222" s="50" cm="1" t="str">
        <f t="array" ref="F222:F222">OFFSET(E222,-1,1)</f>
        <v>2</v>
      </c>
      <c r="G222" s="462"/>
      <c r="H222" s="462" t="s">
        <v>2162</v>
      </c>
      <c r="I222" s="462"/>
      <c r="J222" s="462"/>
      <c r="K222" s="462"/>
      <c r="L222" s="462"/>
      <c r="M222" s="462"/>
      <c r="N222" s="462"/>
      <c r="O222" s="462"/>
      <c r="P222" s="462"/>
      <c r="Q222" s="462"/>
      <c r="R222" s="462"/>
      <c r="S222" s="462"/>
      <c r="T222" s="439" cm="1" t="str">
        <f t="array" ref="T222:T222">T221</f>
        <v>true</v>
      </c>
      <c r="U222" s="462"/>
      <c r="V222" s="462"/>
      <c r="W222" s="462"/>
      <c r="X222" s="1519"/>
      <c r="Y222" s="462"/>
      <c r="Z222" s="1520"/>
      <c r="AA222" s="462"/>
      <c r="AB222" s="695" t="s">
        <v>2163</v>
      </c>
      <c r="AC222" s="527" t="s">
        <v>1832</v>
      </c>
      <c r="AD222" s="525" t="s">
        <v>784</v>
      </c>
      <c r="AE222" s="1370"/>
      <c r="AF222" s="1316"/>
      <c r="AG222" s="1316"/>
      <c r="AH222" s="1048" t="s">
        <v>1646</v>
      </c>
      <c r="AI222" s="1317"/>
      <c r="AJ222" s="1317"/>
      <c r="AK222" s="1318"/>
      <c r="AL222" s="1318"/>
      <c r="AM222" s="1621"/>
      <c r="AN222" s="1621"/>
      <c r="AO222" s="1621"/>
      <c r="AP222" s="1621"/>
    </row>
    <row s="1621" customFormat="1" customHeight="1" ht="14.25">
      <c r="A223" s="647"/>
      <c r="B223" s="462"/>
      <c r="C223" s="462"/>
      <c r="D223" s="462"/>
      <c r="E223" s="629">
        <v>15</v>
      </c>
      <c r="F223" s="50" cm="1" t="str">
        <f t="array" ref="F223:F223">OFFSET(E223,-1,1)</f>
        <v>2</v>
      </c>
      <c r="G223" s="462"/>
      <c r="H223" s="462" t="s">
        <v>2164</v>
      </c>
      <c r="I223" s="462"/>
      <c r="J223" s="462"/>
      <c r="K223" s="462"/>
      <c r="L223" s="462"/>
      <c r="M223" s="462"/>
      <c r="N223" s="462"/>
      <c r="O223" s="462"/>
      <c r="P223" s="462"/>
      <c r="Q223" s="462"/>
      <c r="R223" s="462"/>
      <c r="S223" s="462"/>
      <c r="T223" s="439" cm="1" t="str">
        <f t="array" ref="T223:T223">T222</f>
        <v>true</v>
      </c>
      <c r="U223" s="462"/>
      <c r="V223" s="462"/>
      <c r="W223" s="462"/>
      <c r="X223" s="1519"/>
      <c r="Y223" s="462"/>
      <c r="Z223" s="1520"/>
      <c r="AA223" s="462"/>
      <c r="AB223" s="695" t="s">
        <v>2165</v>
      </c>
      <c r="AC223" s="527" t="s">
        <v>1649</v>
      </c>
      <c r="AD223" s="525" t="s">
        <v>784</v>
      </c>
      <c r="AE223" s="1370"/>
      <c r="AF223" s="1316"/>
      <c r="AG223" s="1316"/>
      <c r="AH223" s="1048" t="s">
        <v>1650</v>
      </c>
      <c r="AI223" s="1317"/>
      <c r="AJ223" s="1317"/>
      <c r="AK223" s="1318"/>
      <c r="AL223" s="1318"/>
      <c r="AM223" s="1621"/>
      <c r="AN223" s="1621"/>
      <c r="AO223" s="1621"/>
      <c r="AP223" s="1621"/>
    </row>
    <row s="1621" customFormat="1" customHeight="1" ht="14.25">
      <c r="A224" s="647"/>
      <c r="B224" s="462"/>
      <c r="C224" s="462"/>
      <c r="D224" s="462"/>
      <c r="E224" s="629">
        <v>15</v>
      </c>
      <c r="F224" s="50" cm="1" t="str">
        <f t="array" ref="F224:F224">OFFSET(E224,-1,1)</f>
        <v>2</v>
      </c>
      <c r="G224" s="462"/>
      <c r="H224" s="462" t="s">
        <v>2166</v>
      </c>
      <c r="I224" s="462"/>
      <c r="J224" s="462"/>
      <c r="K224" s="462"/>
      <c r="L224" s="462"/>
      <c r="M224" s="462"/>
      <c r="N224" s="462"/>
      <c r="O224" s="462"/>
      <c r="P224" s="462"/>
      <c r="Q224" s="462"/>
      <c r="R224" s="462"/>
      <c r="S224" s="462"/>
      <c r="T224" s="439" cm="1" t="str">
        <f t="array" ref="T224:T224">T223</f>
        <v>true</v>
      </c>
      <c r="U224" s="462"/>
      <c r="V224" s="462"/>
      <c r="W224" s="462"/>
      <c r="X224" s="1519"/>
      <c r="Y224" s="462"/>
      <c r="Z224" s="1520"/>
      <c r="AA224" s="462"/>
      <c r="AB224" s="695" t="s">
        <v>2167</v>
      </c>
      <c r="AC224" s="527" t="s">
        <v>1128</v>
      </c>
      <c r="AD224" s="525" t="s">
        <v>784</v>
      </c>
      <c r="AE224" s="1370"/>
      <c r="AF224" s="1316"/>
      <c r="AG224" s="1316"/>
      <c r="AH224" s="1048" t="s">
        <v>1634</v>
      </c>
      <c r="AI224" s="1317"/>
      <c r="AJ224" s="1317"/>
      <c r="AK224" s="1318"/>
      <c r="AL224" s="1318"/>
      <c r="AM224" s="1621"/>
      <c r="AN224" s="1621"/>
      <c r="AO224" s="1621"/>
      <c r="AP224" s="1621"/>
    </row>
    <row s="1621" customFormat="1" customHeight="1" ht="14.25">
      <c r="A225" s="647"/>
      <c r="B225" s="462"/>
      <c r="C225" s="462"/>
      <c r="D225" s="462"/>
      <c r="E225" s="629">
        <v>15</v>
      </c>
      <c r="F225" s="50" cm="1" t="str">
        <f t="array" ref="F225:F225">OFFSET(E225,-1,1)</f>
        <v>2</v>
      </c>
      <c r="G225" s="462"/>
      <c r="H225" s="462" t="s">
        <v>445</v>
      </c>
      <c r="I225" s="462"/>
      <c r="J225" s="462"/>
      <c r="K225" s="462"/>
      <c r="L225" s="462"/>
      <c r="M225" s="462"/>
      <c r="N225" s="462"/>
      <c r="O225" s="462"/>
      <c r="P225" s="462"/>
      <c r="Q225" s="462"/>
      <c r="R225" s="462"/>
      <c r="S225" s="462"/>
      <c r="T225" s="439" cm="1" t="str">
        <f t="array" ref="T225:T225">T224</f>
        <v>true</v>
      </c>
      <c r="U225" s="462"/>
      <c r="V225" s="462"/>
      <c r="W225" s="462"/>
      <c r="X225" s="1519"/>
      <c r="Y225" s="462"/>
      <c r="Z225" s="1520"/>
      <c r="AA225" s="462"/>
      <c r="AB225" s="695" t="s">
        <v>848</v>
      </c>
      <c r="AC225" s="524" t="s">
        <v>2168</v>
      </c>
      <c r="AD225" s="525" t="s">
        <v>784</v>
      </c>
      <c r="AE225" s="534">
        <f>AE226+AE227+AE228</f>
        <v>0</v>
      </c>
      <c r="AF225" s="1316"/>
      <c r="AG225" s="1316"/>
      <c r="AH225" s="1047" t="s">
        <v>1655</v>
      </c>
      <c r="AI225" s="1317"/>
      <c r="AJ225" s="1317"/>
      <c r="AK225" s="1318"/>
      <c r="AL225" s="1318"/>
      <c r="AM225" s="1621"/>
      <c r="AN225" s="1621"/>
      <c r="AO225" s="1621"/>
      <c r="AP225" s="1621"/>
    </row>
    <row s="1621" customFormat="1" customHeight="1" ht="14.25">
      <c r="A226" s="647"/>
      <c r="B226" s="462"/>
      <c r="C226" s="462"/>
      <c r="D226" s="462"/>
      <c r="E226" s="629">
        <v>15</v>
      </c>
      <c r="F226" s="50" cm="1" t="str">
        <f t="array" ref="F226:F226">OFFSET(E226,-1,1)</f>
        <v>2</v>
      </c>
      <c r="G226" s="462"/>
      <c r="H226" s="462" t="s">
        <v>1219</v>
      </c>
      <c r="I226" s="462"/>
      <c r="J226" s="462"/>
      <c r="K226" s="462"/>
      <c r="L226" s="462"/>
      <c r="M226" s="462"/>
      <c r="N226" s="462"/>
      <c r="O226" s="462"/>
      <c r="P226" s="462"/>
      <c r="Q226" s="462"/>
      <c r="R226" s="462"/>
      <c r="S226" s="462"/>
      <c r="T226" s="439" cm="1" t="str">
        <f t="array" ref="T226:T226">T225</f>
        <v>true</v>
      </c>
      <c r="U226" s="462"/>
      <c r="V226" s="462"/>
      <c r="W226" s="462"/>
      <c r="X226" s="1519"/>
      <c r="Y226" s="462"/>
      <c r="Z226" s="1520"/>
      <c r="AA226" s="462"/>
      <c r="AB226" s="695" t="s">
        <v>1220</v>
      </c>
      <c r="AC226" s="526" t="s">
        <v>2169</v>
      </c>
      <c r="AD226" s="525" t="s">
        <v>784</v>
      </c>
      <c r="AE226" s="1370"/>
      <c r="AF226" s="1316"/>
      <c r="AG226" s="1316"/>
      <c r="AH226" s="1046" t="s">
        <v>1657</v>
      </c>
      <c r="AI226" s="1317"/>
      <c r="AJ226" s="1317"/>
      <c r="AK226" s="1318"/>
      <c r="AL226" s="1318"/>
      <c r="AM226" s="1621"/>
      <c r="AN226" s="1621"/>
      <c r="AO226" s="1621"/>
      <c r="AP226" s="1621"/>
    </row>
    <row s="1621" customFormat="1" customHeight="1" ht="14.25">
      <c r="A227" s="647"/>
      <c r="B227" s="462"/>
      <c r="C227" s="462"/>
      <c r="D227" s="462"/>
      <c r="E227" s="629">
        <v>15</v>
      </c>
      <c r="F227" s="50" cm="1" t="str">
        <f t="array" ref="F227:F227">OFFSET(E227,-1,1)</f>
        <v>2</v>
      </c>
      <c r="G227" s="462"/>
      <c r="H227" s="462" t="s">
        <v>1222</v>
      </c>
      <c r="I227" s="462"/>
      <c r="J227" s="462"/>
      <c r="K227" s="462"/>
      <c r="L227" s="462"/>
      <c r="M227" s="462"/>
      <c r="N227" s="462"/>
      <c r="O227" s="462"/>
      <c r="P227" s="462"/>
      <c r="Q227" s="462"/>
      <c r="R227" s="462"/>
      <c r="S227" s="462"/>
      <c r="T227" s="439" cm="1" t="str">
        <f t="array" ref="T227:T227">T226</f>
        <v>true</v>
      </c>
      <c r="U227" s="462"/>
      <c r="V227" s="462"/>
      <c r="W227" s="462"/>
      <c r="X227" s="1519"/>
      <c r="Y227" s="462"/>
      <c r="Z227" s="1520"/>
      <c r="AA227" s="462"/>
      <c r="AB227" s="695" t="s">
        <v>1223</v>
      </c>
      <c r="AC227" s="526" t="s">
        <v>2170</v>
      </c>
      <c r="AD227" s="525" t="s">
        <v>784</v>
      </c>
      <c r="AE227" s="1370"/>
      <c r="AF227" s="1316"/>
      <c r="AG227" s="1316"/>
      <c r="AH227" s="1048" t="s">
        <v>1840</v>
      </c>
      <c r="AI227" s="1317"/>
      <c r="AJ227" s="1317"/>
      <c r="AK227" s="1318"/>
      <c r="AL227" s="1318"/>
      <c r="AM227" s="1621"/>
      <c r="AN227" s="1621"/>
      <c r="AO227" s="1621"/>
      <c r="AP227" s="1621"/>
    </row>
    <row s="1621" customFormat="1" customHeight="1" ht="21.75">
      <c r="A228" s="647"/>
      <c r="B228" s="462"/>
      <c r="C228" s="462"/>
      <c r="D228" s="462"/>
      <c r="E228" s="629">
        <v>22.5</v>
      </c>
      <c r="F228" s="50" cm="1" t="str">
        <f t="array" ref="F228:F228">OFFSET(E228,-1,1)</f>
        <v>2</v>
      </c>
      <c r="G228" s="462"/>
      <c r="H228" s="462" t="s">
        <v>1226</v>
      </c>
      <c r="I228" s="462"/>
      <c r="J228" s="462"/>
      <c r="K228" s="462"/>
      <c r="L228" s="462"/>
      <c r="M228" s="462"/>
      <c r="N228" s="462"/>
      <c r="O228" s="462"/>
      <c r="P228" s="462"/>
      <c r="Q228" s="462"/>
      <c r="R228" s="462"/>
      <c r="S228" s="462"/>
      <c r="T228" s="439" cm="1" t="str">
        <f t="array" ref="T228:T228">T227</f>
        <v>true</v>
      </c>
      <c r="U228" s="462"/>
      <c r="V228" s="462"/>
      <c r="W228" s="462"/>
      <c r="X228" s="1519"/>
      <c r="Y228" s="462"/>
      <c r="Z228" s="1520"/>
      <c r="AA228" s="462"/>
      <c r="AB228" s="695" t="s">
        <v>1227</v>
      </c>
      <c r="AC228" s="526" t="s">
        <v>2171</v>
      </c>
      <c r="AD228" s="525" t="s">
        <v>784</v>
      </c>
      <c r="AE228" s="534">
        <f>AE229+AE232</f>
        <v>0</v>
      </c>
      <c r="AF228" s="1316"/>
      <c r="AG228" s="1316"/>
      <c r="AH228" s="1046" t="s">
        <v>1659</v>
      </c>
      <c r="AI228" s="1317"/>
      <c r="AJ228" s="1317"/>
      <c r="AK228" s="1318"/>
      <c r="AL228" s="1318"/>
      <c r="AM228" s="1621"/>
      <c r="AN228" s="1621"/>
      <c r="AO228" s="1621"/>
      <c r="AP228" s="1621"/>
    </row>
    <row s="1621" customFormat="1" customHeight="1" ht="14.25">
      <c r="A229" s="647"/>
      <c r="B229" s="462"/>
      <c r="C229" s="462"/>
      <c r="D229" s="462"/>
      <c r="E229" s="629">
        <v>15</v>
      </c>
      <c r="F229" s="50" cm="1" t="str">
        <f t="array" ref="F229:F229">OFFSET(E229,-1,1)</f>
        <v>2</v>
      </c>
      <c r="G229" s="462"/>
      <c r="H229" s="462" t="s">
        <v>1370</v>
      </c>
      <c r="I229" s="462"/>
      <c r="J229" s="462"/>
      <c r="K229" s="462"/>
      <c r="L229" s="462"/>
      <c r="M229" s="462"/>
      <c r="N229" s="462"/>
      <c r="O229" s="462"/>
      <c r="P229" s="462"/>
      <c r="Q229" s="462"/>
      <c r="R229" s="462"/>
      <c r="S229" s="462"/>
      <c r="T229" s="439" cm="1" t="str">
        <f t="array" ref="T229:T229">T228</f>
        <v>true</v>
      </c>
      <c r="U229" s="462"/>
      <c r="V229" s="462"/>
      <c r="W229" s="462"/>
      <c r="X229" s="1519"/>
      <c r="Y229" s="462"/>
      <c r="Z229" s="1520"/>
      <c r="AA229" s="462"/>
      <c r="AB229" s="695" t="s">
        <v>1809</v>
      </c>
      <c r="AC229" s="527" t="s">
        <v>1661</v>
      </c>
      <c r="AD229" s="525" t="s">
        <v>784</v>
      </c>
      <c r="AE229" s="1370"/>
      <c r="AF229" s="1316"/>
      <c r="AG229" s="1316"/>
      <c r="AH229" s="1046" t="s">
        <v>1662</v>
      </c>
      <c r="AI229" s="1317"/>
      <c r="AJ229" s="1317"/>
      <c r="AK229" s="1318"/>
      <c r="AL229" s="1318"/>
      <c r="AM229" s="1621"/>
      <c r="AN229" s="1621"/>
      <c r="AO229" s="1621"/>
      <c r="AP229" s="1621"/>
    </row>
    <row s="1621" customFormat="1" customHeight="1" ht="14.25">
      <c r="A230" s="647"/>
      <c r="B230" s="462"/>
      <c r="C230" s="462"/>
      <c r="D230" s="462"/>
      <c r="E230" s="629">
        <v>15</v>
      </c>
      <c r="F230" s="50" cm="1" t="str">
        <f t="array" ref="F230:F230">OFFSET(E230,-1,1)</f>
        <v>2</v>
      </c>
      <c r="G230" s="462"/>
      <c r="H230" s="462" t="s">
        <v>2172</v>
      </c>
      <c r="I230" s="462"/>
      <c r="J230" s="462"/>
      <c r="K230" s="462"/>
      <c r="L230" s="462"/>
      <c r="M230" s="462"/>
      <c r="N230" s="462"/>
      <c r="O230" s="462"/>
      <c r="P230" s="462"/>
      <c r="Q230" s="462"/>
      <c r="R230" s="462"/>
      <c r="S230" s="462"/>
      <c r="T230" s="439" cm="1" t="str">
        <f t="array" ref="T230:T230">T229</f>
        <v>true</v>
      </c>
      <c r="U230" s="462"/>
      <c r="V230" s="462"/>
      <c r="W230" s="462"/>
      <c r="X230" s="1519"/>
      <c r="Y230" s="462"/>
      <c r="Z230" s="1520"/>
      <c r="AA230" s="462"/>
      <c r="AB230" s="695" t="s">
        <v>2173</v>
      </c>
      <c r="AC230" s="528" t="s">
        <v>2174</v>
      </c>
      <c r="AD230" s="525" t="s">
        <v>2137</v>
      </c>
      <c r="AE230" s="1370"/>
      <c r="AF230" s="1316"/>
      <c r="AG230" s="1316"/>
      <c r="AH230" s="984" t="s">
        <v>2175</v>
      </c>
      <c r="AI230" s="1317"/>
      <c r="AJ230" s="1317"/>
      <c r="AK230" s="1318"/>
      <c r="AL230" s="1318"/>
      <c r="AM230" s="1621"/>
      <c r="AN230" s="1621"/>
      <c r="AO230" s="1621"/>
      <c r="AP230" s="1621"/>
    </row>
    <row s="1621" customFormat="1" customHeight="1" ht="14.25">
      <c r="A231" s="647"/>
      <c r="B231" s="462"/>
      <c r="C231" s="462"/>
      <c r="D231" s="462"/>
      <c r="E231" s="629">
        <v>15</v>
      </c>
      <c r="F231" s="50" cm="1" t="str">
        <f t="array" ref="F231:F231">OFFSET(E231,-1,1)</f>
        <v>2</v>
      </c>
      <c r="G231" s="462"/>
      <c r="H231" s="462" t="s">
        <v>2176</v>
      </c>
      <c r="I231" s="462"/>
      <c r="J231" s="462"/>
      <c r="K231" s="462"/>
      <c r="L231" s="462"/>
      <c r="M231" s="462"/>
      <c r="N231" s="462"/>
      <c r="O231" s="462"/>
      <c r="P231" s="462"/>
      <c r="Q231" s="462"/>
      <c r="R231" s="462"/>
      <c r="S231" s="462"/>
      <c r="T231" s="439" cm="1" t="str">
        <f t="array" ref="T231:T231">T230</f>
        <v>true</v>
      </c>
      <c r="U231" s="462"/>
      <c r="V231" s="462"/>
      <c r="W231" s="462"/>
      <c r="X231" s="1519"/>
      <c r="Y231" s="462"/>
      <c r="Z231" s="1520"/>
      <c r="AA231" s="462"/>
      <c r="AB231" s="695" t="s">
        <v>2177</v>
      </c>
      <c r="AC231" s="528" t="s">
        <v>2178</v>
      </c>
      <c r="AD231" s="525" t="s">
        <v>2142</v>
      </c>
      <c r="AE231" s="1370"/>
      <c r="AF231" s="1316"/>
      <c r="AG231" s="1316"/>
      <c r="AH231" s="984" t="s">
        <v>2179</v>
      </c>
      <c r="AI231" s="1317"/>
      <c r="AJ231" s="1317"/>
      <c r="AK231" s="1318"/>
      <c r="AL231" s="1318"/>
      <c r="AM231" s="1621"/>
      <c r="AN231" s="1621"/>
      <c r="AO231" s="1621"/>
      <c r="AP231" s="1621"/>
    </row>
    <row s="1621" customFormat="1" customHeight="1" ht="21.75">
      <c r="A232" s="647"/>
      <c r="B232" s="462"/>
      <c r="C232" s="462"/>
      <c r="D232" s="462"/>
      <c r="E232" s="629">
        <v>22.5</v>
      </c>
      <c r="F232" s="50" cm="1" t="str">
        <f t="array" ref="F232:F232">OFFSET(E232,-1,1)</f>
        <v>2</v>
      </c>
      <c r="G232" s="462"/>
      <c r="H232" s="462" t="s">
        <v>1374</v>
      </c>
      <c r="I232" s="462"/>
      <c r="J232" s="462"/>
      <c r="K232" s="462"/>
      <c r="L232" s="462"/>
      <c r="M232" s="462"/>
      <c r="N232" s="462"/>
      <c r="O232" s="462"/>
      <c r="P232" s="462"/>
      <c r="Q232" s="462"/>
      <c r="R232" s="462"/>
      <c r="S232" s="462"/>
      <c r="T232" s="439" cm="1" t="str">
        <f t="array" ref="T232:T232">T231</f>
        <v>true</v>
      </c>
      <c r="U232" s="462"/>
      <c r="V232" s="462"/>
      <c r="W232" s="462"/>
      <c r="X232" s="1519"/>
      <c r="Y232" s="462"/>
      <c r="Z232" s="1520"/>
      <c r="AA232" s="462"/>
      <c r="AB232" s="695" t="s">
        <v>1810</v>
      </c>
      <c r="AC232" s="527" t="s">
        <v>1846</v>
      </c>
      <c r="AD232" s="525" t="s">
        <v>784</v>
      </c>
      <c r="AE232" s="1370"/>
      <c r="AF232" s="1316"/>
      <c r="AG232" s="1316"/>
      <c r="AH232" s="1046" t="s">
        <v>1665</v>
      </c>
      <c r="AI232" s="1317"/>
      <c r="AJ232" s="1317"/>
      <c r="AK232" s="1318"/>
      <c r="AL232" s="1318"/>
      <c r="AM232" s="1621"/>
      <c r="AN232" s="1621"/>
      <c r="AO232" s="1621"/>
      <c r="AP232" s="1621"/>
    </row>
    <row s="1621" customFormat="1" customHeight="1" ht="14.25">
      <c r="A233" s="647"/>
      <c r="B233" s="462"/>
      <c r="C233" s="462"/>
      <c r="D233" s="462"/>
      <c r="E233" s="629">
        <v>15</v>
      </c>
      <c r="F233" s="50" cm="1" t="str">
        <f t="array" ref="F233:F233">OFFSET(E233,-1,1)</f>
        <v>2</v>
      </c>
      <c r="G233" s="462"/>
      <c r="H233" s="462" t="s">
        <v>448</v>
      </c>
      <c r="I233" s="462"/>
      <c r="J233" s="462"/>
      <c r="K233" s="462"/>
      <c r="L233" s="462"/>
      <c r="M233" s="462"/>
      <c r="N233" s="462"/>
      <c r="O233" s="462"/>
      <c r="P233" s="462"/>
      <c r="Q233" s="462"/>
      <c r="R233" s="462"/>
      <c r="S233" s="462"/>
      <c r="T233" s="439" cm="1" t="str">
        <f t="array" ref="T233:T233">T232</f>
        <v>true</v>
      </c>
      <c r="U233" s="462"/>
      <c r="V233" s="462"/>
      <c r="W233" s="462"/>
      <c r="X233" s="1519"/>
      <c r="Y233" s="462"/>
      <c r="Z233" s="1520"/>
      <c r="AA233" s="462"/>
      <c r="AB233" s="695" t="s">
        <v>851</v>
      </c>
      <c r="AC233" s="524" t="s">
        <v>1847</v>
      </c>
      <c r="AD233" s="525" t="s">
        <v>784</v>
      </c>
      <c r="AE233" s="534">
        <f>AE234+AE240+AE245+AE246+AE247+AE248+AE249</f>
        <v>0</v>
      </c>
      <c r="AF233" s="1316"/>
      <c r="AG233" s="1316"/>
      <c r="AH233" s="1047" t="s">
        <v>1667</v>
      </c>
      <c r="AI233" s="1317"/>
      <c r="AJ233" s="1317"/>
      <c r="AK233" s="1318"/>
      <c r="AL233" s="1318"/>
      <c r="AM233" s="1621"/>
      <c r="AN233" s="1621"/>
      <c r="AO233" s="1621"/>
      <c r="AP233" s="1621"/>
    </row>
    <row s="1621" customFormat="1" customHeight="1" ht="21.75">
      <c r="A234" s="647"/>
      <c r="B234" s="462"/>
      <c r="C234" s="462"/>
      <c r="D234" s="462"/>
      <c r="E234" s="629">
        <v>22.5</v>
      </c>
      <c r="F234" s="50" cm="1" t="str">
        <f t="array" ref="F234:F234">OFFSET(E234,-1,1)</f>
        <v>2</v>
      </c>
      <c r="G234" s="462"/>
      <c r="H234" s="462" t="s">
        <v>1232</v>
      </c>
      <c r="I234" s="462"/>
      <c r="J234" s="462"/>
      <c r="K234" s="462"/>
      <c r="L234" s="462"/>
      <c r="M234" s="462"/>
      <c r="N234" s="462"/>
      <c r="O234" s="462"/>
      <c r="P234" s="462"/>
      <c r="Q234" s="462"/>
      <c r="R234" s="462"/>
      <c r="S234" s="462"/>
      <c r="T234" s="439" cm="1" t="str">
        <f t="array" ref="T234:T234">T233</f>
        <v>true</v>
      </c>
      <c r="U234" s="462"/>
      <c r="V234" s="462"/>
      <c r="W234" s="462"/>
      <c r="X234" s="1519"/>
      <c r="Y234" s="462"/>
      <c r="Z234" s="1520"/>
      <c r="AA234" s="462"/>
      <c r="AB234" s="695" t="s">
        <v>1233</v>
      </c>
      <c r="AC234" s="526" t="s">
        <v>1668</v>
      </c>
      <c r="AD234" s="525" t="s">
        <v>784</v>
      </c>
      <c r="AE234" s="534">
        <f>SUM(AE235:AE239)</f>
        <v>0</v>
      </c>
      <c r="AF234" s="1316"/>
      <c r="AG234" s="1316"/>
      <c r="AH234" s="1046" t="s">
        <v>1081</v>
      </c>
      <c r="AI234" s="1317"/>
      <c r="AJ234" s="1317"/>
      <c r="AK234" s="1318"/>
      <c r="AL234" s="1318"/>
      <c r="AM234" s="1621"/>
      <c r="AN234" s="1621"/>
      <c r="AO234" s="1621"/>
      <c r="AP234" s="1621"/>
    </row>
    <row s="1621" customFormat="1" customHeight="1" ht="14.25">
      <c r="A235" s="647"/>
      <c r="B235" s="462"/>
      <c r="C235" s="462"/>
      <c r="D235" s="462"/>
      <c r="E235" s="629">
        <v>15</v>
      </c>
      <c r="F235" s="50" cm="1" t="str">
        <f t="array" ref="F235:F235">OFFSET(E235,-1,1)</f>
        <v>2</v>
      </c>
      <c r="G235" s="462"/>
      <c r="H235" s="462" t="s">
        <v>2180</v>
      </c>
      <c r="I235" s="462"/>
      <c r="J235" s="462"/>
      <c r="K235" s="462"/>
      <c r="L235" s="462"/>
      <c r="M235" s="462"/>
      <c r="N235" s="462"/>
      <c r="O235" s="462"/>
      <c r="P235" s="462"/>
      <c r="Q235" s="462"/>
      <c r="R235" s="462"/>
      <c r="S235" s="462"/>
      <c r="T235" s="439" cm="1" t="str">
        <f t="array" ref="T235:T235">T234</f>
        <v>true</v>
      </c>
      <c r="U235" s="462"/>
      <c r="V235" s="462"/>
      <c r="W235" s="462"/>
      <c r="X235" s="1519"/>
      <c r="Y235" s="462"/>
      <c r="Z235" s="1520"/>
      <c r="AA235" s="462"/>
      <c r="AB235" s="695" t="s">
        <v>2181</v>
      </c>
      <c r="AC235" s="527" t="s">
        <v>1083</v>
      </c>
      <c r="AD235" s="525" t="s">
        <v>784</v>
      </c>
      <c r="AE235" s="1370"/>
      <c r="AF235" s="1316"/>
      <c r="AG235" s="1316"/>
      <c r="AH235" s="1048" t="s">
        <v>1084</v>
      </c>
      <c r="AI235" s="1317"/>
      <c r="AJ235" s="1317"/>
      <c r="AK235" s="1318"/>
      <c r="AL235" s="1318"/>
      <c r="AM235" s="1621"/>
      <c r="AN235" s="1621"/>
      <c r="AO235" s="1621"/>
      <c r="AP235" s="1621"/>
    </row>
    <row s="1621" customFormat="1" customHeight="1" ht="14.25">
      <c r="A236" s="647"/>
      <c r="B236" s="462"/>
      <c r="C236" s="462"/>
      <c r="D236" s="462"/>
      <c r="E236" s="629">
        <v>15</v>
      </c>
      <c r="F236" s="50" cm="1" t="str">
        <f t="array" ref="F236:F236">OFFSET(E236,-1,1)</f>
        <v>2</v>
      </c>
      <c r="G236" s="462"/>
      <c r="H236" s="462" t="s">
        <v>2182</v>
      </c>
      <c r="I236" s="462"/>
      <c r="J236" s="462"/>
      <c r="K236" s="462"/>
      <c r="L236" s="462"/>
      <c r="M236" s="462"/>
      <c r="N236" s="462"/>
      <c r="O236" s="462"/>
      <c r="P236" s="462"/>
      <c r="Q236" s="462"/>
      <c r="R236" s="462"/>
      <c r="S236" s="462"/>
      <c r="T236" s="439" cm="1" t="str">
        <f t="array" ref="T236:T236">T235</f>
        <v>true</v>
      </c>
      <c r="U236" s="462"/>
      <c r="V236" s="462"/>
      <c r="W236" s="462"/>
      <c r="X236" s="1519"/>
      <c r="Y236" s="462"/>
      <c r="Z236" s="1520"/>
      <c r="AA236" s="462"/>
      <c r="AB236" s="695" t="s">
        <v>2183</v>
      </c>
      <c r="AC236" s="527" t="s">
        <v>1086</v>
      </c>
      <c r="AD236" s="525" t="s">
        <v>784</v>
      </c>
      <c r="AE236" s="1370"/>
      <c r="AF236" s="1316"/>
      <c r="AG236" s="1316"/>
      <c r="AH236" s="1048" t="s">
        <v>1087</v>
      </c>
      <c r="AI236" s="1317"/>
      <c r="AJ236" s="1317"/>
      <c r="AK236" s="1318"/>
      <c r="AL236" s="1318"/>
      <c r="AM236" s="1621"/>
      <c r="AN236" s="1621"/>
      <c r="AO236" s="1621"/>
      <c r="AP236" s="1621"/>
    </row>
    <row s="1621" customFormat="1" customHeight="1" ht="14.25">
      <c r="A237" s="647"/>
      <c r="B237" s="462"/>
      <c r="C237" s="462"/>
      <c r="D237" s="462"/>
      <c r="E237" s="629">
        <v>15</v>
      </c>
      <c r="F237" s="50" cm="1" t="str">
        <f t="array" ref="F237:F237">OFFSET(E237,-1,1)</f>
        <v>2</v>
      </c>
      <c r="G237" s="462"/>
      <c r="H237" s="462" t="s">
        <v>2184</v>
      </c>
      <c r="I237" s="462"/>
      <c r="J237" s="462"/>
      <c r="K237" s="462"/>
      <c r="L237" s="462"/>
      <c r="M237" s="462"/>
      <c r="N237" s="462"/>
      <c r="O237" s="462"/>
      <c r="P237" s="462"/>
      <c r="Q237" s="462"/>
      <c r="R237" s="462"/>
      <c r="S237" s="462"/>
      <c r="T237" s="439" cm="1" t="str">
        <f t="array" ref="T237:T237">T236</f>
        <v>true</v>
      </c>
      <c r="U237" s="462"/>
      <c r="V237" s="462"/>
      <c r="W237" s="462"/>
      <c r="X237" s="1519"/>
      <c r="Y237" s="462"/>
      <c r="Z237" s="1520"/>
      <c r="AA237" s="462"/>
      <c r="AB237" s="695" t="s">
        <v>2185</v>
      </c>
      <c r="AC237" s="527" t="s">
        <v>1089</v>
      </c>
      <c r="AD237" s="525" t="s">
        <v>784</v>
      </c>
      <c r="AE237" s="1370"/>
      <c r="AF237" s="1316"/>
      <c r="AG237" s="1316"/>
      <c r="AH237" s="1048" t="s">
        <v>1090</v>
      </c>
      <c r="AI237" s="1317"/>
      <c r="AJ237" s="1317"/>
      <c r="AK237" s="1318"/>
      <c r="AL237" s="1318"/>
      <c r="AM237" s="1621"/>
      <c r="AN237" s="1621"/>
      <c r="AO237" s="1621"/>
      <c r="AP237" s="1621"/>
    </row>
    <row s="1621" customFormat="1" customHeight="1" ht="14.25">
      <c r="A238" s="647"/>
      <c r="B238" s="462"/>
      <c r="C238" s="462"/>
      <c r="D238" s="462"/>
      <c r="E238" s="629">
        <v>15</v>
      </c>
      <c r="F238" s="50" cm="1" t="str">
        <f t="array" ref="F238:F238">OFFSET(E238,-1,1)</f>
        <v>2</v>
      </c>
      <c r="G238" s="462"/>
      <c r="H238" s="462" t="s">
        <v>2186</v>
      </c>
      <c r="I238" s="462"/>
      <c r="J238" s="462"/>
      <c r="K238" s="462"/>
      <c r="L238" s="462"/>
      <c r="M238" s="462"/>
      <c r="N238" s="462"/>
      <c r="O238" s="462"/>
      <c r="P238" s="462"/>
      <c r="Q238" s="462"/>
      <c r="R238" s="462"/>
      <c r="S238" s="462"/>
      <c r="T238" s="439" cm="1" t="str">
        <f t="array" ref="T238:T238">T237</f>
        <v>true</v>
      </c>
      <c r="U238" s="462"/>
      <c r="V238" s="462"/>
      <c r="W238" s="462"/>
      <c r="X238" s="1519"/>
      <c r="Y238" s="462"/>
      <c r="Z238" s="1520"/>
      <c r="AA238" s="462"/>
      <c r="AB238" s="695" t="s">
        <v>2187</v>
      </c>
      <c r="AC238" s="527" t="s">
        <v>1092</v>
      </c>
      <c r="AD238" s="525" t="s">
        <v>784</v>
      </c>
      <c r="AE238" s="1370"/>
      <c r="AF238" s="1316"/>
      <c r="AG238" s="1316"/>
      <c r="AH238" s="1048" t="s">
        <v>1093</v>
      </c>
      <c r="AI238" s="1317"/>
      <c r="AJ238" s="1317"/>
      <c r="AK238" s="1318"/>
      <c r="AL238" s="1318"/>
      <c r="AM238" s="1621"/>
      <c r="AN238" s="1621"/>
      <c r="AO238" s="1621"/>
      <c r="AP238" s="1621"/>
    </row>
    <row s="1621" customFormat="1" customHeight="1" ht="14.25">
      <c r="A239" s="647"/>
      <c r="B239" s="462"/>
      <c r="C239" s="462"/>
      <c r="D239" s="462"/>
      <c r="E239" s="629">
        <v>15</v>
      </c>
      <c r="F239" s="50" cm="1" t="str">
        <f t="array" ref="F239:F239">OFFSET(E239,-1,1)</f>
        <v>2</v>
      </c>
      <c r="G239" s="462"/>
      <c r="H239" s="462" t="s">
        <v>2188</v>
      </c>
      <c r="I239" s="462"/>
      <c r="J239" s="462"/>
      <c r="K239" s="462"/>
      <c r="L239" s="462"/>
      <c r="M239" s="462"/>
      <c r="N239" s="462"/>
      <c r="O239" s="462"/>
      <c r="P239" s="462"/>
      <c r="Q239" s="462"/>
      <c r="R239" s="462"/>
      <c r="S239" s="462"/>
      <c r="T239" s="439" cm="1" t="str">
        <f t="array" ref="T239:T239">T238</f>
        <v>true</v>
      </c>
      <c r="U239" s="462"/>
      <c r="V239" s="462"/>
      <c r="W239" s="462"/>
      <c r="X239" s="1519"/>
      <c r="Y239" s="462"/>
      <c r="Z239" s="1520"/>
      <c r="AA239" s="462"/>
      <c r="AB239" s="695" t="s">
        <v>2189</v>
      </c>
      <c r="AC239" s="527" t="s">
        <v>1100</v>
      </c>
      <c r="AD239" s="525" t="s">
        <v>784</v>
      </c>
      <c r="AE239" s="1370"/>
      <c r="AF239" s="1316"/>
      <c r="AG239" s="1316"/>
      <c r="AH239" s="1048" t="s">
        <v>1101</v>
      </c>
      <c r="AI239" s="1317"/>
      <c r="AJ239" s="1317"/>
      <c r="AK239" s="1318"/>
      <c r="AL239" s="1318"/>
      <c r="AM239" s="1621"/>
      <c r="AN239" s="1621"/>
      <c r="AO239" s="1621"/>
      <c r="AP239" s="1621"/>
    </row>
    <row s="1621" customFormat="1" customHeight="1" ht="32.25">
      <c r="A240" s="647"/>
      <c r="B240" s="462"/>
      <c r="C240" s="462"/>
      <c r="D240" s="462"/>
      <c r="E240" s="629">
        <v>33.75</v>
      </c>
      <c r="F240" s="50" cm="1" t="str">
        <f t="array" ref="F240:F240">OFFSET(E240,-1,1)</f>
        <v>2</v>
      </c>
      <c r="G240" s="462"/>
      <c r="H240" s="462" t="s">
        <v>1236</v>
      </c>
      <c r="I240" s="462"/>
      <c r="J240" s="462"/>
      <c r="K240" s="462"/>
      <c r="L240" s="462"/>
      <c r="M240" s="462"/>
      <c r="N240" s="462"/>
      <c r="O240" s="462"/>
      <c r="P240" s="462"/>
      <c r="Q240" s="462"/>
      <c r="R240" s="462"/>
      <c r="S240" s="462"/>
      <c r="T240" s="439" cm="1" t="str">
        <f t="array" ref="T240:T240">T239</f>
        <v>true</v>
      </c>
      <c r="U240" s="462"/>
      <c r="V240" s="462"/>
      <c r="W240" s="462"/>
      <c r="X240" s="1519"/>
      <c r="Y240" s="462"/>
      <c r="Z240" s="1520"/>
      <c r="AA240" s="462"/>
      <c r="AB240" s="695" t="s">
        <v>1237</v>
      </c>
      <c r="AC240" s="526" t="s">
        <v>2190</v>
      </c>
      <c r="AD240" s="525" t="s">
        <v>784</v>
      </c>
      <c r="AE240" s="534">
        <f>AE241+AE244</f>
        <v>0</v>
      </c>
      <c r="AF240" s="1316"/>
      <c r="AG240" s="1316"/>
      <c r="AH240" s="1046" t="s">
        <v>1670</v>
      </c>
      <c r="AI240" s="1317"/>
      <c r="AJ240" s="1317"/>
      <c r="AK240" s="1318"/>
      <c r="AL240" s="1318"/>
      <c r="AM240" s="1621"/>
      <c r="AN240" s="1621"/>
      <c r="AO240" s="1621"/>
      <c r="AP240" s="1621"/>
    </row>
    <row s="1621" customFormat="1" customHeight="1" ht="21.75">
      <c r="A241" s="647"/>
      <c r="B241" s="462"/>
      <c r="C241" s="462"/>
      <c r="D241" s="462"/>
      <c r="E241" s="629">
        <v>22.5</v>
      </c>
      <c r="F241" s="50" cm="1" t="str">
        <f t="array" ref="F241:F241">OFFSET(E241,-1,1)</f>
        <v>2</v>
      </c>
      <c r="G241" s="462"/>
      <c r="H241" s="462" t="s">
        <v>2191</v>
      </c>
      <c r="I241" s="462"/>
      <c r="J241" s="462"/>
      <c r="K241" s="462"/>
      <c r="L241" s="462"/>
      <c r="M241" s="462"/>
      <c r="N241" s="462"/>
      <c r="O241" s="462"/>
      <c r="P241" s="462"/>
      <c r="Q241" s="462"/>
      <c r="R241" s="462"/>
      <c r="S241" s="462"/>
      <c r="T241" s="439" cm="1" t="str">
        <f t="array" ref="T241:T241">T240</f>
        <v>true</v>
      </c>
      <c r="U241" s="462"/>
      <c r="V241" s="462"/>
      <c r="W241" s="462"/>
      <c r="X241" s="1519"/>
      <c r="Y241" s="462"/>
      <c r="Z241" s="1520"/>
      <c r="AA241" s="462"/>
      <c r="AB241" s="695" t="s">
        <v>2192</v>
      </c>
      <c r="AC241" s="527" t="s">
        <v>1671</v>
      </c>
      <c r="AD241" s="525" t="s">
        <v>784</v>
      </c>
      <c r="AE241" s="1370"/>
      <c r="AF241" s="1316"/>
      <c r="AG241" s="1316"/>
      <c r="AH241" s="1046" t="s">
        <v>1078</v>
      </c>
      <c r="AI241" s="1317"/>
      <c r="AJ241" s="1317"/>
      <c r="AK241" s="1318"/>
      <c r="AL241" s="1318"/>
      <c r="AM241" s="1621"/>
      <c r="AN241" s="1621"/>
      <c r="AO241" s="1621"/>
      <c r="AP241" s="1621"/>
    </row>
    <row s="1621" customFormat="1" customHeight="1" ht="14.25">
      <c r="A242" s="647"/>
      <c r="B242" s="462"/>
      <c r="C242" s="462"/>
      <c r="D242" s="462"/>
      <c r="E242" s="629">
        <v>15</v>
      </c>
      <c r="F242" s="50" cm="1" t="str">
        <f t="array" ref="F242:F242">OFFSET(E242,-1,1)</f>
        <v>2</v>
      </c>
      <c r="G242" s="462"/>
      <c r="H242" s="462" t="s">
        <v>2193</v>
      </c>
      <c r="I242" s="462"/>
      <c r="J242" s="462"/>
      <c r="K242" s="462"/>
      <c r="L242" s="462"/>
      <c r="M242" s="462"/>
      <c r="N242" s="462"/>
      <c r="O242" s="462"/>
      <c r="P242" s="462"/>
      <c r="Q242" s="462"/>
      <c r="R242" s="462"/>
      <c r="S242" s="462"/>
      <c r="T242" s="439" cm="1" t="str">
        <f t="array" ref="T242:T242">T241</f>
        <v>true</v>
      </c>
      <c r="U242" s="462"/>
      <c r="V242" s="462"/>
      <c r="W242" s="462"/>
      <c r="X242" s="1519"/>
      <c r="Y242" s="462"/>
      <c r="Z242" s="1520"/>
      <c r="AA242" s="462"/>
      <c r="AB242" s="695" t="s">
        <v>2194</v>
      </c>
      <c r="AC242" s="528" t="s">
        <v>2195</v>
      </c>
      <c r="AD242" s="525" t="s">
        <v>2137</v>
      </c>
      <c r="AE242" s="1370"/>
      <c r="AF242" s="1316"/>
      <c r="AG242" s="1316"/>
      <c r="AH242" s="984" t="s">
        <v>2196</v>
      </c>
      <c r="AI242" s="1317"/>
      <c r="AJ242" s="1317"/>
      <c r="AK242" s="1318"/>
      <c r="AL242" s="1318"/>
      <c r="AM242" s="1621"/>
      <c r="AN242" s="1621"/>
      <c r="AO242" s="1621"/>
      <c r="AP242" s="1621"/>
    </row>
    <row s="1621" customFormat="1" customHeight="1" ht="21.75">
      <c r="A243" s="647"/>
      <c r="B243" s="462"/>
      <c r="C243" s="462"/>
      <c r="D243" s="462"/>
      <c r="E243" s="629">
        <v>22.5</v>
      </c>
      <c r="F243" s="50" cm="1" t="str">
        <f t="array" ref="F243:F243">OFFSET(E243,-1,1)</f>
        <v>2</v>
      </c>
      <c r="G243" s="462"/>
      <c r="H243" s="462" t="s">
        <v>2197</v>
      </c>
      <c r="I243" s="462"/>
      <c r="J243" s="462"/>
      <c r="K243" s="462"/>
      <c r="L243" s="462"/>
      <c r="M243" s="462"/>
      <c r="N243" s="462"/>
      <c r="O243" s="462"/>
      <c r="P243" s="462"/>
      <c r="Q243" s="462"/>
      <c r="R243" s="462"/>
      <c r="S243" s="462"/>
      <c r="T243" s="439" cm="1" t="str">
        <f t="array" ref="T243:T243">T242</f>
        <v>true</v>
      </c>
      <c r="U243" s="462"/>
      <c r="V243" s="462"/>
      <c r="W243" s="462"/>
      <c r="X243" s="1519"/>
      <c r="Y243" s="462"/>
      <c r="Z243" s="1520"/>
      <c r="AA243" s="462"/>
      <c r="AB243" s="695" t="s">
        <v>2198</v>
      </c>
      <c r="AC243" s="528" t="s">
        <v>2199</v>
      </c>
      <c r="AD243" s="525" t="s">
        <v>2142</v>
      </c>
      <c r="AE243" s="1370"/>
      <c r="AF243" s="1316"/>
      <c r="AG243" s="1316"/>
      <c r="AH243" s="984" t="s">
        <v>2200</v>
      </c>
      <c r="AI243" s="1317"/>
      <c r="AJ243" s="1317"/>
      <c r="AK243" s="1318"/>
      <c r="AL243" s="1318"/>
      <c r="AM243" s="1621"/>
      <c r="AN243" s="1621"/>
      <c r="AO243" s="1621"/>
      <c r="AP243" s="1621"/>
    </row>
    <row s="1621" customFormat="1" customHeight="1" ht="21.75">
      <c r="A244" s="647"/>
      <c r="B244" s="462"/>
      <c r="C244" s="462"/>
      <c r="D244" s="462"/>
      <c r="E244" s="629">
        <v>22.5</v>
      </c>
      <c r="F244" s="50" cm="1" t="str">
        <f t="array" ref="F244:F244">OFFSET(E244,-1,1)</f>
        <v>2</v>
      </c>
      <c r="G244" s="462"/>
      <c r="H244" s="462" t="s">
        <v>2201</v>
      </c>
      <c r="I244" s="462"/>
      <c r="J244" s="462"/>
      <c r="K244" s="462"/>
      <c r="L244" s="462"/>
      <c r="M244" s="462"/>
      <c r="N244" s="462"/>
      <c r="O244" s="462"/>
      <c r="P244" s="462"/>
      <c r="Q244" s="462"/>
      <c r="R244" s="462"/>
      <c r="S244" s="462"/>
      <c r="T244" s="439" cm="1" t="str">
        <f t="array" ref="T244:T244">T243</f>
        <v>true</v>
      </c>
      <c r="U244" s="462"/>
      <c r="V244" s="462"/>
      <c r="W244" s="462"/>
      <c r="X244" s="1519"/>
      <c r="Y244" s="462"/>
      <c r="Z244" s="1520"/>
      <c r="AA244" s="462"/>
      <c r="AB244" s="695" t="s">
        <v>2202</v>
      </c>
      <c r="AC244" s="527" t="s">
        <v>1870</v>
      </c>
      <c r="AD244" s="525" t="s">
        <v>784</v>
      </c>
      <c r="AE244" s="1370"/>
      <c r="AF244" s="1316"/>
      <c r="AG244" s="1316"/>
      <c r="AH244" s="1046" t="s">
        <v>1673</v>
      </c>
      <c r="AI244" s="1317"/>
      <c r="AJ244" s="1317"/>
      <c r="AK244" s="1318"/>
      <c r="AL244" s="1318"/>
      <c r="AM244" s="1621"/>
      <c r="AN244" s="1621"/>
      <c r="AO244" s="1621"/>
      <c r="AP244" s="1621"/>
    </row>
    <row s="1621" customFormat="1" customHeight="1" ht="21.75">
      <c r="A245" s="647"/>
      <c r="B245" s="462"/>
      <c r="C245" s="462"/>
      <c r="D245" s="462"/>
      <c r="E245" s="629">
        <v>22.5</v>
      </c>
      <c r="F245" s="50" cm="1" t="str">
        <f t="array" ref="F245:F245">OFFSET(E245,-1,1)</f>
        <v>2</v>
      </c>
      <c r="G245" s="462"/>
      <c r="H245" s="462" t="s">
        <v>1240</v>
      </c>
      <c r="I245" s="462"/>
      <c r="J245" s="462"/>
      <c r="K245" s="462"/>
      <c r="L245" s="462"/>
      <c r="M245" s="462"/>
      <c r="N245" s="462"/>
      <c r="O245" s="462"/>
      <c r="P245" s="462"/>
      <c r="Q245" s="462"/>
      <c r="R245" s="462"/>
      <c r="S245" s="462"/>
      <c r="T245" s="439" cm="1" t="str">
        <f t="array" ref="T245:T245">T244</f>
        <v>true</v>
      </c>
      <c r="U245" s="462"/>
      <c r="V245" s="462"/>
      <c r="W245" s="462"/>
      <c r="X245" s="1519"/>
      <c r="Y245" s="462"/>
      <c r="Z245" s="1520"/>
      <c r="AA245" s="462"/>
      <c r="AB245" s="695" t="s">
        <v>1241</v>
      </c>
      <c r="AC245" s="526" t="s">
        <v>2203</v>
      </c>
      <c r="AD245" s="525" t="s">
        <v>784</v>
      </c>
      <c r="AE245" s="1370"/>
      <c r="AF245" s="1316"/>
      <c r="AG245" s="1316"/>
      <c r="AH245" s="1046" t="s">
        <v>1109</v>
      </c>
      <c r="AI245" s="1317"/>
      <c r="AJ245" s="1317"/>
      <c r="AK245" s="1318"/>
      <c r="AL245" s="1318"/>
      <c r="AM245" s="1621"/>
      <c r="AN245" s="1621"/>
      <c r="AO245" s="1621"/>
      <c r="AP245" s="1621"/>
    </row>
    <row s="1621" customFormat="1" customHeight="1" ht="14.25">
      <c r="A246" s="647"/>
      <c r="B246" s="462"/>
      <c r="C246" s="462"/>
      <c r="D246" s="462"/>
      <c r="E246" s="629">
        <v>15</v>
      </c>
      <c r="F246" s="50" cm="1" t="str">
        <f t="array" ref="F246:F246">OFFSET(E246,-1,1)</f>
        <v>2</v>
      </c>
      <c r="G246" s="462"/>
      <c r="H246" s="462" t="s">
        <v>2204</v>
      </c>
      <c r="I246" s="462"/>
      <c r="J246" s="462"/>
      <c r="K246" s="462"/>
      <c r="L246" s="462"/>
      <c r="M246" s="462"/>
      <c r="N246" s="462"/>
      <c r="O246" s="462"/>
      <c r="P246" s="462"/>
      <c r="Q246" s="462"/>
      <c r="R246" s="462"/>
      <c r="S246" s="462"/>
      <c r="T246" s="439" cm="1" t="str">
        <f t="array" ref="T246:T246">T245</f>
        <v>true</v>
      </c>
      <c r="U246" s="462"/>
      <c r="V246" s="462"/>
      <c r="W246" s="462"/>
      <c r="X246" s="1519"/>
      <c r="Y246" s="462"/>
      <c r="Z246" s="1520"/>
      <c r="AA246" s="462"/>
      <c r="AB246" s="695" t="s">
        <v>2205</v>
      </c>
      <c r="AC246" s="526" t="s">
        <v>1111</v>
      </c>
      <c r="AD246" s="525" t="s">
        <v>784</v>
      </c>
      <c r="AE246" s="1370"/>
      <c r="AF246" s="1316"/>
      <c r="AG246" s="1316"/>
      <c r="AH246" s="1046" t="s">
        <v>1112</v>
      </c>
      <c r="AI246" s="1317"/>
      <c r="AJ246" s="1317"/>
      <c r="AK246" s="1318"/>
      <c r="AL246" s="1318"/>
      <c r="AM246" s="1621"/>
      <c r="AN246" s="1621"/>
      <c r="AO246" s="1621"/>
      <c r="AP246" s="1621"/>
    </row>
    <row s="1621" customFormat="1" customHeight="1" ht="14.25">
      <c r="A247" s="647"/>
      <c r="B247" s="462"/>
      <c r="C247" s="462"/>
      <c r="D247" s="462"/>
      <c r="E247" s="629">
        <v>15</v>
      </c>
      <c r="F247" s="50" cm="1" t="str">
        <f t="array" ref="F247:F247">OFFSET(E247,-1,1)</f>
        <v>2</v>
      </c>
      <c r="G247" s="462"/>
      <c r="H247" s="462" t="s">
        <v>2206</v>
      </c>
      <c r="I247" s="462"/>
      <c r="J247" s="462"/>
      <c r="K247" s="462"/>
      <c r="L247" s="462"/>
      <c r="M247" s="462"/>
      <c r="N247" s="462"/>
      <c r="O247" s="462"/>
      <c r="P247" s="462"/>
      <c r="Q247" s="462"/>
      <c r="R247" s="462"/>
      <c r="S247" s="462"/>
      <c r="T247" s="439" cm="1" t="str">
        <f t="array" ref="T247:T247">T246</f>
        <v>true</v>
      </c>
      <c r="U247" s="462"/>
      <c r="V247" s="462"/>
      <c r="W247" s="462"/>
      <c r="X247" s="1519"/>
      <c r="Y247" s="462"/>
      <c r="Z247" s="1520"/>
      <c r="AA247" s="462"/>
      <c r="AB247" s="695" t="s">
        <v>2207</v>
      </c>
      <c r="AC247" s="526" t="s">
        <v>1114</v>
      </c>
      <c r="AD247" s="525" t="s">
        <v>784</v>
      </c>
      <c r="AE247" s="1370"/>
      <c r="AF247" s="1316"/>
      <c r="AG247" s="1316"/>
      <c r="AH247" s="1046" t="s">
        <v>1115</v>
      </c>
      <c r="AI247" s="1317"/>
      <c r="AJ247" s="1317"/>
      <c r="AK247" s="1318"/>
      <c r="AL247" s="1318"/>
      <c r="AM247" s="1621"/>
      <c r="AN247" s="1621"/>
      <c r="AO247" s="1621"/>
      <c r="AP247" s="1621"/>
    </row>
    <row s="1621" customFormat="1" customHeight="1" ht="21.75">
      <c r="A248" s="647"/>
      <c r="B248" s="462"/>
      <c r="C248" s="462"/>
      <c r="D248" s="462"/>
      <c r="E248" s="629">
        <v>22.5</v>
      </c>
      <c r="F248" s="50" cm="1" t="str">
        <f t="array" ref="F248:F248">OFFSET(E248,-1,1)</f>
        <v>2</v>
      </c>
      <c r="G248" s="462"/>
      <c r="H248" s="462" t="s">
        <v>2208</v>
      </c>
      <c r="I248" s="462"/>
      <c r="J248" s="462"/>
      <c r="K248" s="462"/>
      <c r="L248" s="462"/>
      <c r="M248" s="462"/>
      <c r="N248" s="462"/>
      <c r="O248" s="462"/>
      <c r="P248" s="462"/>
      <c r="Q248" s="462"/>
      <c r="R248" s="462"/>
      <c r="S248" s="462"/>
      <c r="T248" s="439" cm="1" t="str">
        <f t="array" ref="T248:T248">T247</f>
        <v>true</v>
      </c>
      <c r="U248" s="462"/>
      <c r="V248" s="462"/>
      <c r="W248" s="462"/>
      <c r="X248" s="1519"/>
      <c r="Y248" s="462"/>
      <c r="Z248" s="1520"/>
      <c r="AA248" s="462"/>
      <c r="AB248" s="695" t="s">
        <v>2209</v>
      </c>
      <c r="AC248" s="526" t="s">
        <v>2210</v>
      </c>
      <c r="AD248" s="525" t="s">
        <v>784</v>
      </c>
      <c r="AE248" s="1370"/>
      <c r="AF248" s="1316"/>
      <c r="AG248" s="1316"/>
      <c r="AH248" s="1046" t="s">
        <v>1675</v>
      </c>
      <c r="AI248" s="1317"/>
      <c r="AJ248" s="1317"/>
      <c r="AK248" s="1318"/>
      <c r="AL248" s="1318"/>
      <c r="AM248" s="1621"/>
      <c r="AN248" s="1621"/>
      <c r="AO248" s="1621"/>
      <c r="AP248" s="1621"/>
    </row>
    <row s="1621" customFormat="1" customHeight="1" ht="14.25">
      <c r="A249" s="647"/>
      <c r="B249" s="462"/>
      <c r="C249" s="462"/>
      <c r="D249" s="462"/>
      <c r="E249" s="629">
        <v>15</v>
      </c>
      <c r="F249" s="50" cm="1" t="str">
        <f t="array" ref="F249:F249">OFFSET(E249,-1,1)</f>
        <v>2</v>
      </c>
      <c r="G249" s="462"/>
      <c r="H249" s="462" t="s">
        <v>2211</v>
      </c>
      <c r="I249" s="462"/>
      <c r="J249" s="462"/>
      <c r="K249" s="462"/>
      <c r="L249" s="462"/>
      <c r="M249" s="462"/>
      <c r="N249" s="462"/>
      <c r="O249" s="462"/>
      <c r="P249" s="462"/>
      <c r="Q249" s="462"/>
      <c r="R249" s="462"/>
      <c r="S249" s="462"/>
      <c r="T249" s="439" cm="1" t="str">
        <f t="array" ref="T249:T249">T248</f>
        <v>true</v>
      </c>
      <c r="U249" s="462"/>
      <c r="V249" s="462"/>
      <c r="W249" s="462"/>
      <c r="X249" s="1519"/>
      <c r="Y249" s="462"/>
      <c r="Z249" s="1520"/>
      <c r="AA249" s="462"/>
      <c r="AB249" s="695" t="s">
        <v>2212</v>
      </c>
      <c r="AC249" s="526" t="s">
        <v>2213</v>
      </c>
      <c r="AD249" s="525" t="s">
        <v>784</v>
      </c>
      <c r="AE249" s="534">
        <f>AE250+AE251+AE252</f>
        <v>0</v>
      </c>
      <c r="AF249" s="1316"/>
      <c r="AG249" s="1316"/>
      <c r="AH249" s="1046" t="s">
        <v>1677</v>
      </c>
      <c r="AI249" s="1317"/>
      <c r="AJ249" s="1317"/>
      <c r="AK249" s="1318"/>
      <c r="AL249" s="1318"/>
      <c r="AM249" s="1621"/>
      <c r="AN249" s="1621"/>
      <c r="AO249" s="1621"/>
      <c r="AP249" s="1621"/>
    </row>
    <row s="1621" customFormat="1" customHeight="1" ht="14.25">
      <c r="A250" s="647"/>
      <c r="B250" s="462"/>
      <c r="C250" s="462"/>
      <c r="D250" s="462"/>
      <c r="E250" s="629">
        <v>15</v>
      </c>
      <c r="F250" s="50" cm="1" t="str">
        <f t="array" ref="F250:F250">OFFSET(E250,-1,1)</f>
        <v>2</v>
      </c>
      <c r="G250" s="462"/>
      <c r="H250" s="462" t="s">
        <v>2214</v>
      </c>
      <c r="I250" s="462"/>
      <c r="J250" s="462"/>
      <c r="K250" s="462"/>
      <c r="L250" s="462"/>
      <c r="M250" s="462"/>
      <c r="N250" s="462"/>
      <c r="O250" s="462"/>
      <c r="P250" s="462"/>
      <c r="Q250" s="462"/>
      <c r="R250" s="462"/>
      <c r="S250" s="462"/>
      <c r="T250" s="439" cm="1" t="str">
        <f t="array" ref="T250:T250">T249</f>
        <v>true</v>
      </c>
      <c r="U250" s="462"/>
      <c r="V250" s="462"/>
      <c r="W250" s="462"/>
      <c r="X250" s="1519"/>
      <c r="Y250" s="462"/>
      <c r="Z250" s="1520"/>
      <c r="AA250" s="462"/>
      <c r="AB250" s="695" t="s">
        <v>2215</v>
      </c>
      <c r="AC250" s="527" t="s">
        <v>2216</v>
      </c>
      <c r="AD250" s="525" t="s">
        <v>784</v>
      </c>
      <c r="AE250" s="1370"/>
      <c r="AF250" s="1316"/>
      <c r="AG250" s="1316"/>
      <c r="AH250" s="1046" t="s">
        <v>1681</v>
      </c>
      <c r="AI250" s="1317"/>
      <c r="AJ250" s="1317"/>
      <c r="AK250" s="1318"/>
      <c r="AL250" s="1318"/>
      <c r="AM250" s="1621"/>
      <c r="AN250" s="1621"/>
      <c r="AO250" s="1621"/>
      <c r="AP250" s="1621"/>
    </row>
    <row s="1621" customFormat="1" customHeight="1" ht="14.25">
      <c r="A251" s="647"/>
      <c r="B251" s="462"/>
      <c r="C251" s="462"/>
      <c r="D251" s="462"/>
      <c r="E251" s="629">
        <v>15</v>
      </c>
      <c r="F251" s="50" cm="1" t="str">
        <f t="array" ref="F251:F251">OFFSET(E251,-1,1)</f>
        <v>2</v>
      </c>
      <c r="G251" s="462"/>
      <c r="H251" s="462" t="s">
        <v>2217</v>
      </c>
      <c r="I251" s="462"/>
      <c r="J251" s="462"/>
      <c r="K251" s="462"/>
      <c r="L251" s="462"/>
      <c r="M251" s="462"/>
      <c r="N251" s="462"/>
      <c r="O251" s="462"/>
      <c r="P251" s="462"/>
      <c r="Q251" s="462"/>
      <c r="R251" s="462"/>
      <c r="S251" s="462"/>
      <c r="T251" s="439" cm="1" t="str">
        <f t="array" ref="T251:T251">T250</f>
        <v>true</v>
      </c>
      <c r="U251" s="462"/>
      <c r="V251" s="462"/>
      <c r="W251" s="462"/>
      <c r="X251" s="1519"/>
      <c r="Y251" s="462"/>
      <c r="Z251" s="1520"/>
      <c r="AA251" s="462"/>
      <c r="AB251" s="696" t="s">
        <v>2218</v>
      </c>
      <c r="AC251" s="529" t="s">
        <v>2219</v>
      </c>
      <c r="AD251" s="530" t="s">
        <v>784</v>
      </c>
      <c r="AE251" s="1370"/>
      <c r="AF251" s="1316"/>
      <c r="AG251" s="1316"/>
      <c r="AH251" s="1046" t="s">
        <v>1684</v>
      </c>
      <c r="AI251" s="1317"/>
      <c r="AJ251" s="1317"/>
      <c r="AK251" s="1318"/>
      <c r="AL251" s="1318"/>
      <c r="AM251" s="1621"/>
      <c r="AN251" s="1621"/>
      <c r="AO251" s="1621"/>
      <c r="AP251" s="1621"/>
    </row>
    <row s="1621" customFormat="1" customHeight="1" ht="14.25">
      <c r="A252" s="647"/>
      <c r="B252" s="462"/>
      <c r="C252" s="462"/>
      <c r="D252" s="462"/>
      <c r="E252" s="629">
        <v>15</v>
      </c>
      <c r="F252" s="50" cm="1" t="str">
        <f t="array" ref="F252:F252">OFFSET(E252,-1,1)</f>
        <v>2</v>
      </c>
      <c r="G252" s="462"/>
      <c r="H252" s="462" t="s">
        <v>2220</v>
      </c>
      <c r="I252" s="462"/>
      <c r="J252" s="462"/>
      <c r="K252" s="462"/>
      <c r="L252" s="462"/>
      <c r="M252" s="462"/>
      <c r="N252" s="462"/>
      <c r="O252" s="462"/>
      <c r="P252" s="462"/>
      <c r="Q252" s="462"/>
      <c r="R252" s="462"/>
      <c r="S252" s="462"/>
      <c r="T252" s="439" cm="1" t="str">
        <f t="array" ref="T252:T252">T251</f>
        <v>true</v>
      </c>
      <c r="U252" s="462"/>
      <c r="V252" s="462"/>
      <c r="W252" s="462"/>
      <c r="X252" s="1519"/>
      <c r="Y252" s="462"/>
      <c r="Z252" s="1520"/>
      <c r="AA252" s="462"/>
      <c r="AB252" s="696" t="s">
        <v>2221</v>
      </c>
      <c r="AC252" s="529" t="s">
        <v>1128</v>
      </c>
      <c r="AD252" s="530" t="s">
        <v>784</v>
      </c>
      <c r="AE252" s="1370"/>
      <c r="AF252" s="1316"/>
      <c r="AG252" s="1316"/>
      <c r="AH252" s="1046" t="s">
        <v>1687</v>
      </c>
      <c r="AI252" s="1317"/>
      <c r="AJ252" s="1317"/>
      <c r="AK252" s="1318"/>
      <c r="AL252" s="1318"/>
      <c r="AM252" s="1621"/>
      <c r="AN252" s="1621"/>
      <c r="AO252" s="1621"/>
      <c r="AP252" s="1621"/>
    </row>
    <row s="1621" customFormat="1" customHeight="1" ht="14.25">
      <c r="A253" s="647"/>
      <c r="B253" s="462"/>
      <c r="C253" s="462"/>
      <c r="D253" s="462"/>
      <c r="E253" s="629">
        <v>15</v>
      </c>
      <c r="F253" s="50" cm="1" t="str">
        <f t="array" ref="F253:F253">OFFSET(E253,-1,1)</f>
        <v>2</v>
      </c>
      <c r="G253" s="462"/>
      <c r="H253" s="462" t="s">
        <v>452</v>
      </c>
      <c r="I253" s="462"/>
      <c r="J253" s="462"/>
      <c r="K253" s="462"/>
      <c r="L253" s="462"/>
      <c r="M253" s="462"/>
      <c r="N253" s="462"/>
      <c r="O253" s="462"/>
      <c r="P253" s="462"/>
      <c r="Q253" s="462"/>
      <c r="R253" s="462"/>
      <c r="S253" s="462"/>
      <c r="T253" s="439" cm="1" t="str">
        <f t="array" ref="T253:T253">T252</f>
        <v>true</v>
      </c>
      <c r="U253" s="462"/>
      <c r="V253" s="462"/>
      <c r="W253" s="462"/>
      <c r="X253" s="1519"/>
      <c r="Y253" s="462"/>
      <c r="Z253" s="1520"/>
      <c r="AA253" s="462"/>
      <c r="AB253" s="696" t="s">
        <v>854</v>
      </c>
      <c r="AC253" s="531" t="s">
        <v>2222</v>
      </c>
      <c r="AD253" s="530" t="s">
        <v>784</v>
      </c>
      <c r="AE253" s="534">
        <f>SUM(AE254:AE255)</f>
        <v>0</v>
      </c>
      <c r="AF253" s="1316"/>
      <c r="AG253" s="1316"/>
      <c r="AH253" s="1048" t="s">
        <v>2223</v>
      </c>
      <c r="AI253" s="1317"/>
      <c r="AJ253" s="1317"/>
      <c r="AK253" s="1318"/>
      <c r="AL253" s="1318"/>
      <c r="AM253" s="1621"/>
      <c r="AN253" s="1621"/>
      <c r="AO253" s="1621"/>
      <c r="AP253" s="1621"/>
    </row>
    <row s="1621" customFormat="1" customHeight="1" ht="14.25" hidden="1">
      <c r="A254" s="647"/>
      <c r="B254" s="462"/>
      <c r="C254" s="462"/>
      <c r="D254" s="462"/>
      <c r="E254" s="629">
        <v>15</v>
      </c>
      <c r="F254" s="50" cm="1" t="str">
        <f t="array" ref="F254:F254">OFFSET(E254,-1,1)</f>
        <v>2</v>
      </c>
      <c r="G254" s="462"/>
      <c r="H254" s="462" t="s">
        <v>452</v>
      </c>
      <c r="I254" s="540" cm="1" t="str">
        <f t="array" ref="I254:I254">AC254</f>
        <v>0</v>
      </c>
      <c r="J254" s="462"/>
      <c r="K254" s="462"/>
      <c r="L254" s="462"/>
      <c r="M254" s="462"/>
      <c r="N254" s="462"/>
      <c r="O254" s="462"/>
      <c r="P254" s="462"/>
      <c r="Q254" s="462"/>
      <c r="R254" s="462"/>
      <c r="S254" s="462"/>
      <c r="T254" s="439">
        <f>AND(F254&gt;0,Y254&gt;0)</f>
        <v>0</v>
      </c>
      <c r="U254" s="462"/>
      <c r="V254" s="462"/>
      <c r="W254" s="532" t="s">
        <v>173</v>
      </c>
      <c r="X254" s="1519"/>
      <c r="Y254" s="462">
        <v>0</v>
      </c>
      <c r="Z254" s="1520"/>
      <c r="AA254" s="1303" t="s">
        <v>174</v>
      </c>
      <c r="AB254" s="695" t="str">
        <f>"1.4."&amp;Y254</f>
        <v>1.4.0</v>
      </c>
      <c r="AC254" s="5204"/>
      <c r="AD254" s="525" t="s">
        <v>784</v>
      </c>
      <c r="AE254" s="5205"/>
      <c r="AF254" s="1316"/>
      <c r="AG254" s="1316"/>
      <c r="AH254" s="1048" t="s">
        <v>2223</v>
      </c>
      <c r="AI254" s="984" t="s">
        <v>2224</v>
      </c>
      <c r="AJ254" s="984" cm="1" t="str">
        <f t="array" ref="AJ254:AJ254">AC254</f>
        <v>0</v>
      </c>
      <c r="AK254" s="1318"/>
      <c r="AL254" s="636" t="b">
        <v>1</v>
      </c>
      <c r="AM254" s="1621"/>
      <c r="AN254" s="1621"/>
      <c r="AO254" s="1621"/>
      <c r="AP254" s="1621"/>
    </row>
    <row s="1621" customFormat="1" customHeight="1" ht="14.25">
      <c r="A255" s="647"/>
      <c r="B255" s="462"/>
      <c r="C255" s="462"/>
      <c r="D255" s="462"/>
      <c r="E255" s="629">
        <v>15</v>
      </c>
      <c r="F255" s="50" cm="1" t="str">
        <f t="array" ref="F255:F255">OFFSET(E255,-1,1)</f>
        <v>2</v>
      </c>
      <c r="G255" s="462"/>
      <c r="H255" s="462"/>
      <c r="I255" s="1305" t="str">
        <f>"!== 'не определено' &amp;&amp; row.l1_4 !== null"</f>
        <v>!== 'не определено' &amp;&amp; row.l1_4 !== null</v>
      </c>
      <c r="J255" s="462"/>
      <c r="K255" s="462"/>
      <c r="L255" s="462"/>
      <c r="M255" s="462"/>
      <c r="N255" s="462"/>
      <c r="O255" s="462"/>
      <c r="P255" s="462"/>
      <c r="Q255" s="462"/>
      <c r="R255" s="462"/>
      <c r="S255" s="462"/>
      <c r="T255" s="439">
        <f>F255&gt;0</f>
        <v>1</v>
      </c>
      <c r="U255" s="462"/>
      <c r="V255" s="462"/>
      <c r="W255" s="810" t="s">
        <v>392</v>
      </c>
      <c r="X255" s="1519"/>
      <c r="Y255" s="462"/>
      <c r="Z255" s="1520"/>
      <c r="AA255" s="462"/>
      <c r="AB255" s="1306"/>
      <c r="AC255" s="1307" t="s">
        <v>177</v>
      </c>
      <c r="AD255" s="1308"/>
      <c r="AE255" s="1371"/>
      <c r="AF255" s="1316"/>
      <c r="AG255" s="1316"/>
      <c r="AH255" s="1317"/>
      <c r="AI255" s="1317"/>
      <c r="AJ255" s="1317"/>
      <c r="AK255" s="636" t="s">
        <v>2224</v>
      </c>
      <c r="AL255" s="1318"/>
      <c r="AM255" s="1621"/>
      <c r="AN255" s="1621"/>
      <c r="AO255" s="1621"/>
      <c r="AP255" s="1621"/>
    </row>
    <row s="1621" customFormat="1" customHeight="1" ht="14.25">
      <c r="A256" s="647"/>
      <c r="B256" s="462"/>
      <c r="C256" s="462"/>
      <c r="D256" s="462"/>
      <c r="E256" s="629">
        <v>15</v>
      </c>
      <c r="F256" s="50" cm="1" t="str">
        <f t="array" ref="F256:F256">OFFSET(E256,-1,1)</f>
        <v>2</v>
      </c>
      <c r="G256" s="462"/>
      <c r="H256" s="462" t="s">
        <v>326</v>
      </c>
      <c r="I256" s="462"/>
      <c r="J256" s="462"/>
      <c r="K256" s="462"/>
      <c r="L256" s="462"/>
      <c r="M256" s="462"/>
      <c r="N256" s="462"/>
      <c r="O256" s="462"/>
      <c r="P256" s="462"/>
      <c r="Q256" s="462"/>
      <c r="R256" s="462"/>
      <c r="S256" s="462"/>
      <c r="T256" s="439" cm="1" t="str">
        <f t="array" ref="T256:T256">T255</f>
        <v>true</v>
      </c>
      <c r="U256" s="462"/>
      <c r="V256" s="462"/>
      <c r="W256" s="462"/>
      <c r="X256" s="1519"/>
      <c r="Y256" s="462"/>
      <c r="Z256" s="1520"/>
      <c r="AA256" s="462"/>
      <c r="AB256" s="694" t="s">
        <v>283</v>
      </c>
      <c r="AC256" s="522" t="s">
        <v>1895</v>
      </c>
      <c r="AD256" s="523" t="s">
        <v>784</v>
      </c>
      <c r="AE256" s="534">
        <f>AE257+AE269+AE270+AE280+AE281+AE282+AE285+AE286+AE287+AE288+AE289+AE290</f>
        <v>0</v>
      </c>
      <c r="AF256" s="1316"/>
      <c r="AG256" s="1316"/>
      <c r="AH256" s="984" t="s">
        <v>2225</v>
      </c>
      <c r="AI256" s="1317"/>
      <c r="AJ256" s="1317"/>
      <c r="AK256" s="1318"/>
      <c r="AL256" s="1318"/>
      <c r="AM256" s="1621"/>
      <c r="AN256" s="1621"/>
      <c r="AO256" s="1621"/>
      <c r="AP256" s="1621"/>
    </row>
    <row s="1310" customFormat="1" customHeight="1" ht="26.25">
      <c r="A257" s="647"/>
      <c r="B257" s="462"/>
      <c r="C257" s="462"/>
      <c r="D257" s="462"/>
      <c r="E257" s="629">
        <v>27</v>
      </c>
      <c r="F257" s="498" cm="1" t="str">
        <f t="array" ref="F257:F257">OFFSET(E257,-1,1)</f>
        <v>2</v>
      </c>
      <c r="G257" s="462"/>
      <c r="H257" s="462"/>
      <c r="I257" s="462"/>
      <c r="J257" s="462"/>
      <c r="K257" s="462"/>
      <c r="L257" s="462"/>
      <c r="M257" s="462"/>
      <c r="N257" s="462"/>
      <c r="O257" s="462"/>
      <c r="P257" s="462"/>
      <c r="Q257" s="462"/>
      <c r="R257" s="462"/>
      <c r="S257" s="462"/>
      <c r="T257" s="439" cm="1" t="str">
        <f t="array" ref="T257:T257">T256</f>
        <v>true</v>
      </c>
      <c r="U257" s="462"/>
      <c r="V257" s="462"/>
      <c r="W257" s="462"/>
      <c r="X257" s="1519"/>
      <c r="Y257" s="462"/>
      <c r="Z257" s="1520"/>
      <c r="AA257" s="462"/>
      <c r="AB257" s="1297" t="s">
        <v>515</v>
      </c>
      <c r="AC257" s="1309" t="s">
        <v>1897</v>
      </c>
      <c r="AD257" s="1296" t="s">
        <v>784</v>
      </c>
      <c r="AE257" s="534">
        <f>SUM(AE258:AE268)</f>
        <v>0</v>
      </c>
      <c r="AF257" s="1093"/>
      <c r="AG257" s="1093"/>
      <c r="AH257" s="1048" t="s">
        <v>1129</v>
      </c>
      <c r="AI257" s="1042"/>
      <c r="AJ257" s="1042"/>
      <c r="AK257" s="948"/>
      <c r="AL257" s="948"/>
      <c r="AM257" s="1310"/>
      <c r="AN257" s="1310"/>
      <c r="AO257" s="1310"/>
      <c r="AP257" s="1310"/>
    </row>
    <row s="1310" customFormat="1" customHeight="1" ht="14.25">
      <c r="A258" s="647"/>
      <c r="B258" s="462"/>
      <c r="C258" s="462"/>
      <c r="D258" s="462"/>
      <c r="E258" s="629">
        <v>15</v>
      </c>
      <c r="F258" s="498" cm="1" t="str">
        <f t="array" ref="F258:F258">OFFSET(E258,-1,1)</f>
        <v>2</v>
      </c>
      <c r="G258" s="462"/>
      <c r="H258" s="462"/>
      <c r="I258" s="462"/>
      <c r="J258" s="462"/>
      <c r="K258" s="462"/>
      <c r="L258" s="462"/>
      <c r="M258" s="462"/>
      <c r="N258" s="462"/>
      <c r="O258" s="462"/>
      <c r="P258" s="462"/>
      <c r="Q258" s="462"/>
      <c r="R258" s="462"/>
      <c r="S258" s="462"/>
      <c r="T258" s="439" cm="1" t="str">
        <f t="array" ref="T258:T258">T257</f>
        <v>true</v>
      </c>
      <c r="U258" s="462"/>
      <c r="V258" s="462"/>
      <c r="W258" s="462"/>
      <c r="X258" s="1519"/>
      <c r="Y258" s="462"/>
      <c r="Z258" s="1520"/>
      <c r="AA258" s="462"/>
      <c r="AB258" s="1297" t="s">
        <v>467</v>
      </c>
      <c r="AC258" s="1300" t="s">
        <v>1898</v>
      </c>
      <c r="AD258" s="1299" t="s">
        <v>784</v>
      </c>
      <c r="AE258" s="535"/>
      <c r="AF258" s="1093"/>
      <c r="AG258" s="1093"/>
      <c r="AH258" s="1048" t="s">
        <v>2226</v>
      </c>
      <c r="AI258" s="1042"/>
      <c r="AJ258" s="1042"/>
      <c r="AK258" s="948"/>
      <c r="AL258" s="948"/>
      <c r="AM258" s="1310"/>
      <c r="AN258" s="1310"/>
      <c r="AO258" s="1310"/>
      <c r="AP258" s="1310"/>
    </row>
    <row s="1310" customFormat="1" customHeight="1" ht="14.25">
      <c r="A259" s="647"/>
      <c r="B259" s="462"/>
      <c r="C259" s="462"/>
      <c r="D259" s="462"/>
      <c r="E259" s="629">
        <v>15</v>
      </c>
      <c r="F259" s="498" cm="1" t="str">
        <f t="array" ref="F259:F259">OFFSET(E259,-1,1)</f>
        <v>2</v>
      </c>
      <c r="G259" s="462"/>
      <c r="H259" s="462"/>
      <c r="I259" s="462"/>
      <c r="J259" s="462"/>
      <c r="K259" s="462"/>
      <c r="L259" s="462"/>
      <c r="M259" s="462"/>
      <c r="N259" s="462"/>
      <c r="O259" s="462"/>
      <c r="P259" s="462"/>
      <c r="Q259" s="462"/>
      <c r="R259" s="462"/>
      <c r="S259" s="462"/>
      <c r="T259" s="439" cm="1" t="str">
        <f t="array" ref="T259:T259">T258</f>
        <v>true</v>
      </c>
      <c r="U259" s="462"/>
      <c r="V259" s="462"/>
      <c r="W259" s="462"/>
      <c r="X259" s="1519"/>
      <c r="Y259" s="462"/>
      <c r="Z259" s="1520"/>
      <c r="AA259" s="462"/>
      <c r="AB259" s="1297" t="s">
        <v>1899</v>
      </c>
      <c r="AC259" s="1300" t="s">
        <v>1900</v>
      </c>
      <c r="AD259" s="1299" t="s">
        <v>784</v>
      </c>
      <c r="AE259" s="535"/>
      <c r="AF259" s="1093"/>
      <c r="AG259" s="1093"/>
      <c r="AH259" s="1048" t="s">
        <v>2227</v>
      </c>
      <c r="AI259" s="1042"/>
      <c r="AJ259" s="1042"/>
      <c r="AK259" s="948"/>
      <c r="AL259" s="948"/>
      <c r="AM259" s="1310"/>
      <c r="AN259" s="1310"/>
      <c r="AO259" s="1310"/>
      <c r="AP259" s="1310"/>
    </row>
    <row s="1310" customFormat="1" customHeight="1" ht="14.25">
      <c r="A260" s="647"/>
      <c r="B260" s="462"/>
      <c r="C260" s="462"/>
      <c r="D260" s="462"/>
      <c r="E260" s="629">
        <v>15</v>
      </c>
      <c r="F260" s="498" cm="1" t="str">
        <f t="array" ref="F260:F260">OFFSET(E260,-1,1)</f>
        <v>2</v>
      </c>
      <c r="G260" s="462"/>
      <c r="H260" s="462"/>
      <c r="I260" s="462"/>
      <c r="J260" s="462"/>
      <c r="K260" s="462"/>
      <c r="L260" s="462"/>
      <c r="M260" s="462"/>
      <c r="N260" s="462"/>
      <c r="O260" s="462"/>
      <c r="P260" s="462"/>
      <c r="Q260" s="462"/>
      <c r="R260" s="462"/>
      <c r="S260" s="462"/>
      <c r="T260" s="439" cm="1" t="str">
        <f t="array" ref="T260:T260">T259</f>
        <v>true</v>
      </c>
      <c r="U260" s="462"/>
      <c r="V260" s="462"/>
      <c r="W260" s="462"/>
      <c r="X260" s="1519"/>
      <c r="Y260" s="462"/>
      <c r="Z260" s="1520"/>
      <c r="AA260" s="462"/>
      <c r="AB260" s="1297" t="s">
        <v>1901</v>
      </c>
      <c r="AC260" s="1300" t="s">
        <v>1902</v>
      </c>
      <c r="AD260" s="1299" t="s">
        <v>784</v>
      </c>
      <c r="AE260" s="535"/>
      <c r="AF260" s="1093"/>
      <c r="AG260" s="1093"/>
      <c r="AH260" s="1048" t="s">
        <v>2228</v>
      </c>
      <c r="AI260" s="1042"/>
      <c r="AJ260" s="1042"/>
      <c r="AK260" s="948"/>
      <c r="AL260" s="948"/>
      <c r="AM260" s="1310"/>
      <c r="AN260" s="1310"/>
      <c r="AO260" s="1310"/>
      <c r="AP260" s="1310"/>
    </row>
    <row s="1310" customFormat="1" customHeight="1" ht="14.25">
      <c r="A261" s="647"/>
      <c r="B261" s="462"/>
      <c r="C261" s="462"/>
      <c r="D261" s="462"/>
      <c r="E261" s="629">
        <v>15</v>
      </c>
      <c r="F261" s="498" cm="1" t="str">
        <f t="array" ref="F261:F261">OFFSET(E261,-1,1)</f>
        <v>2</v>
      </c>
      <c r="G261" s="462"/>
      <c r="H261" s="462"/>
      <c r="I261" s="462"/>
      <c r="J261" s="462"/>
      <c r="K261" s="462"/>
      <c r="L261" s="462"/>
      <c r="M261" s="462"/>
      <c r="N261" s="462"/>
      <c r="O261" s="462"/>
      <c r="P261" s="462"/>
      <c r="Q261" s="462"/>
      <c r="R261" s="462"/>
      <c r="S261" s="462"/>
      <c r="T261" s="439" cm="1" t="str">
        <f t="array" ref="T261:T261">T260</f>
        <v>true</v>
      </c>
      <c r="U261" s="462"/>
      <c r="V261" s="462"/>
      <c r="W261" s="462"/>
      <c r="X261" s="1519"/>
      <c r="Y261" s="462"/>
      <c r="Z261" s="1520"/>
      <c r="AA261" s="462"/>
      <c r="AB261" s="1297" t="s">
        <v>1904</v>
      </c>
      <c r="AC261" s="1300" t="s">
        <v>1905</v>
      </c>
      <c r="AD261" s="1299" t="s">
        <v>784</v>
      </c>
      <c r="AE261" s="535"/>
      <c r="AF261" s="1093"/>
      <c r="AG261" s="1093"/>
      <c r="AH261" s="1048" t="s">
        <v>2229</v>
      </c>
      <c r="AI261" s="1042"/>
      <c r="AJ261" s="1042"/>
      <c r="AK261" s="948"/>
      <c r="AL261" s="948"/>
      <c r="AM261" s="1310"/>
      <c r="AN261" s="1310"/>
      <c r="AO261" s="1310"/>
      <c r="AP261" s="1310"/>
    </row>
    <row s="1310" customFormat="1" customHeight="1" ht="14.25">
      <c r="A262" s="647"/>
      <c r="B262" s="462"/>
      <c r="C262" s="462"/>
      <c r="D262" s="462"/>
      <c r="E262" s="629">
        <v>15</v>
      </c>
      <c r="F262" s="498" cm="1" t="str">
        <f t="array" ref="F262:F262">OFFSET(E262,-1,1)</f>
        <v>2</v>
      </c>
      <c r="G262" s="462"/>
      <c r="H262" s="462"/>
      <c r="I262" s="462"/>
      <c r="J262" s="462"/>
      <c r="K262" s="462"/>
      <c r="L262" s="462"/>
      <c r="M262" s="462"/>
      <c r="N262" s="462"/>
      <c r="O262" s="462"/>
      <c r="P262" s="462"/>
      <c r="Q262" s="462"/>
      <c r="R262" s="462"/>
      <c r="S262" s="462"/>
      <c r="T262" s="439" cm="1" t="str">
        <f t="array" ref="T262:T262">T261</f>
        <v>true</v>
      </c>
      <c r="U262" s="462"/>
      <c r="V262" s="462"/>
      <c r="W262" s="462"/>
      <c r="X262" s="1519"/>
      <c r="Y262" s="462"/>
      <c r="Z262" s="1520"/>
      <c r="AA262" s="462"/>
      <c r="AB262" s="1297" t="s">
        <v>1907</v>
      </c>
      <c r="AC262" s="1300" t="s">
        <v>1908</v>
      </c>
      <c r="AD262" s="1299" t="s">
        <v>784</v>
      </c>
      <c r="AE262" s="535"/>
      <c r="AF262" s="1093"/>
      <c r="AG262" s="1093"/>
      <c r="AH262" s="1048" t="s">
        <v>2230</v>
      </c>
      <c r="AI262" s="1042"/>
      <c r="AJ262" s="1042"/>
      <c r="AK262" s="948"/>
      <c r="AL262" s="948"/>
      <c r="AM262" s="1310"/>
      <c r="AN262" s="1310"/>
      <c r="AO262" s="1310"/>
      <c r="AP262" s="1310"/>
    </row>
    <row s="1310" customFormat="1" customHeight="1" ht="26.25">
      <c r="A263" s="647"/>
      <c r="B263" s="462"/>
      <c r="C263" s="462"/>
      <c r="D263" s="462"/>
      <c r="E263" s="629">
        <v>27</v>
      </c>
      <c r="F263" s="498" cm="1" t="str">
        <f t="array" ref="F263:F263">OFFSET(E263,-1,1)</f>
        <v>2</v>
      </c>
      <c r="G263" s="462"/>
      <c r="H263" s="462"/>
      <c r="I263" s="462"/>
      <c r="J263" s="462"/>
      <c r="K263" s="462"/>
      <c r="L263" s="462"/>
      <c r="M263" s="462"/>
      <c r="N263" s="462"/>
      <c r="O263" s="462"/>
      <c r="P263" s="462"/>
      <c r="Q263" s="462"/>
      <c r="R263" s="462"/>
      <c r="S263" s="462"/>
      <c r="T263" s="439" cm="1" t="str">
        <f t="array" ref="T263:T263">T262</f>
        <v>true</v>
      </c>
      <c r="U263" s="462"/>
      <c r="V263" s="462"/>
      <c r="W263" s="462"/>
      <c r="X263" s="1519"/>
      <c r="Y263" s="462"/>
      <c r="Z263" s="1520"/>
      <c r="AA263" s="462"/>
      <c r="AB263" s="1297" t="s">
        <v>1910</v>
      </c>
      <c r="AC263" s="1300" t="s">
        <v>1911</v>
      </c>
      <c r="AD263" s="1299" t="s">
        <v>784</v>
      </c>
      <c r="AE263" s="535"/>
      <c r="AF263" s="1093"/>
      <c r="AG263" s="1093"/>
      <c r="AH263" s="1048" t="s">
        <v>2231</v>
      </c>
      <c r="AI263" s="1042"/>
      <c r="AJ263" s="1042"/>
      <c r="AK263" s="948"/>
      <c r="AL263" s="948"/>
      <c r="AM263" s="1310"/>
      <c r="AN263" s="1310"/>
      <c r="AO263" s="1310"/>
      <c r="AP263" s="1310"/>
    </row>
    <row s="1310" customFormat="1" customHeight="1" ht="14.25">
      <c r="A264" s="647"/>
      <c r="B264" s="462"/>
      <c r="C264" s="462"/>
      <c r="D264" s="462"/>
      <c r="E264" s="629">
        <v>15</v>
      </c>
      <c r="F264" s="498" cm="1" t="str">
        <f t="array" ref="F264:F264">OFFSET(E264,-1,1)</f>
        <v>2</v>
      </c>
      <c r="G264" s="462"/>
      <c r="H264" s="462"/>
      <c r="I264" s="462"/>
      <c r="J264" s="462"/>
      <c r="K264" s="462"/>
      <c r="L264" s="462"/>
      <c r="M264" s="462"/>
      <c r="N264" s="462"/>
      <c r="O264" s="462"/>
      <c r="P264" s="462"/>
      <c r="Q264" s="462"/>
      <c r="R264" s="462"/>
      <c r="S264" s="462"/>
      <c r="T264" s="439" cm="1" t="str">
        <f t="array" ref="T264:T264">T263</f>
        <v>true</v>
      </c>
      <c r="U264" s="462"/>
      <c r="V264" s="462"/>
      <c r="W264" s="462"/>
      <c r="X264" s="1519"/>
      <c r="Y264" s="462"/>
      <c r="Z264" s="1520"/>
      <c r="AA264" s="462"/>
      <c r="AB264" s="1297" t="s">
        <v>1914</v>
      </c>
      <c r="AC264" s="1300" t="s">
        <v>1915</v>
      </c>
      <c r="AD264" s="1299" t="s">
        <v>784</v>
      </c>
      <c r="AE264" s="535"/>
      <c r="AF264" s="1093"/>
      <c r="AG264" s="1093"/>
      <c r="AH264" s="1048" t="s">
        <v>2232</v>
      </c>
      <c r="AI264" s="1042"/>
      <c r="AJ264" s="1042"/>
      <c r="AK264" s="948"/>
      <c r="AL264" s="948"/>
      <c r="AM264" s="1310"/>
      <c r="AN264" s="1310"/>
      <c r="AO264" s="1310"/>
      <c r="AP264" s="1310"/>
    </row>
    <row s="1310" customFormat="1" customHeight="1" ht="14.25">
      <c r="A265" s="647"/>
      <c r="B265" s="462"/>
      <c r="C265" s="462"/>
      <c r="D265" s="462"/>
      <c r="E265" s="629">
        <v>15</v>
      </c>
      <c r="F265" s="498" cm="1" t="str">
        <f t="array" ref="F265:F265">OFFSET(E265,-1,1)</f>
        <v>2</v>
      </c>
      <c r="G265" s="462"/>
      <c r="H265" s="462"/>
      <c r="I265" s="462"/>
      <c r="J265" s="462"/>
      <c r="K265" s="462"/>
      <c r="L265" s="462"/>
      <c r="M265" s="462"/>
      <c r="N265" s="462"/>
      <c r="O265" s="462"/>
      <c r="P265" s="462"/>
      <c r="Q265" s="462"/>
      <c r="R265" s="462"/>
      <c r="S265" s="462"/>
      <c r="T265" s="439" cm="1" t="str">
        <f t="array" ref="T265:T265">T264</f>
        <v>true</v>
      </c>
      <c r="U265" s="462"/>
      <c r="V265" s="462"/>
      <c r="W265" s="462"/>
      <c r="X265" s="1519"/>
      <c r="Y265" s="462"/>
      <c r="Z265" s="1520"/>
      <c r="AA265" s="462"/>
      <c r="AB265" s="1297" t="s">
        <v>1918</v>
      </c>
      <c r="AC265" s="1300" t="s">
        <v>1919</v>
      </c>
      <c r="AD265" s="1299" t="s">
        <v>784</v>
      </c>
      <c r="AE265" s="535"/>
      <c r="AF265" s="1093"/>
      <c r="AG265" s="1093"/>
      <c r="AH265" s="1048" t="s">
        <v>2233</v>
      </c>
      <c r="AI265" s="1042"/>
      <c r="AJ265" s="1042"/>
      <c r="AK265" s="948"/>
      <c r="AL265" s="948"/>
      <c r="AM265" s="1310"/>
      <c r="AN265" s="1310"/>
      <c r="AO265" s="1310"/>
      <c r="AP265" s="1310"/>
    </row>
    <row s="1310" customFormat="1" customHeight="1" ht="14.25">
      <c r="A266" s="647"/>
      <c r="B266" s="462"/>
      <c r="C266" s="462"/>
      <c r="D266" s="462"/>
      <c r="E266" s="629">
        <v>15</v>
      </c>
      <c r="F266" s="498" cm="1" t="str">
        <f t="array" ref="F266:F266">OFFSET(E266,-1,1)</f>
        <v>2</v>
      </c>
      <c r="G266" s="462"/>
      <c r="H266" s="462"/>
      <c r="I266" s="462"/>
      <c r="J266" s="462"/>
      <c r="K266" s="462"/>
      <c r="L266" s="462"/>
      <c r="M266" s="462"/>
      <c r="N266" s="462"/>
      <c r="O266" s="462"/>
      <c r="P266" s="462"/>
      <c r="Q266" s="462"/>
      <c r="R266" s="462"/>
      <c r="S266" s="462"/>
      <c r="T266" s="439" cm="1" t="str">
        <f t="array" ref="T266:T266">T265</f>
        <v>true</v>
      </c>
      <c r="U266" s="462"/>
      <c r="V266" s="462"/>
      <c r="W266" s="462"/>
      <c r="X266" s="1519"/>
      <c r="Y266" s="462"/>
      <c r="Z266" s="1520"/>
      <c r="AA266" s="462"/>
      <c r="AB266" s="1297" t="s">
        <v>1921</v>
      </c>
      <c r="AC266" s="1300" t="s">
        <v>1922</v>
      </c>
      <c r="AD266" s="1299" t="s">
        <v>784</v>
      </c>
      <c r="AE266" s="535"/>
      <c r="AF266" s="1093"/>
      <c r="AG266" s="1093"/>
      <c r="AH266" s="1048" t="s">
        <v>2234</v>
      </c>
      <c r="AI266" s="1042"/>
      <c r="AJ266" s="1042"/>
      <c r="AK266" s="948"/>
      <c r="AL266" s="948"/>
      <c r="AM266" s="1310"/>
      <c r="AN266" s="1310"/>
      <c r="AO266" s="1310"/>
      <c r="AP266" s="1310"/>
    </row>
    <row s="1310" customFormat="1" customHeight="1" ht="14.25">
      <c r="A267" s="647"/>
      <c r="B267" s="462"/>
      <c r="C267" s="462"/>
      <c r="D267" s="462"/>
      <c r="E267" s="629">
        <v>15</v>
      </c>
      <c r="F267" s="498" cm="1" t="str">
        <f t="array" ref="F267:F267">OFFSET(E267,-1,1)</f>
        <v>2</v>
      </c>
      <c r="G267" s="462"/>
      <c r="H267" s="462"/>
      <c r="I267" s="462"/>
      <c r="J267" s="462"/>
      <c r="K267" s="462"/>
      <c r="L267" s="462"/>
      <c r="M267" s="462"/>
      <c r="N267" s="462"/>
      <c r="O267" s="462"/>
      <c r="P267" s="462"/>
      <c r="Q267" s="462"/>
      <c r="R267" s="462"/>
      <c r="S267" s="462"/>
      <c r="T267" s="439" cm="1" t="str">
        <f t="array" ref="T267:T267">T266</f>
        <v>true</v>
      </c>
      <c r="U267" s="462"/>
      <c r="V267" s="462"/>
      <c r="W267" s="462"/>
      <c r="X267" s="1519"/>
      <c r="Y267" s="462"/>
      <c r="Z267" s="1520"/>
      <c r="AA267" s="462"/>
      <c r="AB267" s="1297" t="s">
        <v>1924</v>
      </c>
      <c r="AC267" s="1300" t="s">
        <v>1925</v>
      </c>
      <c r="AD267" s="1299" t="s">
        <v>784</v>
      </c>
      <c r="AE267" s="535"/>
      <c r="AF267" s="1093"/>
      <c r="AG267" s="1093"/>
      <c r="AH267" s="1048" t="s">
        <v>2235</v>
      </c>
      <c r="AI267" s="1042"/>
      <c r="AJ267" s="1042"/>
      <c r="AK267" s="948"/>
      <c r="AL267" s="948"/>
      <c r="AM267" s="1310"/>
      <c r="AN267" s="1310"/>
      <c r="AO267" s="1310"/>
      <c r="AP267" s="1310"/>
    </row>
    <row s="1310" customFormat="1" customHeight="1" ht="14.25">
      <c r="A268" s="647"/>
      <c r="B268" s="462"/>
      <c r="C268" s="462"/>
      <c r="D268" s="462"/>
      <c r="E268" s="629">
        <v>15</v>
      </c>
      <c r="F268" s="498" cm="1" t="str">
        <f t="array" ref="F268:F268">OFFSET(E268,-1,1)</f>
        <v>2</v>
      </c>
      <c r="G268" s="462"/>
      <c r="H268" s="462"/>
      <c r="I268" s="462"/>
      <c r="J268" s="462"/>
      <c r="K268" s="462"/>
      <c r="L268" s="462"/>
      <c r="M268" s="462"/>
      <c r="N268" s="462"/>
      <c r="O268" s="462"/>
      <c r="P268" s="462"/>
      <c r="Q268" s="462"/>
      <c r="R268" s="462"/>
      <c r="S268" s="462"/>
      <c r="T268" s="439" cm="1" t="str">
        <f t="array" ref="T268:T268">T267</f>
        <v>true</v>
      </c>
      <c r="U268" s="462"/>
      <c r="V268" s="462"/>
      <c r="W268" s="462"/>
      <c r="X268" s="1519"/>
      <c r="Y268" s="462"/>
      <c r="Z268" s="1520"/>
      <c r="AA268" s="462"/>
      <c r="AB268" s="1297" t="s">
        <v>1926</v>
      </c>
      <c r="AC268" s="1300" t="s">
        <v>1927</v>
      </c>
      <c r="AD268" s="1299" t="s">
        <v>784</v>
      </c>
      <c r="AE268" s="535"/>
      <c r="AF268" s="1093"/>
      <c r="AG268" s="1093"/>
      <c r="AH268" s="1048" t="s">
        <v>2236</v>
      </c>
      <c r="AI268" s="1042"/>
      <c r="AJ268" s="1042"/>
      <c r="AK268" s="948"/>
      <c r="AL268" s="948"/>
      <c r="AM268" s="1310"/>
      <c r="AN268" s="1310"/>
      <c r="AO268" s="1310"/>
      <c r="AP268" s="1310"/>
    </row>
    <row s="1310" customFormat="1" customHeight="1" ht="14.25">
      <c r="A269" s="647"/>
      <c r="B269" s="462"/>
      <c r="C269" s="462"/>
      <c r="D269" s="462"/>
      <c r="E269" s="629">
        <v>15</v>
      </c>
      <c r="F269" s="498" cm="1" t="str">
        <f t="array" ref="F269:F269">OFFSET(E269,-1,1)</f>
        <v>2</v>
      </c>
      <c r="G269" s="462"/>
      <c r="H269" s="462"/>
      <c r="I269" s="462"/>
      <c r="J269" s="462"/>
      <c r="K269" s="462"/>
      <c r="L269" s="462"/>
      <c r="M269" s="462"/>
      <c r="N269" s="462"/>
      <c r="O269" s="462"/>
      <c r="P269" s="462"/>
      <c r="Q269" s="462"/>
      <c r="R269" s="462"/>
      <c r="S269" s="462"/>
      <c r="T269" s="439" cm="1" t="str">
        <f t="array" ref="T269:T269">T268</f>
        <v>true</v>
      </c>
      <c r="U269" s="462"/>
      <c r="V269" s="462"/>
      <c r="W269" s="462"/>
      <c r="X269" s="1519"/>
      <c r="Y269" s="462"/>
      <c r="Z269" s="1520"/>
      <c r="AA269" s="462"/>
      <c r="AB269" s="1297" t="s">
        <v>519</v>
      </c>
      <c r="AC269" s="1298" t="s">
        <v>1928</v>
      </c>
      <c r="AD269" s="1299" t="s">
        <v>784</v>
      </c>
      <c r="AE269" s="535"/>
      <c r="AF269" s="1093"/>
      <c r="AG269" s="1093"/>
      <c r="AH269" s="1048" t="s">
        <v>2237</v>
      </c>
      <c r="AI269" s="1042"/>
      <c r="AJ269" s="1042"/>
      <c r="AK269" s="948"/>
      <c r="AL269" s="948"/>
      <c r="AM269" s="1310"/>
      <c r="AN269" s="1310"/>
      <c r="AO269" s="1310"/>
      <c r="AP269" s="1310"/>
    </row>
    <row s="1621" customFormat="1" customHeight="1" ht="14.25">
      <c r="A270" s="647"/>
      <c r="B270" s="462"/>
      <c r="C270" s="462"/>
      <c r="D270" s="462"/>
      <c r="E270" s="629">
        <v>15</v>
      </c>
      <c r="F270" s="50" cm="1" t="str">
        <f t="array" ref="F270:F270">OFFSET(E270,-1,1)</f>
        <v>2</v>
      </c>
      <c r="G270" s="462"/>
      <c r="H270" s="462" t="s">
        <v>462</v>
      </c>
      <c r="I270" s="462"/>
      <c r="J270" s="462"/>
      <c r="K270" s="462"/>
      <c r="L270" s="462"/>
      <c r="M270" s="462"/>
      <c r="N270" s="462"/>
      <c r="O270" s="462"/>
      <c r="P270" s="462"/>
      <c r="Q270" s="462"/>
      <c r="R270" s="462"/>
      <c r="S270" s="462"/>
      <c r="T270" s="439" cm="1" t="str">
        <f t="array" ref="T270:T270">T256</f>
        <v>true</v>
      </c>
      <c r="U270" s="462"/>
      <c r="V270" s="462"/>
      <c r="W270" s="462"/>
      <c r="X270" s="1519"/>
      <c r="Y270" s="462"/>
      <c r="Z270" s="1520"/>
      <c r="AA270" s="462"/>
      <c r="AB270" s="695" t="s">
        <v>523</v>
      </c>
      <c r="AC270" s="524" t="s">
        <v>2238</v>
      </c>
      <c r="AD270" s="525" t="s">
        <v>784</v>
      </c>
      <c r="AE270" s="534">
        <f>SUM(AE271:AE279)</f>
        <v>0</v>
      </c>
      <c r="AF270" s="1316"/>
      <c r="AG270" s="1316"/>
      <c r="AH270" s="1054" t="s">
        <v>1151</v>
      </c>
      <c r="AI270" s="1317"/>
      <c r="AJ270" s="1317"/>
      <c r="AK270" s="1318"/>
      <c r="AL270" s="1318"/>
      <c r="AM270" s="1621"/>
      <c r="AN270" s="1621"/>
      <c r="AO270" s="1621"/>
      <c r="AP270" s="1621"/>
    </row>
    <row s="1621" customFormat="1" customHeight="1" ht="14.25">
      <c r="A271" s="647"/>
      <c r="B271" s="462"/>
      <c r="C271" s="462"/>
      <c r="D271" s="462"/>
      <c r="E271" s="629">
        <v>15</v>
      </c>
      <c r="F271" s="50" cm="1" t="str">
        <f t="array" ref="F271:F271">OFFSET(E271,-1,1)</f>
        <v>2</v>
      </c>
      <c r="G271" s="462"/>
      <c r="H271" s="462" t="s">
        <v>1660</v>
      </c>
      <c r="I271" s="462"/>
      <c r="J271" s="462"/>
      <c r="K271" s="462"/>
      <c r="L271" s="462"/>
      <c r="M271" s="462"/>
      <c r="N271" s="462"/>
      <c r="O271" s="462"/>
      <c r="P271" s="462"/>
      <c r="Q271" s="462"/>
      <c r="R271" s="462"/>
      <c r="S271" s="462"/>
      <c r="T271" s="439" cm="1" t="str">
        <f t="array" ref="T271:T271">T270</f>
        <v>true</v>
      </c>
      <c r="U271" s="462"/>
      <c r="V271" s="462"/>
      <c r="W271" s="462"/>
      <c r="X271" s="1519"/>
      <c r="Y271" s="462"/>
      <c r="Z271" s="1520"/>
      <c r="AA271" s="462"/>
      <c r="AB271" s="695" t="s">
        <v>478</v>
      </c>
      <c r="AC271" s="526" t="s">
        <v>1166</v>
      </c>
      <c r="AD271" s="525" t="s">
        <v>784</v>
      </c>
      <c r="AE271" s="1370"/>
      <c r="AF271" s="1316"/>
      <c r="AG271" s="1316"/>
      <c r="AH271" s="1048" t="s">
        <v>1931</v>
      </c>
      <c r="AI271" s="1317"/>
      <c r="AJ271" s="1317"/>
      <c r="AK271" s="1318"/>
      <c r="AL271" s="1318"/>
      <c r="AM271" s="1621"/>
      <c r="AN271" s="1621"/>
      <c r="AO271" s="1621"/>
      <c r="AP271" s="1621"/>
    </row>
    <row s="1621" customFormat="1" customHeight="1" ht="14.25">
      <c r="A272" s="647"/>
      <c r="B272" s="462"/>
      <c r="C272" s="462"/>
      <c r="D272" s="462"/>
      <c r="E272" s="629">
        <v>15</v>
      </c>
      <c r="F272" s="50" cm="1" t="str">
        <f t="array" ref="F272:F272">OFFSET(E272,-1,1)</f>
        <v>2</v>
      </c>
      <c r="G272" s="462"/>
      <c r="H272" s="462" t="s">
        <v>1663</v>
      </c>
      <c r="I272" s="462"/>
      <c r="J272" s="462"/>
      <c r="K272" s="462"/>
      <c r="L272" s="462"/>
      <c r="M272" s="462"/>
      <c r="N272" s="462"/>
      <c r="O272" s="462"/>
      <c r="P272" s="462"/>
      <c r="Q272" s="462"/>
      <c r="R272" s="462"/>
      <c r="S272" s="462"/>
      <c r="T272" s="439" cm="1" t="str">
        <f t="array" ref="T272:T272">T271</f>
        <v>true</v>
      </c>
      <c r="U272" s="462"/>
      <c r="V272" s="462"/>
      <c r="W272" s="462"/>
      <c r="X272" s="1519"/>
      <c r="Y272" s="462"/>
      <c r="Z272" s="1520"/>
      <c r="AA272" s="462"/>
      <c r="AB272" s="695" t="s">
        <v>1375</v>
      </c>
      <c r="AC272" s="526" t="s">
        <v>2239</v>
      </c>
      <c r="AD272" s="525" t="s">
        <v>784</v>
      </c>
      <c r="AE272" s="1370"/>
      <c r="AF272" s="1316"/>
      <c r="AG272" s="1316"/>
      <c r="AH272" s="1048" t="s">
        <v>1934</v>
      </c>
      <c r="AI272" s="1317"/>
      <c r="AJ272" s="1317"/>
      <c r="AK272" s="1318"/>
      <c r="AL272" s="1318"/>
      <c r="AM272" s="1621"/>
      <c r="AN272" s="1621"/>
      <c r="AO272" s="1621"/>
      <c r="AP272" s="1621"/>
    </row>
    <row s="1621" customFormat="1" customHeight="1" ht="14.25">
      <c r="A273" s="647"/>
      <c r="B273" s="462"/>
      <c r="C273" s="462"/>
      <c r="D273" s="462"/>
      <c r="E273" s="629">
        <v>15</v>
      </c>
      <c r="F273" s="50" cm="1" t="str">
        <f t="array" ref="F273:F273">OFFSET(E273,-1,1)</f>
        <v>2</v>
      </c>
      <c r="G273" s="462"/>
      <c r="H273" s="462" t="s">
        <v>2240</v>
      </c>
      <c r="I273" s="462"/>
      <c r="J273" s="462"/>
      <c r="K273" s="462"/>
      <c r="L273" s="462"/>
      <c r="M273" s="462"/>
      <c r="N273" s="462"/>
      <c r="O273" s="462"/>
      <c r="P273" s="462"/>
      <c r="Q273" s="462"/>
      <c r="R273" s="462"/>
      <c r="S273" s="462"/>
      <c r="T273" s="439" cm="1" t="str">
        <f t="array" ref="T273:T273">T272</f>
        <v>true</v>
      </c>
      <c r="U273" s="462"/>
      <c r="V273" s="462"/>
      <c r="W273" s="462"/>
      <c r="X273" s="1519"/>
      <c r="Y273" s="462"/>
      <c r="Z273" s="1520"/>
      <c r="AA273" s="462"/>
      <c r="AB273" s="695" t="s">
        <v>1380</v>
      </c>
      <c r="AC273" s="526" t="s">
        <v>2241</v>
      </c>
      <c r="AD273" s="525" t="s">
        <v>784</v>
      </c>
      <c r="AE273" s="1370"/>
      <c r="AF273" s="1316"/>
      <c r="AG273" s="1316"/>
      <c r="AH273" s="1048" t="s">
        <v>1937</v>
      </c>
      <c r="AI273" s="1317"/>
      <c r="AJ273" s="1317"/>
      <c r="AK273" s="1318"/>
      <c r="AL273" s="1318"/>
      <c r="AM273" s="1621"/>
      <c r="AN273" s="1621"/>
      <c r="AO273" s="1621"/>
      <c r="AP273" s="1621"/>
    </row>
    <row s="1621" customFormat="1" customHeight="1" ht="14.25">
      <c r="A274" s="647"/>
      <c r="B274" s="462"/>
      <c r="C274" s="462"/>
      <c r="D274" s="462"/>
      <c r="E274" s="629">
        <v>15</v>
      </c>
      <c r="F274" s="50" cm="1" t="str">
        <f t="array" ref="F274:F274">OFFSET(E274,-1,1)</f>
        <v>2</v>
      </c>
      <c r="G274" s="462"/>
      <c r="H274" s="462" t="s">
        <v>2242</v>
      </c>
      <c r="I274" s="462"/>
      <c r="J274" s="462"/>
      <c r="K274" s="462"/>
      <c r="L274" s="462"/>
      <c r="M274" s="462"/>
      <c r="N274" s="462"/>
      <c r="O274" s="462"/>
      <c r="P274" s="462"/>
      <c r="Q274" s="462"/>
      <c r="R274" s="462"/>
      <c r="S274" s="462"/>
      <c r="T274" s="439" cm="1" t="str">
        <f t="array" ref="T274:T274">T273</f>
        <v>true</v>
      </c>
      <c r="U274" s="462"/>
      <c r="V274" s="462"/>
      <c r="W274" s="462"/>
      <c r="X274" s="1519"/>
      <c r="Y274" s="462"/>
      <c r="Z274" s="1520"/>
      <c r="AA274" s="462"/>
      <c r="AB274" s="695" t="s">
        <v>1939</v>
      </c>
      <c r="AC274" s="526" t="s">
        <v>1159</v>
      </c>
      <c r="AD274" s="525" t="s">
        <v>784</v>
      </c>
      <c r="AE274" s="1370"/>
      <c r="AF274" s="1316"/>
      <c r="AG274" s="1316"/>
      <c r="AH274" s="1048" t="s">
        <v>1941</v>
      </c>
      <c r="AI274" s="1317"/>
      <c r="AJ274" s="1317"/>
      <c r="AK274" s="1318"/>
      <c r="AL274" s="1318"/>
      <c r="AM274" s="1621"/>
      <c r="AN274" s="1621"/>
      <c r="AO274" s="1621"/>
      <c r="AP274" s="1621"/>
    </row>
    <row s="1621" customFormat="1" customHeight="1" ht="14.25">
      <c r="A275" s="647"/>
      <c r="B275" s="462"/>
      <c r="C275" s="462"/>
      <c r="D275" s="462"/>
      <c r="E275" s="629">
        <v>15</v>
      </c>
      <c r="F275" s="50" cm="1" t="str">
        <f t="array" ref="F275:F275">OFFSET(E275,-1,1)</f>
        <v>2</v>
      </c>
      <c r="G275" s="462"/>
      <c r="H275" s="462" t="s">
        <v>2243</v>
      </c>
      <c r="I275" s="462"/>
      <c r="J275" s="462"/>
      <c r="K275" s="462"/>
      <c r="L275" s="462"/>
      <c r="M275" s="462"/>
      <c r="N275" s="462"/>
      <c r="O275" s="462"/>
      <c r="P275" s="462"/>
      <c r="Q275" s="462"/>
      <c r="R275" s="462"/>
      <c r="S275" s="462"/>
      <c r="T275" s="439" cm="1" t="str">
        <f t="array" ref="T275:T275">T274</f>
        <v>true</v>
      </c>
      <c r="U275" s="462"/>
      <c r="V275" s="462"/>
      <c r="W275" s="462"/>
      <c r="X275" s="1519"/>
      <c r="Y275" s="462"/>
      <c r="Z275" s="1520"/>
      <c r="AA275" s="462"/>
      <c r="AB275" s="695" t="s">
        <v>1943</v>
      </c>
      <c r="AC275" s="526" t="s">
        <v>1161</v>
      </c>
      <c r="AD275" s="525" t="s">
        <v>784</v>
      </c>
      <c r="AE275" s="1370"/>
      <c r="AF275" s="1316"/>
      <c r="AG275" s="1316"/>
      <c r="AH275" s="1048" t="s">
        <v>1945</v>
      </c>
      <c r="AI275" s="1317"/>
      <c r="AJ275" s="1317"/>
      <c r="AK275" s="1318"/>
      <c r="AL275" s="1318"/>
      <c r="AM275" s="1621"/>
      <c r="AN275" s="1621"/>
      <c r="AO275" s="1621"/>
      <c r="AP275" s="1621"/>
    </row>
    <row s="1621" customFormat="1" customHeight="1" ht="14.25">
      <c r="A276" s="647"/>
      <c r="B276" s="462"/>
      <c r="C276" s="462"/>
      <c r="D276" s="462"/>
      <c r="E276" s="629">
        <v>15</v>
      </c>
      <c r="F276" s="50" cm="1" t="str">
        <f t="array" ref="F276:F276">OFFSET(E276,-1,1)</f>
        <v>2</v>
      </c>
      <c r="G276" s="462"/>
      <c r="H276" s="462" t="s">
        <v>2244</v>
      </c>
      <c r="I276" s="462"/>
      <c r="J276" s="462"/>
      <c r="K276" s="462"/>
      <c r="L276" s="462"/>
      <c r="M276" s="462"/>
      <c r="N276" s="462"/>
      <c r="O276" s="462"/>
      <c r="P276" s="462"/>
      <c r="Q276" s="462"/>
      <c r="R276" s="462"/>
      <c r="S276" s="462"/>
      <c r="T276" s="439" cm="1" t="str">
        <f t="array" ref="T276:T276">T275</f>
        <v>true</v>
      </c>
      <c r="U276" s="462"/>
      <c r="V276" s="462"/>
      <c r="W276" s="462"/>
      <c r="X276" s="1519"/>
      <c r="Y276" s="462"/>
      <c r="Z276" s="1520"/>
      <c r="AA276" s="462"/>
      <c r="AB276" s="695" t="s">
        <v>1947</v>
      </c>
      <c r="AC276" s="526" t="s">
        <v>1152</v>
      </c>
      <c r="AD276" s="525" t="s">
        <v>784</v>
      </c>
      <c r="AE276" s="1370"/>
      <c r="AF276" s="1316"/>
      <c r="AG276" s="1316"/>
      <c r="AH276" s="1048" t="s">
        <v>1949</v>
      </c>
      <c r="AI276" s="1317"/>
      <c r="AJ276" s="1317"/>
      <c r="AK276" s="1318"/>
      <c r="AL276" s="1318"/>
      <c r="AM276" s="1621"/>
      <c r="AN276" s="1621"/>
      <c r="AO276" s="1621"/>
      <c r="AP276" s="1621"/>
    </row>
    <row s="1310" customFormat="1" customHeight="1" ht="14.25">
      <c r="A277" s="647"/>
      <c r="B277" s="462"/>
      <c r="C277" s="462"/>
      <c r="D277" s="462"/>
      <c r="E277" s="629">
        <v>15</v>
      </c>
      <c r="F277" s="498" cm="1" t="str">
        <f t="array" ref="F277:F277">OFFSET(E277,-1,1)</f>
        <v>2</v>
      </c>
      <c r="G277" s="462"/>
      <c r="H277" s="462"/>
      <c r="I277" s="462"/>
      <c r="J277" s="462"/>
      <c r="K277" s="462"/>
      <c r="L277" s="462"/>
      <c r="M277" s="462"/>
      <c r="N277" s="462"/>
      <c r="O277" s="462"/>
      <c r="P277" s="462"/>
      <c r="Q277" s="462"/>
      <c r="R277" s="462"/>
      <c r="S277" s="462"/>
      <c r="T277" s="439" cm="1" t="str">
        <f t="array" ref="T277:T277">T276</f>
        <v>true</v>
      </c>
      <c r="U277" s="462"/>
      <c r="V277" s="462"/>
      <c r="W277" s="462"/>
      <c r="X277" s="1519"/>
      <c r="Y277" s="462"/>
      <c r="Z277" s="1520"/>
      <c r="AA277" s="462"/>
      <c r="AB277" s="1297" t="s">
        <v>1951</v>
      </c>
      <c r="AC277" s="1300" t="s">
        <v>2245</v>
      </c>
      <c r="AD277" s="1299" t="s">
        <v>784</v>
      </c>
      <c r="AE277" s="535"/>
      <c r="AF277" s="1093"/>
      <c r="AG277" s="1093"/>
      <c r="AH277" s="1048" t="s">
        <v>1169</v>
      </c>
      <c r="AI277" s="1042"/>
      <c r="AJ277" s="1042"/>
      <c r="AK277" s="948"/>
      <c r="AL277" s="948"/>
      <c r="AM277" s="1310"/>
      <c r="AN277" s="1310"/>
      <c r="AO277" s="1310"/>
      <c r="AP277" s="1310"/>
    </row>
    <row s="1310" customFormat="1" customHeight="1" ht="14.25">
      <c r="A278" s="647"/>
      <c r="B278" s="462"/>
      <c r="C278" s="462"/>
      <c r="D278" s="462"/>
      <c r="E278" s="629">
        <v>15</v>
      </c>
      <c r="F278" s="498" cm="1" t="str">
        <f t="array" ref="F278:F278">OFFSET(E278,-1,1)</f>
        <v>2</v>
      </c>
      <c r="G278" s="462"/>
      <c r="H278" s="462"/>
      <c r="I278" s="462"/>
      <c r="J278" s="462"/>
      <c r="K278" s="462"/>
      <c r="L278" s="462"/>
      <c r="M278" s="462"/>
      <c r="N278" s="462"/>
      <c r="O278" s="462"/>
      <c r="P278" s="462"/>
      <c r="Q278" s="462"/>
      <c r="R278" s="462"/>
      <c r="S278" s="462"/>
      <c r="T278" s="439" cm="1" t="str">
        <f t="array" ref="T278:T278">T277</f>
        <v>true</v>
      </c>
      <c r="U278" s="462"/>
      <c r="V278" s="462"/>
      <c r="W278" s="462"/>
      <c r="X278" s="1519"/>
      <c r="Y278" s="462"/>
      <c r="Z278" s="1520"/>
      <c r="AA278" s="462"/>
      <c r="AB278" s="1297" t="s">
        <v>1955</v>
      </c>
      <c r="AC278" s="1300" t="s">
        <v>1170</v>
      </c>
      <c r="AD278" s="1299" t="s">
        <v>784</v>
      </c>
      <c r="AE278" s="535"/>
      <c r="AF278" s="1093"/>
      <c r="AG278" s="1093"/>
      <c r="AH278" s="1048" t="s">
        <v>2246</v>
      </c>
      <c r="AI278" s="1042"/>
      <c r="AJ278" s="1042"/>
      <c r="AK278" s="948"/>
      <c r="AL278" s="948"/>
      <c r="AM278" s="1310"/>
      <c r="AN278" s="1310"/>
      <c r="AO278" s="1310"/>
      <c r="AP278" s="1310"/>
    </row>
    <row s="1621" customFormat="1" customHeight="1" ht="14.25">
      <c r="A279" s="647"/>
      <c r="B279" s="462"/>
      <c r="C279" s="462"/>
      <c r="D279" s="462"/>
      <c r="E279" s="629">
        <v>15</v>
      </c>
      <c r="F279" s="50" cm="1" t="str">
        <f t="array" ref="F279:F279">OFFSET(E279,-1,1)</f>
        <v>2</v>
      </c>
      <c r="G279" s="462"/>
      <c r="H279" s="462" t="s">
        <v>2247</v>
      </c>
      <c r="I279" s="462"/>
      <c r="J279" s="462"/>
      <c r="K279" s="462"/>
      <c r="L279" s="462"/>
      <c r="M279" s="462"/>
      <c r="N279" s="462"/>
      <c r="O279" s="462"/>
      <c r="P279" s="462"/>
      <c r="Q279" s="462"/>
      <c r="R279" s="462"/>
      <c r="S279" s="462"/>
      <c r="T279" s="439" cm="1" t="str">
        <f t="array" ref="T279:T279">T276</f>
        <v>true</v>
      </c>
      <c r="U279" s="462"/>
      <c r="V279" s="462"/>
      <c r="W279" s="462"/>
      <c r="X279" s="1519"/>
      <c r="Y279" s="462"/>
      <c r="Z279" s="1520"/>
      <c r="AA279" s="462"/>
      <c r="AB279" s="695" t="s">
        <v>1957</v>
      </c>
      <c r="AC279" s="526" t="s">
        <v>1172</v>
      </c>
      <c r="AD279" s="525" t="s">
        <v>784</v>
      </c>
      <c r="AE279" s="1370"/>
      <c r="AF279" s="1316"/>
      <c r="AG279" s="1316"/>
      <c r="AH279" s="1048" t="s">
        <v>1963</v>
      </c>
      <c r="AI279" s="1317"/>
      <c r="AJ279" s="1317"/>
      <c r="AK279" s="1318"/>
      <c r="AL279" s="1318"/>
      <c r="AM279" s="1621"/>
      <c r="AN279" s="1621"/>
      <c r="AO279" s="1621"/>
      <c r="AP279" s="1621"/>
    </row>
    <row s="1621" customFormat="1" customHeight="1" ht="14.25">
      <c r="A280" s="647"/>
      <c r="B280" s="462"/>
      <c r="C280" s="462"/>
      <c r="D280" s="462"/>
      <c r="E280" s="629">
        <v>15</v>
      </c>
      <c r="F280" s="50" cm="1" t="str">
        <f t="array" ref="F280:F280">OFFSET(E280,-1,1)</f>
        <v>2</v>
      </c>
      <c r="G280" s="462"/>
      <c r="H280" s="462" t="s">
        <v>865</v>
      </c>
      <c r="I280" s="462"/>
      <c r="J280" s="462"/>
      <c r="K280" s="462"/>
      <c r="L280" s="462"/>
      <c r="M280" s="462"/>
      <c r="N280" s="462"/>
      <c r="O280" s="462"/>
      <c r="P280" s="462"/>
      <c r="Q280" s="462"/>
      <c r="R280" s="462"/>
      <c r="S280" s="462"/>
      <c r="T280" s="439" cm="1" t="str">
        <f t="array" ref="T280:T280">T279</f>
        <v>true</v>
      </c>
      <c r="U280" s="462"/>
      <c r="V280" s="462"/>
      <c r="W280" s="462"/>
      <c r="X280" s="1519"/>
      <c r="Y280" s="462"/>
      <c r="Z280" s="1520"/>
      <c r="AA280" s="462"/>
      <c r="AB280" s="695" t="s">
        <v>868</v>
      </c>
      <c r="AC280" s="526" t="s">
        <v>969</v>
      </c>
      <c r="AD280" s="525" t="s">
        <v>784</v>
      </c>
      <c r="AE280" s="1370"/>
      <c r="AF280" s="1316"/>
      <c r="AG280" s="1316"/>
      <c r="AH280" s="1048" t="s">
        <v>1109</v>
      </c>
      <c r="AI280" s="1317"/>
      <c r="AJ280" s="1317"/>
      <c r="AK280" s="1318"/>
      <c r="AL280" s="1318"/>
      <c r="AM280" s="1621"/>
      <c r="AN280" s="1621"/>
      <c r="AO280" s="1621"/>
      <c r="AP280" s="1621"/>
    </row>
    <row s="1621" customFormat="1" customHeight="1" ht="14.25">
      <c r="A281" s="647"/>
      <c r="B281" s="462"/>
      <c r="C281" s="462"/>
      <c r="D281" s="462"/>
      <c r="E281" s="629">
        <v>15</v>
      </c>
      <c r="F281" s="50" cm="1" t="str">
        <f t="array" ref="F281:F281">OFFSET(E281,-1,1)</f>
        <v>2</v>
      </c>
      <c r="G281" s="462"/>
      <c r="H281" s="462" t="s">
        <v>1966</v>
      </c>
      <c r="I281" s="462"/>
      <c r="J281" s="462"/>
      <c r="K281" s="462"/>
      <c r="L281" s="462"/>
      <c r="M281" s="462"/>
      <c r="N281" s="462"/>
      <c r="O281" s="462"/>
      <c r="P281" s="462"/>
      <c r="Q281" s="462"/>
      <c r="R281" s="462"/>
      <c r="S281" s="462"/>
      <c r="T281" s="439" cm="1" t="str">
        <f t="array" ref="T281:T281">T280</f>
        <v>true</v>
      </c>
      <c r="U281" s="462"/>
      <c r="V281" s="462"/>
      <c r="W281" s="462"/>
      <c r="X281" s="1519"/>
      <c r="Y281" s="462"/>
      <c r="Z281" s="1520"/>
      <c r="AA281" s="462"/>
      <c r="AB281" s="695" t="s">
        <v>871</v>
      </c>
      <c r="AC281" s="524" t="s">
        <v>1347</v>
      </c>
      <c r="AD281" s="525" t="s">
        <v>784</v>
      </c>
      <c r="AE281" s="1370"/>
      <c r="AF281" s="1316"/>
      <c r="AG281" s="1316"/>
      <c r="AH281" s="1055" t="s">
        <v>1704</v>
      </c>
      <c r="AI281" s="1317"/>
      <c r="AJ281" s="1317"/>
      <c r="AK281" s="1318"/>
      <c r="AL281" s="1318"/>
      <c r="AM281" s="1621"/>
      <c r="AN281" s="1621"/>
      <c r="AO281" s="1621"/>
      <c r="AP281" s="1621"/>
    </row>
    <row s="1621" customFormat="1" customHeight="1" ht="14.25">
      <c r="A282" s="647"/>
      <c r="B282" s="462"/>
      <c r="C282" s="462"/>
      <c r="D282" s="462"/>
      <c r="E282" s="629">
        <v>15</v>
      </c>
      <c r="F282" s="50" cm="1" t="str">
        <f t="array" ref="F282:F282">OFFSET(E282,-1,1)</f>
        <v>2</v>
      </c>
      <c r="G282" s="462"/>
      <c r="H282" s="462" t="s">
        <v>1973</v>
      </c>
      <c r="I282" s="462"/>
      <c r="J282" s="462"/>
      <c r="K282" s="462"/>
      <c r="L282" s="462"/>
      <c r="M282" s="462"/>
      <c r="N282" s="462"/>
      <c r="O282" s="462"/>
      <c r="P282" s="462"/>
      <c r="Q282" s="462"/>
      <c r="R282" s="462"/>
      <c r="S282" s="462"/>
      <c r="T282" s="439" cm="1" t="str">
        <f t="array" ref="T282:T282">T281</f>
        <v>true</v>
      </c>
      <c r="U282" s="462"/>
      <c r="V282" s="462"/>
      <c r="W282" s="462"/>
      <c r="X282" s="1519"/>
      <c r="Y282" s="462"/>
      <c r="Z282" s="1520"/>
      <c r="AA282" s="462"/>
      <c r="AB282" s="695" t="s">
        <v>1395</v>
      </c>
      <c r="AC282" s="524" t="s">
        <v>1357</v>
      </c>
      <c r="AD282" s="525" t="s">
        <v>784</v>
      </c>
      <c r="AE282" s="534">
        <f>AE283+AE284</f>
        <v>0</v>
      </c>
      <c r="AF282" s="1316"/>
      <c r="AG282" s="1316"/>
      <c r="AH282" s="1048" t="s">
        <v>1978</v>
      </c>
      <c r="AI282" s="1317"/>
      <c r="AJ282" s="1317"/>
      <c r="AK282" s="1318"/>
      <c r="AL282" s="1318"/>
      <c r="AM282" s="1621"/>
      <c r="AN282" s="1621"/>
      <c r="AO282" s="1621"/>
      <c r="AP282" s="1621"/>
    </row>
    <row s="1621" customFormat="1" customHeight="1" ht="14.25">
      <c r="A283" s="647"/>
      <c r="B283" s="462"/>
      <c r="C283" s="462"/>
      <c r="D283" s="462"/>
      <c r="E283" s="629">
        <v>15</v>
      </c>
      <c r="F283" s="50" cm="1" t="str">
        <f t="array" ref="F283:F283">OFFSET(E283,-1,1)</f>
        <v>2</v>
      </c>
      <c r="G283" s="462"/>
      <c r="H283" s="462" t="s">
        <v>2248</v>
      </c>
      <c r="I283" s="462"/>
      <c r="J283" s="462"/>
      <c r="K283" s="462"/>
      <c r="L283" s="462"/>
      <c r="M283" s="462"/>
      <c r="N283" s="462"/>
      <c r="O283" s="462"/>
      <c r="P283" s="462"/>
      <c r="Q283" s="462"/>
      <c r="R283" s="462"/>
      <c r="S283" s="462"/>
      <c r="T283" s="439" cm="1" t="str">
        <f t="array" ref="T283:T283">T282</f>
        <v>true</v>
      </c>
      <c r="U283" s="462"/>
      <c r="V283" s="462"/>
      <c r="W283" s="462"/>
      <c r="X283" s="1519"/>
      <c r="Y283" s="462"/>
      <c r="Z283" s="1520"/>
      <c r="AA283" s="462"/>
      <c r="AB283" s="695" t="s">
        <v>1969</v>
      </c>
      <c r="AC283" s="526" t="s">
        <v>2249</v>
      </c>
      <c r="AD283" s="525" t="s">
        <v>784</v>
      </c>
      <c r="AE283" s="1370"/>
      <c r="AF283" s="1316"/>
      <c r="AG283" s="1316"/>
      <c r="AH283" s="1048" t="s">
        <v>1144</v>
      </c>
      <c r="AI283" s="1317"/>
      <c r="AJ283" s="1317"/>
      <c r="AK283" s="1318"/>
      <c r="AL283" s="1318"/>
      <c r="AM283" s="1621"/>
      <c r="AN283" s="1621"/>
      <c r="AO283" s="1621"/>
      <c r="AP283" s="1621"/>
    </row>
    <row s="1621" customFormat="1" customHeight="1" ht="21.75">
      <c r="A284" s="647"/>
      <c r="B284" s="462"/>
      <c r="C284" s="462"/>
      <c r="D284" s="462"/>
      <c r="E284" s="629">
        <v>22.5</v>
      </c>
      <c r="F284" s="50" cm="1" t="str">
        <f t="array" ref="F284:F284">OFFSET(E284,-1,1)</f>
        <v>2</v>
      </c>
      <c r="G284" s="462"/>
      <c r="H284" s="462" t="s">
        <v>2250</v>
      </c>
      <c r="I284" s="462"/>
      <c r="J284" s="462"/>
      <c r="K284" s="462"/>
      <c r="L284" s="462"/>
      <c r="M284" s="462"/>
      <c r="N284" s="462"/>
      <c r="O284" s="462"/>
      <c r="P284" s="462"/>
      <c r="Q284" s="462"/>
      <c r="R284" s="462"/>
      <c r="S284" s="462"/>
      <c r="T284" s="439" cm="1" t="str">
        <f t="array" ref="T284:T284">T283</f>
        <v>true</v>
      </c>
      <c r="U284" s="462"/>
      <c r="V284" s="462"/>
      <c r="W284" s="462"/>
      <c r="X284" s="1519"/>
      <c r="Y284" s="462"/>
      <c r="Z284" s="1520"/>
      <c r="AA284" s="462"/>
      <c r="AB284" s="695" t="s">
        <v>2251</v>
      </c>
      <c r="AC284" s="526" t="s">
        <v>2252</v>
      </c>
      <c r="AD284" s="525" t="s">
        <v>784</v>
      </c>
      <c r="AE284" s="1370"/>
      <c r="AF284" s="1316"/>
      <c r="AG284" s="1316"/>
      <c r="AH284" s="1048" t="s">
        <v>1985</v>
      </c>
      <c r="AI284" s="1317"/>
      <c r="AJ284" s="1317"/>
      <c r="AK284" s="1318"/>
      <c r="AL284" s="1318"/>
      <c r="AM284" s="1621"/>
      <c r="AN284" s="1621"/>
      <c r="AO284" s="1621"/>
      <c r="AP284" s="1621"/>
    </row>
    <row s="1621" customFormat="1" customHeight="1" ht="76.5">
      <c r="A285" s="647"/>
      <c r="B285" s="462"/>
      <c r="C285" s="462"/>
      <c r="D285" s="462"/>
      <c r="E285" s="629">
        <v>78.75</v>
      </c>
      <c r="F285" s="50" cm="1" t="str">
        <f t="array" ref="F285:F285">OFFSET(E285,-1,1)</f>
        <v>2</v>
      </c>
      <c r="G285" s="462"/>
      <c r="H285" s="462" t="s">
        <v>1977</v>
      </c>
      <c r="I285" s="462"/>
      <c r="J285" s="462"/>
      <c r="K285" s="462"/>
      <c r="L285" s="462"/>
      <c r="M285" s="462"/>
      <c r="N285" s="462"/>
      <c r="O285" s="462"/>
      <c r="P285" s="462"/>
      <c r="Q285" s="462"/>
      <c r="R285" s="462"/>
      <c r="S285" s="462"/>
      <c r="T285" s="439" cm="1" t="str">
        <f t="array" ref="T285:T285">T284</f>
        <v>true</v>
      </c>
      <c r="U285" s="462"/>
      <c r="V285" s="462"/>
      <c r="W285" s="462"/>
      <c r="X285" s="1519"/>
      <c r="Y285" s="462"/>
      <c r="Z285" s="1520"/>
      <c r="AA285" s="462"/>
      <c r="AB285" s="695" t="s">
        <v>1400</v>
      </c>
      <c r="AC285" s="1311" t="s">
        <v>1331</v>
      </c>
      <c r="AD285" s="525" t="s">
        <v>784</v>
      </c>
      <c r="AE285" s="1370"/>
      <c r="AF285" s="1316"/>
      <c r="AG285" s="1316"/>
      <c r="AH285" s="1048" t="s">
        <v>1964</v>
      </c>
      <c r="AI285" s="1317"/>
      <c r="AJ285" s="1317"/>
      <c r="AK285" s="1318"/>
      <c r="AL285" s="1318"/>
      <c r="AM285" s="1621"/>
      <c r="AN285" s="1621"/>
      <c r="AO285" s="1621"/>
      <c r="AP285" s="1621"/>
    </row>
    <row s="1310" customFormat="1" customHeight="1" ht="14.25">
      <c r="A286" s="647"/>
      <c r="B286" s="462"/>
      <c r="C286" s="462"/>
      <c r="D286" s="462"/>
      <c r="E286" s="629">
        <v>15</v>
      </c>
      <c r="F286" s="498" cm="1" t="str">
        <f t="array" ref="F286:F286">OFFSET(E286,-1,1)</f>
        <v>2</v>
      </c>
      <c r="G286" s="462"/>
      <c r="H286" s="462"/>
      <c r="I286" s="462"/>
      <c r="J286" s="462"/>
      <c r="K286" s="462"/>
      <c r="L286" s="462"/>
      <c r="M286" s="462"/>
      <c r="N286" s="462"/>
      <c r="O286" s="462"/>
      <c r="P286" s="462"/>
      <c r="Q286" s="462"/>
      <c r="R286" s="462"/>
      <c r="S286" s="462"/>
      <c r="T286" s="439" cm="1" t="str">
        <f t="array" ref="T286:T286">T285</f>
        <v>true</v>
      </c>
      <c r="U286" s="462"/>
      <c r="V286" s="462"/>
      <c r="W286" s="462"/>
      <c r="X286" s="1519"/>
      <c r="Y286" s="462"/>
      <c r="Z286" s="1520"/>
      <c r="AA286" s="462"/>
      <c r="AB286" s="1297" t="s">
        <v>1974</v>
      </c>
      <c r="AC286" s="1311" t="s">
        <v>949</v>
      </c>
      <c r="AD286" s="1299" t="s">
        <v>784</v>
      </c>
      <c r="AE286" s="535"/>
      <c r="AF286" s="1093"/>
      <c r="AG286" s="1093"/>
      <c r="AH286" s="1048" t="s">
        <v>951</v>
      </c>
      <c r="AI286" s="1042"/>
      <c r="AJ286" s="1042"/>
      <c r="AK286" s="948"/>
      <c r="AL286" s="948"/>
      <c r="AM286" s="1310"/>
      <c r="AN286" s="1310"/>
      <c r="AO286" s="1310"/>
      <c r="AP286" s="1310"/>
    </row>
    <row s="1310" customFormat="1" customHeight="1" ht="14.25">
      <c r="A287" s="647"/>
      <c r="B287" s="462"/>
      <c r="C287" s="462"/>
      <c r="D287" s="462"/>
      <c r="E287" s="629">
        <v>15</v>
      </c>
      <c r="F287" s="498" cm="1" t="str">
        <f t="array" ref="F287:F287">OFFSET(E287,-1,1)</f>
        <v>2</v>
      </c>
      <c r="G287" s="462"/>
      <c r="H287" s="462"/>
      <c r="I287" s="462"/>
      <c r="J287" s="462"/>
      <c r="K287" s="462"/>
      <c r="L287" s="462"/>
      <c r="M287" s="462"/>
      <c r="N287" s="462"/>
      <c r="O287" s="462"/>
      <c r="P287" s="462"/>
      <c r="Q287" s="462"/>
      <c r="R287" s="462"/>
      <c r="S287" s="462"/>
      <c r="T287" s="439" cm="1" t="str">
        <f t="array" ref="T287:T287">T286</f>
        <v>true</v>
      </c>
      <c r="U287" s="462"/>
      <c r="V287" s="462"/>
      <c r="W287" s="462"/>
      <c r="X287" s="1519"/>
      <c r="Y287" s="462"/>
      <c r="Z287" s="1520"/>
      <c r="AA287" s="462"/>
      <c r="AB287" s="1297" t="s">
        <v>1419</v>
      </c>
      <c r="AC287" s="1311" t="s">
        <v>1342</v>
      </c>
      <c r="AD287" s="1299" t="s">
        <v>784</v>
      </c>
      <c r="AE287" s="535"/>
      <c r="AF287" s="1093"/>
      <c r="AG287" s="1093"/>
      <c r="AH287" s="1048" t="s">
        <v>2253</v>
      </c>
      <c r="AI287" s="1042"/>
      <c r="AJ287" s="1042"/>
      <c r="AK287" s="948"/>
      <c r="AL287" s="948"/>
      <c r="AM287" s="1310"/>
      <c r="AN287" s="1310"/>
      <c r="AO287" s="1310"/>
      <c r="AP287" s="1310"/>
    </row>
    <row s="1621" customFormat="1" customHeight="1" ht="14.25">
      <c r="A288" s="647"/>
      <c r="B288" s="462"/>
      <c r="C288" s="462"/>
      <c r="D288" s="462"/>
      <c r="E288" s="629">
        <v>15</v>
      </c>
      <c r="F288" s="50" cm="1" t="str">
        <f t="array" ref="F288:F288">OFFSET(E288,-1,1)</f>
        <v>2</v>
      </c>
      <c r="G288" s="462"/>
      <c r="H288" s="462" t="s">
        <v>2254</v>
      </c>
      <c r="I288" s="462"/>
      <c r="J288" s="462"/>
      <c r="K288" s="462"/>
      <c r="L288" s="462"/>
      <c r="M288" s="462"/>
      <c r="N288" s="462"/>
      <c r="O288" s="462"/>
      <c r="P288" s="462"/>
      <c r="Q288" s="462"/>
      <c r="R288" s="462"/>
      <c r="S288" s="462"/>
      <c r="T288" s="439" cm="1" t="str">
        <f t="array" ref="T288:T288">T285</f>
        <v>true</v>
      </c>
      <c r="U288" s="462"/>
      <c r="V288" s="462"/>
      <c r="W288" s="462"/>
      <c r="X288" s="1519"/>
      <c r="Y288" s="462"/>
      <c r="Z288" s="1520"/>
      <c r="AA288" s="462"/>
      <c r="AB288" s="695" t="s">
        <v>1423</v>
      </c>
      <c r="AC288" s="524" t="s">
        <v>2255</v>
      </c>
      <c r="AD288" s="525" t="s">
        <v>784</v>
      </c>
      <c r="AE288" s="1370"/>
      <c r="AF288" s="1316"/>
      <c r="AG288" s="1316"/>
      <c r="AH288" s="984" t="s">
        <v>2256</v>
      </c>
      <c r="AI288" s="1317"/>
      <c r="AJ288" s="1317"/>
      <c r="AK288" s="1318"/>
      <c r="AL288" s="1318"/>
      <c r="AM288" s="1621"/>
      <c r="AN288" s="1621"/>
      <c r="AO288" s="1621"/>
      <c r="AP288" s="1621"/>
    </row>
    <row s="1310" customFormat="1" customHeight="1" ht="31.5">
      <c r="A289" s="647"/>
      <c r="B289" s="462"/>
      <c r="C289" s="462"/>
      <c r="D289" s="462"/>
      <c r="E289" s="629">
        <v>33</v>
      </c>
      <c r="F289" s="498" cm="1" t="str">
        <f t="array" ref="F289:F289">OFFSET(E289,-1,1)</f>
        <v>2</v>
      </c>
      <c r="G289" s="462"/>
      <c r="H289" s="462"/>
      <c r="I289" s="462"/>
      <c r="J289" s="462"/>
      <c r="K289" s="462"/>
      <c r="L289" s="462"/>
      <c r="M289" s="462"/>
      <c r="N289" s="462"/>
      <c r="O289" s="462"/>
      <c r="P289" s="462"/>
      <c r="Q289" s="462"/>
      <c r="R289" s="462"/>
      <c r="S289" s="462"/>
      <c r="T289" s="439" cm="1" t="str">
        <f t="array" ref="T289:T289">T288</f>
        <v>true</v>
      </c>
      <c r="U289" s="462"/>
      <c r="V289" s="462"/>
      <c r="W289" s="462"/>
      <c r="X289" s="1519"/>
      <c r="Y289" s="462"/>
      <c r="Z289" s="1520"/>
      <c r="AA289" s="462"/>
      <c r="AB289" s="1297" t="s">
        <v>1426</v>
      </c>
      <c r="AC289" s="1298" t="s">
        <v>1987</v>
      </c>
      <c r="AD289" s="1299" t="s">
        <v>784</v>
      </c>
      <c r="AE289" s="535"/>
      <c r="AF289" s="1093"/>
      <c r="AG289" s="1093"/>
      <c r="AH289" s="1042" t="s">
        <v>2257</v>
      </c>
      <c r="AI289" s="1042"/>
      <c r="AJ289" s="1042"/>
      <c r="AK289" s="948"/>
      <c r="AL289" s="948"/>
      <c r="AM289" s="1310"/>
      <c r="AN289" s="1310"/>
      <c r="AO289" s="1310"/>
      <c r="AP289" s="1310"/>
    </row>
    <row s="1621" customFormat="1" customHeight="1" ht="14.25">
      <c r="A290" s="647"/>
      <c r="B290" s="462"/>
      <c r="C290" s="462"/>
      <c r="D290" s="462"/>
      <c r="E290" s="629">
        <v>15</v>
      </c>
      <c r="F290" s="50" cm="1" t="str">
        <f t="array" ref="F290:F290">OFFSET(E290,-1,1)</f>
        <v>2</v>
      </c>
      <c r="G290" s="462"/>
      <c r="H290" s="462" t="s">
        <v>2258</v>
      </c>
      <c r="I290" s="462"/>
      <c r="J290" s="462"/>
      <c r="K290" s="462"/>
      <c r="L290" s="462"/>
      <c r="M290" s="462"/>
      <c r="N290" s="462"/>
      <c r="O290" s="462"/>
      <c r="P290" s="462"/>
      <c r="Q290" s="462"/>
      <c r="R290" s="462"/>
      <c r="S290" s="462"/>
      <c r="T290" s="439" cm="1" t="str">
        <f t="array" ref="T290:T290">T288</f>
        <v>true</v>
      </c>
      <c r="U290" s="462"/>
      <c r="V290" s="462"/>
      <c r="W290" s="462"/>
      <c r="X290" s="1519"/>
      <c r="Y290" s="462"/>
      <c r="Z290" s="1520"/>
      <c r="AA290" s="462"/>
      <c r="AB290" s="695" t="s">
        <v>2259</v>
      </c>
      <c r="AC290" s="524" t="s">
        <v>2260</v>
      </c>
      <c r="AD290" s="525" t="s">
        <v>784</v>
      </c>
      <c r="AE290" s="534">
        <f>SUM(AE291:AE292)</f>
        <v>0</v>
      </c>
      <c r="AF290" s="1316"/>
      <c r="AG290" s="1316"/>
      <c r="AH290" s="984" t="s">
        <v>2261</v>
      </c>
      <c r="AI290" s="1317"/>
      <c r="AJ290" s="1317"/>
      <c r="AK290" s="1318"/>
      <c r="AL290" s="1318"/>
      <c r="AM290" s="1621"/>
      <c r="AN290" s="1621"/>
      <c r="AO290" s="1621"/>
      <c r="AP290" s="1621"/>
    </row>
    <row s="1621" customFormat="1" customHeight="1" ht="14.25" hidden="1">
      <c r="A291" s="647"/>
      <c r="B291" s="462"/>
      <c r="C291" s="462"/>
      <c r="D291" s="462"/>
      <c r="E291" s="629">
        <v>15</v>
      </c>
      <c r="F291" s="50" cm="1" t="str">
        <f t="array" ref="F291:F291">OFFSET(E291,-1,1)</f>
        <v>2</v>
      </c>
      <c r="G291" s="462"/>
      <c r="H291" s="462" t="s">
        <v>2258</v>
      </c>
      <c r="I291" s="540" cm="1" t="str">
        <f t="array" ref="I291:I291">AC291</f>
        <v>0</v>
      </c>
      <c r="J291" s="462"/>
      <c r="K291" s="462"/>
      <c r="L291" s="462"/>
      <c r="M291" s="462"/>
      <c r="N291" s="462"/>
      <c r="O291" s="462"/>
      <c r="P291" s="462"/>
      <c r="Q291" s="462"/>
      <c r="R291" s="462"/>
      <c r="S291" s="462"/>
      <c r="T291" s="439">
        <f>AND(F291&gt;0,Y291&gt;0)</f>
        <v>0</v>
      </c>
      <c r="U291" s="462"/>
      <c r="V291" s="462"/>
      <c r="W291" s="532" t="s">
        <v>173</v>
      </c>
      <c r="X291" s="1519"/>
      <c r="Y291" s="462">
        <v>0</v>
      </c>
      <c r="Z291" s="1520"/>
      <c r="AA291" s="642" t="s">
        <v>174</v>
      </c>
      <c r="AB291" s="695" t="str">
        <f>"2.12."&amp;Y291</f>
        <v>2.12.0</v>
      </c>
      <c r="AC291" s="5204"/>
      <c r="AD291" s="525" t="s">
        <v>784</v>
      </c>
      <c r="AE291" s="5205"/>
      <c r="AF291" s="1316"/>
      <c r="AG291" s="1316"/>
      <c r="AH291" s="984" t="s">
        <v>2261</v>
      </c>
      <c r="AI291" s="984" t="s">
        <v>2262</v>
      </c>
      <c r="AJ291" s="989" cm="1" t="str">
        <f t="array" ref="AJ291:AJ291">AC291</f>
        <v>0</v>
      </c>
      <c r="AK291" s="1318"/>
      <c r="AL291" s="636" t="b">
        <v>1</v>
      </c>
      <c r="AM291" s="1621"/>
      <c r="AN291" s="1621"/>
      <c r="AO291" s="1621"/>
      <c r="AP291" s="1621"/>
    </row>
    <row s="1621" customFormat="1" customHeight="1" ht="14.25">
      <c r="A292" s="647"/>
      <c r="B292" s="462"/>
      <c r="C292" s="462"/>
      <c r="D292" s="462"/>
      <c r="E292" s="629">
        <v>15</v>
      </c>
      <c r="F292" s="50" cm="1" t="str">
        <f t="array" ref="F292:F292">OFFSET(E292,-1,1)</f>
        <v>2</v>
      </c>
      <c r="G292" s="462"/>
      <c r="H292" s="462"/>
      <c r="I292" s="124" t="str">
        <f>"!== 'не определено' &amp;&amp; row.l2_13 !== null"</f>
        <v>!== 'не определено' &amp;&amp; row.l2_13 !== null</v>
      </c>
      <c r="J292" s="462"/>
      <c r="K292" s="462"/>
      <c r="L292" s="462"/>
      <c r="M292" s="462"/>
      <c r="N292" s="462"/>
      <c r="O292" s="462"/>
      <c r="P292" s="462"/>
      <c r="Q292" s="462"/>
      <c r="R292" s="462"/>
      <c r="S292" s="462"/>
      <c r="T292" s="439">
        <f>F292&gt;0</f>
        <v>1</v>
      </c>
      <c r="U292" s="462"/>
      <c r="V292" s="462"/>
      <c r="W292" s="810" t="s">
        <v>832</v>
      </c>
      <c r="X292" s="1519"/>
      <c r="Y292" s="462"/>
      <c r="Z292" s="1520"/>
      <c r="AA292" s="462"/>
      <c r="AB292" s="1306"/>
      <c r="AC292" s="1372" t="s">
        <v>177</v>
      </c>
      <c r="AD292" s="1308"/>
      <c r="AE292" s="1371"/>
      <c r="AF292" s="1316"/>
      <c r="AG292" s="1316"/>
      <c r="AH292" s="1317"/>
      <c r="AI292" s="1317"/>
      <c r="AJ292" s="1317"/>
      <c r="AK292" s="636" t="s">
        <v>2262</v>
      </c>
      <c r="AL292" s="1318"/>
      <c r="AM292" s="1621"/>
      <c r="AN292" s="1621"/>
      <c r="AO292" s="1621"/>
      <c r="AP292" s="1621"/>
    </row>
    <row s="1621" customFormat="1" customHeight="1" ht="14.25">
      <c r="A293" s="647"/>
      <c r="B293" s="462"/>
      <c r="C293" s="462"/>
      <c r="D293" s="462"/>
      <c r="E293" s="629">
        <v>15</v>
      </c>
      <c r="F293" s="50" cm="1" t="str">
        <f t="array" ref="F293:F293">OFFSET(E293,-1,1)</f>
        <v>2</v>
      </c>
      <c r="G293" s="462" t="s">
        <v>49</v>
      </c>
      <c r="H293" s="462" t="s">
        <v>327</v>
      </c>
      <c r="I293" s="462"/>
      <c r="J293" s="462"/>
      <c r="K293" s="462"/>
      <c r="L293" s="462"/>
      <c r="M293" s="462"/>
      <c r="N293" s="462"/>
      <c r="O293" s="462"/>
      <c r="P293" s="462"/>
      <c r="Q293" s="462"/>
      <c r="R293" s="462"/>
      <c r="S293" s="462"/>
      <c r="T293" s="439" cm="1" t="str">
        <f t="array" ref="T293:T293">T292</f>
        <v>true</v>
      </c>
      <c r="U293" s="462"/>
      <c r="V293" s="462"/>
      <c r="W293" s="462"/>
      <c r="X293" s="1519"/>
      <c r="Y293" s="462"/>
      <c r="Z293" s="1520"/>
      <c r="AA293" s="462"/>
      <c r="AB293" s="694" t="s">
        <v>323</v>
      </c>
      <c r="AC293" s="522" t="s">
        <v>1990</v>
      </c>
      <c r="AD293" s="523" t="s">
        <v>784</v>
      </c>
      <c r="AE293" s="1373"/>
      <c r="AF293" s="1316"/>
      <c r="AG293" s="1316"/>
      <c r="AH293" s="984" t="s">
        <v>1598</v>
      </c>
      <c r="AI293" s="1317"/>
      <c r="AJ293" s="1317"/>
      <c r="AK293" s="1318"/>
      <c r="AL293" s="1318"/>
      <c r="AM293" s="1621"/>
      <c r="AN293" s="1621"/>
      <c r="AO293" s="1621"/>
      <c r="AP293" s="1621"/>
    </row>
    <row customHeight="1" ht="10.96875">
      <c r="E294" s="629">
        <v>11.25</v>
      </c>
      <c r="U294" s="462" t="s">
        <v>177</v>
      </c>
      <c r="V294" s="1312" t="s">
        <v>2263</v>
      </c>
      <c r="AB294" s="1313"/>
      <c r="AC294" s="1314"/>
      <c r="AD294" s="1315"/>
      <c r="AE294" s="1374"/>
      <c r="AF294" s="456"/>
    </row>
    <row s="676" customFormat="1" customHeight="1" ht="14.625">
      <c r="A295" s="1375"/>
      <c r="E295" s="1376">
        <v>15</v>
      </c>
      <c r="F295" s="1377"/>
      <c r="G295" s="1377"/>
      <c r="AB295" s="1485" t="s">
        <v>398</v>
      </c>
      <c r="AC295" s="1485"/>
      <c r="AD295" s="1485"/>
      <c r="AE295" s="1522"/>
      <c r="AF295" s="1316"/>
      <c r="AG295" s="1316"/>
      <c r="AH295" s="1317"/>
      <c r="AI295" s="1317"/>
      <c r="AJ295" s="1317"/>
      <c r="AK295" s="1318"/>
      <c r="AL295" s="1318"/>
      <c r="AM295" s="51"/>
      <c r="AN295" s="51"/>
      <c r="AO295" s="51"/>
      <c r="AP295" s="51"/>
    </row>
    <row s="676" customFormat="1" customHeight="1" ht="14.625">
      <c r="A296" s="1375"/>
      <c r="E296" s="818">
        <v>15</v>
      </c>
      <c r="F296" s="1377"/>
      <c r="G296" s="1377"/>
      <c r="AB296" s="1524"/>
      <c r="AC296" s="1524"/>
      <c r="AD296" s="1524"/>
      <c r="AE296" s="1526"/>
      <c r="AF296" s="1316"/>
      <c r="AG296" s="1316"/>
      <c r="AH296" s="1317"/>
      <c r="AI296" s="1317"/>
      <c r="AJ296" s="1317"/>
      <c r="AK296" s="1318"/>
      <c r="AL296" s="1318"/>
      <c r="AM296" s="51"/>
      <c r="AN296" s="51"/>
      <c r="AO296" s="51"/>
      <c r="AP296" s="51"/>
    </row>
    <row s="676" customFormat="1" customHeight="1" ht="14.625" hidden="1">
      <c r="A297" s="1375"/>
      <c r="B297" s="1342"/>
      <c r="C297" s="1342"/>
      <c r="D297" s="1342"/>
      <c r="E297" s="692">
        <v>15</v>
      </c>
      <c r="F297" s="1342"/>
      <c r="G297" s="1342"/>
      <c r="H297" s="1342"/>
      <c r="I297" s="1342"/>
      <c r="J297" s="1342"/>
      <c r="K297" s="1342"/>
      <c r="L297" s="1342"/>
      <c r="M297" s="1342"/>
      <c r="N297" s="1342"/>
      <c r="O297" s="1342"/>
      <c r="P297" s="1342"/>
      <c r="Q297" s="1342"/>
      <c r="R297" s="1342"/>
      <c r="S297" s="1342"/>
      <c r="T297" s="439">
        <f>ROW(W297)&gt;ROW(W$297)</f>
        <v>0</v>
      </c>
      <c r="U297" s="1342"/>
      <c r="V297" s="1342"/>
      <c r="W297" s="532" t="s">
        <v>173</v>
      </c>
      <c r="X297" s="1342"/>
      <c r="Y297" s="1342"/>
      <c r="Z297" s="1342"/>
      <c r="AA297" s="1319" t="s">
        <v>174</v>
      </c>
      <c r="AB297" s="2463"/>
      <c r="AC297" s="2462"/>
      <c r="AD297" s="2462"/>
      <c r="AE297" s="2464"/>
      <c r="AF297" s="1316"/>
      <c r="AG297" s="1316"/>
      <c r="AH297" s="1317"/>
      <c r="AI297" s="1317"/>
      <c r="AJ297" s="1317"/>
      <c r="AK297" s="1318"/>
      <c r="AL297" s="1318"/>
      <c r="AM297" s="51"/>
      <c r="AN297" s="51"/>
      <c r="AO297" s="51"/>
      <c r="AP297" s="51"/>
    </row>
    <row s="676" customFormat="1" customHeight="1" ht="14.625">
      <c r="A298" s="1375"/>
      <c r="E298" s="692">
        <v>15</v>
      </c>
      <c r="W298" s="5248" t="s">
        <v>399</v>
      </c>
      <c r="AB298" s="1378"/>
      <c r="AC298" s="1379" t="s">
        <v>400</v>
      </c>
      <c r="AD298" s="1380"/>
      <c r="AE298" s="1381"/>
      <c r="AF298" s="1316"/>
      <c r="AG298" s="1316"/>
      <c r="AH298" s="1317"/>
      <c r="AI298" s="1317"/>
      <c r="AJ298" s="1317"/>
      <c r="AK298" s="1318"/>
      <c r="AL298" s="1318"/>
      <c r="AM298" s="51"/>
      <c r="AN298" s="51"/>
      <c r="AO298" s="51"/>
      <c r="AP298" s="51"/>
    </row>
    <row customHeight="1" ht="10.96875">
      <c r="E299" s="629">
        <v>11.25</v>
      </c>
      <c r="AC299" s="513"/>
      <c r="AF299" s="388"/>
    </row>
    <row customHeight="1" ht="11.25" hidden="1">
      <c r="A300" s="388"/>
      <c r="B300" s="388"/>
      <c r="C300" s="388"/>
      <c r="D300" s="388"/>
      <c r="E300" s="636"/>
      <c r="F300" s="388"/>
      <c r="G300" s="388"/>
      <c r="H300" s="388"/>
      <c r="I300" s="388"/>
      <c r="J300" s="388"/>
      <c r="K300" s="388"/>
      <c r="L300" s="388"/>
      <c r="M300" s="388"/>
      <c r="N300" s="388"/>
      <c r="O300" s="388"/>
      <c r="P300" s="388"/>
      <c r="Q300" s="388"/>
      <c r="R300" s="388"/>
      <c r="S300" s="388"/>
      <c r="T300" s="388"/>
      <c r="U300" s="388"/>
      <c r="V300" s="388"/>
      <c r="W300" s="388"/>
      <c r="X300" s="388"/>
      <c r="Y300" s="388"/>
      <c r="Z300" s="388"/>
      <c r="AA300" s="388"/>
      <c r="AB300" s="388"/>
      <c r="AF300" s="388"/>
      <c r="AG300" s="388"/>
      <c r="AH300" s="984"/>
      <c r="AI300" s="984"/>
      <c r="AJ300" s="984"/>
      <c r="AK300" s="636"/>
      <c r="AL300" s="636"/>
    </row>
    <row customHeight="1" ht="11.25" hidden="1">
      <c r="A301" s="388"/>
      <c r="B301" s="388"/>
      <c r="C301" s="388"/>
      <c r="D301" s="388"/>
      <c r="E301" s="636"/>
      <c r="F301" s="388"/>
      <c r="G301" s="388"/>
      <c r="H301" s="388"/>
      <c r="I301" s="388"/>
      <c r="J301" s="388"/>
      <c r="K301" s="388"/>
      <c r="L301" s="388"/>
      <c r="M301" s="388"/>
      <c r="N301" s="388"/>
      <c r="O301" s="388"/>
      <c r="P301" s="388"/>
      <c r="Q301" s="388"/>
      <c r="R301" s="388"/>
      <c r="S301" s="388"/>
      <c r="T301" s="388"/>
      <c r="U301" s="388"/>
      <c r="V301" s="388"/>
      <c r="W301" s="388"/>
      <c r="X301" s="388"/>
      <c r="Y301" s="388"/>
      <c r="Z301" s="388"/>
      <c r="AA301" s="388"/>
      <c r="AB301" s="388"/>
      <c r="AF301" s="388"/>
      <c r="AG301" s="388"/>
      <c r="AH301" s="984"/>
      <c r="AI301" s="984"/>
      <c r="AJ301" s="984"/>
      <c r="AK301" s="636"/>
      <c r="AL301" s="636"/>
    </row>
    <row customHeight="1" ht="11.25" hidden="1">
      <c r="A302" s="388"/>
      <c r="B302" s="388"/>
      <c r="C302" s="388"/>
      <c r="D302" s="388"/>
      <c r="E302" s="636"/>
      <c r="F302" s="388"/>
      <c r="G302" s="388"/>
      <c r="H302" s="388"/>
      <c r="I302" s="388"/>
      <c r="J302" s="388"/>
      <c r="K302" s="388"/>
      <c r="L302" s="388"/>
      <c r="M302" s="388"/>
      <c r="N302" s="388"/>
      <c r="O302" s="388"/>
      <c r="P302" s="388"/>
      <c r="Q302" s="388"/>
      <c r="R302" s="388"/>
      <c r="S302" s="388"/>
      <c r="T302" s="388"/>
      <c r="U302" s="388"/>
      <c r="V302" s="388"/>
      <c r="W302" s="388"/>
      <c r="X302" s="388"/>
      <c r="Y302" s="388"/>
      <c r="Z302" s="388"/>
      <c r="AA302" s="388"/>
      <c r="AB302" s="388"/>
      <c r="AF302" s="388"/>
      <c r="AG302" s="388"/>
      <c r="AH302" s="984"/>
      <c r="AI302" s="984"/>
      <c r="AJ302" s="984"/>
      <c r="AK302" s="636"/>
      <c r="AL302" s="636"/>
    </row>
    <row customHeight="1" ht="11.25" hidden="1">
      <c r="A303" s="388"/>
      <c r="B303" s="388"/>
      <c r="C303" s="388"/>
      <c r="D303" s="388"/>
      <c r="E303" s="636"/>
      <c r="F303" s="388"/>
      <c r="G303" s="388"/>
      <c r="H303" s="388"/>
      <c r="I303" s="388"/>
      <c r="J303" s="388"/>
      <c r="K303" s="388"/>
      <c r="L303" s="388"/>
      <c r="M303" s="388"/>
      <c r="N303" s="388"/>
      <c r="O303" s="388"/>
      <c r="P303" s="388"/>
      <c r="Q303" s="388"/>
      <c r="R303" s="388"/>
      <c r="S303" s="388"/>
      <c r="T303" s="388"/>
      <c r="U303" s="388"/>
      <c r="V303" s="388"/>
      <c r="W303" s="388"/>
      <c r="X303" s="388"/>
      <c r="Y303" s="388"/>
      <c r="Z303" s="388"/>
      <c r="AA303" s="388"/>
      <c r="AB303" s="388"/>
      <c r="AF303" s="388"/>
      <c r="AG303" s="388"/>
      <c r="AH303" s="984"/>
      <c r="AI303" s="984"/>
      <c r="AJ303" s="984"/>
      <c r="AK303" s="636"/>
      <c r="AL303" s="636"/>
    </row>
    <row customHeight="1" ht="11.25" hidden="1">
      <c r="A304" s="388"/>
      <c r="B304" s="388"/>
      <c r="C304" s="388"/>
      <c r="D304" s="388"/>
      <c r="E304" s="636"/>
      <c r="F304" s="388"/>
      <c r="G304" s="388"/>
      <c r="H304" s="388"/>
      <c r="I304" s="388"/>
      <c r="J304" s="388"/>
      <c r="K304" s="388"/>
      <c r="L304" s="388"/>
      <c r="M304" s="388"/>
      <c r="N304" s="388"/>
      <c r="O304" s="388"/>
      <c r="P304" s="388"/>
      <c r="Q304" s="388"/>
      <c r="R304" s="388"/>
      <c r="S304" s="388"/>
      <c r="T304" s="388"/>
      <c r="U304" s="388"/>
      <c r="V304" s="388"/>
      <c r="W304" s="388"/>
      <c r="X304" s="388"/>
      <c r="Y304" s="388"/>
      <c r="Z304" s="388"/>
      <c r="AA304" s="388"/>
      <c r="AB304" s="388"/>
      <c r="AF304" s="388"/>
      <c r="AG304" s="388"/>
      <c r="AH304" s="984"/>
      <c r="AI304" s="984"/>
      <c r="AJ304" s="984"/>
      <c r="AK304" s="636"/>
      <c r="AL304" s="636"/>
    </row>
    <row customHeight="1" ht="11.25" hidden="1">
      <c r="A305" s="388"/>
      <c r="B305" s="388"/>
      <c r="C305" s="388"/>
      <c r="D305" s="388"/>
      <c r="E305" s="636"/>
      <c r="F305" s="388"/>
      <c r="G305" s="388"/>
      <c r="H305" s="388"/>
      <c r="I305" s="388"/>
      <c r="J305" s="388"/>
      <c r="K305" s="388"/>
      <c r="L305" s="388"/>
      <c r="M305" s="388"/>
      <c r="N305" s="388"/>
      <c r="O305" s="388"/>
      <c r="P305" s="388"/>
      <c r="Q305" s="388"/>
      <c r="R305" s="388"/>
      <c r="S305" s="388"/>
      <c r="T305" s="388"/>
      <c r="U305" s="388"/>
      <c r="V305" s="388"/>
      <c r="W305" s="388"/>
      <c r="X305" s="388"/>
      <c r="Y305" s="388"/>
      <c r="Z305" s="388"/>
      <c r="AA305" s="388"/>
      <c r="AB305" s="388"/>
      <c r="AF305" s="388"/>
      <c r="AG305" s="388"/>
      <c r="AH305" s="984"/>
      <c r="AI305" s="984"/>
      <c r="AJ305" s="984"/>
      <c r="AK305" s="636"/>
      <c r="AL305" s="636"/>
    </row>
    <row customHeight="1" ht="11.25" hidden="1">
      <c r="A306" s="388"/>
      <c r="B306" s="388"/>
      <c r="C306" s="388"/>
      <c r="D306" s="388"/>
      <c r="E306" s="636"/>
      <c r="F306" s="388"/>
      <c r="G306" s="388"/>
      <c r="H306" s="388"/>
      <c r="I306" s="388"/>
      <c r="J306" s="388"/>
      <c r="K306" s="388"/>
      <c r="L306" s="388"/>
      <c r="M306" s="388"/>
      <c r="N306" s="388"/>
      <c r="O306" s="388"/>
      <c r="P306" s="388"/>
      <c r="Q306" s="388"/>
      <c r="R306" s="388"/>
      <c r="S306" s="388"/>
      <c r="T306" s="388"/>
      <c r="U306" s="388"/>
      <c r="V306" s="388"/>
      <c r="W306" s="388"/>
      <c r="X306" s="388"/>
      <c r="Y306" s="388"/>
      <c r="Z306" s="388"/>
      <c r="AA306" s="388"/>
      <c r="AB306" s="388"/>
      <c r="AF306" s="388"/>
      <c r="AG306" s="388"/>
      <c r="AH306" s="984"/>
      <c r="AI306" s="984"/>
      <c r="AJ306" s="984"/>
      <c r="AK306" s="636"/>
      <c r="AL306" s="636"/>
    </row>
    <row customHeight="1" ht="11.25" hidden="1">
      <c r="A307" s="388"/>
      <c r="B307" s="388"/>
      <c r="C307" s="388"/>
      <c r="D307" s="388"/>
      <c r="E307" s="636"/>
      <c r="F307" s="388"/>
      <c r="G307" s="388"/>
      <c r="H307" s="388"/>
      <c r="I307" s="388"/>
      <c r="J307" s="388"/>
      <c r="K307" s="388"/>
      <c r="L307" s="388"/>
      <c r="M307" s="388"/>
      <c r="N307" s="388"/>
      <c r="O307" s="388"/>
      <c r="P307" s="388"/>
      <c r="Q307" s="388"/>
      <c r="R307" s="388"/>
      <c r="S307" s="388"/>
      <c r="T307" s="388"/>
      <c r="U307" s="388"/>
      <c r="V307" s="388"/>
      <c r="W307" s="388"/>
      <c r="X307" s="388"/>
      <c r="Y307" s="388"/>
      <c r="Z307" s="388"/>
      <c r="AA307" s="388"/>
      <c r="AB307" s="388"/>
      <c r="AF307" s="388"/>
      <c r="AG307" s="388"/>
      <c r="AH307" s="984"/>
      <c r="AI307" s="984"/>
      <c r="AJ307" s="984"/>
      <c r="AK307" s="636"/>
      <c r="AL307" s="636"/>
    </row>
    <row customHeight="1" ht="11.25" hidden="1">
      <c r="A308" s="388"/>
      <c r="B308" s="388"/>
      <c r="C308" s="388"/>
      <c r="D308" s="388"/>
      <c r="E308" s="636"/>
      <c r="F308" s="388"/>
      <c r="G308" s="388"/>
      <c r="H308" s="388"/>
      <c r="I308" s="388"/>
      <c r="J308" s="388"/>
      <c r="K308" s="388"/>
      <c r="L308" s="388"/>
      <c r="M308" s="388"/>
      <c r="N308" s="388"/>
      <c r="O308" s="388"/>
      <c r="P308" s="388"/>
      <c r="Q308" s="388"/>
      <c r="R308" s="388"/>
      <c r="S308" s="388"/>
      <c r="T308" s="388"/>
      <c r="U308" s="388"/>
      <c r="V308" s="388"/>
      <c r="W308" s="388"/>
      <c r="X308" s="388"/>
      <c r="Y308" s="388"/>
      <c r="Z308" s="388"/>
      <c r="AA308" s="388"/>
      <c r="AB308" s="388"/>
      <c r="AF308" s="388"/>
      <c r="AG308" s="388"/>
      <c r="AH308" s="984"/>
      <c r="AI308" s="984"/>
      <c r="AJ308" s="984"/>
      <c r="AK308" s="636"/>
      <c r="AL308" s="636"/>
    </row>
    <row customHeight="1" ht="11.25" hidden="1">
      <c r="A309" s="388"/>
      <c r="B309" s="388"/>
      <c r="C309" s="388"/>
      <c r="D309" s="388"/>
      <c r="E309" s="636"/>
      <c r="F309" s="388"/>
      <c r="G309" s="388"/>
      <c r="H309" s="388"/>
      <c r="I309" s="388"/>
      <c r="J309" s="388"/>
      <c r="K309" s="388"/>
      <c r="L309" s="388"/>
      <c r="M309" s="388"/>
      <c r="N309" s="388"/>
      <c r="O309" s="388"/>
      <c r="P309" s="388"/>
      <c r="Q309" s="388"/>
      <c r="R309" s="388"/>
      <c r="S309" s="388"/>
      <c r="T309" s="388"/>
      <c r="U309" s="388"/>
      <c r="V309" s="388"/>
      <c r="W309" s="388"/>
      <c r="X309" s="388"/>
      <c r="Y309" s="388"/>
      <c r="Z309" s="388"/>
      <c r="AA309" s="388"/>
      <c r="AB309" s="388"/>
      <c r="AF309" s="388"/>
      <c r="AG309" s="388"/>
      <c r="AH309" s="984"/>
      <c r="AI309" s="984"/>
      <c r="AJ309" s="984"/>
      <c r="AK309" s="636"/>
      <c r="AL309" s="636"/>
    </row>
    <row customHeight="1" ht="11.25" hidden="1">
      <c r="A310" s="388"/>
      <c r="B310" s="388"/>
      <c r="C310" s="388"/>
      <c r="D310" s="388"/>
      <c r="E310" s="636"/>
      <c r="F310" s="388"/>
      <c r="G310" s="388"/>
      <c r="H310" s="388"/>
      <c r="I310" s="388"/>
      <c r="J310" s="388"/>
      <c r="K310" s="388"/>
      <c r="L310" s="388"/>
      <c r="M310" s="388"/>
      <c r="N310" s="388"/>
      <c r="O310" s="388"/>
      <c r="P310" s="388"/>
      <c r="Q310" s="388"/>
      <c r="R310" s="388"/>
      <c r="S310" s="388"/>
      <c r="T310" s="388"/>
      <c r="U310" s="388"/>
      <c r="V310" s="388"/>
      <c r="W310" s="388"/>
      <c r="X310" s="388"/>
      <c r="Y310" s="388"/>
      <c r="Z310" s="388"/>
      <c r="AA310" s="388"/>
      <c r="AB310" s="388"/>
      <c r="AF310" s="388"/>
      <c r="AG310" s="388"/>
      <c r="AH310" s="984"/>
      <c r="AI310" s="984"/>
      <c r="AJ310" s="984"/>
      <c r="AK310" s="636"/>
      <c r="AL310" s="636"/>
    </row>
    <row customHeight="1" ht="11.25" hidden="1">
      <c r="A311" s="388"/>
      <c r="B311" s="388"/>
      <c r="C311" s="388"/>
      <c r="D311" s="388"/>
      <c r="E311" s="636"/>
      <c r="F311" s="388"/>
      <c r="G311" s="388"/>
      <c r="H311" s="388"/>
      <c r="I311" s="388"/>
      <c r="J311" s="388"/>
      <c r="K311" s="388"/>
      <c r="L311" s="388"/>
      <c r="M311" s="388"/>
      <c r="N311" s="388"/>
      <c r="O311" s="388"/>
      <c r="P311" s="388"/>
      <c r="Q311" s="388"/>
      <c r="R311" s="388"/>
      <c r="S311" s="388"/>
      <c r="T311" s="388"/>
      <c r="U311" s="388"/>
      <c r="V311" s="388"/>
      <c r="W311" s="388"/>
      <c r="X311" s="388"/>
      <c r="Y311" s="388"/>
      <c r="Z311" s="388"/>
      <c r="AA311" s="388"/>
      <c r="AB311" s="388"/>
      <c r="AF311" s="388"/>
      <c r="AG311" s="388"/>
      <c r="AH311" s="984"/>
      <c r="AI311" s="984"/>
      <c r="AJ311" s="984"/>
      <c r="AK311" s="636"/>
      <c r="AL311" s="636"/>
    </row>
    <row customHeight="1" ht="11.25" hidden="1">
      <c r="A312" s="388"/>
      <c r="B312" s="388"/>
      <c r="C312" s="388"/>
      <c r="D312" s="388"/>
      <c r="E312" s="636"/>
      <c r="F312" s="388"/>
      <c r="G312" s="388"/>
      <c r="H312" s="388"/>
      <c r="I312" s="388"/>
      <c r="J312" s="388"/>
      <c r="K312" s="388"/>
      <c r="L312" s="388"/>
      <c r="M312" s="388"/>
      <c r="N312" s="388"/>
      <c r="O312" s="388"/>
      <c r="P312" s="388"/>
      <c r="Q312" s="388"/>
      <c r="R312" s="388"/>
      <c r="S312" s="388"/>
      <c r="T312" s="388"/>
      <c r="U312" s="388"/>
      <c r="V312" s="388"/>
      <c r="W312" s="388"/>
      <c r="X312" s="388"/>
      <c r="Y312" s="388"/>
      <c r="Z312" s="388"/>
      <c r="AA312" s="388"/>
      <c r="AB312" s="388"/>
      <c r="AF312" s="388"/>
      <c r="AG312" s="388"/>
      <c r="AH312" s="984"/>
      <c r="AI312" s="984"/>
      <c r="AJ312" s="984"/>
      <c r="AK312" s="636"/>
      <c r="AL312" s="636"/>
    </row>
    <row customHeight="1" ht="11.25" hidden="1">
      <c r="A313" s="388"/>
      <c r="B313" s="388"/>
      <c r="C313" s="388"/>
      <c r="D313" s="388"/>
      <c r="E313" s="636"/>
      <c r="F313" s="388"/>
      <c r="G313" s="388"/>
      <c r="H313" s="388"/>
      <c r="I313" s="388"/>
      <c r="J313" s="388"/>
      <c r="K313" s="388"/>
      <c r="L313" s="388"/>
      <c r="M313" s="388"/>
      <c r="N313" s="388"/>
      <c r="O313" s="388"/>
      <c r="P313" s="388"/>
      <c r="Q313" s="388"/>
      <c r="R313" s="388"/>
      <c r="S313" s="388"/>
      <c r="T313" s="388"/>
      <c r="U313" s="388"/>
      <c r="V313" s="388"/>
      <c r="W313" s="388"/>
      <c r="X313" s="388"/>
      <c r="Y313" s="388"/>
      <c r="Z313" s="388"/>
      <c r="AA313" s="388"/>
      <c r="AB313" s="388"/>
      <c r="AF313" s="388"/>
      <c r="AG313" s="388"/>
      <c r="AH313" s="984"/>
      <c r="AI313" s="984"/>
      <c r="AJ313" s="984"/>
      <c r="AK313" s="636"/>
      <c r="AL313" s="636"/>
    </row>
    <row customHeight="1" ht="11.25" hidden="1">
      <c r="A314" s="388"/>
      <c r="B314" s="388"/>
      <c r="C314" s="388"/>
      <c r="D314" s="388"/>
      <c r="E314" s="636"/>
      <c r="F314" s="388"/>
      <c r="G314" s="388"/>
      <c r="H314" s="388"/>
      <c r="I314" s="388"/>
      <c r="J314" s="388"/>
      <c r="K314" s="388"/>
      <c r="L314" s="388"/>
      <c r="M314" s="388"/>
      <c r="N314" s="388"/>
      <c r="O314" s="388"/>
      <c r="P314" s="388"/>
      <c r="Q314" s="388"/>
      <c r="R314" s="388"/>
      <c r="S314" s="388"/>
      <c r="T314" s="388"/>
      <c r="U314" s="388"/>
      <c r="V314" s="388"/>
      <c r="W314" s="388"/>
      <c r="X314" s="388"/>
      <c r="Y314" s="388"/>
      <c r="Z314" s="388"/>
      <c r="AA314" s="388"/>
      <c r="AB314" s="388"/>
      <c r="AF314" s="388"/>
      <c r="AG314" s="388"/>
      <c r="AH314" s="984"/>
      <c r="AI314" s="984"/>
      <c r="AJ314" s="984"/>
      <c r="AK314" s="636"/>
      <c r="AL314" s="636"/>
    </row>
    <row customHeight="1" ht="11.25" hidden="1">
      <c r="A315" s="388"/>
      <c r="B315" s="388"/>
      <c r="C315" s="388"/>
      <c r="D315" s="388"/>
      <c r="E315" s="636"/>
      <c r="F315" s="388"/>
      <c r="G315" s="388"/>
      <c r="H315" s="388"/>
      <c r="I315" s="388"/>
      <c r="J315" s="388"/>
      <c r="K315" s="388"/>
      <c r="L315" s="388"/>
      <c r="M315" s="388"/>
      <c r="N315" s="388"/>
      <c r="O315" s="388"/>
      <c r="P315" s="388"/>
      <c r="Q315" s="388"/>
      <c r="R315" s="388"/>
      <c r="S315" s="388"/>
      <c r="T315" s="388"/>
      <c r="U315" s="388"/>
      <c r="V315" s="388"/>
      <c r="W315" s="388"/>
      <c r="X315" s="388"/>
      <c r="Y315" s="388"/>
      <c r="Z315" s="388"/>
      <c r="AA315" s="388"/>
      <c r="AB315" s="388"/>
      <c r="AF315" s="388"/>
      <c r="AG315" s="388"/>
      <c r="AH315" s="984"/>
      <c r="AI315" s="984"/>
      <c r="AJ315" s="984"/>
      <c r="AK315" s="636"/>
      <c r="AL315" s="636"/>
    </row>
    <row customHeight="1" ht="11.25" hidden="1">
      <c r="A316" s="388"/>
      <c r="B316" s="388"/>
      <c r="C316" s="388"/>
      <c r="D316" s="388"/>
      <c r="E316" s="636"/>
      <c r="F316" s="388"/>
      <c r="G316" s="388"/>
      <c r="H316" s="388"/>
      <c r="I316" s="388"/>
      <c r="J316" s="388"/>
      <c r="K316" s="388"/>
      <c r="L316" s="388"/>
      <c r="M316" s="388"/>
      <c r="N316" s="388"/>
      <c r="O316" s="388"/>
      <c r="P316" s="388"/>
      <c r="Q316" s="388"/>
      <c r="R316" s="388"/>
      <c r="S316" s="388"/>
      <c r="T316" s="388"/>
      <c r="U316" s="388"/>
      <c r="V316" s="388"/>
      <c r="W316" s="388"/>
      <c r="X316" s="388"/>
      <c r="Y316" s="388"/>
      <c r="Z316" s="388"/>
      <c r="AA316" s="388"/>
      <c r="AB316" s="388"/>
      <c r="AF316" s="388"/>
      <c r="AG316" s="388"/>
      <c r="AH316" s="984"/>
      <c r="AI316" s="984"/>
      <c r="AJ316" s="984"/>
      <c r="AK316" s="636"/>
      <c r="AL316" s="636"/>
    </row>
    <row customHeight="1" ht="11.25" hidden="1">
      <c r="A317" s="388"/>
      <c r="B317" s="388"/>
      <c r="C317" s="388"/>
      <c r="D317" s="388"/>
      <c r="E317" s="636"/>
      <c r="F317" s="388"/>
      <c r="G317" s="388"/>
      <c r="H317" s="388"/>
      <c r="I317" s="388"/>
      <c r="J317" s="388"/>
      <c r="K317" s="388"/>
      <c r="L317" s="388"/>
      <c r="M317" s="388"/>
      <c r="N317" s="388"/>
      <c r="O317" s="388"/>
      <c r="P317" s="388"/>
      <c r="Q317" s="388"/>
      <c r="R317" s="388"/>
      <c r="S317" s="388"/>
      <c r="T317" s="388"/>
      <c r="U317" s="388"/>
      <c r="V317" s="388"/>
      <c r="W317" s="388"/>
      <c r="X317" s="388"/>
      <c r="Y317" s="388"/>
      <c r="Z317" s="388"/>
      <c r="AA317" s="388"/>
      <c r="AB317" s="388"/>
      <c r="AF317" s="388"/>
      <c r="AG317" s="388"/>
      <c r="AH317" s="984"/>
      <c r="AI317" s="984"/>
      <c r="AJ317" s="984"/>
      <c r="AK317" s="636"/>
      <c r="AL317" s="636"/>
    </row>
    <row customHeight="1" ht="11.25" hidden="1">
      <c r="A318" s="388"/>
      <c r="B318" s="388"/>
      <c r="C318" s="388"/>
      <c r="D318" s="388"/>
      <c r="E318" s="636"/>
      <c r="F318" s="388"/>
      <c r="G318" s="388"/>
      <c r="H318" s="388"/>
      <c r="I318" s="388"/>
      <c r="J318" s="388"/>
      <c r="K318" s="388"/>
      <c r="L318" s="388"/>
      <c r="M318" s="388"/>
      <c r="N318" s="388"/>
      <c r="O318" s="388"/>
      <c r="P318" s="388"/>
      <c r="Q318" s="388"/>
      <c r="R318" s="388"/>
      <c r="S318" s="388"/>
      <c r="T318" s="388"/>
      <c r="U318" s="388"/>
      <c r="V318" s="388"/>
      <c r="W318" s="388"/>
      <c r="X318" s="388"/>
      <c r="Y318" s="388"/>
      <c r="Z318" s="388"/>
      <c r="AA318" s="388"/>
      <c r="AB318" s="388"/>
      <c r="AF318" s="388"/>
      <c r="AG318" s="388"/>
      <c r="AH318" s="984"/>
      <c r="AI318" s="984"/>
      <c r="AJ318" s="984"/>
      <c r="AK318" s="636"/>
      <c r="AL318" s="636"/>
    </row>
  </sheetData>
  <sheetProtection formatColumns="0" formatRows="0" insertRows="0" deleteColumns="0" deleteRows="0" sort="0" autoFilter="0" insertColumns="1"/>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4D00E4-DA78-0448-3908-CB1A63F77529}" mc:Ignorable="x14ac xr xr2 xr3">
  <sheetPr>
    <tabColor rgb="FF92D050"/>
    <outlinePr summaryRight="0" summaryBelow="0"/>
    <pageSetUpPr fitToPage="1"/>
  </sheetPr>
  <dimension ref="A1:AI9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4" style="462" width="2.7109375" hidden="1" customWidth="1"/>
    <col min="5" max="5" style="629" width="4.57421875" hidden="1" customWidth="1"/>
    <col min="6" max="6" style="462" width="2.7109375" hidden="1" customWidth="1"/>
    <col min="7" max="7" style="462" width="13.28125" hidden="1" customWidth="1"/>
    <col min="8" max="19" style="462" width="2.7109375" hidden="1" customWidth="1"/>
    <col min="20" max="20" style="462" width="8.57421875" hidden="1" customWidth="1"/>
    <col min="21" max="26" style="462" width="2.7109375" hidden="1" customWidth="1"/>
    <col min="27" max="27" style="462" width="3.00390625" customWidth="1"/>
    <col min="28" max="28" style="462" width="11.00390625" customWidth="1"/>
    <col min="29" max="29" style="462" width="57.00390625" customWidth="1"/>
    <col min="30" max="30" style="1520" width="14.57421875" customWidth="1"/>
    <col min="31" max="32" style="1520" width="12.57421875" customWidth="1"/>
    <col min="33" max="33" style="462" width="3.00390625" customWidth="1"/>
    <col min="34" max="34" style="462" width="8.7109375" hidden="1"/>
    <col min="35" max="35" style="1009" width="8.7109375" hidden="1"/>
  </cols>
  <sheetData>
    <row customHeight="1" ht="11.25" hidden="1">
      <c r="E1" s="462"/>
      <c r="F1" s="462" t="s">
        <v>313</v>
      </c>
      <c r="H1" s="462" t="s">
        <v>324</v>
      </c>
      <c r="T1" s="439" t="s">
        <v>92</v>
      </c>
      <c r="U1" s="439" t="s">
        <v>97</v>
      </c>
      <c r="V1" s="439" t="s">
        <v>93</v>
      </c>
      <c r="W1" s="439" t="s">
        <v>94</v>
      </c>
      <c r="X1" s="439" t="s">
        <v>95</v>
      </c>
      <c r="Y1" s="441" t="s">
        <v>315</v>
      </c>
      <c r="Z1" s="439" t="s">
        <v>99</v>
      </c>
      <c r="AA1" s="441" t="s">
        <v>96</v>
      </c>
      <c r="AC1" s="441" t="s">
        <v>98</v>
      </c>
      <c r="AI1" s="1009" t="s">
        <v>316</v>
      </c>
    </row>
    <row customHeight="1" ht="11.25" hidden="1">
      <c r="B2" s="418" t="s">
        <v>18</v>
      </c>
      <c r="E2" s="462"/>
    </row>
    <row customHeight="1" ht="11.25" hidden="1">
      <c r="E3" s="462"/>
    </row>
    <row customHeight="1" ht="11.25" hidden="1">
      <c r="E4" s="462"/>
    </row>
    <row s="629" customFormat="1" customHeight="1" ht="11.25" hidden="1">
      <c r="A5" s="462"/>
      <c r="B5" s="462"/>
      <c r="C5" s="462"/>
      <c r="D5" s="462"/>
      <c r="E5" s="629" t="s">
        <v>19</v>
      </c>
      <c r="AA5" s="629">
        <v>3</v>
      </c>
      <c r="AB5" s="629">
        <v>11</v>
      </c>
      <c r="AC5" s="629">
        <v>57</v>
      </c>
      <c r="AD5" s="631">
        <v>14.57</v>
      </c>
      <c r="AE5" s="631">
        <v>12.57</v>
      </c>
      <c r="AF5" s="631">
        <v>12.57</v>
      </c>
      <c r="AG5" s="629">
        <v>3</v>
      </c>
      <c r="AI5" s="1009"/>
    </row>
    <row customHeight="1" ht="11.25" hidden="1">
      <c r="A6" s="462" t="s">
        <v>354</v>
      </c>
      <c r="AE6" s="536" cm="1" t="str">
        <f t="array" ref="AE6:AE6">god</f>
        <v>2026</v>
      </c>
      <c r="AF6" s="536" cm="1" t="str">
        <f t="array" ref="AF6:AF6">god</f>
        <v>2026</v>
      </c>
    </row>
    <row customHeight="1" ht="11.25" hidden="1">
      <c r="A7" s="462" t="s">
        <v>355</v>
      </c>
      <c r="AE7" s="536" cm="1" t="str">
        <f t="array" ref="AE7:AE7">AE25</f>
        <v>Предложение организации</v>
      </c>
      <c r="AF7" s="536" cm="1" t="str">
        <f t="array" ref="AF7:AF7">AF25</f>
        <v>Принято органом регулирования</v>
      </c>
    </row>
    <row customHeight="1" ht="11.25" hidden="1">
      <c r="AE8" s="536"/>
      <c r="AF8" s="536"/>
    </row>
    <row s="1009" customFormat="1" customHeight="1" ht="11.25" hidden="1">
      <c r="A9" s="1009" t="s">
        <v>360</v>
      </c>
      <c r="AD9" s="1010"/>
      <c r="AE9" s="1061" cm="1" t="str">
        <f t="array" ref="AE9:AE9">AE25</f>
        <v>Предложение организации</v>
      </c>
      <c r="AF9" s="1061" cm="1" t="str">
        <f t="array" ref="AF9:AF9">AF25</f>
        <v>Принято органом регулирования</v>
      </c>
    </row>
    <row customHeight="1" ht="11.25" hidden="1">
      <c r="AE10" s="536"/>
      <c r="AF10" s="536"/>
    </row>
    <row customHeight="1" ht="11.25" hidden="1">
      <c r="AE11" s="536"/>
      <c r="AF11" s="536"/>
    </row>
    <row customHeight="1" ht="11.25" hidden="1">
      <c r="AE12" s="536"/>
      <c r="AF12" s="536"/>
    </row>
    <row customHeight="1" ht="11.25" hidden="1">
      <c r="AE13" s="536"/>
      <c r="AF13" s="536"/>
    </row>
    <row customHeight="1" ht="11.25" hidden="1">
      <c r="AE14" s="536"/>
      <c r="AF14" s="536"/>
    </row>
    <row customHeight="1" ht="11.25" hidden="1">
      <c r="AE15" s="536"/>
      <c r="AF15" s="536"/>
    </row>
    <row customHeight="1" ht="11.25" hidden="1">
      <c r="AE16" s="536"/>
      <c r="AF16" s="536"/>
    </row>
    <row customHeight="1" ht="11.25" hidden="1">
      <c r="AE17" s="491"/>
      <c r="AF17" s="491"/>
    </row>
    <row customHeight="1" ht="11.25" hidden="1">
      <c r="AE18" s="497">
        <f>_xlfn.SUMIFS('Перечень объектов'!AH$24:AH$63,'Перечень объектов'!$F$24:$F$63,$F29,'Перечень объектов'!$L$24:$L$63,"ЭЭ")</f>
        <v>0</v>
      </c>
    </row>
    <row customHeight="1" ht="11.25" hidden="1"/>
    <row customHeight="1" ht="11.25" hidden="1"/>
    <row customHeight="1" ht="14.625">
      <c r="E21" s="629">
        <v>15</v>
      </c>
      <c r="AA21" s="462"/>
      <c r="AC21" s="498" cm="1" t="str">
        <f t="array" ref="AC21:AC21">tpl_title</f>
        <v>Кемеровская область / 2026 / Филиал АО "УК "Кузбассразрезуголь" "Талдинский угольный разрез" (ИНН:4205049090, КПП:423802002) / ДПР: 2024-2028</v>
      </c>
    </row>
    <row customHeight="1" ht="32.90625">
      <c r="E22" s="629">
        <v>33.75</v>
      </c>
      <c r="AB22" s="1599" t="s">
        <v>90</v>
      </c>
      <c r="AC22" s="1542"/>
      <c r="AD22" s="1542"/>
      <c r="AE22" s="1542"/>
      <c r="AF22" s="1542"/>
    </row>
    <row customHeight="1" ht="10.96875">
      <c r="E23" s="629">
        <v>11.25</v>
      </c>
      <c r="AB23" s="1497"/>
      <c r="AC23" s="1497"/>
      <c r="AD23" s="1497"/>
      <c r="AE23" s="1497"/>
      <c r="AF23" s="1497"/>
    </row>
    <row customHeight="1" ht="14.625">
      <c r="E24" s="629">
        <v>15</v>
      </c>
      <c r="AB24" s="1498" t="s">
        <v>766</v>
      </c>
      <c r="AC24" s="1543" t="s">
        <v>194</v>
      </c>
      <c r="AD24" s="1498" t="s">
        <v>363</v>
      </c>
      <c r="AE24" s="1600" t="str">
        <f>god&amp;" год"</f>
        <v>2026 год</v>
      </c>
      <c r="AF24" s="1601"/>
    </row>
    <row customHeight="1" ht="48.75">
      <c r="E25" s="629">
        <v>50</v>
      </c>
      <c r="AB25" s="1498"/>
      <c r="AC25" s="1543"/>
      <c r="AD25" s="1498"/>
      <c r="AE25" s="1382" t="s">
        <v>357</v>
      </c>
      <c r="AF25" s="741" t="s">
        <v>356</v>
      </c>
    </row>
    <row customHeight="1" ht="11.25" hidden="1">
      <c r="E26" s="629">
        <v>0</v>
      </c>
      <c r="AB26" s="705"/>
      <c r="AC26" s="719"/>
      <c r="AD26" s="705"/>
      <c r="AE26" s="1383"/>
      <c r="AF26" s="1383"/>
    </row>
    <row customHeight="1" ht="14.625" hidden="1">
      <c r="A27" s="462"/>
      <c r="B27" s="462"/>
      <c r="C27" s="462"/>
      <c r="D27" s="462"/>
      <c r="E27" s="629">
        <v>15</v>
      </c>
      <c r="F27" s="462" cm="1" t="str">
        <f t="array" ref="F27:F27">X27</f>
        <v>0</v>
      </c>
      <c r="G27" s="462"/>
      <c r="H27" s="462"/>
      <c r="I27" s="462"/>
      <c r="J27" s="462"/>
      <c r="K27" s="462"/>
      <c r="L27" s="462"/>
      <c r="M27" s="462"/>
      <c r="N27" s="462"/>
      <c r="O27" s="462"/>
      <c r="P27" s="462"/>
      <c r="Q27" s="462"/>
      <c r="R27" s="462"/>
      <c r="S27" s="462"/>
      <c r="T27" s="439">
        <f>X27&gt;0</f>
        <v>0</v>
      </c>
      <c r="U27" s="462"/>
      <c r="V27" s="462" t="s">
        <v>261</v>
      </c>
      <c r="W27" s="462"/>
      <c r="X27" s="1519">
        <v>0</v>
      </c>
      <c r="Y27" s="462"/>
      <c r="Z27" s="1520"/>
      <c r="AA27" s="462"/>
      <c r="AB27" s="189" cm="1" t="str">
        <f t="array" ref="AB27:AB27">INDEX('Общие сведения'!$AG$179:$AG$222,MATCH($X27,'Общие сведения'!$Z$179:$Z$222,0))</f>
        <v>Тариф 0 () - </v>
      </c>
      <c r="AC27" s="1320"/>
      <c r="AD27" s="1321"/>
      <c r="AE27" s="1321"/>
      <c r="AF27" s="1322"/>
      <c r="AG27" s="462"/>
      <c r="AH27" s="462"/>
      <c r="AI27" s="1009"/>
    </row>
    <row s="500" customFormat="1" customHeight="1" ht="21.9375" hidden="1">
      <c r="A28" s="500"/>
      <c r="B28" s="500"/>
      <c r="C28" s="500"/>
      <c r="D28" s="500"/>
      <c r="E28" s="654">
        <v>22.5</v>
      </c>
      <c r="F28" s="50" cm="1" t="str">
        <f t="array" ref="F28:F28">OFFSET(E28,-1,1)</f>
        <v>0</v>
      </c>
      <c r="G28" s="500"/>
      <c r="H28" s="462" t="s">
        <v>325</v>
      </c>
      <c r="I28" s="462"/>
      <c r="J28" s="462"/>
      <c r="K28" s="462"/>
      <c r="L28" s="500"/>
      <c r="M28" s="500"/>
      <c r="N28" s="500"/>
      <c r="O28" s="500"/>
      <c r="P28" s="500"/>
      <c r="Q28" s="500"/>
      <c r="R28" s="500"/>
      <c r="S28" s="500"/>
      <c r="T28" s="439" cm="1" t="str">
        <f t="array" ref="T28:T28">T27</f>
        <v>false</v>
      </c>
      <c r="U28" s="500"/>
      <c r="V28" s="500"/>
      <c r="W28" s="500"/>
      <c r="X28" s="1519"/>
      <c r="Y28" s="500"/>
      <c r="Z28" s="1520"/>
      <c r="AA28" s="500"/>
      <c r="AB28" s="489" t="s">
        <v>272</v>
      </c>
      <c r="AC28" s="506" t="s">
        <v>2264</v>
      </c>
      <c r="AD28" s="489" t="s">
        <v>784</v>
      </c>
      <c r="AE28" s="502">
        <f>(AE29+AE37)*AE35</f>
        <v>0</v>
      </c>
      <c r="AF28" s="502">
        <f>(AF29+AF37)*AF35</f>
        <v>0</v>
      </c>
      <c r="AG28" s="500"/>
      <c r="AH28" s="500"/>
      <c r="AI28" s="1019" t="s">
        <v>2265</v>
      </c>
    </row>
    <row customHeight="1" ht="21.9375" hidden="1">
      <c r="A29" s="462"/>
      <c r="B29" s="462"/>
      <c r="C29" s="462"/>
      <c r="D29" s="462"/>
      <c r="E29" s="629">
        <v>22.5</v>
      </c>
      <c r="F29" s="50" cm="1" t="str">
        <f t="array" ref="F29:F29">OFFSET(E29,-1,1)</f>
        <v>0</v>
      </c>
      <c r="G29" s="462" t="s">
        <v>2266</v>
      </c>
      <c r="H29" s="462" t="s">
        <v>326</v>
      </c>
      <c r="I29" s="462"/>
      <c r="J29" s="462"/>
      <c r="K29" s="462" t="str">
        <f>F29&amp;G29</f>
        <v>0УТР</v>
      </c>
      <c r="L29" s="1071" cm="1" t="str">
        <f t="array" ref="L29:L29">AE29</f>
        <v>0</v>
      </c>
      <c r="M29" s="1071" cm="1" t="str">
        <f t="array" ref="M29:M29">AF29</f>
        <v>0</v>
      </c>
      <c r="N29" s="462"/>
      <c r="O29" s="462"/>
      <c r="P29" s="462"/>
      <c r="Q29" s="462"/>
      <c r="R29" s="462"/>
      <c r="S29" s="462"/>
      <c r="T29" s="439" cm="1" t="str">
        <f t="array" ref="T29:T29">T28</f>
        <v>false</v>
      </c>
      <c r="U29" s="462"/>
      <c r="V29" s="462"/>
      <c r="W29" s="462"/>
      <c r="X29" s="1519"/>
      <c r="Y29" s="462"/>
      <c r="Z29" s="1520"/>
      <c r="AA29" s="462"/>
      <c r="AB29" s="489" t="s">
        <v>283</v>
      </c>
      <c r="AC29" s="501" t="s">
        <v>988</v>
      </c>
      <c r="AD29" s="489" t="s">
        <v>980</v>
      </c>
      <c r="AE29" s="1070">
        <f>IF(AE34=0,0,(AE30-IF(_xlfn.SUMIFS('Перечень объектов'!AH$24:AH$63,'Перечень объектов'!$F$24:$F$63,$F29,'Перечень объектов'!$G$24:$G$63,"ЭЭ")&gt;0,0,AE31))/AE34)</f>
        <v>0</v>
      </c>
      <c r="AF29" s="1070">
        <f>IF(AF34=0,0,(AF30-IF(_xlfn.SUMIFS('Перечень объектов'!AI$24:AI$63,'Перечень объектов'!$F$24:$F$63,$F29,'Перечень объектов'!$G$24:$G$63,"ЭЭ")&gt;0,0,AF31))/AF34)</f>
        <v>0</v>
      </c>
      <c r="AG29" s="462"/>
      <c r="AH29" s="462"/>
      <c r="AI29" s="1009" t="s">
        <v>2267</v>
      </c>
    </row>
    <row customHeight="1" ht="32.90625" hidden="1">
      <c r="A30" s="462"/>
      <c r="B30" s="462"/>
      <c r="C30" s="462"/>
      <c r="D30" s="462"/>
      <c r="E30" s="629">
        <v>33.75</v>
      </c>
      <c r="F30" s="50" cm="1" t="str">
        <f t="array" ref="F30:F30">OFFSET(E30,-1,1)</f>
        <v>0</v>
      </c>
      <c r="G30" s="462"/>
      <c r="H30" s="462" t="s">
        <v>459</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489" t="s">
        <v>515</v>
      </c>
      <c r="AC30" s="539" t="s">
        <v>2268</v>
      </c>
      <c r="AD30" s="489" t="s">
        <v>784</v>
      </c>
      <c r="AE30" s="5256"/>
      <c r="AF30" s="502">
        <f>_xlfn.SUMIFS(ГО!AE$25:AE$294,ГО!$F$25:$F$294,$F30,ГО!$G$25:$G$294,"Итог")*(1+AF32/100)*(1+AF33/100)</f>
        <v>0</v>
      </c>
      <c r="AG30" s="462"/>
      <c r="AH30" s="462"/>
      <c r="AI30" s="1009" t="s">
        <v>2269</v>
      </c>
    </row>
    <row s="500" customFormat="1" customHeight="1" ht="14.625" hidden="1">
      <c r="A31" s="500"/>
      <c r="B31" s="500"/>
      <c r="C31" s="500"/>
      <c r="D31" s="500"/>
      <c r="E31" s="654">
        <v>15</v>
      </c>
      <c r="F31" s="50" cm="1" t="str">
        <f t="array" ref="F31:F31">OFFSET(E31,-1,1)</f>
        <v>0</v>
      </c>
      <c r="G31" s="500"/>
      <c r="H31" s="462" t="s">
        <v>1445</v>
      </c>
      <c r="I31" s="462"/>
      <c r="J31" s="462"/>
      <c r="K31" s="462"/>
      <c r="L31" s="500"/>
      <c r="M31" s="500"/>
      <c r="N31" s="500"/>
      <c r="O31" s="500"/>
      <c r="P31" s="500"/>
      <c r="Q31" s="500"/>
      <c r="R31" s="500"/>
      <c r="S31" s="500"/>
      <c r="T31" s="439" cm="1" t="str">
        <f t="array" ref="T31:T31">T30</f>
        <v>false</v>
      </c>
      <c r="U31" s="500"/>
      <c r="V31" s="500"/>
      <c r="W31" s="500"/>
      <c r="X31" s="1519"/>
      <c r="Y31" s="500"/>
      <c r="Z31" s="1520"/>
      <c r="AA31" s="500"/>
      <c r="AB31" s="489" t="s">
        <v>467</v>
      </c>
      <c r="AC31" s="1323" t="s">
        <v>2270</v>
      </c>
      <c r="AD31" s="489" t="s">
        <v>784</v>
      </c>
      <c r="AE31" s="5256"/>
      <c r="AF31" s="502">
        <f>_xlfn.SUMIFS(ГО!AE$25:AE$294,ГО!$F$25:$F$294,$F31,ГО!$G$25:$G$294,"ЭЭ")*(1+AF32/100)*(1+AF33/100)</f>
        <v>0</v>
      </c>
      <c r="AG31" s="500"/>
      <c r="AH31" s="500"/>
      <c r="AI31" s="1019" t="s">
        <v>1598</v>
      </c>
    </row>
    <row s="500" customFormat="1" customHeight="1" ht="14.625" hidden="1">
      <c r="A32" s="500"/>
      <c r="B32" s="500"/>
      <c r="C32" s="500"/>
      <c r="D32" s="500"/>
      <c r="E32" s="654">
        <v>15</v>
      </c>
      <c r="F32" s="50" cm="1" t="str">
        <f t="array" ref="F32:F32">OFFSET(E32,-1,1)</f>
        <v>0</v>
      </c>
      <c r="G32" s="500"/>
      <c r="H32" s="462" t="s">
        <v>462</v>
      </c>
      <c r="I32" s="462"/>
      <c r="J32" s="462"/>
      <c r="K32" s="462"/>
      <c r="L32" s="500"/>
      <c r="M32" s="500"/>
      <c r="N32" s="500"/>
      <c r="O32" s="500"/>
      <c r="P32" s="500"/>
      <c r="Q32" s="500"/>
      <c r="R32" s="500"/>
      <c r="S32" s="500"/>
      <c r="T32" s="439" cm="1" t="str">
        <f t="array" ref="T32:T32">T31</f>
        <v>false</v>
      </c>
      <c r="U32" s="500"/>
      <c r="V32" s="500"/>
      <c r="W32" s="500"/>
      <c r="X32" s="1519"/>
      <c r="Y32" s="500"/>
      <c r="Z32" s="1520"/>
      <c r="AA32" s="500"/>
      <c r="AB32" s="489" t="s">
        <v>519</v>
      </c>
      <c r="AC32" s="539" t="str">
        <f>"индекс потребительских цен на "&amp;god-1&amp;" год"</f>
        <v>индекс потребительских цен на 2025 год</v>
      </c>
      <c r="AD32" s="489" t="s">
        <v>437</v>
      </c>
      <c r="AE32" s="5256"/>
      <c r="AF32" s="5256"/>
      <c r="AG32" s="500"/>
      <c r="AH32" s="500"/>
      <c r="AI32" s="1019" t="s">
        <v>2271</v>
      </c>
    </row>
    <row s="500" customFormat="1" customHeight="1" ht="14.625" hidden="1">
      <c r="A33" s="500"/>
      <c r="B33" s="500"/>
      <c r="C33" s="500"/>
      <c r="D33" s="500"/>
      <c r="E33" s="654">
        <v>15</v>
      </c>
      <c r="F33" s="50" cm="1" t="str">
        <f t="array" ref="F33:F33">OFFSET(E33,-1,1)</f>
        <v>0</v>
      </c>
      <c r="G33" s="500"/>
      <c r="H33" s="462" t="s">
        <v>865</v>
      </c>
      <c r="I33" s="462"/>
      <c r="J33" s="462"/>
      <c r="K33" s="462"/>
      <c r="L33" s="500"/>
      <c r="M33" s="500"/>
      <c r="N33" s="500"/>
      <c r="O33" s="500"/>
      <c r="P33" s="500"/>
      <c r="Q33" s="500"/>
      <c r="R33" s="500"/>
      <c r="S33" s="500"/>
      <c r="T33" s="439" cm="1" t="str">
        <f t="array" ref="T33:T33">T32</f>
        <v>false</v>
      </c>
      <c r="U33" s="500"/>
      <c r="V33" s="500"/>
      <c r="W33" s="500"/>
      <c r="X33" s="1519"/>
      <c r="Y33" s="500"/>
      <c r="Z33" s="1520"/>
      <c r="AA33" s="500"/>
      <c r="AB33" s="489" t="s">
        <v>523</v>
      </c>
      <c r="AC33" s="539" t="str">
        <f>"индекс потребительских цен на "&amp;god&amp;" год"</f>
        <v>индекс потребительских цен на 2026 год</v>
      </c>
      <c r="AD33" s="489" t="s">
        <v>437</v>
      </c>
      <c r="AE33" s="5256"/>
      <c r="AF33" s="5256"/>
      <c r="AG33" s="500"/>
      <c r="AH33" s="500"/>
      <c r="AI33" s="1019" t="s">
        <v>2272</v>
      </c>
    </row>
    <row s="500" customFormat="1" customHeight="1" ht="21.9375" hidden="1">
      <c r="A34" s="500"/>
      <c r="B34" s="500"/>
      <c r="C34" s="500"/>
      <c r="D34" s="500"/>
      <c r="E34" s="654">
        <v>22.5</v>
      </c>
      <c r="F34" s="50" cm="1" t="str">
        <f t="array" ref="F34:F34">OFFSET(E34,-1,1)</f>
        <v>0</v>
      </c>
      <c r="G34" s="500"/>
      <c r="H34" s="462" t="s">
        <v>867</v>
      </c>
      <c r="I34" s="462"/>
      <c r="J34" s="462"/>
      <c r="K34" s="462"/>
      <c r="L34" s="500"/>
      <c r="M34" s="500"/>
      <c r="N34" s="500"/>
      <c r="O34" s="500"/>
      <c r="P34" s="500"/>
      <c r="Q34" s="500"/>
      <c r="R34" s="500"/>
      <c r="S34" s="500"/>
      <c r="T34" s="439" cm="1" t="str">
        <f t="array" ref="T34:T34">T33</f>
        <v>false</v>
      </c>
      <c r="U34" s="500"/>
      <c r="V34" s="500"/>
      <c r="W34" s="500"/>
      <c r="X34" s="1519"/>
      <c r="Y34" s="500"/>
      <c r="Z34" s="1520"/>
      <c r="AA34" s="500"/>
      <c r="AB34" s="489" t="s">
        <v>868</v>
      </c>
      <c r="AC34" s="539" t="s">
        <v>2273</v>
      </c>
      <c r="AD34" s="489" t="s">
        <v>776</v>
      </c>
      <c r="AE34" s="5256"/>
      <c r="AF34" s="5256"/>
      <c r="AG34" s="500"/>
      <c r="AH34" s="500"/>
      <c r="AI34" s="1019" t="s">
        <v>2274</v>
      </c>
    </row>
    <row s="500" customFormat="1" customHeight="1" ht="14.625" hidden="1">
      <c r="A35" s="500"/>
      <c r="B35" s="500"/>
      <c r="C35" s="500"/>
      <c r="D35" s="500"/>
      <c r="E35" s="654">
        <v>15</v>
      </c>
      <c r="F35" s="50" cm="1" t="str">
        <f t="array" ref="F35:F35">OFFSET(E35,-1,1)</f>
        <v>0</v>
      </c>
      <c r="G35" s="500"/>
      <c r="H35" s="462" t="s">
        <v>327</v>
      </c>
      <c r="I35" s="462"/>
      <c r="J35" s="462"/>
      <c r="K35" s="462"/>
      <c r="L35" s="500"/>
      <c r="M35" s="500"/>
      <c r="N35" s="500"/>
      <c r="O35" s="500"/>
      <c r="P35" s="500"/>
      <c r="Q35" s="500"/>
      <c r="R35" s="500"/>
      <c r="S35" s="500"/>
      <c r="T35" s="439" cm="1" t="str">
        <f t="array" ref="T35:T35">T34</f>
        <v>false</v>
      </c>
      <c r="U35" s="500"/>
      <c r="V35" s="500"/>
      <c r="W35" s="500"/>
      <c r="X35" s="1519"/>
      <c r="Y35" s="500"/>
      <c r="Z35" s="1520"/>
      <c r="AA35" s="500"/>
      <c r="AB35" s="489" t="s">
        <v>323</v>
      </c>
      <c r="AC35" s="1324" t="s">
        <v>2275</v>
      </c>
      <c r="AD35" s="489" t="s">
        <v>776</v>
      </c>
      <c r="AE35" s="505">
        <f>_xlfn.SUMIFS('Условные метры'!AL$27:AL$38,'Условные метры'!$F$27:$F$38,$F35,'Условные метры'!$G$27:$G$38,"Итог")</f>
        <v>0</v>
      </c>
      <c r="AF35" s="505">
        <f>_xlfn.SUMIFS('Условные метры'!AN$27:AN$38,'Условные метры'!$F$27:$F$38,$F35,'Условные метры'!$G$27:$G$38,"Итог")</f>
        <v>0</v>
      </c>
      <c r="AG35" s="500"/>
      <c r="AH35" s="500"/>
      <c r="AI35" s="1019" t="s">
        <v>2276</v>
      </c>
    </row>
    <row s="500" customFormat="1" customHeight="1" ht="14.625" hidden="1">
      <c r="A36" s="500"/>
      <c r="B36" s="500"/>
      <c r="C36" s="500"/>
      <c r="D36" s="500"/>
      <c r="E36" s="654">
        <v>15</v>
      </c>
      <c r="F36" s="50" cm="1" t="str">
        <f t="array" ref="F36:F36">OFFSET(E36,-1,1)</f>
        <v>0</v>
      </c>
      <c r="G36" s="500"/>
      <c r="H36" s="462" t="s">
        <v>875</v>
      </c>
      <c r="I36" s="462"/>
      <c r="J36" s="462"/>
      <c r="K36" s="462"/>
      <c r="L36" s="500"/>
      <c r="M36" s="500"/>
      <c r="N36" s="500"/>
      <c r="O36" s="500"/>
      <c r="P36" s="500"/>
      <c r="Q36" s="500"/>
      <c r="R36" s="500"/>
      <c r="S36" s="500"/>
      <c r="T36" s="439" cm="1" t="str">
        <f t="array" ref="T36:T36">T35</f>
        <v>false</v>
      </c>
      <c r="U36" s="500"/>
      <c r="V36" s="500"/>
      <c r="W36" s="500"/>
      <c r="X36" s="1519"/>
      <c r="Y36" s="500"/>
      <c r="Z36" s="1520"/>
      <c r="AA36" s="500"/>
      <c r="AB36" s="489" t="s">
        <v>529</v>
      </c>
      <c r="AC36" s="539" t="s">
        <v>2277</v>
      </c>
      <c r="AD36" s="489" t="s">
        <v>381</v>
      </c>
      <c r="AE36" s="505">
        <f>_xlfn.SUMIFS('Условные метры'!AK$27:AK$38,'Условные метры'!$F$27:$F$38,$F36,'Условные метры'!$G$27:$G$38,"Итог")</f>
        <v>0</v>
      </c>
      <c r="AF36" s="505">
        <f>_xlfn.SUMIFS('Условные метры'!AM$27:AM$38,'Условные метры'!$F$27:$F$38,$F36,'Условные метры'!$G$27:$G$38,"Итог")</f>
        <v>0</v>
      </c>
      <c r="AG36" s="500"/>
      <c r="AH36" s="500"/>
      <c r="AI36" s="1019" t="s">
        <v>2278</v>
      </c>
    </row>
    <row s="500" customFormat="1" customHeight="1" ht="14.625" hidden="1">
      <c r="A37" s="500"/>
      <c r="B37" s="500"/>
      <c r="C37" s="500"/>
      <c r="D37" s="500"/>
      <c r="E37" s="654">
        <v>15</v>
      </c>
      <c r="F37" s="50" cm="1" t="str">
        <f t="array" ref="F37:F37">OFFSET(E37,-1,1)</f>
        <v>0</v>
      </c>
      <c r="G37" s="500"/>
      <c r="H37" s="462" t="s">
        <v>329</v>
      </c>
      <c r="I37" s="462"/>
      <c r="J37" s="462"/>
      <c r="K37" s="462"/>
      <c r="L37" s="500"/>
      <c r="M37" s="500"/>
      <c r="N37" s="500"/>
      <c r="O37" s="500"/>
      <c r="P37" s="500"/>
      <c r="Q37" s="500"/>
      <c r="R37" s="500"/>
      <c r="S37" s="500"/>
      <c r="T37" s="439" cm="1" t="str">
        <f t="array" ref="T37:T37">T36</f>
        <v>false</v>
      </c>
      <c r="U37" s="500"/>
      <c r="V37" s="500"/>
      <c r="W37" s="500"/>
      <c r="X37" s="1519"/>
      <c r="Y37" s="500"/>
      <c r="Z37" s="1520"/>
      <c r="AA37" s="500"/>
      <c r="AB37" s="489" t="s">
        <v>536</v>
      </c>
      <c r="AC37" s="538" t="s">
        <v>2279</v>
      </c>
      <c r="AD37" s="489" t="s">
        <v>980</v>
      </c>
      <c r="AE37" s="505">
        <f>_xlfn.SUMIFS('Амортизация (аналог)'!AE$25:AE$48,'Амортизация (аналог)'!$F$25:$F$48,$F37,'Амортизация (аналог)'!$AB$25:$AB$48,"2")</f>
        <v>0</v>
      </c>
      <c r="AF37" s="505">
        <f>_xlfn.SUMIFS('Амортизация (аналог)'!AF$25:AF$48,'Амортизация (аналог)'!$F$25:$F$48,$F37,'Амортизация (аналог)'!$AB$25:$AB$48,"2")</f>
        <v>0</v>
      </c>
      <c r="AG37" s="500"/>
      <c r="AH37" s="500"/>
      <c r="AI37" s="1019" t="s">
        <v>2280</v>
      </c>
    </row>
    <row s="500" customFormat="1" customHeight="1" ht="14.625" hidden="1">
      <c r="A38" s="500"/>
      <c r="B38" s="500"/>
      <c r="C38" s="500"/>
      <c r="D38" s="500"/>
      <c r="E38" s="654">
        <v>15</v>
      </c>
      <c r="F38" s="50" cm="1" t="str">
        <f t="array" ref="F38:F38">OFFSET(E38,-1,1)</f>
        <v>0</v>
      </c>
      <c r="G38" s="500"/>
      <c r="H38" s="462" t="s">
        <v>514</v>
      </c>
      <c r="I38" s="462"/>
      <c r="J38" s="462"/>
      <c r="K38" s="462"/>
      <c r="L38" s="500"/>
      <c r="M38" s="500"/>
      <c r="N38" s="500"/>
      <c r="O38" s="500"/>
      <c r="P38" s="500"/>
      <c r="Q38" s="500"/>
      <c r="R38" s="500"/>
      <c r="S38" s="500"/>
      <c r="T38" s="439" cm="1" t="str">
        <f t="array" ref="T38:T38">T37</f>
        <v>false</v>
      </c>
      <c r="U38" s="500"/>
      <c r="V38" s="500"/>
      <c r="W38" s="500"/>
      <c r="X38" s="1519"/>
      <c r="Y38" s="500"/>
      <c r="Z38" s="1520"/>
      <c r="AA38" s="500"/>
      <c r="AB38" s="489" t="s">
        <v>652</v>
      </c>
      <c r="AC38" s="1325" t="s">
        <v>2281</v>
      </c>
      <c r="AD38" s="489" t="s">
        <v>437</v>
      </c>
      <c r="AE38" s="502">
        <f>IF(AE29=0,0,AE37/AE29*100)</f>
        <v>0</v>
      </c>
      <c r="AF38" s="502">
        <f>IF(AF29=0,0,AF37/AF29*100)</f>
        <v>0</v>
      </c>
      <c r="AG38" s="500"/>
      <c r="AH38" s="500"/>
      <c r="AI38" s="1019" t="s">
        <v>2282</v>
      </c>
    </row>
    <row s="500" customFormat="1" customHeight="1" ht="21.9375" hidden="1">
      <c r="A39" s="500"/>
      <c r="B39" s="500"/>
      <c r="C39" s="500"/>
      <c r="D39" s="500"/>
      <c r="E39" s="654">
        <v>22.5</v>
      </c>
      <c r="F39" s="50" cm="1" t="str">
        <f t="array" ref="F39:F39">OFFSET(E39,-1,1)</f>
        <v>0</v>
      </c>
      <c r="G39" s="124" t="s">
        <v>1503</v>
      </c>
      <c r="H39" s="462" t="s">
        <v>328</v>
      </c>
      <c r="I39" s="462"/>
      <c r="J39" s="462"/>
      <c r="K39" s="462"/>
      <c r="L39" s="500"/>
      <c r="M39" s="500"/>
      <c r="N39" s="500"/>
      <c r="O39" s="500"/>
      <c r="P39" s="500"/>
      <c r="Q39" s="500"/>
      <c r="R39" s="500"/>
      <c r="S39" s="500"/>
      <c r="T39" s="439" cm="1" t="str">
        <f t="array" ref="T39:T39">T38</f>
        <v>false</v>
      </c>
      <c r="U39" s="500"/>
      <c r="V39" s="500"/>
      <c r="W39" s="500"/>
      <c r="X39" s="1519"/>
      <c r="Y39" s="500"/>
      <c r="Z39" s="1520"/>
      <c r="AA39" s="500"/>
      <c r="AB39" s="489" t="s">
        <v>492</v>
      </c>
      <c r="AC39" s="1326" t="s">
        <v>2283</v>
      </c>
      <c r="AD39" s="489" t="s">
        <v>2284</v>
      </c>
      <c r="AE39" s="505">
        <f>_xlfn.SUMIFS(Баланс!$AI$25:$AI$300,Баланс!$F$25:$F$300,$F39,Баланс!$G$25:$G$300,"ПО")</f>
        <v>0</v>
      </c>
      <c r="AF39" s="505">
        <f>_xlfn.SUMIFS(Баланс!$AS$25:$AS$300,Баланс!$F$25:$F$300,$F39,Баланс!$G$25:$G$300,"ПО")</f>
        <v>0</v>
      </c>
      <c r="AG39" s="500"/>
      <c r="AH39" s="500"/>
      <c r="AI39" s="1019" t="s">
        <v>1002</v>
      </c>
    </row>
    <row s="500" customFormat="1" customHeight="1" ht="14.625" hidden="1">
      <c r="A40" s="500"/>
      <c r="B40" s="500"/>
      <c r="C40" s="500"/>
      <c r="D40" s="500"/>
      <c r="E40" s="654">
        <v>15</v>
      </c>
      <c r="F40" s="50" cm="1" t="str">
        <f t="array" ref="F40:F40">OFFSET(E40,-1,1)</f>
        <v>0</v>
      </c>
      <c r="G40" s="1327" t="s">
        <v>1530</v>
      </c>
      <c r="H40" s="462" t="s">
        <v>528</v>
      </c>
      <c r="I40" s="462"/>
      <c r="J40" s="462"/>
      <c r="K40" s="462"/>
      <c r="L40" s="500"/>
      <c r="M40" s="500"/>
      <c r="N40" s="500"/>
      <c r="O40" s="500"/>
      <c r="P40" s="500"/>
      <c r="Q40" s="500"/>
      <c r="R40" s="500"/>
      <c r="S40" s="500"/>
      <c r="T40" s="439" cm="1" t="str">
        <f t="array" ref="T40:T40">T39</f>
        <v>false</v>
      </c>
      <c r="U40" s="500"/>
      <c r="V40" s="500"/>
      <c r="W40" s="500"/>
      <c r="X40" s="1519"/>
      <c r="Y40" s="500"/>
      <c r="Z40" s="1520"/>
      <c r="AA40" s="500"/>
      <c r="AB40" s="489" t="s">
        <v>659</v>
      </c>
      <c r="AC40" s="1328" t="s">
        <v>2285</v>
      </c>
      <c r="AD40" s="489" t="s">
        <v>2284</v>
      </c>
      <c r="AE40" s="5265"/>
      <c r="AF40" s="5265"/>
      <c r="AG40" s="500"/>
      <c r="AH40" s="500"/>
      <c r="AI40" s="1019" t="s">
        <v>2286</v>
      </c>
    </row>
    <row s="500" customFormat="1" customHeight="1" ht="14.625" hidden="1">
      <c r="A41" s="500"/>
      <c r="B41" s="500"/>
      <c r="C41" s="500"/>
      <c r="D41" s="500"/>
      <c r="E41" s="654">
        <v>15</v>
      </c>
      <c r="F41" s="50" cm="1" t="str">
        <f t="array" ref="F41:F41">OFFSET(E41,-1,1)</f>
        <v>0</v>
      </c>
      <c r="G41" s="73" t="s">
        <v>1543</v>
      </c>
      <c r="H41" s="462" t="s">
        <v>532</v>
      </c>
      <c r="I41" s="462"/>
      <c r="J41" s="462"/>
      <c r="K41" s="462"/>
      <c r="L41" s="500"/>
      <c r="M41" s="500"/>
      <c r="N41" s="500"/>
      <c r="O41" s="500"/>
      <c r="P41" s="500"/>
      <c r="Q41" s="500"/>
      <c r="R41" s="500"/>
      <c r="S41" s="500"/>
      <c r="T41" s="439" cm="1" t="str">
        <f t="array" ref="T41:T41">T40</f>
        <v>false</v>
      </c>
      <c r="U41" s="500"/>
      <c r="V41" s="500"/>
      <c r="W41" s="500"/>
      <c r="X41" s="1519"/>
      <c r="Y41" s="500"/>
      <c r="Z41" s="1520"/>
      <c r="AA41" s="500"/>
      <c r="AB41" s="489" t="s">
        <v>662</v>
      </c>
      <c r="AC41" s="1116" t="s">
        <v>2287</v>
      </c>
      <c r="AD41" s="489" t="s">
        <v>2284</v>
      </c>
      <c r="AE41" s="505">
        <f>AE39-AE40</f>
        <v>0</v>
      </c>
      <c r="AF41" s="505">
        <f>AF39-AF40</f>
        <v>0</v>
      </c>
      <c r="AG41" s="500"/>
      <c r="AH41" s="500"/>
      <c r="AI41" s="1019" t="s">
        <v>2288</v>
      </c>
    </row>
    <row s="500" customFormat="1" customHeight="1" ht="14.625" hidden="1">
      <c r="A42" s="500"/>
      <c r="B42" s="500"/>
      <c r="C42" s="500"/>
      <c r="D42" s="500"/>
      <c r="E42" s="654">
        <v>15</v>
      </c>
      <c r="F42" s="50" cm="1" t="str">
        <f t="array" ref="F42:F42">OFFSET(E42,-1,1)</f>
        <v>0</v>
      </c>
      <c r="G42" s="500"/>
      <c r="H42" s="462" t="s">
        <v>491</v>
      </c>
      <c r="I42" s="462"/>
      <c r="J42" s="462"/>
      <c r="K42" s="462"/>
      <c r="L42" s="500"/>
      <c r="M42" s="500"/>
      <c r="N42" s="500"/>
      <c r="O42" s="500"/>
      <c r="P42" s="500"/>
      <c r="Q42" s="500"/>
      <c r="R42" s="500"/>
      <c r="S42" s="500"/>
      <c r="T42" s="439" cm="1" t="str">
        <f t="array" ref="T42:T42">T41</f>
        <v>false</v>
      </c>
      <c r="U42" s="500"/>
      <c r="V42" s="500"/>
      <c r="W42" s="500"/>
      <c r="X42" s="1519"/>
      <c r="Y42" s="500"/>
      <c r="Z42" s="1520"/>
      <c r="AA42" s="500"/>
      <c r="AB42" s="489" t="s">
        <v>496</v>
      </c>
      <c r="AC42" s="537" t="s">
        <v>2289</v>
      </c>
      <c r="AD42" s="489" t="s">
        <v>1494</v>
      </c>
      <c r="AE42" s="502">
        <f>IF(AE39=0,0,AE28/AE39)</f>
        <v>0</v>
      </c>
      <c r="AF42" s="502">
        <f>IF(AF39=0,0,AF28/AF39)</f>
        <v>0</v>
      </c>
      <c r="AG42" s="500"/>
      <c r="AH42" s="500"/>
      <c r="AI42" s="1019" t="s">
        <v>1049</v>
      </c>
    </row>
    <row s="500" customFormat="1" customHeight="1" ht="14.625" hidden="1">
      <c r="A43" s="500"/>
      <c r="B43" s="500"/>
      <c r="C43" s="500"/>
      <c r="D43" s="500"/>
      <c r="E43" s="654">
        <v>15</v>
      </c>
      <c r="F43" s="50" cm="1" t="str">
        <f t="array" ref="F43:F43">OFFSET(E43,-1,1)</f>
        <v>0</v>
      </c>
      <c r="G43" s="73" t="s">
        <v>1491</v>
      </c>
      <c r="H43" s="462" t="s">
        <v>675</v>
      </c>
      <c r="I43" s="462"/>
      <c r="J43" s="462"/>
      <c r="K43" s="462"/>
      <c r="L43" s="500"/>
      <c r="M43" s="500"/>
      <c r="N43" s="500"/>
      <c r="O43" s="500"/>
      <c r="P43" s="500"/>
      <c r="Q43" s="500"/>
      <c r="R43" s="500"/>
      <c r="S43" s="500"/>
      <c r="T43" s="439" cm="1" t="str">
        <f t="array" ref="T43:T43">T42</f>
        <v>false</v>
      </c>
      <c r="U43" s="500"/>
      <c r="V43" s="500"/>
      <c r="W43" s="500"/>
      <c r="X43" s="1519"/>
      <c r="Y43" s="500"/>
      <c r="Z43" s="1520"/>
      <c r="AA43" s="500"/>
      <c r="AB43" s="489" t="s">
        <v>2290</v>
      </c>
      <c r="AC43" s="1330" t="s">
        <v>2291</v>
      </c>
      <c r="AD43" s="489" t="s">
        <v>1494</v>
      </c>
      <c r="AE43" s="5256"/>
      <c r="AF43" s="5256"/>
      <c r="AG43" s="500"/>
      <c r="AH43" s="500"/>
      <c r="AI43" s="1019" t="s">
        <v>2292</v>
      </c>
    </row>
    <row s="500" customFormat="1" customHeight="1" ht="14.625" hidden="1">
      <c r="A44" s="500"/>
      <c r="B44" s="500"/>
      <c r="C44" s="500"/>
      <c r="D44" s="500"/>
      <c r="E44" s="654">
        <v>15</v>
      </c>
      <c r="F44" s="50" cm="1" t="str">
        <f t="array" ref="F44:F44">OFFSET(E44,-1,1)</f>
        <v>0</v>
      </c>
      <c r="G44" s="73" t="s">
        <v>1496</v>
      </c>
      <c r="H44" s="462" t="s">
        <v>678</v>
      </c>
      <c r="I44" s="462"/>
      <c r="J44" s="462"/>
      <c r="K44" s="462"/>
      <c r="L44" s="500"/>
      <c r="M44" s="500"/>
      <c r="N44" s="500"/>
      <c r="O44" s="500"/>
      <c r="P44" s="500"/>
      <c r="Q44" s="500"/>
      <c r="R44" s="500"/>
      <c r="S44" s="500"/>
      <c r="T44" s="439" cm="1" t="str">
        <f t="array" ref="T44:T44">T43</f>
        <v>false</v>
      </c>
      <c r="U44" s="500"/>
      <c r="V44" s="500"/>
      <c r="W44" s="500"/>
      <c r="X44" s="1519"/>
      <c r="Y44" s="500"/>
      <c r="Z44" s="1520"/>
      <c r="AA44" s="500"/>
      <c r="AB44" s="489" t="s">
        <v>2293</v>
      </c>
      <c r="AC44" s="1117" t="s">
        <v>2294</v>
      </c>
      <c r="AD44" s="489" t="s">
        <v>1494</v>
      </c>
      <c r="AE44" s="5256">
        <f>IF(AE41=0,0,(AE28-AE43*AE40)/AE41)</f>
        <v>0</v>
      </c>
      <c r="AF44" s="5256">
        <f>IF(AF41=0,0,(AF28-AF43*AF40)/AF41)</f>
        <v>0</v>
      </c>
      <c r="AG44" s="500"/>
      <c r="AH44" s="500"/>
      <c r="AI44" s="1019" t="s">
        <v>2295</v>
      </c>
    </row>
    <row customHeight="1" ht="14.625" hidden="1">
      <c r="A45" s="462"/>
      <c r="B45" s="462"/>
      <c r="C45" s="462"/>
      <c r="D45" s="462"/>
      <c r="E45" s="629">
        <v>15</v>
      </c>
      <c r="F45" s="50" cm="1" t="str">
        <f t="array" ref="F45:F45">OFFSET(E45,-1,1)</f>
        <v>0</v>
      </c>
      <c r="G45" s="462"/>
      <c r="H45" s="462" t="s">
        <v>654</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489" t="s">
        <v>549</v>
      </c>
      <c r="AC45" s="531" t="s">
        <v>2296</v>
      </c>
      <c r="AD45" s="489" t="s">
        <v>437</v>
      </c>
      <c r="AE45" s="502">
        <f>IF(AE43=0,0,AE44/AE43*100)</f>
        <v>0</v>
      </c>
      <c r="AF45" s="502">
        <f>IF(AF43=0,0,AF44/AF43*100)</f>
        <v>0</v>
      </c>
      <c r="AG45" s="462"/>
      <c r="AH45" s="462"/>
      <c r="AI45" s="1009" t="s">
        <v>2297</v>
      </c>
    </row>
    <row s="1621" customFormat="1" customHeight="1" ht="14.25">
      <c r="A46" s="462"/>
      <c r="B46" s="462"/>
      <c r="C46" s="462"/>
      <c r="D46" s="462"/>
      <c r="E46" s="629">
        <v>15</v>
      </c>
      <c r="F46" s="462" cm="1" t="str">
        <f t="array" ref="F46:F46">X46</f>
        <v>1</v>
      </c>
      <c r="G46" s="462"/>
      <c r="H46" s="462"/>
      <c r="I46" s="462"/>
      <c r="J46" s="462"/>
      <c r="K46" s="462"/>
      <c r="L46" s="462"/>
      <c r="M46" s="462"/>
      <c r="N46" s="462"/>
      <c r="O46" s="462"/>
      <c r="P46" s="462"/>
      <c r="Q46" s="462"/>
      <c r="R46" s="462"/>
      <c r="S46" s="462"/>
      <c r="T46" s="439">
        <f>X46&gt;0</f>
        <v>1</v>
      </c>
      <c r="U46" s="462"/>
      <c r="V46" s="462" cm="1" t="str">
        <f t="array" ref="V46:V46">ГО!$AB$116</f>
        <v>Тариф 1 (Водоснабжение) - тариф на техническую воду (Оказание услуг на территории: Прокопьевский муниципальный округ (ОКТМО: 32522000) - п Калачево)</v>
      </c>
      <c r="W46" s="462"/>
      <c r="X46" s="1519" t="s">
        <v>272</v>
      </c>
      <c r="Y46" s="462"/>
      <c r="Z46" s="1520"/>
      <c r="AA46" s="462"/>
      <c r="AB46" s="189" cm="1" t="str">
        <f t="array" ref="AB46:AB46">ГО!$AB$116</f>
        <v>Тариф 1 (Водоснабжение) - тариф на техническую воду (Оказание услуг на территории: Прокопьевский муниципальный округ (ОКТМО: 32522000) - п Калачево)</v>
      </c>
      <c r="AC46" s="1320"/>
      <c r="AD46" s="1321"/>
      <c r="AE46" s="1321"/>
      <c r="AF46" s="1322"/>
      <c r="AG46" s="462"/>
      <c r="AH46" s="462"/>
      <c r="AI46" s="1009"/>
    </row>
    <row s="500" customFormat="1" customHeight="1" ht="21.75">
      <c r="A47" s="500"/>
      <c r="B47" s="500"/>
      <c r="C47" s="500"/>
      <c r="D47" s="500"/>
      <c r="E47" s="654">
        <v>22.5</v>
      </c>
      <c r="F47" s="50" cm="1" t="str">
        <f t="array" ref="F47:F47">OFFSET(E47,-1,1)</f>
        <v>1</v>
      </c>
      <c r="G47" s="500"/>
      <c r="H47" s="462" t="s">
        <v>325</v>
      </c>
      <c r="I47" s="462"/>
      <c r="J47" s="462"/>
      <c r="K47" s="462"/>
      <c r="L47" s="500"/>
      <c r="M47" s="500"/>
      <c r="N47" s="500"/>
      <c r="O47" s="500"/>
      <c r="P47" s="500"/>
      <c r="Q47" s="500"/>
      <c r="R47" s="500"/>
      <c r="S47" s="500"/>
      <c r="T47" s="439" cm="1" t="str">
        <f t="array" ref="T47:T47">T46</f>
        <v>true</v>
      </c>
      <c r="U47" s="500"/>
      <c r="V47" s="500"/>
      <c r="W47" s="500"/>
      <c r="X47" s="1519"/>
      <c r="Y47" s="500"/>
      <c r="Z47" s="1520"/>
      <c r="AA47" s="500"/>
      <c r="AB47" s="489" t="s">
        <v>272</v>
      </c>
      <c r="AC47" s="506" t="s">
        <v>2264</v>
      </c>
      <c r="AD47" s="489" t="s">
        <v>784</v>
      </c>
      <c r="AE47" s="502">
        <f>(AE48+AE56)*AE54</f>
        <v>0</v>
      </c>
      <c r="AF47" s="502">
        <f>(AF48+AF56)*AF54</f>
        <v>0</v>
      </c>
      <c r="AG47" s="500"/>
      <c r="AH47" s="500"/>
      <c r="AI47" s="1019" t="s">
        <v>2265</v>
      </c>
    </row>
    <row s="1621" customFormat="1" customHeight="1" ht="21.75">
      <c r="A48" s="462"/>
      <c r="B48" s="462"/>
      <c r="C48" s="462"/>
      <c r="D48" s="462"/>
      <c r="E48" s="629">
        <v>22.5</v>
      </c>
      <c r="F48" s="50" cm="1" t="str">
        <f t="array" ref="F48:F48">OFFSET(E48,-1,1)</f>
        <v>1</v>
      </c>
      <c r="G48" s="462" t="s">
        <v>2266</v>
      </c>
      <c r="H48" s="462" t="s">
        <v>326</v>
      </c>
      <c r="I48" s="462"/>
      <c r="J48" s="462"/>
      <c r="K48" s="462" t="str">
        <f>F48&amp;G48</f>
        <v>1УТР</v>
      </c>
      <c r="L48" s="1071" cm="1" t="str">
        <f t="array" ref="L48:L48">AE48</f>
        <v>0</v>
      </c>
      <c r="M48" s="1071" cm="1" t="str">
        <f t="array" ref="M48:M48">AF48</f>
        <v>0</v>
      </c>
      <c r="N48" s="462"/>
      <c r="O48" s="462"/>
      <c r="P48" s="462"/>
      <c r="Q48" s="462"/>
      <c r="R48" s="462"/>
      <c r="S48" s="462"/>
      <c r="T48" s="439" cm="1" t="str">
        <f t="array" ref="T48:T48">T47</f>
        <v>true</v>
      </c>
      <c r="U48" s="462"/>
      <c r="V48" s="462"/>
      <c r="W48" s="462"/>
      <c r="X48" s="1519"/>
      <c r="Y48" s="462"/>
      <c r="Z48" s="1520"/>
      <c r="AA48" s="462"/>
      <c r="AB48" s="489" t="s">
        <v>283</v>
      </c>
      <c r="AC48" s="501" t="s">
        <v>988</v>
      </c>
      <c r="AD48" s="489" t="s">
        <v>980</v>
      </c>
      <c r="AE48" s="1070">
        <f>IF(AE53=0,0,(AE49-IF(_xlfn.SUMIFS('Перечень объектов'!AH$24:AH$63,'Перечень объектов'!$F$24:$F$63,$F48,'Перечень объектов'!$G$24:$G$63,"ЭЭ")&gt;0,0,AE50))/AE53)</f>
        <v>0</v>
      </c>
      <c r="AF48" s="1070">
        <f>IF(AF53=0,0,(AF49-IF(_xlfn.SUMIFS('Перечень объектов'!AI$24:AI$63,'Перечень объектов'!$F$24:$F$63,$F48,'Перечень объектов'!$G$24:$G$63,"ЭЭ")&gt;0,0,AF50))/AF53)</f>
        <v>0</v>
      </c>
      <c r="AG48" s="462"/>
      <c r="AH48" s="462"/>
      <c r="AI48" s="1009" t="s">
        <v>2267</v>
      </c>
    </row>
    <row s="1621" customFormat="1" customHeight="1" ht="32.25">
      <c r="A49" s="462"/>
      <c r="B49" s="462"/>
      <c r="C49" s="462"/>
      <c r="D49" s="462"/>
      <c r="E49" s="629">
        <v>33.75</v>
      </c>
      <c r="F49" s="50" cm="1" t="str">
        <f t="array" ref="F49:F49">OFFSET(E49,-1,1)</f>
        <v>1</v>
      </c>
      <c r="G49" s="462"/>
      <c r="H49" s="462" t="s">
        <v>459</v>
      </c>
      <c r="I49" s="462"/>
      <c r="J49" s="462"/>
      <c r="K49" s="462"/>
      <c r="L49" s="462"/>
      <c r="M49" s="462"/>
      <c r="N49" s="462"/>
      <c r="O49" s="462"/>
      <c r="P49" s="462"/>
      <c r="Q49" s="462"/>
      <c r="R49" s="462"/>
      <c r="S49" s="462"/>
      <c r="T49" s="439" cm="1" t="str">
        <f t="array" ref="T49:T49">T48</f>
        <v>true</v>
      </c>
      <c r="U49" s="462"/>
      <c r="V49" s="462"/>
      <c r="W49" s="462"/>
      <c r="X49" s="1519"/>
      <c r="Y49" s="462"/>
      <c r="Z49" s="1520"/>
      <c r="AA49" s="462"/>
      <c r="AB49" s="489" t="s">
        <v>515</v>
      </c>
      <c r="AC49" s="539" t="s">
        <v>2268</v>
      </c>
      <c r="AD49" s="489" t="s">
        <v>784</v>
      </c>
      <c r="AE49" s="509"/>
      <c r="AF49" s="502">
        <f>_xlfn.SUMIFS(ГО!AE$25:AE$294,ГО!$F$25:$F$294,$F49,ГО!$G$25:$G$294,"Итог")*(1+AF51/100)*(1+AF52/100)</f>
        <v>0</v>
      </c>
      <c r="AG49" s="462"/>
      <c r="AH49" s="462"/>
      <c r="AI49" s="1009" t="s">
        <v>2269</v>
      </c>
    </row>
    <row s="500" customFormat="1" customHeight="1" ht="14.25">
      <c r="A50" s="500"/>
      <c r="B50" s="500"/>
      <c r="C50" s="500"/>
      <c r="D50" s="500"/>
      <c r="E50" s="654">
        <v>15</v>
      </c>
      <c r="F50" s="50" cm="1" t="str">
        <f t="array" ref="F50:F50">OFFSET(E50,-1,1)</f>
        <v>1</v>
      </c>
      <c r="G50" s="500"/>
      <c r="H50" s="462" t="s">
        <v>1445</v>
      </c>
      <c r="I50" s="462"/>
      <c r="J50" s="462"/>
      <c r="K50" s="462"/>
      <c r="L50" s="500"/>
      <c r="M50" s="500"/>
      <c r="N50" s="500"/>
      <c r="O50" s="500"/>
      <c r="P50" s="500"/>
      <c r="Q50" s="500"/>
      <c r="R50" s="500"/>
      <c r="S50" s="500"/>
      <c r="T50" s="439" cm="1" t="str">
        <f t="array" ref="T50:T50">T49</f>
        <v>true</v>
      </c>
      <c r="U50" s="500"/>
      <c r="V50" s="500"/>
      <c r="W50" s="500"/>
      <c r="X50" s="1519"/>
      <c r="Y50" s="500"/>
      <c r="Z50" s="1520"/>
      <c r="AA50" s="500"/>
      <c r="AB50" s="489" t="s">
        <v>467</v>
      </c>
      <c r="AC50" s="1323" t="s">
        <v>2270</v>
      </c>
      <c r="AD50" s="489" t="s">
        <v>784</v>
      </c>
      <c r="AE50" s="509"/>
      <c r="AF50" s="502">
        <f>_xlfn.SUMIFS(ГО!AE$25:AE$294,ГО!$F$25:$F$294,$F50,ГО!$G$25:$G$294,"ЭЭ")*(1+AF51/100)*(1+AF52/100)</f>
        <v>0</v>
      </c>
      <c r="AG50" s="500"/>
      <c r="AH50" s="500"/>
      <c r="AI50" s="1019" t="s">
        <v>1598</v>
      </c>
    </row>
    <row s="500" customFormat="1" customHeight="1" ht="14.25">
      <c r="A51" s="500"/>
      <c r="B51" s="500"/>
      <c r="C51" s="500"/>
      <c r="D51" s="500"/>
      <c r="E51" s="654">
        <v>15</v>
      </c>
      <c r="F51" s="50" cm="1" t="str">
        <f t="array" ref="F51:F51">OFFSET(E51,-1,1)</f>
        <v>1</v>
      </c>
      <c r="G51" s="500"/>
      <c r="H51" s="462" t="s">
        <v>462</v>
      </c>
      <c r="I51" s="462"/>
      <c r="J51" s="462"/>
      <c r="K51" s="462"/>
      <c r="L51" s="500"/>
      <c r="M51" s="500"/>
      <c r="N51" s="500"/>
      <c r="O51" s="500"/>
      <c r="P51" s="500"/>
      <c r="Q51" s="500"/>
      <c r="R51" s="500"/>
      <c r="S51" s="500"/>
      <c r="T51" s="439" cm="1" t="str">
        <f t="array" ref="T51:T51">T50</f>
        <v>true</v>
      </c>
      <c r="U51" s="500"/>
      <c r="V51" s="500"/>
      <c r="W51" s="500"/>
      <c r="X51" s="1519"/>
      <c r="Y51" s="500"/>
      <c r="Z51" s="1520"/>
      <c r="AA51" s="500"/>
      <c r="AB51" s="489" t="s">
        <v>519</v>
      </c>
      <c r="AC51" s="539" t="str">
        <f>"индекс потребительских цен на "&amp;god-1&amp;" год"</f>
        <v>индекс потребительских цен на 2025 год</v>
      </c>
      <c r="AD51" s="489" t="s">
        <v>437</v>
      </c>
      <c r="AE51" s="509"/>
      <c r="AF51" s="509"/>
      <c r="AG51" s="500"/>
      <c r="AH51" s="500"/>
      <c r="AI51" s="1019" t="s">
        <v>2271</v>
      </c>
    </row>
    <row s="500" customFormat="1" customHeight="1" ht="14.25">
      <c r="A52" s="500"/>
      <c r="B52" s="500"/>
      <c r="C52" s="500"/>
      <c r="D52" s="500"/>
      <c r="E52" s="654">
        <v>15</v>
      </c>
      <c r="F52" s="50" cm="1" t="str">
        <f t="array" ref="F52:F52">OFFSET(E52,-1,1)</f>
        <v>1</v>
      </c>
      <c r="G52" s="500"/>
      <c r="H52" s="462" t="s">
        <v>865</v>
      </c>
      <c r="I52" s="462"/>
      <c r="J52" s="462"/>
      <c r="K52" s="462"/>
      <c r="L52" s="500"/>
      <c r="M52" s="500"/>
      <c r="N52" s="500"/>
      <c r="O52" s="500"/>
      <c r="P52" s="500"/>
      <c r="Q52" s="500"/>
      <c r="R52" s="500"/>
      <c r="S52" s="500"/>
      <c r="T52" s="439" cm="1" t="str">
        <f t="array" ref="T52:T52">T51</f>
        <v>true</v>
      </c>
      <c r="U52" s="500"/>
      <c r="V52" s="500"/>
      <c r="W52" s="500"/>
      <c r="X52" s="1519"/>
      <c r="Y52" s="500"/>
      <c r="Z52" s="1520"/>
      <c r="AA52" s="500"/>
      <c r="AB52" s="489" t="s">
        <v>523</v>
      </c>
      <c r="AC52" s="539" t="str">
        <f>"индекс потребительских цен на "&amp;god&amp;" год"</f>
        <v>индекс потребительских цен на 2026 год</v>
      </c>
      <c r="AD52" s="489" t="s">
        <v>437</v>
      </c>
      <c r="AE52" s="509"/>
      <c r="AF52" s="509"/>
      <c r="AG52" s="500"/>
      <c r="AH52" s="500"/>
      <c r="AI52" s="1019" t="s">
        <v>2272</v>
      </c>
    </row>
    <row s="500" customFormat="1" customHeight="1" ht="21.75">
      <c r="A53" s="500"/>
      <c r="B53" s="500"/>
      <c r="C53" s="500"/>
      <c r="D53" s="500"/>
      <c r="E53" s="654">
        <v>22.5</v>
      </c>
      <c r="F53" s="50" cm="1" t="str">
        <f t="array" ref="F53:F53">OFFSET(E53,-1,1)</f>
        <v>1</v>
      </c>
      <c r="G53" s="500"/>
      <c r="H53" s="462" t="s">
        <v>867</v>
      </c>
      <c r="I53" s="462"/>
      <c r="J53" s="462"/>
      <c r="K53" s="462"/>
      <c r="L53" s="500"/>
      <c r="M53" s="500"/>
      <c r="N53" s="500"/>
      <c r="O53" s="500"/>
      <c r="P53" s="500"/>
      <c r="Q53" s="500"/>
      <c r="R53" s="500"/>
      <c r="S53" s="500"/>
      <c r="T53" s="439" cm="1" t="str">
        <f t="array" ref="T53:T53">T52</f>
        <v>true</v>
      </c>
      <c r="U53" s="500"/>
      <c r="V53" s="500"/>
      <c r="W53" s="500"/>
      <c r="X53" s="1519"/>
      <c r="Y53" s="500"/>
      <c r="Z53" s="1520"/>
      <c r="AA53" s="500"/>
      <c r="AB53" s="489" t="s">
        <v>868</v>
      </c>
      <c r="AC53" s="539" t="s">
        <v>2273</v>
      </c>
      <c r="AD53" s="489" t="s">
        <v>776</v>
      </c>
      <c r="AE53" s="509"/>
      <c r="AF53" s="509"/>
      <c r="AG53" s="500"/>
      <c r="AH53" s="500"/>
      <c r="AI53" s="1019" t="s">
        <v>2274</v>
      </c>
    </row>
    <row s="500" customFormat="1" customHeight="1" ht="14.25">
      <c r="A54" s="500"/>
      <c r="B54" s="500"/>
      <c r="C54" s="500"/>
      <c r="D54" s="500"/>
      <c r="E54" s="654">
        <v>15</v>
      </c>
      <c r="F54" s="50" cm="1" t="str">
        <f t="array" ref="F54:F54">OFFSET(E54,-1,1)</f>
        <v>1</v>
      </c>
      <c r="G54" s="500"/>
      <c r="H54" s="462" t="s">
        <v>327</v>
      </c>
      <c r="I54" s="462"/>
      <c r="J54" s="462"/>
      <c r="K54" s="462"/>
      <c r="L54" s="500"/>
      <c r="M54" s="500"/>
      <c r="N54" s="500"/>
      <c r="O54" s="500"/>
      <c r="P54" s="500"/>
      <c r="Q54" s="500"/>
      <c r="R54" s="500"/>
      <c r="S54" s="500"/>
      <c r="T54" s="439" cm="1" t="str">
        <f t="array" ref="T54:T54">T53</f>
        <v>true</v>
      </c>
      <c r="U54" s="500"/>
      <c r="V54" s="500"/>
      <c r="W54" s="500"/>
      <c r="X54" s="1519"/>
      <c r="Y54" s="500"/>
      <c r="Z54" s="1520"/>
      <c r="AA54" s="500"/>
      <c r="AB54" s="489" t="s">
        <v>323</v>
      </c>
      <c r="AC54" s="1324" t="s">
        <v>2275</v>
      </c>
      <c r="AD54" s="489" t="s">
        <v>776</v>
      </c>
      <c r="AE54" s="505">
        <f>_xlfn.SUMIFS('Условные метры'!AL$27:AL$38,'Условные метры'!$F$27:$F$38,$F54,'Условные метры'!$G$27:$G$38,"Итог")</f>
        <v>0</v>
      </c>
      <c r="AF54" s="505">
        <f>_xlfn.SUMIFS('Условные метры'!AN$27:AN$38,'Условные метры'!$F$27:$F$38,$F54,'Условные метры'!$G$27:$G$38,"Итог")</f>
        <v>0</v>
      </c>
      <c r="AG54" s="500"/>
      <c r="AH54" s="500"/>
      <c r="AI54" s="1019" t="s">
        <v>2276</v>
      </c>
    </row>
    <row s="500" customFormat="1" customHeight="1" ht="14.25">
      <c r="A55" s="500"/>
      <c r="B55" s="500"/>
      <c r="C55" s="500"/>
      <c r="D55" s="500"/>
      <c r="E55" s="654">
        <v>15</v>
      </c>
      <c r="F55" s="50" cm="1" t="str">
        <f t="array" ref="F55:F55">OFFSET(E55,-1,1)</f>
        <v>1</v>
      </c>
      <c r="G55" s="500"/>
      <c r="H55" s="462" t="s">
        <v>875</v>
      </c>
      <c r="I55" s="462"/>
      <c r="J55" s="462"/>
      <c r="K55" s="462"/>
      <c r="L55" s="500"/>
      <c r="M55" s="500"/>
      <c r="N55" s="500"/>
      <c r="O55" s="500"/>
      <c r="P55" s="500"/>
      <c r="Q55" s="500"/>
      <c r="R55" s="500"/>
      <c r="S55" s="500"/>
      <c r="T55" s="439" cm="1" t="str">
        <f t="array" ref="T55:T55">T54</f>
        <v>true</v>
      </c>
      <c r="U55" s="500"/>
      <c r="V55" s="500"/>
      <c r="W55" s="500"/>
      <c r="X55" s="1519"/>
      <c r="Y55" s="500"/>
      <c r="Z55" s="1520"/>
      <c r="AA55" s="500"/>
      <c r="AB55" s="489" t="s">
        <v>529</v>
      </c>
      <c r="AC55" s="539" t="s">
        <v>2277</v>
      </c>
      <c r="AD55" s="489" t="s">
        <v>381</v>
      </c>
      <c r="AE55" s="505">
        <f>_xlfn.SUMIFS('Условные метры'!AK$27:AK$38,'Условные метры'!$F$27:$F$38,$F55,'Условные метры'!$G$27:$G$38,"Итог")</f>
        <v>0</v>
      </c>
      <c r="AF55" s="505">
        <f>_xlfn.SUMIFS('Условные метры'!AM$27:AM$38,'Условные метры'!$F$27:$F$38,$F55,'Условные метры'!$G$27:$G$38,"Итог")</f>
        <v>0</v>
      </c>
      <c r="AG55" s="500"/>
      <c r="AH55" s="500"/>
      <c r="AI55" s="1019" t="s">
        <v>2278</v>
      </c>
    </row>
    <row s="500" customFormat="1" customHeight="1" ht="14.25">
      <c r="A56" s="500"/>
      <c r="B56" s="500"/>
      <c r="C56" s="500"/>
      <c r="D56" s="500"/>
      <c r="E56" s="654">
        <v>15</v>
      </c>
      <c r="F56" s="50" cm="1" t="str">
        <f t="array" ref="F56:F56">OFFSET(E56,-1,1)</f>
        <v>1</v>
      </c>
      <c r="G56" s="500"/>
      <c r="H56" s="462" t="s">
        <v>329</v>
      </c>
      <c r="I56" s="462"/>
      <c r="J56" s="462"/>
      <c r="K56" s="462"/>
      <c r="L56" s="500"/>
      <c r="M56" s="500"/>
      <c r="N56" s="500"/>
      <c r="O56" s="500"/>
      <c r="P56" s="500"/>
      <c r="Q56" s="500"/>
      <c r="R56" s="500"/>
      <c r="S56" s="500"/>
      <c r="T56" s="439" cm="1" t="str">
        <f t="array" ref="T56:T56">T55</f>
        <v>true</v>
      </c>
      <c r="U56" s="500"/>
      <c r="V56" s="500"/>
      <c r="W56" s="500"/>
      <c r="X56" s="1519"/>
      <c r="Y56" s="500"/>
      <c r="Z56" s="1520"/>
      <c r="AA56" s="500"/>
      <c r="AB56" s="489" t="s">
        <v>536</v>
      </c>
      <c r="AC56" s="538" t="s">
        <v>2279</v>
      </c>
      <c r="AD56" s="489" t="s">
        <v>980</v>
      </c>
      <c r="AE56" s="505">
        <f>_xlfn.SUMIFS('Амортизация (аналог)'!AE$25:AE$48,'Амортизация (аналог)'!$F$25:$F$48,$F56,'Амортизация (аналог)'!$AB$25:$AB$48,"2")</f>
        <v>0</v>
      </c>
      <c r="AF56" s="505">
        <f>_xlfn.SUMIFS('Амортизация (аналог)'!AF$25:AF$48,'Амортизация (аналог)'!$F$25:$F$48,$F56,'Амортизация (аналог)'!$AB$25:$AB$48,"2")</f>
        <v>0</v>
      </c>
      <c r="AG56" s="500"/>
      <c r="AH56" s="500"/>
      <c r="AI56" s="1019" t="s">
        <v>2280</v>
      </c>
    </row>
    <row s="500" customFormat="1" customHeight="1" ht="14.25">
      <c r="A57" s="500"/>
      <c r="B57" s="500"/>
      <c r="C57" s="500"/>
      <c r="D57" s="500"/>
      <c r="E57" s="654">
        <v>15</v>
      </c>
      <c r="F57" s="50" cm="1" t="str">
        <f t="array" ref="F57:F57">OFFSET(E57,-1,1)</f>
        <v>1</v>
      </c>
      <c r="G57" s="500"/>
      <c r="H57" s="462" t="s">
        <v>514</v>
      </c>
      <c r="I57" s="462"/>
      <c r="J57" s="462"/>
      <c r="K57" s="462"/>
      <c r="L57" s="500"/>
      <c r="M57" s="500"/>
      <c r="N57" s="500"/>
      <c r="O57" s="500"/>
      <c r="P57" s="500"/>
      <c r="Q57" s="500"/>
      <c r="R57" s="500"/>
      <c r="S57" s="500"/>
      <c r="T57" s="439" cm="1" t="str">
        <f t="array" ref="T57:T57">T56</f>
        <v>true</v>
      </c>
      <c r="U57" s="500"/>
      <c r="V57" s="500"/>
      <c r="W57" s="500"/>
      <c r="X57" s="1519"/>
      <c r="Y57" s="500"/>
      <c r="Z57" s="1520"/>
      <c r="AA57" s="500"/>
      <c r="AB57" s="489" t="s">
        <v>652</v>
      </c>
      <c r="AC57" s="1325" t="s">
        <v>2281</v>
      </c>
      <c r="AD57" s="489" t="s">
        <v>437</v>
      </c>
      <c r="AE57" s="502">
        <f>IF(AE48=0,0,AE56/AE48*100)</f>
        <v>0</v>
      </c>
      <c r="AF57" s="502">
        <f>IF(AF48=0,0,AF56/AF48*100)</f>
        <v>0</v>
      </c>
      <c r="AG57" s="500"/>
      <c r="AH57" s="500"/>
      <c r="AI57" s="1019" t="s">
        <v>2282</v>
      </c>
    </row>
    <row s="500" customFormat="1" customHeight="1" ht="21.75">
      <c r="A58" s="500"/>
      <c r="B58" s="500"/>
      <c r="C58" s="500"/>
      <c r="D58" s="500"/>
      <c r="E58" s="654">
        <v>22.5</v>
      </c>
      <c r="F58" s="50" cm="1" t="str">
        <f t="array" ref="F58:F58">OFFSET(E58,-1,1)</f>
        <v>1</v>
      </c>
      <c r="G58" s="124" t="s">
        <v>1503</v>
      </c>
      <c r="H58" s="462" t="s">
        <v>328</v>
      </c>
      <c r="I58" s="462"/>
      <c r="J58" s="462"/>
      <c r="K58" s="462"/>
      <c r="L58" s="500"/>
      <c r="M58" s="500"/>
      <c r="N58" s="500"/>
      <c r="O58" s="500"/>
      <c r="P58" s="500"/>
      <c r="Q58" s="500"/>
      <c r="R58" s="500"/>
      <c r="S58" s="500"/>
      <c r="T58" s="439" cm="1" t="str">
        <f t="array" ref="T58:T58">T57</f>
        <v>true</v>
      </c>
      <c r="U58" s="500"/>
      <c r="V58" s="500"/>
      <c r="W58" s="500"/>
      <c r="X58" s="1519"/>
      <c r="Y58" s="500"/>
      <c r="Z58" s="1520"/>
      <c r="AA58" s="500"/>
      <c r="AB58" s="489" t="s">
        <v>492</v>
      </c>
      <c r="AC58" s="1326" t="s">
        <v>2283</v>
      </c>
      <c r="AD58" s="489" t="s">
        <v>2284</v>
      </c>
      <c r="AE58" s="505">
        <f>_xlfn.SUMIFS(Баланс!$AI$25:$AI$300,Баланс!$F$25:$F$300,$F58,Баланс!$G$25:$G$300,"ПО")</f>
        <v>147.98</v>
      </c>
      <c r="AF58" s="505">
        <f>_xlfn.SUMIFS(Баланс!$AS$25:$AS$300,Баланс!$F$25:$F$300,$F58,Баланс!$G$25:$G$300,"ПО")</f>
        <v>163.933</v>
      </c>
      <c r="AG58" s="500"/>
      <c r="AH58" s="500"/>
      <c r="AI58" s="1019" t="s">
        <v>1002</v>
      </c>
    </row>
    <row s="500" customFormat="1" customHeight="1" ht="14.25">
      <c r="A59" s="500"/>
      <c r="B59" s="500"/>
      <c r="C59" s="500"/>
      <c r="D59" s="500"/>
      <c r="E59" s="654">
        <v>15</v>
      </c>
      <c r="F59" s="50" cm="1" t="str">
        <f t="array" ref="F59:F59">OFFSET(E59,-1,1)</f>
        <v>1</v>
      </c>
      <c r="G59" s="1327" t="s">
        <v>1530</v>
      </c>
      <c r="H59" s="462" t="s">
        <v>528</v>
      </c>
      <c r="I59" s="462"/>
      <c r="J59" s="462"/>
      <c r="K59" s="462"/>
      <c r="L59" s="500"/>
      <c r="M59" s="500"/>
      <c r="N59" s="500"/>
      <c r="O59" s="500"/>
      <c r="P59" s="500"/>
      <c r="Q59" s="500"/>
      <c r="R59" s="500"/>
      <c r="S59" s="500"/>
      <c r="T59" s="439" cm="1" t="str">
        <f t="array" ref="T59:T59">T58</f>
        <v>true</v>
      </c>
      <c r="U59" s="500"/>
      <c r="V59" s="500"/>
      <c r="W59" s="500"/>
      <c r="X59" s="1519"/>
      <c r="Y59" s="500"/>
      <c r="Z59" s="1520"/>
      <c r="AA59" s="500"/>
      <c r="AB59" s="489" t="s">
        <v>659</v>
      </c>
      <c r="AC59" s="1328" t="s">
        <v>2285</v>
      </c>
      <c r="AD59" s="489" t="s">
        <v>2284</v>
      </c>
      <c r="AE59" s="1329"/>
      <c r="AF59" s="1329"/>
      <c r="AG59" s="500"/>
      <c r="AH59" s="500"/>
      <c r="AI59" s="1019" t="s">
        <v>2286</v>
      </c>
    </row>
    <row s="500" customFormat="1" customHeight="1" ht="14.25">
      <c r="A60" s="500"/>
      <c r="B60" s="500"/>
      <c r="C60" s="500"/>
      <c r="D60" s="500"/>
      <c r="E60" s="654">
        <v>15</v>
      </c>
      <c r="F60" s="50" cm="1" t="str">
        <f t="array" ref="F60:F60">OFFSET(E60,-1,1)</f>
        <v>1</v>
      </c>
      <c r="G60" s="73" t="s">
        <v>1543</v>
      </c>
      <c r="H60" s="462" t="s">
        <v>532</v>
      </c>
      <c r="I60" s="462"/>
      <c r="J60" s="462"/>
      <c r="K60" s="462"/>
      <c r="L60" s="500"/>
      <c r="M60" s="500"/>
      <c r="N60" s="500"/>
      <c r="O60" s="500"/>
      <c r="P60" s="500"/>
      <c r="Q60" s="500"/>
      <c r="R60" s="500"/>
      <c r="S60" s="500"/>
      <c r="T60" s="439" cm="1" t="str">
        <f t="array" ref="T60:T60">T59</f>
        <v>true</v>
      </c>
      <c r="U60" s="500"/>
      <c r="V60" s="500"/>
      <c r="W60" s="500"/>
      <c r="X60" s="1519"/>
      <c r="Y60" s="500"/>
      <c r="Z60" s="1520"/>
      <c r="AA60" s="500"/>
      <c r="AB60" s="489" t="s">
        <v>662</v>
      </c>
      <c r="AC60" s="1116" t="s">
        <v>2287</v>
      </c>
      <c r="AD60" s="489" t="s">
        <v>2284</v>
      </c>
      <c r="AE60" s="505">
        <f>AE58-AE59</f>
        <v>147.98</v>
      </c>
      <c r="AF60" s="505">
        <f>AF58-AF59</f>
        <v>163.933</v>
      </c>
      <c r="AG60" s="500"/>
      <c r="AH60" s="500"/>
      <c r="AI60" s="1019" t="s">
        <v>2288</v>
      </c>
    </row>
    <row s="500" customFormat="1" customHeight="1" ht="14.25">
      <c r="A61" s="500"/>
      <c r="B61" s="500"/>
      <c r="C61" s="500"/>
      <c r="D61" s="500"/>
      <c r="E61" s="654">
        <v>15</v>
      </c>
      <c r="F61" s="50" cm="1" t="str">
        <f t="array" ref="F61:F61">OFFSET(E61,-1,1)</f>
        <v>1</v>
      </c>
      <c r="G61" s="500"/>
      <c r="H61" s="462" t="s">
        <v>491</v>
      </c>
      <c r="I61" s="462"/>
      <c r="J61" s="462"/>
      <c r="K61" s="462"/>
      <c r="L61" s="500"/>
      <c r="M61" s="500"/>
      <c r="N61" s="500"/>
      <c r="O61" s="500"/>
      <c r="P61" s="500"/>
      <c r="Q61" s="500"/>
      <c r="R61" s="500"/>
      <c r="S61" s="500"/>
      <c r="T61" s="439" cm="1" t="str">
        <f t="array" ref="T61:T61">T60</f>
        <v>true</v>
      </c>
      <c r="U61" s="500"/>
      <c r="V61" s="500"/>
      <c r="W61" s="500"/>
      <c r="X61" s="1519"/>
      <c r="Y61" s="500"/>
      <c r="Z61" s="1520"/>
      <c r="AA61" s="500"/>
      <c r="AB61" s="489" t="s">
        <v>496</v>
      </c>
      <c r="AC61" s="537" t="s">
        <v>2289</v>
      </c>
      <c r="AD61" s="489" t="s">
        <v>1494</v>
      </c>
      <c r="AE61" s="502">
        <f>IF(AE58=0,0,AE47/AE58)</f>
        <v>0</v>
      </c>
      <c r="AF61" s="502">
        <f>IF(AF58=0,0,AF47/AF58)</f>
        <v>0</v>
      </c>
      <c r="AG61" s="500"/>
      <c r="AH61" s="500"/>
      <c r="AI61" s="1019" t="s">
        <v>1049</v>
      </c>
    </row>
    <row s="500" customFormat="1" customHeight="1" ht="14.25">
      <c r="A62" s="500"/>
      <c r="B62" s="500"/>
      <c r="C62" s="500"/>
      <c r="D62" s="500"/>
      <c r="E62" s="654">
        <v>15</v>
      </c>
      <c r="F62" s="50" cm="1" t="str">
        <f t="array" ref="F62:F62">OFFSET(E62,-1,1)</f>
        <v>1</v>
      </c>
      <c r="G62" s="73" t="s">
        <v>1491</v>
      </c>
      <c r="H62" s="462" t="s">
        <v>675</v>
      </c>
      <c r="I62" s="462"/>
      <c r="J62" s="462"/>
      <c r="K62" s="462"/>
      <c r="L62" s="500"/>
      <c r="M62" s="500"/>
      <c r="N62" s="500"/>
      <c r="O62" s="500"/>
      <c r="P62" s="500"/>
      <c r="Q62" s="500"/>
      <c r="R62" s="500"/>
      <c r="S62" s="500"/>
      <c r="T62" s="439" cm="1" t="str">
        <f t="array" ref="T62:T62">T61</f>
        <v>true</v>
      </c>
      <c r="U62" s="500"/>
      <c r="V62" s="500"/>
      <c r="W62" s="500"/>
      <c r="X62" s="1519"/>
      <c r="Y62" s="500"/>
      <c r="Z62" s="1520"/>
      <c r="AA62" s="500"/>
      <c r="AB62" s="489" t="s">
        <v>2290</v>
      </c>
      <c r="AC62" s="1330" t="s">
        <v>2291</v>
      </c>
      <c r="AD62" s="489" t="s">
        <v>1494</v>
      </c>
      <c r="AE62" s="509"/>
      <c r="AF62" s="509"/>
      <c r="AG62" s="500"/>
      <c r="AH62" s="500"/>
      <c r="AI62" s="1019" t="s">
        <v>2292</v>
      </c>
    </row>
    <row s="500" customFormat="1" customHeight="1" ht="14.25">
      <c r="A63" s="500"/>
      <c r="B63" s="500"/>
      <c r="C63" s="500"/>
      <c r="D63" s="500"/>
      <c r="E63" s="654">
        <v>15</v>
      </c>
      <c r="F63" s="50" cm="1" t="str">
        <f t="array" ref="F63:F63">OFFSET(E63,-1,1)</f>
        <v>1</v>
      </c>
      <c r="G63" s="73" t="s">
        <v>1496</v>
      </c>
      <c r="H63" s="462" t="s">
        <v>678</v>
      </c>
      <c r="I63" s="462"/>
      <c r="J63" s="462"/>
      <c r="K63" s="462"/>
      <c r="L63" s="500"/>
      <c r="M63" s="500"/>
      <c r="N63" s="500"/>
      <c r="O63" s="500"/>
      <c r="P63" s="500"/>
      <c r="Q63" s="500"/>
      <c r="R63" s="500"/>
      <c r="S63" s="500"/>
      <c r="T63" s="439" cm="1" t="str">
        <f t="array" ref="T63:T63">T62</f>
        <v>true</v>
      </c>
      <c r="U63" s="500"/>
      <c r="V63" s="500"/>
      <c r="W63" s="500"/>
      <c r="X63" s="1519"/>
      <c r="Y63" s="500"/>
      <c r="Z63" s="1520"/>
      <c r="AA63" s="500"/>
      <c r="AB63" s="489" t="s">
        <v>2293</v>
      </c>
      <c r="AC63" s="1117" t="s">
        <v>2294</v>
      </c>
      <c r="AD63" s="489" t="s">
        <v>1494</v>
      </c>
      <c r="AE63" s="509">
        <f>IF(AE60=0,0,(AE47-AE62*AE59)/AE60)</f>
        <v>0</v>
      </c>
      <c r="AF63" s="509">
        <f>IF(AF60=0,0,(AF47-AF62*AF59)/AF60)</f>
        <v>0</v>
      </c>
      <c r="AG63" s="500"/>
      <c r="AH63" s="500"/>
      <c r="AI63" s="1019" t="s">
        <v>2295</v>
      </c>
    </row>
    <row s="1621" customFormat="1" customHeight="1" ht="14.25">
      <c r="A64" s="462"/>
      <c r="B64" s="462"/>
      <c r="C64" s="462"/>
      <c r="D64" s="462"/>
      <c r="E64" s="629">
        <v>15</v>
      </c>
      <c r="F64" s="50" cm="1" t="str">
        <f t="array" ref="F64:F64">OFFSET(E64,-1,1)</f>
        <v>1</v>
      </c>
      <c r="G64" s="462"/>
      <c r="H64" s="462" t="s">
        <v>654</v>
      </c>
      <c r="I64" s="462"/>
      <c r="J64" s="462"/>
      <c r="K64" s="462"/>
      <c r="L64" s="462"/>
      <c r="M64" s="462"/>
      <c r="N64" s="462"/>
      <c r="O64" s="462"/>
      <c r="P64" s="462"/>
      <c r="Q64" s="462"/>
      <c r="R64" s="462"/>
      <c r="S64" s="462"/>
      <c r="T64" s="439" cm="1" t="str">
        <f t="array" ref="T64:T64">T63</f>
        <v>true</v>
      </c>
      <c r="U64" s="462"/>
      <c r="V64" s="462"/>
      <c r="W64" s="462"/>
      <c r="X64" s="1519"/>
      <c r="Y64" s="462"/>
      <c r="Z64" s="1520"/>
      <c r="AA64" s="462"/>
      <c r="AB64" s="489" t="s">
        <v>549</v>
      </c>
      <c r="AC64" s="531" t="s">
        <v>2296</v>
      </c>
      <c r="AD64" s="489" t="s">
        <v>437</v>
      </c>
      <c r="AE64" s="502">
        <f>IF(AE62=0,0,AE63/AE62*100)</f>
        <v>0</v>
      </c>
      <c r="AF64" s="502">
        <f>IF(AF62=0,0,AF63/AF62*100)</f>
        <v>0</v>
      </c>
      <c r="AG64" s="462"/>
      <c r="AH64" s="462"/>
      <c r="AI64" s="1009" t="s">
        <v>2297</v>
      </c>
    </row>
    <row s="1621" customFormat="1" customHeight="1" ht="14.25">
      <c r="A65" s="462"/>
      <c r="B65" s="462"/>
      <c r="C65" s="462"/>
      <c r="D65" s="462"/>
      <c r="E65" s="629">
        <v>15</v>
      </c>
      <c r="F65" s="462" cm="1" t="str">
        <f t="array" ref="F65:F65">X65</f>
        <v>2</v>
      </c>
      <c r="G65" s="462"/>
      <c r="H65" s="462"/>
      <c r="I65" s="462"/>
      <c r="J65" s="462"/>
      <c r="K65" s="462"/>
      <c r="L65" s="462"/>
      <c r="M65" s="462"/>
      <c r="N65" s="462"/>
      <c r="O65" s="462"/>
      <c r="P65" s="462"/>
      <c r="Q65" s="462"/>
      <c r="R65" s="462"/>
      <c r="S65" s="462"/>
      <c r="T65" s="439">
        <f>X65&gt;0</f>
        <v>1</v>
      </c>
      <c r="U65" s="462"/>
      <c r="V65" s="462" cm="1" t="str">
        <f t="array" ref="V65:V65">ГО!$AB$205</f>
        <v>Тариф 2 (Водоотведение) - тариф на водоотведение (Оказание услуг на территории: Прокопьевский муниципальный округ (ОКТМО: 32522000) - п Калачево)</v>
      </c>
      <c r="W65" s="462"/>
      <c r="X65" s="1519" t="s">
        <v>283</v>
      </c>
      <c r="Y65" s="462"/>
      <c r="Z65" s="1520"/>
      <c r="AA65" s="462"/>
      <c r="AB65" s="189" cm="1" t="str">
        <f t="array" ref="AB65:AB65">ГО!$AB$205</f>
        <v>Тариф 2 (Водоотведение) - тариф на водоотведение (Оказание услуг на территории: Прокопьевский муниципальный округ (ОКТМО: 32522000) - п Калачево)</v>
      </c>
      <c r="AC65" s="1320"/>
      <c r="AD65" s="1321"/>
      <c r="AE65" s="1321"/>
      <c r="AF65" s="1322"/>
      <c r="AG65" s="462"/>
      <c r="AH65" s="462"/>
      <c r="AI65" s="1009"/>
    </row>
    <row s="500" customFormat="1" customHeight="1" ht="21.75">
      <c r="A66" s="500"/>
      <c r="B66" s="500"/>
      <c r="C66" s="500"/>
      <c r="D66" s="500"/>
      <c r="E66" s="654">
        <v>22.5</v>
      </c>
      <c r="F66" s="50" cm="1" t="str">
        <f t="array" ref="F66:F66">OFFSET(E66,-1,1)</f>
        <v>2</v>
      </c>
      <c r="G66" s="500"/>
      <c r="H66" s="462" t="s">
        <v>325</v>
      </c>
      <c r="I66" s="462"/>
      <c r="J66" s="462"/>
      <c r="K66" s="462"/>
      <c r="L66" s="500"/>
      <c r="M66" s="500"/>
      <c r="N66" s="500"/>
      <c r="O66" s="500"/>
      <c r="P66" s="500"/>
      <c r="Q66" s="500"/>
      <c r="R66" s="500"/>
      <c r="S66" s="500"/>
      <c r="T66" s="439" cm="1" t="str">
        <f t="array" ref="T66:T66">T65</f>
        <v>true</v>
      </c>
      <c r="U66" s="500"/>
      <c r="V66" s="500"/>
      <c r="W66" s="500"/>
      <c r="X66" s="1519"/>
      <c r="Y66" s="500"/>
      <c r="Z66" s="1520"/>
      <c r="AA66" s="500"/>
      <c r="AB66" s="489" t="s">
        <v>272</v>
      </c>
      <c r="AC66" s="506" t="s">
        <v>2264</v>
      </c>
      <c r="AD66" s="489" t="s">
        <v>784</v>
      </c>
      <c r="AE66" s="502">
        <f>(AE67+AE75)*AE73</f>
        <v>0</v>
      </c>
      <c r="AF66" s="502">
        <f>(AF67+AF75)*AF73</f>
        <v>0</v>
      </c>
      <c r="AG66" s="500"/>
      <c r="AH66" s="500"/>
      <c r="AI66" s="1019" t="s">
        <v>2265</v>
      </c>
    </row>
    <row s="1621" customFormat="1" customHeight="1" ht="21.75">
      <c r="A67" s="462"/>
      <c r="B67" s="462"/>
      <c r="C67" s="462"/>
      <c r="D67" s="462"/>
      <c r="E67" s="629">
        <v>22.5</v>
      </c>
      <c r="F67" s="50" cm="1" t="str">
        <f t="array" ref="F67:F67">OFFSET(E67,-1,1)</f>
        <v>2</v>
      </c>
      <c r="G67" s="462" t="s">
        <v>2266</v>
      </c>
      <c r="H67" s="462" t="s">
        <v>326</v>
      </c>
      <c r="I67" s="462"/>
      <c r="J67" s="462"/>
      <c r="K67" s="462" t="str">
        <f>F67&amp;G67</f>
        <v>2УТР</v>
      </c>
      <c r="L67" s="1071" cm="1" t="str">
        <f t="array" ref="L67:L67">AE67</f>
        <v>0</v>
      </c>
      <c r="M67" s="1071" cm="1" t="str">
        <f t="array" ref="M67:M67">AF67</f>
        <v>0</v>
      </c>
      <c r="N67" s="462"/>
      <c r="O67" s="462"/>
      <c r="P67" s="462"/>
      <c r="Q67" s="462"/>
      <c r="R67" s="462"/>
      <c r="S67" s="462"/>
      <c r="T67" s="439" cm="1" t="str">
        <f t="array" ref="T67:T67">T66</f>
        <v>true</v>
      </c>
      <c r="U67" s="462"/>
      <c r="V67" s="462"/>
      <c r="W67" s="462"/>
      <c r="X67" s="1519"/>
      <c r="Y67" s="462"/>
      <c r="Z67" s="1520"/>
      <c r="AA67" s="462"/>
      <c r="AB67" s="489" t="s">
        <v>283</v>
      </c>
      <c r="AC67" s="501" t="s">
        <v>988</v>
      </c>
      <c r="AD67" s="489" t="s">
        <v>980</v>
      </c>
      <c r="AE67" s="1070">
        <f>IF(AE72=0,0,(AE68-IF(_xlfn.SUMIFS('Перечень объектов'!AH$24:AH$63,'Перечень объектов'!$F$24:$F$63,$F67,'Перечень объектов'!$G$24:$G$63,"ЭЭ")&gt;0,0,AE69))/AE72)</f>
        <v>0</v>
      </c>
      <c r="AF67" s="1070">
        <f>IF(AF72=0,0,(AF68-IF(_xlfn.SUMIFS('Перечень объектов'!AI$24:AI$63,'Перечень объектов'!$F$24:$F$63,$F67,'Перечень объектов'!$G$24:$G$63,"ЭЭ")&gt;0,0,AF69))/AF72)</f>
        <v>0</v>
      </c>
      <c r="AG67" s="462"/>
      <c r="AH67" s="462"/>
      <c r="AI67" s="1009" t="s">
        <v>2267</v>
      </c>
    </row>
    <row s="1621" customFormat="1" customHeight="1" ht="32.25">
      <c r="A68" s="462"/>
      <c r="B68" s="462"/>
      <c r="C68" s="462"/>
      <c r="D68" s="462"/>
      <c r="E68" s="629">
        <v>33.75</v>
      </c>
      <c r="F68" s="50" cm="1" t="str">
        <f t="array" ref="F68:F68">OFFSET(E68,-1,1)</f>
        <v>2</v>
      </c>
      <c r="G68" s="462"/>
      <c r="H68" s="462" t="s">
        <v>459</v>
      </c>
      <c r="I68" s="462"/>
      <c r="J68" s="462"/>
      <c r="K68" s="462"/>
      <c r="L68" s="462"/>
      <c r="M68" s="462"/>
      <c r="N68" s="462"/>
      <c r="O68" s="462"/>
      <c r="P68" s="462"/>
      <c r="Q68" s="462"/>
      <c r="R68" s="462"/>
      <c r="S68" s="462"/>
      <c r="T68" s="439" cm="1" t="str">
        <f t="array" ref="T68:T68">T67</f>
        <v>true</v>
      </c>
      <c r="U68" s="462"/>
      <c r="V68" s="462"/>
      <c r="W68" s="462"/>
      <c r="X68" s="1519"/>
      <c r="Y68" s="462"/>
      <c r="Z68" s="1520"/>
      <c r="AA68" s="462"/>
      <c r="AB68" s="489" t="s">
        <v>515</v>
      </c>
      <c r="AC68" s="539" t="s">
        <v>2268</v>
      </c>
      <c r="AD68" s="489" t="s">
        <v>784</v>
      </c>
      <c r="AE68" s="509"/>
      <c r="AF68" s="502">
        <f>_xlfn.SUMIFS(ГО!AE$25:AE$294,ГО!$F$25:$F$294,$F68,ГО!$G$25:$G$294,"Итог")*(1+AF70/100)*(1+AF71/100)</f>
        <v>0</v>
      </c>
      <c r="AG68" s="462"/>
      <c r="AH68" s="462"/>
      <c r="AI68" s="1009" t="s">
        <v>2269</v>
      </c>
    </row>
    <row s="500" customFormat="1" customHeight="1" ht="14.25">
      <c r="A69" s="500"/>
      <c r="B69" s="500"/>
      <c r="C69" s="500"/>
      <c r="D69" s="500"/>
      <c r="E69" s="654">
        <v>15</v>
      </c>
      <c r="F69" s="50" cm="1" t="str">
        <f t="array" ref="F69:F69">OFFSET(E69,-1,1)</f>
        <v>2</v>
      </c>
      <c r="G69" s="500"/>
      <c r="H69" s="462" t="s">
        <v>1445</v>
      </c>
      <c r="I69" s="462"/>
      <c r="J69" s="462"/>
      <c r="K69" s="462"/>
      <c r="L69" s="500"/>
      <c r="M69" s="500"/>
      <c r="N69" s="500"/>
      <c r="O69" s="500"/>
      <c r="P69" s="500"/>
      <c r="Q69" s="500"/>
      <c r="R69" s="500"/>
      <c r="S69" s="500"/>
      <c r="T69" s="439" cm="1" t="str">
        <f t="array" ref="T69:T69">T68</f>
        <v>true</v>
      </c>
      <c r="U69" s="500"/>
      <c r="V69" s="500"/>
      <c r="W69" s="500"/>
      <c r="X69" s="1519"/>
      <c r="Y69" s="500"/>
      <c r="Z69" s="1520"/>
      <c r="AA69" s="500"/>
      <c r="AB69" s="489" t="s">
        <v>467</v>
      </c>
      <c r="AC69" s="1323" t="s">
        <v>2270</v>
      </c>
      <c r="AD69" s="489" t="s">
        <v>784</v>
      </c>
      <c r="AE69" s="509"/>
      <c r="AF69" s="502">
        <f>_xlfn.SUMIFS(ГО!AE$25:AE$294,ГО!$F$25:$F$294,$F69,ГО!$G$25:$G$294,"ЭЭ")*(1+AF70/100)*(1+AF71/100)</f>
        <v>0</v>
      </c>
      <c r="AG69" s="500"/>
      <c r="AH69" s="500"/>
      <c r="AI69" s="1019" t="s">
        <v>1598</v>
      </c>
    </row>
    <row s="500" customFormat="1" customHeight="1" ht="14.25">
      <c r="A70" s="500"/>
      <c r="B70" s="500"/>
      <c r="C70" s="500"/>
      <c r="D70" s="500"/>
      <c r="E70" s="654">
        <v>15</v>
      </c>
      <c r="F70" s="50" cm="1" t="str">
        <f t="array" ref="F70:F70">OFFSET(E70,-1,1)</f>
        <v>2</v>
      </c>
      <c r="G70" s="500"/>
      <c r="H70" s="462" t="s">
        <v>462</v>
      </c>
      <c r="I70" s="462"/>
      <c r="J70" s="462"/>
      <c r="K70" s="462"/>
      <c r="L70" s="500"/>
      <c r="M70" s="500"/>
      <c r="N70" s="500"/>
      <c r="O70" s="500"/>
      <c r="P70" s="500"/>
      <c r="Q70" s="500"/>
      <c r="R70" s="500"/>
      <c r="S70" s="500"/>
      <c r="T70" s="439" cm="1" t="str">
        <f t="array" ref="T70:T70">T69</f>
        <v>true</v>
      </c>
      <c r="U70" s="500"/>
      <c r="V70" s="500"/>
      <c r="W70" s="500"/>
      <c r="X70" s="1519"/>
      <c r="Y70" s="500"/>
      <c r="Z70" s="1520"/>
      <c r="AA70" s="500"/>
      <c r="AB70" s="489" t="s">
        <v>519</v>
      </c>
      <c r="AC70" s="539" t="str">
        <f>"индекс потребительских цен на "&amp;god-1&amp;" год"</f>
        <v>индекс потребительских цен на 2025 год</v>
      </c>
      <c r="AD70" s="489" t="s">
        <v>437</v>
      </c>
      <c r="AE70" s="509"/>
      <c r="AF70" s="509"/>
      <c r="AG70" s="500"/>
      <c r="AH70" s="500"/>
      <c r="AI70" s="1019" t="s">
        <v>2271</v>
      </c>
    </row>
    <row s="500" customFormat="1" customHeight="1" ht="14.25">
      <c r="A71" s="500"/>
      <c r="B71" s="500"/>
      <c r="C71" s="500"/>
      <c r="D71" s="500"/>
      <c r="E71" s="654">
        <v>15</v>
      </c>
      <c r="F71" s="50" cm="1" t="str">
        <f t="array" ref="F71:F71">OFFSET(E71,-1,1)</f>
        <v>2</v>
      </c>
      <c r="G71" s="500"/>
      <c r="H71" s="462" t="s">
        <v>865</v>
      </c>
      <c r="I71" s="462"/>
      <c r="J71" s="462"/>
      <c r="K71" s="462"/>
      <c r="L71" s="500"/>
      <c r="M71" s="500"/>
      <c r="N71" s="500"/>
      <c r="O71" s="500"/>
      <c r="P71" s="500"/>
      <c r="Q71" s="500"/>
      <c r="R71" s="500"/>
      <c r="S71" s="500"/>
      <c r="T71" s="439" cm="1" t="str">
        <f t="array" ref="T71:T71">T70</f>
        <v>true</v>
      </c>
      <c r="U71" s="500"/>
      <c r="V71" s="500"/>
      <c r="W71" s="500"/>
      <c r="X71" s="1519"/>
      <c r="Y71" s="500"/>
      <c r="Z71" s="1520"/>
      <c r="AA71" s="500"/>
      <c r="AB71" s="489" t="s">
        <v>523</v>
      </c>
      <c r="AC71" s="539" t="str">
        <f>"индекс потребительских цен на "&amp;god&amp;" год"</f>
        <v>индекс потребительских цен на 2026 год</v>
      </c>
      <c r="AD71" s="489" t="s">
        <v>437</v>
      </c>
      <c r="AE71" s="509"/>
      <c r="AF71" s="509"/>
      <c r="AG71" s="500"/>
      <c r="AH71" s="500"/>
      <c r="AI71" s="1019" t="s">
        <v>2272</v>
      </c>
    </row>
    <row s="500" customFormat="1" customHeight="1" ht="21.75">
      <c r="A72" s="500"/>
      <c r="B72" s="500"/>
      <c r="C72" s="500"/>
      <c r="D72" s="500"/>
      <c r="E72" s="654">
        <v>22.5</v>
      </c>
      <c r="F72" s="50" cm="1" t="str">
        <f t="array" ref="F72:F72">OFFSET(E72,-1,1)</f>
        <v>2</v>
      </c>
      <c r="G72" s="500"/>
      <c r="H72" s="462" t="s">
        <v>867</v>
      </c>
      <c r="I72" s="462"/>
      <c r="J72" s="462"/>
      <c r="K72" s="462"/>
      <c r="L72" s="500"/>
      <c r="M72" s="500"/>
      <c r="N72" s="500"/>
      <c r="O72" s="500"/>
      <c r="P72" s="500"/>
      <c r="Q72" s="500"/>
      <c r="R72" s="500"/>
      <c r="S72" s="500"/>
      <c r="T72" s="439" cm="1" t="str">
        <f t="array" ref="T72:T72">T71</f>
        <v>true</v>
      </c>
      <c r="U72" s="500"/>
      <c r="V72" s="500"/>
      <c r="W72" s="500"/>
      <c r="X72" s="1519"/>
      <c r="Y72" s="500"/>
      <c r="Z72" s="1520"/>
      <c r="AA72" s="500"/>
      <c r="AB72" s="489" t="s">
        <v>868</v>
      </c>
      <c r="AC72" s="539" t="s">
        <v>2273</v>
      </c>
      <c r="AD72" s="489" t="s">
        <v>776</v>
      </c>
      <c r="AE72" s="509"/>
      <c r="AF72" s="509"/>
      <c r="AG72" s="500"/>
      <c r="AH72" s="500"/>
      <c r="AI72" s="1019" t="s">
        <v>2274</v>
      </c>
    </row>
    <row s="500" customFormat="1" customHeight="1" ht="14.25">
      <c r="A73" s="500"/>
      <c r="B73" s="500"/>
      <c r="C73" s="500"/>
      <c r="D73" s="500"/>
      <c r="E73" s="654">
        <v>15</v>
      </c>
      <c r="F73" s="50" cm="1" t="str">
        <f t="array" ref="F73:F73">OFFSET(E73,-1,1)</f>
        <v>2</v>
      </c>
      <c r="G73" s="500"/>
      <c r="H73" s="462" t="s">
        <v>327</v>
      </c>
      <c r="I73" s="462"/>
      <c r="J73" s="462"/>
      <c r="K73" s="462"/>
      <c r="L73" s="500"/>
      <c r="M73" s="500"/>
      <c r="N73" s="500"/>
      <c r="O73" s="500"/>
      <c r="P73" s="500"/>
      <c r="Q73" s="500"/>
      <c r="R73" s="500"/>
      <c r="S73" s="500"/>
      <c r="T73" s="439" cm="1" t="str">
        <f t="array" ref="T73:T73">T72</f>
        <v>true</v>
      </c>
      <c r="U73" s="500"/>
      <c r="V73" s="500"/>
      <c r="W73" s="500"/>
      <c r="X73" s="1519"/>
      <c r="Y73" s="500"/>
      <c r="Z73" s="1520"/>
      <c r="AA73" s="500"/>
      <c r="AB73" s="489" t="s">
        <v>323</v>
      </c>
      <c r="AC73" s="1324" t="s">
        <v>2275</v>
      </c>
      <c r="AD73" s="489" t="s">
        <v>776</v>
      </c>
      <c r="AE73" s="505">
        <f>_xlfn.SUMIFS('Условные метры'!AL$27:AL$38,'Условные метры'!$F$27:$F$38,$F73,'Условные метры'!$G$27:$G$38,"Итог")</f>
        <v>0</v>
      </c>
      <c r="AF73" s="505">
        <f>_xlfn.SUMIFS('Условные метры'!AN$27:AN$38,'Условные метры'!$F$27:$F$38,$F73,'Условные метры'!$G$27:$G$38,"Итог")</f>
        <v>0</v>
      </c>
      <c r="AG73" s="500"/>
      <c r="AH73" s="500"/>
      <c r="AI73" s="1019" t="s">
        <v>2276</v>
      </c>
    </row>
    <row s="500" customFormat="1" customHeight="1" ht="14.25">
      <c r="A74" s="500"/>
      <c r="B74" s="500"/>
      <c r="C74" s="500"/>
      <c r="D74" s="500"/>
      <c r="E74" s="654">
        <v>15</v>
      </c>
      <c r="F74" s="50" cm="1" t="str">
        <f t="array" ref="F74:F74">OFFSET(E74,-1,1)</f>
        <v>2</v>
      </c>
      <c r="G74" s="500"/>
      <c r="H74" s="462" t="s">
        <v>875</v>
      </c>
      <c r="I74" s="462"/>
      <c r="J74" s="462"/>
      <c r="K74" s="462"/>
      <c r="L74" s="500"/>
      <c r="M74" s="500"/>
      <c r="N74" s="500"/>
      <c r="O74" s="500"/>
      <c r="P74" s="500"/>
      <c r="Q74" s="500"/>
      <c r="R74" s="500"/>
      <c r="S74" s="500"/>
      <c r="T74" s="439" cm="1" t="str">
        <f t="array" ref="T74:T74">T73</f>
        <v>true</v>
      </c>
      <c r="U74" s="500"/>
      <c r="V74" s="500"/>
      <c r="W74" s="500"/>
      <c r="X74" s="1519"/>
      <c r="Y74" s="500"/>
      <c r="Z74" s="1520"/>
      <c r="AA74" s="500"/>
      <c r="AB74" s="489" t="s">
        <v>529</v>
      </c>
      <c r="AC74" s="539" t="s">
        <v>2277</v>
      </c>
      <c r="AD74" s="489" t="s">
        <v>381</v>
      </c>
      <c r="AE74" s="505">
        <f>_xlfn.SUMIFS('Условные метры'!AK$27:AK$38,'Условные метры'!$F$27:$F$38,$F74,'Условные метры'!$G$27:$G$38,"Итог")</f>
        <v>0</v>
      </c>
      <c r="AF74" s="505">
        <f>_xlfn.SUMIFS('Условные метры'!AM$27:AM$38,'Условные метры'!$F$27:$F$38,$F74,'Условные метры'!$G$27:$G$38,"Итог")</f>
        <v>0</v>
      </c>
      <c r="AG74" s="500"/>
      <c r="AH74" s="500"/>
      <c r="AI74" s="1019" t="s">
        <v>2278</v>
      </c>
    </row>
    <row s="500" customFormat="1" customHeight="1" ht="14.25">
      <c r="A75" s="500"/>
      <c r="B75" s="500"/>
      <c r="C75" s="500"/>
      <c r="D75" s="500"/>
      <c r="E75" s="654">
        <v>15</v>
      </c>
      <c r="F75" s="50" cm="1" t="str">
        <f t="array" ref="F75:F75">OFFSET(E75,-1,1)</f>
        <v>2</v>
      </c>
      <c r="G75" s="500"/>
      <c r="H75" s="462" t="s">
        <v>329</v>
      </c>
      <c r="I75" s="462"/>
      <c r="J75" s="462"/>
      <c r="K75" s="462"/>
      <c r="L75" s="500"/>
      <c r="M75" s="500"/>
      <c r="N75" s="500"/>
      <c r="O75" s="500"/>
      <c r="P75" s="500"/>
      <c r="Q75" s="500"/>
      <c r="R75" s="500"/>
      <c r="S75" s="500"/>
      <c r="T75" s="439" cm="1" t="str">
        <f t="array" ref="T75:T75">T74</f>
        <v>true</v>
      </c>
      <c r="U75" s="500"/>
      <c r="V75" s="500"/>
      <c r="W75" s="500"/>
      <c r="X75" s="1519"/>
      <c r="Y75" s="500"/>
      <c r="Z75" s="1520"/>
      <c r="AA75" s="500"/>
      <c r="AB75" s="489" t="s">
        <v>536</v>
      </c>
      <c r="AC75" s="538" t="s">
        <v>2279</v>
      </c>
      <c r="AD75" s="489" t="s">
        <v>980</v>
      </c>
      <c r="AE75" s="505">
        <f>_xlfn.SUMIFS('Амортизация (аналог)'!AE$25:AE$48,'Амортизация (аналог)'!$F$25:$F$48,$F75,'Амортизация (аналог)'!$AB$25:$AB$48,"2")</f>
        <v>0</v>
      </c>
      <c r="AF75" s="505">
        <f>_xlfn.SUMIFS('Амортизация (аналог)'!AF$25:AF$48,'Амортизация (аналог)'!$F$25:$F$48,$F75,'Амортизация (аналог)'!$AB$25:$AB$48,"2")</f>
        <v>0</v>
      </c>
      <c r="AG75" s="500"/>
      <c r="AH75" s="500"/>
      <c r="AI75" s="1019" t="s">
        <v>2280</v>
      </c>
    </row>
    <row s="500" customFormat="1" customHeight="1" ht="14.25">
      <c r="A76" s="500"/>
      <c r="B76" s="500"/>
      <c r="C76" s="500"/>
      <c r="D76" s="500"/>
      <c r="E76" s="654">
        <v>15</v>
      </c>
      <c r="F76" s="50" cm="1" t="str">
        <f t="array" ref="F76:F76">OFFSET(E76,-1,1)</f>
        <v>2</v>
      </c>
      <c r="G76" s="500"/>
      <c r="H76" s="462" t="s">
        <v>514</v>
      </c>
      <c r="I76" s="462"/>
      <c r="J76" s="462"/>
      <c r="K76" s="462"/>
      <c r="L76" s="500"/>
      <c r="M76" s="500"/>
      <c r="N76" s="500"/>
      <c r="O76" s="500"/>
      <c r="P76" s="500"/>
      <c r="Q76" s="500"/>
      <c r="R76" s="500"/>
      <c r="S76" s="500"/>
      <c r="T76" s="439" cm="1" t="str">
        <f t="array" ref="T76:T76">T75</f>
        <v>true</v>
      </c>
      <c r="U76" s="500"/>
      <c r="V76" s="500"/>
      <c r="W76" s="500"/>
      <c r="X76" s="1519"/>
      <c r="Y76" s="500"/>
      <c r="Z76" s="1520"/>
      <c r="AA76" s="500"/>
      <c r="AB76" s="489" t="s">
        <v>652</v>
      </c>
      <c r="AC76" s="1325" t="s">
        <v>2281</v>
      </c>
      <c r="AD76" s="489" t="s">
        <v>437</v>
      </c>
      <c r="AE76" s="502">
        <f>IF(AE67=0,0,AE75/AE67*100)</f>
        <v>0</v>
      </c>
      <c r="AF76" s="502">
        <f>IF(AF67=0,0,AF75/AF67*100)</f>
        <v>0</v>
      </c>
      <c r="AG76" s="500"/>
      <c r="AH76" s="500"/>
      <c r="AI76" s="1019" t="s">
        <v>2282</v>
      </c>
    </row>
    <row s="500" customFormat="1" customHeight="1" ht="21.75">
      <c r="A77" s="500"/>
      <c r="B77" s="500"/>
      <c r="C77" s="500"/>
      <c r="D77" s="500"/>
      <c r="E77" s="654">
        <v>22.5</v>
      </c>
      <c r="F77" s="50" cm="1" t="str">
        <f t="array" ref="F77:F77">OFFSET(E77,-1,1)</f>
        <v>2</v>
      </c>
      <c r="G77" s="124" t="s">
        <v>1503</v>
      </c>
      <c r="H77" s="462" t="s">
        <v>328</v>
      </c>
      <c r="I77" s="462"/>
      <c r="J77" s="462"/>
      <c r="K77" s="462"/>
      <c r="L77" s="500"/>
      <c r="M77" s="500"/>
      <c r="N77" s="500"/>
      <c r="O77" s="500"/>
      <c r="P77" s="500"/>
      <c r="Q77" s="500"/>
      <c r="R77" s="500"/>
      <c r="S77" s="500"/>
      <c r="T77" s="439" cm="1" t="str">
        <f t="array" ref="T77:T77">T76</f>
        <v>true</v>
      </c>
      <c r="U77" s="500"/>
      <c r="V77" s="500"/>
      <c r="W77" s="500"/>
      <c r="X77" s="1519"/>
      <c r="Y77" s="500"/>
      <c r="Z77" s="1520"/>
      <c r="AA77" s="500"/>
      <c r="AB77" s="489" t="s">
        <v>492</v>
      </c>
      <c r="AC77" s="1326" t="s">
        <v>2283</v>
      </c>
      <c r="AD77" s="489" t="s">
        <v>2284</v>
      </c>
      <c r="AE77" s="505">
        <f>_xlfn.SUMIFS(Баланс!$AI$25:$AI$300,Баланс!$F$25:$F$300,$F77,Баланс!$G$25:$G$300,"ПО")</f>
        <v>136.4819</v>
      </c>
      <c r="AF77" s="505">
        <f>_xlfn.SUMIFS(Баланс!$AS$25:$AS$300,Баланс!$F$25:$F$300,$F77,Баланс!$G$25:$G$300,"ПО")</f>
        <v>136.4819</v>
      </c>
      <c r="AG77" s="500"/>
      <c r="AH77" s="500"/>
      <c r="AI77" s="1019" t="s">
        <v>1002</v>
      </c>
    </row>
    <row s="500" customFormat="1" customHeight="1" ht="14.25">
      <c r="A78" s="500"/>
      <c r="B78" s="500"/>
      <c r="C78" s="500"/>
      <c r="D78" s="500"/>
      <c r="E78" s="654">
        <v>15</v>
      </c>
      <c r="F78" s="50" cm="1" t="str">
        <f t="array" ref="F78:F78">OFFSET(E78,-1,1)</f>
        <v>2</v>
      </c>
      <c r="G78" s="1327" t="s">
        <v>1530</v>
      </c>
      <c r="H78" s="462" t="s">
        <v>528</v>
      </c>
      <c r="I78" s="462"/>
      <c r="J78" s="462"/>
      <c r="K78" s="462"/>
      <c r="L78" s="500"/>
      <c r="M78" s="500"/>
      <c r="N78" s="500"/>
      <c r="O78" s="500"/>
      <c r="P78" s="500"/>
      <c r="Q78" s="500"/>
      <c r="R78" s="500"/>
      <c r="S78" s="500"/>
      <c r="T78" s="439" cm="1" t="str">
        <f t="array" ref="T78:T78">T77</f>
        <v>true</v>
      </c>
      <c r="U78" s="500"/>
      <c r="V78" s="500"/>
      <c r="W78" s="500"/>
      <c r="X78" s="1519"/>
      <c r="Y78" s="500"/>
      <c r="Z78" s="1520"/>
      <c r="AA78" s="500"/>
      <c r="AB78" s="489" t="s">
        <v>659</v>
      </c>
      <c r="AC78" s="1328" t="s">
        <v>2285</v>
      </c>
      <c r="AD78" s="489" t="s">
        <v>2284</v>
      </c>
      <c r="AE78" s="1329"/>
      <c r="AF78" s="1329"/>
      <c r="AG78" s="500"/>
      <c r="AH78" s="500"/>
      <c r="AI78" s="1019" t="s">
        <v>2286</v>
      </c>
    </row>
    <row s="500" customFormat="1" customHeight="1" ht="14.25">
      <c r="A79" s="500"/>
      <c r="B79" s="500"/>
      <c r="C79" s="500"/>
      <c r="D79" s="500"/>
      <c r="E79" s="654">
        <v>15</v>
      </c>
      <c r="F79" s="50" cm="1" t="str">
        <f t="array" ref="F79:F79">OFFSET(E79,-1,1)</f>
        <v>2</v>
      </c>
      <c r="G79" s="73" t="s">
        <v>1543</v>
      </c>
      <c r="H79" s="462" t="s">
        <v>532</v>
      </c>
      <c r="I79" s="462"/>
      <c r="J79" s="462"/>
      <c r="K79" s="462"/>
      <c r="L79" s="500"/>
      <c r="M79" s="500"/>
      <c r="N79" s="500"/>
      <c r="O79" s="500"/>
      <c r="P79" s="500"/>
      <c r="Q79" s="500"/>
      <c r="R79" s="500"/>
      <c r="S79" s="500"/>
      <c r="T79" s="439" cm="1" t="str">
        <f t="array" ref="T79:T79">T78</f>
        <v>true</v>
      </c>
      <c r="U79" s="500"/>
      <c r="V79" s="500"/>
      <c r="W79" s="500"/>
      <c r="X79" s="1519"/>
      <c r="Y79" s="500"/>
      <c r="Z79" s="1520"/>
      <c r="AA79" s="500"/>
      <c r="AB79" s="489" t="s">
        <v>662</v>
      </c>
      <c r="AC79" s="1116" t="s">
        <v>2287</v>
      </c>
      <c r="AD79" s="489" t="s">
        <v>2284</v>
      </c>
      <c r="AE79" s="505">
        <f>AE77-AE78</f>
        <v>136.4819</v>
      </c>
      <c r="AF79" s="505">
        <f>AF77-AF78</f>
        <v>136.4819</v>
      </c>
      <c r="AG79" s="500"/>
      <c r="AH79" s="500"/>
      <c r="AI79" s="1019" t="s">
        <v>2288</v>
      </c>
    </row>
    <row s="500" customFormat="1" customHeight="1" ht="14.25">
      <c r="A80" s="500"/>
      <c r="B80" s="500"/>
      <c r="C80" s="500"/>
      <c r="D80" s="500"/>
      <c r="E80" s="654">
        <v>15</v>
      </c>
      <c r="F80" s="50" cm="1" t="str">
        <f t="array" ref="F80:F80">OFFSET(E80,-1,1)</f>
        <v>2</v>
      </c>
      <c r="G80" s="500"/>
      <c r="H80" s="462" t="s">
        <v>491</v>
      </c>
      <c r="I80" s="462"/>
      <c r="J80" s="462"/>
      <c r="K80" s="462"/>
      <c r="L80" s="500"/>
      <c r="M80" s="500"/>
      <c r="N80" s="500"/>
      <c r="O80" s="500"/>
      <c r="P80" s="500"/>
      <c r="Q80" s="500"/>
      <c r="R80" s="500"/>
      <c r="S80" s="500"/>
      <c r="T80" s="439" cm="1" t="str">
        <f t="array" ref="T80:T80">T79</f>
        <v>true</v>
      </c>
      <c r="U80" s="500"/>
      <c r="V80" s="500"/>
      <c r="W80" s="500"/>
      <c r="X80" s="1519"/>
      <c r="Y80" s="500"/>
      <c r="Z80" s="1520"/>
      <c r="AA80" s="500"/>
      <c r="AB80" s="489" t="s">
        <v>496</v>
      </c>
      <c r="AC80" s="537" t="s">
        <v>2289</v>
      </c>
      <c r="AD80" s="489" t="s">
        <v>1494</v>
      </c>
      <c r="AE80" s="502">
        <f>IF(AE77=0,0,AE66/AE77)</f>
        <v>0</v>
      </c>
      <c r="AF80" s="502">
        <f>IF(AF77=0,0,AF66/AF77)</f>
        <v>0</v>
      </c>
      <c r="AG80" s="500"/>
      <c r="AH80" s="500"/>
      <c r="AI80" s="1019" t="s">
        <v>1049</v>
      </c>
    </row>
    <row s="500" customFormat="1" customHeight="1" ht="14.25">
      <c r="A81" s="500"/>
      <c r="B81" s="500"/>
      <c r="C81" s="500"/>
      <c r="D81" s="500"/>
      <c r="E81" s="654">
        <v>15</v>
      </c>
      <c r="F81" s="50" cm="1" t="str">
        <f t="array" ref="F81:F81">OFFSET(E81,-1,1)</f>
        <v>2</v>
      </c>
      <c r="G81" s="73" t="s">
        <v>1491</v>
      </c>
      <c r="H81" s="462" t="s">
        <v>675</v>
      </c>
      <c r="I81" s="462"/>
      <c r="J81" s="462"/>
      <c r="K81" s="462"/>
      <c r="L81" s="500"/>
      <c r="M81" s="500"/>
      <c r="N81" s="500"/>
      <c r="O81" s="500"/>
      <c r="P81" s="500"/>
      <c r="Q81" s="500"/>
      <c r="R81" s="500"/>
      <c r="S81" s="500"/>
      <c r="T81" s="439" cm="1" t="str">
        <f t="array" ref="T81:T81">T80</f>
        <v>true</v>
      </c>
      <c r="U81" s="500"/>
      <c r="V81" s="500"/>
      <c r="W81" s="500"/>
      <c r="X81" s="1519"/>
      <c r="Y81" s="500"/>
      <c r="Z81" s="1520"/>
      <c r="AA81" s="500"/>
      <c r="AB81" s="489" t="s">
        <v>2290</v>
      </c>
      <c r="AC81" s="1330" t="s">
        <v>2291</v>
      </c>
      <c r="AD81" s="489" t="s">
        <v>1494</v>
      </c>
      <c r="AE81" s="509"/>
      <c r="AF81" s="509"/>
      <c r="AG81" s="500"/>
      <c r="AH81" s="500"/>
      <c r="AI81" s="1019" t="s">
        <v>2292</v>
      </c>
    </row>
    <row s="500" customFormat="1" customHeight="1" ht="14.25">
      <c r="A82" s="500"/>
      <c r="B82" s="500"/>
      <c r="C82" s="500"/>
      <c r="D82" s="500"/>
      <c r="E82" s="654">
        <v>15</v>
      </c>
      <c r="F82" s="50" cm="1" t="str">
        <f t="array" ref="F82:F82">OFFSET(E82,-1,1)</f>
        <v>2</v>
      </c>
      <c r="G82" s="73" t="s">
        <v>1496</v>
      </c>
      <c r="H82" s="462" t="s">
        <v>678</v>
      </c>
      <c r="I82" s="462"/>
      <c r="J82" s="462"/>
      <c r="K82" s="462"/>
      <c r="L82" s="500"/>
      <c r="M82" s="500"/>
      <c r="N82" s="500"/>
      <c r="O82" s="500"/>
      <c r="P82" s="500"/>
      <c r="Q82" s="500"/>
      <c r="R82" s="500"/>
      <c r="S82" s="500"/>
      <c r="T82" s="439" cm="1" t="str">
        <f t="array" ref="T82:T82">T81</f>
        <v>true</v>
      </c>
      <c r="U82" s="500"/>
      <c r="V82" s="500"/>
      <c r="W82" s="500"/>
      <c r="X82" s="1519"/>
      <c r="Y82" s="500"/>
      <c r="Z82" s="1520"/>
      <c r="AA82" s="500"/>
      <c r="AB82" s="489" t="s">
        <v>2293</v>
      </c>
      <c r="AC82" s="1117" t="s">
        <v>2294</v>
      </c>
      <c r="AD82" s="489" t="s">
        <v>1494</v>
      </c>
      <c r="AE82" s="509">
        <f>IF(AE79=0,0,(AE66-AE81*AE78)/AE79)</f>
        <v>0</v>
      </c>
      <c r="AF82" s="509">
        <f>IF(AF79=0,0,(AF66-AF81*AF78)/AF79)</f>
        <v>0</v>
      </c>
      <c r="AG82" s="500"/>
      <c r="AH82" s="500"/>
      <c r="AI82" s="1019" t="s">
        <v>2295</v>
      </c>
    </row>
    <row s="1621" customFormat="1" customHeight="1" ht="14.25">
      <c r="A83" s="462"/>
      <c r="B83" s="462"/>
      <c r="C83" s="462"/>
      <c r="D83" s="462"/>
      <c r="E83" s="629">
        <v>15</v>
      </c>
      <c r="F83" s="50" cm="1" t="str">
        <f t="array" ref="F83:F83">OFFSET(E83,-1,1)</f>
        <v>2</v>
      </c>
      <c r="G83" s="462"/>
      <c r="H83" s="462" t="s">
        <v>654</v>
      </c>
      <c r="I83" s="462"/>
      <c r="J83" s="462"/>
      <c r="K83" s="462"/>
      <c r="L83" s="462"/>
      <c r="M83" s="462"/>
      <c r="N83" s="462"/>
      <c r="O83" s="462"/>
      <c r="P83" s="462"/>
      <c r="Q83" s="462"/>
      <c r="R83" s="462"/>
      <c r="S83" s="462"/>
      <c r="T83" s="439" cm="1" t="str">
        <f t="array" ref="T83:T83">T82</f>
        <v>true</v>
      </c>
      <c r="U83" s="462"/>
      <c r="V83" s="462"/>
      <c r="W83" s="462"/>
      <c r="X83" s="1519"/>
      <c r="Y83" s="462"/>
      <c r="Z83" s="1520"/>
      <c r="AA83" s="462"/>
      <c r="AB83" s="489" t="s">
        <v>549</v>
      </c>
      <c r="AC83" s="531" t="s">
        <v>2296</v>
      </c>
      <c r="AD83" s="489" t="s">
        <v>437</v>
      </c>
      <c r="AE83" s="502">
        <f>IF(AE81=0,0,AE82/AE81*100)</f>
        <v>0</v>
      </c>
      <c r="AF83" s="502">
        <f>IF(AF81=0,0,AF82/AF81*100)</f>
        <v>0</v>
      </c>
      <c r="AG83" s="462"/>
      <c r="AH83" s="462"/>
      <c r="AI83" s="1009" t="s">
        <v>2297</v>
      </c>
    </row>
    <row customHeight="1" ht="10.96875">
      <c r="E84" s="629">
        <v>11.25</v>
      </c>
      <c r="U84" s="462" t="s">
        <v>177</v>
      </c>
      <c r="V84" s="698" t="s">
        <v>2298</v>
      </c>
      <c r="AB84" s="510"/>
      <c r="AC84" s="511"/>
      <c r="AD84" s="510"/>
      <c r="AE84" s="512"/>
    </row>
    <row customHeight="1" ht="44.606249999999996">
      <c r="E85" s="629">
        <v>45.75</v>
      </c>
      <c r="AB85" s="1598" t="s">
        <v>2299</v>
      </c>
      <c r="AC85" s="1598"/>
      <c r="AD85" s="1598"/>
      <c r="AE85" s="1598"/>
      <c r="AF85" s="1598"/>
    </row>
    <row customHeight="1" ht="10.96875">
      <c r="E86" s="629">
        <v>11.25</v>
      </c>
      <c r="AB86" s="510"/>
      <c r="AC86" s="511"/>
      <c r="AD86" s="510"/>
      <c r="AE86" s="512"/>
    </row>
    <row s="676" customFormat="1" customHeight="1" ht="14.625">
      <c r="E87" s="697">
        <v>15</v>
      </c>
      <c r="AB87" s="1485" t="s">
        <v>398</v>
      </c>
      <c r="AC87" s="1485"/>
      <c r="AD87" s="1485"/>
      <c r="AE87" s="1522"/>
      <c r="AF87" s="1522"/>
      <c r="AI87" s="1061"/>
    </row>
    <row s="676" customFormat="1" customHeight="1" ht="14.625">
      <c r="E88" s="697">
        <v>15</v>
      </c>
      <c r="AA88" s="1384"/>
      <c r="AB88" s="1524"/>
      <c r="AC88" s="1524"/>
      <c r="AD88" s="1524"/>
      <c r="AE88" s="1526"/>
      <c r="AF88" s="1526"/>
      <c r="AI88" s="1061"/>
    </row>
    <row s="676" customFormat="1" customHeight="1" ht="14.625" hidden="1">
      <c r="A89" s="1342"/>
      <c r="B89" s="1342"/>
      <c r="C89" s="1342"/>
      <c r="D89" s="1342"/>
      <c r="E89" s="697">
        <v>15</v>
      </c>
      <c r="F89" s="1342"/>
      <c r="G89" s="1342"/>
      <c r="H89" s="1342"/>
      <c r="I89" s="1342"/>
      <c r="J89" s="1342"/>
      <c r="K89" s="1342"/>
      <c r="L89" s="1342"/>
      <c r="M89" s="1342"/>
      <c r="N89" s="1342"/>
      <c r="O89" s="1342"/>
      <c r="P89" s="1342"/>
      <c r="Q89" s="1342"/>
      <c r="R89" s="1342"/>
      <c r="S89" s="1342"/>
      <c r="T89" s="439">
        <f>ROW(W89)&gt;ROW(W$89)</f>
        <v>0</v>
      </c>
      <c r="U89" s="1342"/>
      <c r="V89" s="1342"/>
      <c r="W89" s="532" t="s">
        <v>173</v>
      </c>
      <c r="X89" s="532"/>
      <c r="Y89" s="532"/>
      <c r="Z89" s="532"/>
      <c r="AA89" s="1331" t="s">
        <v>174</v>
      </c>
      <c r="AB89" s="2463"/>
      <c r="AC89" s="2462"/>
      <c r="AD89" s="2462"/>
      <c r="AE89" s="2462"/>
      <c r="AF89" s="2464"/>
      <c r="AG89" s="1342"/>
      <c r="AH89" s="1342"/>
      <c r="AI89" s="1061"/>
    </row>
    <row s="676" customFormat="1" customHeight="1" ht="14.625">
      <c r="E90" s="697">
        <v>15</v>
      </c>
      <c r="W90" s="810" t="s">
        <v>399</v>
      </c>
      <c r="X90" s="532"/>
      <c r="Y90" s="532"/>
      <c r="Z90" s="532"/>
      <c r="AA90" s="532"/>
      <c r="AB90" s="1385"/>
      <c r="AC90" s="1386" t="s">
        <v>400</v>
      </c>
      <c r="AD90" s="1387"/>
      <c r="AE90" s="1388"/>
      <c r="AF90" s="1389"/>
      <c r="AI90" s="1061"/>
    </row>
    <row customHeight="1" ht="10.96875">
      <c r="E91" s="629">
        <v>11.25</v>
      </c>
      <c r="AC91" s="513"/>
      <c r="AG91" s="462"/>
    </row>
  </sheetData>
  <sheetProtection formatColumns="0" formatRows="0" insertRows="0" deleteColumns="0" deleteRows="0" sort="0" autoFilter="0" insertColumns="1"/>
  <mergeCells count="16">
    <mergeCell ref="AB22:AF22"/>
    <mergeCell ref="AB23:AF23"/>
    <mergeCell ref="AB24:AB25"/>
    <mergeCell ref="AC24:AC25"/>
    <mergeCell ref="AD24:AD25"/>
    <mergeCell ref="AE24:AF24"/>
    <mergeCell ref="X27:X45"/>
    <mergeCell ref="Z27:Z45"/>
    <mergeCell ref="AB89:AF89"/>
    <mergeCell ref="AB87:AF87"/>
    <mergeCell ref="AB88:AF88"/>
    <mergeCell ref="AB85:AF85"/>
    <mergeCell ref="X46:X64"/>
    <mergeCell ref="Z46:Z64"/>
    <mergeCell ref="X65:X83"/>
    <mergeCell ref="Z65:Z83"/>
  </mergeCells>
  <dataValidations count="3">
    <dataValidation type="decimal" allowBlank="1" showErrorMessage="1" errorTitle="Ошибка" error="Введите число от 0 до 100!" sqref="AE32:AF33 AE51 AF51 AE52 AF52 AE70 AF70 AE71 AF71">
      <formula1>0</formula1>
      <formula2>100</formula2>
    </dataValidation>
    <dataValidation type="decimal" allowBlank="1" showErrorMessage="1" errorTitle="Ошибка" error="Допускается ввод только действительных чисел!" sqref="AE43:AF44 AE62 AF62 AE63 AF63 AE81 AF81 AE82 AF82">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94A384-9F8D-A635-FA01-B085D20B0378}" mc:Ignorable="x14ac xr xr2 xr3">
  <sheetPr>
    <tabColor rgb="FFD3DBDB"/>
    <pageSetUpPr fitToPage="1"/>
  </sheetPr>
  <dimension ref="A1:AC34"/>
  <sheetViews>
    <sheetView topLeftCell="AA21" showGridLines="0" workbookViewId="0" tabSelected="1">
      <selection activeCell="AB25" sqref="AB25"/>
    </sheetView>
  </sheetViews>
  <sheetFormatPr defaultColWidth="9.140625" customHeight="1" defaultRowHeight="11.25"/>
  <cols>
    <col min="1" max="1" style="1248" width="3.57421875" hidden="1" customWidth="1"/>
    <col min="2" max="2" style="1160" width="8.57421875" hidden="1" customWidth="1"/>
    <col min="3" max="4" style="1248" width="3.57421875" hidden="1" customWidth="1"/>
    <col min="5" max="5" style="1163" width="3.57421875" hidden="1" customWidth="1"/>
    <col min="6" max="21" style="1248" width="3.57421875" hidden="1" customWidth="1"/>
    <col min="22" max="22" style="1248" width="4.57421875" hidden="1" customWidth="1"/>
    <col min="23" max="23" style="1248" width="8.421875" hidden="1" customWidth="1"/>
    <col min="24" max="26" style="1248" width="3.57421875" hidden="1" customWidth="1"/>
    <col min="27" max="27" style="1248" width="3.00390625" customWidth="1"/>
    <col min="28" max="28" style="1248" width="94.140625" customWidth="1"/>
    <col min="29" max="29" style="1248" width="9.140625"/>
  </cols>
  <sheetData>
    <row customHeight="1" ht="11.25" hidden="1">
      <c r="E1" s="70"/>
      <c r="W1" s="439" t="s">
        <v>92</v>
      </c>
      <c r="X1" s="439"/>
      <c r="Y1" s="439" t="s">
        <v>93</v>
      </c>
      <c r="Z1" s="439" t="s">
        <v>95</v>
      </c>
      <c r="AA1" s="439" t="s">
        <v>99</v>
      </c>
      <c r="AB1" s="439" t="s">
        <v>97</v>
      </c>
    </row>
    <row s="1160" customFormat="1" customHeight="1" ht="11.25" hidden="1">
      <c r="B2" s="419" t="s">
        <v>18</v>
      </c>
    </row>
    <row customHeight="1" ht="11.25" hidden="1">
      <c r="E3" s="70"/>
    </row>
    <row customHeight="1" ht="11.25" hidden="1">
      <c r="E4" s="70"/>
    </row>
    <row s="1163" customFormat="1" customHeight="1" ht="11.25" hidden="1">
      <c r="A5" s="70"/>
      <c r="B5" s="401"/>
      <c r="C5" s="70"/>
      <c r="D5" s="70"/>
      <c r="E5" s="683" t="s">
        <v>19</v>
      </c>
      <c r="AA5" s="607">
        <v>3</v>
      </c>
      <c r="AB5" s="607">
        <v>94.14</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607">
        <v>15</v>
      </c>
      <c r="AA21" s="398"/>
      <c r="AB21" s="71"/>
    </row>
    <row customHeight="1" ht="19.0125">
      <c r="E22" s="607">
        <v>19.5</v>
      </c>
      <c r="AA22" s="71"/>
      <c r="AB22" s="69" t="s">
        <v>364</v>
      </c>
    </row>
    <row customHeight="1" ht="10.96875">
      <c r="E23" s="607">
        <v>11.25</v>
      </c>
      <c r="AA23" s="71"/>
      <c r="AB23" s="71"/>
    </row>
    <row customHeight="1" ht="102.75">
      <c r="E24" s="607">
        <v>20</v>
      </c>
      <c r="AA24" s="71"/>
      <c r="AB24" s="72" t="s">
        <v>2300</v>
      </c>
    </row>
    <row customHeight="1" ht="19.5">
      <c r="E25" s="607">
        <v>20</v>
      </c>
      <c r="AA25" s="71"/>
      <c r="AB25" s="72"/>
    </row>
    <row customHeight="1" ht="19.5">
      <c r="E26" s="607">
        <v>20</v>
      </c>
      <c r="AA26" s="71"/>
      <c r="AB26" s="72"/>
    </row>
    <row customHeight="1" ht="19.5">
      <c r="E27" s="607">
        <v>20</v>
      </c>
      <c r="AA27" s="71"/>
      <c r="AB27" s="72"/>
    </row>
    <row customHeight="1" ht="19.5">
      <c r="E28" s="607">
        <v>20</v>
      </c>
      <c r="AA28" s="71"/>
      <c r="AB28" s="72"/>
    </row>
    <row customHeight="1" ht="19.5">
      <c r="E29" s="607">
        <v>20</v>
      </c>
      <c r="AA29" s="71"/>
      <c r="AB29" s="72"/>
    </row>
    <row customHeight="1" ht="19.5">
      <c r="E30" s="607">
        <v>20</v>
      </c>
      <c r="AA30" s="71"/>
      <c r="AB30" s="72"/>
    </row>
    <row customHeight="1" ht="19.5">
      <c r="E31" s="607">
        <v>20</v>
      </c>
      <c r="AA31" s="71"/>
      <c r="AB31" s="72"/>
    </row>
    <row customHeight="1" ht="19.5" hidden="1">
      <c r="A32" s="1248"/>
      <c r="B32" s="1160"/>
      <c r="C32" s="1248"/>
      <c r="D32" s="1248"/>
      <c r="E32" s="607">
        <v>20</v>
      </c>
      <c r="F32" s="1248"/>
      <c r="G32" s="1248"/>
      <c r="H32" s="1248"/>
      <c r="I32" s="1248"/>
      <c r="J32" s="1248"/>
      <c r="K32" s="1248"/>
      <c r="L32" s="1248"/>
      <c r="M32" s="1248"/>
      <c r="N32" s="1248"/>
      <c r="O32" s="1248"/>
      <c r="P32" s="1248"/>
      <c r="Q32" s="1248"/>
      <c r="R32" s="1248"/>
      <c r="S32" s="1248"/>
      <c r="T32" s="1248"/>
      <c r="U32" s="1248"/>
      <c r="V32" s="1248"/>
      <c r="W32" s="532">
        <f>ROW(Z32)&gt;ROW(Z$32)</f>
        <v>0</v>
      </c>
      <c r="X32" s="1248"/>
      <c r="Y32" s="70" t="s">
        <v>261</v>
      </c>
      <c r="Z32" s="1248"/>
      <c r="AA32" s="642" t="s">
        <v>174</v>
      </c>
      <c r="AB32" s="5274"/>
      <c r="AC32" s="1248"/>
    </row>
    <row customHeight="1" ht="19.5">
      <c r="E33" s="607">
        <v>20</v>
      </c>
      <c r="Y33" s="810" t="s">
        <v>399</v>
      </c>
      <c r="AA33" s="71"/>
      <c r="AB33" s="725" t="s">
        <v>400</v>
      </c>
    </row>
    <row customHeight="1" ht="11.25">
      <c r="AA34" s="71"/>
      <c r="AB34" s="71"/>
      <c r="AC34" s="399"/>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81E268-3D28-E7C8-C248-07671978B6FA}" mc:Ignorable="x14ac xr xr2 xr3">
  <sheetPr>
    <tabColor rgb="FFFFCC99"/>
  </sheetPr>
  <dimension ref="A1:C230"/>
  <sheetViews>
    <sheetView topLeftCell="A1" showGridLines="0" workbookViewId="0">
      <selection activeCell="A1" sqref="A1"/>
    </sheetView>
  </sheetViews>
  <sheetFormatPr customHeight="1" defaultRowHeight="11.25"/>
  <cols>
    <col min="1" max="2" style="1310" width="36.57421875" customWidth="1"/>
    <col min="3" max="3" style="1310" width="12.57421875" customWidth="1"/>
  </cols>
  <sheetData>
    <row customHeight="1" ht="11.25">
      <c r="A1" s="1310" t="s">
        <v>2301</v>
      </c>
      <c r="B1" s="1310" t="s">
        <v>2302</v>
      </c>
      <c r="C1" s="1310" t="s">
        <v>2303</v>
      </c>
    </row>
    <row customHeight="1" ht="11.25">
      <c r="A2" s="1310" t="s">
        <v>2304</v>
      </c>
      <c r="B2" s="1310" t="s">
        <v>2304</v>
      </c>
      <c r="C2" s="1310" t="s">
        <v>2305</v>
      </c>
    </row>
    <row customHeight="1" ht="11.25">
      <c r="A3" s="1310" t="s">
        <v>2306</v>
      </c>
      <c r="B3" s="1310" t="s">
        <v>2306</v>
      </c>
      <c r="C3" s="1310" t="s">
        <v>2307</v>
      </c>
    </row>
    <row customHeight="1" ht="11.25">
      <c r="A4" s="1310" t="s">
        <v>2308</v>
      </c>
      <c r="B4" s="1310" t="s">
        <v>2308</v>
      </c>
      <c r="C4" s="1310" t="s">
        <v>2309</v>
      </c>
    </row>
    <row customHeight="1" ht="11.25">
      <c r="A5" s="1310" t="s">
        <v>2310</v>
      </c>
      <c r="B5" s="1310" t="s">
        <v>2310</v>
      </c>
      <c r="C5" s="1310" t="s">
        <v>2311</v>
      </c>
    </row>
    <row customHeight="1" ht="11.25">
      <c r="A6" s="1310" t="s">
        <v>2312</v>
      </c>
      <c r="B6" s="1310" t="s">
        <v>2312</v>
      </c>
      <c r="C6" s="1310" t="s">
        <v>2313</v>
      </c>
    </row>
    <row customHeight="1" ht="11.25">
      <c r="A7" s="1310" t="s">
        <v>2314</v>
      </c>
      <c r="B7" s="1310" t="s">
        <v>2314</v>
      </c>
      <c r="C7" s="1310" t="s">
        <v>2315</v>
      </c>
    </row>
    <row customHeight="1" ht="11.25">
      <c r="A8" s="1310" t="s">
        <v>2314</v>
      </c>
      <c r="B8" s="1310" t="s">
        <v>2314</v>
      </c>
      <c r="C8" s="1310" t="s">
        <v>2316</v>
      </c>
    </row>
    <row customHeight="1" ht="11.25">
      <c r="A9" s="1310" t="s">
        <v>2317</v>
      </c>
      <c r="B9" s="1310" t="s">
        <v>2317</v>
      </c>
      <c r="C9" s="1310" t="s">
        <v>2318</v>
      </c>
    </row>
    <row customHeight="1" ht="11.25">
      <c r="A10" s="1310" t="s">
        <v>2319</v>
      </c>
      <c r="B10" s="1310" t="s">
        <v>2319</v>
      </c>
      <c r="C10" s="1310" t="s">
        <v>2320</v>
      </c>
    </row>
    <row customHeight="1" ht="11.25">
      <c r="A11" s="1310" t="s">
        <v>2321</v>
      </c>
      <c r="B11" s="1310" t="s">
        <v>2321</v>
      </c>
      <c r="C11" s="1310" t="s">
        <v>2322</v>
      </c>
    </row>
    <row customHeight="1" ht="11.25">
      <c r="A12" s="1310" t="s">
        <v>346</v>
      </c>
      <c r="B12" s="1310" t="s">
        <v>346</v>
      </c>
      <c r="C12" s="1310" t="s">
        <v>347</v>
      </c>
    </row>
    <row customHeight="1" ht="11.25">
      <c r="A13" s="1310" t="s">
        <v>2323</v>
      </c>
      <c r="B13" s="1310" t="s">
        <v>2323</v>
      </c>
      <c r="C13" s="1310" t="s">
        <v>2324</v>
      </c>
    </row>
    <row customHeight="1" ht="11.25">
      <c r="A14" s="1310" t="s">
        <v>2325</v>
      </c>
      <c r="B14" s="1310" t="s">
        <v>2325</v>
      </c>
      <c r="C14" s="1310" t="s">
        <v>2326</v>
      </c>
    </row>
    <row customHeight="1" ht="11.25">
      <c r="A15" s="1310" t="s">
        <v>2327</v>
      </c>
      <c r="B15" s="1310" t="s">
        <v>2327</v>
      </c>
      <c r="C15" s="1310" t="s">
        <v>2328</v>
      </c>
    </row>
    <row customHeight="1" ht="11.25">
      <c r="A16" s="1310" t="s">
        <v>2329</v>
      </c>
      <c r="B16" s="1310" t="s">
        <v>2329</v>
      </c>
      <c r="C16" s="1310" t="s">
        <v>2330</v>
      </c>
    </row>
    <row customHeight="1" ht="11.25">
      <c r="A17" s="1310" t="s">
        <v>2331</v>
      </c>
      <c r="B17" s="1310" t="s">
        <v>2331</v>
      </c>
      <c r="C17" s="1310" t="s">
        <v>2332</v>
      </c>
    </row>
    <row customHeight="1" ht="11.25">
      <c r="A18" s="1310" t="s">
        <v>2333</v>
      </c>
      <c r="B18" s="1310" t="s">
        <v>2333</v>
      </c>
      <c r="C18" s="1310" t="s">
        <v>2334</v>
      </c>
    </row>
    <row customHeight="1" ht="11.25">
      <c r="A19" s="1310" t="s">
        <v>2335</v>
      </c>
      <c r="B19" s="1310" t="s">
        <v>2335</v>
      </c>
      <c r="C19" s="1310" t="s">
        <v>2336</v>
      </c>
    </row>
    <row customHeight="1" ht="11.25">
      <c r="A20" s="1310" t="s">
        <v>2337</v>
      </c>
      <c r="B20" s="1310" t="s">
        <v>2337</v>
      </c>
      <c r="C20" s="1310" t="s">
        <v>2338</v>
      </c>
    </row>
    <row customHeight="1" ht="11.25">
      <c r="A21" s="1310" t="s">
        <v>2339</v>
      </c>
      <c r="B21" s="1310" t="s">
        <v>2339</v>
      </c>
      <c r="C21" s="1310" t="s">
        <v>2340</v>
      </c>
    </row>
    <row customHeight="1" ht="11.25">
      <c r="A22" s="1310" t="s">
        <v>2341</v>
      </c>
      <c r="B22" s="1310" t="s">
        <v>2342</v>
      </c>
      <c r="C22" s="1310" t="s">
        <v>2343</v>
      </c>
    </row>
    <row customHeight="1" ht="11.25">
      <c r="A23" s="1310" t="s">
        <v>2341</v>
      </c>
      <c r="B23" s="1310" t="s">
        <v>2344</v>
      </c>
      <c r="C23" s="1310" t="s">
        <v>2345</v>
      </c>
    </row>
    <row customHeight="1" ht="11.25">
      <c r="A24" s="1310" t="s">
        <v>2341</v>
      </c>
      <c r="B24" s="1310" t="s">
        <v>2346</v>
      </c>
      <c r="C24" s="1310" t="s">
        <v>2347</v>
      </c>
    </row>
    <row customHeight="1" ht="11.25">
      <c r="A25" s="1310" t="s">
        <v>2341</v>
      </c>
      <c r="B25" s="1310" t="s">
        <v>2348</v>
      </c>
      <c r="C25" s="1310" t="s">
        <v>2349</v>
      </c>
    </row>
    <row customHeight="1" ht="11.25">
      <c r="A26" s="1310" t="s">
        <v>2341</v>
      </c>
      <c r="B26" s="1310" t="s">
        <v>2350</v>
      </c>
      <c r="C26" s="1310" t="s">
        <v>2351</v>
      </c>
    </row>
    <row customHeight="1" ht="11.25">
      <c r="A27" s="1310" t="s">
        <v>2341</v>
      </c>
      <c r="B27" s="1310" t="s">
        <v>2352</v>
      </c>
      <c r="C27" s="1310" t="s">
        <v>2353</v>
      </c>
    </row>
    <row customHeight="1" ht="11.25">
      <c r="A28" s="1310" t="s">
        <v>2341</v>
      </c>
      <c r="B28" s="1310" t="s">
        <v>2354</v>
      </c>
      <c r="C28" s="1310" t="s">
        <v>2355</v>
      </c>
    </row>
    <row customHeight="1" ht="11.25">
      <c r="A29" s="1310" t="s">
        <v>2341</v>
      </c>
      <c r="B29" s="1310" t="s">
        <v>2356</v>
      </c>
      <c r="C29" s="1310" t="s">
        <v>2357</v>
      </c>
    </row>
    <row customHeight="1" ht="11.25">
      <c r="A30" s="1310" t="s">
        <v>2358</v>
      </c>
      <c r="B30" s="1310" t="s">
        <v>2359</v>
      </c>
      <c r="C30" s="1310" t="s">
        <v>2360</v>
      </c>
    </row>
    <row customHeight="1" ht="11.25">
      <c r="A31" s="1310" t="s">
        <v>2358</v>
      </c>
      <c r="B31" s="1310" t="s">
        <v>2361</v>
      </c>
      <c r="C31" s="1310" t="s">
        <v>2362</v>
      </c>
    </row>
    <row customHeight="1" ht="11.25">
      <c r="A32" s="1310" t="s">
        <v>2358</v>
      </c>
      <c r="B32" s="1310" t="s">
        <v>2363</v>
      </c>
      <c r="C32" s="1310" t="s">
        <v>2364</v>
      </c>
    </row>
    <row customHeight="1" ht="11.25">
      <c r="A33" s="1310" t="s">
        <v>2358</v>
      </c>
      <c r="B33" s="1310" t="s">
        <v>2365</v>
      </c>
      <c r="C33" s="1310" t="s">
        <v>2366</v>
      </c>
    </row>
    <row customHeight="1" ht="11.25">
      <c r="A34" s="1310" t="s">
        <v>2358</v>
      </c>
      <c r="B34" s="1310" t="s">
        <v>2367</v>
      </c>
      <c r="C34" s="1310" t="s">
        <v>2368</v>
      </c>
    </row>
    <row customHeight="1" ht="11.25">
      <c r="A35" s="1310" t="s">
        <v>2358</v>
      </c>
      <c r="B35" s="1310" t="s">
        <v>2369</v>
      </c>
      <c r="C35" s="1310" t="s">
        <v>2370</v>
      </c>
    </row>
    <row customHeight="1" ht="11.25">
      <c r="A36" s="1310" t="s">
        <v>2358</v>
      </c>
      <c r="B36" s="1310" t="s">
        <v>2371</v>
      </c>
      <c r="C36" s="1310" t="s">
        <v>2372</v>
      </c>
    </row>
    <row customHeight="1" ht="11.25">
      <c r="A37" s="1310" t="s">
        <v>2358</v>
      </c>
      <c r="B37" s="1310" t="s">
        <v>2373</v>
      </c>
      <c r="C37" s="1310" t="s">
        <v>2374</v>
      </c>
    </row>
    <row customHeight="1" ht="11.25">
      <c r="A38" s="1310" t="s">
        <v>2358</v>
      </c>
      <c r="B38" s="1310" t="s">
        <v>2375</v>
      </c>
      <c r="C38" s="1310" t="s">
        <v>2376</v>
      </c>
    </row>
    <row customHeight="1" ht="11.25">
      <c r="A39" s="1310" t="s">
        <v>2377</v>
      </c>
      <c r="B39" s="1310" t="s">
        <v>2378</v>
      </c>
      <c r="C39" s="1310" t="s">
        <v>2379</v>
      </c>
    </row>
    <row customHeight="1" ht="11.25">
      <c r="A40" s="1310" t="s">
        <v>2377</v>
      </c>
      <c r="B40" s="1310" t="s">
        <v>2380</v>
      </c>
      <c r="C40" s="1310" t="s">
        <v>2381</v>
      </c>
    </row>
    <row customHeight="1" ht="11.25">
      <c r="A41" s="1310" t="s">
        <v>2377</v>
      </c>
      <c r="B41" s="1310" t="s">
        <v>2382</v>
      </c>
      <c r="C41" s="1310" t="s">
        <v>2383</v>
      </c>
    </row>
    <row customHeight="1" ht="11.25">
      <c r="A42" s="1310" t="s">
        <v>2377</v>
      </c>
      <c r="B42" s="1310" t="s">
        <v>2384</v>
      </c>
      <c r="C42" s="1310" t="s">
        <v>2385</v>
      </c>
    </row>
    <row customHeight="1" ht="11.25">
      <c r="A43" s="1310" t="s">
        <v>2377</v>
      </c>
      <c r="B43" s="1310" t="s">
        <v>2386</v>
      </c>
      <c r="C43" s="1310" t="s">
        <v>2387</v>
      </c>
    </row>
    <row customHeight="1" ht="11.25">
      <c r="A44" s="1310" t="s">
        <v>2377</v>
      </c>
      <c r="B44" s="1310" t="s">
        <v>2388</v>
      </c>
      <c r="C44" s="1310" t="s">
        <v>2389</v>
      </c>
    </row>
    <row customHeight="1" ht="11.25">
      <c r="A45" s="1310" t="s">
        <v>2377</v>
      </c>
      <c r="B45" s="1310" t="s">
        <v>2390</v>
      </c>
      <c r="C45" s="1310" t="s">
        <v>2391</v>
      </c>
    </row>
    <row customHeight="1" ht="11.25">
      <c r="A46" s="1310" t="s">
        <v>2392</v>
      </c>
      <c r="B46" s="1310" t="s">
        <v>2393</v>
      </c>
      <c r="C46" s="1310" t="s">
        <v>2394</v>
      </c>
    </row>
    <row customHeight="1" ht="11.25">
      <c r="A47" s="1310" t="s">
        <v>2392</v>
      </c>
      <c r="B47" s="1310" t="s">
        <v>2395</v>
      </c>
      <c r="C47" s="1310" t="s">
        <v>2396</v>
      </c>
    </row>
    <row customHeight="1" ht="11.25">
      <c r="A48" s="1310" t="s">
        <v>2392</v>
      </c>
      <c r="B48" s="1310" t="s">
        <v>2397</v>
      </c>
      <c r="C48" s="1310" t="s">
        <v>2398</v>
      </c>
    </row>
    <row customHeight="1" ht="11.25">
      <c r="A49" s="1310" t="s">
        <v>2392</v>
      </c>
      <c r="B49" s="1310" t="s">
        <v>2399</v>
      </c>
      <c r="C49" s="1310" t="s">
        <v>2400</v>
      </c>
    </row>
    <row customHeight="1" ht="11.25">
      <c r="A50" s="1310" t="s">
        <v>2392</v>
      </c>
      <c r="B50" s="1310" t="s">
        <v>2401</v>
      </c>
      <c r="C50" s="1310" t="s">
        <v>2402</v>
      </c>
    </row>
    <row customHeight="1" ht="11.25">
      <c r="A51" s="1310" t="s">
        <v>2392</v>
      </c>
      <c r="B51" s="1310" t="s">
        <v>2403</v>
      </c>
      <c r="C51" s="1310" t="s">
        <v>2404</v>
      </c>
    </row>
    <row customHeight="1" ht="11.25">
      <c r="A52" s="1310" t="s">
        <v>2392</v>
      </c>
      <c r="B52" s="1310" t="s">
        <v>2405</v>
      </c>
      <c r="C52" s="1310" t="s">
        <v>2406</v>
      </c>
    </row>
    <row customHeight="1" ht="11.25">
      <c r="A53" s="1310" t="s">
        <v>2392</v>
      </c>
      <c r="B53" s="1310" t="s">
        <v>2407</v>
      </c>
      <c r="C53" s="1310" t="s">
        <v>2408</v>
      </c>
    </row>
    <row customHeight="1" ht="11.25">
      <c r="A54" s="1310" t="s">
        <v>2392</v>
      </c>
      <c r="B54" s="1310" t="s">
        <v>2409</v>
      </c>
      <c r="C54" s="1310" t="s">
        <v>2410</v>
      </c>
    </row>
    <row customHeight="1" ht="11.25">
      <c r="A55" s="1310" t="s">
        <v>2411</v>
      </c>
      <c r="B55" s="1310" t="s">
        <v>2411</v>
      </c>
      <c r="C55" s="1310" t="s">
        <v>2412</v>
      </c>
    </row>
    <row customHeight="1" ht="11.25">
      <c r="A56" s="1310" t="s">
        <v>2411</v>
      </c>
      <c r="B56" s="1310" t="s">
        <v>2413</v>
      </c>
      <c r="C56" s="1310" t="s">
        <v>2414</v>
      </c>
    </row>
    <row customHeight="1" ht="11.25">
      <c r="A57" s="1310" t="s">
        <v>2411</v>
      </c>
      <c r="B57" s="1310" t="s">
        <v>2415</v>
      </c>
      <c r="C57" s="1310" t="s">
        <v>2416</v>
      </c>
    </row>
    <row customHeight="1" ht="11.25">
      <c r="A58" s="1310" t="s">
        <v>2411</v>
      </c>
      <c r="B58" s="1310" t="s">
        <v>2417</v>
      </c>
      <c r="C58" s="1310" t="s">
        <v>2418</v>
      </c>
    </row>
    <row customHeight="1" ht="11.25">
      <c r="A59" s="1310" t="s">
        <v>2411</v>
      </c>
      <c r="B59" s="1310" t="s">
        <v>2419</v>
      </c>
      <c r="C59" s="1310" t="s">
        <v>2420</v>
      </c>
    </row>
    <row customHeight="1" ht="11.25">
      <c r="A60" s="1310" t="s">
        <v>2411</v>
      </c>
      <c r="B60" s="1310" t="s">
        <v>2421</v>
      </c>
      <c r="C60" s="1310" t="s">
        <v>2422</v>
      </c>
    </row>
    <row customHeight="1" ht="11.25">
      <c r="A61" s="1310" t="s">
        <v>2411</v>
      </c>
      <c r="B61" s="1310" t="s">
        <v>2423</v>
      </c>
      <c r="C61" s="1310" t="s">
        <v>2424</v>
      </c>
    </row>
    <row customHeight="1" ht="11.25">
      <c r="A62" s="1310" t="s">
        <v>2411</v>
      </c>
      <c r="B62" s="1310" t="s">
        <v>2425</v>
      </c>
      <c r="C62" s="1310" t="s">
        <v>2426</v>
      </c>
    </row>
    <row customHeight="1" ht="11.25">
      <c r="A63" s="1310" t="s">
        <v>2411</v>
      </c>
      <c r="B63" s="1310" t="s">
        <v>2427</v>
      </c>
      <c r="C63" s="1310" t="s">
        <v>2428</v>
      </c>
    </row>
    <row customHeight="1" ht="11.25">
      <c r="A64" s="1310" t="s">
        <v>2411</v>
      </c>
      <c r="B64" s="1310" t="s">
        <v>2429</v>
      </c>
      <c r="C64" s="1310" t="s">
        <v>2430</v>
      </c>
    </row>
    <row customHeight="1" ht="11.25">
      <c r="A65" s="1310" t="s">
        <v>2411</v>
      </c>
      <c r="B65" s="1310" t="s">
        <v>2431</v>
      </c>
      <c r="C65" s="1310" t="s">
        <v>2432</v>
      </c>
    </row>
    <row customHeight="1" ht="11.25">
      <c r="A66" s="1310" t="s">
        <v>2411</v>
      </c>
      <c r="B66" s="1310" t="s">
        <v>2433</v>
      </c>
      <c r="C66" s="1310" t="s">
        <v>2434</v>
      </c>
    </row>
    <row customHeight="1" ht="11.25">
      <c r="A67" s="1310" t="s">
        <v>2435</v>
      </c>
      <c r="B67" s="1310" t="s">
        <v>2435</v>
      </c>
      <c r="C67" s="1310" t="s">
        <v>2436</v>
      </c>
    </row>
    <row customHeight="1" ht="11.25">
      <c r="A68" s="1310" t="s">
        <v>2435</v>
      </c>
      <c r="B68" s="1310" t="s">
        <v>2437</v>
      </c>
      <c r="C68" s="1310" t="s">
        <v>2438</v>
      </c>
    </row>
    <row customHeight="1" ht="11.25">
      <c r="A69" s="1310" t="s">
        <v>2435</v>
      </c>
      <c r="B69" s="1310" t="s">
        <v>2439</v>
      </c>
      <c r="C69" s="1310" t="s">
        <v>2440</v>
      </c>
    </row>
    <row customHeight="1" ht="11.25">
      <c r="A70" s="1310" t="s">
        <v>2435</v>
      </c>
      <c r="B70" s="1310" t="s">
        <v>2441</v>
      </c>
      <c r="C70" s="1310" t="s">
        <v>2442</v>
      </c>
    </row>
    <row customHeight="1" ht="11.25">
      <c r="A71" s="1310" t="s">
        <v>2435</v>
      </c>
      <c r="B71" s="1310" t="s">
        <v>2443</v>
      </c>
      <c r="C71" s="1310" t="s">
        <v>2444</v>
      </c>
    </row>
    <row customHeight="1" ht="11.25">
      <c r="A72" s="1310" t="s">
        <v>2435</v>
      </c>
      <c r="B72" s="1310" t="s">
        <v>2445</v>
      </c>
      <c r="C72" s="1310" t="s">
        <v>2446</v>
      </c>
    </row>
    <row customHeight="1" ht="11.25">
      <c r="A73" s="1310" t="s">
        <v>2435</v>
      </c>
      <c r="B73" s="1310" t="s">
        <v>2447</v>
      </c>
      <c r="C73" s="1310" t="s">
        <v>2448</v>
      </c>
    </row>
    <row customHeight="1" ht="11.25">
      <c r="A74" s="1310" t="s">
        <v>2435</v>
      </c>
      <c r="B74" s="1310" t="s">
        <v>2449</v>
      </c>
      <c r="C74" s="1310" t="s">
        <v>2450</v>
      </c>
    </row>
    <row customHeight="1" ht="11.25">
      <c r="A75" s="1310" t="s">
        <v>2435</v>
      </c>
      <c r="B75" s="1310" t="s">
        <v>2451</v>
      </c>
      <c r="C75" s="1310" t="s">
        <v>2452</v>
      </c>
    </row>
    <row customHeight="1" ht="11.25">
      <c r="A76" s="1310" t="s">
        <v>2453</v>
      </c>
      <c r="B76" s="1310" t="s">
        <v>2454</v>
      </c>
      <c r="C76" s="1310" t="s">
        <v>2455</v>
      </c>
    </row>
    <row customHeight="1" ht="11.25">
      <c r="A77" s="1310" t="s">
        <v>2453</v>
      </c>
      <c r="B77" s="1310" t="s">
        <v>2456</v>
      </c>
      <c r="C77" s="1310" t="s">
        <v>2457</v>
      </c>
    </row>
    <row customHeight="1" ht="11.25">
      <c r="A78" s="1310" t="s">
        <v>2453</v>
      </c>
      <c r="B78" s="1310" t="s">
        <v>2458</v>
      </c>
      <c r="C78" s="1310" t="s">
        <v>2459</v>
      </c>
    </row>
    <row customHeight="1" ht="11.25">
      <c r="A79" s="1310" t="s">
        <v>2453</v>
      </c>
      <c r="B79" s="1310" t="s">
        <v>2460</v>
      </c>
      <c r="C79" s="1310" t="s">
        <v>2461</v>
      </c>
    </row>
    <row customHeight="1" ht="11.25">
      <c r="A80" s="1310" t="s">
        <v>2453</v>
      </c>
      <c r="B80" s="1310" t="s">
        <v>2462</v>
      </c>
      <c r="C80" s="1310" t="s">
        <v>2463</v>
      </c>
    </row>
    <row customHeight="1" ht="11.25">
      <c r="A81" s="1310" t="s">
        <v>2453</v>
      </c>
      <c r="B81" s="1310" t="s">
        <v>2464</v>
      </c>
      <c r="C81" s="1310" t="s">
        <v>2465</v>
      </c>
    </row>
    <row customHeight="1" ht="11.25">
      <c r="A82" s="1310" t="s">
        <v>2453</v>
      </c>
      <c r="B82" s="1310" t="s">
        <v>2466</v>
      </c>
      <c r="C82" s="1310" t="s">
        <v>2467</v>
      </c>
    </row>
    <row customHeight="1" ht="11.25">
      <c r="A83" s="1310" t="s">
        <v>2453</v>
      </c>
      <c r="B83" s="1310" t="s">
        <v>2468</v>
      </c>
      <c r="C83" s="1310" t="s">
        <v>2469</v>
      </c>
    </row>
    <row customHeight="1" ht="11.25">
      <c r="A84" s="1310" t="s">
        <v>2453</v>
      </c>
      <c r="B84" s="1310" t="s">
        <v>2470</v>
      </c>
      <c r="C84" s="1310" t="s">
        <v>2471</v>
      </c>
    </row>
    <row customHeight="1" ht="11.25">
      <c r="A85" s="1310" t="s">
        <v>2453</v>
      </c>
      <c r="B85" s="1310" t="s">
        <v>2472</v>
      </c>
      <c r="C85" s="1310" t="s">
        <v>2473</v>
      </c>
    </row>
    <row customHeight="1" ht="11.25">
      <c r="A86" s="1310" t="s">
        <v>2453</v>
      </c>
      <c r="B86" s="1310" t="s">
        <v>2474</v>
      </c>
      <c r="C86" s="1310" t="s">
        <v>2475</v>
      </c>
    </row>
    <row customHeight="1" ht="11.25">
      <c r="A87" s="1310" t="s">
        <v>2453</v>
      </c>
      <c r="B87" s="1310" t="s">
        <v>2476</v>
      </c>
      <c r="C87" s="1310" t="s">
        <v>2477</v>
      </c>
    </row>
    <row customHeight="1" ht="11.25">
      <c r="A88" s="1310" t="s">
        <v>2453</v>
      </c>
      <c r="B88" s="1310" t="s">
        <v>2478</v>
      </c>
      <c r="C88" s="1310" t="s">
        <v>2479</v>
      </c>
    </row>
    <row customHeight="1" ht="11.25">
      <c r="A89" s="1310" t="s">
        <v>2480</v>
      </c>
      <c r="B89" s="1310" t="s">
        <v>2480</v>
      </c>
      <c r="C89" s="1310" t="s">
        <v>2481</v>
      </c>
    </row>
    <row customHeight="1" ht="11.25">
      <c r="A90" s="1310" t="s">
        <v>2480</v>
      </c>
      <c r="B90" s="1310" t="s">
        <v>2482</v>
      </c>
      <c r="C90" s="1310" t="s">
        <v>2483</v>
      </c>
    </row>
    <row customHeight="1" ht="11.25">
      <c r="A91" s="1310" t="s">
        <v>2480</v>
      </c>
      <c r="B91" s="1310" t="s">
        <v>2484</v>
      </c>
      <c r="C91" s="1310" t="s">
        <v>2485</v>
      </c>
    </row>
    <row customHeight="1" ht="11.25">
      <c r="A92" s="1310" t="s">
        <v>2480</v>
      </c>
      <c r="B92" s="1310" t="s">
        <v>2486</v>
      </c>
      <c r="C92" s="1310" t="s">
        <v>2487</v>
      </c>
    </row>
    <row customHeight="1" ht="11.25">
      <c r="A93" s="1310" t="s">
        <v>2480</v>
      </c>
      <c r="B93" s="1310" t="s">
        <v>2488</v>
      </c>
      <c r="C93" s="1310" t="s">
        <v>2489</v>
      </c>
    </row>
    <row customHeight="1" ht="11.25">
      <c r="A94" s="1310" t="s">
        <v>2480</v>
      </c>
      <c r="B94" s="1310" t="s">
        <v>2490</v>
      </c>
      <c r="C94" s="1310" t="s">
        <v>2491</v>
      </c>
    </row>
    <row customHeight="1" ht="11.25">
      <c r="A95" s="1310" t="s">
        <v>2480</v>
      </c>
      <c r="B95" s="1310" t="s">
        <v>2492</v>
      </c>
      <c r="C95" s="1310" t="s">
        <v>2493</v>
      </c>
    </row>
    <row customHeight="1" ht="11.25">
      <c r="A96" s="1310" t="s">
        <v>2480</v>
      </c>
      <c r="B96" s="1310" t="s">
        <v>2490</v>
      </c>
      <c r="C96" s="1310" t="s">
        <v>2494</v>
      </c>
    </row>
    <row customHeight="1" ht="11.25">
      <c r="A97" s="1310" t="s">
        <v>2480</v>
      </c>
      <c r="B97" s="1310" t="s">
        <v>2495</v>
      </c>
      <c r="C97" s="1310" t="s">
        <v>2496</v>
      </c>
    </row>
    <row customHeight="1" ht="11.25">
      <c r="A98" s="1310" t="s">
        <v>2480</v>
      </c>
      <c r="B98" s="1310" t="s">
        <v>2497</v>
      </c>
      <c r="C98" s="1310" t="s">
        <v>2498</v>
      </c>
    </row>
    <row customHeight="1" ht="11.25">
      <c r="A99" s="1310" t="s">
        <v>2480</v>
      </c>
      <c r="B99" s="1310" t="s">
        <v>2499</v>
      </c>
      <c r="C99" s="1310" t="s">
        <v>2500</v>
      </c>
    </row>
    <row customHeight="1" ht="11.25">
      <c r="A100" s="1310" t="s">
        <v>2480</v>
      </c>
      <c r="B100" s="1310" t="s">
        <v>2501</v>
      </c>
      <c r="C100" s="1310" t="s">
        <v>2502</v>
      </c>
    </row>
    <row customHeight="1" ht="11.25">
      <c r="A101" s="1310" t="s">
        <v>2480</v>
      </c>
      <c r="B101" s="1310" t="s">
        <v>2503</v>
      </c>
      <c r="C101" s="1310" t="s">
        <v>2504</v>
      </c>
    </row>
    <row customHeight="1" ht="11.25">
      <c r="A102" s="1310" t="s">
        <v>2480</v>
      </c>
      <c r="B102" s="1310" t="s">
        <v>2505</v>
      </c>
      <c r="C102" s="1310" t="s">
        <v>2506</v>
      </c>
    </row>
    <row customHeight="1" ht="11.25">
      <c r="A103" s="1310" t="s">
        <v>2480</v>
      </c>
      <c r="B103" s="1310" t="s">
        <v>2507</v>
      </c>
      <c r="C103" s="1310" t="s">
        <v>2508</v>
      </c>
    </row>
    <row customHeight="1" ht="11.25">
      <c r="A104" s="1310" t="s">
        <v>2480</v>
      </c>
      <c r="B104" s="1310" t="s">
        <v>2509</v>
      </c>
      <c r="C104" s="1310" t="s">
        <v>2510</v>
      </c>
    </row>
    <row customHeight="1" ht="11.25">
      <c r="A105" s="1310" t="s">
        <v>2480</v>
      </c>
      <c r="B105" s="1310" t="s">
        <v>2511</v>
      </c>
      <c r="C105" s="1310" t="s">
        <v>2512</v>
      </c>
    </row>
    <row customHeight="1" ht="11.25">
      <c r="A106" s="1310" t="s">
        <v>2480</v>
      </c>
      <c r="B106" s="1310" t="s">
        <v>2511</v>
      </c>
      <c r="C106" s="1310" t="s">
        <v>2513</v>
      </c>
    </row>
    <row customHeight="1" ht="11.25">
      <c r="A107" s="1310" t="s">
        <v>2480</v>
      </c>
      <c r="B107" s="1310" t="s">
        <v>2482</v>
      </c>
      <c r="C107" s="1310" t="s">
        <v>2514</v>
      </c>
    </row>
    <row customHeight="1" ht="11.25">
      <c r="A108" s="1310" t="s">
        <v>2515</v>
      </c>
      <c r="B108" s="1310" t="s">
        <v>2516</v>
      </c>
      <c r="C108" s="1310" t="s">
        <v>2517</v>
      </c>
    </row>
    <row customHeight="1" ht="11.25">
      <c r="A109" s="1310" t="s">
        <v>2515</v>
      </c>
      <c r="B109" s="1310" t="s">
        <v>2518</v>
      </c>
      <c r="C109" s="1310" t="s">
        <v>2519</v>
      </c>
    </row>
    <row customHeight="1" ht="11.25">
      <c r="A110" s="1310" t="s">
        <v>2515</v>
      </c>
      <c r="B110" s="1310" t="s">
        <v>2520</v>
      </c>
      <c r="C110" s="1310" t="s">
        <v>2521</v>
      </c>
    </row>
    <row customHeight="1" ht="11.25">
      <c r="A111" s="1310" t="s">
        <v>2515</v>
      </c>
      <c r="B111" s="1310" t="s">
        <v>2522</v>
      </c>
      <c r="C111" s="1310" t="s">
        <v>2523</v>
      </c>
    </row>
    <row customHeight="1" ht="11.25">
      <c r="A112" s="1310" t="s">
        <v>2515</v>
      </c>
      <c r="B112" s="1310" t="s">
        <v>2524</v>
      </c>
      <c r="C112" s="1310" t="s">
        <v>2525</v>
      </c>
    </row>
    <row customHeight="1" ht="11.25">
      <c r="A113" s="1310" t="s">
        <v>2515</v>
      </c>
      <c r="B113" s="1310" t="s">
        <v>2526</v>
      </c>
      <c r="C113" s="1310" t="s">
        <v>2527</v>
      </c>
    </row>
    <row customHeight="1" ht="11.25">
      <c r="A114" s="1310" t="s">
        <v>2515</v>
      </c>
      <c r="B114" s="1310" t="s">
        <v>2528</v>
      </c>
      <c r="C114" s="1310" t="s">
        <v>2529</v>
      </c>
    </row>
    <row customHeight="1" ht="11.25">
      <c r="A115" s="1310" t="s">
        <v>2515</v>
      </c>
      <c r="B115" s="1310" t="s">
        <v>2530</v>
      </c>
      <c r="C115" s="1310" t="s">
        <v>2531</v>
      </c>
    </row>
    <row customHeight="1" ht="11.25">
      <c r="A116" s="1310" t="s">
        <v>2515</v>
      </c>
      <c r="B116" s="1310" t="s">
        <v>2532</v>
      </c>
      <c r="C116" s="1310" t="s">
        <v>2533</v>
      </c>
    </row>
    <row customHeight="1" ht="11.25">
      <c r="A117" s="1310" t="s">
        <v>2515</v>
      </c>
      <c r="B117" s="1310" t="s">
        <v>2534</v>
      </c>
      <c r="C117" s="1310" t="s">
        <v>2535</v>
      </c>
    </row>
    <row customHeight="1" ht="11.25">
      <c r="A118" s="1310" t="s">
        <v>2536</v>
      </c>
      <c r="B118" s="1310" t="s">
        <v>2536</v>
      </c>
      <c r="C118" s="1310" t="s">
        <v>2537</v>
      </c>
    </row>
    <row customHeight="1" ht="11.25">
      <c r="A119" s="1310" t="s">
        <v>2536</v>
      </c>
      <c r="B119" s="1310" t="s">
        <v>2538</v>
      </c>
      <c r="C119" s="1310" t="s">
        <v>2539</v>
      </c>
    </row>
    <row customHeight="1" ht="11.25">
      <c r="A120" s="1310" t="s">
        <v>2536</v>
      </c>
      <c r="B120" s="1310" t="s">
        <v>2540</v>
      </c>
      <c r="C120" s="1310" t="s">
        <v>2541</v>
      </c>
    </row>
    <row customHeight="1" ht="11.25">
      <c r="A121" s="1310" t="s">
        <v>2536</v>
      </c>
      <c r="B121" s="1310" t="s">
        <v>2542</v>
      </c>
      <c r="C121" s="1310" t="s">
        <v>2543</v>
      </c>
    </row>
    <row customHeight="1" ht="11.25">
      <c r="A122" s="1310" t="s">
        <v>2536</v>
      </c>
      <c r="B122" s="1310" t="s">
        <v>2544</v>
      </c>
      <c r="C122" s="1310" t="s">
        <v>2545</v>
      </c>
    </row>
    <row customHeight="1" ht="11.25">
      <c r="A123" s="1310" t="s">
        <v>2536</v>
      </c>
      <c r="B123" s="1310" t="s">
        <v>2546</v>
      </c>
      <c r="C123" s="1310" t="s">
        <v>2547</v>
      </c>
    </row>
    <row customHeight="1" ht="11.25">
      <c r="A124" s="1310" t="s">
        <v>2536</v>
      </c>
      <c r="B124" s="1310" t="s">
        <v>2548</v>
      </c>
      <c r="C124" s="1310" t="s">
        <v>2549</v>
      </c>
    </row>
    <row customHeight="1" ht="11.25">
      <c r="A125" s="1310" t="s">
        <v>2536</v>
      </c>
      <c r="B125" s="1310" t="s">
        <v>2550</v>
      </c>
      <c r="C125" s="1310" t="s">
        <v>2551</v>
      </c>
    </row>
    <row customHeight="1" ht="11.25">
      <c r="A126" s="1310" t="s">
        <v>2536</v>
      </c>
      <c r="B126" s="1310" t="s">
        <v>2552</v>
      </c>
      <c r="C126" s="1310" t="s">
        <v>2553</v>
      </c>
    </row>
    <row customHeight="1" ht="11.25">
      <c r="A127" s="1310" t="s">
        <v>2536</v>
      </c>
      <c r="B127" s="1310" t="s">
        <v>2554</v>
      </c>
      <c r="C127" s="1310" t="s">
        <v>2555</v>
      </c>
    </row>
    <row customHeight="1" ht="11.25">
      <c r="A128" s="1310" t="s">
        <v>2536</v>
      </c>
      <c r="B128" s="1310" t="s">
        <v>2556</v>
      </c>
      <c r="C128" s="1310" t="s">
        <v>2557</v>
      </c>
    </row>
    <row customHeight="1" ht="11.25">
      <c r="A129" s="1310" t="s">
        <v>2536</v>
      </c>
      <c r="B129" s="1310" t="s">
        <v>2558</v>
      </c>
      <c r="C129" s="1310" t="s">
        <v>2559</v>
      </c>
    </row>
    <row customHeight="1" ht="11.25">
      <c r="A130" s="1310" t="s">
        <v>2560</v>
      </c>
      <c r="B130" s="1310" t="s">
        <v>2561</v>
      </c>
      <c r="C130" s="1310" t="s">
        <v>2562</v>
      </c>
    </row>
    <row customHeight="1" ht="11.25">
      <c r="A131" s="1310" t="s">
        <v>2560</v>
      </c>
      <c r="B131" s="1310" t="s">
        <v>2563</v>
      </c>
      <c r="C131" s="1310" t="s">
        <v>2564</v>
      </c>
    </row>
    <row customHeight="1" ht="11.25">
      <c r="A132" s="1310" t="s">
        <v>2560</v>
      </c>
      <c r="B132" s="1310" t="s">
        <v>2565</v>
      </c>
      <c r="C132" s="1310" t="s">
        <v>2566</v>
      </c>
    </row>
    <row customHeight="1" ht="11.25">
      <c r="A133" s="1310" t="s">
        <v>2560</v>
      </c>
      <c r="B133" s="1310" t="s">
        <v>2567</v>
      </c>
      <c r="C133" s="1310" t="s">
        <v>2568</v>
      </c>
    </row>
    <row customHeight="1" ht="11.25">
      <c r="A134" s="1310" t="s">
        <v>2560</v>
      </c>
      <c r="B134" s="1310" t="s">
        <v>2569</v>
      </c>
      <c r="C134" s="1310" t="s">
        <v>2570</v>
      </c>
    </row>
    <row customHeight="1" ht="11.25">
      <c r="A135" s="1310" t="s">
        <v>2560</v>
      </c>
      <c r="B135" s="1310" t="s">
        <v>2571</v>
      </c>
      <c r="C135" s="1310" t="s">
        <v>2572</v>
      </c>
    </row>
    <row customHeight="1" ht="11.25">
      <c r="A136" s="1310" t="s">
        <v>2560</v>
      </c>
      <c r="B136" s="1310" t="s">
        <v>2573</v>
      </c>
      <c r="C136" s="1310" t="s">
        <v>2574</v>
      </c>
    </row>
    <row customHeight="1" ht="11.25">
      <c r="A137" s="1310" t="s">
        <v>2560</v>
      </c>
      <c r="B137" s="1310" t="s">
        <v>2575</v>
      </c>
      <c r="C137" s="1310" t="s">
        <v>2576</v>
      </c>
    </row>
    <row customHeight="1" ht="11.25">
      <c r="A138" s="1310" t="s">
        <v>2560</v>
      </c>
      <c r="B138" s="1310" t="s">
        <v>2577</v>
      </c>
      <c r="C138" s="1310" t="s">
        <v>2578</v>
      </c>
    </row>
    <row customHeight="1" ht="11.25">
      <c r="A139" s="1310" t="s">
        <v>2560</v>
      </c>
      <c r="B139" s="1310" t="s">
        <v>2579</v>
      </c>
      <c r="C139" s="1310" t="s">
        <v>2580</v>
      </c>
    </row>
    <row customHeight="1" ht="11.25">
      <c r="A140" s="1310" t="s">
        <v>2581</v>
      </c>
      <c r="B140" s="1310" t="s">
        <v>2581</v>
      </c>
      <c r="C140" s="1310" t="s">
        <v>2582</v>
      </c>
    </row>
    <row customHeight="1" ht="11.25">
      <c r="A141" s="1310" t="s">
        <v>2581</v>
      </c>
      <c r="B141" s="1310" t="s">
        <v>2583</v>
      </c>
      <c r="C141" s="1310" t="s">
        <v>2584</v>
      </c>
    </row>
    <row customHeight="1" ht="11.25">
      <c r="A142" s="1310" t="s">
        <v>2581</v>
      </c>
      <c r="B142" s="1310" t="s">
        <v>2585</v>
      </c>
      <c r="C142" s="1310" t="s">
        <v>2586</v>
      </c>
    </row>
    <row customHeight="1" ht="11.25">
      <c r="A143" s="1310" t="s">
        <v>2581</v>
      </c>
      <c r="B143" s="1310" t="s">
        <v>2587</v>
      </c>
      <c r="C143" s="1310" t="s">
        <v>2588</v>
      </c>
    </row>
    <row customHeight="1" ht="11.25">
      <c r="A144" s="1310" t="s">
        <v>2581</v>
      </c>
      <c r="B144" s="1310" t="s">
        <v>2589</v>
      </c>
      <c r="C144" s="1310" t="s">
        <v>2590</v>
      </c>
    </row>
    <row customHeight="1" ht="11.25">
      <c r="A145" s="1310" t="s">
        <v>2581</v>
      </c>
      <c r="B145" s="1310" t="s">
        <v>2591</v>
      </c>
      <c r="C145" s="1310" t="s">
        <v>2592</v>
      </c>
    </row>
    <row customHeight="1" ht="11.25">
      <c r="A146" s="1310" t="s">
        <v>2581</v>
      </c>
      <c r="B146" s="1310" t="s">
        <v>2593</v>
      </c>
      <c r="C146" s="1310" t="s">
        <v>2594</v>
      </c>
    </row>
    <row customHeight="1" ht="11.25">
      <c r="A147" s="1310" t="s">
        <v>2581</v>
      </c>
      <c r="B147" s="1310" t="s">
        <v>2595</v>
      </c>
      <c r="C147" s="1310" t="s">
        <v>2596</v>
      </c>
    </row>
    <row customHeight="1" ht="11.25">
      <c r="A148" s="1310" t="s">
        <v>2581</v>
      </c>
      <c r="B148" s="1310" t="s">
        <v>2597</v>
      </c>
      <c r="C148" s="1310" t="s">
        <v>2598</v>
      </c>
    </row>
    <row customHeight="1" ht="11.25">
      <c r="A149" s="1310" t="s">
        <v>2581</v>
      </c>
      <c r="B149" s="1310" t="s">
        <v>2599</v>
      </c>
      <c r="C149" s="1310" t="s">
        <v>2600</v>
      </c>
    </row>
    <row customHeight="1" ht="11.25">
      <c r="A150" s="1310" t="s">
        <v>2581</v>
      </c>
      <c r="B150" s="1310" t="s">
        <v>2601</v>
      </c>
      <c r="C150" s="1310" t="s">
        <v>2602</v>
      </c>
    </row>
    <row customHeight="1" ht="11.25">
      <c r="A151" s="1310" t="s">
        <v>2581</v>
      </c>
      <c r="B151" s="1310" t="s">
        <v>2603</v>
      </c>
      <c r="C151" s="1310" t="s">
        <v>2604</v>
      </c>
    </row>
    <row customHeight="1" ht="11.25">
      <c r="A152" s="1310" t="s">
        <v>2581</v>
      </c>
      <c r="B152" s="1310" t="s">
        <v>2605</v>
      </c>
      <c r="C152" s="1310" t="s">
        <v>2606</v>
      </c>
    </row>
    <row customHeight="1" ht="11.25">
      <c r="A153" s="1310" t="s">
        <v>2581</v>
      </c>
      <c r="B153" s="1310" t="s">
        <v>2607</v>
      </c>
      <c r="C153" s="1310" t="s">
        <v>2608</v>
      </c>
    </row>
    <row customHeight="1" ht="11.25">
      <c r="A154" s="1310" t="s">
        <v>2609</v>
      </c>
      <c r="B154" s="1310" t="s">
        <v>2610</v>
      </c>
      <c r="C154" s="1310" t="s">
        <v>2611</v>
      </c>
    </row>
    <row customHeight="1" ht="11.25">
      <c r="A155" s="1310" t="s">
        <v>2609</v>
      </c>
      <c r="B155" s="1310" t="s">
        <v>2612</v>
      </c>
      <c r="C155" s="1310" t="s">
        <v>2613</v>
      </c>
    </row>
    <row customHeight="1" ht="11.25">
      <c r="A156" s="1310" t="s">
        <v>2609</v>
      </c>
      <c r="B156" s="1310" t="s">
        <v>2614</v>
      </c>
      <c r="C156" s="1310" t="s">
        <v>2615</v>
      </c>
    </row>
    <row customHeight="1" ht="11.25">
      <c r="A157" s="1310" t="s">
        <v>2609</v>
      </c>
      <c r="B157" s="1310" t="s">
        <v>2616</v>
      </c>
      <c r="C157" s="1310" t="s">
        <v>2617</v>
      </c>
    </row>
    <row customHeight="1" ht="11.25">
      <c r="A158" s="1310" t="s">
        <v>2609</v>
      </c>
      <c r="B158" s="1310" t="s">
        <v>2618</v>
      </c>
      <c r="C158" s="1310" t="s">
        <v>2619</v>
      </c>
    </row>
    <row customHeight="1" ht="11.25">
      <c r="A159" s="1310" t="s">
        <v>2609</v>
      </c>
      <c r="B159" s="1310" t="s">
        <v>2620</v>
      </c>
      <c r="C159" s="1310" t="s">
        <v>2621</v>
      </c>
    </row>
    <row customHeight="1" ht="11.25">
      <c r="A160" s="1310" t="s">
        <v>2609</v>
      </c>
      <c r="B160" s="1310" t="s">
        <v>2622</v>
      </c>
      <c r="C160" s="1310" t="s">
        <v>2623</v>
      </c>
    </row>
    <row customHeight="1" ht="11.25">
      <c r="A161" s="1310" t="s">
        <v>2609</v>
      </c>
      <c r="B161" s="1310" t="s">
        <v>2624</v>
      </c>
      <c r="C161" s="1310" t="s">
        <v>2625</v>
      </c>
    </row>
    <row customHeight="1" ht="11.25">
      <c r="A162" s="1310" t="s">
        <v>2609</v>
      </c>
      <c r="B162" s="1310" t="s">
        <v>2626</v>
      </c>
      <c r="C162" s="1310" t="s">
        <v>2627</v>
      </c>
    </row>
    <row customHeight="1" ht="11.25">
      <c r="A163" s="1310" t="s">
        <v>2609</v>
      </c>
      <c r="B163" s="1310" t="s">
        <v>2628</v>
      </c>
      <c r="C163" s="1310" t="s">
        <v>2629</v>
      </c>
    </row>
    <row customHeight="1" ht="11.25">
      <c r="A164" s="1310" t="s">
        <v>2609</v>
      </c>
      <c r="B164" s="1310" t="s">
        <v>2630</v>
      </c>
      <c r="C164" s="1310" t="s">
        <v>2631</v>
      </c>
    </row>
    <row customHeight="1" ht="11.25">
      <c r="A165" s="1310" t="s">
        <v>2609</v>
      </c>
      <c r="B165" s="1310" t="s">
        <v>2632</v>
      </c>
      <c r="C165" s="1310" t="s">
        <v>2633</v>
      </c>
    </row>
    <row customHeight="1" ht="11.25">
      <c r="A166" s="1310" t="s">
        <v>2634</v>
      </c>
      <c r="B166" s="1310" t="s">
        <v>2635</v>
      </c>
      <c r="C166" s="1310" t="s">
        <v>2636</v>
      </c>
    </row>
    <row customHeight="1" ht="11.25">
      <c r="A167" s="1310" t="s">
        <v>2634</v>
      </c>
      <c r="B167" s="1310" t="s">
        <v>2637</v>
      </c>
      <c r="C167" s="1310" t="s">
        <v>2638</v>
      </c>
    </row>
    <row customHeight="1" ht="11.25">
      <c r="A168" s="1310" t="s">
        <v>2634</v>
      </c>
      <c r="B168" s="1310" t="s">
        <v>2639</v>
      </c>
      <c r="C168" s="1310" t="s">
        <v>2640</v>
      </c>
    </row>
    <row customHeight="1" ht="11.25">
      <c r="A169" s="1310" t="s">
        <v>2634</v>
      </c>
      <c r="B169" s="1310" t="s">
        <v>2641</v>
      </c>
      <c r="C169" s="1310" t="s">
        <v>2642</v>
      </c>
    </row>
    <row customHeight="1" ht="11.25">
      <c r="A170" s="1310" t="s">
        <v>2634</v>
      </c>
      <c r="B170" s="1310" t="s">
        <v>2643</v>
      </c>
      <c r="C170" s="1310" t="s">
        <v>2644</v>
      </c>
    </row>
    <row customHeight="1" ht="11.25">
      <c r="A171" s="1310" t="s">
        <v>2634</v>
      </c>
      <c r="B171" s="1310" t="s">
        <v>2645</v>
      </c>
      <c r="C171" s="1310" t="s">
        <v>2646</v>
      </c>
    </row>
    <row customHeight="1" ht="11.25">
      <c r="A172" s="1310" t="s">
        <v>2634</v>
      </c>
      <c r="B172" s="1310" t="s">
        <v>2647</v>
      </c>
      <c r="C172" s="1310" t="s">
        <v>2648</v>
      </c>
    </row>
    <row customHeight="1" ht="11.25">
      <c r="A173" s="1310" t="s">
        <v>2634</v>
      </c>
      <c r="B173" s="1310" t="s">
        <v>2649</v>
      </c>
      <c r="C173" s="1310" t="s">
        <v>2650</v>
      </c>
    </row>
    <row customHeight="1" ht="11.25">
      <c r="A174" s="1310" t="s">
        <v>2634</v>
      </c>
      <c r="B174" s="1310" t="s">
        <v>2651</v>
      </c>
      <c r="C174" s="1310" t="s">
        <v>2652</v>
      </c>
    </row>
    <row customHeight="1" ht="11.25">
      <c r="A175" s="1310" t="s">
        <v>2634</v>
      </c>
      <c r="B175" s="1310" t="s">
        <v>2653</v>
      </c>
      <c r="C175" s="1310" t="s">
        <v>2654</v>
      </c>
    </row>
    <row customHeight="1" ht="11.25">
      <c r="A176" s="1310" t="s">
        <v>2634</v>
      </c>
      <c r="B176" s="1310" t="s">
        <v>2655</v>
      </c>
      <c r="C176" s="1310" t="s">
        <v>2656</v>
      </c>
    </row>
    <row customHeight="1" ht="11.25">
      <c r="A177" s="1310" t="s">
        <v>2634</v>
      </c>
      <c r="B177" s="1310" t="s">
        <v>2657</v>
      </c>
      <c r="C177" s="1310" t="s">
        <v>2658</v>
      </c>
    </row>
    <row customHeight="1" ht="11.25">
      <c r="A178" s="1310" t="s">
        <v>2659</v>
      </c>
      <c r="B178" s="1310" t="s">
        <v>2660</v>
      </c>
      <c r="C178" s="1310" t="s">
        <v>2661</v>
      </c>
    </row>
    <row customHeight="1" ht="11.25">
      <c r="A179" s="1310" t="s">
        <v>2659</v>
      </c>
      <c r="B179" s="1310" t="s">
        <v>2662</v>
      </c>
      <c r="C179" s="1310" t="s">
        <v>2663</v>
      </c>
    </row>
    <row customHeight="1" ht="11.25">
      <c r="A180" s="1310" t="s">
        <v>2659</v>
      </c>
      <c r="B180" s="1310" t="s">
        <v>2664</v>
      </c>
      <c r="C180" s="1310" t="s">
        <v>2665</v>
      </c>
    </row>
    <row customHeight="1" ht="11.25">
      <c r="A181" s="1310" t="s">
        <v>2659</v>
      </c>
      <c r="B181" s="1310" t="s">
        <v>2666</v>
      </c>
      <c r="C181" s="1310" t="s">
        <v>2667</v>
      </c>
    </row>
    <row customHeight="1" ht="11.25">
      <c r="A182" s="1310" t="s">
        <v>2659</v>
      </c>
      <c r="B182" s="1310" t="s">
        <v>2668</v>
      </c>
      <c r="C182" s="1310" t="s">
        <v>2669</v>
      </c>
    </row>
    <row customHeight="1" ht="11.25">
      <c r="A183" s="1310" t="s">
        <v>2659</v>
      </c>
      <c r="B183" s="1310" t="s">
        <v>2670</v>
      </c>
      <c r="C183" s="1310" t="s">
        <v>2671</v>
      </c>
    </row>
    <row customHeight="1" ht="11.25">
      <c r="A184" s="1310" t="s">
        <v>2659</v>
      </c>
      <c r="B184" s="1310" t="s">
        <v>2672</v>
      </c>
      <c r="C184" s="1310" t="s">
        <v>2673</v>
      </c>
    </row>
    <row customHeight="1" ht="11.25">
      <c r="A185" s="1310" t="s">
        <v>2674</v>
      </c>
      <c r="B185" s="1310" t="s">
        <v>2675</v>
      </c>
      <c r="C185" s="1310" t="s">
        <v>2676</v>
      </c>
    </row>
    <row customHeight="1" ht="11.25">
      <c r="A186" s="1310" t="s">
        <v>2674</v>
      </c>
      <c r="B186" s="1310" t="s">
        <v>2677</v>
      </c>
      <c r="C186" s="1310" t="s">
        <v>2678</v>
      </c>
    </row>
    <row customHeight="1" ht="11.25">
      <c r="A187" s="1310" t="s">
        <v>2674</v>
      </c>
      <c r="B187" s="1310" t="s">
        <v>2679</v>
      </c>
      <c r="C187" s="1310" t="s">
        <v>2680</v>
      </c>
    </row>
    <row customHeight="1" ht="11.25">
      <c r="A188" s="1310" t="s">
        <v>2674</v>
      </c>
      <c r="B188" s="1310" t="s">
        <v>2681</v>
      </c>
      <c r="C188" s="1310" t="s">
        <v>2682</v>
      </c>
    </row>
    <row customHeight="1" ht="11.25">
      <c r="A189" s="1310" t="s">
        <v>2674</v>
      </c>
      <c r="B189" s="1310" t="s">
        <v>2683</v>
      </c>
      <c r="C189" s="1310" t="s">
        <v>2684</v>
      </c>
    </row>
    <row customHeight="1" ht="11.25">
      <c r="A190" s="1310" t="s">
        <v>2674</v>
      </c>
      <c r="B190" s="1310" t="s">
        <v>2685</v>
      </c>
      <c r="C190" s="1310" t="s">
        <v>2686</v>
      </c>
    </row>
    <row customHeight="1" ht="11.25">
      <c r="A191" s="1310" t="s">
        <v>2674</v>
      </c>
      <c r="B191" s="1310" t="s">
        <v>2687</v>
      </c>
      <c r="C191" s="1310" t="s">
        <v>2688</v>
      </c>
    </row>
    <row customHeight="1" ht="11.25">
      <c r="A192" s="1310" t="s">
        <v>2674</v>
      </c>
      <c r="B192" s="1310" t="s">
        <v>2689</v>
      </c>
      <c r="C192" s="1310" t="s">
        <v>2690</v>
      </c>
    </row>
    <row customHeight="1" ht="11.25">
      <c r="A193" s="1310" t="s">
        <v>2674</v>
      </c>
      <c r="B193" s="1310" t="s">
        <v>2691</v>
      </c>
      <c r="C193" s="1310" t="s">
        <v>2692</v>
      </c>
    </row>
    <row customHeight="1" ht="11.25">
      <c r="A194" s="1310" t="s">
        <v>2693</v>
      </c>
      <c r="B194" s="1310" t="s">
        <v>2694</v>
      </c>
      <c r="C194" s="1310" t="s">
        <v>2695</v>
      </c>
    </row>
    <row customHeight="1" ht="11.25">
      <c r="A195" s="1310" t="s">
        <v>2693</v>
      </c>
      <c r="B195" s="1310" t="s">
        <v>2696</v>
      </c>
      <c r="C195" s="1310" t="s">
        <v>2697</v>
      </c>
    </row>
    <row customHeight="1" ht="11.25">
      <c r="A196" s="1310" t="s">
        <v>2693</v>
      </c>
      <c r="B196" s="1310" t="s">
        <v>2698</v>
      </c>
      <c r="C196" s="1310" t="s">
        <v>2699</v>
      </c>
    </row>
    <row customHeight="1" ht="11.25">
      <c r="A197" s="1310" t="s">
        <v>2693</v>
      </c>
      <c r="B197" s="1310" t="s">
        <v>2700</v>
      </c>
      <c r="C197" s="1310" t="s">
        <v>2701</v>
      </c>
    </row>
    <row customHeight="1" ht="11.25">
      <c r="A198" s="1310" t="s">
        <v>2693</v>
      </c>
      <c r="B198" s="1310" t="s">
        <v>2702</v>
      </c>
      <c r="C198" s="1310" t="s">
        <v>2703</v>
      </c>
    </row>
    <row customHeight="1" ht="11.25">
      <c r="A199" s="1310" t="s">
        <v>2693</v>
      </c>
      <c r="B199" s="1310" t="s">
        <v>2704</v>
      </c>
      <c r="C199" s="1310" t="s">
        <v>2705</v>
      </c>
    </row>
    <row customHeight="1" ht="11.25">
      <c r="A200" s="1310" t="s">
        <v>2693</v>
      </c>
      <c r="B200" s="1310" t="s">
        <v>2706</v>
      </c>
      <c r="C200" s="1310" t="s">
        <v>2707</v>
      </c>
    </row>
    <row customHeight="1" ht="11.25">
      <c r="A201" s="1310" t="s">
        <v>2693</v>
      </c>
      <c r="B201" s="1310" t="s">
        <v>2708</v>
      </c>
      <c r="C201" s="1310" t="s">
        <v>2709</v>
      </c>
    </row>
    <row customHeight="1" ht="11.25">
      <c r="A202" s="1310" t="s">
        <v>2693</v>
      </c>
      <c r="B202" s="1310" t="s">
        <v>2710</v>
      </c>
      <c r="C202" s="1310" t="s">
        <v>2711</v>
      </c>
    </row>
    <row customHeight="1" ht="11.25">
      <c r="A203" s="1310" t="s">
        <v>2693</v>
      </c>
      <c r="B203" s="1310" t="s">
        <v>2712</v>
      </c>
      <c r="C203" s="1310" t="s">
        <v>2713</v>
      </c>
    </row>
    <row customHeight="1" ht="11.25">
      <c r="A204" s="1310" t="s">
        <v>2714</v>
      </c>
      <c r="B204" s="1310" t="s">
        <v>2715</v>
      </c>
      <c r="C204" s="1310" t="s">
        <v>2716</v>
      </c>
    </row>
    <row customHeight="1" ht="11.25">
      <c r="A205" s="1310" t="s">
        <v>2714</v>
      </c>
      <c r="B205" s="1310" t="s">
        <v>2717</v>
      </c>
      <c r="C205" s="1310" t="s">
        <v>2718</v>
      </c>
    </row>
    <row customHeight="1" ht="11.25">
      <c r="A206" s="1310" t="s">
        <v>2714</v>
      </c>
      <c r="B206" s="1310" t="s">
        <v>2719</v>
      </c>
      <c r="C206" s="1310" t="s">
        <v>2720</v>
      </c>
    </row>
    <row customHeight="1" ht="11.25">
      <c r="A207" s="1310" t="s">
        <v>2714</v>
      </c>
      <c r="B207" s="1310" t="s">
        <v>2721</v>
      </c>
      <c r="C207" s="1310" t="s">
        <v>2722</v>
      </c>
    </row>
    <row customHeight="1" ht="11.25">
      <c r="A208" s="1310" t="s">
        <v>2714</v>
      </c>
      <c r="B208" s="1310" t="s">
        <v>2723</v>
      </c>
      <c r="C208" s="1310" t="s">
        <v>2724</v>
      </c>
    </row>
    <row customHeight="1" ht="11.25">
      <c r="A209" s="1310" t="s">
        <v>2714</v>
      </c>
      <c r="B209" s="1310" t="s">
        <v>2725</v>
      </c>
      <c r="C209" s="1310" t="s">
        <v>2726</v>
      </c>
    </row>
    <row customHeight="1" ht="11.25">
      <c r="A210" s="1310" t="s">
        <v>2714</v>
      </c>
      <c r="B210" s="1310" t="s">
        <v>2727</v>
      </c>
      <c r="C210" s="1310" t="s">
        <v>2728</v>
      </c>
    </row>
    <row customHeight="1" ht="11.25">
      <c r="A211" s="1310" t="s">
        <v>2714</v>
      </c>
      <c r="B211" s="1310" t="s">
        <v>2729</v>
      </c>
      <c r="C211" s="1310" t="s">
        <v>2730</v>
      </c>
    </row>
    <row customHeight="1" ht="11.25">
      <c r="A212" s="1310" t="s">
        <v>2714</v>
      </c>
      <c r="B212" s="1310" t="s">
        <v>2731</v>
      </c>
      <c r="C212" s="1310" t="s">
        <v>2732</v>
      </c>
    </row>
    <row customHeight="1" ht="11.25">
      <c r="A213" s="1310" t="s">
        <v>2714</v>
      </c>
      <c r="B213" s="1310" t="s">
        <v>2733</v>
      </c>
      <c r="C213" s="1310" t="s">
        <v>2734</v>
      </c>
    </row>
    <row customHeight="1" ht="11.25">
      <c r="A214" s="1310" t="s">
        <v>2714</v>
      </c>
      <c r="B214" s="1310" t="s">
        <v>2735</v>
      </c>
      <c r="C214" s="1310" t="s">
        <v>2736</v>
      </c>
    </row>
    <row customHeight="1" ht="11.25">
      <c r="A215" s="1310" t="s">
        <v>2737</v>
      </c>
      <c r="B215" s="1310" t="s">
        <v>2737</v>
      </c>
      <c r="C215" s="1310" t="s">
        <v>2738</v>
      </c>
    </row>
    <row customHeight="1" ht="11.25">
      <c r="A216" s="1310" t="s">
        <v>2739</v>
      </c>
      <c r="B216" s="1310" t="s">
        <v>2739</v>
      </c>
      <c r="C216" s="1310" t="s">
        <v>2740</v>
      </c>
    </row>
    <row customHeight="1" ht="11.25">
      <c r="A217" s="1310" t="s">
        <v>2741</v>
      </c>
      <c r="B217" s="1310" t="s">
        <v>2741</v>
      </c>
      <c r="C217" s="1310" t="s">
        <v>2742</v>
      </c>
    </row>
    <row customHeight="1" ht="11.25">
      <c r="A218" s="1310" t="s">
        <v>2743</v>
      </c>
      <c r="B218" s="1310" t="s">
        <v>2743</v>
      </c>
      <c r="C218" s="1310" t="s">
        <v>2744</v>
      </c>
    </row>
    <row customHeight="1" ht="11.25">
      <c r="A219" s="1310" t="s">
        <v>2745</v>
      </c>
      <c r="B219" s="1310" t="s">
        <v>2745</v>
      </c>
      <c r="C219" s="1310" t="s">
        <v>2746</v>
      </c>
    </row>
    <row customHeight="1" ht="11.25">
      <c r="A220" s="1310" t="s">
        <v>2747</v>
      </c>
      <c r="B220" s="1310" t="s">
        <v>2747</v>
      </c>
      <c r="C220" s="1310" t="s">
        <v>2748</v>
      </c>
    </row>
    <row customHeight="1" ht="11.25">
      <c r="A221" s="1310" t="s">
        <v>2749</v>
      </c>
      <c r="B221" s="1310" t="s">
        <v>2749</v>
      </c>
      <c r="C221" s="1310" t="s">
        <v>2750</v>
      </c>
    </row>
    <row customHeight="1" ht="11.25">
      <c r="A222" s="1310" t="s">
        <v>2751</v>
      </c>
      <c r="B222" s="1310" t="s">
        <v>2751</v>
      </c>
      <c r="C222" s="1310" t="s">
        <v>2752</v>
      </c>
    </row>
    <row customHeight="1" ht="11.25">
      <c r="A223" s="1310" t="s">
        <v>2753</v>
      </c>
      <c r="B223" s="1310" t="s">
        <v>2753</v>
      </c>
      <c r="C223" s="1310" t="s">
        <v>2754</v>
      </c>
    </row>
    <row customHeight="1" ht="11.25">
      <c r="A224" s="1310" t="s">
        <v>2755</v>
      </c>
      <c r="B224" s="1310" t="s">
        <v>2755</v>
      </c>
      <c r="C224" s="1310" t="s">
        <v>2756</v>
      </c>
    </row>
    <row customHeight="1" ht="11.25">
      <c r="A225" s="1310" t="s">
        <v>2757</v>
      </c>
      <c r="B225" s="1310" t="s">
        <v>2757</v>
      </c>
      <c r="C225" s="1310" t="s">
        <v>2758</v>
      </c>
    </row>
    <row customHeight="1" ht="11.25">
      <c r="A226" s="1310" t="s">
        <v>2759</v>
      </c>
      <c r="B226" s="1310" t="s">
        <v>2759</v>
      </c>
      <c r="C226" s="1310" t="s">
        <v>2760</v>
      </c>
    </row>
    <row customHeight="1" ht="11.25">
      <c r="A227" s="1310" t="s">
        <v>2761</v>
      </c>
      <c r="B227" s="1310" t="s">
        <v>2761</v>
      </c>
      <c r="C227" s="1310" t="s">
        <v>2762</v>
      </c>
    </row>
    <row customHeight="1" ht="11.25">
      <c r="A228" s="1310" t="s">
        <v>2763</v>
      </c>
      <c r="B228" s="1310" t="s">
        <v>2763</v>
      </c>
      <c r="C228" s="1310" t="s">
        <v>2764</v>
      </c>
    </row>
    <row customHeight="1" ht="11.25">
      <c r="A229" s="1310" t="s">
        <v>2765</v>
      </c>
      <c r="B229" s="1310" t="s">
        <v>2765</v>
      </c>
      <c r="C229" s="1310" t="s">
        <v>2766</v>
      </c>
    </row>
    <row customHeight="1" ht="11.25">
      <c r="A230" s="1310" t="s">
        <v>2767</v>
      </c>
      <c r="B230" s="1310" t="s">
        <v>2767</v>
      </c>
      <c r="C230" s="1310" t="s">
        <v>2768</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4A4F8D-399D-4998-1DB4-3EEEC6716618}" mc:Ignorable="x14ac xr xr2 xr3">
  <sheetPr>
    <tabColor rgb="FFFFCC99"/>
  </sheetPr>
  <dimension ref="A1:S122"/>
  <sheetViews>
    <sheetView topLeftCell="A1" showGridLines="0" workbookViewId="0">
      <selection activeCell="A1" sqref="A1"/>
    </sheetView>
  </sheetViews>
  <sheetFormatPr defaultColWidth="9.140625" customHeight="1" defaultRowHeight="11.25"/>
  <sheetData>
    <row customHeight="1" ht="11.25">
      <c r="A1" s="0" t="s">
        <v>2769</v>
      </c>
      <c r="B1" s="0" t="s">
        <v>2770</v>
      </c>
      <c r="C1" s="0" t="s">
        <v>2771</v>
      </c>
      <c r="D1" s="0" t="s">
        <v>2772</v>
      </c>
      <c r="E1" s="0" t="s">
        <v>2773</v>
      </c>
      <c r="F1" s="0" t="s">
        <v>2774</v>
      </c>
      <c r="G1" s="0" t="s">
        <v>2775</v>
      </c>
      <c r="H1" s="0" t="s">
        <v>2776</v>
      </c>
      <c r="I1" s="0" t="s">
        <v>2777</v>
      </c>
      <c r="J1" s="0" t="s">
        <v>2778</v>
      </c>
      <c r="K1" s="0" t="s">
        <v>2779</v>
      </c>
      <c r="L1" s="0" t="s">
        <v>2780</v>
      </c>
      <c r="M1" s="0" t="s">
        <v>2781</v>
      </c>
      <c r="N1" s="0" t="s">
        <v>2782</v>
      </c>
      <c r="O1" s="0" t="s">
        <v>2783</v>
      </c>
      <c r="P1" s="0" t="s">
        <v>2784</v>
      </c>
      <c r="Q1" s="0" t="s">
        <v>2785</v>
      </c>
      <c r="R1" s="0" t="s">
        <v>2786</v>
      </c>
      <c r="S1" s="0" t="s">
        <v>2787</v>
      </c>
    </row>
    <row customHeight="1" ht="11.25">
      <c r="A2" s="0">
        <v>2655</v>
      </c>
      <c r="B2" s="0" t="s">
        <v>101</v>
      </c>
      <c r="C2" s="0">
        <v>28976938</v>
      </c>
      <c r="D2" s="0" t="s">
        <v>2788</v>
      </c>
      <c r="E2" s="0" t="s">
        <v>2789</v>
      </c>
      <c r="F2" s="0" t="s">
        <v>2790</v>
      </c>
      <c r="G2" s="0" t="s">
        <v>2791</v>
      </c>
      <c r="H2" s="0" t="s">
        <v>2792</v>
      </c>
      <c r="I2" s="0" t="s">
        <v>2793</v>
      </c>
      <c r="J2" s="0" t="s">
        <v>2794</v>
      </c>
      <c r="K2" s="0" t="s">
        <v>2795</v>
      </c>
      <c r="L2" s="0" t="s">
        <v>2796</v>
      </c>
      <c r="M2" s="0" t="s">
        <v>2797</v>
      </c>
      <c r="N2" s="0" t="s">
        <v>2798</v>
      </c>
      <c r="O2" s="0" t="s">
        <v>2799</v>
      </c>
      <c r="P2" s="0" t="s">
        <v>2800</v>
      </c>
      <c r="Q2" s="0" t="s">
        <v>2801</v>
      </c>
      <c r="R2" s="0" t="b">
        <v>0</v>
      </c>
      <c r="S2" s="0" t="s">
        <v>2802</v>
      </c>
    </row>
    <row customHeight="1" ht="11.25">
      <c r="A3" s="0">
        <v>2655</v>
      </c>
      <c r="B3" s="0" t="s">
        <v>101</v>
      </c>
      <c r="C3" s="0">
        <v>26356953</v>
      </c>
      <c r="D3" s="0" t="s">
        <v>2803</v>
      </c>
      <c r="E3" s="0" t="s">
        <v>2804</v>
      </c>
      <c r="F3" s="0" t="s">
        <v>2805</v>
      </c>
      <c r="G3" s="0" t="s">
        <v>2806</v>
      </c>
      <c r="H3" s="0" t="s">
        <v>2807</v>
      </c>
      <c r="I3" s="0" t="s">
        <v>2808</v>
      </c>
      <c r="J3" s="0" t="s">
        <v>2794</v>
      </c>
      <c r="K3" s="0" t="s">
        <v>2809</v>
      </c>
      <c r="L3" s="0" t="s">
        <v>2809</v>
      </c>
      <c r="M3" s="0" t="s">
        <v>2810</v>
      </c>
      <c r="N3" s="0" t="s">
        <v>2811</v>
      </c>
      <c r="O3" s="0" t="s">
        <v>2812</v>
      </c>
      <c r="P3" s="0" t="s">
        <v>2813</v>
      </c>
      <c r="Q3" s="0" t="s">
        <v>2814</v>
      </c>
      <c r="R3" s="0" t="b">
        <v>0</v>
      </c>
      <c r="S3" s="0" t="s">
        <v>2802</v>
      </c>
    </row>
    <row customHeight="1" ht="11.25">
      <c r="A4" s="0">
        <v>2655</v>
      </c>
      <c r="B4" s="0" t="s">
        <v>101</v>
      </c>
      <c r="C4" s="0">
        <v>27804990</v>
      </c>
      <c r="D4" s="0" t="s">
        <v>2815</v>
      </c>
      <c r="E4" s="0" t="s">
        <v>2816</v>
      </c>
      <c r="F4" s="0" t="s">
        <v>2817</v>
      </c>
      <c r="G4" s="0" t="s">
        <v>2818</v>
      </c>
      <c r="H4" s="0" t="s">
        <v>2819</v>
      </c>
      <c r="I4" s="0" t="s">
        <v>2820</v>
      </c>
      <c r="J4" s="0" t="s">
        <v>2794</v>
      </c>
      <c r="K4" s="0" t="s">
        <v>2821</v>
      </c>
      <c r="L4" s="0" t="s">
        <v>2822</v>
      </c>
      <c r="M4" s="0" t="s">
        <v>2823</v>
      </c>
      <c r="N4" s="0" t="s">
        <v>2824</v>
      </c>
      <c r="O4" s="0" t="s">
        <v>2825</v>
      </c>
      <c r="P4" s="0" t="s">
        <v>2826</v>
      </c>
      <c r="Q4" s="0" t="s">
        <v>2827</v>
      </c>
      <c r="R4" s="0" t="b">
        <v>0</v>
      </c>
      <c r="S4" s="0" t="s">
        <v>2802</v>
      </c>
    </row>
    <row customHeight="1" ht="11.25">
      <c r="A5" s="0">
        <v>2655</v>
      </c>
      <c r="B5" s="0" t="s">
        <v>101</v>
      </c>
      <c r="C5" s="0">
        <v>27804826</v>
      </c>
      <c r="D5" s="0" t="s">
        <v>2828</v>
      </c>
      <c r="E5" s="0" t="s">
        <v>2829</v>
      </c>
      <c r="F5" s="0" t="s">
        <v>2830</v>
      </c>
      <c r="G5" s="0" t="s">
        <v>2818</v>
      </c>
      <c r="H5" s="0" t="s">
        <v>2831</v>
      </c>
      <c r="I5" s="0" t="s">
        <v>2832</v>
      </c>
      <c r="J5" s="0" t="s">
        <v>2794</v>
      </c>
      <c r="K5" s="0" t="s">
        <v>2821</v>
      </c>
      <c r="L5" s="0" t="s">
        <v>2822</v>
      </c>
      <c r="M5" s="0" t="s">
        <v>2833</v>
      </c>
      <c r="N5" s="0" t="s">
        <v>2834</v>
      </c>
      <c r="O5" s="0" t="s">
        <v>2825</v>
      </c>
      <c r="P5" s="0" t="s">
        <v>2835</v>
      </c>
      <c r="Q5" s="0" t="s">
        <v>2827</v>
      </c>
      <c r="R5" s="0" t="b">
        <v>0</v>
      </c>
      <c r="S5" s="0" t="s">
        <v>2802</v>
      </c>
    </row>
    <row customHeight="1" ht="11.25">
      <c r="A6" s="0">
        <v>2655</v>
      </c>
      <c r="B6" s="0" t="s">
        <v>101</v>
      </c>
      <c r="C6" s="0">
        <v>26567321</v>
      </c>
      <c r="D6" s="0" t="s">
        <v>2836</v>
      </c>
      <c r="E6" s="0" t="s">
        <v>2837</v>
      </c>
      <c r="F6" s="0" t="s">
        <v>2838</v>
      </c>
      <c r="G6" s="0" t="s">
        <v>2839</v>
      </c>
      <c r="H6" s="0" t="s">
        <v>2840</v>
      </c>
      <c r="I6" s="0" t="s">
        <v>2841</v>
      </c>
      <c r="K6" s="0" t="s">
        <v>2842</v>
      </c>
      <c r="L6" s="0" t="s">
        <v>2842</v>
      </c>
      <c r="M6" s="0" t="s">
        <v>2843</v>
      </c>
      <c r="N6" s="0" t="s">
        <v>2844</v>
      </c>
      <c r="O6" s="0" t="s">
        <v>2845</v>
      </c>
      <c r="P6" s="0" t="s">
        <v>2846</v>
      </c>
      <c r="Q6" s="0" t="s">
        <v>2847</v>
      </c>
      <c r="R6" s="0" t="b">
        <v>0</v>
      </c>
      <c r="S6" s="0" t="s">
        <v>2802</v>
      </c>
    </row>
    <row customHeight="1" ht="11.25">
      <c r="A7" s="0">
        <v>2655</v>
      </c>
      <c r="B7" s="0" t="s">
        <v>101</v>
      </c>
      <c r="C7" s="0">
        <v>26356963</v>
      </c>
      <c r="D7" s="0" t="s">
        <v>2848</v>
      </c>
      <c r="E7" s="0" t="s">
        <v>2849</v>
      </c>
      <c r="F7" s="0" t="s">
        <v>2850</v>
      </c>
      <c r="G7" s="0" t="s">
        <v>2851</v>
      </c>
      <c r="H7" s="0" t="s">
        <v>2852</v>
      </c>
      <c r="J7" s="0" t="s">
        <v>2794</v>
      </c>
      <c r="K7" s="0" t="s">
        <v>2853</v>
      </c>
      <c r="L7" s="0" t="s">
        <v>2853</v>
      </c>
      <c r="M7" s="0" t="s">
        <v>2854</v>
      </c>
      <c r="N7" s="0" t="s">
        <v>2855</v>
      </c>
      <c r="O7" s="0" t="s">
        <v>2856</v>
      </c>
      <c r="P7" s="0" t="s">
        <v>2857</v>
      </c>
      <c r="R7" s="0" t="b">
        <v>0</v>
      </c>
      <c r="S7" s="0" t="s">
        <v>2802</v>
      </c>
    </row>
    <row customHeight="1" ht="11.25">
      <c r="A8" s="0">
        <v>2655</v>
      </c>
      <c r="B8" s="0" t="s">
        <v>101</v>
      </c>
      <c r="C8" s="0">
        <v>26322889</v>
      </c>
      <c r="D8" s="0" t="s">
        <v>2858</v>
      </c>
      <c r="E8" s="0" t="s">
        <v>2859</v>
      </c>
      <c r="F8" s="0" t="s">
        <v>2860</v>
      </c>
      <c r="G8" s="0" t="s">
        <v>2861</v>
      </c>
      <c r="H8" s="0" t="s">
        <v>2862</v>
      </c>
      <c r="I8" s="0" t="s">
        <v>2863</v>
      </c>
      <c r="J8" s="0" t="s">
        <v>2794</v>
      </c>
      <c r="K8" s="0" t="s">
        <v>2864</v>
      </c>
      <c r="L8" s="0" t="s">
        <v>2865</v>
      </c>
      <c r="M8" s="0" t="s">
        <v>2866</v>
      </c>
      <c r="N8" s="0" t="s">
        <v>2867</v>
      </c>
      <c r="O8" s="0" t="s">
        <v>2868</v>
      </c>
      <c r="P8" s="0" t="s">
        <v>2813</v>
      </c>
      <c r="Q8" s="0" t="s">
        <v>2869</v>
      </c>
      <c r="R8" s="0" t="b">
        <v>0</v>
      </c>
      <c r="S8" s="0" t="s">
        <v>2802</v>
      </c>
    </row>
    <row customHeight="1" ht="11.25">
      <c r="A9" s="0">
        <v>2655</v>
      </c>
      <c r="B9" s="0" t="s">
        <v>101</v>
      </c>
      <c r="C9" s="0">
        <v>26427149</v>
      </c>
      <c r="D9" s="0" t="s">
        <v>2870</v>
      </c>
      <c r="E9" s="0" t="s">
        <v>2871</v>
      </c>
      <c r="F9" s="0" t="s">
        <v>2790</v>
      </c>
      <c r="G9" s="0" t="s">
        <v>2872</v>
      </c>
      <c r="H9" s="0" t="s">
        <v>2792</v>
      </c>
      <c r="I9" s="0" t="s">
        <v>2793</v>
      </c>
      <c r="J9" s="0" t="s">
        <v>2794</v>
      </c>
      <c r="K9" s="0" t="s">
        <v>2873</v>
      </c>
      <c r="L9" s="0" t="s">
        <v>2874</v>
      </c>
      <c r="M9" s="0" t="s">
        <v>2875</v>
      </c>
      <c r="N9" s="0" t="s">
        <v>2876</v>
      </c>
      <c r="O9" s="0" t="s">
        <v>2877</v>
      </c>
      <c r="P9" s="0" t="s">
        <v>2878</v>
      </c>
      <c r="Q9" s="0" t="s">
        <v>2879</v>
      </c>
      <c r="R9" s="0" t="b">
        <v>0</v>
      </c>
      <c r="S9" s="0" t="s">
        <v>2802</v>
      </c>
    </row>
    <row customHeight="1" ht="11.25">
      <c r="A10" s="0">
        <v>2655</v>
      </c>
      <c r="B10" s="0" t="s">
        <v>101</v>
      </c>
      <c r="C10" s="0">
        <v>27295125</v>
      </c>
      <c r="D10" s="0" t="s">
        <v>2880</v>
      </c>
      <c r="E10" s="0" t="s">
        <v>2881</v>
      </c>
      <c r="F10" s="0" t="s">
        <v>2882</v>
      </c>
      <c r="G10" s="0" t="s">
        <v>2883</v>
      </c>
      <c r="H10" s="0" t="s">
        <v>2884</v>
      </c>
      <c r="I10" s="0" t="s">
        <v>2885</v>
      </c>
      <c r="J10" s="0" t="s">
        <v>2886</v>
      </c>
      <c r="K10" s="0" t="s">
        <v>2887</v>
      </c>
      <c r="L10" s="0" t="s">
        <v>2887</v>
      </c>
      <c r="M10" s="0" t="s">
        <v>2888</v>
      </c>
      <c r="N10" s="0" t="s">
        <v>2889</v>
      </c>
      <c r="O10" s="0" t="s">
        <v>2890</v>
      </c>
      <c r="P10" s="0" t="s">
        <v>2846</v>
      </c>
      <c r="R10" s="0" t="b">
        <v>0</v>
      </c>
      <c r="S10" s="0" t="s">
        <v>2802</v>
      </c>
    </row>
    <row customHeight="1" ht="11.25">
      <c r="A11" s="0">
        <v>2655</v>
      </c>
      <c r="B11" s="0" t="s">
        <v>101</v>
      </c>
      <c r="C11" s="0">
        <v>26824672</v>
      </c>
      <c r="D11" s="0" t="s">
        <v>2891</v>
      </c>
      <c r="E11" s="0" t="s">
        <v>2892</v>
      </c>
      <c r="F11" s="0" t="s">
        <v>2893</v>
      </c>
      <c r="G11" s="0" t="s">
        <v>2839</v>
      </c>
      <c r="H11" s="0" t="s">
        <v>2894</v>
      </c>
      <c r="J11" s="0" t="s">
        <v>2886</v>
      </c>
      <c r="K11" s="0" t="s">
        <v>2895</v>
      </c>
      <c r="L11" s="0" t="s">
        <v>2896</v>
      </c>
      <c r="M11" s="0" t="s">
        <v>2897</v>
      </c>
      <c r="N11" s="0" t="s">
        <v>2898</v>
      </c>
      <c r="P11" s="0" t="s">
        <v>2899</v>
      </c>
      <c r="R11" s="0" t="b">
        <v>0</v>
      </c>
      <c r="S11" s="0" t="s">
        <v>2802</v>
      </c>
    </row>
    <row customHeight="1" ht="11.25">
      <c r="A12" s="0">
        <v>2655</v>
      </c>
      <c r="B12" s="0" t="s">
        <v>101</v>
      </c>
      <c r="C12" s="0">
        <v>31826293</v>
      </c>
      <c r="D12" s="0" t="s">
        <v>2900</v>
      </c>
      <c r="E12" s="0" t="s">
        <v>2901</v>
      </c>
      <c r="F12" s="0" t="s">
        <v>2902</v>
      </c>
      <c r="G12" s="0" t="s">
        <v>2903</v>
      </c>
      <c r="H12" s="0" t="s">
        <v>2904</v>
      </c>
      <c r="I12" s="0" t="s">
        <v>2905</v>
      </c>
      <c r="K12" s="0" t="s">
        <v>2906</v>
      </c>
      <c r="L12" s="0" t="s">
        <v>2907</v>
      </c>
      <c r="M12" s="0" t="s">
        <v>222</v>
      </c>
      <c r="N12" s="0" t="s">
        <v>2908</v>
      </c>
      <c r="O12" s="0" t="s">
        <v>2909</v>
      </c>
      <c r="P12" s="0" t="s">
        <v>2910</v>
      </c>
      <c r="Q12" s="0" t="s">
        <v>222</v>
      </c>
      <c r="R12" s="0" t="b">
        <v>0</v>
      </c>
      <c r="S12" s="0" t="s">
        <v>2802</v>
      </c>
    </row>
    <row customHeight="1" ht="11.25">
      <c r="A13" s="0">
        <v>2655</v>
      </c>
      <c r="B13" s="0" t="s">
        <v>101</v>
      </c>
      <c r="C13" s="0">
        <v>26322867</v>
      </c>
      <c r="D13" s="0" t="s">
        <v>2911</v>
      </c>
      <c r="E13" s="0" t="s">
        <v>2912</v>
      </c>
      <c r="F13" s="0" t="s">
        <v>2913</v>
      </c>
      <c r="G13" s="0" t="s">
        <v>2861</v>
      </c>
      <c r="H13" s="0" t="s">
        <v>2914</v>
      </c>
      <c r="I13" s="0" t="s">
        <v>2915</v>
      </c>
      <c r="J13" s="0" t="s">
        <v>2794</v>
      </c>
      <c r="K13" s="0" t="s">
        <v>2916</v>
      </c>
      <c r="L13" s="0" t="s">
        <v>2916</v>
      </c>
      <c r="M13" s="0" t="s">
        <v>2917</v>
      </c>
      <c r="N13" s="0" t="s">
        <v>2918</v>
      </c>
      <c r="O13" s="0" t="s">
        <v>2919</v>
      </c>
      <c r="P13" s="0" t="s">
        <v>2846</v>
      </c>
      <c r="Q13" s="0" t="s">
        <v>2920</v>
      </c>
      <c r="R13" s="0" t="b">
        <v>0</v>
      </c>
      <c r="S13" s="0" t="s">
        <v>2802</v>
      </c>
    </row>
    <row customHeight="1" ht="11.25">
      <c r="A14" s="0">
        <v>2655</v>
      </c>
      <c r="B14" s="0" t="s">
        <v>101</v>
      </c>
      <c r="C14" s="0">
        <v>26824651</v>
      </c>
      <c r="D14" s="0" t="s">
        <v>2921</v>
      </c>
      <c r="E14" s="0" t="s">
        <v>2922</v>
      </c>
      <c r="F14" s="0" t="s">
        <v>2893</v>
      </c>
      <c r="G14" s="0" t="s">
        <v>2923</v>
      </c>
      <c r="H14" s="0" t="s">
        <v>2894</v>
      </c>
      <c r="J14" s="0" t="s">
        <v>2794</v>
      </c>
      <c r="K14" s="0" t="s">
        <v>2924</v>
      </c>
      <c r="L14" s="0" t="s">
        <v>2925</v>
      </c>
      <c r="M14" s="0" t="s">
        <v>2926</v>
      </c>
      <c r="N14" s="0" t="s">
        <v>2927</v>
      </c>
      <c r="O14" s="0" t="s">
        <v>2928</v>
      </c>
      <c r="P14" s="0" t="s">
        <v>2929</v>
      </c>
      <c r="R14" s="0" t="b">
        <v>0</v>
      </c>
      <c r="S14" s="0" t="s">
        <v>2802</v>
      </c>
    </row>
    <row customHeight="1" ht="11.25">
      <c r="A15" s="0">
        <v>2655</v>
      </c>
      <c r="B15" s="0" t="s">
        <v>101</v>
      </c>
      <c r="C15" s="0">
        <v>26824396</v>
      </c>
      <c r="D15" s="0" t="s">
        <v>2930</v>
      </c>
      <c r="E15" s="0" t="s">
        <v>2931</v>
      </c>
      <c r="F15" s="0" t="s">
        <v>2893</v>
      </c>
      <c r="G15" s="0" t="s">
        <v>2932</v>
      </c>
      <c r="H15" s="0" t="s">
        <v>2894</v>
      </c>
      <c r="J15" s="0" t="s">
        <v>2886</v>
      </c>
      <c r="K15" s="0" t="s">
        <v>2933</v>
      </c>
      <c r="L15" s="0" t="s">
        <v>2933</v>
      </c>
      <c r="M15" s="0" t="s">
        <v>2934</v>
      </c>
      <c r="O15" s="0" t="s">
        <v>2935</v>
      </c>
      <c r="P15" s="0" t="s">
        <v>2929</v>
      </c>
      <c r="R15" s="0" t="b">
        <v>0</v>
      </c>
      <c r="S15" s="0" t="s">
        <v>2802</v>
      </c>
    </row>
    <row customHeight="1" ht="11.25">
      <c r="A16" s="0">
        <v>2655</v>
      </c>
      <c r="B16" s="0" t="s">
        <v>101</v>
      </c>
      <c r="C16" s="0">
        <v>31232672</v>
      </c>
      <c r="D16" s="0" t="s">
        <v>2936</v>
      </c>
      <c r="E16" s="0" t="s">
        <v>2937</v>
      </c>
      <c r="F16" s="0" t="s">
        <v>2938</v>
      </c>
      <c r="G16" s="0" t="s">
        <v>2939</v>
      </c>
      <c r="H16" s="0" t="s">
        <v>2940</v>
      </c>
      <c r="I16" s="0" t="s">
        <v>2941</v>
      </c>
      <c r="J16" s="0" t="s">
        <v>2942</v>
      </c>
      <c r="K16" s="0" t="s">
        <v>2943</v>
      </c>
      <c r="L16" s="0" t="s">
        <v>2943</v>
      </c>
      <c r="M16" s="0" t="s">
        <v>2944</v>
      </c>
      <c r="N16" s="0" t="s">
        <v>2945</v>
      </c>
      <c r="O16" s="0" t="s">
        <v>2946</v>
      </c>
      <c r="P16" s="0" t="s">
        <v>145</v>
      </c>
      <c r="R16" s="0" t="b">
        <v>0</v>
      </c>
      <c r="S16" s="0" t="s">
        <v>2802</v>
      </c>
    </row>
    <row customHeight="1" ht="11.25">
      <c r="A17" s="0">
        <v>2655</v>
      </c>
      <c r="B17" s="0" t="s">
        <v>101</v>
      </c>
      <c r="C17" s="0">
        <v>31387447</v>
      </c>
      <c r="D17" s="0" t="s">
        <v>2947</v>
      </c>
      <c r="E17" s="0" t="s">
        <v>2948</v>
      </c>
      <c r="F17" s="0" t="s">
        <v>2949</v>
      </c>
      <c r="G17" s="0" t="s">
        <v>2950</v>
      </c>
      <c r="H17" s="0" t="s">
        <v>2951</v>
      </c>
      <c r="I17" s="0" t="s">
        <v>2952</v>
      </c>
      <c r="J17" s="0" t="s">
        <v>2953</v>
      </c>
      <c r="K17" s="0" t="s">
        <v>2954</v>
      </c>
      <c r="L17" s="0" t="s">
        <v>2954</v>
      </c>
      <c r="M17" s="0" t="s">
        <v>2955</v>
      </c>
      <c r="N17" s="0" t="s">
        <v>2956</v>
      </c>
      <c r="O17" s="0" t="s">
        <v>2957</v>
      </c>
      <c r="P17" s="0" t="s">
        <v>145</v>
      </c>
      <c r="R17" s="0" t="b">
        <v>0</v>
      </c>
      <c r="S17" s="0" t="s">
        <v>2802</v>
      </c>
    </row>
    <row customHeight="1" ht="11.25">
      <c r="A18" s="0">
        <v>2655</v>
      </c>
      <c r="B18" s="0" t="s">
        <v>101</v>
      </c>
      <c r="C18" s="0">
        <v>30808700</v>
      </c>
      <c r="D18" s="0" t="s">
        <v>2958</v>
      </c>
      <c r="E18" s="0" t="s">
        <v>2959</v>
      </c>
      <c r="F18" s="0" t="s">
        <v>2960</v>
      </c>
      <c r="G18" s="0" t="s">
        <v>2839</v>
      </c>
      <c r="H18" s="0" t="s">
        <v>2961</v>
      </c>
      <c r="I18" s="0" t="s">
        <v>2962</v>
      </c>
      <c r="J18" s="0" t="s">
        <v>2953</v>
      </c>
      <c r="K18" s="0" t="s">
        <v>2963</v>
      </c>
      <c r="L18" s="0" t="s">
        <v>2964</v>
      </c>
      <c r="M18" s="0" t="s">
        <v>2965</v>
      </c>
      <c r="N18" s="0" t="s">
        <v>2966</v>
      </c>
      <c r="O18" s="0" t="s">
        <v>2967</v>
      </c>
      <c r="P18" s="0" t="s">
        <v>2910</v>
      </c>
      <c r="R18" s="0" t="b">
        <v>1</v>
      </c>
      <c r="S18" s="0" t="s">
        <v>2802</v>
      </c>
    </row>
    <row customHeight="1" ht="11.25">
      <c r="A19" s="0">
        <v>2655</v>
      </c>
      <c r="B19" s="0" t="s">
        <v>101</v>
      </c>
      <c r="C19" s="0">
        <v>31319221</v>
      </c>
      <c r="D19" s="0" t="s">
        <v>2968</v>
      </c>
      <c r="E19" s="0" t="s">
        <v>2969</v>
      </c>
      <c r="F19" s="0" t="s">
        <v>2970</v>
      </c>
      <c r="G19" s="0" t="s">
        <v>2950</v>
      </c>
      <c r="H19" s="0" t="s">
        <v>2971</v>
      </c>
      <c r="I19" s="0" t="s">
        <v>2972</v>
      </c>
      <c r="J19" s="0" t="s">
        <v>2942</v>
      </c>
      <c r="K19" s="0" t="s">
        <v>2973</v>
      </c>
      <c r="L19" s="0" t="s">
        <v>2974</v>
      </c>
      <c r="M19" s="0" t="s">
        <v>2975</v>
      </c>
      <c r="N19" s="0" t="s">
        <v>2976</v>
      </c>
      <c r="O19" s="0" t="s">
        <v>2977</v>
      </c>
      <c r="P19" s="0" t="s">
        <v>145</v>
      </c>
      <c r="R19" s="0" t="b">
        <v>0</v>
      </c>
      <c r="S19" s="0" t="s">
        <v>2802</v>
      </c>
    </row>
    <row customHeight="1" ht="11.25">
      <c r="A20" s="0">
        <v>2655</v>
      </c>
      <c r="B20" s="0" t="s">
        <v>101</v>
      </c>
      <c r="C20" s="0">
        <v>31419990</v>
      </c>
      <c r="D20" s="0" t="s">
        <v>2978</v>
      </c>
      <c r="E20" s="0" t="s">
        <v>2979</v>
      </c>
      <c r="F20" s="0" t="s">
        <v>2980</v>
      </c>
      <c r="G20" s="0" t="s">
        <v>2981</v>
      </c>
      <c r="H20" s="0" t="s">
        <v>2982</v>
      </c>
      <c r="I20" s="0" t="s">
        <v>2983</v>
      </c>
      <c r="J20" s="0" t="s">
        <v>2942</v>
      </c>
      <c r="K20" s="0" t="s">
        <v>2984</v>
      </c>
      <c r="L20" s="0" t="s">
        <v>2984</v>
      </c>
      <c r="M20" s="0" t="s">
        <v>2985</v>
      </c>
      <c r="N20" s="0" t="s">
        <v>2986</v>
      </c>
      <c r="O20" s="0" t="s">
        <v>2987</v>
      </c>
      <c r="P20" s="0" t="s">
        <v>145</v>
      </c>
      <c r="Q20" s="0" t="s">
        <v>2988</v>
      </c>
      <c r="R20" s="0" t="b">
        <v>0</v>
      </c>
      <c r="S20" s="0" t="s">
        <v>2802</v>
      </c>
    </row>
    <row customHeight="1" ht="11.25">
      <c r="A21" s="0">
        <v>2655</v>
      </c>
      <c r="B21" s="0" t="s">
        <v>101</v>
      </c>
      <c r="C21" s="0">
        <v>31343443</v>
      </c>
      <c r="D21" s="0" t="s">
        <v>2989</v>
      </c>
      <c r="E21" s="0" t="s">
        <v>2990</v>
      </c>
      <c r="F21" s="0" t="s">
        <v>2991</v>
      </c>
      <c r="G21" s="0" t="s">
        <v>2839</v>
      </c>
      <c r="H21" s="0" t="s">
        <v>2992</v>
      </c>
      <c r="I21" s="0" t="s">
        <v>2993</v>
      </c>
      <c r="J21" s="0" t="s">
        <v>2942</v>
      </c>
      <c r="K21" s="0" t="s">
        <v>2994</v>
      </c>
      <c r="L21" s="0" t="s">
        <v>2994</v>
      </c>
      <c r="N21" s="0" t="s">
        <v>2995</v>
      </c>
      <c r="O21" s="0" t="s">
        <v>2996</v>
      </c>
      <c r="P21" s="0" t="s">
        <v>2910</v>
      </c>
      <c r="R21" s="0" t="b">
        <v>0</v>
      </c>
      <c r="S21" s="0" t="s">
        <v>2802</v>
      </c>
    </row>
    <row customHeight="1" ht="11.25">
      <c r="A22" s="0">
        <v>2655</v>
      </c>
      <c r="B22" s="0" t="s">
        <v>101</v>
      </c>
      <c r="C22" s="0">
        <v>31367841</v>
      </c>
      <c r="D22" s="0" t="s">
        <v>2997</v>
      </c>
      <c r="E22" s="0" t="s">
        <v>2998</v>
      </c>
      <c r="F22" s="0" t="s">
        <v>2999</v>
      </c>
      <c r="G22" s="0" t="s">
        <v>3000</v>
      </c>
      <c r="H22" s="0" t="s">
        <v>3001</v>
      </c>
      <c r="I22" s="0" t="s">
        <v>3002</v>
      </c>
      <c r="J22" s="0" t="s">
        <v>2953</v>
      </c>
      <c r="K22" s="0" t="s">
        <v>3003</v>
      </c>
      <c r="L22" s="0" t="s">
        <v>3003</v>
      </c>
      <c r="N22" s="0" t="s">
        <v>3004</v>
      </c>
      <c r="O22" s="0" t="s">
        <v>3005</v>
      </c>
      <c r="P22" s="0" t="s">
        <v>145</v>
      </c>
      <c r="R22" s="0" t="b">
        <v>0</v>
      </c>
      <c r="S22" s="0" t="s">
        <v>2802</v>
      </c>
    </row>
    <row customHeight="1" ht="11.25">
      <c r="A23" s="0">
        <v>2655</v>
      </c>
      <c r="B23" s="0" t="s">
        <v>101</v>
      </c>
      <c r="C23" s="0">
        <v>31087651</v>
      </c>
      <c r="D23" s="0" t="s">
        <v>3006</v>
      </c>
      <c r="E23" s="0" t="s">
        <v>3007</v>
      </c>
      <c r="F23" s="0" t="s">
        <v>3008</v>
      </c>
      <c r="G23" s="0" t="s">
        <v>3009</v>
      </c>
      <c r="H23" s="0" t="s">
        <v>3010</v>
      </c>
      <c r="I23" s="0" t="s">
        <v>3011</v>
      </c>
      <c r="J23" s="0" t="s">
        <v>2942</v>
      </c>
      <c r="K23" s="0" t="s">
        <v>3012</v>
      </c>
      <c r="L23" s="0" t="s">
        <v>3012</v>
      </c>
      <c r="M23" s="0" t="s">
        <v>3013</v>
      </c>
      <c r="N23" s="0" t="s">
        <v>3014</v>
      </c>
      <c r="O23" s="0" t="s">
        <v>3015</v>
      </c>
      <c r="R23" s="0" t="b">
        <v>0</v>
      </c>
      <c r="S23" s="0" t="s">
        <v>2802</v>
      </c>
    </row>
    <row customHeight="1" ht="11.25">
      <c r="A24" s="0">
        <v>2655</v>
      </c>
      <c r="B24" s="0" t="s">
        <v>101</v>
      </c>
      <c r="C24" s="0">
        <v>31367862</v>
      </c>
      <c r="D24" s="0" t="s">
        <v>3016</v>
      </c>
      <c r="E24" s="0" t="s">
        <v>3017</v>
      </c>
      <c r="F24" s="0" t="s">
        <v>3018</v>
      </c>
      <c r="G24" s="0" t="s">
        <v>3000</v>
      </c>
      <c r="H24" s="0" t="s">
        <v>3019</v>
      </c>
      <c r="I24" s="0" t="s">
        <v>3020</v>
      </c>
      <c r="J24" s="0" t="s">
        <v>2942</v>
      </c>
      <c r="K24" s="0" t="s">
        <v>3021</v>
      </c>
      <c r="L24" s="0" t="s">
        <v>3021</v>
      </c>
      <c r="N24" s="0" t="s">
        <v>3022</v>
      </c>
      <c r="O24" s="0" t="s">
        <v>3023</v>
      </c>
      <c r="P24" s="0" t="s">
        <v>145</v>
      </c>
      <c r="R24" s="0" t="b">
        <v>0</v>
      </c>
      <c r="S24" s="0" t="s">
        <v>2802</v>
      </c>
    </row>
    <row customHeight="1" ht="11.25">
      <c r="A25" s="0">
        <v>2655</v>
      </c>
      <c r="B25" s="0" t="s">
        <v>101</v>
      </c>
      <c r="C25" s="0">
        <v>31618036</v>
      </c>
      <c r="D25" s="0" t="s">
        <v>3024</v>
      </c>
      <c r="E25" s="0" t="s">
        <v>3025</v>
      </c>
      <c r="F25" s="0" t="s">
        <v>3026</v>
      </c>
      <c r="G25" s="0" t="s">
        <v>2818</v>
      </c>
      <c r="H25" s="0" t="s">
        <v>3027</v>
      </c>
      <c r="I25" s="0" t="s">
        <v>3028</v>
      </c>
      <c r="K25" s="0" t="s">
        <v>3029</v>
      </c>
      <c r="L25" s="0" t="s">
        <v>3030</v>
      </c>
      <c r="M25" s="0" t="s">
        <v>3031</v>
      </c>
      <c r="N25" s="0" t="s">
        <v>3032</v>
      </c>
      <c r="O25" s="0" t="s">
        <v>3033</v>
      </c>
      <c r="P25" s="0" t="s">
        <v>145</v>
      </c>
      <c r="Q25" s="0" t="s">
        <v>3034</v>
      </c>
      <c r="R25" s="0" t="b">
        <v>0</v>
      </c>
      <c r="S25" s="0" t="s">
        <v>2802</v>
      </c>
    </row>
    <row customHeight="1" ht="11.25">
      <c r="A26" s="0">
        <v>2655</v>
      </c>
      <c r="B26" s="0" t="s">
        <v>101</v>
      </c>
      <c r="C26" s="0">
        <v>26486390</v>
      </c>
      <c r="D26" s="0" t="s">
        <v>3035</v>
      </c>
      <c r="E26" s="0" t="s">
        <v>3036</v>
      </c>
      <c r="F26" s="0" t="s">
        <v>3037</v>
      </c>
      <c r="G26" s="0" t="s">
        <v>3038</v>
      </c>
      <c r="H26" s="0" t="s">
        <v>3039</v>
      </c>
      <c r="I26" s="0" t="s">
        <v>3040</v>
      </c>
      <c r="J26" s="0" t="s">
        <v>2953</v>
      </c>
      <c r="K26" s="0" t="s">
        <v>3041</v>
      </c>
      <c r="L26" s="0" t="s">
        <v>3042</v>
      </c>
      <c r="M26" s="0" t="s">
        <v>3043</v>
      </c>
      <c r="N26" s="0" t="s">
        <v>3044</v>
      </c>
      <c r="O26" s="0" t="s">
        <v>3045</v>
      </c>
      <c r="P26" s="0" t="s">
        <v>145</v>
      </c>
      <c r="R26" s="0" t="b">
        <v>0</v>
      </c>
      <c r="S26" s="0" t="s">
        <v>2802</v>
      </c>
    </row>
    <row customHeight="1" ht="11.25">
      <c r="A27" s="0">
        <v>2655</v>
      </c>
      <c r="B27" s="0" t="s">
        <v>101</v>
      </c>
      <c r="C27" s="0">
        <v>27977465</v>
      </c>
      <c r="D27" s="0" t="s">
        <v>3046</v>
      </c>
      <c r="E27" s="0" t="s">
        <v>3047</v>
      </c>
      <c r="F27" s="0" t="s">
        <v>3048</v>
      </c>
      <c r="G27" s="0" t="s">
        <v>3049</v>
      </c>
      <c r="H27" s="0" t="s">
        <v>3050</v>
      </c>
      <c r="K27" s="0" t="s">
        <v>3051</v>
      </c>
      <c r="L27" s="0" t="s">
        <v>3051</v>
      </c>
      <c r="M27" s="0" t="s">
        <v>3052</v>
      </c>
      <c r="N27" s="0" t="s">
        <v>3053</v>
      </c>
      <c r="O27" s="0" t="s">
        <v>3054</v>
      </c>
      <c r="P27" s="0" t="s">
        <v>2910</v>
      </c>
      <c r="R27" s="0" t="b">
        <v>0</v>
      </c>
      <c r="S27" s="0" t="s">
        <v>2802</v>
      </c>
    </row>
    <row customHeight="1" ht="11.25">
      <c r="A28" s="0">
        <v>2655</v>
      </c>
      <c r="B28" s="0" t="s">
        <v>101</v>
      </c>
      <c r="C28" s="0">
        <v>31310826</v>
      </c>
      <c r="D28" s="0" t="s">
        <v>3046</v>
      </c>
      <c r="E28" s="0" t="s">
        <v>3055</v>
      </c>
      <c r="F28" s="0" t="s">
        <v>3056</v>
      </c>
      <c r="G28" s="0" t="s">
        <v>2839</v>
      </c>
      <c r="H28" s="0" t="s">
        <v>3057</v>
      </c>
      <c r="I28" s="0" t="s">
        <v>3058</v>
      </c>
      <c r="J28" s="0" t="s">
        <v>2953</v>
      </c>
      <c r="K28" s="0" t="s">
        <v>3059</v>
      </c>
      <c r="L28" s="0" t="s">
        <v>3059</v>
      </c>
      <c r="M28" s="0" t="s">
        <v>3060</v>
      </c>
      <c r="N28" s="0" t="s">
        <v>3061</v>
      </c>
      <c r="O28" s="0" t="s">
        <v>3062</v>
      </c>
      <c r="P28" s="0" t="s">
        <v>2910</v>
      </c>
      <c r="R28" s="0" t="b">
        <v>0</v>
      </c>
      <c r="S28" s="0" t="s">
        <v>2802</v>
      </c>
    </row>
    <row customHeight="1" ht="11.25">
      <c r="A29" s="0">
        <v>2655</v>
      </c>
      <c r="B29" s="0" t="s">
        <v>101</v>
      </c>
      <c r="C29" s="0">
        <v>31003143</v>
      </c>
      <c r="D29" s="0" t="s">
        <v>3063</v>
      </c>
      <c r="E29" s="0" t="s">
        <v>3064</v>
      </c>
      <c r="F29" s="0" t="s">
        <v>3065</v>
      </c>
      <c r="G29" s="0" t="s">
        <v>3049</v>
      </c>
      <c r="H29" s="0" t="s">
        <v>3066</v>
      </c>
      <c r="I29" s="0" t="s">
        <v>3067</v>
      </c>
      <c r="J29" s="0" t="s">
        <v>2953</v>
      </c>
      <c r="K29" s="0" t="s">
        <v>3068</v>
      </c>
      <c r="L29" s="0" t="s">
        <v>3069</v>
      </c>
      <c r="M29" s="0" t="s">
        <v>3070</v>
      </c>
      <c r="N29" s="0" t="s">
        <v>3071</v>
      </c>
      <c r="O29" s="0" t="s">
        <v>3072</v>
      </c>
      <c r="P29" s="0" t="s">
        <v>145</v>
      </c>
      <c r="R29" s="0" t="b">
        <v>1</v>
      </c>
      <c r="S29" s="0" t="s">
        <v>2802</v>
      </c>
    </row>
    <row customHeight="1" ht="11.25">
      <c r="A30" s="0">
        <v>2655</v>
      </c>
      <c r="B30" s="0" t="s">
        <v>101</v>
      </c>
      <c r="C30" s="0">
        <v>31308226</v>
      </c>
      <c r="D30" s="0" t="s">
        <v>3073</v>
      </c>
      <c r="E30" s="0" t="s">
        <v>3074</v>
      </c>
      <c r="F30" s="0" t="s">
        <v>3075</v>
      </c>
      <c r="G30" s="0" t="s">
        <v>3076</v>
      </c>
      <c r="H30" s="0" t="s">
        <v>3077</v>
      </c>
      <c r="I30" s="0" t="s">
        <v>3078</v>
      </c>
      <c r="J30" s="0" t="s">
        <v>2953</v>
      </c>
      <c r="K30" s="0" t="s">
        <v>3079</v>
      </c>
      <c r="L30" s="0" t="s">
        <v>3079</v>
      </c>
      <c r="M30" s="0" t="s">
        <v>3080</v>
      </c>
      <c r="N30" s="0" t="s">
        <v>3081</v>
      </c>
      <c r="O30" s="0" t="s">
        <v>3082</v>
      </c>
      <c r="P30" s="0" t="s">
        <v>2910</v>
      </c>
      <c r="R30" s="0" t="b">
        <v>1</v>
      </c>
      <c r="S30" s="0" t="s">
        <v>2802</v>
      </c>
    </row>
    <row customHeight="1" ht="11.25">
      <c r="A31" s="0">
        <v>2655</v>
      </c>
      <c r="B31" s="0" t="s">
        <v>101</v>
      </c>
      <c r="C31" s="0">
        <v>31284269</v>
      </c>
      <c r="D31" s="0" t="s">
        <v>3083</v>
      </c>
      <c r="E31" s="0" t="s">
        <v>3084</v>
      </c>
      <c r="F31" s="0" t="s">
        <v>3085</v>
      </c>
      <c r="G31" s="0" t="s">
        <v>3009</v>
      </c>
      <c r="H31" s="0" t="s">
        <v>3086</v>
      </c>
      <c r="I31" s="0" t="s">
        <v>3087</v>
      </c>
      <c r="J31" s="0" t="s">
        <v>2953</v>
      </c>
      <c r="K31" s="0" t="s">
        <v>3088</v>
      </c>
      <c r="L31" s="0" t="s">
        <v>3089</v>
      </c>
      <c r="M31" s="0" t="s">
        <v>3090</v>
      </c>
      <c r="N31" s="0" t="s">
        <v>3091</v>
      </c>
      <c r="O31" s="0" t="s">
        <v>3092</v>
      </c>
      <c r="R31" s="0" t="b">
        <v>0</v>
      </c>
      <c r="S31" s="0" t="s">
        <v>2802</v>
      </c>
    </row>
    <row customHeight="1" ht="11.25">
      <c r="A32" s="0">
        <v>2655</v>
      </c>
      <c r="B32" s="0" t="s">
        <v>101</v>
      </c>
      <c r="C32" s="0">
        <v>31241680</v>
      </c>
      <c r="D32" s="0" t="s">
        <v>3093</v>
      </c>
      <c r="E32" s="0" t="s">
        <v>3094</v>
      </c>
      <c r="F32" s="0" t="s">
        <v>3095</v>
      </c>
      <c r="G32" s="0" t="s">
        <v>2981</v>
      </c>
      <c r="H32" s="0" t="s">
        <v>3096</v>
      </c>
      <c r="I32" s="0" t="s">
        <v>3097</v>
      </c>
      <c r="J32" s="0" t="s">
        <v>2953</v>
      </c>
      <c r="K32" s="0" t="s">
        <v>3098</v>
      </c>
      <c r="L32" s="0" t="s">
        <v>3098</v>
      </c>
      <c r="M32" s="0" t="s">
        <v>3099</v>
      </c>
      <c r="N32" s="0" t="s">
        <v>3100</v>
      </c>
      <c r="O32" s="0" t="s">
        <v>3101</v>
      </c>
      <c r="P32" s="0" t="s">
        <v>2910</v>
      </c>
      <c r="Q32" s="0" t="s">
        <v>3102</v>
      </c>
      <c r="R32" s="0" t="b">
        <v>0</v>
      </c>
      <c r="S32" s="0" t="s">
        <v>2802</v>
      </c>
    </row>
    <row customHeight="1" ht="11.25">
      <c r="A33" s="0">
        <v>2655</v>
      </c>
      <c r="B33" s="0" t="s">
        <v>101</v>
      </c>
      <c r="C33" s="0">
        <v>31579664</v>
      </c>
      <c r="D33" s="0" t="s">
        <v>3103</v>
      </c>
      <c r="E33" s="0" t="s">
        <v>3104</v>
      </c>
      <c r="F33" s="0" t="s">
        <v>3105</v>
      </c>
      <c r="G33" s="0" t="s">
        <v>2839</v>
      </c>
      <c r="H33" s="0" t="s">
        <v>3106</v>
      </c>
      <c r="I33" s="0" t="s">
        <v>3107</v>
      </c>
      <c r="K33" s="0" t="s">
        <v>3108</v>
      </c>
      <c r="L33" s="0" t="s">
        <v>3109</v>
      </c>
      <c r="M33" s="0" t="s">
        <v>3110</v>
      </c>
      <c r="O33" s="0" t="s">
        <v>3111</v>
      </c>
      <c r="P33" s="0" t="s">
        <v>145</v>
      </c>
      <c r="Q33" s="0" t="s">
        <v>3112</v>
      </c>
      <c r="R33" s="0" t="b">
        <v>1</v>
      </c>
      <c r="S33" s="0" t="s">
        <v>2802</v>
      </c>
    </row>
    <row customHeight="1" ht="11.25">
      <c r="A34" s="0">
        <v>2655</v>
      </c>
      <c r="B34" s="0" t="s">
        <v>101</v>
      </c>
      <c r="C34" s="0">
        <v>26322895</v>
      </c>
      <c r="D34" s="0" t="s">
        <v>3113</v>
      </c>
      <c r="E34" s="0" t="s">
        <v>3114</v>
      </c>
      <c r="F34" s="0" t="s">
        <v>3115</v>
      </c>
      <c r="G34" s="0" t="s">
        <v>2818</v>
      </c>
      <c r="H34" s="0" t="s">
        <v>3116</v>
      </c>
      <c r="I34" s="0" t="s">
        <v>3117</v>
      </c>
      <c r="J34" s="0" t="s">
        <v>2886</v>
      </c>
      <c r="K34" s="0" t="s">
        <v>3118</v>
      </c>
      <c r="L34" s="0" t="s">
        <v>3118</v>
      </c>
      <c r="M34" s="0" t="s">
        <v>3119</v>
      </c>
      <c r="N34" s="0" t="s">
        <v>3120</v>
      </c>
      <c r="O34" s="0" t="s">
        <v>3121</v>
      </c>
      <c r="P34" s="0" t="s">
        <v>2846</v>
      </c>
      <c r="Q34" s="0" t="s">
        <v>3122</v>
      </c>
      <c r="R34" s="0" t="b">
        <v>0</v>
      </c>
      <c r="S34" s="0" t="s">
        <v>2802</v>
      </c>
    </row>
    <row customHeight="1" ht="11.25">
      <c r="A35" s="0">
        <v>2655</v>
      </c>
      <c r="B35" s="0" t="s">
        <v>101</v>
      </c>
      <c r="C35" s="0">
        <v>28119331</v>
      </c>
      <c r="D35" s="0" t="s">
        <v>3123</v>
      </c>
      <c r="E35" s="0" t="s">
        <v>3124</v>
      </c>
      <c r="F35" s="0" t="s">
        <v>3125</v>
      </c>
      <c r="G35" s="0" t="s">
        <v>2818</v>
      </c>
      <c r="H35" s="0" t="s">
        <v>3126</v>
      </c>
      <c r="J35" s="0" t="s">
        <v>3127</v>
      </c>
      <c r="K35" s="0" t="s">
        <v>3128</v>
      </c>
      <c r="L35" s="0" t="s">
        <v>3128</v>
      </c>
      <c r="M35" s="0" t="s">
        <v>3129</v>
      </c>
      <c r="O35" s="0" t="s">
        <v>3130</v>
      </c>
      <c r="P35" s="0" t="s">
        <v>2910</v>
      </c>
      <c r="R35" s="0" t="b">
        <v>1</v>
      </c>
      <c r="S35" s="0" t="s">
        <v>2802</v>
      </c>
    </row>
    <row customHeight="1" ht="11.25">
      <c r="A36" s="0">
        <v>2655</v>
      </c>
      <c r="B36" s="0" t="s">
        <v>101</v>
      </c>
      <c r="C36" s="0">
        <v>31683419</v>
      </c>
      <c r="D36" s="0" t="s">
        <v>3131</v>
      </c>
      <c r="E36" s="0" t="s">
        <v>3132</v>
      </c>
      <c r="F36" s="0" t="s">
        <v>3133</v>
      </c>
      <c r="G36" s="0" t="s">
        <v>2839</v>
      </c>
      <c r="H36" s="0" t="s">
        <v>3134</v>
      </c>
      <c r="I36" s="0" t="s">
        <v>3135</v>
      </c>
      <c r="K36" s="0" t="s">
        <v>3136</v>
      </c>
      <c r="L36" s="0" t="s">
        <v>3136</v>
      </c>
      <c r="M36" s="0" t="s">
        <v>3137</v>
      </c>
      <c r="N36" s="0" t="s">
        <v>3138</v>
      </c>
      <c r="O36" s="0" t="s">
        <v>3139</v>
      </c>
      <c r="P36" s="0" t="s">
        <v>145</v>
      </c>
      <c r="R36" s="0" t="b">
        <v>0</v>
      </c>
      <c r="S36" s="0" t="s">
        <v>2802</v>
      </c>
    </row>
    <row customHeight="1" ht="11.25">
      <c r="A37" s="0">
        <v>2655</v>
      </c>
      <c r="B37" s="0" t="s">
        <v>101</v>
      </c>
      <c r="C37" s="0">
        <v>31775146</v>
      </c>
      <c r="D37" s="0" t="s">
        <v>3140</v>
      </c>
      <c r="E37" s="0" t="s">
        <v>3141</v>
      </c>
      <c r="F37" s="0" t="s">
        <v>3142</v>
      </c>
      <c r="G37" s="0" t="s">
        <v>3143</v>
      </c>
      <c r="H37" s="0" t="s">
        <v>3144</v>
      </c>
      <c r="I37" s="0" t="s">
        <v>3145</v>
      </c>
      <c r="K37" s="0" t="s">
        <v>3146</v>
      </c>
      <c r="L37" s="0" t="s">
        <v>3146</v>
      </c>
      <c r="M37" s="0" t="s">
        <v>3147</v>
      </c>
      <c r="N37" s="0" t="s">
        <v>3148</v>
      </c>
      <c r="O37" s="0" t="s">
        <v>3149</v>
      </c>
      <c r="P37" s="0" t="s">
        <v>2910</v>
      </c>
      <c r="Q37" s="0" t="s">
        <v>222</v>
      </c>
      <c r="R37" s="0" t="b">
        <v>1</v>
      </c>
      <c r="S37" s="0" t="s">
        <v>2802</v>
      </c>
    </row>
    <row customHeight="1" ht="11.25">
      <c r="A38" s="0">
        <v>2655</v>
      </c>
      <c r="B38" s="0" t="s">
        <v>101</v>
      </c>
      <c r="C38" s="0">
        <v>28869965</v>
      </c>
      <c r="D38" s="0" t="s">
        <v>3150</v>
      </c>
      <c r="E38" s="0" t="s">
        <v>3151</v>
      </c>
      <c r="F38" s="0" t="s">
        <v>3152</v>
      </c>
      <c r="G38" s="0" t="s">
        <v>2939</v>
      </c>
      <c r="H38" s="0" t="s">
        <v>3153</v>
      </c>
      <c r="J38" s="0" t="s">
        <v>3127</v>
      </c>
      <c r="K38" s="0" t="s">
        <v>3154</v>
      </c>
      <c r="L38" s="0" t="s">
        <v>3154</v>
      </c>
      <c r="M38" s="0" t="s">
        <v>3155</v>
      </c>
      <c r="N38" s="0" t="s">
        <v>3156</v>
      </c>
      <c r="O38" s="0" t="s">
        <v>3157</v>
      </c>
      <c r="P38" s="0" t="s">
        <v>2846</v>
      </c>
      <c r="Q38" s="0" t="s">
        <v>3158</v>
      </c>
      <c r="R38" s="0" t="b">
        <v>0</v>
      </c>
      <c r="S38" s="0" t="s">
        <v>2802</v>
      </c>
    </row>
    <row customHeight="1" ht="11.25">
      <c r="A39" s="0">
        <v>2655</v>
      </c>
      <c r="B39" s="0" t="s">
        <v>101</v>
      </c>
      <c r="C39" s="0">
        <v>31336226</v>
      </c>
      <c r="D39" s="0" t="s">
        <v>3150</v>
      </c>
      <c r="E39" s="0" t="s">
        <v>3151</v>
      </c>
      <c r="F39" s="0" t="s">
        <v>3159</v>
      </c>
      <c r="G39" s="0" t="s">
        <v>2950</v>
      </c>
      <c r="H39" s="0" t="s">
        <v>3160</v>
      </c>
      <c r="I39" s="0" t="s">
        <v>3161</v>
      </c>
      <c r="J39" s="0" t="s">
        <v>3127</v>
      </c>
      <c r="K39" s="0" t="s">
        <v>3162</v>
      </c>
      <c r="L39" s="0" t="s">
        <v>3163</v>
      </c>
      <c r="M39" s="0" t="s">
        <v>3164</v>
      </c>
      <c r="N39" s="0" t="s">
        <v>3165</v>
      </c>
      <c r="O39" s="0" t="s">
        <v>3166</v>
      </c>
      <c r="P39" s="0" t="s">
        <v>145</v>
      </c>
      <c r="R39" s="0" t="b">
        <v>0</v>
      </c>
      <c r="S39" s="0" t="s">
        <v>2802</v>
      </c>
    </row>
    <row customHeight="1" ht="11.25">
      <c r="A40" s="0">
        <v>2655</v>
      </c>
      <c r="B40" s="0" t="s">
        <v>101</v>
      </c>
      <c r="C40" s="0">
        <v>31215010</v>
      </c>
      <c r="D40" s="0" t="s">
        <v>3150</v>
      </c>
      <c r="E40" s="0" t="s">
        <v>3151</v>
      </c>
      <c r="F40" s="0" t="s">
        <v>3167</v>
      </c>
      <c r="G40" s="0" t="s">
        <v>3076</v>
      </c>
      <c r="H40" s="0" t="s">
        <v>3168</v>
      </c>
      <c r="I40" s="0" t="s">
        <v>3169</v>
      </c>
      <c r="J40" s="0" t="s">
        <v>3127</v>
      </c>
      <c r="K40" s="0" t="s">
        <v>3170</v>
      </c>
      <c r="L40" s="0" t="s">
        <v>3171</v>
      </c>
      <c r="M40" s="0" t="s">
        <v>3172</v>
      </c>
      <c r="N40" s="0" t="s">
        <v>3173</v>
      </c>
      <c r="O40" s="0" t="s">
        <v>3174</v>
      </c>
      <c r="P40" s="0" t="s">
        <v>3175</v>
      </c>
      <c r="R40" s="0" t="b">
        <v>0</v>
      </c>
      <c r="S40" s="0" t="s">
        <v>2802</v>
      </c>
    </row>
    <row customHeight="1" ht="11.25">
      <c r="A41" s="0">
        <v>2655</v>
      </c>
      <c r="B41" s="0" t="s">
        <v>101</v>
      </c>
      <c r="C41" s="0">
        <v>26428030</v>
      </c>
      <c r="D41" s="0" t="s">
        <v>3176</v>
      </c>
      <c r="E41" s="0" t="s">
        <v>3177</v>
      </c>
      <c r="F41" s="0" t="s">
        <v>3178</v>
      </c>
      <c r="G41" s="0" t="s">
        <v>3049</v>
      </c>
      <c r="H41" s="0" t="s">
        <v>3179</v>
      </c>
      <c r="K41" s="0" t="s">
        <v>3180</v>
      </c>
      <c r="L41" s="0" t="s">
        <v>3180</v>
      </c>
      <c r="M41" s="0" t="s">
        <v>3181</v>
      </c>
      <c r="N41" s="0" t="s">
        <v>3182</v>
      </c>
      <c r="R41" s="0" t="b">
        <v>0</v>
      </c>
      <c r="S41" s="0" t="s">
        <v>2802</v>
      </c>
    </row>
    <row customHeight="1" ht="11.25">
      <c r="A42" s="0">
        <v>2655</v>
      </c>
      <c r="B42" s="0" t="s">
        <v>101</v>
      </c>
      <c r="C42" s="0">
        <v>31356597</v>
      </c>
      <c r="D42" s="0" t="s">
        <v>3183</v>
      </c>
      <c r="E42" s="0" t="s">
        <v>3184</v>
      </c>
      <c r="F42" s="0" t="s">
        <v>3185</v>
      </c>
      <c r="G42" s="0" t="s">
        <v>3009</v>
      </c>
      <c r="H42" s="0" t="s">
        <v>3186</v>
      </c>
      <c r="I42" s="0" t="s">
        <v>3187</v>
      </c>
      <c r="J42" s="0" t="s">
        <v>3127</v>
      </c>
      <c r="K42" s="0" t="s">
        <v>3188</v>
      </c>
      <c r="L42" s="0" t="s">
        <v>3188</v>
      </c>
      <c r="M42" s="0" t="s">
        <v>3189</v>
      </c>
      <c r="N42" s="0" t="s">
        <v>3190</v>
      </c>
      <c r="O42" s="0" t="s">
        <v>3191</v>
      </c>
      <c r="P42" s="0" t="s">
        <v>2846</v>
      </c>
      <c r="R42" s="0" t="b">
        <v>0</v>
      </c>
      <c r="S42" s="0" t="s">
        <v>2802</v>
      </c>
    </row>
    <row customHeight="1" ht="11.25">
      <c r="A43" s="0">
        <v>2655</v>
      </c>
      <c r="B43" s="0" t="s">
        <v>101</v>
      </c>
      <c r="C43" s="0">
        <v>28136671</v>
      </c>
      <c r="D43" s="0" t="s">
        <v>3192</v>
      </c>
      <c r="E43" s="0" t="s">
        <v>3193</v>
      </c>
      <c r="F43" s="0" t="s">
        <v>3194</v>
      </c>
      <c r="G43" s="0" t="s">
        <v>3195</v>
      </c>
      <c r="H43" s="0" t="s">
        <v>3196</v>
      </c>
      <c r="I43" s="0" t="s">
        <v>3197</v>
      </c>
      <c r="J43" s="0" t="s">
        <v>3127</v>
      </c>
      <c r="K43" s="0" t="s">
        <v>3198</v>
      </c>
      <c r="L43" s="0" t="s">
        <v>3199</v>
      </c>
      <c r="M43" s="0" t="s">
        <v>3200</v>
      </c>
      <c r="N43" s="0" t="s">
        <v>3201</v>
      </c>
      <c r="O43" s="0" t="s">
        <v>3202</v>
      </c>
      <c r="P43" s="0" t="s">
        <v>3203</v>
      </c>
      <c r="R43" s="0" t="b">
        <v>1</v>
      </c>
      <c r="S43" s="0" t="s">
        <v>2802</v>
      </c>
    </row>
    <row customHeight="1" ht="11.25">
      <c r="A44" s="0">
        <v>2655</v>
      </c>
      <c r="B44" s="0" t="s">
        <v>101</v>
      </c>
      <c r="C44" s="0">
        <v>31573961</v>
      </c>
      <c r="D44" s="0" t="s">
        <v>3204</v>
      </c>
      <c r="E44" s="0" t="s">
        <v>3205</v>
      </c>
      <c r="F44" s="0" t="s">
        <v>3206</v>
      </c>
      <c r="G44" s="0" t="s">
        <v>3049</v>
      </c>
      <c r="H44" s="0" t="s">
        <v>3207</v>
      </c>
      <c r="I44" s="0" t="s">
        <v>3208</v>
      </c>
      <c r="K44" s="0" t="s">
        <v>3209</v>
      </c>
      <c r="L44" s="0" t="s">
        <v>3209</v>
      </c>
      <c r="M44" s="0" t="s">
        <v>3210</v>
      </c>
      <c r="N44" s="0" t="s">
        <v>2908</v>
      </c>
      <c r="O44" s="0" t="s">
        <v>2909</v>
      </c>
      <c r="P44" s="0" t="s">
        <v>2846</v>
      </c>
      <c r="R44" s="0" t="b">
        <v>0</v>
      </c>
      <c r="S44" s="0" t="s">
        <v>2802</v>
      </c>
    </row>
    <row customHeight="1" ht="11.25">
      <c r="A45" s="0">
        <v>2655</v>
      </c>
      <c r="B45" s="0" t="s">
        <v>101</v>
      </c>
      <c r="C45" s="0">
        <v>31527562</v>
      </c>
      <c r="D45" s="0" t="s">
        <v>3211</v>
      </c>
      <c r="E45" s="0" t="s">
        <v>3212</v>
      </c>
      <c r="F45" s="0" t="s">
        <v>3213</v>
      </c>
      <c r="G45" s="0" t="s">
        <v>3214</v>
      </c>
      <c r="H45" s="0" t="s">
        <v>3215</v>
      </c>
      <c r="I45" s="0" t="s">
        <v>3216</v>
      </c>
      <c r="K45" s="0" t="s">
        <v>3217</v>
      </c>
      <c r="L45" s="0" t="s">
        <v>3218</v>
      </c>
      <c r="O45" s="0" t="s">
        <v>3219</v>
      </c>
      <c r="R45" s="0" t="b">
        <v>0</v>
      </c>
      <c r="S45" s="0" t="s">
        <v>2802</v>
      </c>
    </row>
    <row customHeight="1" ht="11.25">
      <c r="A46" s="0">
        <v>2655</v>
      </c>
      <c r="B46" s="0" t="s">
        <v>101</v>
      </c>
      <c r="C46" s="0">
        <v>30854705</v>
      </c>
      <c r="D46" s="0" t="s">
        <v>3220</v>
      </c>
      <c r="E46" s="0" t="s">
        <v>3221</v>
      </c>
      <c r="F46" s="0" t="s">
        <v>3222</v>
      </c>
      <c r="G46" s="0" t="s">
        <v>2851</v>
      </c>
      <c r="H46" s="0" t="s">
        <v>3223</v>
      </c>
      <c r="I46" s="0" t="s">
        <v>3224</v>
      </c>
      <c r="J46" s="0" t="s">
        <v>3127</v>
      </c>
      <c r="K46" s="0" t="s">
        <v>3225</v>
      </c>
      <c r="L46" s="0" t="s">
        <v>3225</v>
      </c>
      <c r="M46" s="0" t="s">
        <v>3226</v>
      </c>
      <c r="N46" s="0" t="s">
        <v>3227</v>
      </c>
      <c r="O46" s="0" t="s">
        <v>3228</v>
      </c>
      <c r="P46" s="0" t="s">
        <v>2846</v>
      </c>
      <c r="Q46" s="0" t="s">
        <v>152</v>
      </c>
      <c r="R46" s="0" t="b">
        <v>0</v>
      </c>
      <c r="S46" s="0" t="s">
        <v>2802</v>
      </c>
    </row>
    <row customHeight="1" ht="11.25">
      <c r="A47" s="0">
        <v>2655</v>
      </c>
      <c r="B47" s="0" t="s">
        <v>101</v>
      </c>
      <c r="C47" s="0">
        <v>31656254</v>
      </c>
      <c r="D47" s="0" t="s">
        <v>3229</v>
      </c>
      <c r="E47" s="0" t="s">
        <v>3230</v>
      </c>
      <c r="F47" s="0" t="s">
        <v>3231</v>
      </c>
      <c r="G47" s="0" t="s">
        <v>3232</v>
      </c>
      <c r="H47" s="0" t="s">
        <v>3233</v>
      </c>
      <c r="I47" s="0" t="s">
        <v>3234</v>
      </c>
      <c r="K47" s="0" t="s">
        <v>3235</v>
      </c>
      <c r="L47" s="0" t="s">
        <v>3236</v>
      </c>
      <c r="M47" s="0" t="s">
        <v>3237</v>
      </c>
      <c r="N47" s="0" t="s">
        <v>3238</v>
      </c>
      <c r="O47" s="0" t="s">
        <v>3239</v>
      </c>
      <c r="P47" s="0" t="s">
        <v>145</v>
      </c>
      <c r="Q47" s="0" t="s">
        <v>3240</v>
      </c>
      <c r="R47" s="0" t="b">
        <v>0</v>
      </c>
      <c r="S47" s="0" t="s">
        <v>2802</v>
      </c>
    </row>
    <row customHeight="1" ht="11.25">
      <c r="A48" s="0">
        <v>2655</v>
      </c>
      <c r="B48" s="0" t="s">
        <v>101</v>
      </c>
      <c r="C48" s="0">
        <v>31424033</v>
      </c>
      <c r="D48" s="0" t="s">
        <v>3241</v>
      </c>
      <c r="E48" s="0" t="s">
        <v>3242</v>
      </c>
      <c r="F48" s="0" t="s">
        <v>3243</v>
      </c>
      <c r="G48" s="0" t="s">
        <v>3244</v>
      </c>
      <c r="H48" s="0" t="s">
        <v>3245</v>
      </c>
      <c r="J48" s="0" t="s">
        <v>3127</v>
      </c>
      <c r="R48" s="0" t="b">
        <v>0</v>
      </c>
      <c r="S48" s="0" t="s">
        <v>2802</v>
      </c>
    </row>
    <row customHeight="1" ht="11.25">
      <c r="A49" s="0">
        <v>2655</v>
      </c>
      <c r="B49" s="0" t="s">
        <v>101</v>
      </c>
      <c r="C49" s="0">
        <v>26428026</v>
      </c>
      <c r="D49" s="0" t="s">
        <v>3246</v>
      </c>
      <c r="E49" s="0" t="s">
        <v>3247</v>
      </c>
      <c r="F49" s="0" t="s">
        <v>3248</v>
      </c>
      <c r="G49" s="0" t="s">
        <v>3249</v>
      </c>
      <c r="H49" s="0" t="s">
        <v>3250</v>
      </c>
      <c r="K49" s="0" t="s">
        <v>3251</v>
      </c>
      <c r="L49" s="0" t="s">
        <v>3251</v>
      </c>
      <c r="M49" s="0" t="s">
        <v>3252</v>
      </c>
      <c r="N49" s="0" t="s">
        <v>3253</v>
      </c>
      <c r="O49" s="0" t="s">
        <v>3254</v>
      </c>
      <c r="P49" s="0" t="s">
        <v>145</v>
      </c>
      <c r="R49" s="0" t="b">
        <v>1</v>
      </c>
      <c r="S49" s="0" t="s">
        <v>2802</v>
      </c>
    </row>
    <row customHeight="1" ht="11.25">
      <c r="A50" s="0">
        <v>2655</v>
      </c>
      <c r="B50" s="0" t="s">
        <v>101</v>
      </c>
      <c r="C50" s="0">
        <v>28151808</v>
      </c>
      <c r="D50" s="0" t="s">
        <v>3255</v>
      </c>
      <c r="E50" s="0" t="s">
        <v>3256</v>
      </c>
      <c r="F50" s="0" t="s">
        <v>3257</v>
      </c>
      <c r="G50" s="0" t="s">
        <v>2839</v>
      </c>
      <c r="H50" s="0" t="s">
        <v>3258</v>
      </c>
      <c r="I50" s="0" t="s">
        <v>3259</v>
      </c>
      <c r="J50" s="0" t="s">
        <v>3127</v>
      </c>
      <c r="K50" s="0" t="s">
        <v>3260</v>
      </c>
      <c r="L50" s="0" t="s">
        <v>3261</v>
      </c>
      <c r="M50" s="0" t="s">
        <v>3262</v>
      </c>
      <c r="N50" s="0" t="s">
        <v>3263</v>
      </c>
      <c r="O50" s="0" t="s">
        <v>3264</v>
      </c>
      <c r="P50" s="0" t="s">
        <v>2846</v>
      </c>
      <c r="R50" s="0" t="b">
        <v>1</v>
      </c>
      <c r="S50" s="0" t="s">
        <v>2802</v>
      </c>
    </row>
    <row customHeight="1" ht="11.25">
      <c r="A51" s="0">
        <v>2655</v>
      </c>
      <c r="B51" s="0" t="s">
        <v>101</v>
      </c>
      <c r="C51" s="0">
        <v>31541617</v>
      </c>
      <c r="D51" s="0" t="s">
        <v>3265</v>
      </c>
      <c r="E51" s="0" t="s">
        <v>3266</v>
      </c>
      <c r="F51" s="0" t="s">
        <v>3267</v>
      </c>
      <c r="G51" s="0" t="s">
        <v>3268</v>
      </c>
      <c r="H51" s="0" t="s">
        <v>3269</v>
      </c>
      <c r="I51" s="0" t="s">
        <v>3270</v>
      </c>
      <c r="K51" s="0" t="s">
        <v>3271</v>
      </c>
      <c r="L51" s="0" t="s">
        <v>3271</v>
      </c>
      <c r="M51" s="0" t="s">
        <v>3272</v>
      </c>
      <c r="N51" s="0" t="s">
        <v>3273</v>
      </c>
      <c r="O51" s="0" t="s">
        <v>3274</v>
      </c>
      <c r="P51" s="0" t="s">
        <v>2910</v>
      </c>
      <c r="R51" s="0" t="b">
        <v>1</v>
      </c>
      <c r="S51" s="0" t="s">
        <v>2802</v>
      </c>
    </row>
    <row customHeight="1" ht="11.25">
      <c r="A52" s="0">
        <v>2655</v>
      </c>
      <c r="B52" s="0" t="s">
        <v>101</v>
      </c>
      <c r="C52" s="0">
        <v>26356987</v>
      </c>
      <c r="D52" s="0" t="s">
        <v>3275</v>
      </c>
      <c r="E52" s="0" t="s">
        <v>3276</v>
      </c>
      <c r="F52" s="0" t="s">
        <v>3277</v>
      </c>
      <c r="G52" s="0" t="s">
        <v>3278</v>
      </c>
      <c r="H52" s="0" t="s">
        <v>3279</v>
      </c>
      <c r="I52" s="0" t="s">
        <v>3280</v>
      </c>
      <c r="J52" s="0" t="s">
        <v>3127</v>
      </c>
      <c r="K52" s="0" t="s">
        <v>3281</v>
      </c>
      <c r="L52" s="0" t="s">
        <v>3281</v>
      </c>
      <c r="M52" s="0" t="s">
        <v>3282</v>
      </c>
      <c r="N52" s="0" t="s">
        <v>3283</v>
      </c>
      <c r="O52" s="0" t="s">
        <v>3284</v>
      </c>
      <c r="P52" s="0" t="s">
        <v>2910</v>
      </c>
      <c r="Q52" s="0" t="s">
        <v>3285</v>
      </c>
      <c r="R52" s="0" t="b">
        <v>1</v>
      </c>
      <c r="S52" s="0" t="s">
        <v>2802</v>
      </c>
    </row>
    <row customHeight="1" ht="11.25">
      <c r="A53" s="0">
        <v>2655</v>
      </c>
      <c r="B53" s="0" t="s">
        <v>101</v>
      </c>
      <c r="C53" s="0">
        <v>26356891</v>
      </c>
      <c r="D53" s="0" t="s">
        <v>3286</v>
      </c>
      <c r="E53" s="0" t="s">
        <v>3287</v>
      </c>
      <c r="F53" s="0" t="s">
        <v>3288</v>
      </c>
      <c r="G53" s="0" t="s">
        <v>3049</v>
      </c>
      <c r="H53" s="0" t="s">
        <v>3289</v>
      </c>
      <c r="I53" s="0" t="s">
        <v>3290</v>
      </c>
      <c r="J53" s="0" t="s">
        <v>3127</v>
      </c>
      <c r="K53" s="0" t="s">
        <v>3291</v>
      </c>
      <c r="L53" s="0" t="s">
        <v>3291</v>
      </c>
      <c r="M53" s="0" t="s">
        <v>3292</v>
      </c>
      <c r="N53" s="0" t="s">
        <v>3293</v>
      </c>
      <c r="O53" s="0" t="s">
        <v>3294</v>
      </c>
      <c r="P53" s="0" t="s">
        <v>145</v>
      </c>
      <c r="R53" s="0" t="b">
        <v>0</v>
      </c>
      <c r="S53" s="0" t="s">
        <v>2802</v>
      </c>
    </row>
    <row customHeight="1" ht="11.25">
      <c r="A54" s="0">
        <v>2655</v>
      </c>
      <c r="B54" s="0" t="s">
        <v>101</v>
      </c>
      <c r="C54" s="0">
        <v>31241637</v>
      </c>
      <c r="D54" s="0" t="s">
        <v>3295</v>
      </c>
      <c r="E54" s="0" t="s">
        <v>3296</v>
      </c>
      <c r="F54" s="0" t="s">
        <v>3297</v>
      </c>
      <c r="G54" s="0" t="s">
        <v>3076</v>
      </c>
      <c r="H54" s="0" t="s">
        <v>3298</v>
      </c>
      <c r="I54" s="0" t="s">
        <v>3299</v>
      </c>
      <c r="J54" s="0" t="s">
        <v>3127</v>
      </c>
      <c r="K54" s="0" t="s">
        <v>3300</v>
      </c>
      <c r="L54" s="0" t="s">
        <v>3300</v>
      </c>
      <c r="M54" s="0" t="s">
        <v>3301</v>
      </c>
      <c r="O54" s="0" t="s">
        <v>3302</v>
      </c>
      <c r="P54" s="0" t="s">
        <v>2910</v>
      </c>
      <c r="R54" s="0" t="b">
        <v>0</v>
      </c>
      <c r="S54" s="0" t="s">
        <v>2802</v>
      </c>
    </row>
    <row customHeight="1" ht="11.25">
      <c r="A55" s="0">
        <v>2655</v>
      </c>
      <c r="B55" s="0" t="s">
        <v>101</v>
      </c>
      <c r="C55" s="0">
        <v>26356937</v>
      </c>
      <c r="D55" s="0" t="s">
        <v>3303</v>
      </c>
      <c r="E55" s="0" t="s">
        <v>3304</v>
      </c>
      <c r="F55" s="0" t="s">
        <v>3305</v>
      </c>
      <c r="G55" s="0" t="s">
        <v>3143</v>
      </c>
      <c r="H55" s="0" t="s">
        <v>3306</v>
      </c>
      <c r="I55" s="0" t="s">
        <v>3307</v>
      </c>
      <c r="J55" s="0" t="s">
        <v>3127</v>
      </c>
      <c r="K55" s="0" t="s">
        <v>3308</v>
      </c>
      <c r="L55" s="0" t="s">
        <v>3308</v>
      </c>
      <c r="M55" s="0" t="s">
        <v>3309</v>
      </c>
      <c r="N55" s="0" t="s">
        <v>3310</v>
      </c>
      <c r="O55" s="0" t="s">
        <v>3311</v>
      </c>
      <c r="P55" s="0" t="s">
        <v>2910</v>
      </c>
      <c r="Q55" s="0" t="s">
        <v>3312</v>
      </c>
      <c r="R55" s="0" t="b">
        <v>0</v>
      </c>
      <c r="S55" s="0" t="s">
        <v>2802</v>
      </c>
    </row>
    <row customHeight="1" ht="11.25">
      <c r="A56" s="0">
        <v>2655</v>
      </c>
      <c r="B56" s="0" t="s">
        <v>101</v>
      </c>
      <c r="C56" s="0">
        <v>31770754</v>
      </c>
      <c r="D56" s="0" t="s">
        <v>3313</v>
      </c>
      <c r="E56" s="0" t="s">
        <v>3314</v>
      </c>
      <c r="F56" s="0" t="s">
        <v>3315</v>
      </c>
      <c r="G56" s="0" t="s">
        <v>3316</v>
      </c>
      <c r="H56" s="0" t="s">
        <v>3317</v>
      </c>
      <c r="I56" s="0" t="s">
        <v>3318</v>
      </c>
      <c r="K56" s="0" t="s">
        <v>3319</v>
      </c>
      <c r="L56" s="0" t="s">
        <v>3320</v>
      </c>
      <c r="M56" s="0" t="s">
        <v>3321</v>
      </c>
      <c r="N56" s="0" t="s">
        <v>3322</v>
      </c>
      <c r="O56" s="0" t="s">
        <v>3323</v>
      </c>
      <c r="P56" s="0" t="s">
        <v>145</v>
      </c>
      <c r="Q56" s="0" t="s">
        <v>222</v>
      </c>
      <c r="R56" s="0" t="b">
        <v>1</v>
      </c>
      <c r="S56" s="0" t="s">
        <v>2802</v>
      </c>
    </row>
    <row customHeight="1" ht="11.25">
      <c r="A57" s="0">
        <v>2655</v>
      </c>
      <c r="B57" s="0" t="s">
        <v>101</v>
      </c>
      <c r="C57" s="0">
        <v>31528492</v>
      </c>
      <c r="D57" s="0" t="s">
        <v>3324</v>
      </c>
      <c r="E57" s="0" t="s">
        <v>3325</v>
      </c>
      <c r="F57" s="0" t="s">
        <v>3326</v>
      </c>
      <c r="G57" s="0" t="s">
        <v>3076</v>
      </c>
      <c r="H57" s="0" t="s">
        <v>3327</v>
      </c>
      <c r="I57" s="0" t="s">
        <v>3328</v>
      </c>
      <c r="K57" s="0" t="s">
        <v>3329</v>
      </c>
      <c r="L57" s="0" t="s">
        <v>3329</v>
      </c>
      <c r="M57" s="0" t="s">
        <v>3330</v>
      </c>
      <c r="N57" s="0" t="s">
        <v>3331</v>
      </c>
      <c r="O57" s="0" t="s">
        <v>3332</v>
      </c>
      <c r="P57" s="0" t="s">
        <v>3203</v>
      </c>
      <c r="R57" s="0" t="b">
        <v>0</v>
      </c>
      <c r="S57" s="0" t="s">
        <v>2802</v>
      </c>
    </row>
    <row customHeight="1" ht="11.25">
      <c r="A58" s="0">
        <v>2655</v>
      </c>
      <c r="B58" s="0" t="s">
        <v>101</v>
      </c>
      <c r="C58" s="0">
        <v>28270293</v>
      </c>
      <c r="D58" s="0" t="s">
        <v>3333</v>
      </c>
      <c r="E58" s="0" t="s">
        <v>3334</v>
      </c>
      <c r="F58" s="0" t="s">
        <v>3335</v>
      </c>
      <c r="G58" s="0" t="s">
        <v>3049</v>
      </c>
      <c r="H58" s="0" t="s">
        <v>3336</v>
      </c>
      <c r="I58" s="0" t="s">
        <v>3337</v>
      </c>
      <c r="J58" s="0" t="s">
        <v>3127</v>
      </c>
      <c r="K58" s="0" t="s">
        <v>3338</v>
      </c>
      <c r="L58" s="0" t="s">
        <v>3338</v>
      </c>
      <c r="M58" s="0" t="s">
        <v>3339</v>
      </c>
      <c r="N58" s="0" t="s">
        <v>3340</v>
      </c>
      <c r="O58" s="0" t="s">
        <v>3341</v>
      </c>
      <c r="P58" s="0" t="s">
        <v>2846</v>
      </c>
      <c r="R58" s="0" t="b">
        <v>0</v>
      </c>
      <c r="S58" s="0" t="s">
        <v>2802</v>
      </c>
    </row>
    <row customHeight="1" ht="11.25">
      <c r="A59" s="0">
        <v>2655</v>
      </c>
      <c r="B59" s="0" t="s">
        <v>101</v>
      </c>
      <c r="C59" s="0">
        <v>28873362</v>
      </c>
      <c r="D59" s="0" t="s">
        <v>3342</v>
      </c>
      <c r="E59" s="0" t="s">
        <v>3343</v>
      </c>
      <c r="F59" s="0" t="s">
        <v>3344</v>
      </c>
      <c r="G59" s="0" t="s">
        <v>2818</v>
      </c>
      <c r="H59" s="0" t="s">
        <v>3345</v>
      </c>
      <c r="I59" s="0" t="s">
        <v>3346</v>
      </c>
      <c r="J59" s="0" t="s">
        <v>3127</v>
      </c>
      <c r="K59" s="0" t="s">
        <v>3347</v>
      </c>
      <c r="L59" s="0" t="s">
        <v>3347</v>
      </c>
      <c r="M59" s="0" t="s">
        <v>3348</v>
      </c>
      <c r="N59" s="0" t="s">
        <v>3349</v>
      </c>
      <c r="O59" s="0" t="s">
        <v>3350</v>
      </c>
      <c r="P59" s="0" t="s">
        <v>145</v>
      </c>
      <c r="Q59" s="0" t="s">
        <v>3351</v>
      </c>
      <c r="R59" s="0" t="b">
        <v>0</v>
      </c>
      <c r="S59" s="0" t="s">
        <v>2802</v>
      </c>
    </row>
    <row customHeight="1" ht="11.25">
      <c r="A60" s="0">
        <v>2655</v>
      </c>
      <c r="B60" s="0" t="s">
        <v>101</v>
      </c>
      <c r="C60" s="0">
        <v>28976681</v>
      </c>
      <c r="D60" s="0" t="s">
        <v>3352</v>
      </c>
      <c r="E60" s="0" t="s">
        <v>3353</v>
      </c>
      <c r="F60" s="0" t="s">
        <v>3354</v>
      </c>
      <c r="G60" s="0" t="s">
        <v>3049</v>
      </c>
      <c r="H60" s="0" t="s">
        <v>3355</v>
      </c>
      <c r="I60" s="0" t="s">
        <v>3356</v>
      </c>
      <c r="J60" s="0" t="s">
        <v>3127</v>
      </c>
      <c r="K60" s="0" t="s">
        <v>3357</v>
      </c>
      <c r="L60" s="0" t="s">
        <v>3357</v>
      </c>
      <c r="M60" s="0" t="s">
        <v>3358</v>
      </c>
      <c r="O60" s="0" t="s">
        <v>3359</v>
      </c>
      <c r="P60" s="0" t="s">
        <v>145</v>
      </c>
      <c r="R60" s="0" t="b">
        <v>1</v>
      </c>
      <c r="S60" s="0" t="s">
        <v>2802</v>
      </c>
    </row>
    <row customHeight="1" ht="11.25">
      <c r="A61" s="0">
        <v>2655</v>
      </c>
      <c r="B61" s="0" t="s">
        <v>101</v>
      </c>
      <c r="C61" s="0">
        <v>30992391</v>
      </c>
      <c r="D61" s="0" t="s">
        <v>3360</v>
      </c>
      <c r="E61" s="0" t="s">
        <v>3361</v>
      </c>
      <c r="F61" s="0" t="s">
        <v>3362</v>
      </c>
      <c r="G61" s="0" t="s">
        <v>2939</v>
      </c>
      <c r="H61" s="0" t="s">
        <v>3363</v>
      </c>
      <c r="I61" s="0" t="s">
        <v>3364</v>
      </c>
      <c r="J61" s="0" t="s">
        <v>3127</v>
      </c>
      <c r="K61" s="0" t="s">
        <v>3365</v>
      </c>
      <c r="L61" s="0" t="s">
        <v>3366</v>
      </c>
      <c r="M61" s="0" t="s">
        <v>3367</v>
      </c>
      <c r="N61" s="0" t="s">
        <v>3368</v>
      </c>
      <c r="O61" s="0" t="s">
        <v>3369</v>
      </c>
      <c r="P61" s="0" t="s">
        <v>145</v>
      </c>
      <c r="Q61" s="0" t="s">
        <v>3370</v>
      </c>
      <c r="R61" s="0" t="b">
        <v>0</v>
      </c>
      <c r="S61" s="0" t="s">
        <v>2802</v>
      </c>
    </row>
    <row customHeight="1" ht="11.25">
      <c r="A62" s="0">
        <v>2655</v>
      </c>
      <c r="B62" s="0" t="s">
        <v>101</v>
      </c>
      <c r="C62" s="0">
        <v>30808511</v>
      </c>
      <c r="D62" s="0" t="s">
        <v>3371</v>
      </c>
      <c r="E62" s="0" t="s">
        <v>3371</v>
      </c>
      <c r="F62" s="0" t="s">
        <v>120</v>
      </c>
      <c r="G62" s="0" t="s">
        <v>3372</v>
      </c>
      <c r="H62" s="0" t="s">
        <v>118</v>
      </c>
      <c r="I62" s="0" t="s">
        <v>3373</v>
      </c>
      <c r="J62" s="0" t="s">
        <v>127</v>
      </c>
      <c r="K62" s="0" t="s">
        <v>3374</v>
      </c>
      <c r="L62" s="0" t="s">
        <v>3374</v>
      </c>
      <c r="M62" s="0" t="s">
        <v>3375</v>
      </c>
      <c r="O62" s="0" t="s">
        <v>3376</v>
      </c>
      <c r="P62" s="0" t="s">
        <v>145</v>
      </c>
      <c r="Q62" s="0" t="s">
        <v>3377</v>
      </c>
      <c r="R62" s="0" t="b">
        <v>0</v>
      </c>
      <c r="S62" s="0" t="s">
        <v>2802</v>
      </c>
    </row>
    <row customHeight="1" ht="11.25">
      <c r="A63" s="0">
        <v>2655</v>
      </c>
      <c r="B63" s="0" t="s">
        <v>101</v>
      </c>
      <c r="C63" s="0">
        <v>26987067</v>
      </c>
      <c r="D63" s="0" t="s">
        <v>3378</v>
      </c>
      <c r="F63" s="0" t="s">
        <v>120</v>
      </c>
      <c r="G63" s="0" t="s">
        <v>3379</v>
      </c>
      <c r="H63" s="0" t="s">
        <v>118</v>
      </c>
      <c r="J63" s="0" t="s">
        <v>2886</v>
      </c>
      <c r="K63" s="0" t="s">
        <v>3380</v>
      </c>
      <c r="L63" s="0" t="s">
        <v>3381</v>
      </c>
      <c r="R63" s="0" t="b">
        <v>0</v>
      </c>
      <c r="S63" s="0" t="s">
        <v>2802</v>
      </c>
    </row>
    <row customHeight="1" ht="11.25">
      <c r="A64" s="0">
        <v>2655</v>
      </c>
      <c r="B64" s="0" t="s">
        <v>101</v>
      </c>
      <c r="C64" s="0">
        <v>26520873</v>
      </c>
      <c r="D64" s="0" t="s">
        <v>111</v>
      </c>
      <c r="E64" s="0" t="s">
        <v>114</v>
      </c>
      <c r="F64" s="0" t="s">
        <v>120</v>
      </c>
      <c r="G64" s="0" t="s">
        <v>122</v>
      </c>
      <c r="H64" s="0" t="s">
        <v>118</v>
      </c>
      <c r="I64" s="0" t="s">
        <v>124</v>
      </c>
      <c r="J64" s="0" t="s">
        <v>127</v>
      </c>
      <c r="K64" s="0" t="s">
        <v>133</v>
      </c>
      <c r="L64" s="0" t="s">
        <v>130</v>
      </c>
      <c r="M64" s="0" t="s">
        <v>136</v>
      </c>
      <c r="N64" s="0" t="s">
        <v>139</v>
      </c>
      <c r="O64" s="0" t="s">
        <v>142</v>
      </c>
      <c r="P64" s="0" t="s">
        <v>145</v>
      </c>
      <c r="Q64" s="0" t="s">
        <v>148</v>
      </c>
      <c r="R64" s="0" t="b">
        <v>0</v>
      </c>
      <c r="S64" s="0" t="s">
        <v>2802</v>
      </c>
    </row>
    <row customHeight="1" ht="11.25">
      <c r="A65" s="0">
        <v>2655</v>
      </c>
      <c r="B65" s="0" t="s">
        <v>101</v>
      </c>
      <c r="C65" s="0">
        <v>30984255</v>
      </c>
      <c r="D65" s="0" t="s">
        <v>3382</v>
      </c>
      <c r="E65" s="0" t="s">
        <v>3383</v>
      </c>
      <c r="F65" s="0" t="s">
        <v>3384</v>
      </c>
      <c r="G65" s="0" t="s">
        <v>2839</v>
      </c>
      <c r="H65" s="0" t="s">
        <v>3385</v>
      </c>
      <c r="I65" s="0" t="s">
        <v>3386</v>
      </c>
      <c r="J65" s="0" t="s">
        <v>3387</v>
      </c>
      <c r="K65" s="0" t="s">
        <v>3388</v>
      </c>
      <c r="L65" s="0" t="s">
        <v>3388</v>
      </c>
      <c r="M65" s="0" t="s">
        <v>3389</v>
      </c>
      <c r="N65" s="0" t="s">
        <v>3390</v>
      </c>
      <c r="O65" s="0" t="s">
        <v>3391</v>
      </c>
      <c r="P65" s="0" t="s">
        <v>3392</v>
      </c>
      <c r="R65" s="0" t="b">
        <v>0</v>
      </c>
      <c r="S65" s="0" t="s">
        <v>2802</v>
      </c>
    </row>
    <row customHeight="1" ht="11.25">
      <c r="A66" s="0">
        <v>2655</v>
      </c>
      <c r="B66" s="0" t="s">
        <v>101</v>
      </c>
      <c r="C66" s="0">
        <v>28976938</v>
      </c>
      <c r="D66" s="0" t="s">
        <v>2788</v>
      </c>
      <c r="E66" s="0" t="s">
        <v>2789</v>
      </c>
      <c r="F66" s="0" t="s">
        <v>2790</v>
      </c>
      <c r="G66" s="0" t="s">
        <v>2791</v>
      </c>
      <c r="H66" s="0" t="s">
        <v>2792</v>
      </c>
      <c r="I66" s="0" t="s">
        <v>2793</v>
      </c>
      <c r="J66" s="0" t="s">
        <v>2794</v>
      </c>
      <c r="K66" s="0" t="s">
        <v>2795</v>
      </c>
      <c r="L66" s="0" t="s">
        <v>2796</v>
      </c>
      <c r="M66" s="0" t="s">
        <v>2797</v>
      </c>
      <c r="N66" s="0" t="s">
        <v>2798</v>
      </c>
      <c r="O66" s="0" t="s">
        <v>2799</v>
      </c>
      <c r="P66" s="0" t="s">
        <v>2800</v>
      </c>
      <c r="Q66" s="0" t="s">
        <v>2801</v>
      </c>
      <c r="R66" s="0" t="b">
        <v>0</v>
      </c>
      <c r="S66" s="0" t="s">
        <v>3393</v>
      </c>
    </row>
    <row customHeight="1" ht="11.25">
      <c r="A67" s="0">
        <v>2655</v>
      </c>
      <c r="B67" s="0" t="s">
        <v>101</v>
      </c>
      <c r="C67" s="0">
        <v>26356953</v>
      </c>
      <c r="D67" s="0" t="s">
        <v>2803</v>
      </c>
      <c r="E67" s="0" t="s">
        <v>2804</v>
      </c>
      <c r="F67" s="0" t="s">
        <v>2805</v>
      </c>
      <c r="G67" s="0" t="s">
        <v>2806</v>
      </c>
      <c r="H67" s="0" t="s">
        <v>2807</v>
      </c>
      <c r="I67" s="0" t="s">
        <v>2808</v>
      </c>
      <c r="J67" s="0" t="s">
        <v>2794</v>
      </c>
      <c r="K67" s="0" t="s">
        <v>2809</v>
      </c>
      <c r="L67" s="0" t="s">
        <v>2809</v>
      </c>
      <c r="M67" s="0" t="s">
        <v>2810</v>
      </c>
      <c r="N67" s="0" t="s">
        <v>2811</v>
      </c>
      <c r="O67" s="0" t="s">
        <v>2812</v>
      </c>
      <c r="P67" s="0" t="s">
        <v>2813</v>
      </c>
      <c r="Q67" s="0" t="s">
        <v>2814</v>
      </c>
      <c r="R67" s="0" t="b">
        <v>0</v>
      </c>
      <c r="S67" s="0" t="s">
        <v>3393</v>
      </c>
    </row>
    <row customHeight="1" ht="11.25">
      <c r="A68" s="0">
        <v>2655</v>
      </c>
      <c r="B68" s="0" t="s">
        <v>101</v>
      </c>
      <c r="C68" s="0">
        <v>26356915</v>
      </c>
      <c r="D68" s="0" t="s">
        <v>3394</v>
      </c>
      <c r="E68" s="0" t="s">
        <v>3395</v>
      </c>
      <c r="F68" s="0" t="s">
        <v>3396</v>
      </c>
      <c r="G68" s="0" t="s">
        <v>3038</v>
      </c>
      <c r="H68" s="0" t="s">
        <v>3397</v>
      </c>
      <c r="I68" s="0" t="s">
        <v>3398</v>
      </c>
      <c r="J68" s="0" t="s">
        <v>2794</v>
      </c>
      <c r="K68" s="0" t="s">
        <v>3399</v>
      </c>
      <c r="L68" s="0" t="s">
        <v>3399</v>
      </c>
      <c r="M68" s="0" t="s">
        <v>3400</v>
      </c>
      <c r="N68" s="0" t="s">
        <v>3401</v>
      </c>
      <c r="O68" s="0" t="s">
        <v>3402</v>
      </c>
      <c r="P68" s="0" t="s">
        <v>2846</v>
      </c>
      <c r="Q68" s="0" t="s">
        <v>152</v>
      </c>
      <c r="R68" s="0" t="b">
        <v>0</v>
      </c>
      <c r="S68" s="0" t="s">
        <v>3393</v>
      </c>
    </row>
    <row customHeight="1" ht="11.25">
      <c r="A69" s="0">
        <v>2655</v>
      </c>
      <c r="B69" s="0" t="s">
        <v>101</v>
      </c>
      <c r="C69" s="0">
        <v>27857950</v>
      </c>
      <c r="D69" s="0" t="s">
        <v>3403</v>
      </c>
      <c r="E69" s="0" t="s">
        <v>3404</v>
      </c>
      <c r="F69" s="0" t="s">
        <v>3405</v>
      </c>
      <c r="G69" s="0" t="s">
        <v>3278</v>
      </c>
      <c r="H69" s="0" t="s">
        <v>3406</v>
      </c>
      <c r="J69" s="0" t="s">
        <v>2794</v>
      </c>
      <c r="K69" s="0" t="s">
        <v>3407</v>
      </c>
      <c r="L69" s="0" t="s">
        <v>3407</v>
      </c>
      <c r="M69" s="0" t="s">
        <v>3408</v>
      </c>
      <c r="N69" s="0" t="s">
        <v>3409</v>
      </c>
      <c r="O69" s="0" t="s">
        <v>3410</v>
      </c>
      <c r="P69" s="0" t="s">
        <v>2910</v>
      </c>
      <c r="R69" s="0" t="b">
        <v>1</v>
      </c>
      <c r="S69" s="0" t="s">
        <v>3393</v>
      </c>
    </row>
    <row customHeight="1" ht="11.25">
      <c r="A70" s="0">
        <v>2655</v>
      </c>
      <c r="B70" s="0" t="s">
        <v>101</v>
      </c>
      <c r="C70" s="0">
        <v>26356963</v>
      </c>
      <c r="D70" s="0" t="s">
        <v>2848</v>
      </c>
      <c r="E70" s="0" t="s">
        <v>2849</v>
      </c>
      <c r="F70" s="0" t="s">
        <v>2850</v>
      </c>
      <c r="G70" s="0" t="s">
        <v>2851</v>
      </c>
      <c r="H70" s="0" t="s">
        <v>2852</v>
      </c>
      <c r="J70" s="0" t="s">
        <v>2794</v>
      </c>
      <c r="K70" s="0" t="s">
        <v>2853</v>
      </c>
      <c r="L70" s="0" t="s">
        <v>2853</v>
      </c>
      <c r="M70" s="0" t="s">
        <v>2854</v>
      </c>
      <c r="N70" s="0" t="s">
        <v>2855</v>
      </c>
      <c r="O70" s="0" t="s">
        <v>2856</v>
      </c>
      <c r="P70" s="0" t="s">
        <v>2857</v>
      </c>
      <c r="R70" s="0" t="b">
        <v>0</v>
      </c>
      <c r="S70" s="0" t="s">
        <v>3393</v>
      </c>
    </row>
    <row customHeight="1" ht="11.25">
      <c r="A71" s="0">
        <v>2655</v>
      </c>
      <c r="B71" s="0" t="s">
        <v>101</v>
      </c>
      <c r="C71" s="0">
        <v>26322889</v>
      </c>
      <c r="D71" s="0" t="s">
        <v>2858</v>
      </c>
      <c r="E71" s="0" t="s">
        <v>2859</v>
      </c>
      <c r="F71" s="0" t="s">
        <v>2860</v>
      </c>
      <c r="G71" s="0" t="s">
        <v>2861</v>
      </c>
      <c r="H71" s="0" t="s">
        <v>2862</v>
      </c>
      <c r="I71" s="0" t="s">
        <v>2863</v>
      </c>
      <c r="J71" s="0" t="s">
        <v>2794</v>
      </c>
      <c r="K71" s="0" t="s">
        <v>2864</v>
      </c>
      <c r="L71" s="0" t="s">
        <v>2865</v>
      </c>
      <c r="M71" s="0" t="s">
        <v>2866</v>
      </c>
      <c r="N71" s="0" t="s">
        <v>2867</v>
      </c>
      <c r="O71" s="0" t="s">
        <v>2868</v>
      </c>
      <c r="P71" s="0" t="s">
        <v>2813</v>
      </c>
      <c r="Q71" s="0" t="s">
        <v>2869</v>
      </c>
      <c r="R71" s="0" t="b">
        <v>0</v>
      </c>
      <c r="S71" s="0" t="s">
        <v>3393</v>
      </c>
    </row>
    <row customHeight="1" ht="11.25">
      <c r="A72" s="0">
        <v>2655</v>
      </c>
      <c r="B72" s="0" t="s">
        <v>101</v>
      </c>
      <c r="C72" s="0">
        <v>27820148</v>
      </c>
      <c r="D72" s="0" t="s">
        <v>3411</v>
      </c>
      <c r="E72" s="0" t="s">
        <v>3412</v>
      </c>
      <c r="F72" s="0" t="s">
        <v>3413</v>
      </c>
      <c r="G72" s="0" t="s">
        <v>3143</v>
      </c>
      <c r="H72" s="0" t="s">
        <v>3414</v>
      </c>
      <c r="I72" s="0" t="s">
        <v>3415</v>
      </c>
      <c r="J72" s="0" t="s">
        <v>2794</v>
      </c>
      <c r="K72" s="0" t="s">
        <v>3416</v>
      </c>
      <c r="L72" s="0" t="s">
        <v>3416</v>
      </c>
      <c r="M72" s="0" t="s">
        <v>3417</v>
      </c>
      <c r="N72" s="0" t="s">
        <v>3418</v>
      </c>
      <c r="O72" s="0" t="s">
        <v>3419</v>
      </c>
      <c r="P72" s="0" t="s">
        <v>3420</v>
      </c>
      <c r="Q72" s="0" t="s">
        <v>3421</v>
      </c>
      <c r="R72" s="0" t="b">
        <v>0</v>
      </c>
      <c r="S72" s="0" t="s">
        <v>3393</v>
      </c>
    </row>
    <row customHeight="1" ht="11.25">
      <c r="A73" s="0">
        <v>2655</v>
      </c>
      <c r="B73" s="0" t="s">
        <v>101</v>
      </c>
      <c r="C73" s="0">
        <v>26322867</v>
      </c>
      <c r="D73" s="0" t="s">
        <v>2911</v>
      </c>
      <c r="E73" s="0" t="s">
        <v>2912</v>
      </c>
      <c r="F73" s="0" t="s">
        <v>2913</v>
      </c>
      <c r="G73" s="0" t="s">
        <v>2861</v>
      </c>
      <c r="H73" s="0" t="s">
        <v>2914</v>
      </c>
      <c r="I73" s="0" t="s">
        <v>2915</v>
      </c>
      <c r="J73" s="0" t="s">
        <v>2794</v>
      </c>
      <c r="K73" s="0" t="s">
        <v>2916</v>
      </c>
      <c r="L73" s="0" t="s">
        <v>2916</v>
      </c>
      <c r="M73" s="0" t="s">
        <v>2917</v>
      </c>
      <c r="N73" s="0" t="s">
        <v>2918</v>
      </c>
      <c r="O73" s="0" t="s">
        <v>2919</v>
      </c>
      <c r="P73" s="0" t="s">
        <v>2846</v>
      </c>
      <c r="Q73" s="0" t="s">
        <v>2920</v>
      </c>
      <c r="R73" s="0" t="b">
        <v>0</v>
      </c>
      <c r="S73" s="0" t="s">
        <v>3393</v>
      </c>
    </row>
    <row customHeight="1" ht="11.25">
      <c r="A74" s="0">
        <v>2655</v>
      </c>
      <c r="B74" s="0" t="s">
        <v>101</v>
      </c>
      <c r="C74" s="0">
        <v>26824396</v>
      </c>
      <c r="D74" s="0" t="s">
        <v>2930</v>
      </c>
      <c r="E74" s="0" t="s">
        <v>2931</v>
      </c>
      <c r="F74" s="0" t="s">
        <v>2893</v>
      </c>
      <c r="G74" s="0" t="s">
        <v>2932</v>
      </c>
      <c r="H74" s="0" t="s">
        <v>2894</v>
      </c>
      <c r="J74" s="0" t="s">
        <v>2886</v>
      </c>
      <c r="K74" s="0" t="s">
        <v>2933</v>
      </c>
      <c r="L74" s="0" t="s">
        <v>2933</v>
      </c>
      <c r="M74" s="0" t="s">
        <v>2934</v>
      </c>
      <c r="O74" s="0" t="s">
        <v>2935</v>
      </c>
      <c r="P74" s="0" t="s">
        <v>2929</v>
      </c>
      <c r="R74" s="0" t="b">
        <v>0</v>
      </c>
      <c r="S74" s="0" t="s">
        <v>3393</v>
      </c>
    </row>
    <row customHeight="1" ht="11.25">
      <c r="A75" s="0">
        <v>2655</v>
      </c>
      <c r="B75" s="0" t="s">
        <v>101</v>
      </c>
      <c r="C75" s="0">
        <v>30365193</v>
      </c>
      <c r="D75" s="0" t="s">
        <v>3422</v>
      </c>
      <c r="E75" s="0" t="s">
        <v>3423</v>
      </c>
      <c r="F75" s="0" t="s">
        <v>3424</v>
      </c>
      <c r="G75" s="0" t="s">
        <v>2818</v>
      </c>
      <c r="H75" s="0" t="s">
        <v>3425</v>
      </c>
      <c r="J75" s="0" t="s">
        <v>3426</v>
      </c>
      <c r="K75" s="0" t="s">
        <v>3427</v>
      </c>
      <c r="L75" s="0" t="s">
        <v>3427</v>
      </c>
      <c r="O75" s="0" t="s">
        <v>3428</v>
      </c>
      <c r="P75" s="0" t="s">
        <v>3429</v>
      </c>
      <c r="R75" s="0" t="b">
        <v>0</v>
      </c>
      <c r="S75" s="0" t="s">
        <v>3393</v>
      </c>
    </row>
    <row customHeight="1" ht="11.25">
      <c r="A76" s="0">
        <v>2655</v>
      </c>
      <c r="B76" s="0" t="s">
        <v>101</v>
      </c>
      <c r="C76" s="0">
        <v>31232672</v>
      </c>
      <c r="D76" s="0" t="s">
        <v>2936</v>
      </c>
      <c r="E76" s="0" t="s">
        <v>2937</v>
      </c>
      <c r="F76" s="0" t="s">
        <v>2938</v>
      </c>
      <c r="G76" s="0" t="s">
        <v>2939</v>
      </c>
      <c r="H76" s="0" t="s">
        <v>2940</v>
      </c>
      <c r="I76" s="0" t="s">
        <v>2941</v>
      </c>
      <c r="J76" s="0" t="s">
        <v>2942</v>
      </c>
      <c r="K76" s="0" t="s">
        <v>2943</v>
      </c>
      <c r="L76" s="0" t="s">
        <v>2943</v>
      </c>
      <c r="M76" s="0" t="s">
        <v>2944</v>
      </c>
      <c r="N76" s="0" t="s">
        <v>2945</v>
      </c>
      <c r="O76" s="0" t="s">
        <v>2946</v>
      </c>
      <c r="P76" s="0" t="s">
        <v>145</v>
      </c>
      <c r="R76" s="0" t="b">
        <v>0</v>
      </c>
      <c r="S76" s="0" t="s">
        <v>3393</v>
      </c>
    </row>
    <row customHeight="1" ht="11.25">
      <c r="A77" s="0">
        <v>2655</v>
      </c>
      <c r="B77" s="0" t="s">
        <v>101</v>
      </c>
      <c r="C77" s="0">
        <v>27978231</v>
      </c>
      <c r="D77" s="0" t="s">
        <v>3430</v>
      </c>
      <c r="E77" s="0" t="s">
        <v>3431</v>
      </c>
      <c r="F77" s="0" t="s">
        <v>3432</v>
      </c>
      <c r="G77" s="0" t="s">
        <v>3009</v>
      </c>
      <c r="H77" s="0" t="s">
        <v>3433</v>
      </c>
      <c r="I77" s="0" t="s">
        <v>3434</v>
      </c>
      <c r="J77" s="0" t="s">
        <v>2942</v>
      </c>
      <c r="K77" s="0" t="s">
        <v>3435</v>
      </c>
      <c r="L77" s="0" t="s">
        <v>3436</v>
      </c>
      <c r="M77" s="0" t="s">
        <v>3437</v>
      </c>
      <c r="O77" s="0" t="s">
        <v>3438</v>
      </c>
      <c r="P77" s="0" t="s">
        <v>145</v>
      </c>
      <c r="R77" s="0" t="b">
        <v>0</v>
      </c>
      <c r="S77" s="0" t="s">
        <v>3393</v>
      </c>
    </row>
    <row customHeight="1" ht="11.25">
      <c r="A78" s="0">
        <v>2655</v>
      </c>
      <c r="B78" s="0" t="s">
        <v>101</v>
      </c>
      <c r="C78" s="0">
        <v>30808700</v>
      </c>
      <c r="D78" s="0" t="s">
        <v>2958</v>
      </c>
      <c r="E78" s="0" t="s">
        <v>2959</v>
      </c>
      <c r="F78" s="0" t="s">
        <v>2960</v>
      </c>
      <c r="G78" s="0" t="s">
        <v>2839</v>
      </c>
      <c r="H78" s="0" t="s">
        <v>2961</v>
      </c>
      <c r="I78" s="0" t="s">
        <v>2962</v>
      </c>
      <c r="J78" s="0" t="s">
        <v>2953</v>
      </c>
      <c r="K78" s="0" t="s">
        <v>2963</v>
      </c>
      <c r="L78" s="0" t="s">
        <v>2964</v>
      </c>
      <c r="M78" s="0" t="s">
        <v>2965</v>
      </c>
      <c r="N78" s="0" t="s">
        <v>2966</v>
      </c>
      <c r="O78" s="0" t="s">
        <v>2967</v>
      </c>
      <c r="P78" s="0" t="s">
        <v>2910</v>
      </c>
      <c r="R78" s="0" t="b">
        <v>1</v>
      </c>
      <c r="S78" s="0" t="s">
        <v>3393</v>
      </c>
    </row>
    <row customHeight="1" ht="11.25">
      <c r="A79" s="0">
        <v>2655</v>
      </c>
      <c r="B79" s="0" t="s">
        <v>101</v>
      </c>
      <c r="C79" s="0">
        <v>31319221</v>
      </c>
      <c r="D79" s="0" t="s">
        <v>2968</v>
      </c>
      <c r="E79" s="0" t="s">
        <v>2969</v>
      </c>
      <c r="F79" s="0" t="s">
        <v>2970</v>
      </c>
      <c r="G79" s="0" t="s">
        <v>2950</v>
      </c>
      <c r="H79" s="0" t="s">
        <v>2971</v>
      </c>
      <c r="I79" s="0" t="s">
        <v>2972</v>
      </c>
      <c r="J79" s="0" t="s">
        <v>2942</v>
      </c>
      <c r="K79" s="0" t="s">
        <v>2973</v>
      </c>
      <c r="L79" s="0" t="s">
        <v>2974</v>
      </c>
      <c r="M79" s="0" t="s">
        <v>2975</v>
      </c>
      <c r="N79" s="0" t="s">
        <v>2976</v>
      </c>
      <c r="O79" s="0" t="s">
        <v>2977</v>
      </c>
      <c r="P79" s="0" t="s">
        <v>145</v>
      </c>
      <c r="R79" s="0" t="b">
        <v>0</v>
      </c>
      <c r="S79" s="0" t="s">
        <v>3393</v>
      </c>
    </row>
    <row customHeight="1" ht="11.25">
      <c r="A80" s="0">
        <v>2655</v>
      </c>
      <c r="B80" s="0" t="s">
        <v>101</v>
      </c>
      <c r="C80" s="0">
        <v>31419990</v>
      </c>
      <c r="D80" s="0" t="s">
        <v>2978</v>
      </c>
      <c r="E80" s="0" t="s">
        <v>2979</v>
      </c>
      <c r="F80" s="0" t="s">
        <v>2980</v>
      </c>
      <c r="G80" s="0" t="s">
        <v>2981</v>
      </c>
      <c r="H80" s="0" t="s">
        <v>2982</v>
      </c>
      <c r="I80" s="0" t="s">
        <v>2983</v>
      </c>
      <c r="J80" s="0" t="s">
        <v>2942</v>
      </c>
      <c r="K80" s="0" t="s">
        <v>2984</v>
      </c>
      <c r="L80" s="0" t="s">
        <v>2984</v>
      </c>
      <c r="M80" s="0" t="s">
        <v>2985</v>
      </c>
      <c r="N80" s="0" t="s">
        <v>2986</v>
      </c>
      <c r="O80" s="0" t="s">
        <v>2987</v>
      </c>
      <c r="P80" s="0" t="s">
        <v>145</v>
      </c>
      <c r="Q80" s="0" t="s">
        <v>2988</v>
      </c>
      <c r="R80" s="0" t="b">
        <v>0</v>
      </c>
      <c r="S80" s="0" t="s">
        <v>3393</v>
      </c>
    </row>
    <row customHeight="1" ht="11.25">
      <c r="A81" s="0">
        <v>2655</v>
      </c>
      <c r="B81" s="0" t="s">
        <v>101</v>
      </c>
      <c r="C81" s="0">
        <v>31343443</v>
      </c>
      <c r="D81" s="0" t="s">
        <v>2989</v>
      </c>
      <c r="E81" s="0" t="s">
        <v>2990</v>
      </c>
      <c r="F81" s="0" t="s">
        <v>2991</v>
      </c>
      <c r="G81" s="0" t="s">
        <v>2839</v>
      </c>
      <c r="H81" s="0" t="s">
        <v>2992</v>
      </c>
      <c r="I81" s="0" t="s">
        <v>2993</v>
      </c>
      <c r="J81" s="0" t="s">
        <v>2942</v>
      </c>
      <c r="K81" s="0" t="s">
        <v>2994</v>
      </c>
      <c r="L81" s="0" t="s">
        <v>2994</v>
      </c>
      <c r="N81" s="0" t="s">
        <v>2995</v>
      </c>
      <c r="O81" s="0" t="s">
        <v>2996</v>
      </c>
      <c r="P81" s="0" t="s">
        <v>2910</v>
      </c>
      <c r="R81" s="0" t="b">
        <v>0</v>
      </c>
      <c r="S81" s="0" t="s">
        <v>3393</v>
      </c>
    </row>
    <row customHeight="1" ht="11.25">
      <c r="A82" s="0">
        <v>2655</v>
      </c>
      <c r="B82" s="0" t="s">
        <v>101</v>
      </c>
      <c r="C82" s="0">
        <v>31367841</v>
      </c>
      <c r="D82" s="0" t="s">
        <v>2997</v>
      </c>
      <c r="E82" s="0" t="s">
        <v>2998</v>
      </c>
      <c r="F82" s="0" t="s">
        <v>2999</v>
      </c>
      <c r="G82" s="0" t="s">
        <v>3000</v>
      </c>
      <c r="H82" s="0" t="s">
        <v>3001</v>
      </c>
      <c r="I82" s="0" t="s">
        <v>3002</v>
      </c>
      <c r="J82" s="0" t="s">
        <v>2953</v>
      </c>
      <c r="K82" s="0" t="s">
        <v>3003</v>
      </c>
      <c r="L82" s="0" t="s">
        <v>3003</v>
      </c>
      <c r="N82" s="0" t="s">
        <v>3004</v>
      </c>
      <c r="O82" s="0" t="s">
        <v>3005</v>
      </c>
      <c r="P82" s="0" t="s">
        <v>145</v>
      </c>
      <c r="R82" s="0" t="b">
        <v>0</v>
      </c>
      <c r="S82" s="0" t="s">
        <v>3393</v>
      </c>
    </row>
    <row customHeight="1" ht="11.25">
      <c r="A83" s="0">
        <v>2655</v>
      </c>
      <c r="B83" s="0" t="s">
        <v>101</v>
      </c>
      <c r="C83" s="0">
        <v>31087651</v>
      </c>
      <c r="D83" s="0" t="s">
        <v>3006</v>
      </c>
      <c r="E83" s="0" t="s">
        <v>3007</v>
      </c>
      <c r="F83" s="0" t="s">
        <v>3008</v>
      </c>
      <c r="G83" s="0" t="s">
        <v>3009</v>
      </c>
      <c r="H83" s="0" t="s">
        <v>3010</v>
      </c>
      <c r="I83" s="0" t="s">
        <v>3011</v>
      </c>
      <c r="J83" s="0" t="s">
        <v>2942</v>
      </c>
      <c r="K83" s="0" t="s">
        <v>3012</v>
      </c>
      <c r="L83" s="0" t="s">
        <v>3012</v>
      </c>
      <c r="M83" s="0" t="s">
        <v>3013</v>
      </c>
      <c r="N83" s="0" t="s">
        <v>3014</v>
      </c>
      <c r="O83" s="0" t="s">
        <v>3015</v>
      </c>
      <c r="R83" s="0" t="b">
        <v>0</v>
      </c>
      <c r="S83" s="0" t="s">
        <v>3393</v>
      </c>
    </row>
    <row customHeight="1" ht="11.25">
      <c r="A84" s="0">
        <v>2655</v>
      </c>
      <c r="B84" s="0" t="s">
        <v>101</v>
      </c>
      <c r="C84" s="0">
        <v>31367862</v>
      </c>
      <c r="D84" s="0" t="s">
        <v>3016</v>
      </c>
      <c r="E84" s="0" t="s">
        <v>3017</v>
      </c>
      <c r="F84" s="0" t="s">
        <v>3018</v>
      </c>
      <c r="G84" s="0" t="s">
        <v>3000</v>
      </c>
      <c r="H84" s="0" t="s">
        <v>3019</v>
      </c>
      <c r="I84" s="0" t="s">
        <v>3020</v>
      </c>
      <c r="J84" s="0" t="s">
        <v>2942</v>
      </c>
      <c r="K84" s="0" t="s">
        <v>3021</v>
      </c>
      <c r="L84" s="0" t="s">
        <v>3021</v>
      </c>
      <c r="N84" s="0" t="s">
        <v>3022</v>
      </c>
      <c r="O84" s="0" t="s">
        <v>3023</v>
      </c>
      <c r="P84" s="0" t="s">
        <v>145</v>
      </c>
      <c r="R84" s="0" t="b">
        <v>0</v>
      </c>
      <c r="S84" s="0" t="s">
        <v>3393</v>
      </c>
    </row>
    <row customHeight="1" ht="11.25">
      <c r="A85" s="0">
        <v>2655</v>
      </c>
      <c r="B85" s="0" t="s">
        <v>101</v>
      </c>
      <c r="C85" s="0">
        <v>31618036</v>
      </c>
      <c r="D85" s="0" t="s">
        <v>3024</v>
      </c>
      <c r="E85" s="0" t="s">
        <v>3025</v>
      </c>
      <c r="F85" s="0" t="s">
        <v>3026</v>
      </c>
      <c r="G85" s="0" t="s">
        <v>2818</v>
      </c>
      <c r="H85" s="0" t="s">
        <v>3027</v>
      </c>
      <c r="I85" s="0" t="s">
        <v>3028</v>
      </c>
      <c r="K85" s="0" t="s">
        <v>3029</v>
      </c>
      <c r="L85" s="0" t="s">
        <v>3030</v>
      </c>
      <c r="M85" s="0" t="s">
        <v>3031</v>
      </c>
      <c r="N85" s="0" t="s">
        <v>3032</v>
      </c>
      <c r="O85" s="0" t="s">
        <v>3033</v>
      </c>
      <c r="P85" s="0" t="s">
        <v>145</v>
      </c>
      <c r="Q85" s="0" t="s">
        <v>3034</v>
      </c>
      <c r="R85" s="0" t="b">
        <v>0</v>
      </c>
      <c r="S85" s="0" t="s">
        <v>3393</v>
      </c>
    </row>
    <row customHeight="1" ht="11.25">
      <c r="A86" s="0">
        <v>2655</v>
      </c>
      <c r="B86" s="0" t="s">
        <v>101</v>
      </c>
      <c r="C86" s="0">
        <v>31329806</v>
      </c>
      <c r="D86" s="0" t="s">
        <v>3439</v>
      </c>
      <c r="E86" s="0" t="s">
        <v>3440</v>
      </c>
      <c r="F86" s="0" t="s">
        <v>3441</v>
      </c>
      <c r="G86" s="0" t="s">
        <v>2851</v>
      </c>
      <c r="H86" s="0" t="s">
        <v>3442</v>
      </c>
      <c r="I86" s="0" t="s">
        <v>3443</v>
      </c>
      <c r="J86" s="0" t="s">
        <v>2953</v>
      </c>
      <c r="K86" s="0" t="s">
        <v>3444</v>
      </c>
      <c r="L86" s="0" t="s">
        <v>3444</v>
      </c>
      <c r="M86" s="0" t="s">
        <v>3445</v>
      </c>
      <c r="N86" s="0" t="s">
        <v>3446</v>
      </c>
      <c r="O86" s="0" t="s">
        <v>3447</v>
      </c>
      <c r="P86" s="0" t="s">
        <v>145</v>
      </c>
      <c r="R86" s="0" t="b">
        <v>0</v>
      </c>
      <c r="S86" s="0" t="s">
        <v>3393</v>
      </c>
    </row>
    <row customHeight="1" ht="11.25">
      <c r="A87" s="0">
        <v>2655</v>
      </c>
      <c r="B87" s="0" t="s">
        <v>101</v>
      </c>
      <c r="C87" s="0">
        <v>31716615</v>
      </c>
      <c r="D87" s="0" t="s">
        <v>3448</v>
      </c>
      <c r="E87" s="0" t="s">
        <v>3449</v>
      </c>
      <c r="F87" s="0" t="s">
        <v>3450</v>
      </c>
      <c r="G87" s="0" t="s">
        <v>2818</v>
      </c>
      <c r="H87" s="0" t="s">
        <v>3451</v>
      </c>
      <c r="I87" s="0" t="s">
        <v>3452</v>
      </c>
      <c r="K87" s="0" t="s">
        <v>3453</v>
      </c>
      <c r="L87" s="0" t="s">
        <v>3453</v>
      </c>
      <c r="M87" s="0" t="s">
        <v>3454</v>
      </c>
      <c r="N87" s="0" t="s">
        <v>3455</v>
      </c>
      <c r="O87" s="0" t="s">
        <v>3456</v>
      </c>
      <c r="P87" s="0" t="s">
        <v>145</v>
      </c>
      <c r="Q87" s="0" t="s">
        <v>3457</v>
      </c>
      <c r="R87" s="0" t="b">
        <v>1</v>
      </c>
      <c r="S87" s="0" t="s">
        <v>3393</v>
      </c>
    </row>
    <row customHeight="1" ht="11.25">
      <c r="A88" s="0">
        <v>2655</v>
      </c>
      <c r="B88" s="0" t="s">
        <v>101</v>
      </c>
      <c r="C88" s="0">
        <v>31310826</v>
      </c>
      <c r="D88" s="0" t="s">
        <v>3046</v>
      </c>
      <c r="E88" s="0" t="s">
        <v>3055</v>
      </c>
      <c r="F88" s="0" t="s">
        <v>3056</v>
      </c>
      <c r="G88" s="0" t="s">
        <v>2839</v>
      </c>
      <c r="H88" s="0" t="s">
        <v>3057</v>
      </c>
      <c r="I88" s="0" t="s">
        <v>3058</v>
      </c>
      <c r="J88" s="0" t="s">
        <v>2953</v>
      </c>
      <c r="K88" s="0" t="s">
        <v>3059</v>
      </c>
      <c r="L88" s="0" t="s">
        <v>3059</v>
      </c>
      <c r="M88" s="0" t="s">
        <v>3060</v>
      </c>
      <c r="N88" s="0" t="s">
        <v>3061</v>
      </c>
      <c r="O88" s="0" t="s">
        <v>3062</v>
      </c>
      <c r="P88" s="0" t="s">
        <v>2910</v>
      </c>
      <c r="R88" s="0" t="b">
        <v>0</v>
      </c>
      <c r="S88" s="0" t="s">
        <v>3393</v>
      </c>
    </row>
    <row customHeight="1" ht="11.25">
      <c r="A89" s="0">
        <v>2655</v>
      </c>
      <c r="B89" s="0" t="s">
        <v>101</v>
      </c>
      <c r="C89" s="0">
        <v>31003143</v>
      </c>
      <c r="D89" s="0" t="s">
        <v>3063</v>
      </c>
      <c r="E89" s="0" t="s">
        <v>3064</v>
      </c>
      <c r="F89" s="0" t="s">
        <v>3065</v>
      </c>
      <c r="G89" s="0" t="s">
        <v>3049</v>
      </c>
      <c r="H89" s="0" t="s">
        <v>3066</v>
      </c>
      <c r="I89" s="0" t="s">
        <v>3067</v>
      </c>
      <c r="J89" s="0" t="s">
        <v>2953</v>
      </c>
      <c r="K89" s="0" t="s">
        <v>3068</v>
      </c>
      <c r="L89" s="0" t="s">
        <v>3069</v>
      </c>
      <c r="M89" s="0" t="s">
        <v>3070</v>
      </c>
      <c r="N89" s="0" t="s">
        <v>3071</v>
      </c>
      <c r="O89" s="0" t="s">
        <v>3072</v>
      </c>
      <c r="P89" s="0" t="s">
        <v>145</v>
      </c>
      <c r="R89" s="0" t="b">
        <v>1</v>
      </c>
      <c r="S89" s="0" t="s">
        <v>3393</v>
      </c>
    </row>
    <row customHeight="1" ht="11.25">
      <c r="A90" s="0">
        <v>2655</v>
      </c>
      <c r="B90" s="0" t="s">
        <v>101</v>
      </c>
      <c r="C90" s="0">
        <v>31308226</v>
      </c>
      <c r="D90" s="0" t="s">
        <v>3073</v>
      </c>
      <c r="E90" s="0" t="s">
        <v>3074</v>
      </c>
      <c r="F90" s="0" t="s">
        <v>3075</v>
      </c>
      <c r="G90" s="0" t="s">
        <v>3076</v>
      </c>
      <c r="H90" s="0" t="s">
        <v>3077</v>
      </c>
      <c r="I90" s="0" t="s">
        <v>3078</v>
      </c>
      <c r="J90" s="0" t="s">
        <v>2953</v>
      </c>
      <c r="K90" s="0" t="s">
        <v>3079</v>
      </c>
      <c r="L90" s="0" t="s">
        <v>3079</v>
      </c>
      <c r="M90" s="0" t="s">
        <v>3080</v>
      </c>
      <c r="N90" s="0" t="s">
        <v>3081</v>
      </c>
      <c r="O90" s="0" t="s">
        <v>3082</v>
      </c>
      <c r="P90" s="0" t="s">
        <v>2910</v>
      </c>
      <c r="R90" s="0" t="b">
        <v>1</v>
      </c>
      <c r="S90" s="0" t="s">
        <v>3393</v>
      </c>
    </row>
    <row customHeight="1" ht="11.25">
      <c r="A91" s="0">
        <v>2655</v>
      </c>
      <c r="B91" s="0" t="s">
        <v>101</v>
      </c>
      <c r="C91" s="0">
        <v>31284269</v>
      </c>
      <c r="D91" s="0" t="s">
        <v>3083</v>
      </c>
      <c r="E91" s="0" t="s">
        <v>3084</v>
      </c>
      <c r="F91" s="0" t="s">
        <v>3085</v>
      </c>
      <c r="G91" s="0" t="s">
        <v>3009</v>
      </c>
      <c r="H91" s="0" t="s">
        <v>3086</v>
      </c>
      <c r="I91" s="0" t="s">
        <v>3087</v>
      </c>
      <c r="J91" s="0" t="s">
        <v>2953</v>
      </c>
      <c r="K91" s="0" t="s">
        <v>3088</v>
      </c>
      <c r="L91" s="0" t="s">
        <v>3089</v>
      </c>
      <c r="M91" s="0" t="s">
        <v>3090</v>
      </c>
      <c r="N91" s="0" t="s">
        <v>3091</v>
      </c>
      <c r="O91" s="0" t="s">
        <v>3092</v>
      </c>
      <c r="R91" s="0" t="b">
        <v>0</v>
      </c>
      <c r="S91" s="0" t="s">
        <v>3393</v>
      </c>
    </row>
    <row customHeight="1" ht="11.25">
      <c r="A92" s="0">
        <v>2655</v>
      </c>
      <c r="B92" s="0" t="s">
        <v>101</v>
      </c>
      <c r="C92" s="0">
        <v>31241680</v>
      </c>
      <c r="D92" s="0" t="s">
        <v>3093</v>
      </c>
      <c r="E92" s="0" t="s">
        <v>3094</v>
      </c>
      <c r="F92" s="0" t="s">
        <v>3095</v>
      </c>
      <c r="G92" s="0" t="s">
        <v>2981</v>
      </c>
      <c r="H92" s="0" t="s">
        <v>3096</v>
      </c>
      <c r="I92" s="0" t="s">
        <v>3097</v>
      </c>
      <c r="J92" s="0" t="s">
        <v>2953</v>
      </c>
      <c r="K92" s="0" t="s">
        <v>3098</v>
      </c>
      <c r="L92" s="0" t="s">
        <v>3098</v>
      </c>
      <c r="M92" s="0" t="s">
        <v>3099</v>
      </c>
      <c r="N92" s="0" t="s">
        <v>3100</v>
      </c>
      <c r="O92" s="0" t="s">
        <v>3101</v>
      </c>
      <c r="P92" s="0" t="s">
        <v>2910</v>
      </c>
      <c r="Q92" s="0" t="s">
        <v>3102</v>
      </c>
      <c r="R92" s="0" t="b">
        <v>0</v>
      </c>
      <c r="S92" s="0" t="s">
        <v>3393</v>
      </c>
    </row>
    <row customHeight="1" ht="11.25">
      <c r="A93" s="0">
        <v>2655</v>
      </c>
      <c r="B93" s="0" t="s">
        <v>101</v>
      </c>
      <c r="C93" s="0">
        <v>31579664</v>
      </c>
      <c r="D93" s="0" t="s">
        <v>3103</v>
      </c>
      <c r="E93" s="0" t="s">
        <v>3104</v>
      </c>
      <c r="F93" s="0" t="s">
        <v>3105</v>
      </c>
      <c r="G93" s="0" t="s">
        <v>2839</v>
      </c>
      <c r="H93" s="0" t="s">
        <v>3106</v>
      </c>
      <c r="I93" s="0" t="s">
        <v>3107</v>
      </c>
      <c r="K93" s="0" t="s">
        <v>3108</v>
      </c>
      <c r="L93" s="0" t="s">
        <v>3109</v>
      </c>
      <c r="M93" s="0" t="s">
        <v>3110</v>
      </c>
      <c r="O93" s="0" t="s">
        <v>3111</v>
      </c>
      <c r="P93" s="0" t="s">
        <v>145</v>
      </c>
      <c r="Q93" s="0" t="s">
        <v>3112</v>
      </c>
      <c r="R93" s="0" t="b">
        <v>1</v>
      </c>
      <c r="S93" s="0" t="s">
        <v>3393</v>
      </c>
    </row>
    <row customHeight="1" ht="11.25">
      <c r="A94" s="0">
        <v>2655</v>
      </c>
      <c r="B94" s="0" t="s">
        <v>101</v>
      </c>
      <c r="C94" s="0">
        <v>26322895</v>
      </c>
      <c r="D94" s="0" t="s">
        <v>3113</v>
      </c>
      <c r="E94" s="0" t="s">
        <v>3114</v>
      </c>
      <c r="F94" s="0" t="s">
        <v>3115</v>
      </c>
      <c r="G94" s="0" t="s">
        <v>2818</v>
      </c>
      <c r="H94" s="0" t="s">
        <v>3116</v>
      </c>
      <c r="I94" s="0" t="s">
        <v>3117</v>
      </c>
      <c r="J94" s="0" t="s">
        <v>2886</v>
      </c>
      <c r="K94" s="0" t="s">
        <v>3118</v>
      </c>
      <c r="L94" s="0" t="s">
        <v>3118</v>
      </c>
      <c r="M94" s="0" t="s">
        <v>3119</v>
      </c>
      <c r="N94" s="0" t="s">
        <v>3120</v>
      </c>
      <c r="O94" s="0" t="s">
        <v>3121</v>
      </c>
      <c r="P94" s="0" t="s">
        <v>2846</v>
      </c>
      <c r="Q94" s="0" t="s">
        <v>3122</v>
      </c>
      <c r="R94" s="0" t="b">
        <v>0</v>
      </c>
      <c r="S94" s="0" t="s">
        <v>3393</v>
      </c>
    </row>
    <row customHeight="1" ht="11.25">
      <c r="A95" s="0">
        <v>2655</v>
      </c>
      <c r="B95" s="0" t="s">
        <v>101</v>
      </c>
      <c r="C95" s="0">
        <v>31683419</v>
      </c>
      <c r="D95" s="0" t="s">
        <v>3131</v>
      </c>
      <c r="E95" s="0" t="s">
        <v>3132</v>
      </c>
      <c r="F95" s="0" t="s">
        <v>3133</v>
      </c>
      <c r="G95" s="0" t="s">
        <v>2839</v>
      </c>
      <c r="H95" s="0" t="s">
        <v>3134</v>
      </c>
      <c r="I95" s="0" t="s">
        <v>3135</v>
      </c>
      <c r="K95" s="0" t="s">
        <v>3136</v>
      </c>
      <c r="L95" s="0" t="s">
        <v>3136</v>
      </c>
      <c r="M95" s="0" t="s">
        <v>3137</v>
      </c>
      <c r="N95" s="0" t="s">
        <v>3138</v>
      </c>
      <c r="O95" s="0" t="s">
        <v>3139</v>
      </c>
      <c r="P95" s="0" t="s">
        <v>145</v>
      </c>
      <c r="R95" s="0" t="b">
        <v>0</v>
      </c>
      <c r="S95" s="0" t="s">
        <v>3393</v>
      </c>
    </row>
    <row customHeight="1" ht="11.25">
      <c r="A96" s="0">
        <v>2655</v>
      </c>
      <c r="B96" s="0" t="s">
        <v>101</v>
      </c>
      <c r="C96" s="0">
        <v>26428076</v>
      </c>
      <c r="D96" s="0" t="s">
        <v>3458</v>
      </c>
      <c r="E96" s="0" t="s">
        <v>3459</v>
      </c>
      <c r="F96" s="0" t="s">
        <v>3460</v>
      </c>
      <c r="G96" s="0" t="s">
        <v>3049</v>
      </c>
      <c r="H96" s="0" t="s">
        <v>3461</v>
      </c>
      <c r="K96" s="0" t="s">
        <v>3462</v>
      </c>
      <c r="L96" s="0" t="s">
        <v>3462</v>
      </c>
      <c r="M96" s="0" t="s">
        <v>3463</v>
      </c>
      <c r="N96" s="0" t="s">
        <v>3464</v>
      </c>
      <c r="R96" s="0" t="b">
        <v>0</v>
      </c>
      <c r="S96" s="0" t="s">
        <v>3393</v>
      </c>
    </row>
    <row customHeight="1" ht="11.25">
      <c r="A97" s="0">
        <v>2655</v>
      </c>
      <c r="B97" s="0" t="s">
        <v>101</v>
      </c>
      <c r="C97" s="0">
        <v>28954370</v>
      </c>
      <c r="D97" s="0" t="s">
        <v>3465</v>
      </c>
      <c r="E97" s="0" t="s">
        <v>3466</v>
      </c>
      <c r="F97" s="0" t="s">
        <v>3467</v>
      </c>
      <c r="G97" s="0" t="s">
        <v>3049</v>
      </c>
      <c r="H97" s="0" t="s">
        <v>3468</v>
      </c>
      <c r="I97" s="0" t="s">
        <v>3469</v>
      </c>
      <c r="J97" s="0" t="s">
        <v>3127</v>
      </c>
      <c r="K97" s="0" t="s">
        <v>3470</v>
      </c>
      <c r="L97" s="0" t="s">
        <v>3470</v>
      </c>
      <c r="M97" s="0" t="s">
        <v>3471</v>
      </c>
      <c r="N97" s="0" t="s">
        <v>3472</v>
      </c>
      <c r="O97" s="0" t="s">
        <v>3473</v>
      </c>
      <c r="P97" s="0" t="s">
        <v>145</v>
      </c>
      <c r="R97" s="0" t="b">
        <v>1</v>
      </c>
      <c r="S97" s="0" t="s">
        <v>3393</v>
      </c>
    </row>
    <row customHeight="1" ht="11.25">
      <c r="A98" s="0">
        <v>2655</v>
      </c>
      <c r="B98" s="0" t="s">
        <v>101</v>
      </c>
      <c r="C98" s="0">
        <v>31774016</v>
      </c>
      <c r="D98" s="0" t="s">
        <v>3474</v>
      </c>
      <c r="E98" s="0" t="s">
        <v>3475</v>
      </c>
      <c r="F98" s="0" t="s">
        <v>3476</v>
      </c>
      <c r="G98" s="0" t="s">
        <v>3076</v>
      </c>
      <c r="H98" s="0" t="s">
        <v>3477</v>
      </c>
      <c r="I98" s="0" t="s">
        <v>3478</v>
      </c>
      <c r="K98" s="0" t="s">
        <v>3479</v>
      </c>
      <c r="L98" s="0" t="s">
        <v>3480</v>
      </c>
      <c r="M98" s="0" t="s">
        <v>3481</v>
      </c>
      <c r="N98" s="0" t="s">
        <v>3482</v>
      </c>
      <c r="O98" s="0" t="s">
        <v>3483</v>
      </c>
      <c r="P98" s="0" t="s">
        <v>3203</v>
      </c>
      <c r="Q98" s="0" t="s">
        <v>222</v>
      </c>
      <c r="R98" s="0" t="b">
        <v>1</v>
      </c>
      <c r="S98" s="0" t="s">
        <v>3393</v>
      </c>
    </row>
    <row customHeight="1" ht="11.25">
      <c r="A99" s="0">
        <v>2655</v>
      </c>
      <c r="B99" s="0" t="s">
        <v>101</v>
      </c>
      <c r="C99" s="0">
        <v>31336226</v>
      </c>
      <c r="D99" s="0" t="s">
        <v>3150</v>
      </c>
      <c r="E99" s="0" t="s">
        <v>3151</v>
      </c>
      <c r="F99" s="0" t="s">
        <v>3159</v>
      </c>
      <c r="G99" s="0" t="s">
        <v>2950</v>
      </c>
      <c r="H99" s="0" t="s">
        <v>3160</v>
      </c>
      <c r="I99" s="0" t="s">
        <v>3161</v>
      </c>
      <c r="J99" s="0" t="s">
        <v>3127</v>
      </c>
      <c r="K99" s="0" t="s">
        <v>3162</v>
      </c>
      <c r="L99" s="0" t="s">
        <v>3163</v>
      </c>
      <c r="M99" s="0" t="s">
        <v>3164</v>
      </c>
      <c r="N99" s="0" t="s">
        <v>3165</v>
      </c>
      <c r="O99" s="0" t="s">
        <v>3166</v>
      </c>
      <c r="P99" s="0" t="s">
        <v>145</v>
      </c>
      <c r="R99" s="0" t="b">
        <v>0</v>
      </c>
      <c r="S99" s="0" t="s">
        <v>3393</v>
      </c>
    </row>
    <row customHeight="1" ht="11.25">
      <c r="A100" s="0">
        <v>2655</v>
      </c>
      <c r="B100" s="0" t="s">
        <v>101</v>
      </c>
      <c r="C100" s="0">
        <v>28869965</v>
      </c>
      <c r="D100" s="0" t="s">
        <v>3150</v>
      </c>
      <c r="E100" s="0" t="s">
        <v>3151</v>
      </c>
      <c r="F100" s="0" t="s">
        <v>3152</v>
      </c>
      <c r="G100" s="0" t="s">
        <v>2939</v>
      </c>
      <c r="H100" s="0" t="s">
        <v>3153</v>
      </c>
      <c r="J100" s="0" t="s">
        <v>3127</v>
      </c>
      <c r="K100" s="0" t="s">
        <v>3154</v>
      </c>
      <c r="L100" s="0" t="s">
        <v>3154</v>
      </c>
      <c r="M100" s="0" t="s">
        <v>3155</v>
      </c>
      <c r="N100" s="0" t="s">
        <v>3156</v>
      </c>
      <c r="O100" s="0" t="s">
        <v>3157</v>
      </c>
      <c r="P100" s="0" t="s">
        <v>2846</v>
      </c>
      <c r="Q100" s="0" t="s">
        <v>3158</v>
      </c>
      <c r="R100" s="0" t="b">
        <v>0</v>
      </c>
      <c r="S100" s="0" t="s">
        <v>3393</v>
      </c>
    </row>
    <row customHeight="1" ht="11.25">
      <c r="A101" s="0">
        <v>2655</v>
      </c>
      <c r="B101" s="0" t="s">
        <v>101</v>
      </c>
      <c r="C101" s="0">
        <v>31215010</v>
      </c>
      <c r="D101" s="0" t="s">
        <v>3150</v>
      </c>
      <c r="E101" s="0" t="s">
        <v>3151</v>
      </c>
      <c r="F101" s="0" t="s">
        <v>3167</v>
      </c>
      <c r="G101" s="0" t="s">
        <v>3076</v>
      </c>
      <c r="H101" s="0" t="s">
        <v>3168</v>
      </c>
      <c r="I101" s="0" t="s">
        <v>3169</v>
      </c>
      <c r="J101" s="0" t="s">
        <v>3127</v>
      </c>
      <c r="K101" s="0" t="s">
        <v>3170</v>
      </c>
      <c r="L101" s="0" t="s">
        <v>3171</v>
      </c>
      <c r="M101" s="0" t="s">
        <v>3172</v>
      </c>
      <c r="N101" s="0" t="s">
        <v>3173</v>
      </c>
      <c r="O101" s="0" t="s">
        <v>3174</v>
      </c>
      <c r="P101" s="0" t="s">
        <v>3175</v>
      </c>
      <c r="R101" s="0" t="b">
        <v>0</v>
      </c>
      <c r="S101" s="0" t="s">
        <v>3393</v>
      </c>
    </row>
    <row customHeight="1" ht="11.25">
      <c r="A102" s="0">
        <v>2655</v>
      </c>
      <c r="B102" s="0" t="s">
        <v>101</v>
      </c>
      <c r="C102" s="0">
        <v>28113313</v>
      </c>
      <c r="D102" s="0" t="s">
        <v>3484</v>
      </c>
      <c r="E102" s="0" t="s">
        <v>3485</v>
      </c>
      <c r="F102" s="0" t="s">
        <v>3486</v>
      </c>
      <c r="G102" s="0" t="s">
        <v>3195</v>
      </c>
      <c r="H102" s="0" t="s">
        <v>3487</v>
      </c>
      <c r="J102" s="0" t="s">
        <v>3127</v>
      </c>
      <c r="K102" s="0" t="s">
        <v>3488</v>
      </c>
      <c r="L102" s="0" t="s">
        <v>3489</v>
      </c>
      <c r="O102" s="0" t="s">
        <v>3202</v>
      </c>
      <c r="P102" s="0" t="s">
        <v>3203</v>
      </c>
      <c r="R102" s="0" t="b">
        <v>1</v>
      </c>
      <c r="S102" s="0" t="s">
        <v>3393</v>
      </c>
    </row>
    <row customHeight="1" ht="11.25">
      <c r="A103" s="0">
        <v>2655</v>
      </c>
      <c r="B103" s="0" t="s">
        <v>101</v>
      </c>
      <c r="C103" s="0">
        <v>26428030</v>
      </c>
      <c r="D103" s="0" t="s">
        <v>3176</v>
      </c>
      <c r="E103" s="0" t="s">
        <v>3177</v>
      </c>
      <c r="F103" s="0" t="s">
        <v>3178</v>
      </c>
      <c r="G103" s="0" t="s">
        <v>3049</v>
      </c>
      <c r="H103" s="0" t="s">
        <v>3179</v>
      </c>
      <c r="K103" s="0" t="s">
        <v>3180</v>
      </c>
      <c r="L103" s="0" t="s">
        <v>3180</v>
      </c>
      <c r="M103" s="0" t="s">
        <v>3181</v>
      </c>
      <c r="N103" s="0" t="s">
        <v>3182</v>
      </c>
      <c r="R103" s="0" t="b">
        <v>0</v>
      </c>
      <c r="S103" s="0" t="s">
        <v>3393</v>
      </c>
    </row>
    <row customHeight="1" ht="11.25">
      <c r="A104" s="0">
        <v>2655</v>
      </c>
      <c r="B104" s="0" t="s">
        <v>101</v>
      </c>
      <c r="C104" s="0">
        <v>31356597</v>
      </c>
      <c r="D104" s="0" t="s">
        <v>3183</v>
      </c>
      <c r="E104" s="0" t="s">
        <v>3184</v>
      </c>
      <c r="F104" s="0" t="s">
        <v>3185</v>
      </c>
      <c r="G104" s="0" t="s">
        <v>3009</v>
      </c>
      <c r="H104" s="0" t="s">
        <v>3186</v>
      </c>
      <c r="I104" s="0" t="s">
        <v>3187</v>
      </c>
      <c r="J104" s="0" t="s">
        <v>3127</v>
      </c>
      <c r="K104" s="0" t="s">
        <v>3188</v>
      </c>
      <c r="L104" s="0" t="s">
        <v>3188</v>
      </c>
      <c r="M104" s="0" t="s">
        <v>3189</v>
      </c>
      <c r="N104" s="0" t="s">
        <v>3190</v>
      </c>
      <c r="O104" s="0" t="s">
        <v>3191</v>
      </c>
      <c r="P104" s="0" t="s">
        <v>2846</v>
      </c>
      <c r="R104" s="0" t="b">
        <v>0</v>
      </c>
      <c r="S104" s="0" t="s">
        <v>3393</v>
      </c>
    </row>
    <row customHeight="1" ht="11.25">
      <c r="A105" s="0">
        <v>2655</v>
      </c>
      <c r="B105" s="0" t="s">
        <v>101</v>
      </c>
      <c r="C105" s="0">
        <v>28136671</v>
      </c>
      <c r="D105" s="0" t="s">
        <v>3192</v>
      </c>
      <c r="E105" s="0" t="s">
        <v>3193</v>
      </c>
      <c r="F105" s="0" t="s">
        <v>3194</v>
      </c>
      <c r="G105" s="0" t="s">
        <v>3195</v>
      </c>
      <c r="H105" s="0" t="s">
        <v>3196</v>
      </c>
      <c r="I105" s="0" t="s">
        <v>3197</v>
      </c>
      <c r="J105" s="0" t="s">
        <v>3127</v>
      </c>
      <c r="K105" s="0" t="s">
        <v>3198</v>
      </c>
      <c r="L105" s="0" t="s">
        <v>3199</v>
      </c>
      <c r="M105" s="0" t="s">
        <v>3200</v>
      </c>
      <c r="N105" s="0" t="s">
        <v>3201</v>
      </c>
      <c r="O105" s="0" t="s">
        <v>3202</v>
      </c>
      <c r="P105" s="0" t="s">
        <v>3203</v>
      </c>
      <c r="R105" s="0" t="b">
        <v>1</v>
      </c>
      <c r="S105" s="0" t="s">
        <v>3393</v>
      </c>
    </row>
    <row customHeight="1" ht="11.25">
      <c r="A106" s="0">
        <v>2655</v>
      </c>
      <c r="B106" s="0" t="s">
        <v>101</v>
      </c>
      <c r="C106" s="0">
        <v>31574053</v>
      </c>
      <c r="D106" s="0" t="s">
        <v>3490</v>
      </c>
      <c r="E106" s="0" t="s">
        <v>3491</v>
      </c>
      <c r="F106" s="0" t="s">
        <v>3492</v>
      </c>
      <c r="G106" s="0" t="s">
        <v>3076</v>
      </c>
      <c r="H106" s="0" t="s">
        <v>3493</v>
      </c>
      <c r="I106" s="0" t="s">
        <v>3494</v>
      </c>
      <c r="K106" s="0" t="s">
        <v>3495</v>
      </c>
      <c r="L106" s="0" t="s">
        <v>3495</v>
      </c>
      <c r="M106" s="0" t="s">
        <v>3496</v>
      </c>
      <c r="N106" s="0" t="s">
        <v>3497</v>
      </c>
      <c r="O106" s="0" t="s">
        <v>3498</v>
      </c>
      <c r="P106" s="0" t="s">
        <v>145</v>
      </c>
      <c r="R106" s="0" t="b">
        <v>0</v>
      </c>
      <c r="S106" s="0" t="s">
        <v>3393</v>
      </c>
    </row>
    <row customHeight="1" ht="11.25">
      <c r="A107" s="0">
        <v>2655</v>
      </c>
      <c r="B107" s="0" t="s">
        <v>101</v>
      </c>
      <c r="C107" s="0">
        <v>27838991</v>
      </c>
      <c r="D107" s="0" t="s">
        <v>3499</v>
      </c>
      <c r="E107" s="0" t="s">
        <v>3500</v>
      </c>
      <c r="F107" s="0" t="s">
        <v>3501</v>
      </c>
      <c r="G107" s="0" t="s">
        <v>2851</v>
      </c>
      <c r="H107" s="0" t="s">
        <v>3502</v>
      </c>
      <c r="I107" s="0" t="s">
        <v>3503</v>
      </c>
      <c r="J107" s="0" t="s">
        <v>3127</v>
      </c>
      <c r="K107" s="0" t="s">
        <v>3504</v>
      </c>
      <c r="L107" s="0" t="s">
        <v>3505</v>
      </c>
      <c r="M107" s="0" t="s">
        <v>3506</v>
      </c>
      <c r="N107" s="0" t="s">
        <v>3507</v>
      </c>
      <c r="O107" s="0" t="s">
        <v>3508</v>
      </c>
      <c r="P107" s="0" t="s">
        <v>2846</v>
      </c>
      <c r="R107" s="0" t="b">
        <v>0</v>
      </c>
      <c r="S107" s="0" t="s">
        <v>3393</v>
      </c>
    </row>
    <row customHeight="1" ht="11.25">
      <c r="A108" s="0">
        <v>2655</v>
      </c>
      <c r="B108" s="0" t="s">
        <v>101</v>
      </c>
      <c r="C108" s="0">
        <v>26428026</v>
      </c>
      <c r="D108" s="0" t="s">
        <v>3246</v>
      </c>
      <c r="E108" s="0" t="s">
        <v>3247</v>
      </c>
      <c r="F108" s="0" t="s">
        <v>3248</v>
      </c>
      <c r="G108" s="0" t="s">
        <v>3249</v>
      </c>
      <c r="H108" s="0" t="s">
        <v>3250</v>
      </c>
      <c r="K108" s="0" t="s">
        <v>3251</v>
      </c>
      <c r="L108" s="0" t="s">
        <v>3251</v>
      </c>
      <c r="M108" s="0" t="s">
        <v>3252</v>
      </c>
      <c r="N108" s="0" t="s">
        <v>3253</v>
      </c>
      <c r="O108" s="0" t="s">
        <v>3254</v>
      </c>
      <c r="P108" s="0" t="s">
        <v>145</v>
      </c>
      <c r="R108" s="0" t="b">
        <v>1</v>
      </c>
      <c r="S108" s="0" t="s">
        <v>3393</v>
      </c>
    </row>
    <row customHeight="1" ht="11.25">
      <c r="A109" s="0">
        <v>2655</v>
      </c>
      <c r="B109" s="0" t="s">
        <v>101</v>
      </c>
      <c r="C109" s="0">
        <v>31541617</v>
      </c>
      <c r="D109" s="0" t="s">
        <v>3265</v>
      </c>
      <c r="E109" s="0" t="s">
        <v>3266</v>
      </c>
      <c r="F109" s="0" t="s">
        <v>3267</v>
      </c>
      <c r="G109" s="0" t="s">
        <v>3268</v>
      </c>
      <c r="H109" s="0" t="s">
        <v>3269</v>
      </c>
      <c r="I109" s="0" t="s">
        <v>3270</v>
      </c>
      <c r="K109" s="0" t="s">
        <v>3271</v>
      </c>
      <c r="L109" s="0" t="s">
        <v>3271</v>
      </c>
      <c r="M109" s="0" t="s">
        <v>3272</v>
      </c>
      <c r="N109" s="0" t="s">
        <v>3273</v>
      </c>
      <c r="O109" s="0" t="s">
        <v>3274</v>
      </c>
      <c r="P109" s="0" t="s">
        <v>2910</v>
      </c>
      <c r="R109" s="0" t="b">
        <v>1</v>
      </c>
      <c r="S109" s="0" t="s">
        <v>3393</v>
      </c>
    </row>
    <row customHeight="1" ht="11.25">
      <c r="A110" s="0">
        <v>2655</v>
      </c>
      <c r="B110" s="0" t="s">
        <v>101</v>
      </c>
      <c r="C110" s="0">
        <v>31834877</v>
      </c>
      <c r="D110" s="0" t="s">
        <v>3509</v>
      </c>
      <c r="E110" s="0" t="s">
        <v>3509</v>
      </c>
      <c r="F110" s="0" t="s">
        <v>3510</v>
      </c>
      <c r="G110" s="0" t="s">
        <v>3511</v>
      </c>
      <c r="H110" s="0" t="s">
        <v>3512</v>
      </c>
      <c r="I110" s="0" t="s">
        <v>3513</v>
      </c>
      <c r="K110" s="0" t="s">
        <v>3514</v>
      </c>
      <c r="L110" s="0" t="s">
        <v>3515</v>
      </c>
      <c r="M110" s="0" t="s">
        <v>222</v>
      </c>
      <c r="N110" s="0" t="s">
        <v>3516</v>
      </c>
      <c r="O110" s="0" t="s">
        <v>3517</v>
      </c>
      <c r="P110" s="0" t="s">
        <v>3203</v>
      </c>
      <c r="Q110" s="0" t="s">
        <v>3518</v>
      </c>
      <c r="R110" s="0" t="b">
        <v>0</v>
      </c>
      <c r="S110" s="0" t="s">
        <v>3393</v>
      </c>
    </row>
    <row customHeight="1" ht="11.25">
      <c r="A111" s="0">
        <v>2655</v>
      </c>
      <c r="B111" s="0" t="s">
        <v>101</v>
      </c>
      <c r="C111" s="0">
        <v>26356891</v>
      </c>
      <c r="D111" s="0" t="s">
        <v>3286</v>
      </c>
      <c r="E111" s="0" t="s">
        <v>3287</v>
      </c>
      <c r="F111" s="0" t="s">
        <v>3288</v>
      </c>
      <c r="G111" s="0" t="s">
        <v>3049</v>
      </c>
      <c r="H111" s="0" t="s">
        <v>3289</v>
      </c>
      <c r="I111" s="0" t="s">
        <v>3290</v>
      </c>
      <c r="J111" s="0" t="s">
        <v>3127</v>
      </c>
      <c r="K111" s="0" t="s">
        <v>3291</v>
      </c>
      <c r="L111" s="0" t="s">
        <v>3291</v>
      </c>
      <c r="M111" s="0" t="s">
        <v>3292</v>
      </c>
      <c r="N111" s="0" t="s">
        <v>3293</v>
      </c>
      <c r="O111" s="0" t="s">
        <v>3294</v>
      </c>
      <c r="P111" s="0" t="s">
        <v>145</v>
      </c>
      <c r="R111" s="0" t="b">
        <v>0</v>
      </c>
      <c r="S111" s="0" t="s">
        <v>3393</v>
      </c>
    </row>
    <row customHeight="1" ht="11.25">
      <c r="A112" s="0">
        <v>2655</v>
      </c>
      <c r="B112" s="0" t="s">
        <v>101</v>
      </c>
      <c r="C112" s="0">
        <v>31241637</v>
      </c>
      <c r="D112" s="0" t="s">
        <v>3295</v>
      </c>
      <c r="E112" s="0" t="s">
        <v>3296</v>
      </c>
      <c r="F112" s="0" t="s">
        <v>3297</v>
      </c>
      <c r="G112" s="0" t="s">
        <v>3076</v>
      </c>
      <c r="H112" s="0" t="s">
        <v>3298</v>
      </c>
      <c r="I112" s="0" t="s">
        <v>3299</v>
      </c>
      <c r="J112" s="0" t="s">
        <v>3127</v>
      </c>
      <c r="K112" s="0" t="s">
        <v>3300</v>
      </c>
      <c r="L112" s="0" t="s">
        <v>3300</v>
      </c>
      <c r="M112" s="0" t="s">
        <v>3301</v>
      </c>
      <c r="O112" s="0" t="s">
        <v>3302</v>
      </c>
      <c r="P112" s="0" t="s">
        <v>2910</v>
      </c>
      <c r="R112" s="0" t="b">
        <v>0</v>
      </c>
      <c r="S112" s="0" t="s">
        <v>3393</v>
      </c>
    </row>
    <row customHeight="1" ht="11.25">
      <c r="A113" s="0">
        <v>2655</v>
      </c>
      <c r="B113" s="0" t="s">
        <v>101</v>
      </c>
      <c r="C113" s="0">
        <v>28819708</v>
      </c>
      <c r="D113" s="0" t="s">
        <v>3519</v>
      </c>
      <c r="E113" s="0" t="s">
        <v>3520</v>
      </c>
      <c r="F113" s="0" t="s">
        <v>3521</v>
      </c>
      <c r="G113" s="0" t="s">
        <v>2950</v>
      </c>
      <c r="H113" s="0" t="s">
        <v>3522</v>
      </c>
      <c r="I113" s="0" t="s">
        <v>3523</v>
      </c>
      <c r="J113" s="0" t="s">
        <v>3127</v>
      </c>
      <c r="K113" s="0" t="s">
        <v>3524</v>
      </c>
      <c r="L113" s="0" t="s">
        <v>3524</v>
      </c>
      <c r="N113" s="0" t="s">
        <v>3525</v>
      </c>
      <c r="O113" s="0" t="s">
        <v>3526</v>
      </c>
      <c r="P113" s="0" t="s">
        <v>145</v>
      </c>
      <c r="R113" s="0" t="b">
        <v>0</v>
      </c>
      <c r="S113" s="0" t="s">
        <v>3393</v>
      </c>
    </row>
    <row customHeight="1" ht="11.25">
      <c r="A114" s="0">
        <v>2655</v>
      </c>
      <c r="B114" s="0" t="s">
        <v>101</v>
      </c>
      <c r="C114" s="0">
        <v>26356937</v>
      </c>
      <c r="D114" s="0" t="s">
        <v>3303</v>
      </c>
      <c r="E114" s="0" t="s">
        <v>3304</v>
      </c>
      <c r="F114" s="0" t="s">
        <v>3305</v>
      </c>
      <c r="G114" s="0" t="s">
        <v>3143</v>
      </c>
      <c r="H114" s="0" t="s">
        <v>3306</v>
      </c>
      <c r="I114" s="0" t="s">
        <v>3307</v>
      </c>
      <c r="J114" s="0" t="s">
        <v>3127</v>
      </c>
      <c r="K114" s="0" t="s">
        <v>3308</v>
      </c>
      <c r="L114" s="0" t="s">
        <v>3308</v>
      </c>
      <c r="M114" s="0" t="s">
        <v>3309</v>
      </c>
      <c r="N114" s="0" t="s">
        <v>3310</v>
      </c>
      <c r="O114" s="0" t="s">
        <v>3311</v>
      </c>
      <c r="P114" s="0" t="s">
        <v>2910</v>
      </c>
      <c r="Q114" s="0" t="s">
        <v>3312</v>
      </c>
      <c r="R114" s="0" t="b">
        <v>0</v>
      </c>
      <c r="S114" s="0" t="s">
        <v>3393</v>
      </c>
    </row>
    <row customHeight="1" ht="11.25">
      <c r="A115" s="0">
        <v>2655</v>
      </c>
      <c r="B115" s="0" t="s">
        <v>101</v>
      </c>
      <c r="C115" s="0">
        <v>31770754</v>
      </c>
      <c r="D115" s="0" t="s">
        <v>3313</v>
      </c>
      <c r="E115" s="0" t="s">
        <v>3314</v>
      </c>
      <c r="F115" s="0" t="s">
        <v>3315</v>
      </c>
      <c r="G115" s="0" t="s">
        <v>3316</v>
      </c>
      <c r="H115" s="0" t="s">
        <v>3317</v>
      </c>
      <c r="I115" s="0" t="s">
        <v>3318</v>
      </c>
      <c r="K115" s="0" t="s">
        <v>3319</v>
      </c>
      <c r="L115" s="0" t="s">
        <v>3320</v>
      </c>
      <c r="M115" s="0" t="s">
        <v>3321</v>
      </c>
      <c r="N115" s="0" t="s">
        <v>3322</v>
      </c>
      <c r="O115" s="0" t="s">
        <v>3323</v>
      </c>
      <c r="P115" s="0" t="s">
        <v>145</v>
      </c>
      <c r="Q115" s="0" t="s">
        <v>222</v>
      </c>
      <c r="R115" s="0" t="b">
        <v>1</v>
      </c>
      <c r="S115" s="0" t="s">
        <v>3393</v>
      </c>
    </row>
    <row customHeight="1" ht="11.25">
      <c r="A116" s="0">
        <v>2655</v>
      </c>
      <c r="B116" s="0" t="s">
        <v>101</v>
      </c>
      <c r="C116" s="0">
        <v>31528492</v>
      </c>
      <c r="D116" s="0" t="s">
        <v>3324</v>
      </c>
      <c r="E116" s="0" t="s">
        <v>3325</v>
      </c>
      <c r="F116" s="0" t="s">
        <v>3326</v>
      </c>
      <c r="G116" s="0" t="s">
        <v>3076</v>
      </c>
      <c r="H116" s="0" t="s">
        <v>3327</v>
      </c>
      <c r="I116" s="0" t="s">
        <v>3328</v>
      </c>
      <c r="K116" s="0" t="s">
        <v>3329</v>
      </c>
      <c r="L116" s="0" t="s">
        <v>3329</v>
      </c>
      <c r="M116" s="0" t="s">
        <v>3330</v>
      </c>
      <c r="N116" s="0" t="s">
        <v>3331</v>
      </c>
      <c r="O116" s="0" t="s">
        <v>3332</v>
      </c>
      <c r="P116" s="0" t="s">
        <v>3203</v>
      </c>
      <c r="R116" s="0" t="b">
        <v>0</v>
      </c>
      <c r="S116" s="0" t="s">
        <v>3393</v>
      </c>
    </row>
    <row customHeight="1" ht="11.25">
      <c r="A117" s="0">
        <v>2655</v>
      </c>
      <c r="B117" s="0" t="s">
        <v>101</v>
      </c>
      <c r="C117" s="0">
        <v>28270293</v>
      </c>
      <c r="D117" s="0" t="s">
        <v>3333</v>
      </c>
      <c r="E117" s="0" t="s">
        <v>3334</v>
      </c>
      <c r="F117" s="0" t="s">
        <v>3335</v>
      </c>
      <c r="G117" s="0" t="s">
        <v>3049</v>
      </c>
      <c r="H117" s="0" t="s">
        <v>3336</v>
      </c>
      <c r="I117" s="0" t="s">
        <v>3337</v>
      </c>
      <c r="J117" s="0" t="s">
        <v>3127</v>
      </c>
      <c r="K117" s="0" t="s">
        <v>3338</v>
      </c>
      <c r="L117" s="0" t="s">
        <v>3338</v>
      </c>
      <c r="M117" s="0" t="s">
        <v>3339</v>
      </c>
      <c r="N117" s="0" t="s">
        <v>3340</v>
      </c>
      <c r="O117" s="0" t="s">
        <v>3341</v>
      </c>
      <c r="P117" s="0" t="s">
        <v>2846</v>
      </c>
      <c r="R117" s="0" t="b">
        <v>0</v>
      </c>
      <c r="S117" s="0" t="s">
        <v>3393</v>
      </c>
    </row>
    <row customHeight="1" ht="11.25">
      <c r="A118" s="0">
        <v>2655</v>
      </c>
      <c r="B118" s="0" t="s">
        <v>101</v>
      </c>
      <c r="C118" s="0">
        <v>28873362</v>
      </c>
      <c r="D118" s="0" t="s">
        <v>3342</v>
      </c>
      <c r="E118" s="0" t="s">
        <v>3343</v>
      </c>
      <c r="F118" s="0" t="s">
        <v>3344</v>
      </c>
      <c r="G118" s="0" t="s">
        <v>2818</v>
      </c>
      <c r="H118" s="0" t="s">
        <v>3345</v>
      </c>
      <c r="I118" s="0" t="s">
        <v>3346</v>
      </c>
      <c r="J118" s="0" t="s">
        <v>3127</v>
      </c>
      <c r="K118" s="0" t="s">
        <v>3347</v>
      </c>
      <c r="L118" s="0" t="s">
        <v>3347</v>
      </c>
      <c r="M118" s="0" t="s">
        <v>3348</v>
      </c>
      <c r="N118" s="0" t="s">
        <v>3349</v>
      </c>
      <c r="O118" s="0" t="s">
        <v>3350</v>
      </c>
      <c r="P118" s="0" t="s">
        <v>145</v>
      </c>
      <c r="Q118" s="0" t="s">
        <v>3351</v>
      </c>
      <c r="R118" s="0" t="b">
        <v>0</v>
      </c>
      <c r="S118" s="0" t="s">
        <v>3393</v>
      </c>
    </row>
    <row customHeight="1" ht="11.25">
      <c r="A119" s="0">
        <v>2655</v>
      </c>
      <c r="B119" s="0" t="s">
        <v>101</v>
      </c>
      <c r="C119" s="0">
        <v>28976681</v>
      </c>
      <c r="D119" s="0" t="s">
        <v>3352</v>
      </c>
      <c r="E119" s="0" t="s">
        <v>3353</v>
      </c>
      <c r="F119" s="0" t="s">
        <v>3354</v>
      </c>
      <c r="G119" s="0" t="s">
        <v>3049</v>
      </c>
      <c r="H119" s="0" t="s">
        <v>3355</v>
      </c>
      <c r="I119" s="0" t="s">
        <v>3356</v>
      </c>
      <c r="J119" s="0" t="s">
        <v>3127</v>
      </c>
      <c r="K119" s="0" t="s">
        <v>3357</v>
      </c>
      <c r="L119" s="0" t="s">
        <v>3357</v>
      </c>
      <c r="M119" s="0" t="s">
        <v>3358</v>
      </c>
      <c r="O119" s="0" t="s">
        <v>3359</v>
      </c>
      <c r="P119" s="0" t="s">
        <v>145</v>
      </c>
      <c r="R119" s="0" t="b">
        <v>1</v>
      </c>
      <c r="S119" s="0" t="s">
        <v>3393</v>
      </c>
    </row>
    <row customHeight="1" ht="11.25">
      <c r="A120" s="0">
        <v>2655</v>
      </c>
      <c r="B120" s="0" t="s">
        <v>101</v>
      </c>
      <c r="C120" s="0">
        <v>30808511</v>
      </c>
      <c r="D120" s="0" t="s">
        <v>3371</v>
      </c>
      <c r="E120" s="0" t="s">
        <v>3371</v>
      </c>
      <c r="F120" s="0" t="s">
        <v>120</v>
      </c>
      <c r="G120" s="0" t="s">
        <v>3372</v>
      </c>
      <c r="H120" s="0" t="s">
        <v>118</v>
      </c>
      <c r="I120" s="0" t="s">
        <v>3373</v>
      </c>
      <c r="J120" s="0" t="s">
        <v>127</v>
      </c>
      <c r="K120" s="0" t="s">
        <v>3374</v>
      </c>
      <c r="L120" s="0" t="s">
        <v>3374</v>
      </c>
      <c r="M120" s="0" t="s">
        <v>3375</v>
      </c>
      <c r="O120" s="0" t="s">
        <v>3376</v>
      </c>
      <c r="P120" s="0" t="s">
        <v>145</v>
      </c>
      <c r="Q120" s="0" t="s">
        <v>3377</v>
      </c>
      <c r="R120" s="0" t="b">
        <v>0</v>
      </c>
      <c r="S120" s="0" t="s">
        <v>3393</v>
      </c>
    </row>
    <row customHeight="1" ht="11.25">
      <c r="A121" s="0">
        <v>2655</v>
      </c>
      <c r="B121" s="0" t="s">
        <v>101</v>
      </c>
      <c r="C121" s="0">
        <v>26987067</v>
      </c>
      <c r="D121" s="0" t="s">
        <v>3378</v>
      </c>
      <c r="F121" s="0" t="s">
        <v>120</v>
      </c>
      <c r="G121" s="0" t="s">
        <v>3379</v>
      </c>
      <c r="H121" s="0" t="s">
        <v>118</v>
      </c>
      <c r="J121" s="0" t="s">
        <v>2886</v>
      </c>
      <c r="K121" s="0" t="s">
        <v>3380</v>
      </c>
      <c r="L121" s="0" t="s">
        <v>3381</v>
      </c>
      <c r="R121" s="0" t="b">
        <v>0</v>
      </c>
      <c r="S121" s="0" t="s">
        <v>3393</v>
      </c>
    </row>
    <row customHeight="1" ht="11.25">
      <c r="A122" s="0">
        <v>2655</v>
      </c>
      <c r="B122" s="0" t="s">
        <v>101</v>
      </c>
      <c r="C122" s="0">
        <v>26520873</v>
      </c>
      <c r="D122" s="0" t="s">
        <v>111</v>
      </c>
      <c r="E122" s="0" t="s">
        <v>114</v>
      </c>
      <c r="F122" s="0" t="s">
        <v>120</v>
      </c>
      <c r="G122" s="0" t="s">
        <v>122</v>
      </c>
      <c r="H122" s="0" t="s">
        <v>118</v>
      </c>
      <c r="I122" s="0" t="s">
        <v>124</v>
      </c>
      <c r="J122" s="0" t="s">
        <v>127</v>
      </c>
      <c r="K122" s="0" t="s">
        <v>133</v>
      </c>
      <c r="L122" s="0" t="s">
        <v>130</v>
      </c>
      <c r="M122" s="0" t="s">
        <v>136</v>
      </c>
      <c r="N122" s="0" t="s">
        <v>139</v>
      </c>
      <c r="O122" s="0" t="s">
        <v>142</v>
      </c>
      <c r="P122" s="0" t="s">
        <v>145</v>
      </c>
      <c r="Q122" s="0" t="s">
        <v>148</v>
      </c>
      <c r="R122" s="0" t="b">
        <v>0</v>
      </c>
      <c r="S122" s="0" t="s">
        <v>3393</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E30543-1938-1A48-6B48-EC0703619532}" mc:Ignorable="x14ac xr xr2 xr3">
  <sheetPr>
    <tabColor rgb="FFFFCC99"/>
  </sheetPr>
  <dimension ref="A1:DE3"/>
  <sheetViews>
    <sheetView topLeftCell="A1" showGridLines="0" workbookViewId="0">
      <selection activeCell="A1" sqref="A1"/>
    </sheetView>
  </sheetViews>
  <sheetFormatPr customHeight="1" defaultRowHeight="11.25"/>
  <cols>
    <col min="1" max="1" style="1310" width="23.140625" customWidth="1"/>
  </cols>
  <sheetData>
    <row customHeight="1" ht="11.25">
      <c r="A1" s="1310" t="s">
        <v>3527</v>
      </c>
      <c r="B1" s="0" t="s">
        <v>3528</v>
      </c>
      <c r="C1" s="0" t="s">
        <v>3529</v>
      </c>
      <c r="D1" s="0" t="s">
        <v>3530</v>
      </c>
      <c r="E1" s="0" t="s">
        <v>3531</v>
      </c>
      <c r="F1" s="0" t="s">
        <v>3532</v>
      </c>
      <c r="G1" s="0" t="s">
        <v>3533</v>
      </c>
      <c r="H1" s="0" t="s">
        <v>3534</v>
      </c>
      <c r="I1" s="0" t="s">
        <v>3535</v>
      </c>
      <c r="J1" s="0" t="s">
        <v>3536</v>
      </c>
      <c r="K1" s="0" t="s">
        <v>3537</v>
      </c>
      <c r="L1" s="0" t="s">
        <v>3538</v>
      </c>
      <c r="M1" s="0" t="s">
        <v>3539</v>
      </c>
      <c r="N1" s="0" t="s">
        <v>3540</v>
      </c>
      <c r="O1" s="0" t="s">
        <v>3541</v>
      </c>
      <c r="P1" s="0" t="s">
        <v>3542</v>
      </c>
      <c r="Q1" s="0" t="s">
        <v>3543</v>
      </c>
      <c r="R1" s="0" t="s">
        <v>3544</v>
      </c>
      <c r="S1" s="0" t="s">
        <v>3545</v>
      </c>
      <c r="T1" s="0" t="s">
        <v>3546</v>
      </c>
      <c r="U1" s="0" t="s">
        <v>3547</v>
      </c>
      <c r="V1" s="0" t="s">
        <v>3548</v>
      </c>
      <c r="W1" s="0" t="s">
        <v>3549</v>
      </c>
      <c r="X1" s="0" t="s">
        <v>351</v>
      </c>
      <c r="Y1" s="0" t="s">
        <v>3550</v>
      </c>
      <c r="Z1" s="0" t="s">
        <v>3551</v>
      </c>
      <c r="AA1" s="0" t="s">
        <v>3552</v>
      </c>
      <c r="AB1" s="0" t="s">
        <v>3553</v>
      </c>
      <c r="AC1" s="0" t="s">
        <v>3554</v>
      </c>
      <c r="AD1" s="0" t="s">
        <v>3555</v>
      </c>
      <c r="AE1" s="0" t="s">
        <v>3556</v>
      </c>
      <c r="AF1" s="0" t="s">
        <v>3557</v>
      </c>
      <c r="AG1" s="0" t="s">
        <v>3558</v>
      </c>
      <c r="AH1" s="0" t="s">
        <v>3559</v>
      </c>
      <c r="AI1" s="0" t="s">
        <v>3560</v>
      </c>
      <c r="AJ1" s="0" t="s">
        <v>3561</v>
      </c>
      <c r="AK1" s="0" t="s">
        <v>3562</v>
      </c>
      <c r="AL1" s="0" t="s">
        <v>3563</v>
      </c>
      <c r="AM1" s="0" t="s">
        <v>3564</v>
      </c>
      <c r="AN1" s="0" t="s">
        <v>3565</v>
      </c>
      <c r="AO1" s="0" t="s">
        <v>3566</v>
      </c>
      <c r="AP1" s="0" t="s">
        <v>3567</v>
      </c>
      <c r="AQ1" s="0" t="s">
        <v>3568</v>
      </c>
      <c r="AR1" s="0" t="s">
        <v>3569</v>
      </c>
      <c r="AS1" s="0" t="s">
        <v>3570</v>
      </c>
      <c r="AT1" s="0" t="s">
        <v>3571</v>
      </c>
      <c r="AU1" s="0" t="s">
        <v>3572</v>
      </c>
      <c r="AV1" s="0" t="s">
        <v>3573</v>
      </c>
      <c r="AW1" s="0" t="s">
        <v>3574</v>
      </c>
      <c r="AX1" s="0" t="s">
        <v>3575</v>
      </c>
      <c r="AY1" s="0" t="s">
        <v>3576</v>
      </c>
      <c r="AZ1" s="0" t="s">
        <v>3577</v>
      </c>
      <c r="BA1" s="0" t="s">
        <v>3578</v>
      </c>
      <c r="BB1" s="0" t="s">
        <v>3579</v>
      </c>
      <c r="BC1" s="0" t="s">
        <v>3580</v>
      </c>
      <c r="BD1" s="0" t="s">
        <v>3581</v>
      </c>
      <c r="BE1" s="0" t="s">
        <v>3582</v>
      </c>
      <c r="BF1" s="0" t="s">
        <v>3583</v>
      </c>
      <c r="BG1" s="0" t="s">
        <v>3584</v>
      </c>
      <c r="BH1" s="0" t="s">
        <v>3585</v>
      </c>
      <c r="BI1" s="0" t="s">
        <v>3586</v>
      </c>
      <c r="BJ1" s="0" t="s">
        <v>3587</v>
      </c>
      <c r="BK1" s="0" t="s">
        <v>3588</v>
      </c>
      <c r="BL1" s="0" t="s">
        <v>3589</v>
      </c>
      <c r="BM1" s="0" t="s">
        <v>3590</v>
      </c>
      <c r="BN1" s="0" t="s">
        <v>3591</v>
      </c>
      <c r="BO1" s="0" t="s">
        <v>3592</v>
      </c>
      <c r="BP1" s="0" t="s">
        <v>3593</v>
      </c>
      <c r="BQ1" s="0" t="s">
        <v>3594</v>
      </c>
      <c r="BR1" s="0" t="s">
        <v>3595</v>
      </c>
      <c r="BS1" s="0" t="s">
        <v>3596</v>
      </c>
      <c r="BT1" s="0" t="s">
        <v>3597</v>
      </c>
      <c r="BU1" s="0" t="s">
        <v>3598</v>
      </c>
      <c r="BV1" s="0" t="s">
        <v>3599</v>
      </c>
      <c r="BW1" s="0" t="s">
        <v>3600</v>
      </c>
      <c r="BX1" s="0" t="s">
        <v>3601</v>
      </c>
      <c r="BY1" s="0" t="s">
        <v>3602</v>
      </c>
      <c r="BZ1" s="0" t="s">
        <v>3603</v>
      </c>
      <c r="CA1" s="0" t="s">
        <v>3604</v>
      </c>
      <c r="CB1" s="0" t="s">
        <v>3605</v>
      </c>
      <c r="CC1" s="0" t="s">
        <v>3606</v>
      </c>
      <c r="CD1" s="0" t="s">
        <v>3607</v>
      </c>
      <c r="CE1" s="0" t="s">
        <v>3608</v>
      </c>
      <c r="CF1" s="0" t="s">
        <v>3609</v>
      </c>
      <c r="CG1" s="0" t="s">
        <v>3610</v>
      </c>
      <c r="CH1" s="0" t="s">
        <v>3611</v>
      </c>
      <c r="CI1" s="0" t="s">
        <v>3612</v>
      </c>
      <c r="CJ1" s="0" t="s">
        <v>3613</v>
      </c>
      <c r="CK1" s="0" t="s">
        <v>3614</v>
      </c>
      <c r="CL1" s="0" t="s">
        <v>3615</v>
      </c>
      <c r="CM1" s="0" t="s">
        <v>3616</v>
      </c>
      <c r="CN1" s="0" t="s">
        <v>3617</v>
      </c>
      <c r="CO1" s="0" t="s">
        <v>3618</v>
      </c>
      <c r="CP1" s="0" t="s">
        <v>3619</v>
      </c>
      <c r="CQ1" s="0" t="s">
        <v>3620</v>
      </c>
      <c r="CR1" s="0" t="s">
        <v>3621</v>
      </c>
      <c r="CS1" s="0" t="s">
        <v>3622</v>
      </c>
      <c r="CT1" s="0" t="s">
        <v>3623</v>
      </c>
      <c r="CU1" s="0" t="s">
        <v>3624</v>
      </c>
      <c r="CV1" s="0" t="s">
        <v>3625</v>
      </c>
      <c r="CW1" s="0" t="s">
        <v>3626</v>
      </c>
      <c r="CX1" s="0" t="s">
        <v>3627</v>
      </c>
      <c r="CY1" s="0" t="s">
        <v>3628</v>
      </c>
      <c r="CZ1" s="0" t="s">
        <v>3629</v>
      </c>
      <c r="DA1" s="0" t="s">
        <v>3630</v>
      </c>
      <c r="DB1" s="0" t="s">
        <v>3631</v>
      </c>
      <c r="DC1" s="0" t="s">
        <v>3632</v>
      </c>
      <c r="DD1" s="0" t="s">
        <v>1486</v>
      </c>
      <c r="DE1" s="0" t="s">
        <v>3633</v>
      </c>
    </row>
    <row customHeight="1" ht="11.25">
      <c r="A2" s="1310" t="s">
        <v>222</v>
      </c>
      <c r="B2" s="0" t="s">
        <v>222</v>
      </c>
      <c r="C2" s="0" t="s">
        <v>222</v>
      </c>
      <c r="D2" s="0" t="s">
        <v>222</v>
      </c>
      <c r="E2" s="0" t="s">
        <v>222</v>
      </c>
      <c r="F2" s="0" t="s">
        <v>222</v>
      </c>
      <c r="G2" s="0" t="s">
        <v>222</v>
      </c>
      <c r="H2" s="0" t="s">
        <v>222</v>
      </c>
      <c r="I2" s="0" t="s">
        <v>3634</v>
      </c>
      <c r="J2" s="0" t="s">
        <v>222</v>
      </c>
      <c r="K2" s="0" t="s">
        <v>222</v>
      </c>
      <c r="L2" s="0" t="s">
        <v>222</v>
      </c>
      <c r="M2" s="0" t="s">
        <v>222</v>
      </c>
      <c r="N2" s="0" t="s">
        <v>222</v>
      </c>
      <c r="O2" s="0" t="s">
        <v>222</v>
      </c>
      <c r="P2" s="0" t="s">
        <v>222</v>
      </c>
      <c r="Q2" s="0" t="s">
        <v>222</v>
      </c>
      <c r="R2" s="0" t="s">
        <v>419</v>
      </c>
      <c r="S2" s="0" t="s">
        <v>222</v>
      </c>
      <c r="T2" s="0" t="s">
        <v>222</v>
      </c>
      <c r="U2" s="0" t="s">
        <v>101</v>
      </c>
      <c r="V2" s="0" t="s">
        <v>222</v>
      </c>
      <c r="W2" s="0" t="s">
        <v>222</v>
      </c>
      <c r="X2" s="0" t="s">
        <v>3635</v>
      </c>
      <c r="Y2" s="0" t="s">
        <v>222</v>
      </c>
      <c r="Z2" s="0" t="s">
        <v>165</v>
      </c>
      <c r="AA2" s="0" t="s">
        <v>152</v>
      </c>
      <c r="AB2" s="0" t="s">
        <v>165</v>
      </c>
      <c r="AC2" s="0" t="s">
        <v>346</v>
      </c>
      <c r="AD2" s="0" t="s">
        <v>346</v>
      </c>
      <c r="AE2" s="0" t="s">
        <v>347</v>
      </c>
      <c r="AF2" s="0" t="s">
        <v>3636</v>
      </c>
      <c r="AG2" s="0" t="s">
        <v>3637</v>
      </c>
      <c r="AH2" s="0" t="s">
        <v>3638</v>
      </c>
      <c r="AI2" s="0" t="s">
        <v>3639</v>
      </c>
      <c r="AJ2" s="0" t="s">
        <v>3640</v>
      </c>
      <c r="AK2" s="0" t="s">
        <v>3641</v>
      </c>
      <c r="AL2" s="0" t="s">
        <v>3642</v>
      </c>
      <c r="AM2" s="0" t="s">
        <v>3643</v>
      </c>
      <c r="AN2" s="0" t="s">
        <v>3644</v>
      </c>
      <c r="AO2" s="0" t="s">
        <v>3645</v>
      </c>
      <c r="AP2" s="0" t="s">
        <v>222</v>
      </c>
      <c r="AQ2" s="0" t="s">
        <v>222</v>
      </c>
      <c r="AR2" s="0" t="s">
        <v>222</v>
      </c>
      <c r="AS2" s="0" t="s">
        <v>222</v>
      </c>
      <c r="AT2" s="0" t="s">
        <v>222</v>
      </c>
      <c r="AU2" s="0" t="s">
        <v>222</v>
      </c>
      <c r="AV2" s="0" t="s">
        <v>222</v>
      </c>
      <c r="AW2" s="0" t="s">
        <v>222</v>
      </c>
      <c r="AX2" s="0" t="s">
        <v>222</v>
      </c>
      <c r="AY2" s="0" t="s">
        <v>222</v>
      </c>
      <c r="AZ2" s="0" t="s">
        <v>222</v>
      </c>
      <c r="BA2" s="0" t="s">
        <v>222</v>
      </c>
      <c r="BB2" s="0" t="s">
        <v>222</v>
      </c>
      <c r="BC2" s="0" t="s">
        <v>222</v>
      </c>
      <c r="BD2" s="0" t="s">
        <v>222</v>
      </c>
      <c r="BE2" s="0" t="s">
        <v>3646</v>
      </c>
      <c r="BF2" s="0" t="s">
        <v>3641</v>
      </c>
      <c r="BG2" s="0" t="s">
        <v>222</v>
      </c>
      <c r="BH2" s="0" t="s">
        <v>222</v>
      </c>
      <c r="BI2" s="0" t="s">
        <v>222</v>
      </c>
      <c r="BJ2" s="0" t="s">
        <v>222</v>
      </c>
      <c r="BK2" s="0" t="s">
        <v>222</v>
      </c>
      <c r="BL2" s="0" t="s">
        <v>222</v>
      </c>
      <c r="BM2" s="0" t="s">
        <v>222</v>
      </c>
      <c r="BN2" s="0" t="s">
        <v>222</v>
      </c>
      <c r="BO2" s="0" t="s">
        <v>222</v>
      </c>
      <c r="BP2" s="0" t="s">
        <v>222</v>
      </c>
      <c r="BQ2" s="0" t="s">
        <v>222</v>
      </c>
      <c r="BR2" s="0" t="s">
        <v>222</v>
      </c>
      <c r="BS2" s="0" t="s">
        <v>222</v>
      </c>
      <c r="BT2" s="0" t="s">
        <v>3647</v>
      </c>
      <c r="BU2" s="0" t="s">
        <v>3648</v>
      </c>
      <c r="BV2" s="0" t="s">
        <v>3648</v>
      </c>
      <c r="BW2" s="0" t="s">
        <v>3649</v>
      </c>
      <c r="BX2" s="0" t="s">
        <v>3649</v>
      </c>
      <c r="BY2" s="0" t="s">
        <v>3649</v>
      </c>
      <c r="BZ2" s="0" t="s">
        <v>3649</v>
      </c>
      <c r="CA2" s="0" t="s">
        <v>3650</v>
      </c>
      <c r="CB2" s="0" t="s">
        <v>3650</v>
      </c>
      <c r="CC2" s="0" t="s">
        <v>3649</v>
      </c>
      <c r="CD2" s="0" t="s">
        <v>3649</v>
      </c>
      <c r="CE2" s="0" t="s">
        <v>3649</v>
      </c>
      <c r="CF2" s="0" t="s">
        <v>3649</v>
      </c>
      <c r="CG2" s="0" t="s">
        <v>3649</v>
      </c>
      <c r="CH2" s="0" t="s">
        <v>3649</v>
      </c>
      <c r="CI2" s="0" t="s">
        <v>3649</v>
      </c>
      <c r="CJ2" s="0" t="s">
        <v>3649</v>
      </c>
      <c r="CK2" s="0" t="s">
        <v>3649</v>
      </c>
      <c r="CL2" s="0" t="s">
        <v>3649</v>
      </c>
      <c r="CM2" s="0" t="s">
        <v>3651</v>
      </c>
      <c r="CN2" s="0" t="s">
        <v>3651</v>
      </c>
      <c r="CO2" s="0" t="s">
        <v>3649</v>
      </c>
      <c r="CP2" s="0" t="s">
        <v>3649</v>
      </c>
      <c r="CQ2" s="0" t="s">
        <v>3649</v>
      </c>
      <c r="CR2" s="0" t="s">
        <v>3649</v>
      </c>
      <c r="CS2" s="0" t="s">
        <v>3644</v>
      </c>
      <c r="CT2" s="0" t="s">
        <v>3652</v>
      </c>
      <c r="CU2" s="0" t="s">
        <v>3653</v>
      </c>
      <c r="CV2" s="0" t="s">
        <v>3654</v>
      </c>
      <c r="CW2" s="0" t="s">
        <v>3655</v>
      </c>
      <c r="CX2" s="0" t="s">
        <v>422</v>
      </c>
      <c r="CY2" s="0" t="s">
        <v>421</v>
      </c>
      <c r="CZ2" s="0" t="s">
        <v>423</v>
      </c>
      <c r="DA2" s="0" t="s">
        <v>424</v>
      </c>
      <c r="DB2" s="0" t="s">
        <v>3655</v>
      </c>
      <c r="DC2" s="0" t="s">
        <v>366</v>
      </c>
      <c r="DD2" s="0" t="s">
        <v>273</v>
      </c>
      <c r="DE2" s="0" t="s">
        <v>420</v>
      </c>
    </row>
    <row customHeight="1" ht="11.25">
      <c r="A3" s="1310" t="s">
        <v>222</v>
      </c>
      <c r="B3" s="0" t="s">
        <v>222</v>
      </c>
      <c r="C3" s="0" t="s">
        <v>222</v>
      </c>
      <c r="D3" s="0" t="s">
        <v>222</v>
      </c>
      <c r="E3" s="0" t="s">
        <v>222</v>
      </c>
      <c r="F3" s="0" t="s">
        <v>222</v>
      </c>
      <c r="G3" s="0" t="s">
        <v>222</v>
      </c>
      <c r="H3" s="0" t="s">
        <v>222</v>
      </c>
      <c r="I3" s="0" t="s">
        <v>3656</v>
      </c>
      <c r="J3" s="0" t="s">
        <v>222</v>
      </c>
      <c r="K3" s="0" t="s">
        <v>222</v>
      </c>
      <c r="L3" s="0" t="s">
        <v>222</v>
      </c>
      <c r="M3" s="0" t="s">
        <v>222</v>
      </c>
      <c r="N3" s="0" t="s">
        <v>222</v>
      </c>
      <c r="O3" s="0" t="s">
        <v>222</v>
      </c>
      <c r="P3" s="0" t="s">
        <v>222</v>
      </c>
      <c r="Q3" s="0" t="s">
        <v>222</v>
      </c>
      <c r="R3" s="0" t="s">
        <v>419</v>
      </c>
      <c r="S3" s="0" t="s">
        <v>222</v>
      </c>
      <c r="T3" s="0" t="s">
        <v>222</v>
      </c>
      <c r="U3" s="0" t="s">
        <v>101</v>
      </c>
      <c r="V3" s="0" t="s">
        <v>222</v>
      </c>
      <c r="W3" s="0" t="s">
        <v>222</v>
      </c>
      <c r="X3" s="0" t="s">
        <v>3657</v>
      </c>
      <c r="Y3" s="0" t="s">
        <v>222</v>
      </c>
      <c r="Z3" s="0" t="s">
        <v>165</v>
      </c>
      <c r="AA3" s="0" t="s">
        <v>165</v>
      </c>
      <c r="AB3" s="0" t="s">
        <v>165</v>
      </c>
      <c r="AC3" s="0" t="s">
        <v>346</v>
      </c>
      <c r="AD3" s="0" t="s">
        <v>346</v>
      </c>
      <c r="AE3" s="0" t="s">
        <v>347</v>
      </c>
      <c r="AF3" s="0" t="s">
        <v>3636</v>
      </c>
      <c r="AG3" s="0" t="s">
        <v>3637</v>
      </c>
      <c r="AH3" s="0" t="s">
        <v>3636</v>
      </c>
      <c r="AI3" s="0" t="s">
        <v>3639</v>
      </c>
      <c r="AJ3" s="0" t="s">
        <v>3646</v>
      </c>
      <c r="AK3" s="0" t="s">
        <v>3658</v>
      </c>
      <c r="AL3" s="0" t="s">
        <v>3659</v>
      </c>
      <c r="AN3" s="0" t="s">
        <v>3660</v>
      </c>
      <c r="AO3" s="0" t="s">
        <v>3661</v>
      </c>
      <c r="AP3" s="0" t="s">
        <v>3662</v>
      </c>
      <c r="AQ3" s="0" t="s">
        <v>3663</v>
      </c>
      <c r="AR3" s="0" t="s">
        <v>222</v>
      </c>
      <c r="AS3" s="0" t="s">
        <v>222</v>
      </c>
      <c r="AT3" s="0" t="s">
        <v>222</v>
      </c>
      <c r="AU3" s="0" t="s">
        <v>222</v>
      </c>
      <c r="AV3" s="0" t="s">
        <v>222</v>
      </c>
      <c r="AW3" s="0" t="s">
        <v>222</v>
      </c>
      <c r="AX3" s="0" t="s">
        <v>222</v>
      </c>
      <c r="AY3" s="0" t="s">
        <v>222</v>
      </c>
      <c r="AZ3" s="0" t="s">
        <v>222</v>
      </c>
      <c r="BA3" s="0" t="s">
        <v>222</v>
      </c>
      <c r="BB3" s="0" t="s">
        <v>222</v>
      </c>
      <c r="BC3" s="0" t="s">
        <v>222</v>
      </c>
      <c r="BD3" s="0" t="s">
        <v>3660</v>
      </c>
      <c r="BE3" s="0" t="s">
        <v>3646</v>
      </c>
      <c r="BF3" s="0" t="s">
        <v>3658</v>
      </c>
      <c r="BG3" s="0" t="s">
        <v>222</v>
      </c>
      <c r="BH3" s="0" t="s">
        <v>222</v>
      </c>
      <c r="BI3" s="0" t="s">
        <v>222</v>
      </c>
      <c r="BJ3" s="0" t="s">
        <v>222</v>
      </c>
      <c r="BK3" s="0" t="s">
        <v>222</v>
      </c>
      <c r="BL3" s="0" t="s">
        <v>222</v>
      </c>
      <c r="BM3" s="0" t="s">
        <v>222</v>
      </c>
      <c r="BN3" s="0" t="s">
        <v>222</v>
      </c>
      <c r="BO3" s="0" t="s">
        <v>222</v>
      </c>
      <c r="BP3" s="0" t="s">
        <v>222</v>
      </c>
      <c r="BQ3" s="0" t="s">
        <v>222</v>
      </c>
      <c r="BR3" s="0" t="s">
        <v>222</v>
      </c>
      <c r="BS3" s="0" t="s">
        <v>222</v>
      </c>
      <c r="BT3" s="0" t="s">
        <v>3664</v>
      </c>
      <c r="CS3" s="0" t="s">
        <v>3660</v>
      </c>
      <c r="CT3" s="0" t="s">
        <v>3652</v>
      </c>
      <c r="CU3" s="0" t="s">
        <v>3653</v>
      </c>
      <c r="CV3" s="0" t="s">
        <v>3654</v>
      </c>
      <c r="CW3" s="0" t="s">
        <v>3665</v>
      </c>
      <c r="CX3" s="0" t="s">
        <v>426</v>
      </c>
      <c r="CY3" s="0" t="s">
        <v>421</v>
      </c>
      <c r="CZ3" s="0" t="s">
        <v>427</v>
      </c>
      <c r="DA3" s="0" t="s">
        <v>428</v>
      </c>
      <c r="DB3" s="0" t="s">
        <v>3665</v>
      </c>
      <c r="DC3" s="0" t="s">
        <v>366</v>
      </c>
      <c r="DD3" s="0" t="s">
        <v>284</v>
      </c>
      <c r="DE3" s="0" t="s">
        <v>425</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53B258-8EB8-6B38-56F8-2B4CF56B1178}" mc:Ignorable="x14ac xr xr2 xr3">
  <sheetPr>
    <tabColor rgb="FFFFCC99"/>
  </sheetPr>
  <dimension ref="A1:A1"/>
  <sheetViews>
    <sheetView topLeftCell="A1" showGridLines="0" workbookViewId="0">
      <selection activeCell="A1" sqref="A1"/>
    </sheetView>
  </sheetViews>
  <sheetFormatPr customHeight="1" defaultRowHeight="11.25"/>
  <cols>
    <col min="1" max="1" style="1310" width="89.7109375" customWidth="1"/>
  </cols>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A0BAE8-8988-7E39-C042-77813EAD0CA9}" mc:Ignorable="x14ac xr xr2 xr3">
  <sheetPr>
    <tabColor theme="0"/>
  </sheetPr>
  <dimension ref="A1:AE54"/>
  <sheetViews>
    <sheetView topLeftCell="AA21" showGridLines="0" workbookViewId="0">
      <selection activeCell="AA21" sqref="AA21"/>
    </sheetView>
  </sheetViews>
  <sheetFormatPr defaultColWidth="9.140625" customHeight="1" defaultRowHeight="12.75"/>
  <cols>
    <col min="1" max="1" style="288" width="8.00390625" hidden="1" customWidth="1"/>
    <col min="2" max="2" style="417" width="14.28125" hidden="1" customWidth="1"/>
    <col min="3" max="4" style="288" width="3.57421875" hidden="1" customWidth="1"/>
    <col min="5" max="5" style="599" width="4.7109375" hidden="1" customWidth="1"/>
    <col min="6" max="26" style="288" width="3.57421875" hidden="1" customWidth="1"/>
    <col min="27" max="27" style="288" width="3.7109375" customWidth="1"/>
    <col min="28" max="28" style="288" width="11.7109375" customWidth="1"/>
    <col min="29" max="29" style="288" width="32.8515625" customWidth="1"/>
    <col min="30" max="30" style="288" width="133.57421875" customWidth="1"/>
    <col min="31" max="31" style="288" width="9.140625"/>
  </cols>
  <sheetData>
    <row customHeight="1" ht="11.25" hidden="1">
      <c r="E1" s="288"/>
    </row>
    <row s="417" customFormat="1" customHeight="1" ht="11.25" hidden="1">
      <c r="B2" s="419" t="s">
        <v>18</v>
      </c>
    </row>
    <row customHeight="1" ht="11.25" hidden="1">
      <c r="E3" s="288"/>
    </row>
    <row customHeight="1" ht="11.25" hidden="1">
      <c r="E4" s="288"/>
    </row>
    <row s="599" customFormat="1" customHeight="1" ht="11.25" hidden="1">
      <c r="A5" s="288"/>
      <c r="B5" s="417"/>
      <c r="C5" s="288"/>
      <c r="D5" s="288"/>
      <c r="E5" s="598"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2.75">
      <c r="AA21" s="398"/>
    </row>
    <row customHeight="1" ht="24.75">
      <c r="AB22" s="289" t="s">
        <v>28</v>
      </c>
      <c r="AC22" s="290"/>
      <c r="AD22" s="290"/>
    </row>
    <row customHeight="1" ht="16.5">
      <c r="AB23" s="294" t="s">
        <v>29</v>
      </c>
    </row>
    <row customHeight="1" ht="27.056250000000002">
      <c r="B24" s="419" t="b">
        <v>1</v>
      </c>
      <c r="E24" s="599">
        <v>27.75</v>
      </c>
      <c r="AB24" s="291" t="s">
        <v>30</v>
      </c>
      <c r="AC24" s="292" t="s">
        <v>31</v>
      </c>
      <c r="AD24" s="293" t="s">
        <v>32</v>
      </c>
    </row>
    <row customHeight="1" ht="27.056250000000002">
      <c r="B25" s="419" t="b">
        <v>1</v>
      </c>
      <c r="E25" s="599">
        <v>27.75</v>
      </c>
      <c r="AB25" s="291" t="s">
        <v>30</v>
      </c>
      <c r="AC25" s="292" t="s">
        <v>33</v>
      </c>
      <c r="AD25" s="293" t="s">
        <v>34</v>
      </c>
    </row>
    <row customHeight="1" ht="27.056250000000002">
      <c r="B26" s="419" t="b">
        <v>1</v>
      </c>
      <c r="E26" s="599">
        <v>27.75</v>
      </c>
      <c r="AB26" s="291" t="s">
        <v>30</v>
      </c>
      <c r="AC26" s="292" t="s">
        <v>35</v>
      </c>
      <c r="AD26" s="293" t="s">
        <v>36</v>
      </c>
    </row>
    <row customHeight="1" ht="27.056250000000002">
      <c r="B27" s="419" t="b">
        <v>1</v>
      </c>
      <c r="E27" s="599">
        <v>27.75</v>
      </c>
      <c r="AB27" s="291" t="s">
        <v>30</v>
      </c>
      <c r="AC27" s="292" t="s">
        <v>37</v>
      </c>
      <c r="AD27" s="293" t="s">
        <v>38</v>
      </c>
    </row>
    <row customHeight="1" ht="27.056250000000002">
      <c r="B28" s="419">
        <f>NOT(method_reg="Метод сравнения аналогов")</f>
        <v>1</v>
      </c>
      <c r="E28" s="599">
        <v>27.75</v>
      </c>
      <c r="AB28" s="291" t="s">
        <v>30</v>
      </c>
      <c r="AC28" s="292" t="s">
        <v>39</v>
      </c>
      <c r="AD28" s="293" t="s">
        <v>40</v>
      </c>
    </row>
    <row s="1310" customFormat="1" customHeight="1" ht="27.056250000000002">
      <c r="A29" s="288"/>
      <c r="B29" s="420">
        <f>method_reg="Метод индексации"</f>
        <v>1</v>
      </c>
      <c r="C29" s="288"/>
      <c r="D29" s="288"/>
      <c r="E29" s="599">
        <v>27.75</v>
      </c>
      <c r="F29" s="288"/>
      <c r="G29" s="288"/>
      <c r="H29" s="288"/>
      <c r="I29" s="288"/>
      <c r="J29" s="288"/>
      <c r="K29" s="288"/>
      <c r="L29" s="288"/>
      <c r="M29" s="288"/>
      <c r="N29" s="288"/>
      <c r="O29" s="288"/>
      <c r="P29" s="288"/>
      <c r="Q29" s="288"/>
      <c r="R29" s="288"/>
      <c r="S29" s="288"/>
      <c r="T29" s="288"/>
      <c r="U29" s="288"/>
      <c r="V29" s="288"/>
      <c r="W29" s="288"/>
      <c r="X29" s="288"/>
      <c r="Y29" s="288"/>
      <c r="Z29" s="288"/>
      <c r="AA29" s="288"/>
      <c r="AB29" s="291" t="s">
        <v>30</v>
      </c>
      <c r="AC29" s="292" t="s">
        <v>41</v>
      </c>
      <c r="AD29" s="293" t="s">
        <v>42</v>
      </c>
      <c r="AE29" s="288"/>
    </row>
    <row customHeight="1" ht="27.056250000000002">
      <c r="B30" s="419" t="b">
        <v>1</v>
      </c>
      <c r="E30" s="599">
        <v>27.75</v>
      </c>
      <c r="AB30" s="291" t="s">
        <v>30</v>
      </c>
      <c r="AC30" s="292" t="s">
        <v>43</v>
      </c>
      <c r="AD30" s="293" t="s">
        <v>44</v>
      </c>
    </row>
    <row customHeight="1" ht="27.056250000000002">
      <c r="A31" s="288"/>
      <c r="B31" s="419">
        <f>OR(method_reg="Метод индексации",method_reg="Метод сравнения аналогов")</f>
        <v>1</v>
      </c>
      <c r="C31" s="288"/>
      <c r="D31" s="288"/>
      <c r="E31" s="599">
        <v>27.75</v>
      </c>
      <c r="F31" s="288"/>
      <c r="G31" s="288"/>
      <c r="H31" s="288"/>
      <c r="I31" s="288"/>
      <c r="J31" s="288"/>
      <c r="K31" s="288"/>
      <c r="L31" s="288"/>
      <c r="M31" s="288"/>
      <c r="N31" s="288"/>
      <c r="O31" s="288"/>
      <c r="P31" s="288"/>
      <c r="Q31" s="288"/>
      <c r="R31" s="288"/>
      <c r="S31" s="288"/>
      <c r="T31" s="288"/>
      <c r="U31" s="288"/>
      <c r="V31" s="288"/>
      <c r="W31" s="288"/>
      <c r="X31" s="288"/>
      <c r="Y31" s="288"/>
      <c r="Z31" s="288"/>
      <c r="AA31" s="288"/>
      <c r="AB31" s="435" t="s">
        <v>30</v>
      </c>
      <c r="AC31" s="436" t="s">
        <v>45</v>
      </c>
      <c r="AD31" s="437" t="s">
        <v>46</v>
      </c>
      <c r="AE31" s="399"/>
    </row>
    <row customHeight="1" ht="27.056250000000002">
      <c r="B32" s="419">
        <f>NOT(method_reg="Метод сравнения аналогов")</f>
        <v>1</v>
      </c>
      <c r="E32" s="599">
        <v>27.75</v>
      </c>
      <c r="AB32" s="291" t="s">
        <v>30</v>
      </c>
      <c r="AC32" s="292" t="s">
        <v>47</v>
      </c>
      <c r="AD32" s="293" t="s">
        <v>48</v>
      </c>
    </row>
    <row customHeight="1" ht="27.056250000000002">
      <c r="B33" s="419">
        <f>NOT(method_reg="Метод сравнения аналогов")</f>
        <v>1</v>
      </c>
      <c r="E33" s="599">
        <v>27.75</v>
      </c>
      <c r="AB33" s="291" t="s">
        <v>30</v>
      </c>
      <c r="AC33" s="292" t="s">
        <v>49</v>
      </c>
      <c r="AD33" s="293" t="s">
        <v>50</v>
      </c>
    </row>
    <row customHeight="1" ht="27.056250000000002">
      <c r="B34" s="419">
        <f>NOT(method_reg="Метод сравнения аналогов")</f>
        <v>1</v>
      </c>
      <c r="E34" s="599">
        <v>27.75</v>
      </c>
      <c r="AB34" s="291" t="s">
        <v>30</v>
      </c>
      <c r="AC34" s="292" t="s">
        <v>51</v>
      </c>
      <c r="AD34" s="293" t="s">
        <v>52</v>
      </c>
    </row>
    <row customHeight="1" ht="27.056250000000002" hidden="1">
      <c r="A35" s="288"/>
      <c r="B35" s="419">
        <f>method_reg="Метод сравнения аналогов"</f>
        <v>0</v>
      </c>
      <c r="C35" s="288"/>
      <c r="D35" s="288"/>
      <c r="E35" s="599">
        <v>27.75</v>
      </c>
      <c r="F35" s="288"/>
      <c r="G35" s="288"/>
      <c r="H35" s="288"/>
      <c r="I35" s="288"/>
      <c r="J35" s="288"/>
      <c r="K35" s="288"/>
      <c r="L35" s="288"/>
      <c r="M35" s="288"/>
      <c r="N35" s="288"/>
      <c r="O35" s="288"/>
      <c r="P35" s="288"/>
      <c r="Q35" s="288"/>
      <c r="R35" s="288"/>
      <c r="S35" s="288"/>
      <c r="T35" s="288"/>
      <c r="U35" s="288"/>
      <c r="V35" s="288"/>
      <c r="W35" s="288"/>
      <c r="X35" s="288"/>
      <c r="Y35" s="288"/>
      <c r="Z35" s="288"/>
      <c r="AA35" s="288"/>
      <c r="AB35" s="435" t="s">
        <v>53</v>
      </c>
      <c r="AC35" s="436" t="s">
        <v>54</v>
      </c>
      <c r="AD35" s="437" t="s">
        <v>55</v>
      </c>
      <c r="AE35" s="288"/>
    </row>
    <row customHeight="1" ht="27.056250000000002">
      <c r="B36" s="419">
        <f>NOT(method_reg="Метод сравнения аналогов")</f>
        <v>1</v>
      </c>
      <c r="E36" s="599">
        <v>27.75</v>
      </c>
      <c r="AB36" s="291" t="s">
        <v>30</v>
      </c>
      <c r="AC36" s="292" t="s">
        <v>56</v>
      </c>
      <c r="AD36" s="293" t="s">
        <v>57</v>
      </c>
    </row>
    <row customHeight="1" ht="27.056250000000002">
      <c r="B37" s="419">
        <f>NOT(method_reg="Метод сравнения аналогов")</f>
        <v>1</v>
      </c>
      <c r="E37" s="599">
        <v>27.75</v>
      </c>
      <c r="AB37" s="291" t="s">
        <v>30</v>
      </c>
      <c r="AC37" s="292" t="s">
        <v>58</v>
      </c>
      <c r="AD37" s="293" t="s">
        <v>59</v>
      </c>
    </row>
    <row customHeight="1" ht="27.056250000000002" hidden="1">
      <c r="A38" s="288"/>
      <c r="B38" s="419">
        <f>AND(OR(god=first_year,method_reg="Метод обеспечения доходности инвестированного капитала"),NOT(method_reg="Метод сравнения аналогов"))</f>
        <v>0</v>
      </c>
      <c r="C38" s="288"/>
      <c r="D38" s="288"/>
      <c r="E38" s="599">
        <v>27.75</v>
      </c>
      <c r="F38" s="288"/>
      <c r="G38" s="288"/>
      <c r="H38" s="288"/>
      <c r="I38" s="288"/>
      <c r="J38" s="288"/>
      <c r="K38" s="288"/>
      <c r="L38" s="288"/>
      <c r="M38" s="288"/>
      <c r="N38" s="288"/>
      <c r="O38" s="288"/>
      <c r="P38" s="288"/>
      <c r="Q38" s="288"/>
      <c r="R38" s="288"/>
      <c r="S38" s="288"/>
      <c r="T38" s="288"/>
      <c r="U38" s="288"/>
      <c r="V38" s="288"/>
      <c r="W38" s="288"/>
      <c r="X38" s="288"/>
      <c r="Y38" s="288"/>
      <c r="Z38" s="288"/>
      <c r="AA38" s="288"/>
      <c r="AB38" s="291" t="s">
        <v>53</v>
      </c>
      <c r="AC38" s="292" t="s">
        <v>60</v>
      </c>
      <c r="AD38" s="324" t="s">
        <v>61</v>
      </c>
      <c r="AE38" s="288"/>
    </row>
    <row customHeight="1" ht="27.056250000000002" hidden="1">
      <c r="A39" s="288"/>
      <c r="B39" s="419">
        <f>AND(OR(god=first_year,method_reg="Метод обеспечения доходности инвестированного капитала"),NOT(method_reg="Метод сравнения аналогов"))</f>
        <v>0</v>
      </c>
      <c r="C39" s="288"/>
      <c r="D39" s="288"/>
      <c r="E39" s="599">
        <v>27.75</v>
      </c>
      <c r="F39" s="288"/>
      <c r="G39" s="288"/>
      <c r="H39" s="288"/>
      <c r="I39" s="288"/>
      <c r="J39" s="288"/>
      <c r="K39" s="288"/>
      <c r="L39" s="288"/>
      <c r="M39" s="288"/>
      <c r="N39" s="288"/>
      <c r="O39" s="288"/>
      <c r="P39" s="288"/>
      <c r="Q39" s="288"/>
      <c r="R39" s="288"/>
      <c r="S39" s="288"/>
      <c r="T39" s="288"/>
      <c r="U39" s="288"/>
      <c r="V39" s="288"/>
      <c r="W39" s="288"/>
      <c r="X39" s="288"/>
      <c r="Y39" s="288"/>
      <c r="Z39" s="288"/>
      <c r="AA39" s="288"/>
      <c r="AB39" s="291" t="s">
        <v>53</v>
      </c>
      <c r="AC39" s="292" t="s">
        <v>62</v>
      </c>
      <c r="AD39" s="324" t="s">
        <v>63</v>
      </c>
      <c r="AE39" s="288"/>
    </row>
    <row customHeight="1" ht="27.056250000000002" hidden="1">
      <c r="A40" s="288"/>
      <c r="B40" s="419">
        <f>AND(OR(god=first_year,method_reg="Метод обеспечения доходности инвестированного капитала"),NOT(method_reg="Метод сравнения аналогов"),STATUS_GO="да")</f>
        <v>0</v>
      </c>
      <c r="C40" s="288"/>
      <c r="D40" s="288"/>
      <c r="E40" s="599">
        <v>27.75</v>
      </c>
      <c r="F40" s="288"/>
      <c r="G40" s="288"/>
      <c r="H40" s="288"/>
      <c r="I40" s="288"/>
      <c r="J40" s="288"/>
      <c r="K40" s="288"/>
      <c r="L40" s="288"/>
      <c r="M40" s="288"/>
      <c r="N40" s="288"/>
      <c r="O40" s="288"/>
      <c r="P40" s="288"/>
      <c r="Q40" s="288"/>
      <c r="R40" s="288"/>
      <c r="S40" s="288"/>
      <c r="T40" s="288"/>
      <c r="U40" s="288"/>
      <c r="V40" s="288"/>
      <c r="W40" s="288"/>
      <c r="X40" s="288"/>
      <c r="Y40" s="288"/>
      <c r="Z40" s="288"/>
      <c r="AA40" s="288"/>
      <c r="AB40" s="291" t="s">
        <v>53</v>
      </c>
      <c r="AC40" s="292" t="s">
        <v>64</v>
      </c>
      <c r="AD40" s="324" t="s">
        <v>65</v>
      </c>
      <c r="AE40" s="288"/>
    </row>
    <row customHeight="1" ht="27.056250000000002">
      <c r="B41" s="419">
        <f>NOT(method_reg="Метод сравнения аналогов")</f>
        <v>1</v>
      </c>
      <c r="E41" s="599">
        <v>27.75</v>
      </c>
      <c r="AB41" s="291" t="s">
        <v>30</v>
      </c>
      <c r="AC41" s="292" t="s">
        <v>66</v>
      </c>
      <c r="AD41" s="293" t="s">
        <v>67</v>
      </c>
    </row>
    <row customHeight="1" ht="27.056250000000002" hidden="1">
      <c r="A42" s="288"/>
      <c r="B42" s="419">
        <f>AND(NOT(method_reg="Метод сравнения аналогов"),NOT(HAS_DOC5="нет"),NOT(HAS_DOC6="нет"))</f>
        <v>0</v>
      </c>
      <c r="C42" s="288"/>
      <c r="D42" s="288"/>
      <c r="E42" s="599">
        <v>27.75</v>
      </c>
      <c r="F42" s="288"/>
      <c r="G42" s="288"/>
      <c r="H42" s="288"/>
      <c r="I42" s="288"/>
      <c r="J42" s="288"/>
      <c r="K42" s="288"/>
      <c r="L42" s="288"/>
      <c r="M42" s="288"/>
      <c r="N42" s="288"/>
      <c r="O42" s="288"/>
      <c r="P42" s="288"/>
      <c r="Q42" s="288"/>
      <c r="R42" s="288"/>
      <c r="S42" s="288"/>
      <c r="T42" s="288"/>
      <c r="U42" s="288"/>
      <c r="V42" s="288"/>
      <c r="W42" s="288"/>
      <c r="X42" s="288"/>
      <c r="Y42" s="288"/>
      <c r="Z42" s="288"/>
      <c r="AA42" s="288"/>
      <c r="AB42" s="291" t="s">
        <v>53</v>
      </c>
      <c r="AC42" s="292" t="s">
        <v>68</v>
      </c>
      <c r="AD42" s="293" t="s">
        <v>69</v>
      </c>
      <c r="AE42" s="288"/>
    </row>
    <row customHeight="1" ht="27.056250000000002">
      <c r="B43" s="419">
        <f>AND(NOT(method_reg="Метод экономически обоснованных расходов"),NOT(method_reg="Метод сравнения аналогов"))</f>
        <v>1</v>
      </c>
      <c r="E43" s="599">
        <v>27.75</v>
      </c>
      <c r="AB43" s="291" t="s">
        <v>30</v>
      </c>
      <c r="AC43" s="292" t="s">
        <v>70</v>
      </c>
      <c r="AD43" s="293" t="s">
        <v>71</v>
      </c>
    </row>
    <row customHeight="1" ht="27.056250000000002">
      <c r="A44" s="288"/>
      <c r="B44" s="419">
        <f>AND(NOT(method_reg="Метод сравнения аналогов"),hasVO)</f>
        <v>1</v>
      </c>
      <c r="C44" s="288"/>
      <c r="D44" s="288"/>
      <c r="E44" s="599">
        <v>27.75</v>
      </c>
      <c r="F44" s="288"/>
      <c r="G44" s="288"/>
      <c r="H44" s="288"/>
      <c r="I44" s="288"/>
      <c r="J44" s="288"/>
      <c r="K44" s="288"/>
      <c r="L44" s="288"/>
      <c r="M44" s="288"/>
      <c r="N44" s="288"/>
      <c r="O44" s="288"/>
      <c r="P44" s="288"/>
      <c r="Q44" s="288"/>
      <c r="R44" s="288"/>
      <c r="S44" s="288"/>
      <c r="T44" s="288"/>
      <c r="U44" s="288"/>
      <c r="V44" s="288"/>
      <c r="W44" s="288"/>
      <c r="X44" s="288"/>
      <c r="Y44" s="288"/>
      <c r="Z44" s="288"/>
      <c r="AA44" s="288"/>
      <c r="AB44" s="291" t="s">
        <v>30</v>
      </c>
      <c r="AC44" s="292" t="s">
        <v>72</v>
      </c>
      <c r="AD44" s="293" t="s">
        <v>73</v>
      </c>
      <c r="AE44" s="288"/>
    </row>
    <row customHeight="1" ht="27.056250000000002">
      <c r="B45" s="419">
        <f>AND(NOT(method_reg="Метод экономически обоснованных расходов"),NOT(method_reg="Метод сравнения аналогов"))</f>
        <v>1</v>
      </c>
      <c r="E45" s="599">
        <v>27.75</v>
      </c>
      <c r="AB45" s="291" t="s">
        <v>30</v>
      </c>
      <c r="AC45" s="292" t="s">
        <v>74</v>
      </c>
      <c r="AD45" s="293" t="s">
        <v>75</v>
      </c>
    </row>
    <row customHeight="1" ht="27.056250000000002" hidden="1">
      <c r="A46" s="288"/>
      <c r="B46" s="419">
        <f>method_reg="Метод экономически обоснованных расходов"</f>
        <v>0</v>
      </c>
      <c r="C46" s="288"/>
      <c r="D46" s="288"/>
      <c r="E46" s="599">
        <v>27.75</v>
      </c>
      <c r="F46" s="288"/>
      <c r="G46" s="288"/>
      <c r="H46" s="288"/>
      <c r="I46" s="288"/>
      <c r="J46" s="288"/>
      <c r="K46" s="288"/>
      <c r="L46" s="288"/>
      <c r="M46" s="288"/>
      <c r="N46" s="288"/>
      <c r="O46" s="288"/>
      <c r="P46" s="288"/>
      <c r="Q46" s="288"/>
      <c r="R46" s="288"/>
      <c r="S46" s="288"/>
      <c r="T46" s="288"/>
      <c r="U46" s="288"/>
      <c r="V46" s="288"/>
      <c r="W46" s="288"/>
      <c r="X46" s="288"/>
      <c r="Y46" s="288"/>
      <c r="Z46" s="288"/>
      <c r="AA46" s="288"/>
      <c r="AB46" s="291" t="s">
        <v>53</v>
      </c>
      <c r="AC46" s="292" t="s">
        <v>76</v>
      </c>
      <c r="AD46" s="293" t="s">
        <v>77</v>
      </c>
      <c r="AE46" s="288"/>
    </row>
    <row customHeight="1" ht="27.056250000000002" hidden="1">
      <c r="A47" s="288"/>
      <c r="B47" s="419">
        <f>AND(first_year=god,OR(method_reg="Метод обеспечения доходности инвестированного капитала",method_reg="Метод индексации"))</f>
        <v>0</v>
      </c>
      <c r="C47" s="288"/>
      <c r="D47" s="288"/>
      <c r="E47" s="599">
        <v>27.75</v>
      </c>
      <c r="F47" s="288"/>
      <c r="G47" s="288"/>
      <c r="H47" s="288"/>
      <c r="I47" s="288"/>
      <c r="J47" s="288"/>
      <c r="K47" s="288"/>
      <c r="L47" s="288"/>
      <c r="M47" s="288"/>
      <c r="N47" s="288"/>
      <c r="O47" s="288"/>
      <c r="P47" s="288"/>
      <c r="Q47" s="288"/>
      <c r="R47" s="288"/>
      <c r="S47" s="288"/>
      <c r="T47" s="288"/>
      <c r="U47" s="288"/>
      <c r="V47" s="288"/>
      <c r="W47" s="288"/>
      <c r="X47" s="288"/>
      <c r="Y47" s="288"/>
      <c r="Z47" s="288"/>
      <c r="AA47" s="288"/>
      <c r="AB47" s="291" t="s">
        <v>53</v>
      </c>
      <c r="AC47" s="292" t="s">
        <v>78</v>
      </c>
      <c r="AD47" s="293" t="s">
        <v>79</v>
      </c>
      <c r="AE47" s="288"/>
    </row>
    <row customHeight="1" ht="27.105">
      <c r="A48" s="288"/>
      <c r="B48" s="474">
        <f>AND(OR(method_reg="Метод индексации",method_reg="Метод обеспечения доходности инвестированного капитала"),first_year&lt;&gt;god)</f>
        <v>1</v>
      </c>
      <c r="C48" s="288"/>
      <c r="D48" s="288"/>
      <c r="E48" s="599">
        <v>27.8</v>
      </c>
      <c r="F48" s="288"/>
      <c r="G48" s="288"/>
      <c r="H48" s="288"/>
      <c r="I48" s="288"/>
      <c r="J48" s="288"/>
      <c r="K48" s="288"/>
      <c r="L48" s="288"/>
      <c r="M48" s="288"/>
      <c r="N48" s="288"/>
      <c r="O48" s="288"/>
      <c r="P48" s="288"/>
      <c r="Q48" s="288"/>
      <c r="R48" s="288"/>
      <c r="S48" s="288"/>
      <c r="T48" s="288"/>
      <c r="U48" s="288"/>
      <c r="V48" s="288"/>
      <c r="W48" s="288"/>
      <c r="X48" s="288"/>
      <c r="Y48" s="288"/>
      <c r="Z48" s="288"/>
      <c r="AA48" s="288"/>
      <c r="AB48" s="291" t="s">
        <v>30</v>
      </c>
      <c r="AC48" s="292" t="s">
        <v>80</v>
      </c>
      <c r="AD48" s="293" t="s">
        <v>79</v>
      </c>
      <c r="AE48" s="288"/>
    </row>
    <row customHeight="1" ht="27.056250000000002">
      <c r="B49" s="419">
        <f>NOT(method_reg="Метод сравнения аналогов")</f>
        <v>1</v>
      </c>
      <c r="E49" s="599">
        <v>27.75</v>
      </c>
      <c r="AB49" s="291" t="s">
        <v>30</v>
      </c>
      <c r="AC49" s="292" t="s">
        <v>81</v>
      </c>
      <c r="AD49" s="293" t="s">
        <v>82</v>
      </c>
    </row>
    <row customHeight="1" ht="27.056250000000002">
      <c r="A50" s="288"/>
      <c r="B50" s="419">
        <f>OR(method_reg="Метод индексации",method_reg="Метод обеспечения доходности инвестированного капитала")</f>
        <v>1</v>
      </c>
      <c r="C50" s="288"/>
      <c r="D50" s="288"/>
      <c r="E50" s="599">
        <v>27.75</v>
      </c>
      <c r="F50" s="288"/>
      <c r="G50" s="288"/>
      <c r="H50" s="288"/>
      <c r="I50" s="288"/>
      <c r="J50" s="288"/>
      <c r="K50" s="288"/>
      <c r="L50" s="288"/>
      <c r="M50" s="288"/>
      <c r="N50" s="288"/>
      <c r="O50" s="288"/>
      <c r="P50" s="288"/>
      <c r="Q50" s="288"/>
      <c r="R50" s="288"/>
      <c r="S50" s="288"/>
      <c r="T50" s="288"/>
      <c r="U50" s="288"/>
      <c r="V50" s="288"/>
      <c r="W50" s="288"/>
      <c r="X50" s="288"/>
      <c r="Y50" s="288"/>
      <c r="Z50" s="288"/>
      <c r="AA50" s="288"/>
      <c r="AB50" s="291" t="s">
        <v>30</v>
      </c>
      <c r="AC50" s="292" t="s">
        <v>83</v>
      </c>
      <c r="AD50" s="293" t="s">
        <v>84</v>
      </c>
      <c r="AE50" s="288"/>
    </row>
    <row customHeight="1" ht="27.056250000000002">
      <c r="A51" s="288"/>
      <c r="B51" s="419">
        <f>OR(method_reg="Метод индексации",method_reg="Метод обеспечения доходности инвестированного капитала")</f>
        <v>1</v>
      </c>
      <c r="C51" s="288"/>
      <c r="D51" s="288"/>
      <c r="E51" s="599">
        <v>27.75</v>
      </c>
      <c r="F51" s="288"/>
      <c r="G51" s="288"/>
      <c r="H51" s="288"/>
      <c r="I51" s="288"/>
      <c r="J51" s="288"/>
      <c r="K51" s="288"/>
      <c r="L51" s="288"/>
      <c r="M51" s="288"/>
      <c r="N51" s="288"/>
      <c r="O51" s="288"/>
      <c r="P51" s="288"/>
      <c r="Q51" s="288"/>
      <c r="R51" s="288"/>
      <c r="S51" s="288"/>
      <c r="T51" s="288"/>
      <c r="U51" s="288"/>
      <c r="V51" s="288"/>
      <c r="W51" s="288"/>
      <c r="X51" s="288"/>
      <c r="Y51" s="288"/>
      <c r="Z51" s="288"/>
      <c r="AA51" s="288"/>
      <c r="AB51" s="291" t="s">
        <v>30</v>
      </c>
      <c r="AC51" s="292" t="s">
        <v>85</v>
      </c>
      <c r="AD51" s="293" t="s">
        <v>86</v>
      </c>
      <c r="AE51" s="288"/>
    </row>
    <row customHeight="1" ht="27.056250000000002" hidden="1">
      <c r="A52" s="288"/>
      <c r="B52" s="419">
        <f>OR(method_reg="Метод сравнения аналогов",AND(method_reg="Метод индексации",STATUS_GO="да"))</f>
        <v>0</v>
      </c>
      <c r="C52" s="288"/>
      <c r="D52" s="288"/>
      <c r="E52" s="599">
        <v>27.75</v>
      </c>
      <c r="F52" s="288"/>
      <c r="G52" s="288"/>
      <c r="H52" s="288"/>
      <c r="I52" s="288"/>
      <c r="J52" s="288"/>
      <c r="K52" s="288"/>
      <c r="L52" s="288"/>
      <c r="M52" s="288"/>
      <c r="N52" s="288"/>
      <c r="O52" s="288"/>
      <c r="P52" s="288"/>
      <c r="Q52" s="288"/>
      <c r="R52" s="288"/>
      <c r="S52" s="288"/>
      <c r="T52" s="288"/>
      <c r="U52" s="288"/>
      <c r="V52" s="288"/>
      <c r="W52" s="288"/>
      <c r="X52" s="288"/>
      <c r="Y52" s="288"/>
      <c r="Z52" s="288"/>
      <c r="AA52" s="288"/>
      <c r="AB52" s="435" t="s">
        <v>53</v>
      </c>
      <c r="AC52" s="436" t="s">
        <v>87</v>
      </c>
      <c r="AD52" s="437" t="s">
        <v>88</v>
      </c>
      <c r="AE52" s="288"/>
    </row>
    <row customHeight="1" ht="27.056250000000002" hidden="1">
      <c r="A53" s="288"/>
      <c r="B53" s="419">
        <f>method_reg="Метод сравнения аналогов"</f>
        <v>0</v>
      </c>
      <c r="C53" s="288"/>
      <c r="D53" s="288"/>
      <c r="E53" s="599">
        <v>27.75</v>
      </c>
      <c r="F53" s="288"/>
      <c r="G53" s="288"/>
      <c r="H53" s="288"/>
      <c r="I53" s="288"/>
      <c r="J53" s="288"/>
      <c r="K53" s="288"/>
      <c r="L53" s="288"/>
      <c r="M53" s="288"/>
      <c r="N53" s="288"/>
      <c r="O53" s="288"/>
      <c r="P53" s="288"/>
      <c r="Q53" s="288"/>
      <c r="R53" s="288"/>
      <c r="S53" s="288"/>
      <c r="T53" s="288"/>
      <c r="U53" s="288"/>
      <c r="V53" s="288"/>
      <c r="W53" s="288"/>
      <c r="X53" s="288"/>
      <c r="Y53" s="288"/>
      <c r="Z53" s="288"/>
      <c r="AA53" s="288"/>
      <c r="AB53" s="435" t="s">
        <v>53</v>
      </c>
      <c r="AC53" s="436" t="s">
        <v>89</v>
      </c>
      <c r="AD53" s="438" t="s">
        <v>90</v>
      </c>
      <c r="AE53" s="288"/>
    </row>
    <row customHeight="1" ht="12.75">
      <c r="AE54" s="399"/>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82379C-13F8-AE45-18E8-4DE4091C2C68}" mc:Ignorable="x14ac xr xr2 xr3">
  <sheetPr>
    <tabColor rgb="FFFFCC99"/>
  </sheetPr>
  <dimension ref="A1:W3"/>
  <sheetViews>
    <sheetView topLeftCell="A1" showGridLines="0" workbookViewId="0">
      <selection activeCell="A1" sqref="A1"/>
    </sheetView>
  </sheetViews>
  <sheetFormatPr customHeight="1" defaultRowHeight="11.25"/>
  <sheetData>
    <row customHeight="1" ht="11.25">
      <c r="A1" s="0" t="s">
        <v>3666</v>
      </c>
      <c r="B1" s="0" t="s">
        <v>3550</v>
      </c>
      <c r="C1" s="0" t="s">
        <v>3667</v>
      </c>
      <c r="D1" s="0" t="s">
        <v>3668</v>
      </c>
      <c r="E1" s="0" t="s">
        <v>3669</v>
      </c>
      <c r="F1" s="0" t="s">
        <v>3670</v>
      </c>
      <c r="G1" s="0" t="s">
        <v>3671</v>
      </c>
      <c r="H1" s="0" t="s">
        <v>3672</v>
      </c>
      <c r="I1" s="0" t="s">
        <v>3673</v>
      </c>
      <c r="J1" s="0" t="s">
        <v>3674</v>
      </c>
      <c r="K1" s="0" t="s">
        <v>3675</v>
      </c>
      <c r="L1" s="0" t="s">
        <v>3676</v>
      </c>
      <c r="M1" s="0" t="s">
        <v>3677</v>
      </c>
      <c r="N1" s="0" t="s">
        <v>3678</v>
      </c>
      <c r="O1" s="0" t="s">
        <v>3679</v>
      </c>
      <c r="P1" s="0" t="s">
        <v>3680</v>
      </c>
      <c r="Q1" s="0" t="s">
        <v>3681</v>
      </c>
      <c r="R1" s="0" t="s">
        <v>3682</v>
      </c>
      <c r="S1" s="0" t="s">
        <v>3683</v>
      </c>
      <c r="T1" s="0" t="s">
        <v>3684</v>
      </c>
      <c r="U1" s="0" t="s">
        <v>3685</v>
      </c>
      <c r="V1" s="0" t="s">
        <v>3686</v>
      </c>
      <c r="W1" s="0" t="s">
        <v>3687</v>
      </c>
    </row>
    <row customHeight="1" ht="11.25">
      <c r="A2" s="0" t="s">
        <v>274</v>
      </c>
      <c r="B2" s="0">
        <v>8741430200</v>
      </c>
      <c r="C2" s="0" t="s">
        <v>3688</v>
      </c>
      <c r="D2" s="0" t="s">
        <v>275</v>
      </c>
      <c r="E2" s="0" t="s">
        <v>276</v>
      </c>
      <c r="F2" s="0" t="s">
        <v>277</v>
      </c>
      <c r="G2" s="0" t="s">
        <v>278</v>
      </c>
      <c r="H2" s="0" t="s">
        <v>279</v>
      </c>
      <c r="I2" s="0" t="s">
        <v>280</v>
      </c>
      <c r="J2" s="0" t="s">
        <v>281</v>
      </c>
      <c r="K2" s="0" t="s">
        <v>282</v>
      </c>
      <c r="L2" s="0" t="s">
        <v>103</v>
      </c>
      <c r="M2" s="0" t="s">
        <v>3689</v>
      </c>
      <c r="N2" s="0" t="s">
        <v>3690</v>
      </c>
      <c r="O2" s="0">
        <v>41.52</v>
      </c>
      <c r="P2" s="0">
        <v>45.6699432832</v>
      </c>
      <c r="U2" s="0" t="s">
        <v>3691</v>
      </c>
      <c r="V2" s="0" t="s">
        <v>3692</v>
      </c>
      <c r="W2" s="0" t="s">
        <v>3693</v>
      </c>
    </row>
    <row customHeight="1" ht="11.25">
      <c r="A3" s="0" t="s">
        <v>285</v>
      </c>
      <c r="B3" s="0">
        <v>8741430200</v>
      </c>
      <c r="C3" s="0" t="s">
        <v>3688</v>
      </c>
      <c r="D3" s="0" t="s">
        <v>286</v>
      </c>
      <c r="E3" s="0" t="s">
        <v>276</v>
      </c>
      <c r="F3" s="0" t="s">
        <v>287</v>
      </c>
      <c r="G3" s="0" t="s">
        <v>288</v>
      </c>
      <c r="H3" s="0" t="s">
        <v>279</v>
      </c>
      <c r="I3" s="0" t="s">
        <v>280</v>
      </c>
      <c r="J3" s="0" t="s">
        <v>281</v>
      </c>
      <c r="K3" s="0" t="s">
        <v>282</v>
      </c>
      <c r="L3" s="0" t="s">
        <v>103</v>
      </c>
      <c r="M3" s="0" t="s">
        <v>3689</v>
      </c>
      <c r="N3" s="0" t="s">
        <v>3690</v>
      </c>
      <c r="O3" s="0">
        <v>34.89</v>
      </c>
      <c r="P3" s="0">
        <v>38.3799365587</v>
      </c>
      <c r="U3" s="0" t="s">
        <v>3691</v>
      </c>
      <c r="V3" s="0" t="s">
        <v>3694</v>
      </c>
      <c r="W3" s="0" t="s">
        <v>3695</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4B8739-2A68-FC17-7168-D14F0D36A727}" mc:Ignorable="x14ac xr xr2 xr3">
  <sheetPr>
    <tabColor rgb="FFFFCC99"/>
  </sheetPr>
  <dimension ref="A1:C97"/>
  <sheetViews>
    <sheetView topLeftCell="A1" showGridLines="0" workbookViewId="0">
      <selection activeCell="A1" sqref="A1"/>
    </sheetView>
  </sheetViews>
  <sheetFormatPr customHeight="1" defaultRowHeight="11.25"/>
  <cols>
    <col min="1" max="1" style="1310" width="88.8515625" customWidth="1"/>
    <col min="2" max="2" style="1310" width="24.7109375" customWidth="1"/>
  </cols>
  <sheetData>
    <row customHeight="1" ht="11.25">
      <c r="A1" s="51" t="s">
        <v>3696</v>
      </c>
      <c r="C1" s="51" t="s">
        <v>3697</v>
      </c>
    </row>
    <row customHeight="1" ht="11.25">
      <c r="A2" s="51" t="s">
        <v>3698</v>
      </c>
    </row>
    <row customHeight="1" ht="11.25">
      <c r="A3" s="51" t="s">
        <v>3699</v>
      </c>
      <c r="C3" s="0" t="s">
        <v>3700</v>
      </c>
    </row>
    <row customHeight="1" ht="11.25">
      <c r="A4" s="51" t="s">
        <v>2886</v>
      </c>
      <c r="C4" s="0" t="s">
        <v>3701</v>
      </c>
    </row>
    <row customHeight="1" ht="11.25">
      <c r="A5" s="51" t="s">
        <v>2794</v>
      </c>
      <c r="C5" s="0" t="s">
        <v>3702</v>
      </c>
    </row>
    <row customHeight="1" ht="11.25">
      <c r="A6" s="51" t="s">
        <v>3127</v>
      </c>
      <c r="C6" s="0" t="s">
        <v>3703</v>
      </c>
    </row>
    <row customHeight="1" ht="11.25">
      <c r="A7" s="51" t="s">
        <v>3704</v>
      </c>
      <c r="C7" s="0" t="s">
        <v>3705</v>
      </c>
    </row>
    <row customHeight="1" ht="11.25">
      <c r="A8" s="51" t="s">
        <v>3706</v>
      </c>
      <c r="C8" s="0" t="s">
        <v>3707</v>
      </c>
    </row>
    <row customHeight="1" ht="11.25">
      <c r="A9" s="51" t="s">
        <v>3708</v>
      </c>
      <c r="C9" s="0" t="s">
        <v>3709</v>
      </c>
    </row>
    <row customHeight="1" ht="11.25">
      <c r="A10" s="51" t="s">
        <v>3710</v>
      </c>
      <c r="C10" s="0" t="s">
        <v>3711</v>
      </c>
    </row>
    <row customHeight="1" ht="11.25">
      <c r="A11" s="51" t="s">
        <v>3712</v>
      </c>
      <c r="C11" s="0" t="s">
        <v>3713</v>
      </c>
    </row>
    <row customHeight="1" ht="11.25">
      <c r="A12" s="51" t="s">
        <v>3714</v>
      </c>
      <c r="C12" s="0" t="s">
        <v>3715</v>
      </c>
    </row>
    <row customHeight="1" ht="11.25">
      <c r="A13" s="51" t="s">
        <v>3716</v>
      </c>
      <c r="C13" s="0" t="s">
        <v>3717</v>
      </c>
    </row>
    <row customHeight="1" ht="11.25">
      <c r="A14" s="51" t="s">
        <v>3718</v>
      </c>
      <c r="C14" s="0" t="s">
        <v>3719</v>
      </c>
    </row>
    <row customHeight="1" ht="11.25">
      <c r="A15" s="51" t="s">
        <v>3720</v>
      </c>
      <c r="C15" s="0" t="s">
        <v>3721</v>
      </c>
    </row>
    <row customHeight="1" ht="11.25">
      <c r="A16" s="51" t="s">
        <v>3722</v>
      </c>
      <c r="C16" s="0" t="s">
        <v>3723</v>
      </c>
    </row>
    <row customHeight="1" ht="11.25">
      <c r="A17" s="51" t="s">
        <v>3724</v>
      </c>
      <c r="C17" s="0" t="s">
        <v>3725</v>
      </c>
    </row>
    <row customHeight="1" ht="11.25">
      <c r="A18" s="51" t="s">
        <v>3726</v>
      </c>
      <c r="C18" s="0" t="s">
        <v>3727</v>
      </c>
    </row>
    <row customHeight="1" ht="11.25">
      <c r="A19" s="51" t="s">
        <v>3728</v>
      </c>
      <c r="C19" s="0" t="s">
        <v>3729</v>
      </c>
    </row>
    <row customHeight="1" ht="11.25">
      <c r="A20" s="51" t="s">
        <v>3730</v>
      </c>
      <c r="C20" s="0" t="s">
        <v>3731</v>
      </c>
    </row>
    <row customHeight="1" ht="11.25">
      <c r="A21" s="51" t="s">
        <v>3732</v>
      </c>
      <c r="C21" s="0" t="s">
        <v>3733</v>
      </c>
    </row>
    <row customHeight="1" ht="11.25">
      <c r="A22" s="51" t="s">
        <v>3734</v>
      </c>
      <c r="C22" s="0" t="s">
        <v>3735</v>
      </c>
    </row>
    <row customHeight="1" ht="11.25">
      <c r="A23" s="51" t="s">
        <v>3736</v>
      </c>
      <c r="C23" s="0" t="s">
        <v>3737</v>
      </c>
    </row>
    <row customHeight="1" ht="11.25">
      <c r="A24" s="51" t="s">
        <v>3738</v>
      </c>
      <c r="C24" s="0" t="s">
        <v>3739</v>
      </c>
    </row>
    <row customHeight="1" ht="11.25">
      <c r="A25" s="51" t="s">
        <v>3740</v>
      </c>
      <c r="C25" s="0" t="s">
        <v>3741</v>
      </c>
    </row>
    <row customHeight="1" ht="11.25">
      <c r="A26" s="51" t="s">
        <v>3742</v>
      </c>
      <c r="C26" s="0" t="s">
        <v>3743</v>
      </c>
    </row>
    <row customHeight="1" ht="11.25">
      <c r="A27" s="51" t="s">
        <v>3744</v>
      </c>
      <c r="C27" s="0" t="s">
        <v>3745</v>
      </c>
    </row>
    <row customHeight="1" ht="11.25">
      <c r="A28" s="51" t="s">
        <v>3746</v>
      </c>
      <c r="C28" s="0" t="s">
        <v>3747</v>
      </c>
    </row>
    <row customHeight="1" ht="11.25">
      <c r="A29" s="51" t="s">
        <v>3748</v>
      </c>
      <c r="C29" s="0" t="s">
        <v>3749</v>
      </c>
    </row>
    <row customHeight="1" ht="11.25">
      <c r="A30" s="51" t="s">
        <v>3750</v>
      </c>
      <c r="C30" s="0" t="s">
        <v>3751</v>
      </c>
    </row>
    <row customHeight="1" ht="11.25">
      <c r="A31" s="51" t="s">
        <v>3752</v>
      </c>
      <c r="C31" s="0" t="s">
        <v>3753</v>
      </c>
    </row>
    <row customHeight="1" ht="11.25">
      <c r="A32" s="51" t="s">
        <v>3754</v>
      </c>
      <c r="C32" s="0" t="s">
        <v>3755</v>
      </c>
    </row>
    <row customHeight="1" ht="11.25">
      <c r="A33" s="51" t="s">
        <v>3756</v>
      </c>
      <c r="C33" s="0" t="s">
        <v>3757</v>
      </c>
    </row>
    <row customHeight="1" ht="11.25">
      <c r="A34" s="51" t="s">
        <v>3758</v>
      </c>
      <c r="C34" s="0" t="s">
        <v>3759</v>
      </c>
    </row>
    <row customHeight="1" ht="11.25">
      <c r="A35" s="51" t="s">
        <v>3760</v>
      </c>
      <c r="C35" s="0" t="s">
        <v>3761</v>
      </c>
    </row>
    <row customHeight="1" ht="11.25">
      <c r="A36" s="51" t="s">
        <v>3762</v>
      </c>
      <c r="C36" s="0" t="s">
        <v>3763</v>
      </c>
    </row>
    <row customHeight="1" ht="11.25">
      <c r="A37" s="51" t="s">
        <v>3764</v>
      </c>
      <c r="C37" s="0" t="s">
        <v>3765</v>
      </c>
    </row>
    <row customHeight="1" ht="11.25">
      <c r="A38" s="51" t="s">
        <v>3766</v>
      </c>
      <c r="C38" s="0" t="s">
        <v>3767</v>
      </c>
    </row>
    <row customHeight="1" ht="11.25">
      <c r="A39" s="51" t="s">
        <v>3768</v>
      </c>
      <c r="C39" s="0" t="s">
        <v>3769</v>
      </c>
    </row>
    <row customHeight="1" ht="11.25">
      <c r="A40" s="51" t="s">
        <v>3770</v>
      </c>
      <c r="C40" s="0" t="s">
        <v>3771</v>
      </c>
    </row>
    <row customHeight="1" ht="11.25">
      <c r="A41" s="51" t="s">
        <v>3772</v>
      </c>
      <c r="C41" s="0" t="s">
        <v>3773</v>
      </c>
    </row>
    <row customHeight="1" ht="11.25">
      <c r="A42" s="51" t="s">
        <v>3774</v>
      </c>
      <c r="C42" s="0" t="s">
        <v>3775</v>
      </c>
    </row>
    <row customHeight="1" ht="11.25">
      <c r="A43" s="51" t="s">
        <v>3776</v>
      </c>
      <c r="C43" s="0" t="s">
        <v>3777</v>
      </c>
    </row>
    <row customHeight="1" ht="11.25">
      <c r="A44" s="51" t="s">
        <v>3778</v>
      </c>
    </row>
    <row customHeight="1" ht="11.25">
      <c r="A45" s="51" t="s">
        <v>3779</v>
      </c>
    </row>
    <row customHeight="1" ht="11.25">
      <c r="A46" s="51" t="s">
        <v>3780</v>
      </c>
    </row>
    <row customHeight="1" ht="11.25">
      <c r="A47" s="51" t="s">
        <v>3781</v>
      </c>
    </row>
    <row customHeight="1" ht="11.25">
      <c r="A48" s="51" t="s">
        <v>3782</v>
      </c>
    </row>
    <row customHeight="1" ht="11.25">
      <c r="A49" s="51" t="s">
        <v>3783</v>
      </c>
    </row>
    <row customHeight="1" ht="11.25">
      <c r="A50" s="51" t="s">
        <v>3784</v>
      </c>
    </row>
    <row customHeight="1" ht="11.25">
      <c r="A51" s="51" t="s">
        <v>3785</v>
      </c>
    </row>
    <row customHeight="1" ht="11.25">
      <c r="A52" s="51" t="s">
        <v>3786</v>
      </c>
    </row>
    <row customHeight="1" ht="11.25">
      <c r="A53" s="51" t="s">
        <v>3787</v>
      </c>
    </row>
    <row customHeight="1" ht="11.25">
      <c r="A54" s="51" t="s">
        <v>3788</v>
      </c>
    </row>
    <row customHeight="1" ht="11.25">
      <c r="A55" s="51" t="s">
        <v>3789</v>
      </c>
    </row>
    <row customHeight="1" ht="11.25">
      <c r="A56" s="51" t="s">
        <v>3790</v>
      </c>
    </row>
    <row customHeight="1" ht="11.25">
      <c r="A57" s="51" t="s">
        <v>127</v>
      </c>
    </row>
    <row customHeight="1" ht="11.25">
      <c r="A58" s="51" t="s">
        <v>3791</v>
      </c>
    </row>
    <row customHeight="1" ht="11.25">
      <c r="A59" s="51" t="s">
        <v>3792</v>
      </c>
    </row>
    <row customHeight="1" ht="11.25">
      <c r="A60" s="51" t="s">
        <v>3793</v>
      </c>
    </row>
    <row customHeight="1" ht="11.25">
      <c r="A61" s="51" t="s">
        <v>3794</v>
      </c>
    </row>
    <row customHeight="1" ht="11.25">
      <c r="A62" s="51" t="s">
        <v>3795</v>
      </c>
    </row>
    <row customHeight="1" ht="11.25">
      <c r="A63" s="51" t="s">
        <v>3796</v>
      </c>
    </row>
    <row customHeight="1" ht="11.25">
      <c r="A64" s="51" t="s">
        <v>3797</v>
      </c>
    </row>
    <row customHeight="1" ht="11.25">
      <c r="A65" s="51" t="s">
        <v>3798</v>
      </c>
    </row>
    <row customHeight="1" ht="11.25">
      <c r="A66" s="51" t="s">
        <v>3799</v>
      </c>
    </row>
    <row customHeight="1" ht="11.25">
      <c r="A67" s="51" t="s">
        <v>3800</v>
      </c>
    </row>
    <row customHeight="1" ht="11.25">
      <c r="A68" s="51" t="s">
        <v>3801</v>
      </c>
    </row>
    <row customHeight="1" ht="11.25">
      <c r="A69" s="51" t="s">
        <v>3802</v>
      </c>
    </row>
    <row customHeight="1" ht="11.25">
      <c r="A70" s="51" t="s">
        <v>3803</v>
      </c>
    </row>
    <row customHeight="1" ht="11.25">
      <c r="A71" s="51" t="s">
        <v>2942</v>
      </c>
    </row>
    <row customHeight="1" ht="11.25">
      <c r="A72" s="51" t="s">
        <v>3804</v>
      </c>
    </row>
    <row customHeight="1" ht="11.25">
      <c r="A73" s="51" t="s">
        <v>3805</v>
      </c>
    </row>
    <row customHeight="1" ht="11.25">
      <c r="A74" s="51" t="s">
        <v>2953</v>
      </c>
    </row>
    <row customHeight="1" ht="11.25">
      <c r="A75" s="51" t="s">
        <v>3806</v>
      </c>
    </row>
    <row customHeight="1" ht="11.25">
      <c r="A76" s="51" t="s">
        <v>3807</v>
      </c>
    </row>
    <row customHeight="1" ht="11.25">
      <c r="A77" s="51" t="s">
        <v>3808</v>
      </c>
    </row>
    <row customHeight="1" ht="11.25">
      <c r="A78" s="51" t="s">
        <v>3809</v>
      </c>
    </row>
    <row customHeight="1" ht="11.25">
      <c r="A79" s="51" t="s">
        <v>3810</v>
      </c>
    </row>
    <row customHeight="1" ht="11.25">
      <c r="A80" s="51" t="s">
        <v>3811</v>
      </c>
    </row>
    <row customHeight="1" ht="11.25">
      <c r="A81" s="51" t="s">
        <v>3812</v>
      </c>
    </row>
    <row customHeight="1" ht="11.25">
      <c r="A82" s="51" t="s">
        <v>3813</v>
      </c>
    </row>
    <row customHeight="1" ht="11.25">
      <c r="A83" s="51" t="s">
        <v>3814</v>
      </c>
    </row>
    <row customHeight="1" ht="11.25">
      <c r="A84" s="51" t="s">
        <v>3815</v>
      </c>
    </row>
    <row customHeight="1" ht="11.25">
      <c r="A85" s="51" t="s">
        <v>3816</v>
      </c>
    </row>
    <row customHeight="1" ht="11.25">
      <c r="A86" s="51" t="s">
        <v>3387</v>
      </c>
    </row>
    <row customHeight="1" ht="11.25">
      <c r="A87" s="51" t="s">
        <v>3817</v>
      </c>
    </row>
    <row customHeight="1" ht="11.25">
      <c r="A88" s="51" t="s">
        <v>3818</v>
      </c>
    </row>
    <row customHeight="1" ht="11.25">
      <c r="A89" s="51" t="s">
        <v>3819</v>
      </c>
    </row>
    <row customHeight="1" ht="11.25">
      <c r="A90" s="51" t="s">
        <v>3820</v>
      </c>
    </row>
    <row customHeight="1" ht="11.25">
      <c r="A91" s="51" t="s">
        <v>3821</v>
      </c>
    </row>
    <row customHeight="1" ht="11.25">
      <c r="A92" s="51" t="s">
        <v>3822</v>
      </c>
    </row>
    <row customHeight="1" ht="11.25">
      <c r="A93" s="51" t="s">
        <v>3426</v>
      </c>
    </row>
    <row customHeight="1" ht="11.25">
      <c r="A94" s="51" t="s">
        <v>3823</v>
      </c>
    </row>
    <row customHeight="1" ht="11.25">
      <c r="A95" s="51" t="s">
        <v>3824</v>
      </c>
    </row>
    <row customHeight="1" ht="11.25">
      <c r="A96" s="51" t="s">
        <v>3825</v>
      </c>
    </row>
    <row customHeight="1" ht="11.25">
      <c r="A97" s="51" t="s">
        <v>3826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F33348-F788-E07F-0078-F3942FC31F52}" mc:Ignorable="x14ac xr xr2 xr3">
  <sheetPr>
    <tabColor rgb="FFFFCC99"/>
  </sheetPr>
  <dimension ref="A1:AG183"/>
  <sheetViews>
    <sheetView topLeftCell="A1" showGridLines="0" workbookViewId="0">
      <selection activeCell="A1" sqref="A1"/>
    </sheetView>
  </sheetViews>
  <sheetFormatPr defaultColWidth="9.140625" customHeight="1" defaultRowHeight="12"/>
  <cols>
    <col min="1" max="1" style="711" width="42.7109375" customWidth="1"/>
    <col min="2" max="2" style="711" width="6.7109375" customWidth="1"/>
    <col min="3" max="3" style="711" width="40.7109375" customWidth="1"/>
    <col min="4" max="4" style="711" width="15.57421875" customWidth="1"/>
    <col min="5" max="6" style="711" width="3.7109375" customWidth="1"/>
    <col min="7" max="7" style="711" width="32.7109375" customWidth="1"/>
    <col min="8" max="9" style="711" width="3.7109375" customWidth="1"/>
    <col min="10" max="10" style="711" width="4.7109375" customWidth="1"/>
    <col min="11" max="11" style="711" width="40.7109375" customWidth="1"/>
    <col min="12" max="12" style="711" width="4.7109375" customWidth="1"/>
    <col min="13" max="13" style="711" width="18.57421875" customWidth="1"/>
    <col min="14" max="15" style="711" width="4.7109375" customWidth="1"/>
    <col min="16" max="16" style="711" width="5.7109375" customWidth="1"/>
    <col min="17" max="18" style="711" width="12.57421875" customWidth="1"/>
    <col min="19" max="19" style="711" width="14.57421875" customWidth="1"/>
    <col min="20" max="20" style="711" width="18.8515625" customWidth="1"/>
    <col min="21" max="21" style="711" width="19.28125" customWidth="1"/>
    <col min="22" max="22" style="711" width="39.140625" customWidth="1"/>
    <col min="23" max="23" style="711" width="41.7109375" customWidth="1"/>
    <col min="24" max="24" style="711" width="54.8515625" customWidth="1"/>
    <col min="25" max="26" style="711" width="22.8515625" customWidth="1"/>
    <col min="27" max="31" style="711" width="9.140625"/>
  </cols>
  <sheetData>
    <row customHeight="1" ht="12">
      <c r="A1" s="74" t="s">
        <v>3827</v>
      </c>
      <c r="B1" s="73" t="s">
        <v>3828</v>
      </c>
      <c r="C1" s="74" t="s">
        <v>3827</v>
      </c>
      <c r="D1" s="397" t="s">
        <v>3829</v>
      </c>
      <c r="E1" s="129"/>
      <c r="F1" s="129"/>
      <c r="G1" s="130" t="s">
        <v>3830</v>
      </c>
      <c r="H1" s="129"/>
      <c r="I1" s="129"/>
      <c r="J1" s="129"/>
      <c r="K1" s="386" t="s">
        <v>3831</v>
      </c>
      <c r="L1" s="74"/>
      <c r="M1" s="130" t="s">
        <v>3832</v>
      </c>
      <c r="N1" s="129"/>
      <c r="O1" s="74"/>
      <c r="P1" s="129"/>
      <c r="Q1" s="130" t="s">
        <v>3833</v>
      </c>
      <c r="R1" s="130" t="s">
        <v>3834</v>
      </c>
      <c r="S1" s="130" t="s">
        <v>3835</v>
      </c>
      <c r="T1" s="130" t="s">
        <v>3836</v>
      </c>
      <c r="U1" s="130" t="s">
        <v>3837</v>
      </c>
      <c r="V1" s="138" t="s">
        <v>3838</v>
      </c>
      <c r="W1" s="138" t="s">
        <v>3839</v>
      </c>
      <c r="X1" s="138" t="s">
        <v>3840</v>
      </c>
      <c r="Y1" s="138" t="s">
        <v>3841</v>
      </c>
      <c r="Z1" s="138" t="s">
        <v>3842</v>
      </c>
      <c r="AA1" s="130" t="s">
        <v>3843</v>
      </c>
      <c r="AB1" s="130" t="s">
        <v>3844</v>
      </c>
      <c r="AC1" s="130" t="s">
        <v>3845</v>
      </c>
      <c r="AD1" s="130" t="s">
        <v>3846</v>
      </c>
      <c r="AE1" s="130" t="s">
        <v>3847</v>
      </c>
      <c r="AF1" s="47" t="s">
        <v>3848</v>
      </c>
      <c r="AG1" s="47" t="s">
        <v>3849</v>
      </c>
    </row>
    <row customHeight="1" ht="12">
      <c r="A2" s="74" t="s">
        <v>3850</v>
      </c>
      <c r="B2" s="73" t="s">
        <v>3851</v>
      </c>
      <c r="C2" s="74" t="s">
        <v>3850</v>
      </c>
      <c r="D2" s="396" t="s">
        <v>3852</v>
      </c>
      <c r="E2" s="129"/>
      <c r="F2" s="129"/>
      <c r="G2" s="132" t="s">
        <v>165</v>
      </c>
      <c r="H2" s="129"/>
      <c r="I2" s="129"/>
      <c r="J2" s="129"/>
      <c r="K2" s="387" t="s">
        <v>3853</v>
      </c>
      <c r="L2" s="129"/>
      <c r="M2" s="133" t="s">
        <v>3854</v>
      </c>
      <c r="N2" s="129"/>
      <c r="O2" s="129"/>
      <c r="P2" s="129"/>
      <c r="Q2" s="132">
        <v>2012</v>
      </c>
      <c r="R2" s="132" t="s">
        <v>3855</v>
      </c>
      <c r="S2" s="132">
        <v>3</v>
      </c>
      <c r="T2" s="137" t="s">
        <v>273</v>
      </c>
      <c r="U2" s="137" t="s">
        <v>276</v>
      </c>
      <c r="V2" s="148" t="s">
        <v>3856</v>
      </c>
      <c r="W2" s="148" t="s">
        <v>3857</v>
      </c>
      <c r="X2" s="148" t="s">
        <v>3858</v>
      </c>
      <c r="Y2" s="148" t="s">
        <v>3859</v>
      </c>
      <c r="Z2" s="148" t="s">
        <v>3859</v>
      </c>
      <c r="AA2" s="137" t="s">
        <v>3860</v>
      </c>
      <c r="AB2" s="137" t="s">
        <v>3861</v>
      </c>
      <c r="AC2" s="137" t="s">
        <v>3862</v>
      </c>
      <c r="AD2" s="137" t="s">
        <v>3863</v>
      </c>
      <c r="AE2" s="137" t="s">
        <v>272</v>
      </c>
      <c r="AF2" s="47" t="s">
        <v>3864</v>
      </c>
      <c r="AG2" s="47" t="s">
        <v>3865</v>
      </c>
    </row>
    <row customHeight="1" ht="12">
      <c r="A3" s="74" t="s">
        <v>3866</v>
      </c>
      <c r="B3" s="73" t="s">
        <v>3867</v>
      </c>
      <c r="C3" s="74" t="s">
        <v>3866</v>
      </c>
      <c r="D3" s="129"/>
      <c r="E3" s="129"/>
      <c r="F3" s="129"/>
      <c r="G3" s="132" t="s">
        <v>152</v>
      </c>
      <c r="H3" s="129"/>
      <c r="I3" s="129"/>
      <c r="J3" s="129"/>
      <c r="L3" s="129"/>
      <c r="M3" s="129"/>
      <c r="N3" s="129"/>
      <c r="O3" s="129"/>
      <c r="P3" s="129"/>
      <c r="Q3" s="132">
        <v>2013</v>
      </c>
      <c r="R3" s="132" t="s">
        <v>3868</v>
      </c>
      <c r="S3" s="132">
        <v>4</v>
      </c>
      <c r="T3" s="137" t="s">
        <v>284</v>
      </c>
      <c r="U3" s="137" t="s">
        <v>3869</v>
      </c>
      <c r="V3" s="148" t="s">
        <v>278</v>
      </c>
      <c r="W3" s="148" t="s">
        <v>275</v>
      </c>
      <c r="X3" s="148" t="s">
        <v>3870</v>
      </c>
      <c r="Y3" s="148" t="s">
        <v>3871</v>
      </c>
      <c r="Z3" s="148" t="s">
        <v>3871</v>
      </c>
      <c r="AA3" s="137" t="s">
        <v>3872</v>
      </c>
      <c r="AB3" s="137" t="s">
        <v>3873</v>
      </c>
      <c r="AC3" s="137" t="s">
        <v>3874</v>
      </c>
      <c r="AD3" s="137" t="s">
        <v>3875</v>
      </c>
      <c r="AE3" s="137" t="s">
        <v>283</v>
      </c>
      <c r="AF3" s="47" t="s">
        <v>3876</v>
      </c>
      <c r="AG3" s="47" t="s">
        <v>3877</v>
      </c>
    </row>
    <row customHeight="1" ht="12">
      <c r="A4" s="74" t="s">
        <v>3878</v>
      </c>
      <c r="B4" s="73" t="s">
        <v>3879</v>
      </c>
      <c r="C4" s="74" t="s">
        <v>3878</v>
      </c>
      <c r="D4" s="129"/>
      <c r="E4" s="129"/>
      <c r="F4" s="129"/>
      <c r="G4" s="129"/>
      <c r="H4" s="129"/>
      <c r="I4" s="129"/>
      <c r="J4" s="129"/>
      <c r="K4" s="386" t="s">
        <v>3880</v>
      </c>
      <c r="L4" s="129"/>
      <c r="M4" s="130" t="s">
        <v>3881</v>
      </c>
      <c r="N4" s="129"/>
      <c r="O4" s="129"/>
      <c r="P4" s="129"/>
      <c r="Q4" s="132">
        <v>2014</v>
      </c>
      <c r="R4" s="132" t="s">
        <v>3882</v>
      </c>
      <c r="S4" s="132">
        <v>5</v>
      </c>
      <c r="V4" s="148" t="s">
        <v>3883</v>
      </c>
      <c r="X4" s="148" t="s">
        <v>3884</v>
      </c>
      <c r="Y4" s="148" t="s">
        <v>3885</v>
      </c>
      <c r="Z4" s="148" t="s">
        <v>3885</v>
      </c>
      <c r="AA4" s="711"/>
      <c r="AB4" s="137" t="s">
        <v>3886</v>
      </c>
      <c r="AC4" s="137" t="s">
        <v>3887</v>
      </c>
      <c r="AD4" s="136"/>
      <c r="AE4" s="137" t="s">
        <v>323</v>
      </c>
      <c r="AF4" s="47" t="s">
        <v>3888</v>
      </c>
      <c r="AG4" s="47" t="s">
        <v>3889</v>
      </c>
    </row>
    <row customHeight="1" ht="12">
      <c r="A5" s="74" t="s">
        <v>3890</v>
      </c>
      <c r="B5" s="73" t="s">
        <v>3891</v>
      </c>
      <c r="C5" s="74" t="s">
        <v>3890</v>
      </c>
      <c r="D5" s="129"/>
      <c r="E5" s="129"/>
      <c r="F5" s="129"/>
      <c r="G5" s="130" t="s">
        <v>3892</v>
      </c>
      <c r="H5" s="129"/>
      <c r="I5" s="129"/>
      <c r="J5" s="129"/>
      <c r="K5" s="132" t="s">
        <v>3893</v>
      </c>
      <c r="L5" s="129"/>
      <c r="M5" s="133">
        <v>1.2</v>
      </c>
      <c r="N5" s="129"/>
      <c r="O5" s="129"/>
      <c r="P5" s="129"/>
      <c r="Q5" s="132">
        <v>2015</v>
      </c>
      <c r="R5" s="132" t="s">
        <v>3894</v>
      </c>
      <c r="S5" s="132">
        <v>6</v>
      </c>
      <c r="V5" s="138" t="s">
        <v>3895</v>
      </c>
      <c r="W5" s="138" t="s">
        <v>3896</v>
      </c>
      <c r="X5" s="148" t="s">
        <v>3897</v>
      </c>
      <c r="Y5" s="148" t="s">
        <v>3898</v>
      </c>
      <c r="Z5" s="148" t="s">
        <v>3898</v>
      </c>
      <c r="AA5" s="711"/>
      <c r="AB5" s="137" t="s">
        <v>3899</v>
      </c>
      <c r="AC5" s="137" t="s">
        <v>3900</v>
      </c>
      <c r="AD5" s="136"/>
      <c r="AE5" s="137" t="s">
        <v>536</v>
      </c>
      <c r="AF5" s="47" t="s">
        <v>3901</v>
      </c>
      <c r="AG5" s="47" t="s">
        <v>3902</v>
      </c>
    </row>
    <row customHeight="1" ht="12">
      <c r="A6" s="74" t="s">
        <v>3903</v>
      </c>
      <c r="B6" s="73" t="s">
        <v>3904</v>
      </c>
      <c r="C6" s="74" t="s">
        <v>3903</v>
      </c>
      <c r="D6" s="129"/>
      <c r="E6" s="129"/>
      <c r="F6" s="129"/>
      <c r="G6" s="130" t="s">
        <v>3905</v>
      </c>
      <c r="H6" s="129"/>
      <c r="I6" s="129"/>
      <c r="J6" s="129"/>
      <c r="K6" s="132" t="s">
        <v>3906</v>
      </c>
      <c r="L6" s="129"/>
      <c r="M6" s="129"/>
      <c r="N6" s="129"/>
      <c r="O6" s="129"/>
      <c r="P6" s="129"/>
      <c r="Q6" s="132">
        <v>2016</v>
      </c>
      <c r="R6" s="132" t="s">
        <v>3907</v>
      </c>
      <c r="S6" s="132">
        <v>7</v>
      </c>
      <c r="V6" s="148" t="s">
        <v>288</v>
      </c>
      <c r="W6" s="228" t="s">
        <v>286</v>
      </c>
      <c r="X6" s="148" t="s">
        <v>421</v>
      </c>
      <c r="Y6" s="148" t="s">
        <v>834</v>
      </c>
      <c r="Z6" s="148" t="s">
        <v>834</v>
      </c>
      <c r="AA6" s="711"/>
      <c r="AB6" s="137" t="s">
        <v>3908</v>
      </c>
      <c r="AC6" s="136"/>
      <c r="AD6" s="136"/>
      <c r="AE6" s="137" t="s">
        <v>492</v>
      </c>
      <c r="AF6" s="47" t="s">
        <v>3909</v>
      </c>
      <c r="AG6" s="47" t="s">
        <v>3910</v>
      </c>
    </row>
    <row customHeight="1" ht="12">
      <c r="A7" s="74" t="s">
        <v>3911</v>
      </c>
      <c r="B7" s="73" t="s">
        <v>3912</v>
      </c>
      <c r="C7" s="74" t="s">
        <v>3911</v>
      </c>
      <c r="D7" s="129"/>
      <c r="E7" s="129"/>
      <c r="F7" s="129"/>
      <c r="G7" s="134" t="s">
        <v>3913</v>
      </c>
      <c r="H7" s="129"/>
      <c r="I7" s="129"/>
      <c r="J7" s="129"/>
      <c r="K7" s="132" t="s">
        <v>3914</v>
      </c>
      <c r="L7" s="129"/>
      <c r="M7" s="130" t="s">
        <v>3915</v>
      </c>
      <c r="N7" s="129"/>
      <c r="O7" s="129"/>
      <c r="P7" s="129"/>
      <c r="Q7" s="132">
        <v>2017</v>
      </c>
      <c r="R7" s="132" t="s">
        <v>3916</v>
      </c>
      <c r="S7" s="132">
        <v>8</v>
      </c>
      <c r="V7" s="148" t="s">
        <v>3917</v>
      </c>
      <c r="X7" s="148" t="s">
        <v>3918</v>
      </c>
      <c r="Y7" s="148" t="s">
        <v>3919</v>
      </c>
      <c r="Z7" s="148" t="s">
        <v>3919</v>
      </c>
      <c r="AA7" s="711"/>
      <c r="AB7" s="137" t="s">
        <v>3920</v>
      </c>
      <c r="AC7" s="136"/>
      <c r="AD7" s="136"/>
      <c r="AE7" s="136"/>
      <c r="AF7" s="47" t="s">
        <v>3877</v>
      </c>
      <c r="AG7" s="47" t="s">
        <v>3921</v>
      </c>
    </row>
    <row customHeight="1" ht="12">
      <c r="A8" s="74" t="s">
        <v>3922</v>
      </c>
      <c r="B8" s="73" t="s">
        <v>3923</v>
      </c>
      <c r="C8" s="74" t="s">
        <v>3922</v>
      </c>
      <c r="D8" s="129"/>
      <c r="E8" s="129"/>
      <c r="F8" s="129"/>
      <c r="G8" s="134" t="s">
        <v>3924</v>
      </c>
      <c r="H8" s="129"/>
      <c r="I8" s="129"/>
      <c r="J8" s="129"/>
      <c r="K8" s="132" t="s">
        <v>3925</v>
      </c>
      <c r="L8" s="129"/>
      <c r="M8" s="133" cm="1" t="str">
        <f t="array" ref="M8:M8">IF(god="",YEAR(TODAY()),god)</f>
        <v>2026</v>
      </c>
      <c r="N8" s="129"/>
      <c r="O8" s="129"/>
      <c r="P8" s="129"/>
      <c r="Q8" s="132">
        <v>2018</v>
      </c>
      <c r="R8" s="132" t="s">
        <v>3926</v>
      </c>
      <c r="S8" s="132">
        <v>9</v>
      </c>
      <c r="V8" s="148" t="s">
        <v>3927</v>
      </c>
      <c r="X8" s="148" t="s">
        <v>3928</v>
      </c>
      <c r="Z8" s="148" t="s">
        <v>3929</v>
      </c>
      <c r="AA8" s="711"/>
      <c r="AB8" s="137" t="s">
        <v>3930</v>
      </c>
      <c r="AC8" s="136"/>
      <c r="AD8" s="136"/>
      <c r="AE8" s="136"/>
      <c r="AF8" s="47" t="s">
        <v>3889</v>
      </c>
      <c r="AG8" s="47" t="s">
        <v>3931</v>
      </c>
    </row>
    <row customHeight="1" ht="12">
      <c r="A9" s="74" t="s">
        <v>3932</v>
      </c>
      <c r="B9" s="73" t="s">
        <v>3933</v>
      </c>
      <c r="C9" s="74" t="s">
        <v>3932</v>
      </c>
      <c r="D9" s="129"/>
      <c r="E9" s="129"/>
      <c r="F9" s="129"/>
      <c r="G9" s="134" t="s">
        <v>3934</v>
      </c>
      <c r="H9" s="129"/>
      <c r="I9" s="129"/>
      <c r="J9" s="129"/>
      <c r="K9" s="132" t="s">
        <v>3935</v>
      </c>
      <c r="L9" s="129"/>
      <c r="M9" s="129"/>
      <c r="N9" s="129"/>
      <c r="O9" s="129"/>
      <c r="P9" s="129"/>
      <c r="Q9" s="132">
        <v>2019</v>
      </c>
      <c r="R9" s="132" t="s">
        <v>3936</v>
      </c>
      <c r="S9" s="132">
        <v>10</v>
      </c>
      <c r="V9" s="148" t="s">
        <v>3937</v>
      </c>
      <c r="X9" s="148" t="s">
        <v>3938</v>
      </c>
      <c r="AA9" s="711"/>
      <c r="AB9" s="137" t="s">
        <v>3939</v>
      </c>
      <c r="AC9" s="136"/>
      <c r="AD9" s="136"/>
      <c r="AE9" s="136"/>
      <c r="AF9" s="47" t="s">
        <v>3902</v>
      </c>
      <c r="AG9" s="47" t="s">
        <v>3940</v>
      </c>
    </row>
    <row customHeight="1" ht="12">
      <c r="A10" s="74" t="s">
        <v>3941</v>
      </c>
      <c r="B10" s="73" t="s">
        <v>3942</v>
      </c>
      <c r="C10" s="74" t="s">
        <v>3941</v>
      </c>
      <c r="D10" s="129"/>
      <c r="E10" s="129"/>
      <c r="F10" s="129"/>
      <c r="G10" s="135"/>
      <c r="H10" s="129"/>
      <c r="I10" s="129"/>
      <c r="J10" s="129"/>
      <c r="K10" s="132" t="s">
        <v>3943</v>
      </c>
      <c r="L10" s="129"/>
      <c r="M10" s="130" t="s">
        <v>3944</v>
      </c>
      <c r="N10" s="129"/>
      <c r="O10" s="129"/>
      <c r="P10" s="129"/>
      <c r="Q10" s="132">
        <v>2020</v>
      </c>
      <c r="R10" s="132" t="s">
        <v>3945</v>
      </c>
      <c r="S10" s="132">
        <v>11</v>
      </c>
      <c r="V10" s="148" t="s">
        <v>3946</v>
      </c>
      <c r="X10" s="148" t="s">
        <v>3947</v>
      </c>
      <c r="AA10" s="711"/>
      <c r="AB10" s="137" t="s">
        <v>3948</v>
      </c>
      <c r="AC10" s="136"/>
      <c r="AD10" s="136"/>
      <c r="AE10" s="136"/>
      <c r="AF10" s="47" t="s">
        <v>3910</v>
      </c>
      <c r="AG10" s="47" t="s">
        <v>3949</v>
      </c>
    </row>
    <row customHeight="1" ht="12">
      <c r="A11" s="381" t="s">
        <v>3950</v>
      </c>
      <c r="B11" s="73" t="s">
        <v>3951</v>
      </c>
      <c r="C11" s="74" t="s">
        <v>3952</v>
      </c>
      <c r="D11" s="129"/>
      <c r="E11" s="129"/>
      <c r="F11" s="129"/>
      <c r="G11" s="130" t="s">
        <v>3953</v>
      </c>
      <c r="H11" s="129"/>
      <c r="I11" s="129"/>
      <c r="J11" s="129"/>
      <c r="K11" s="132" t="s">
        <v>3954</v>
      </c>
      <c r="L11" s="129"/>
      <c r="M11" s="133" t="str">
        <f>"01.01."&amp;PERIOD</f>
        <v>01.01.2026</v>
      </c>
      <c r="N11" s="129"/>
      <c r="O11" s="129"/>
      <c r="P11" s="129"/>
      <c r="Q11" s="132">
        <v>2021</v>
      </c>
      <c r="R11" s="132" t="s">
        <v>3955</v>
      </c>
      <c r="S11" s="132">
        <v>12</v>
      </c>
      <c r="V11" s="148" t="s">
        <v>3956</v>
      </c>
      <c r="X11" s="148" t="s">
        <v>3957</v>
      </c>
      <c r="AA11" s="711"/>
      <c r="AB11" s="137" t="s">
        <v>3958</v>
      </c>
      <c r="AC11" s="136"/>
      <c r="AD11" s="136"/>
      <c r="AE11" s="136"/>
      <c r="AF11" s="47" t="s">
        <v>3921</v>
      </c>
      <c r="AG11" s="47" t="s">
        <v>3959</v>
      </c>
    </row>
    <row customHeight="1" ht="12">
      <c r="A12" s="381" t="s">
        <v>3960</v>
      </c>
      <c r="B12" s="73" t="s">
        <v>3961</v>
      </c>
      <c r="C12" s="74"/>
      <c r="D12" s="129"/>
      <c r="E12" s="129"/>
      <c r="F12" s="129"/>
      <c r="G12" s="130" t="s">
        <v>3962</v>
      </c>
      <c r="H12" s="129"/>
      <c r="I12" s="129"/>
      <c r="J12" s="129"/>
      <c r="K12" s="129"/>
      <c r="L12" s="129"/>
      <c r="M12" s="133" t="str">
        <f>"31.12."&amp;PERIOD</f>
        <v>31.12.2026</v>
      </c>
      <c r="N12" s="129"/>
      <c r="O12" s="129"/>
      <c r="P12" s="129"/>
      <c r="Q12" s="132">
        <v>2022</v>
      </c>
      <c r="R12" s="132" t="s">
        <v>3963</v>
      </c>
      <c r="S12" s="132">
        <v>13</v>
      </c>
      <c r="X12" s="148" t="s">
        <v>3964</v>
      </c>
      <c r="AA12" s="711"/>
      <c r="AB12" s="137" t="s">
        <v>3965</v>
      </c>
      <c r="AC12" s="136"/>
      <c r="AD12" s="136"/>
      <c r="AE12" s="136"/>
      <c r="AF12" s="47" t="s">
        <v>3931</v>
      </c>
      <c r="AG12" s="47" t="s">
        <v>3966</v>
      </c>
    </row>
    <row customHeight="1" ht="12">
      <c r="A13" s="381" t="s">
        <v>3967</v>
      </c>
      <c r="B13" s="73" t="s">
        <v>3968</v>
      </c>
      <c r="C13" s="74" t="s">
        <v>3969</v>
      </c>
      <c r="D13" s="129"/>
      <c r="E13" s="129"/>
      <c r="F13" s="129"/>
      <c r="G13" s="134" t="s">
        <v>3970</v>
      </c>
      <c r="H13" s="129"/>
      <c r="I13" s="129"/>
      <c r="J13" s="129"/>
      <c r="K13" s="432" t="s">
        <v>3971</v>
      </c>
      <c r="L13" s="129"/>
      <c r="M13" s="129"/>
      <c r="N13" s="129"/>
      <c r="O13" s="129"/>
      <c r="P13" s="129"/>
      <c r="Q13" s="132">
        <v>2023</v>
      </c>
      <c r="R13" s="132" t="s">
        <v>3972</v>
      </c>
      <c r="S13" s="132">
        <v>14</v>
      </c>
      <c r="X13" s="148" t="s">
        <v>3973</v>
      </c>
      <c r="AA13" s="711"/>
      <c r="AB13" s="137" t="s">
        <v>3974</v>
      </c>
      <c r="AC13" s="136"/>
      <c r="AD13" s="136"/>
      <c r="AE13" s="136"/>
      <c r="AF13" s="47" t="s">
        <v>3940</v>
      </c>
      <c r="AG13" s="47" t="s">
        <v>3975</v>
      </c>
    </row>
    <row customHeight="1" ht="12">
      <c r="A14" s="381" t="s">
        <v>3976</v>
      </c>
      <c r="B14" s="73" t="s">
        <v>3977</v>
      </c>
      <c r="C14" s="74" t="s">
        <v>3978</v>
      </c>
      <c r="D14" s="129"/>
      <c r="E14" s="129"/>
      <c r="F14" s="129"/>
      <c r="G14" s="134" t="s">
        <v>3979</v>
      </c>
      <c r="H14" s="129"/>
      <c r="I14" s="129"/>
      <c r="J14" s="129"/>
      <c r="K14" s="433" t="s">
        <v>103</v>
      </c>
      <c r="L14" s="129"/>
      <c r="M14" s="130" t="s">
        <v>3980</v>
      </c>
      <c r="N14" s="129"/>
      <c r="O14" s="129"/>
      <c r="P14" s="129"/>
      <c r="Q14" s="132">
        <v>2024</v>
      </c>
      <c r="R14" s="129"/>
      <c r="S14" s="132">
        <v>15</v>
      </c>
      <c r="X14" s="148" t="s">
        <v>3981</v>
      </c>
      <c r="AA14" s="711"/>
      <c r="AB14" s="137" t="s">
        <v>3982</v>
      </c>
      <c r="AC14" s="136"/>
      <c r="AD14" s="136"/>
      <c r="AE14" s="136"/>
      <c r="AF14" s="47" t="s">
        <v>3949</v>
      </c>
      <c r="AG14" s="47" t="s">
        <v>3983</v>
      </c>
    </row>
    <row customHeight="1" ht="12">
      <c r="A15" s="382" t="s">
        <v>3984</v>
      </c>
      <c r="B15" s="383"/>
      <c r="C15" s="382"/>
      <c r="D15" s="129"/>
      <c r="E15" s="129"/>
      <c r="F15" s="129"/>
      <c r="G15" s="134" t="s">
        <v>3985</v>
      </c>
      <c r="H15" s="129"/>
      <c r="I15" s="129"/>
      <c r="J15" s="129"/>
      <c r="K15" s="433" t="s">
        <v>3986</v>
      </c>
      <c r="L15" s="129"/>
      <c r="M15" s="133" t="str">
        <f>"01.01."&amp;PERIOD</f>
        <v>01.01.2026</v>
      </c>
      <c r="N15" s="129"/>
      <c r="O15" s="129"/>
      <c r="P15" s="129"/>
      <c r="Q15" s="132">
        <v>2025</v>
      </c>
      <c r="R15" s="129"/>
      <c r="S15" s="132">
        <v>16</v>
      </c>
      <c r="AA15" s="711"/>
      <c r="AB15" s="137" t="s">
        <v>3987</v>
      </c>
      <c r="AC15" s="136"/>
      <c r="AD15" s="136"/>
      <c r="AE15" s="136"/>
      <c r="AF15" s="47" t="s">
        <v>3959</v>
      </c>
      <c r="AG15" s="47" t="s">
        <v>3988</v>
      </c>
    </row>
    <row customHeight="1" ht="12">
      <c r="A16" s="74" t="s">
        <v>3989</v>
      </c>
      <c r="B16" s="73" t="s">
        <v>3990</v>
      </c>
      <c r="C16" s="74" t="s">
        <v>3989</v>
      </c>
      <c r="D16" s="129"/>
      <c r="E16" s="129"/>
      <c r="F16" s="129"/>
      <c r="G16" s="134" t="s">
        <v>158</v>
      </c>
      <c r="H16" s="129"/>
      <c r="I16" s="129"/>
      <c r="J16" s="129"/>
      <c r="K16" s="433" t="s">
        <v>3991</v>
      </c>
      <c r="L16" s="129"/>
      <c r="M16" s="133" t="str">
        <f>"31.12."&amp;PERIOD</f>
        <v>31.12.2026</v>
      </c>
      <c r="N16" s="129"/>
      <c r="O16" s="129"/>
      <c r="P16" s="129"/>
      <c r="Q16" s="132">
        <v>2026</v>
      </c>
      <c r="R16" s="129"/>
      <c r="S16" s="132">
        <v>17</v>
      </c>
      <c r="X16" s="138" t="s">
        <v>3992</v>
      </c>
      <c r="AA16" s="711"/>
      <c r="AB16" s="137" t="s">
        <v>3993</v>
      </c>
      <c r="AC16" s="136"/>
      <c r="AD16" s="136"/>
      <c r="AE16" s="136"/>
      <c r="AF16" s="47" t="s">
        <v>3966</v>
      </c>
      <c r="AG16" s="47" t="s">
        <v>3994</v>
      </c>
    </row>
    <row customHeight="1" ht="23.25">
      <c r="A17" s="74" t="s">
        <v>3995</v>
      </c>
      <c r="B17" s="73" t="s">
        <v>3996</v>
      </c>
      <c r="C17" s="74" t="s">
        <v>3995</v>
      </c>
      <c r="D17" s="129"/>
      <c r="E17" s="129"/>
      <c r="F17" s="129"/>
      <c r="G17" s="129"/>
      <c r="H17" s="129"/>
      <c r="I17" s="129"/>
      <c r="J17" s="129"/>
      <c r="K17" s="433" t="s">
        <v>3997</v>
      </c>
      <c r="L17" s="129"/>
      <c r="M17" s="118"/>
      <c r="N17" s="129"/>
      <c r="O17" s="129"/>
      <c r="P17" s="129"/>
      <c r="Q17" s="132">
        <v>2027</v>
      </c>
      <c r="R17" s="129"/>
      <c r="S17" s="132">
        <v>18</v>
      </c>
      <c r="X17" s="148" t="s">
        <v>3998</v>
      </c>
      <c r="AA17" s="711"/>
      <c r="AB17" s="137" t="s">
        <v>3999</v>
      </c>
      <c r="AC17" s="136"/>
      <c r="AD17" s="136"/>
      <c r="AE17" s="136"/>
      <c r="AF17" s="47" t="s">
        <v>3975</v>
      </c>
      <c r="AG17" s="47" t="s">
        <v>4000</v>
      </c>
    </row>
    <row customHeight="1" ht="12">
      <c r="A18" s="382" t="s">
        <v>4001</v>
      </c>
      <c r="B18" s="383"/>
      <c r="C18" s="382"/>
      <c r="D18" s="129"/>
      <c r="E18" s="129"/>
      <c r="F18" s="551"/>
      <c r="G18" s="130" t="s">
        <v>4002</v>
      </c>
      <c r="H18" s="129"/>
      <c r="I18" s="129"/>
      <c r="J18" s="129"/>
      <c r="K18" s="129"/>
      <c r="L18" s="129"/>
      <c r="M18" s="130" t="s">
        <v>4003</v>
      </c>
      <c r="N18" s="129"/>
      <c r="O18" s="129"/>
      <c r="P18" s="129"/>
      <c r="Q18" s="132">
        <v>2028</v>
      </c>
      <c r="R18" s="129"/>
      <c r="S18" s="132">
        <v>19</v>
      </c>
      <c r="X18" s="148" t="s">
        <v>4004</v>
      </c>
      <c r="AA18" s="711"/>
      <c r="AB18" s="137" t="s">
        <v>4005</v>
      </c>
      <c r="AC18" s="136"/>
      <c r="AD18" s="136"/>
      <c r="AE18" s="136"/>
      <c r="AF18" s="47" t="s">
        <v>3983</v>
      </c>
      <c r="AG18" s="47" t="s">
        <v>4006</v>
      </c>
    </row>
    <row customHeight="1" ht="12">
      <c r="A19" s="74" t="s">
        <v>4007</v>
      </c>
      <c r="B19" s="73" t="s">
        <v>4008</v>
      </c>
      <c r="C19" s="74" t="s">
        <v>4007</v>
      </c>
      <c r="D19" s="129"/>
      <c r="E19" s="129"/>
      <c r="F19" s="551"/>
      <c r="G19" s="550" t="s">
        <v>163</v>
      </c>
      <c r="H19" s="129"/>
      <c r="I19" s="129"/>
      <c r="J19" s="129"/>
      <c r="K19" s="432" t="s">
        <v>4009</v>
      </c>
      <c r="L19" s="129"/>
      <c r="M19" s="133" t="str">
        <f>"01.01."&amp;PERIOD</f>
        <v>01.01.2026</v>
      </c>
      <c r="N19" s="129"/>
      <c r="O19" s="129"/>
      <c r="P19" s="129"/>
      <c r="Q19" s="132">
        <v>2029</v>
      </c>
      <c r="R19" s="129"/>
      <c r="S19" s="132">
        <v>20</v>
      </c>
      <c r="X19" s="148" t="s">
        <v>4010</v>
      </c>
      <c r="AA19" s="711"/>
      <c r="AB19" s="137" t="s">
        <v>4011</v>
      </c>
      <c r="AC19" s="136"/>
      <c r="AD19" s="136"/>
      <c r="AE19" s="136"/>
      <c r="AF19" s="47" t="s">
        <v>3988</v>
      </c>
      <c r="AG19" s="47" t="s">
        <v>4012</v>
      </c>
    </row>
    <row customHeight="1" ht="12">
      <c r="A20" s="74" t="s">
        <v>4013</v>
      </c>
      <c r="B20" s="73" t="s">
        <v>4014</v>
      </c>
      <c r="C20" s="74" t="s">
        <v>4013</v>
      </c>
      <c r="D20" s="129"/>
      <c r="E20" s="129"/>
      <c r="F20" s="551"/>
      <c r="G20" s="550" t="s">
        <v>4015</v>
      </c>
      <c r="H20" s="129"/>
      <c r="I20" s="129"/>
      <c r="J20" s="129"/>
      <c r="K20" s="433" t="s">
        <v>4016</v>
      </c>
      <c r="L20" s="129"/>
      <c r="M20" s="133" t="str">
        <f>"31.12."&amp;PERIOD</f>
        <v>31.12.2026</v>
      </c>
      <c r="N20" s="129"/>
      <c r="O20" s="129"/>
      <c r="P20" s="129"/>
      <c r="Q20" s="132">
        <v>2030</v>
      </c>
      <c r="R20" s="129"/>
      <c r="S20" s="132">
        <v>21</v>
      </c>
      <c r="X20" s="148" t="s">
        <v>203</v>
      </c>
      <c r="AA20" s="711"/>
      <c r="AB20" s="137" t="s">
        <v>4017</v>
      </c>
      <c r="AC20" s="136"/>
      <c r="AD20" s="136"/>
      <c r="AE20" s="136"/>
      <c r="AF20" s="47" t="s">
        <v>3994</v>
      </c>
      <c r="AG20" s="47" t="s">
        <v>4018</v>
      </c>
    </row>
    <row customHeight="1" ht="12">
      <c r="A21" s="74" t="s">
        <v>4019</v>
      </c>
      <c r="B21" s="73" t="s">
        <v>4020</v>
      </c>
      <c r="C21" s="74" t="s">
        <v>4021</v>
      </c>
      <c r="D21" s="129"/>
      <c r="E21" s="129"/>
      <c r="F21" s="129"/>
      <c r="G21" s="129"/>
      <c r="H21" s="129"/>
      <c r="I21" s="129"/>
      <c r="J21" s="129"/>
      <c r="K21" s="433" t="s">
        <v>4022</v>
      </c>
      <c r="L21" s="129"/>
      <c r="M21" s="129"/>
      <c r="N21" s="129"/>
      <c r="O21" s="129"/>
      <c r="P21" s="129"/>
      <c r="Q21" s="129"/>
      <c r="R21" s="129"/>
      <c r="S21" s="132">
        <v>22</v>
      </c>
      <c r="X21" s="148" t="s">
        <v>4023</v>
      </c>
      <c r="AA21" s="711"/>
      <c r="AB21" s="137" t="s">
        <v>4024</v>
      </c>
      <c r="AC21" s="136"/>
      <c r="AD21" s="136"/>
      <c r="AE21" s="136"/>
      <c r="AF21" s="47" t="s">
        <v>4000</v>
      </c>
      <c r="AG21" s="47" t="s">
        <v>4025</v>
      </c>
    </row>
    <row customHeight="1" ht="12">
      <c r="A22" s="74" t="s">
        <v>4026</v>
      </c>
      <c r="B22" s="73" t="s">
        <v>4027</v>
      </c>
      <c r="C22" s="74" t="s">
        <v>4026</v>
      </c>
      <c r="D22" s="129"/>
      <c r="E22" s="129"/>
      <c r="F22" s="129"/>
      <c r="G22" s="129"/>
      <c r="H22" s="129"/>
      <c r="I22" s="129"/>
      <c r="J22" s="129"/>
      <c r="K22" s="433" t="s">
        <v>4028</v>
      </c>
      <c r="L22" s="129"/>
      <c r="M22" s="129"/>
      <c r="N22" s="129"/>
      <c r="O22" s="129"/>
      <c r="P22" s="129"/>
      <c r="Q22" s="129"/>
      <c r="R22" s="129"/>
      <c r="S22" s="132">
        <v>23</v>
      </c>
      <c r="X22" s="148" t="s">
        <v>4029</v>
      </c>
      <c r="AA22" s="711"/>
      <c r="AB22" s="137" t="s">
        <v>4030</v>
      </c>
      <c r="AC22" s="136"/>
      <c r="AD22" s="136"/>
      <c r="AE22" s="136"/>
      <c r="AF22" s="47" t="s">
        <v>4006</v>
      </c>
      <c r="AG22" s="47" t="s">
        <v>4031</v>
      </c>
    </row>
    <row customHeight="1" ht="12">
      <c r="A23" s="74" t="s">
        <v>4032</v>
      </c>
      <c r="B23" s="73" t="s">
        <v>4033</v>
      </c>
      <c r="C23" s="74" t="s">
        <v>4032</v>
      </c>
      <c r="D23" s="129"/>
      <c r="E23" s="129"/>
      <c r="F23" s="129"/>
      <c r="G23" s="129"/>
      <c r="H23" s="129"/>
      <c r="I23" s="129"/>
      <c r="J23" s="129"/>
      <c r="K23" s="433" t="s">
        <v>4034</v>
      </c>
      <c r="L23" s="129"/>
      <c r="M23" s="129"/>
      <c r="N23" s="129"/>
      <c r="O23" s="129"/>
      <c r="P23" s="129"/>
      <c r="Q23" s="129"/>
      <c r="R23" s="129"/>
      <c r="S23" s="132">
        <v>24</v>
      </c>
      <c r="X23" s="148" t="s">
        <v>4035</v>
      </c>
      <c r="AF23" s="47" t="s">
        <v>4012</v>
      </c>
      <c r="AG23" s="47" t="s">
        <v>4036</v>
      </c>
    </row>
    <row customHeight="1" ht="12">
      <c r="A24" s="74" t="s">
        <v>4037</v>
      </c>
      <c r="B24" s="73" t="s">
        <v>4038</v>
      </c>
      <c r="C24" s="74" t="s">
        <v>4037</v>
      </c>
      <c r="D24" s="129"/>
      <c r="E24" s="129"/>
      <c r="F24" s="129"/>
      <c r="G24" s="129"/>
      <c r="H24" s="129"/>
      <c r="I24" s="129"/>
      <c r="J24" s="129"/>
      <c r="K24" s="433" t="s">
        <v>4039</v>
      </c>
      <c r="L24" s="129"/>
      <c r="M24" s="129"/>
      <c r="N24" s="129"/>
      <c r="O24" s="129"/>
      <c r="P24" s="129"/>
      <c r="Q24" s="129"/>
      <c r="R24" s="129"/>
      <c r="S24" s="132">
        <v>25</v>
      </c>
      <c r="X24" s="148" t="s">
        <v>4040</v>
      </c>
      <c r="AF24" s="47" t="s">
        <v>4018</v>
      </c>
      <c r="AG24" s="47" t="s">
        <v>4041</v>
      </c>
    </row>
    <row customHeight="1" ht="12">
      <c r="A25" s="74" t="s">
        <v>4042</v>
      </c>
      <c r="B25" s="73" t="s">
        <v>4043</v>
      </c>
      <c r="C25" s="74" t="s">
        <v>4044</v>
      </c>
      <c r="D25" s="129"/>
      <c r="E25" s="129"/>
      <c r="F25" s="129"/>
      <c r="G25" s="129"/>
      <c r="H25" s="129"/>
      <c r="I25" s="129"/>
      <c r="J25" s="129"/>
      <c r="K25" s="129"/>
      <c r="L25" s="129"/>
      <c r="M25" s="129"/>
      <c r="N25" s="129"/>
      <c r="O25" s="129"/>
      <c r="P25" s="129"/>
      <c r="Q25" s="129"/>
      <c r="R25" s="129"/>
      <c r="S25" s="132">
        <v>26</v>
      </c>
      <c r="X25" s="148" t="s">
        <v>422</v>
      </c>
      <c r="AF25" s="47" t="s">
        <v>4025</v>
      </c>
      <c r="AG25" s="47" t="s">
        <v>4045</v>
      </c>
    </row>
    <row customHeight="1" ht="12">
      <c r="A26" s="74" t="s">
        <v>101</v>
      </c>
      <c r="B26" s="73" t="s">
        <v>4046</v>
      </c>
      <c r="C26" s="74" t="s">
        <v>101</v>
      </c>
      <c r="D26" s="129"/>
      <c r="E26" s="129"/>
      <c r="F26" s="129"/>
      <c r="G26" s="129"/>
      <c r="H26" s="129"/>
      <c r="I26" s="129"/>
      <c r="J26" s="129"/>
      <c r="K26" s="432" t="s">
        <v>4047</v>
      </c>
      <c r="L26" s="129"/>
      <c r="M26" s="129"/>
      <c r="N26" s="129"/>
      <c r="O26" s="129"/>
      <c r="P26" s="129"/>
      <c r="Q26" s="129"/>
      <c r="R26" s="129"/>
      <c r="S26" s="132">
        <v>27</v>
      </c>
      <c r="X26" s="148" t="s">
        <v>4048</v>
      </c>
      <c r="AF26" s="47" t="s">
        <v>4031</v>
      </c>
      <c r="AG26" s="47" t="s">
        <v>4049</v>
      </c>
    </row>
    <row customHeight="1" ht="12">
      <c r="A27" s="74" t="s">
        <v>4050</v>
      </c>
      <c r="B27" s="73" t="s">
        <v>4051</v>
      </c>
      <c r="C27" s="74" t="s">
        <v>4050</v>
      </c>
      <c r="D27" s="129"/>
      <c r="E27" s="129"/>
      <c r="F27" s="129"/>
      <c r="G27" s="129"/>
      <c r="H27" s="129"/>
      <c r="I27" s="129"/>
      <c r="J27" s="129"/>
      <c r="K27" s="433" t="s">
        <v>4052</v>
      </c>
      <c r="L27" s="129"/>
      <c r="M27" s="129"/>
      <c r="N27" s="129"/>
      <c r="O27" s="129"/>
      <c r="P27" s="129"/>
      <c r="Q27" s="129"/>
      <c r="R27" s="129"/>
      <c r="S27" s="132">
        <v>28</v>
      </c>
      <c r="X27" s="148" t="s">
        <v>4053</v>
      </c>
      <c r="AF27" s="47" t="s">
        <v>4036</v>
      </c>
      <c r="AG27" s="47" t="s">
        <v>4054</v>
      </c>
    </row>
    <row customHeight="1" ht="12">
      <c r="A28" s="74" t="s">
        <v>4055</v>
      </c>
      <c r="B28" s="73" t="s">
        <v>4056</v>
      </c>
      <c r="C28" s="74" t="s">
        <v>4055</v>
      </c>
      <c r="D28" s="129"/>
      <c r="E28" s="129"/>
      <c r="F28" s="129"/>
      <c r="G28" s="129"/>
      <c r="H28" s="129"/>
      <c r="I28" s="129"/>
      <c r="J28" s="129"/>
      <c r="K28" s="433" t="s">
        <v>4057</v>
      </c>
      <c r="L28" s="129"/>
      <c r="M28" s="129"/>
      <c r="N28" s="129"/>
      <c r="O28" s="129"/>
      <c r="P28" s="129"/>
      <c r="Q28" s="129"/>
      <c r="R28" s="129"/>
      <c r="S28" s="132">
        <v>29</v>
      </c>
      <c r="X28" s="148" t="s">
        <v>4058</v>
      </c>
      <c r="AF28" s="47" t="s">
        <v>4041</v>
      </c>
      <c r="AG28" s="47" t="s">
        <v>4059</v>
      </c>
    </row>
    <row customHeight="1" ht="12">
      <c r="A29" s="74" t="s">
        <v>4060</v>
      </c>
      <c r="B29" s="73" t="s">
        <v>4061</v>
      </c>
      <c r="C29" s="74" t="s">
        <v>4060</v>
      </c>
      <c r="D29" s="129"/>
      <c r="E29" s="129"/>
      <c r="F29" s="129"/>
      <c r="G29" s="129"/>
      <c r="H29" s="129"/>
      <c r="I29" s="129"/>
      <c r="J29" s="129"/>
      <c r="K29" s="433" t="s">
        <v>4062</v>
      </c>
      <c r="L29" s="129"/>
      <c r="M29" s="129"/>
      <c r="N29" s="129"/>
      <c r="O29" s="129"/>
      <c r="P29" s="129"/>
      <c r="Q29" s="129"/>
      <c r="R29" s="129"/>
      <c r="S29" s="132">
        <v>30</v>
      </c>
      <c r="X29" s="148" t="s">
        <v>4063</v>
      </c>
      <c r="AF29" s="47" t="s">
        <v>4045</v>
      </c>
      <c r="AG29" s="47" t="s">
        <v>4064</v>
      </c>
    </row>
    <row customHeight="1" ht="12">
      <c r="A30" s="74" t="s">
        <v>4065</v>
      </c>
      <c r="B30" s="73" t="s">
        <v>4066</v>
      </c>
      <c r="C30" s="74" t="s">
        <v>4065</v>
      </c>
      <c r="D30" s="129"/>
      <c r="E30" s="129"/>
      <c r="F30" s="129"/>
      <c r="G30" s="129"/>
      <c r="H30" s="129"/>
      <c r="I30" s="129"/>
      <c r="J30" s="129"/>
      <c r="K30" s="129"/>
      <c r="L30" s="129"/>
      <c r="M30" s="129"/>
      <c r="N30" s="129"/>
      <c r="O30" s="129"/>
      <c r="P30" s="129"/>
      <c r="Q30" s="129"/>
      <c r="R30" s="129"/>
      <c r="S30" s="132">
        <v>31</v>
      </c>
      <c r="X30" s="148" t="s">
        <v>4067</v>
      </c>
      <c r="AF30" s="47" t="s">
        <v>4049</v>
      </c>
      <c r="AG30" s="47" t="s">
        <v>4068</v>
      </c>
    </row>
    <row customHeight="1" ht="12">
      <c r="A31" s="74" t="s">
        <v>4069</v>
      </c>
      <c r="B31" s="73" t="s">
        <v>4070</v>
      </c>
      <c r="C31" s="74" t="s">
        <v>4069</v>
      </c>
      <c r="D31" s="129"/>
      <c r="E31" s="129"/>
      <c r="F31" s="129"/>
      <c r="G31" s="129"/>
      <c r="H31" s="129"/>
      <c r="I31" s="129"/>
      <c r="J31" s="129"/>
      <c r="K31" s="129"/>
      <c r="L31" s="129"/>
      <c r="M31" s="129"/>
      <c r="N31" s="129"/>
      <c r="O31" s="129"/>
      <c r="P31" s="129"/>
      <c r="Q31" s="129"/>
      <c r="R31" s="129"/>
      <c r="S31" s="132">
        <v>32</v>
      </c>
      <c r="X31" s="148" t="s">
        <v>4071</v>
      </c>
      <c r="AF31" s="47" t="s">
        <v>4072</v>
      </c>
      <c r="AG31" s="47" t="s">
        <v>4073</v>
      </c>
    </row>
    <row customHeight="1" ht="12">
      <c r="A32" s="74" t="s">
        <v>4074</v>
      </c>
      <c r="B32" s="73" t="s">
        <v>4075</v>
      </c>
      <c r="C32" s="74" t="s">
        <v>4074</v>
      </c>
      <c r="D32" s="129"/>
      <c r="E32" s="129"/>
      <c r="F32" s="129"/>
      <c r="G32" s="129"/>
      <c r="H32" s="129"/>
      <c r="I32" s="129"/>
      <c r="J32" s="129"/>
      <c r="K32" s="129"/>
      <c r="L32" s="129"/>
      <c r="M32" s="129"/>
      <c r="N32" s="129"/>
      <c r="O32" s="129"/>
      <c r="P32" s="129"/>
      <c r="Q32" s="129"/>
      <c r="R32" s="129"/>
      <c r="S32" s="132">
        <v>33</v>
      </c>
      <c r="X32" s="148" t="s">
        <v>4076</v>
      </c>
      <c r="AF32" s="0" t="s">
        <v>4077</v>
      </c>
      <c r="AG32" s="0" t="s">
        <v>4078</v>
      </c>
    </row>
    <row customHeight="1" ht="12">
      <c r="A33" s="74" t="s">
        <v>4079</v>
      </c>
      <c r="B33" s="73" t="s">
        <v>4080</v>
      </c>
      <c r="C33" s="74" t="s">
        <v>4079</v>
      </c>
      <c r="D33" s="129"/>
      <c r="E33" s="129"/>
      <c r="F33" s="129"/>
      <c r="G33" s="129"/>
      <c r="H33" s="129"/>
      <c r="I33" s="129"/>
      <c r="J33" s="129"/>
      <c r="K33" s="129"/>
      <c r="L33" s="129"/>
      <c r="M33" s="129"/>
      <c r="N33" s="129"/>
      <c r="O33" s="129"/>
      <c r="P33" s="129"/>
      <c r="Q33" s="129"/>
      <c r="R33" s="129"/>
      <c r="S33" s="132">
        <v>34</v>
      </c>
      <c r="X33" s="148" t="s">
        <v>4081</v>
      </c>
      <c r="AF33" s="0" t="s">
        <v>4082</v>
      </c>
      <c r="AG33" s="0" t="s">
        <v>4083</v>
      </c>
    </row>
    <row customHeight="1" ht="12">
      <c r="A34" s="74" t="s">
        <v>4084</v>
      </c>
      <c r="B34" s="73" t="s">
        <v>4085</v>
      </c>
      <c r="C34" s="74" t="s">
        <v>4084</v>
      </c>
      <c r="D34" s="129"/>
      <c r="E34" s="129"/>
      <c r="F34" s="129"/>
      <c r="G34" s="129"/>
      <c r="H34" s="129"/>
      <c r="I34" s="129"/>
      <c r="J34" s="129"/>
      <c r="K34" s="129"/>
      <c r="L34" s="129"/>
      <c r="M34" s="129"/>
      <c r="N34" s="129"/>
      <c r="O34" s="129"/>
      <c r="P34" s="129"/>
      <c r="Q34" s="129"/>
      <c r="R34" s="129"/>
      <c r="S34" s="132">
        <v>35</v>
      </c>
      <c r="X34" s="148" t="s">
        <v>426</v>
      </c>
      <c r="AF34" s="0" t="s">
        <v>4086</v>
      </c>
      <c r="AG34" s="0" t="s">
        <v>4087</v>
      </c>
    </row>
    <row customHeight="1" ht="12">
      <c r="A35" s="382" t="s">
        <v>4088</v>
      </c>
      <c r="B35" s="383"/>
      <c r="C35" s="382"/>
      <c r="D35" s="129"/>
      <c r="E35" s="129"/>
      <c r="F35" s="129"/>
      <c r="G35" s="129"/>
      <c r="H35" s="129"/>
      <c r="I35" s="129"/>
      <c r="J35" s="129"/>
      <c r="K35" s="129"/>
      <c r="L35" s="129"/>
      <c r="M35" s="129"/>
      <c r="N35" s="129"/>
      <c r="O35" s="129"/>
      <c r="P35" s="129"/>
      <c r="Q35" s="129"/>
      <c r="R35" s="129"/>
      <c r="S35" s="132">
        <v>36</v>
      </c>
      <c r="X35" s="148" t="s">
        <v>4089</v>
      </c>
      <c r="AF35" s="0" t="s">
        <v>4090</v>
      </c>
      <c r="AG35" s="0" t="s">
        <v>4091</v>
      </c>
    </row>
    <row customHeight="1" ht="12">
      <c r="A36" s="74" t="s">
        <v>4092</v>
      </c>
      <c r="B36" s="73" t="s">
        <v>4093</v>
      </c>
      <c r="C36" s="74" t="s">
        <v>4092</v>
      </c>
      <c r="D36" s="129"/>
      <c r="E36" s="129"/>
      <c r="F36" s="129"/>
      <c r="G36" s="129"/>
      <c r="H36" s="129"/>
      <c r="I36" s="129"/>
      <c r="J36" s="129"/>
      <c r="K36" s="129"/>
      <c r="L36" s="129"/>
      <c r="M36" s="129"/>
      <c r="N36" s="129"/>
      <c r="O36" s="129"/>
      <c r="P36" s="129"/>
      <c r="Q36" s="129"/>
      <c r="R36" s="129"/>
      <c r="S36" s="132">
        <v>37</v>
      </c>
      <c r="X36" s="148" t="s">
        <v>4094</v>
      </c>
      <c r="AF36" s="0" t="s">
        <v>4095</v>
      </c>
      <c r="AG36" s="0" t="s">
        <v>4096</v>
      </c>
    </row>
    <row customHeight="1" ht="12">
      <c r="A37" s="74" t="s">
        <v>4097</v>
      </c>
      <c r="B37" s="73" t="s">
        <v>4098</v>
      </c>
      <c r="C37" s="74" t="s">
        <v>4097</v>
      </c>
      <c r="D37" s="129"/>
      <c r="E37" s="129"/>
      <c r="F37" s="129"/>
      <c r="G37" s="129"/>
      <c r="H37" s="129"/>
      <c r="I37" s="129"/>
      <c r="J37" s="129"/>
      <c r="K37" s="129"/>
      <c r="L37" s="129"/>
      <c r="M37" s="129"/>
      <c r="N37" s="129"/>
      <c r="O37" s="129"/>
      <c r="P37" s="129"/>
      <c r="Q37" s="129"/>
      <c r="R37" s="129"/>
      <c r="S37" s="132">
        <v>38</v>
      </c>
      <c r="AF37" s="0" t="s">
        <v>4099</v>
      </c>
      <c r="AG37" s="0" t="s">
        <v>4100</v>
      </c>
    </row>
    <row customHeight="1" ht="12">
      <c r="A38" s="74" t="s">
        <v>4101</v>
      </c>
      <c r="B38" s="73" t="s">
        <v>4102</v>
      </c>
      <c r="C38" s="74" t="s">
        <v>4101</v>
      </c>
      <c r="D38" s="129"/>
      <c r="E38" s="129"/>
      <c r="F38" s="129"/>
      <c r="G38" s="129"/>
      <c r="H38" s="129"/>
      <c r="I38" s="129"/>
      <c r="J38" s="129"/>
      <c r="K38" s="130" t="s">
        <v>4103</v>
      </c>
      <c r="L38" s="129"/>
      <c r="M38" s="129"/>
      <c r="N38" s="129"/>
      <c r="O38" s="129"/>
      <c r="P38" s="129"/>
      <c r="Q38" s="129"/>
      <c r="R38" s="129"/>
      <c r="S38" s="132">
        <v>39</v>
      </c>
      <c r="AF38" s="0" t="s">
        <v>4104</v>
      </c>
      <c r="AG38" s="0" t="s">
        <v>4105</v>
      </c>
    </row>
    <row customHeight="1" ht="12">
      <c r="A39" s="74" t="s">
        <v>4106</v>
      </c>
      <c r="B39" s="73" t="s">
        <v>4107</v>
      </c>
      <c r="C39" s="74" t="s">
        <v>4106</v>
      </c>
      <c r="D39" s="129"/>
      <c r="E39" s="129"/>
      <c r="F39" s="129"/>
      <c r="G39" s="129"/>
      <c r="H39" s="129"/>
      <c r="I39" s="129"/>
      <c r="J39" s="129"/>
      <c r="K39" s="433" t="s">
        <v>103</v>
      </c>
      <c r="L39" s="129"/>
      <c r="M39" s="129"/>
      <c r="N39" s="129"/>
      <c r="O39" s="129"/>
      <c r="P39" s="129"/>
      <c r="Q39" s="129"/>
      <c r="R39" s="129"/>
      <c r="S39" s="132">
        <v>40</v>
      </c>
      <c r="AF39" s="0" t="s">
        <v>4108</v>
      </c>
      <c r="AG39" s="0" t="s">
        <v>4109</v>
      </c>
    </row>
    <row customHeight="1" ht="12">
      <c r="A40" s="74" t="s">
        <v>4110</v>
      </c>
      <c r="B40" s="73" t="s">
        <v>4111</v>
      </c>
      <c r="C40" s="74" t="s">
        <v>4110</v>
      </c>
      <c r="D40" s="129"/>
      <c r="E40" s="129"/>
      <c r="F40" s="129"/>
      <c r="G40" s="129"/>
      <c r="H40" s="129"/>
      <c r="I40" s="129"/>
      <c r="J40" s="129"/>
      <c r="K40" s="433" t="s">
        <v>3986</v>
      </c>
      <c r="L40" s="129"/>
      <c r="M40" s="129"/>
      <c r="N40" s="129"/>
      <c r="O40" s="129"/>
      <c r="P40" s="129"/>
      <c r="Q40" s="129"/>
      <c r="R40" s="129"/>
      <c r="S40" s="132">
        <v>41</v>
      </c>
      <c r="AF40" s="0" t="s">
        <v>4112</v>
      </c>
      <c r="AG40" s="0" t="s">
        <v>4113</v>
      </c>
    </row>
    <row customHeight="1" ht="12">
      <c r="A41" s="74" t="s">
        <v>4114</v>
      </c>
      <c r="B41" s="73" t="s">
        <v>4115</v>
      </c>
      <c r="C41" s="74" t="s">
        <v>4114</v>
      </c>
      <c r="D41" s="129"/>
      <c r="E41" s="129"/>
      <c r="F41" s="129"/>
      <c r="G41" s="129"/>
      <c r="H41" s="129"/>
      <c r="I41" s="129"/>
      <c r="J41" s="129"/>
      <c r="K41" s="433" t="s">
        <v>3991</v>
      </c>
      <c r="L41" s="129"/>
      <c r="M41" s="129"/>
      <c r="N41" s="129"/>
      <c r="O41" s="129"/>
      <c r="P41" s="129"/>
      <c r="Q41" s="129"/>
      <c r="R41" s="129"/>
      <c r="S41" s="132">
        <v>42</v>
      </c>
      <c r="AF41" s="0" t="s">
        <v>4116</v>
      </c>
      <c r="AG41" s="0" t="s">
        <v>4117</v>
      </c>
    </row>
    <row customHeight="1" ht="27.75">
      <c r="A42" s="74" t="s">
        <v>4118</v>
      </c>
      <c r="B42" s="73" t="s">
        <v>4119</v>
      </c>
      <c r="C42" s="74" t="s">
        <v>4118</v>
      </c>
      <c r="D42" s="129"/>
      <c r="E42" s="129"/>
      <c r="F42" s="129"/>
      <c r="G42" s="129"/>
      <c r="H42" s="129"/>
      <c r="I42" s="129"/>
      <c r="J42" s="129"/>
      <c r="K42" s="433" t="s">
        <v>3997</v>
      </c>
      <c r="L42" s="129"/>
      <c r="M42" s="129"/>
      <c r="N42" s="129"/>
      <c r="O42" s="129"/>
      <c r="P42" s="129"/>
      <c r="Q42" s="129"/>
      <c r="R42" s="129"/>
      <c r="S42" s="132">
        <v>43</v>
      </c>
      <c r="AF42" s="0" t="s">
        <v>4120</v>
      </c>
      <c r="AG42" s="0" t="s">
        <v>4121</v>
      </c>
    </row>
    <row customHeight="1" ht="12">
      <c r="A43" s="74" t="s">
        <v>4122</v>
      </c>
      <c r="B43" s="73" t="s">
        <v>4123</v>
      </c>
      <c r="C43" s="74" t="s">
        <v>4122</v>
      </c>
      <c r="D43" s="129"/>
      <c r="E43" s="129"/>
      <c r="F43" s="129"/>
      <c r="G43" s="129"/>
      <c r="H43" s="129"/>
      <c r="I43" s="129"/>
      <c r="J43" s="129"/>
      <c r="K43" s="129"/>
      <c r="L43" s="129"/>
      <c r="M43" s="129"/>
      <c r="N43" s="129"/>
      <c r="O43" s="129"/>
      <c r="P43" s="129"/>
      <c r="Q43" s="129"/>
      <c r="R43" s="129"/>
      <c r="S43" s="132">
        <v>44</v>
      </c>
      <c r="AF43" s="0" t="s">
        <v>4124</v>
      </c>
      <c r="AG43" s="0" t="s">
        <v>4125</v>
      </c>
    </row>
    <row customHeight="1" ht="12">
      <c r="A44" s="74" t="s">
        <v>4126</v>
      </c>
      <c r="B44" s="73" t="s">
        <v>4127</v>
      </c>
      <c r="C44" s="74" t="s">
        <v>4126</v>
      </c>
      <c r="D44" s="129"/>
      <c r="E44" s="129"/>
      <c r="F44" s="129"/>
      <c r="G44" s="129"/>
      <c r="H44" s="129"/>
      <c r="I44" s="129"/>
      <c r="J44" s="129"/>
      <c r="K44" s="129"/>
      <c r="L44" s="129"/>
      <c r="M44" s="129"/>
      <c r="N44" s="129"/>
      <c r="O44" s="129"/>
      <c r="P44" s="129"/>
      <c r="Q44" s="129"/>
      <c r="R44" s="129"/>
      <c r="S44" s="132">
        <v>45</v>
      </c>
      <c r="AF44" s="0" t="s">
        <v>4128</v>
      </c>
      <c r="AG44" s="0" t="s">
        <v>4129</v>
      </c>
    </row>
    <row customHeight="1" ht="12">
      <c r="A45" s="74" t="s">
        <v>4130</v>
      </c>
      <c r="B45" s="73" t="s">
        <v>4131</v>
      </c>
      <c r="C45" s="74" t="s">
        <v>4130</v>
      </c>
      <c r="D45" s="129"/>
      <c r="E45" s="129"/>
      <c r="F45" s="129"/>
      <c r="G45" s="129"/>
      <c r="H45" s="129"/>
      <c r="I45" s="129"/>
      <c r="J45" s="129"/>
      <c r="K45" s="130" t="s">
        <v>4132</v>
      </c>
      <c r="L45" s="129"/>
      <c r="M45" s="129"/>
      <c r="N45" s="129"/>
      <c r="O45" s="129"/>
      <c r="P45" s="129"/>
      <c r="Q45" s="129"/>
      <c r="R45" s="129"/>
      <c r="S45" s="132">
        <v>46</v>
      </c>
      <c r="AF45" s="0" t="s">
        <v>4133</v>
      </c>
      <c r="AG45" s="0" t="s">
        <v>4134</v>
      </c>
    </row>
    <row customHeight="1" ht="12">
      <c r="A46" s="74" t="s">
        <v>4135</v>
      </c>
      <c r="B46" s="73" t="s">
        <v>4136</v>
      </c>
      <c r="C46" s="74" t="s">
        <v>4135</v>
      </c>
      <c r="D46" s="129"/>
      <c r="E46" s="129"/>
      <c r="F46" s="129"/>
      <c r="G46" s="129"/>
      <c r="H46" s="129"/>
      <c r="I46" s="129"/>
      <c r="J46" s="129"/>
      <c r="K46" s="134" t="s">
        <v>203</v>
      </c>
      <c r="L46" s="129"/>
      <c r="M46" s="129"/>
      <c r="N46" s="129"/>
      <c r="O46" s="129"/>
      <c r="P46" s="129"/>
      <c r="Q46" s="129"/>
      <c r="R46" s="129"/>
      <c r="S46" s="132">
        <v>47</v>
      </c>
      <c r="AF46" s="0" t="s">
        <v>4137</v>
      </c>
      <c r="AG46" s="0" t="s">
        <v>4138</v>
      </c>
    </row>
    <row customHeight="1" ht="12">
      <c r="A47" s="74" t="s">
        <v>4139</v>
      </c>
      <c r="B47" s="73" t="s">
        <v>4140</v>
      </c>
      <c r="C47" s="74" t="s">
        <v>4139</v>
      </c>
      <c r="D47" s="129"/>
      <c r="E47" s="129"/>
      <c r="F47" s="129"/>
      <c r="G47" s="129"/>
      <c r="H47" s="129"/>
      <c r="I47" s="129"/>
      <c r="J47" s="129"/>
      <c r="K47" s="134" t="s">
        <v>4023</v>
      </c>
      <c r="L47" s="129"/>
      <c r="M47" s="129"/>
      <c r="N47" s="129"/>
      <c r="O47" s="129"/>
      <c r="P47" s="129"/>
      <c r="Q47" s="129"/>
      <c r="R47" s="129"/>
      <c r="S47" s="132">
        <v>48</v>
      </c>
      <c r="AF47" s="0" t="s">
        <v>4141</v>
      </c>
      <c r="AG47" s="0" t="s">
        <v>4142</v>
      </c>
    </row>
    <row customHeight="1" ht="12">
      <c r="A48" s="74" t="s">
        <v>4143</v>
      </c>
      <c r="B48" s="73" t="s">
        <v>4144</v>
      </c>
      <c r="C48" s="74" t="s">
        <v>4143</v>
      </c>
      <c r="D48" s="129"/>
      <c r="E48" s="129"/>
      <c r="F48" s="129"/>
      <c r="G48" s="129"/>
      <c r="H48" s="129"/>
      <c r="I48" s="129"/>
      <c r="J48" s="129"/>
      <c r="K48" s="134" t="s">
        <v>4029</v>
      </c>
      <c r="L48" s="129"/>
      <c r="M48" s="129"/>
      <c r="N48" s="129"/>
      <c r="O48" s="129"/>
      <c r="P48" s="129"/>
      <c r="Q48" s="129"/>
      <c r="R48" s="129"/>
      <c r="S48" s="132">
        <v>49</v>
      </c>
      <c r="AF48" s="0" t="s">
        <v>4145</v>
      </c>
      <c r="AG48" s="0" t="s">
        <v>4146</v>
      </c>
    </row>
    <row customHeight="1" ht="12">
      <c r="A49" s="74" t="s">
        <v>4147</v>
      </c>
      <c r="B49" s="73" t="s">
        <v>4148</v>
      </c>
      <c r="C49" s="74" t="s">
        <v>4147</v>
      </c>
      <c r="D49" s="129"/>
      <c r="E49" s="129"/>
      <c r="F49" s="129"/>
      <c r="G49" s="129"/>
      <c r="H49" s="129"/>
      <c r="I49" s="129"/>
      <c r="J49" s="129"/>
      <c r="K49" s="134" t="s">
        <v>4035</v>
      </c>
      <c r="L49" s="129"/>
      <c r="M49" s="129"/>
      <c r="N49" s="129"/>
      <c r="O49" s="129"/>
      <c r="P49" s="129"/>
      <c r="Q49" s="129"/>
      <c r="R49" s="129"/>
      <c r="S49" s="132">
        <v>50</v>
      </c>
      <c r="AF49" s="0" t="s">
        <v>4149</v>
      </c>
      <c r="AG49" s="0" t="s">
        <v>4150</v>
      </c>
    </row>
    <row customHeight="1" ht="12">
      <c r="A50" s="74" t="s">
        <v>4151</v>
      </c>
      <c r="B50" s="73" t="s">
        <v>4152</v>
      </c>
      <c r="C50" s="74" t="s">
        <v>4151</v>
      </c>
      <c r="D50" s="129"/>
      <c r="E50" s="129"/>
      <c r="F50" s="129"/>
      <c r="G50" s="129"/>
      <c r="H50" s="129"/>
      <c r="I50" s="129"/>
      <c r="J50" s="129"/>
      <c r="K50" s="134" t="s">
        <v>4153</v>
      </c>
      <c r="L50" s="129"/>
      <c r="M50" s="129"/>
      <c r="N50" s="129"/>
      <c r="O50" s="129"/>
      <c r="P50" s="129"/>
      <c r="Q50" s="129"/>
      <c r="R50" s="129"/>
      <c r="AF50" s="0" t="s">
        <v>4154</v>
      </c>
      <c r="AG50" s="0" t="s">
        <v>4155</v>
      </c>
    </row>
    <row customHeight="1" ht="12">
      <c r="A51" s="74" t="s">
        <v>4156</v>
      </c>
      <c r="B51" s="73" t="s">
        <v>4157</v>
      </c>
      <c r="C51" s="74" t="s">
        <v>4156</v>
      </c>
      <c r="D51" s="129"/>
      <c r="E51" s="129"/>
      <c r="F51" s="129"/>
      <c r="G51" s="129"/>
      <c r="H51" s="129"/>
      <c r="I51" s="129"/>
      <c r="J51" s="129"/>
      <c r="K51" s="134" t="s">
        <v>4010</v>
      </c>
      <c r="L51" s="129"/>
      <c r="M51" s="129"/>
      <c r="N51" s="129"/>
      <c r="O51" s="129"/>
      <c r="P51" s="129"/>
      <c r="Q51" s="129"/>
      <c r="R51" s="129"/>
      <c r="AF51" s="0" t="s">
        <v>4158</v>
      </c>
      <c r="AG51" s="0" t="s">
        <v>4159</v>
      </c>
    </row>
    <row customHeight="1" ht="12">
      <c r="A52" s="74" t="s">
        <v>4160</v>
      </c>
      <c r="B52" s="73" t="s">
        <v>4161</v>
      </c>
      <c r="C52" s="74" t="s">
        <v>4160</v>
      </c>
      <c r="D52" s="129"/>
      <c r="E52" s="129"/>
      <c r="F52" s="129"/>
      <c r="G52" s="129"/>
      <c r="H52" s="129"/>
      <c r="I52" s="129"/>
      <c r="J52" s="129"/>
      <c r="K52" s="134" t="s">
        <v>4162</v>
      </c>
      <c r="L52" s="129"/>
      <c r="M52" s="129"/>
      <c r="N52" s="129"/>
      <c r="O52" s="129"/>
      <c r="P52" s="129"/>
      <c r="Q52" s="129"/>
      <c r="R52" s="129"/>
      <c r="AF52" s="0" t="s">
        <v>4163</v>
      </c>
      <c r="AG52" s="0" t="s">
        <v>4164</v>
      </c>
    </row>
    <row customHeight="1" ht="12">
      <c r="A53" s="74" t="s">
        <v>4165</v>
      </c>
      <c r="B53" s="73" t="s">
        <v>4166</v>
      </c>
      <c r="C53" s="74" t="s">
        <v>4165</v>
      </c>
      <c r="D53" s="129"/>
      <c r="E53" s="129"/>
      <c r="F53" s="129"/>
      <c r="G53" s="129"/>
      <c r="H53" s="129"/>
      <c r="I53" s="129"/>
      <c r="J53" s="129"/>
      <c r="K53" s="129"/>
      <c r="L53" s="129"/>
      <c r="M53" s="129"/>
      <c r="N53" s="129"/>
      <c r="O53" s="129"/>
      <c r="P53" s="129"/>
      <c r="Q53" s="129"/>
      <c r="R53" s="129"/>
      <c r="AF53" s="0" t="s">
        <v>4167</v>
      </c>
      <c r="AG53" s="0" t="s">
        <v>4168</v>
      </c>
    </row>
    <row customHeight="1" ht="12">
      <c r="A54" s="74" t="s">
        <v>4169</v>
      </c>
      <c r="B54" s="73" t="s">
        <v>4170</v>
      </c>
      <c r="C54" s="74" t="s">
        <v>4169</v>
      </c>
      <c r="D54" s="129"/>
      <c r="E54" s="129"/>
      <c r="F54" s="129"/>
      <c r="G54" s="129"/>
      <c r="H54" s="129"/>
      <c r="I54" s="129"/>
      <c r="J54" s="129"/>
      <c r="K54" s="129"/>
      <c r="L54" s="129"/>
      <c r="M54" s="129"/>
      <c r="N54" s="129"/>
      <c r="O54" s="129"/>
      <c r="P54" s="129"/>
      <c r="Q54" s="129"/>
      <c r="R54" s="129"/>
      <c r="AF54" s="0" t="s">
        <v>4171</v>
      </c>
      <c r="AG54" s="0" t="s">
        <v>4172</v>
      </c>
    </row>
    <row customHeight="1" ht="10.5">
      <c r="A55" s="74" t="s">
        <v>4173</v>
      </c>
      <c r="B55" s="73" t="s">
        <v>4174</v>
      </c>
      <c r="C55" s="74" t="s">
        <v>4173</v>
      </c>
      <c r="D55" s="129"/>
      <c r="E55" s="129"/>
      <c r="F55" s="129"/>
      <c r="G55" s="129"/>
      <c r="H55" s="129"/>
      <c r="I55" s="129"/>
      <c r="J55" s="129"/>
      <c r="K55" s="129"/>
      <c r="L55" s="129"/>
      <c r="M55" s="129"/>
      <c r="N55" s="129"/>
      <c r="O55" s="129"/>
      <c r="P55" s="129"/>
      <c r="Q55" s="129"/>
      <c r="R55" s="129"/>
      <c r="AF55" s="0" t="s">
        <v>4175</v>
      </c>
      <c r="AG55" s="0" t="s">
        <v>4176</v>
      </c>
    </row>
    <row customHeight="1" ht="12">
      <c r="A56" s="74" t="s">
        <v>4177</v>
      </c>
      <c r="B56" s="73" t="s">
        <v>4178</v>
      </c>
      <c r="C56" s="74" t="s">
        <v>4177</v>
      </c>
      <c r="D56" s="129"/>
      <c r="E56" s="129"/>
      <c r="F56" s="129"/>
      <c r="G56" s="129"/>
      <c r="H56" s="129"/>
      <c r="I56" s="129"/>
      <c r="J56" s="129"/>
      <c r="K56" s="129"/>
      <c r="L56" s="129"/>
      <c r="M56" s="129"/>
      <c r="N56" s="129"/>
      <c r="O56" s="129"/>
      <c r="P56" s="129"/>
      <c r="Q56" s="129"/>
      <c r="R56" s="129"/>
      <c r="AG56" s="0" t="s">
        <v>4179</v>
      </c>
    </row>
    <row customHeight="1" ht="12">
      <c r="A57" s="74" t="s">
        <v>4180</v>
      </c>
      <c r="B57" s="73" t="s">
        <v>4181</v>
      </c>
      <c r="C57" s="74" t="s">
        <v>4180</v>
      </c>
      <c r="D57" s="129"/>
      <c r="E57" s="129"/>
      <c r="F57" s="129"/>
      <c r="G57" s="129"/>
      <c r="H57" s="129"/>
      <c r="I57" s="129"/>
      <c r="J57" s="129"/>
      <c r="K57" s="129"/>
      <c r="L57" s="129"/>
      <c r="M57" s="129"/>
      <c r="N57" s="129"/>
      <c r="O57" s="129"/>
      <c r="P57" s="129"/>
      <c r="Q57" s="129"/>
      <c r="R57" s="129"/>
      <c r="AG57" s="0" t="s">
        <v>4182</v>
      </c>
    </row>
    <row customHeight="1" ht="12">
      <c r="A58" s="74" t="s">
        <v>4183</v>
      </c>
      <c r="B58" s="73" t="s">
        <v>4184</v>
      </c>
      <c r="C58" s="74" t="s">
        <v>4183</v>
      </c>
      <c r="D58" s="129"/>
      <c r="E58" s="129"/>
      <c r="F58" s="129"/>
      <c r="G58" s="129"/>
      <c r="H58" s="129"/>
      <c r="I58" s="129"/>
      <c r="J58" s="129"/>
      <c r="K58" s="129"/>
      <c r="L58" s="129"/>
      <c r="M58" s="129"/>
      <c r="N58" s="129"/>
      <c r="O58" s="129"/>
      <c r="P58" s="129"/>
      <c r="Q58" s="129"/>
      <c r="R58" s="129"/>
      <c r="AG58" s="0" t="s">
        <v>4185</v>
      </c>
    </row>
    <row customHeight="1" ht="12">
      <c r="A59" s="74" t="s">
        <v>4186</v>
      </c>
      <c r="B59" s="73" t="s">
        <v>4187</v>
      </c>
      <c r="C59" s="74" t="s">
        <v>4188</v>
      </c>
      <c r="D59" s="129"/>
      <c r="E59" s="129"/>
      <c r="F59" s="129"/>
      <c r="G59" s="129"/>
      <c r="H59" s="129"/>
      <c r="I59" s="129"/>
      <c r="J59" s="129"/>
      <c r="K59" s="129"/>
      <c r="L59" s="129"/>
      <c r="M59" s="129"/>
      <c r="N59" s="129"/>
      <c r="O59" s="129"/>
      <c r="P59" s="129"/>
      <c r="Q59" s="129"/>
      <c r="R59" s="129"/>
      <c r="AG59" s="0" t="s">
        <v>4189</v>
      </c>
    </row>
    <row customHeight="1" ht="12">
      <c r="A60" s="74" t="s">
        <v>4190</v>
      </c>
      <c r="B60" s="73" t="s">
        <v>4191</v>
      </c>
      <c r="C60" s="74" t="s">
        <v>4190</v>
      </c>
      <c r="D60" s="129"/>
      <c r="E60" s="129"/>
      <c r="F60" s="129"/>
      <c r="G60" s="129"/>
      <c r="H60" s="129"/>
      <c r="I60" s="129"/>
      <c r="J60" s="129"/>
      <c r="K60" s="129"/>
      <c r="L60" s="129"/>
      <c r="M60" s="129"/>
      <c r="N60" s="129"/>
      <c r="O60" s="129"/>
      <c r="P60" s="129"/>
      <c r="Q60" s="129"/>
      <c r="R60" s="129"/>
      <c r="AG60" s="0" t="s">
        <v>4192</v>
      </c>
    </row>
    <row customHeight="1" ht="12">
      <c r="A61" s="74" t="s">
        <v>4193</v>
      </c>
      <c r="B61" s="73" t="s">
        <v>4194</v>
      </c>
      <c r="C61" s="74" t="s">
        <v>4193</v>
      </c>
      <c r="D61" s="129"/>
      <c r="E61" s="129"/>
      <c r="F61" s="129"/>
      <c r="G61" s="129"/>
      <c r="H61" s="129"/>
      <c r="I61" s="129"/>
      <c r="J61" s="129"/>
      <c r="K61" s="129"/>
      <c r="L61" s="129"/>
      <c r="M61" s="129"/>
      <c r="N61" s="129"/>
      <c r="O61" s="129"/>
      <c r="P61" s="129"/>
      <c r="Q61" s="129"/>
      <c r="R61" s="129"/>
      <c r="AG61" s="0" t="s">
        <v>4195</v>
      </c>
    </row>
    <row customHeight="1" ht="12">
      <c r="A62" s="74" t="s">
        <v>4196</v>
      </c>
      <c r="B62" s="73" t="s">
        <v>4197</v>
      </c>
      <c r="C62" s="74" t="s">
        <v>4196</v>
      </c>
      <c r="D62" s="129"/>
      <c r="E62" s="129"/>
      <c r="F62" s="129"/>
      <c r="G62" s="129"/>
      <c r="H62" s="129"/>
      <c r="I62" s="129"/>
      <c r="J62" s="129"/>
      <c r="K62" s="129"/>
      <c r="L62" s="129"/>
      <c r="M62" s="129"/>
      <c r="N62" s="129"/>
      <c r="O62" s="129"/>
      <c r="P62" s="129"/>
      <c r="Q62" s="129"/>
      <c r="R62" s="129"/>
      <c r="AG62" s="0" t="s">
        <v>4198</v>
      </c>
    </row>
    <row customHeight="1" ht="12">
      <c r="A63" s="74" t="s">
        <v>4199</v>
      </c>
      <c r="B63" s="73" t="s">
        <v>4200</v>
      </c>
      <c r="C63" s="74" t="s">
        <v>4201</v>
      </c>
      <c r="D63" s="129"/>
      <c r="E63" s="129"/>
      <c r="F63" s="129"/>
      <c r="G63" s="129"/>
      <c r="H63" s="129"/>
      <c r="I63" s="129"/>
      <c r="J63" s="129"/>
      <c r="K63" s="129"/>
      <c r="L63" s="129"/>
      <c r="M63" s="129"/>
      <c r="N63" s="129"/>
      <c r="O63" s="129"/>
      <c r="P63" s="129"/>
      <c r="Q63" s="129"/>
      <c r="R63" s="129"/>
      <c r="AG63" s="0" t="s">
        <v>4202</v>
      </c>
    </row>
    <row customHeight="1" ht="12">
      <c r="A64" s="74" t="s">
        <v>4203</v>
      </c>
      <c r="B64" s="73" t="s">
        <v>4204</v>
      </c>
      <c r="C64" s="74" t="s">
        <v>4203</v>
      </c>
      <c r="D64" s="129"/>
      <c r="E64" s="129"/>
      <c r="F64" s="129"/>
      <c r="G64" s="129"/>
      <c r="H64" s="129"/>
      <c r="I64" s="129"/>
      <c r="J64" s="129"/>
      <c r="K64" s="129"/>
      <c r="L64" s="129"/>
      <c r="M64" s="129"/>
      <c r="N64" s="129"/>
      <c r="O64" s="129"/>
      <c r="P64" s="129"/>
      <c r="Q64" s="129"/>
      <c r="R64" s="129"/>
      <c r="AG64" s="0" t="s">
        <v>4205</v>
      </c>
    </row>
    <row customHeight="1" ht="12">
      <c r="A65" s="74" t="s">
        <v>4206</v>
      </c>
      <c r="B65" s="73" t="s">
        <v>4207</v>
      </c>
      <c r="C65" s="74" t="s">
        <v>4208</v>
      </c>
      <c r="D65" s="129"/>
      <c r="E65" s="129"/>
      <c r="F65" s="129"/>
      <c r="G65" s="129"/>
      <c r="H65" s="129"/>
      <c r="I65" s="129"/>
      <c r="J65" s="129"/>
      <c r="K65" s="129"/>
      <c r="L65" s="129"/>
      <c r="M65" s="129"/>
      <c r="N65" s="129"/>
      <c r="O65" s="129"/>
      <c r="P65" s="129"/>
      <c r="Q65" s="129"/>
      <c r="R65" s="129"/>
      <c r="AG65" s="0" t="s">
        <v>4209</v>
      </c>
    </row>
    <row customHeight="1" ht="12">
      <c r="A66" s="74" t="s">
        <v>4210</v>
      </c>
      <c r="B66" s="73" t="s">
        <v>4211</v>
      </c>
      <c r="C66" s="74" t="s">
        <v>4210</v>
      </c>
      <c r="D66" s="129"/>
      <c r="E66" s="129"/>
      <c r="F66" s="129"/>
      <c r="G66" s="129"/>
      <c r="H66" s="129"/>
      <c r="I66" s="129"/>
      <c r="J66" s="129"/>
      <c r="K66" s="129"/>
      <c r="L66" s="129"/>
      <c r="M66" s="129"/>
      <c r="N66" s="129"/>
      <c r="O66" s="129"/>
      <c r="P66" s="129"/>
      <c r="Q66" s="129"/>
      <c r="R66" s="129"/>
      <c r="AG66" s="0" t="s">
        <v>4212</v>
      </c>
    </row>
    <row customHeight="1" ht="12">
      <c r="A67" s="74" t="s">
        <v>4213</v>
      </c>
      <c r="B67" s="73" t="s">
        <v>4214</v>
      </c>
      <c r="C67" s="74" t="s">
        <v>4213</v>
      </c>
      <c r="D67" s="129"/>
      <c r="E67" s="129"/>
      <c r="F67" s="129"/>
      <c r="G67" s="129"/>
      <c r="H67" s="129"/>
      <c r="I67" s="129"/>
      <c r="J67" s="129"/>
      <c r="K67" s="129"/>
      <c r="L67" s="129"/>
      <c r="M67" s="129"/>
      <c r="N67" s="129"/>
      <c r="O67" s="129"/>
      <c r="P67" s="129"/>
      <c r="Q67" s="129"/>
      <c r="R67" s="129"/>
      <c r="AG67" s="0" t="s">
        <v>4215</v>
      </c>
    </row>
    <row customHeight="1" ht="12">
      <c r="A68" s="74" t="s">
        <v>4216</v>
      </c>
      <c r="B68" s="73" t="s">
        <v>4217</v>
      </c>
      <c r="C68" s="74" t="s">
        <v>4216</v>
      </c>
      <c r="D68" s="129"/>
      <c r="E68" s="129"/>
      <c r="F68" s="129"/>
      <c r="G68" s="129"/>
      <c r="H68" s="129"/>
      <c r="I68" s="129"/>
      <c r="J68" s="129"/>
      <c r="K68" s="129"/>
      <c r="L68" s="129"/>
      <c r="M68" s="129"/>
      <c r="N68" s="129"/>
      <c r="O68" s="129"/>
      <c r="P68" s="129"/>
      <c r="Q68" s="129"/>
      <c r="R68" s="129"/>
      <c r="AG68" s="0" t="s">
        <v>4218</v>
      </c>
    </row>
    <row customHeight="1" ht="12">
      <c r="A69" s="74" t="s">
        <v>4219</v>
      </c>
      <c r="B69" s="73" t="s">
        <v>4220</v>
      </c>
      <c r="C69" s="74" t="s">
        <v>4219</v>
      </c>
      <c r="D69" s="129"/>
      <c r="E69" s="129"/>
      <c r="F69" s="129"/>
      <c r="G69" s="129"/>
      <c r="H69" s="129"/>
      <c r="I69" s="129"/>
      <c r="J69" s="129"/>
      <c r="K69" s="129"/>
      <c r="L69" s="129"/>
      <c r="M69" s="129"/>
      <c r="N69" s="129"/>
      <c r="O69" s="129"/>
      <c r="P69" s="129"/>
      <c r="Q69" s="129"/>
      <c r="R69" s="129"/>
      <c r="AG69" s="0" t="s">
        <v>4221</v>
      </c>
    </row>
    <row customHeight="1" ht="12">
      <c r="A70" s="74" t="s">
        <v>4222</v>
      </c>
      <c r="B70" s="73" t="s">
        <v>4223</v>
      </c>
      <c r="C70" s="74" t="s">
        <v>4222</v>
      </c>
      <c r="D70" s="129"/>
      <c r="E70" s="129"/>
      <c r="F70" s="129"/>
      <c r="G70" s="129"/>
      <c r="H70" s="129"/>
      <c r="I70" s="129"/>
      <c r="J70" s="129"/>
      <c r="K70" s="129"/>
      <c r="L70" s="129"/>
      <c r="M70" s="129"/>
      <c r="N70" s="129"/>
      <c r="O70" s="129"/>
      <c r="P70" s="129"/>
      <c r="Q70" s="129"/>
      <c r="R70" s="129"/>
      <c r="AG70" s="0" t="s">
        <v>4224</v>
      </c>
    </row>
    <row customHeight="1" ht="12">
      <c r="A71" s="74" t="s">
        <v>4225</v>
      </c>
      <c r="B71" s="73" t="s">
        <v>4226</v>
      </c>
      <c r="C71" s="74" t="s">
        <v>4225</v>
      </c>
      <c r="D71" s="129"/>
      <c r="E71" s="129"/>
      <c r="F71" s="129"/>
      <c r="G71" s="129"/>
      <c r="H71" s="129"/>
      <c r="I71" s="129"/>
      <c r="J71" s="129"/>
      <c r="K71" s="129"/>
      <c r="L71" s="129"/>
      <c r="M71" s="129"/>
      <c r="N71" s="129"/>
      <c r="O71" s="129"/>
      <c r="P71" s="129"/>
      <c r="Q71" s="129"/>
      <c r="R71" s="129"/>
      <c r="AG71" s="0" t="s">
        <v>4227</v>
      </c>
    </row>
    <row customHeight="1" ht="12">
      <c r="A72" s="74" t="s">
        <v>4228</v>
      </c>
      <c r="B72" s="73" t="s">
        <v>4229</v>
      </c>
      <c r="C72" s="74" t="s">
        <v>4228</v>
      </c>
      <c r="D72" s="129"/>
      <c r="E72" s="129"/>
      <c r="F72" s="129"/>
      <c r="G72" s="129"/>
      <c r="H72" s="129"/>
      <c r="I72" s="129"/>
      <c r="J72" s="129"/>
      <c r="K72" s="129"/>
      <c r="L72" s="129"/>
      <c r="M72" s="129"/>
      <c r="N72" s="129"/>
      <c r="O72" s="129"/>
      <c r="P72" s="129"/>
      <c r="Q72" s="129"/>
      <c r="R72" s="129"/>
      <c r="AG72" s="0" t="s">
        <v>4230</v>
      </c>
    </row>
    <row customHeight="1" ht="12">
      <c r="A73" s="74" t="s">
        <v>4231</v>
      </c>
      <c r="B73" s="73" t="s">
        <v>4232</v>
      </c>
      <c r="C73" s="74" t="s">
        <v>4231</v>
      </c>
      <c r="D73" s="129"/>
      <c r="E73" s="129"/>
      <c r="F73" s="129"/>
      <c r="G73" s="129"/>
      <c r="H73" s="129"/>
      <c r="I73" s="129"/>
      <c r="J73" s="129"/>
      <c r="K73" s="129"/>
      <c r="L73" s="129"/>
      <c r="M73" s="129"/>
      <c r="N73" s="129"/>
      <c r="O73" s="129"/>
      <c r="P73" s="129"/>
      <c r="Q73" s="129"/>
      <c r="R73" s="129"/>
      <c r="AG73" s="0" t="s">
        <v>4233</v>
      </c>
    </row>
    <row customHeight="1" ht="12">
      <c r="A74" s="74" t="s">
        <v>4234</v>
      </c>
      <c r="B74" s="73" t="s">
        <v>4235</v>
      </c>
      <c r="C74" s="74" t="s">
        <v>4234</v>
      </c>
      <c r="D74" s="129"/>
      <c r="E74" s="129"/>
      <c r="F74" s="129"/>
      <c r="G74" s="129"/>
      <c r="H74" s="129"/>
      <c r="I74" s="129"/>
      <c r="J74" s="129"/>
      <c r="K74" s="129"/>
      <c r="L74" s="129"/>
      <c r="M74" s="129"/>
      <c r="N74" s="129"/>
      <c r="O74" s="129"/>
      <c r="P74" s="129"/>
      <c r="Q74" s="129"/>
      <c r="R74" s="129"/>
      <c r="AG74" s="0" t="s">
        <v>4236</v>
      </c>
    </row>
    <row customHeight="1" ht="12">
      <c r="A75" s="74" t="s">
        <v>4237</v>
      </c>
      <c r="B75" s="73" t="s">
        <v>4238</v>
      </c>
      <c r="C75" s="74" t="s">
        <v>4237</v>
      </c>
      <c r="D75" s="129"/>
      <c r="E75" s="129"/>
      <c r="F75" s="129"/>
      <c r="G75" s="129"/>
      <c r="H75" s="129"/>
      <c r="I75" s="129"/>
      <c r="J75" s="129"/>
      <c r="K75" s="129"/>
      <c r="L75" s="129"/>
      <c r="M75" s="129"/>
      <c r="N75" s="129"/>
      <c r="O75" s="129"/>
      <c r="P75" s="129"/>
      <c r="Q75" s="129"/>
      <c r="R75" s="129"/>
      <c r="AG75" s="0" t="s">
        <v>4239</v>
      </c>
    </row>
    <row customHeight="1" ht="12">
      <c r="A76" s="74" t="s">
        <v>4240</v>
      </c>
      <c r="B76" s="73" t="s">
        <v>4241</v>
      </c>
      <c r="C76" s="74" t="s">
        <v>4240</v>
      </c>
      <c r="D76" s="129"/>
      <c r="E76" s="129"/>
      <c r="F76" s="129"/>
      <c r="G76" s="129"/>
      <c r="H76" s="129"/>
      <c r="I76" s="129"/>
      <c r="J76" s="129"/>
      <c r="K76" s="129"/>
      <c r="L76" s="129"/>
      <c r="M76" s="129"/>
      <c r="N76" s="129"/>
      <c r="O76" s="129"/>
      <c r="P76" s="129"/>
      <c r="Q76" s="129"/>
      <c r="R76" s="129"/>
      <c r="AG76" s="0" t="s">
        <v>4242</v>
      </c>
    </row>
    <row customHeight="1" ht="12">
      <c r="A77" s="74" t="s">
        <v>4243</v>
      </c>
      <c r="B77" s="73" t="s">
        <v>4244</v>
      </c>
      <c r="C77" s="74" t="s">
        <v>4243</v>
      </c>
      <c r="D77" s="129"/>
      <c r="E77" s="129"/>
      <c r="F77" s="129"/>
      <c r="G77" s="129"/>
      <c r="H77" s="129"/>
      <c r="I77" s="129"/>
      <c r="J77" s="129"/>
      <c r="K77" s="129"/>
      <c r="L77" s="129"/>
      <c r="M77" s="129"/>
      <c r="N77" s="129"/>
      <c r="O77" s="129"/>
      <c r="P77" s="129"/>
      <c r="Q77" s="129"/>
      <c r="R77" s="129"/>
      <c r="AG77" s="0" t="s">
        <v>4245</v>
      </c>
    </row>
    <row customHeight="1" ht="12">
      <c r="A78" s="74" t="s">
        <v>4246</v>
      </c>
      <c r="B78" s="73" t="s">
        <v>4247</v>
      </c>
      <c r="C78" s="74" t="s">
        <v>4246</v>
      </c>
      <c r="D78" s="129"/>
      <c r="E78" s="129"/>
      <c r="F78" s="129"/>
      <c r="G78" s="129"/>
      <c r="H78" s="129"/>
      <c r="I78" s="129"/>
      <c r="J78" s="129"/>
      <c r="K78" s="129"/>
      <c r="L78" s="129"/>
      <c r="M78" s="129"/>
      <c r="N78" s="129"/>
      <c r="O78" s="129"/>
      <c r="P78" s="129"/>
      <c r="Q78" s="129"/>
      <c r="R78" s="129"/>
      <c r="AG78" s="0" t="s">
        <v>4120</v>
      </c>
    </row>
    <row customHeight="1" ht="12">
      <c r="A79" s="74" t="s">
        <v>4248</v>
      </c>
      <c r="B79" s="73" t="s">
        <v>4249</v>
      </c>
      <c r="C79" s="74" t="s">
        <v>4248</v>
      </c>
      <c r="D79" s="129"/>
      <c r="E79" s="129"/>
      <c r="F79" s="129"/>
      <c r="G79" s="129"/>
      <c r="H79" s="129"/>
      <c r="I79" s="129"/>
      <c r="J79" s="129"/>
      <c r="K79" s="129"/>
      <c r="L79" s="129"/>
      <c r="M79" s="129"/>
      <c r="N79" s="129"/>
      <c r="O79" s="129"/>
      <c r="P79" s="129"/>
      <c r="Q79" s="129"/>
      <c r="R79" s="129"/>
      <c r="AG79" s="0" t="s">
        <v>4124</v>
      </c>
    </row>
    <row customHeight="1" ht="12">
      <c r="A80" s="74" t="s">
        <v>4250</v>
      </c>
      <c r="B80" s="73" t="s">
        <v>4251</v>
      </c>
      <c r="C80" s="74" t="s">
        <v>4252</v>
      </c>
      <c r="D80" s="129"/>
      <c r="E80" s="129"/>
      <c r="F80" s="129"/>
      <c r="G80" s="129"/>
      <c r="H80" s="129"/>
      <c r="I80" s="129"/>
      <c r="J80" s="129"/>
      <c r="K80" s="129"/>
      <c r="L80" s="129"/>
      <c r="M80" s="129"/>
      <c r="N80" s="129"/>
      <c r="O80" s="129"/>
      <c r="P80" s="129"/>
      <c r="Q80" s="129"/>
      <c r="R80" s="129"/>
      <c r="AG80" s="0" t="s">
        <v>4128</v>
      </c>
    </row>
    <row customHeight="1" ht="12">
      <c r="A81" s="74" t="s">
        <v>4253</v>
      </c>
      <c r="B81" s="73" t="s">
        <v>4254</v>
      </c>
      <c r="C81" s="74" t="s">
        <v>4253</v>
      </c>
      <c r="D81" s="129"/>
      <c r="E81" s="129"/>
      <c r="F81" s="129"/>
      <c r="G81" s="129"/>
      <c r="H81" s="129"/>
      <c r="I81" s="129"/>
      <c r="J81" s="129"/>
      <c r="K81" s="129"/>
      <c r="L81" s="129"/>
      <c r="M81" s="129"/>
      <c r="N81" s="129"/>
      <c r="O81" s="129"/>
      <c r="P81" s="129"/>
      <c r="Q81" s="129"/>
      <c r="R81" s="129"/>
      <c r="AG81" s="0" t="s">
        <v>4255</v>
      </c>
    </row>
    <row customHeight="1" ht="12">
      <c r="A82" s="74" t="s">
        <v>4256</v>
      </c>
      <c r="B82" s="73" t="s">
        <v>4257</v>
      </c>
      <c r="C82" s="74" t="s">
        <v>4256</v>
      </c>
      <c r="D82" s="129"/>
      <c r="E82" s="129"/>
      <c r="F82" s="129"/>
      <c r="G82" s="129"/>
      <c r="H82" s="129"/>
      <c r="I82" s="129"/>
      <c r="J82" s="129"/>
      <c r="K82" s="129"/>
      <c r="L82" s="129"/>
      <c r="M82" s="129"/>
      <c r="N82" s="129"/>
      <c r="O82" s="129"/>
      <c r="P82" s="129"/>
      <c r="Q82" s="129"/>
      <c r="R82" s="129"/>
      <c r="AG82" s="0" t="s">
        <v>4258</v>
      </c>
    </row>
    <row customHeight="1" ht="12">
      <c r="A83" s="74" t="s">
        <v>4259</v>
      </c>
      <c r="B83" s="73" t="s">
        <v>4260</v>
      </c>
      <c r="C83" s="74" t="s">
        <v>4259</v>
      </c>
      <c r="D83" s="129"/>
      <c r="E83" s="129"/>
      <c r="F83" s="129"/>
      <c r="G83" s="129"/>
      <c r="H83" s="129"/>
      <c r="I83" s="129"/>
      <c r="J83" s="129"/>
      <c r="K83" s="129"/>
      <c r="L83" s="129"/>
      <c r="M83" s="129"/>
      <c r="N83" s="129"/>
      <c r="O83" s="129"/>
      <c r="P83" s="129"/>
      <c r="Q83" s="129"/>
      <c r="R83" s="129"/>
      <c r="AG83" s="0" t="s">
        <v>4261</v>
      </c>
    </row>
    <row customHeight="1" ht="12">
      <c r="A84" s="382" t="s">
        <v>4262</v>
      </c>
      <c r="B84" s="383"/>
      <c r="C84" s="382"/>
      <c r="D84" s="129"/>
      <c r="E84" s="129"/>
      <c r="F84" s="129"/>
      <c r="G84" s="129"/>
      <c r="H84" s="129"/>
      <c r="I84" s="129"/>
      <c r="J84" s="129"/>
      <c r="K84" s="129"/>
      <c r="L84" s="129"/>
      <c r="M84" s="129"/>
      <c r="N84" s="129"/>
      <c r="O84" s="129"/>
      <c r="P84" s="129"/>
      <c r="Q84" s="129"/>
      <c r="R84" s="129"/>
      <c r="AG84" s="0" t="s">
        <v>4263</v>
      </c>
    </row>
    <row customHeight="1" ht="12">
      <c r="A85" s="74" t="s">
        <v>4264</v>
      </c>
      <c r="B85" s="73" t="s">
        <v>4265</v>
      </c>
      <c r="C85" s="74" t="s">
        <v>4264</v>
      </c>
      <c r="D85" s="129"/>
      <c r="E85" s="129"/>
      <c r="F85" s="129"/>
      <c r="G85" s="129"/>
      <c r="H85" s="129"/>
      <c r="I85" s="129"/>
      <c r="J85" s="129"/>
      <c r="K85" s="129"/>
      <c r="L85" s="129"/>
      <c r="M85" s="129"/>
      <c r="N85" s="129"/>
      <c r="O85" s="129"/>
      <c r="P85" s="129"/>
      <c r="Q85" s="129"/>
      <c r="R85" s="129"/>
      <c r="AG85" s="0" t="s">
        <v>4266</v>
      </c>
    </row>
    <row customHeight="1" ht="12">
      <c r="A86" s="74" t="s">
        <v>4267</v>
      </c>
      <c r="B86" s="73" t="s">
        <v>4268</v>
      </c>
      <c r="C86" s="74" t="s">
        <v>4269</v>
      </c>
      <c r="D86" s="129"/>
      <c r="E86" s="129"/>
      <c r="F86" s="129"/>
      <c r="G86" s="129"/>
      <c r="H86" s="129"/>
      <c r="I86" s="129"/>
      <c r="J86" s="129"/>
      <c r="K86" s="129"/>
      <c r="L86" s="129"/>
      <c r="M86" s="129"/>
      <c r="N86" s="129"/>
      <c r="O86" s="129"/>
      <c r="P86" s="129"/>
      <c r="Q86" s="129"/>
      <c r="R86" s="129"/>
      <c r="AG86" s="0" t="s">
        <v>4270</v>
      </c>
    </row>
    <row customHeight="1" ht="12">
      <c r="A87" s="74" t="s">
        <v>4271</v>
      </c>
      <c r="B87" s="73" t="s">
        <v>4272</v>
      </c>
      <c r="C87" s="74" t="s">
        <v>4273</v>
      </c>
      <c r="D87" s="129"/>
      <c r="E87" s="129"/>
      <c r="F87" s="129"/>
      <c r="G87" s="129"/>
      <c r="H87" s="129"/>
      <c r="I87" s="129"/>
      <c r="J87" s="129"/>
      <c r="K87" s="129"/>
      <c r="L87" s="129"/>
      <c r="M87" s="129"/>
      <c r="N87" s="129"/>
      <c r="O87" s="129"/>
      <c r="P87" s="129"/>
      <c r="Q87" s="129"/>
      <c r="R87" s="129"/>
      <c r="AG87" s="0" t="s">
        <v>4274</v>
      </c>
    </row>
    <row customHeight="1" ht="12">
      <c r="A88" s="74" t="s">
        <v>4275</v>
      </c>
      <c r="B88" s="73" t="s">
        <v>4276</v>
      </c>
      <c r="C88" s="74" t="s">
        <v>4275</v>
      </c>
      <c r="D88" s="129"/>
      <c r="E88" s="129"/>
      <c r="F88" s="129"/>
      <c r="G88" s="129"/>
      <c r="H88" s="129"/>
      <c r="I88" s="129"/>
      <c r="J88" s="129"/>
      <c r="K88" s="129"/>
      <c r="L88" s="129"/>
      <c r="M88" s="129"/>
      <c r="N88" s="129"/>
      <c r="O88" s="129"/>
      <c r="P88" s="129"/>
      <c r="Q88" s="129"/>
      <c r="R88" s="129"/>
      <c r="AG88" s="0" t="s">
        <v>4277</v>
      </c>
    </row>
    <row customHeight="1" ht="12">
      <c r="A89" s="74" t="s">
        <v>4278</v>
      </c>
      <c r="B89" s="73" t="s">
        <v>4279</v>
      </c>
      <c r="C89" s="74" t="s">
        <v>4278</v>
      </c>
      <c r="D89" s="129"/>
      <c r="E89" s="129"/>
      <c r="F89" s="129"/>
      <c r="G89" s="129"/>
      <c r="H89" s="129"/>
      <c r="I89" s="129"/>
      <c r="J89" s="129"/>
      <c r="K89" s="129"/>
      <c r="L89" s="129"/>
      <c r="M89" s="129"/>
      <c r="N89" s="129"/>
      <c r="O89" s="129"/>
      <c r="P89" s="129"/>
      <c r="Q89" s="129"/>
      <c r="R89" s="129"/>
      <c r="AG89" s="0" t="s">
        <v>4280</v>
      </c>
    </row>
    <row customHeight="1" ht="12">
      <c r="A90" s="74" t="s">
        <v>4281</v>
      </c>
      <c r="B90" s="73" t="s">
        <v>4282</v>
      </c>
      <c r="C90" s="74" t="s">
        <v>4281</v>
      </c>
      <c r="D90" s="129"/>
      <c r="E90" s="129"/>
      <c r="F90" s="129"/>
      <c r="G90" s="129"/>
      <c r="H90" s="129"/>
      <c r="I90" s="129"/>
      <c r="J90" s="129"/>
      <c r="K90" s="129"/>
      <c r="L90" s="129"/>
      <c r="M90" s="129"/>
      <c r="N90" s="129"/>
      <c r="O90" s="129"/>
      <c r="P90" s="129"/>
      <c r="Q90" s="129"/>
      <c r="R90" s="129"/>
      <c r="AG90" s="0" t="s">
        <v>4283</v>
      </c>
    </row>
    <row customHeight="1" ht="12">
      <c r="A91" s="118"/>
      <c r="B91" s="118"/>
      <c r="C91" s="384"/>
      <c r="D91" s="129"/>
      <c r="E91" s="129"/>
      <c r="F91" s="129"/>
      <c r="G91" s="129"/>
      <c r="H91" s="129"/>
      <c r="I91" s="129"/>
      <c r="J91" s="129"/>
      <c r="K91" s="129"/>
      <c r="L91" s="129"/>
      <c r="M91" s="129"/>
      <c r="N91" s="129"/>
      <c r="O91" s="129"/>
      <c r="P91" s="129"/>
      <c r="Q91" s="129"/>
      <c r="R91" s="129"/>
      <c r="AG91" s="0" t="s">
        <v>4284</v>
      </c>
    </row>
    <row customHeight="1" ht="12">
      <c r="A92" s="129"/>
      <c r="B92" s="129"/>
      <c r="C92" s="129"/>
      <c r="D92" s="129"/>
      <c r="E92" s="129"/>
      <c r="F92" s="129"/>
      <c r="G92" s="129"/>
      <c r="H92" s="129"/>
      <c r="I92" s="129"/>
      <c r="J92" s="129"/>
      <c r="K92" s="129"/>
      <c r="L92" s="129"/>
      <c r="M92" s="129"/>
      <c r="N92" s="129"/>
      <c r="O92" s="129"/>
      <c r="P92" s="129"/>
      <c r="Q92" s="129"/>
      <c r="R92" s="129"/>
      <c r="AG92" s="0" t="s">
        <v>4285</v>
      </c>
    </row>
    <row customHeight="1" ht="12">
      <c r="A93" s="129"/>
      <c r="B93" s="129"/>
      <c r="C93" s="129"/>
      <c r="D93" s="129"/>
      <c r="E93" s="129"/>
      <c r="F93" s="129"/>
      <c r="G93" s="129"/>
      <c r="H93" s="129"/>
      <c r="I93" s="129"/>
      <c r="J93" s="129"/>
      <c r="K93" s="129"/>
      <c r="L93" s="129"/>
      <c r="M93" s="129"/>
      <c r="N93" s="129"/>
      <c r="O93" s="129"/>
      <c r="P93" s="129"/>
      <c r="Q93" s="129"/>
      <c r="R93" s="129"/>
      <c r="AG93" s="0" t="s">
        <v>4286</v>
      </c>
    </row>
    <row customHeight="1" ht="12">
      <c r="A94" s="118" t="s">
        <v>3827</v>
      </c>
      <c r="B94" s="385" t="s">
        <v>4287</v>
      </c>
      <c r="C94" s="118"/>
      <c r="D94" s="129"/>
      <c r="E94" s="129"/>
      <c r="F94" s="129"/>
      <c r="G94" s="129"/>
      <c r="H94" s="129"/>
      <c r="I94" s="129"/>
      <c r="J94" s="129"/>
      <c r="K94" s="129"/>
      <c r="L94" s="129"/>
      <c r="M94" s="129"/>
      <c r="N94" s="129"/>
      <c r="O94" s="129"/>
      <c r="P94" s="129"/>
      <c r="Q94" s="129"/>
      <c r="R94" s="129"/>
      <c r="AG94" s="0" t="s">
        <v>4288</v>
      </c>
    </row>
    <row customHeight="1" ht="12">
      <c r="A95" s="118" t="s">
        <v>3850</v>
      </c>
      <c r="B95" s="385" t="s">
        <v>4289</v>
      </c>
      <c r="C95" s="118"/>
      <c r="D95" s="129"/>
      <c r="E95" s="129"/>
      <c r="F95" s="129"/>
      <c r="G95" s="129"/>
      <c r="H95" s="129"/>
      <c r="I95" s="129"/>
      <c r="J95" s="129"/>
      <c r="K95" s="129"/>
      <c r="L95" s="129"/>
      <c r="M95" s="129"/>
      <c r="N95" s="129"/>
      <c r="O95" s="129"/>
      <c r="P95" s="129"/>
      <c r="Q95" s="129"/>
      <c r="R95" s="129"/>
      <c r="AG95" s="0" t="s">
        <v>4290</v>
      </c>
    </row>
    <row customHeight="1" ht="12">
      <c r="A96" s="118" t="s">
        <v>3866</v>
      </c>
      <c r="B96" s="385" t="s">
        <v>4291</v>
      </c>
      <c r="C96" s="118"/>
      <c r="D96" s="129"/>
      <c r="E96" s="129"/>
      <c r="F96" s="129"/>
      <c r="G96" s="129"/>
      <c r="H96" s="129"/>
      <c r="I96" s="129"/>
      <c r="J96" s="129"/>
      <c r="K96" s="129"/>
      <c r="L96" s="129"/>
      <c r="M96" s="129"/>
      <c r="N96" s="129"/>
      <c r="O96" s="129"/>
      <c r="P96" s="129"/>
      <c r="Q96" s="129"/>
      <c r="R96" s="129"/>
      <c r="AG96" s="0" t="s">
        <v>4292</v>
      </c>
    </row>
    <row customHeight="1" ht="12">
      <c r="A97" s="118" t="s">
        <v>3878</v>
      </c>
      <c r="B97" s="385" t="s">
        <v>4293</v>
      </c>
      <c r="C97" s="118"/>
      <c r="D97" s="129"/>
      <c r="E97" s="129"/>
      <c r="F97" s="129"/>
      <c r="G97" s="129"/>
      <c r="H97" s="129"/>
      <c r="I97" s="129"/>
      <c r="J97" s="129"/>
      <c r="K97" s="129"/>
      <c r="L97" s="129"/>
      <c r="M97" s="129"/>
      <c r="N97" s="129"/>
      <c r="O97" s="129"/>
      <c r="P97" s="129"/>
      <c r="Q97" s="129"/>
      <c r="R97" s="129"/>
      <c r="AG97" s="0" t="s">
        <v>4294</v>
      </c>
    </row>
    <row customHeight="1" ht="12">
      <c r="A98" s="118" t="s">
        <v>3890</v>
      </c>
      <c r="B98" s="385" t="s">
        <v>4295</v>
      </c>
      <c r="C98" s="118"/>
      <c r="D98" s="129"/>
      <c r="E98" s="129"/>
      <c r="F98" s="129"/>
      <c r="G98" s="129"/>
      <c r="H98" s="129"/>
      <c r="I98" s="129"/>
      <c r="J98" s="129"/>
      <c r="K98" s="129"/>
      <c r="L98" s="129"/>
      <c r="M98" s="129"/>
      <c r="N98" s="129"/>
      <c r="O98" s="129"/>
      <c r="P98" s="129"/>
      <c r="Q98" s="129"/>
      <c r="R98" s="129"/>
      <c r="AG98" s="0" t="s">
        <v>4296</v>
      </c>
    </row>
    <row customHeight="1" ht="12">
      <c r="A99" s="118" t="s">
        <v>3903</v>
      </c>
      <c r="B99" s="385" t="s">
        <v>4297</v>
      </c>
      <c r="C99" s="118"/>
      <c r="D99" s="129"/>
      <c r="E99" s="129"/>
      <c r="F99" s="129"/>
      <c r="G99" s="129"/>
      <c r="H99" s="129"/>
      <c r="I99" s="129"/>
      <c r="J99" s="129"/>
      <c r="K99" s="129"/>
      <c r="L99" s="129"/>
      <c r="M99" s="129"/>
      <c r="N99" s="129"/>
      <c r="O99" s="129"/>
      <c r="P99" s="129"/>
      <c r="Q99" s="129"/>
      <c r="R99" s="129"/>
      <c r="AG99" s="0" t="s">
        <v>4298</v>
      </c>
    </row>
    <row customHeight="1" ht="12">
      <c r="A100" s="118" t="s">
        <v>3911</v>
      </c>
      <c r="B100" s="385" t="s">
        <v>4299</v>
      </c>
      <c r="C100" s="118"/>
      <c r="D100" s="129"/>
      <c r="E100" s="129"/>
      <c r="F100" s="129"/>
      <c r="G100" s="129"/>
      <c r="H100" s="129"/>
      <c r="I100" s="129"/>
      <c r="J100" s="129"/>
      <c r="K100" s="129"/>
      <c r="L100" s="129"/>
      <c r="M100" s="129"/>
      <c r="N100" s="129"/>
      <c r="O100" s="136"/>
      <c r="P100" s="129"/>
      <c r="Q100" s="129"/>
      <c r="R100" s="129"/>
      <c r="AG100" s="0" t="s">
        <v>4300</v>
      </c>
    </row>
    <row customHeight="1" ht="12">
      <c r="A101" s="118" t="s">
        <v>3922</v>
      </c>
      <c r="B101" s="385" t="s">
        <v>4301</v>
      </c>
      <c r="C101" s="118"/>
      <c r="D101" s="129"/>
      <c r="E101" s="129"/>
      <c r="F101" s="129"/>
      <c r="G101" s="129"/>
      <c r="H101" s="129"/>
      <c r="I101" s="129"/>
      <c r="J101" s="129"/>
      <c r="K101" s="129"/>
      <c r="L101" s="129"/>
      <c r="M101" s="129"/>
      <c r="N101" s="129"/>
      <c r="O101" s="136"/>
      <c r="P101" s="129"/>
      <c r="Q101" s="129"/>
      <c r="R101" s="129"/>
      <c r="AG101" s="0" t="s">
        <v>4302</v>
      </c>
    </row>
    <row customHeight="1" ht="12">
      <c r="A102" s="118" t="s">
        <v>3932</v>
      </c>
      <c r="B102" s="385" t="s">
        <v>4303</v>
      </c>
      <c r="C102" s="118"/>
      <c r="D102" s="129"/>
      <c r="E102" s="129"/>
      <c r="F102" s="129"/>
      <c r="G102" s="129"/>
      <c r="H102" s="129"/>
      <c r="I102" s="129"/>
      <c r="J102" s="129"/>
      <c r="K102" s="129"/>
      <c r="L102" s="129"/>
      <c r="M102" s="129"/>
      <c r="N102" s="129"/>
      <c r="O102" s="136"/>
      <c r="P102" s="129"/>
      <c r="Q102" s="129"/>
      <c r="R102" s="129"/>
      <c r="AG102" s="0" t="s">
        <v>4304</v>
      </c>
    </row>
    <row customHeight="1" ht="12">
      <c r="A103" s="118" t="s">
        <v>3941</v>
      </c>
      <c r="B103" s="385" t="s">
        <v>4305</v>
      </c>
      <c r="C103" s="118"/>
      <c r="D103" s="129"/>
      <c r="E103" s="129"/>
      <c r="F103" s="129"/>
      <c r="G103" s="129"/>
      <c r="H103" s="129"/>
      <c r="I103" s="129"/>
      <c r="J103" s="129"/>
      <c r="K103" s="129"/>
      <c r="L103" s="129"/>
      <c r="M103" s="129"/>
      <c r="N103" s="129"/>
      <c r="O103" s="136"/>
      <c r="P103" s="129"/>
      <c r="Q103" s="129"/>
      <c r="R103" s="129"/>
      <c r="AG103" s="0" t="s">
        <v>4306</v>
      </c>
    </row>
    <row customHeight="1" ht="12">
      <c r="A104" s="118" t="s">
        <v>3950</v>
      </c>
      <c r="B104" s="385" t="s">
        <v>4307</v>
      </c>
      <c r="C104" s="118"/>
      <c r="D104" s="129"/>
      <c r="E104" s="129"/>
      <c r="F104" s="129"/>
      <c r="G104" s="129"/>
      <c r="H104" s="129"/>
      <c r="I104" s="129"/>
      <c r="J104" s="129"/>
      <c r="K104" s="129"/>
      <c r="L104" s="129"/>
      <c r="M104" s="129"/>
      <c r="N104" s="129"/>
      <c r="O104" s="136"/>
      <c r="P104" s="129"/>
      <c r="Q104" s="129"/>
      <c r="R104" s="129"/>
      <c r="AG104" s="0" t="s">
        <v>4308</v>
      </c>
    </row>
    <row customHeight="1" ht="12">
      <c r="A105" s="118" t="s">
        <v>3960</v>
      </c>
      <c r="B105" s="385" t="s">
        <v>4309</v>
      </c>
      <c r="C105" s="118"/>
      <c r="D105" s="129"/>
      <c r="E105" s="129"/>
      <c r="F105" s="129"/>
      <c r="G105" s="129"/>
      <c r="H105" s="129"/>
      <c r="I105" s="129"/>
      <c r="J105" s="129"/>
      <c r="K105" s="129"/>
      <c r="L105" s="129"/>
      <c r="M105" s="129"/>
      <c r="N105" s="129"/>
      <c r="O105" s="136"/>
      <c r="P105" s="129"/>
      <c r="Q105" s="129"/>
      <c r="R105" s="129"/>
      <c r="AG105" s="0" t="s">
        <v>4310</v>
      </c>
    </row>
    <row customHeight="1" ht="12">
      <c r="A106" s="118" t="s">
        <v>3967</v>
      </c>
      <c r="B106" s="385" t="s">
        <v>4311</v>
      </c>
      <c r="C106" s="118"/>
      <c r="D106" s="129"/>
      <c r="E106" s="129"/>
      <c r="F106" s="129"/>
      <c r="G106" s="129"/>
      <c r="H106" s="129"/>
      <c r="I106" s="129"/>
      <c r="J106" s="129"/>
      <c r="K106" s="129"/>
      <c r="L106" s="129"/>
      <c r="M106" s="129"/>
      <c r="N106" s="129"/>
      <c r="O106" s="136"/>
      <c r="P106" s="129"/>
      <c r="Q106" s="129"/>
      <c r="R106" s="129"/>
      <c r="AG106" s="0" t="s">
        <v>4312</v>
      </c>
    </row>
    <row customHeight="1" ht="12">
      <c r="A107" s="118" t="s">
        <v>3976</v>
      </c>
      <c r="B107" s="385" t="s">
        <v>4313</v>
      </c>
      <c r="C107" s="118"/>
      <c r="D107" s="129"/>
      <c r="E107" s="129"/>
      <c r="F107" s="129"/>
      <c r="G107" s="129"/>
      <c r="H107" s="129"/>
      <c r="I107" s="129"/>
      <c r="J107" s="129"/>
      <c r="K107" s="129"/>
      <c r="L107" s="129"/>
      <c r="M107" s="129"/>
      <c r="N107" s="129"/>
      <c r="O107" s="136"/>
      <c r="P107" s="129"/>
      <c r="Q107" s="129"/>
      <c r="R107" s="129"/>
      <c r="AG107" s="0" t="s">
        <v>4314</v>
      </c>
    </row>
    <row customHeight="1" ht="12">
      <c r="A108" s="118" t="s">
        <v>3984</v>
      </c>
      <c r="B108" s="385" t="s">
        <v>4315</v>
      </c>
      <c r="C108" s="118"/>
      <c r="D108" s="129"/>
      <c r="E108" s="129"/>
      <c r="F108" s="129"/>
      <c r="G108" s="129"/>
      <c r="H108" s="129"/>
      <c r="I108" s="129"/>
      <c r="J108" s="129"/>
      <c r="K108" s="129"/>
      <c r="L108" s="129"/>
      <c r="M108" s="136"/>
      <c r="N108" s="129"/>
      <c r="O108" s="136"/>
      <c r="P108" s="129"/>
      <c r="Q108" s="129"/>
      <c r="R108" s="129"/>
      <c r="AG108" s="0" t="s">
        <v>4316</v>
      </c>
    </row>
    <row customHeight="1" ht="12">
      <c r="A109" s="118" t="s">
        <v>3989</v>
      </c>
      <c r="B109" s="385" t="s">
        <v>4317</v>
      </c>
      <c r="C109" s="118"/>
      <c r="D109" s="129"/>
      <c r="E109" s="129"/>
      <c r="F109" s="129"/>
      <c r="G109" s="129"/>
      <c r="H109" s="129"/>
      <c r="I109" s="129"/>
      <c r="J109" s="129"/>
      <c r="K109" s="129"/>
      <c r="L109" s="129"/>
      <c r="M109" s="136"/>
      <c r="N109" s="129"/>
      <c r="O109" s="136"/>
      <c r="P109" s="129"/>
      <c r="Q109" s="129"/>
      <c r="R109" s="129"/>
      <c r="AG109" s="0" t="s">
        <v>4318</v>
      </c>
    </row>
    <row customHeight="1" ht="12">
      <c r="A110" s="118" t="s">
        <v>3995</v>
      </c>
      <c r="B110" s="385" t="s">
        <v>4319</v>
      </c>
      <c r="C110" s="118"/>
      <c r="D110" s="129"/>
      <c r="E110" s="129"/>
      <c r="F110" s="129"/>
      <c r="G110" s="129"/>
      <c r="H110" s="129"/>
      <c r="I110" s="129"/>
      <c r="J110" s="129"/>
      <c r="K110" s="129"/>
      <c r="L110" s="129"/>
      <c r="M110" s="136"/>
      <c r="N110" s="129"/>
      <c r="O110" s="136"/>
      <c r="P110" s="129"/>
      <c r="Q110" s="129"/>
      <c r="R110" s="129"/>
      <c r="AG110" s="0" t="s">
        <v>4320</v>
      </c>
    </row>
    <row customHeight="1" ht="12">
      <c r="A111" s="118" t="s">
        <v>4001</v>
      </c>
      <c r="B111" s="385" t="s">
        <v>4321</v>
      </c>
      <c r="C111" s="118"/>
      <c r="D111" s="129"/>
      <c r="E111" s="129"/>
      <c r="F111" s="129"/>
      <c r="G111" s="129"/>
      <c r="H111" s="129"/>
      <c r="I111" s="129"/>
      <c r="J111" s="129"/>
      <c r="K111" s="129"/>
      <c r="L111" s="129"/>
      <c r="M111" s="136"/>
      <c r="N111" s="129"/>
      <c r="O111" s="136"/>
      <c r="P111" s="129"/>
      <c r="Q111" s="129"/>
      <c r="R111" s="129"/>
      <c r="AG111" s="0" t="s">
        <v>4322</v>
      </c>
    </row>
    <row customHeight="1" ht="12">
      <c r="A112" s="118" t="s">
        <v>4007</v>
      </c>
      <c r="B112" s="385" t="s">
        <v>4323</v>
      </c>
      <c r="C112" s="118"/>
      <c r="D112" s="129"/>
      <c r="E112" s="129"/>
      <c r="F112" s="129"/>
      <c r="G112" s="129"/>
      <c r="H112" s="129"/>
      <c r="I112" s="129"/>
      <c r="J112" s="129"/>
      <c r="K112" s="129"/>
      <c r="L112" s="129"/>
      <c r="M112" s="136"/>
      <c r="N112" s="129"/>
      <c r="O112" s="136"/>
      <c r="P112" s="129"/>
      <c r="Q112" s="129"/>
      <c r="R112" s="129"/>
      <c r="AG112" s="0" t="s">
        <v>4324</v>
      </c>
    </row>
    <row customHeight="1" ht="12">
      <c r="A113" s="118" t="s">
        <v>4013</v>
      </c>
      <c r="B113" s="385" t="s">
        <v>4325</v>
      </c>
      <c r="C113" s="118"/>
      <c r="D113" s="129"/>
      <c r="E113" s="129"/>
      <c r="F113" s="129"/>
      <c r="G113" s="129"/>
      <c r="H113" s="129"/>
      <c r="I113" s="129"/>
      <c r="J113" s="129"/>
      <c r="K113" s="129"/>
      <c r="L113" s="129"/>
      <c r="M113" s="136"/>
      <c r="N113" s="129"/>
      <c r="O113" s="136"/>
      <c r="P113" s="129"/>
      <c r="Q113" s="129"/>
      <c r="R113" s="129"/>
      <c r="AG113" s="0" t="s">
        <v>4326</v>
      </c>
    </row>
    <row customHeight="1" ht="12">
      <c r="A114" s="118" t="s">
        <v>4019</v>
      </c>
      <c r="B114" s="385" t="s">
        <v>4327</v>
      </c>
      <c r="C114" s="118"/>
      <c r="D114" s="129"/>
      <c r="E114" s="129"/>
      <c r="F114" s="129"/>
      <c r="G114" s="129"/>
      <c r="H114" s="129"/>
      <c r="I114" s="129"/>
      <c r="J114" s="129"/>
      <c r="K114" s="129"/>
      <c r="L114" s="129"/>
      <c r="M114" s="136"/>
      <c r="N114" s="129"/>
      <c r="O114" s="136"/>
      <c r="P114" s="129"/>
      <c r="Q114" s="129"/>
      <c r="R114" s="129"/>
      <c r="AG114" s="0" t="s">
        <v>4328</v>
      </c>
    </row>
    <row customHeight="1" ht="12">
      <c r="A115" s="118" t="s">
        <v>4026</v>
      </c>
      <c r="B115" s="385" t="s">
        <v>4329</v>
      </c>
      <c r="C115" s="118"/>
      <c r="D115" s="129"/>
      <c r="E115" s="129"/>
      <c r="F115" s="129"/>
      <c r="G115" s="129"/>
      <c r="H115" s="129"/>
      <c r="I115" s="129"/>
      <c r="J115" s="129"/>
      <c r="K115" s="129"/>
      <c r="L115" s="129"/>
      <c r="M115" s="136"/>
      <c r="N115" s="129"/>
      <c r="O115" s="136"/>
      <c r="P115" s="129"/>
      <c r="Q115" s="129"/>
      <c r="R115" s="129"/>
      <c r="AG115" s="0" t="s">
        <v>4330</v>
      </c>
    </row>
    <row customHeight="1" ht="12">
      <c r="A116" s="118" t="s">
        <v>4032</v>
      </c>
      <c r="B116" s="385" t="s">
        <v>4331</v>
      </c>
      <c r="C116" s="118"/>
      <c r="D116" s="129"/>
      <c r="E116" s="129"/>
      <c r="F116" s="129"/>
      <c r="G116" s="129"/>
      <c r="H116" s="129"/>
      <c r="I116" s="129"/>
      <c r="J116" s="129"/>
      <c r="K116" s="129"/>
      <c r="L116" s="129"/>
      <c r="M116" s="136"/>
      <c r="N116" s="129"/>
      <c r="O116" s="136"/>
      <c r="P116" s="129"/>
      <c r="Q116" s="129"/>
      <c r="R116" s="129"/>
      <c r="AG116" s="0" t="s">
        <v>4332</v>
      </c>
    </row>
    <row customHeight="1" ht="12">
      <c r="A117" s="118" t="s">
        <v>4037</v>
      </c>
      <c r="B117" s="385" t="s">
        <v>4333</v>
      </c>
      <c r="C117" s="118"/>
      <c r="D117" s="129"/>
      <c r="E117" s="129"/>
      <c r="F117" s="129"/>
      <c r="G117" s="129"/>
      <c r="H117" s="129"/>
      <c r="I117" s="129"/>
      <c r="J117" s="129"/>
      <c r="K117" s="129"/>
      <c r="L117" s="129"/>
      <c r="M117" s="136"/>
      <c r="N117" s="129"/>
      <c r="O117" s="136"/>
      <c r="P117" s="129"/>
      <c r="Q117" s="129"/>
      <c r="R117" s="129"/>
      <c r="AG117" s="0" t="s">
        <v>4334</v>
      </c>
    </row>
    <row customHeight="1" ht="12">
      <c r="A118" s="118" t="s">
        <v>4042</v>
      </c>
      <c r="B118" s="385" t="s">
        <v>4335</v>
      </c>
      <c r="C118" s="118"/>
      <c r="D118" s="129"/>
      <c r="E118" s="129"/>
      <c r="F118" s="129"/>
      <c r="G118" s="129"/>
      <c r="H118" s="129"/>
      <c r="I118" s="129"/>
      <c r="J118" s="129"/>
      <c r="K118" s="129"/>
      <c r="L118" s="129"/>
      <c r="M118" s="136"/>
      <c r="N118" s="129"/>
      <c r="O118" s="136"/>
      <c r="P118" s="129"/>
      <c r="Q118" s="129"/>
      <c r="R118" s="129"/>
      <c r="AG118" s="0" t="s">
        <v>4336</v>
      </c>
    </row>
    <row customHeight="1" ht="12">
      <c r="A119" s="118" t="s">
        <v>101</v>
      </c>
      <c r="B119" s="385" t="s">
        <v>109</v>
      </c>
      <c r="C119" s="118"/>
      <c r="D119" s="129"/>
      <c r="E119" s="129"/>
      <c r="F119" s="129"/>
      <c r="G119" s="129"/>
      <c r="H119" s="129"/>
      <c r="I119" s="129"/>
      <c r="J119" s="129"/>
      <c r="K119" s="129"/>
      <c r="L119" s="129"/>
      <c r="M119" s="136"/>
      <c r="N119" s="129"/>
      <c r="O119" s="136"/>
      <c r="P119" s="129"/>
      <c r="Q119" s="129"/>
      <c r="R119" s="129"/>
      <c r="AG119" s="0" t="s">
        <v>4337</v>
      </c>
    </row>
    <row customHeight="1" ht="12">
      <c r="A120" s="118" t="s">
        <v>4050</v>
      </c>
      <c r="B120" s="385" t="s">
        <v>4338</v>
      </c>
      <c r="C120" s="118"/>
      <c r="D120" s="129"/>
      <c r="E120" s="129"/>
      <c r="F120" s="129"/>
      <c r="G120" s="129"/>
      <c r="H120" s="129"/>
      <c r="I120" s="129"/>
      <c r="J120" s="129"/>
      <c r="K120" s="129"/>
      <c r="L120" s="129"/>
      <c r="M120" s="136"/>
      <c r="N120" s="129"/>
      <c r="O120" s="136"/>
      <c r="P120" s="129"/>
      <c r="Q120" s="129"/>
      <c r="R120" s="129"/>
      <c r="AG120" s="0" t="s">
        <v>4339</v>
      </c>
    </row>
    <row customHeight="1" ht="12">
      <c r="A121" s="118" t="s">
        <v>4055</v>
      </c>
      <c r="B121" s="385" t="s">
        <v>4340</v>
      </c>
      <c r="C121" s="118"/>
      <c r="D121" s="129"/>
      <c r="E121" s="129"/>
      <c r="F121" s="129"/>
      <c r="G121" s="129"/>
      <c r="H121" s="129"/>
      <c r="I121" s="129"/>
      <c r="J121" s="129"/>
      <c r="K121" s="129"/>
      <c r="L121" s="129"/>
      <c r="M121" s="136"/>
      <c r="N121" s="129"/>
      <c r="O121" s="136"/>
      <c r="P121" s="129"/>
      <c r="Q121" s="129"/>
      <c r="R121" s="129"/>
      <c r="AG121" s="0" t="s">
        <v>4341</v>
      </c>
    </row>
    <row customHeight="1" ht="12">
      <c r="A122" s="118" t="s">
        <v>4060</v>
      </c>
      <c r="B122" s="385" t="s">
        <v>4342</v>
      </c>
      <c r="C122" s="118"/>
      <c r="D122" s="129"/>
      <c r="E122" s="129"/>
      <c r="F122" s="129"/>
      <c r="G122" s="129"/>
      <c r="H122" s="129"/>
      <c r="I122" s="129"/>
      <c r="J122" s="129"/>
      <c r="K122" s="129"/>
      <c r="L122" s="129"/>
      <c r="M122" s="136"/>
      <c r="N122" s="129"/>
      <c r="O122" s="136"/>
      <c r="P122" s="129"/>
      <c r="Q122" s="129"/>
      <c r="R122" s="129"/>
      <c r="AG122" s="0" t="s">
        <v>4343</v>
      </c>
    </row>
    <row customHeight="1" ht="12">
      <c r="A123" s="118" t="s">
        <v>4065</v>
      </c>
      <c r="B123" s="385" t="s">
        <v>4344</v>
      </c>
      <c r="C123" s="118"/>
      <c r="D123" s="129"/>
      <c r="E123" s="129"/>
      <c r="F123" s="129"/>
      <c r="G123" s="129"/>
      <c r="H123" s="129"/>
      <c r="I123" s="129"/>
      <c r="J123" s="129"/>
      <c r="K123" s="129"/>
      <c r="L123" s="129"/>
      <c r="M123" s="136"/>
      <c r="N123" s="129"/>
      <c r="O123" s="136"/>
      <c r="P123" s="129"/>
      <c r="Q123" s="129"/>
      <c r="R123" s="129"/>
      <c r="AG123" s="0" t="s">
        <v>4345</v>
      </c>
    </row>
    <row customHeight="1" ht="12">
      <c r="A124" s="118" t="s">
        <v>4069</v>
      </c>
      <c r="B124" s="385" t="s">
        <v>4346</v>
      </c>
      <c r="C124" s="118"/>
      <c r="D124" s="129"/>
      <c r="E124" s="129"/>
      <c r="F124" s="129"/>
      <c r="G124" s="129"/>
      <c r="H124" s="129"/>
      <c r="I124" s="129"/>
      <c r="J124" s="129"/>
      <c r="K124" s="129"/>
      <c r="L124" s="129"/>
      <c r="M124" s="136"/>
      <c r="N124" s="129"/>
      <c r="O124" s="136"/>
      <c r="P124" s="129"/>
      <c r="Q124" s="129"/>
      <c r="R124" s="129"/>
      <c r="AG124" s="0" t="s">
        <v>4347</v>
      </c>
    </row>
    <row customHeight="1" ht="12">
      <c r="A125" s="118" t="s">
        <v>4074</v>
      </c>
      <c r="B125" s="385" t="s">
        <v>4348</v>
      </c>
      <c r="C125" s="118"/>
      <c r="D125" s="129"/>
      <c r="E125" s="129"/>
      <c r="F125" s="129"/>
      <c r="G125" s="129"/>
      <c r="H125" s="129"/>
      <c r="I125" s="129"/>
      <c r="J125" s="129"/>
      <c r="K125" s="129"/>
      <c r="L125" s="129"/>
      <c r="M125" s="136"/>
      <c r="N125" s="129"/>
      <c r="O125" s="136"/>
      <c r="P125" s="129"/>
      <c r="Q125" s="129"/>
      <c r="R125" s="129"/>
      <c r="AG125" s="0" t="s">
        <v>4349</v>
      </c>
    </row>
    <row customHeight="1" ht="12">
      <c r="A126" s="118" t="s">
        <v>4079</v>
      </c>
      <c r="B126" s="385" t="s">
        <v>4350</v>
      </c>
      <c r="C126" s="118"/>
      <c r="D126" s="129"/>
      <c r="E126" s="129"/>
      <c r="F126" s="129"/>
      <c r="G126" s="129"/>
      <c r="H126" s="129"/>
      <c r="I126" s="129"/>
      <c r="J126" s="129"/>
      <c r="K126" s="129"/>
      <c r="L126" s="129"/>
      <c r="M126" s="136"/>
      <c r="N126" s="129"/>
      <c r="O126" s="136"/>
      <c r="P126" s="129"/>
      <c r="Q126" s="129"/>
      <c r="R126" s="129"/>
      <c r="AG126" s="0" t="s">
        <v>4351</v>
      </c>
    </row>
    <row customHeight="1" ht="12">
      <c r="A127" s="118" t="s">
        <v>4084</v>
      </c>
      <c r="B127" s="385" t="s">
        <v>4352</v>
      </c>
      <c r="C127" s="118"/>
      <c r="D127" s="129"/>
      <c r="E127" s="129"/>
      <c r="F127" s="129"/>
      <c r="G127" s="129"/>
      <c r="H127" s="129"/>
      <c r="I127" s="129"/>
      <c r="J127" s="129"/>
      <c r="K127" s="129"/>
      <c r="L127" s="129"/>
      <c r="M127" s="136"/>
      <c r="N127" s="129"/>
      <c r="O127" s="136"/>
      <c r="P127" s="129"/>
      <c r="Q127" s="129"/>
      <c r="R127" s="129"/>
      <c r="AG127" s="0" t="s">
        <v>4353</v>
      </c>
    </row>
    <row customHeight="1" ht="12">
      <c r="A128" s="118" t="s">
        <v>4088</v>
      </c>
      <c r="B128" s="385" t="s">
        <v>4354</v>
      </c>
      <c r="C128" s="118"/>
      <c r="D128" s="129"/>
      <c r="E128" s="129"/>
      <c r="F128" s="129"/>
      <c r="G128" s="129"/>
      <c r="H128" s="129"/>
      <c r="I128" s="129"/>
      <c r="J128" s="129"/>
      <c r="K128" s="129"/>
      <c r="L128" s="129"/>
      <c r="M128" s="136"/>
      <c r="N128" s="129"/>
      <c r="O128" s="136"/>
      <c r="P128" s="129"/>
      <c r="Q128" s="129"/>
      <c r="R128" s="129"/>
      <c r="AG128" s="0" t="s">
        <v>4355</v>
      </c>
    </row>
    <row customHeight="1" ht="12">
      <c r="A129" s="118" t="s">
        <v>4092</v>
      </c>
      <c r="B129" s="385" t="s">
        <v>4356</v>
      </c>
      <c r="C129" s="118"/>
      <c r="D129" s="129"/>
      <c r="E129" s="129"/>
      <c r="F129" s="129"/>
      <c r="G129" s="129"/>
      <c r="H129" s="129"/>
      <c r="I129" s="129"/>
      <c r="J129" s="129"/>
      <c r="K129" s="129"/>
      <c r="L129" s="129"/>
      <c r="M129" s="136"/>
      <c r="N129" s="129"/>
      <c r="O129" s="136"/>
      <c r="P129" s="129"/>
      <c r="Q129" s="129"/>
      <c r="R129" s="129"/>
      <c r="AG129" s="0" t="s">
        <v>4357</v>
      </c>
    </row>
    <row customHeight="1" ht="12">
      <c r="A130" s="118" t="s">
        <v>4097</v>
      </c>
      <c r="B130" s="385" t="s">
        <v>4358</v>
      </c>
      <c r="C130" s="118"/>
      <c r="D130" s="129"/>
      <c r="E130" s="129"/>
      <c r="F130" s="129"/>
      <c r="G130" s="129"/>
      <c r="H130" s="129"/>
      <c r="I130" s="129"/>
      <c r="J130" s="129"/>
      <c r="K130" s="129"/>
      <c r="L130" s="136"/>
      <c r="M130" s="136"/>
      <c r="N130" s="129"/>
      <c r="O130" s="129"/>
      <c r="P130" s="129"/>
      <c r="Q130" s="129"/>
      <c r="R130" s="129"/>
      <c r="AG130" s="0" t="s">
        <v>4359</v>
      </c>
    </row>
    <row customHeight="1" ht="12">
      <c r="A131" s="118" t="s">
        <v>4101</v>
      </c>
      <c r="B131" s="385" t="s">
        <v>4360</v>
      </c>
      <c r="C131" s="118"/>
      <c r="D131" s="129"/>
      <c r="E131" s="129"/>
      <c r="F131" s="129"/>
      <c r="G131" s="129"/>
      <c r="H131" s="129"/>
      <c r="I131" s="129"/>
      <c r="J131" s="129"/>
      <c r="K131" s="129"/>
      <c r="L131" s="136"/>
      <c r="M131" s="136"/>
      <c r="N131" s="129"/>
      <c r="O131" s="129"/>
      <c r="P131" s="129"/>
      <c r="Q131" s="129"/>
      <c r="R131" s="129"/>
      <c r="AG131" s="0" t="s">
        <v>4361</v>
      </c>
    </row>
    <row customHeight="1" ht="12">
      <c r="A132" s="118" t="s">
        <v>4106</v>
      </c>
      <c r="B132" s="385" t="s">
        <v>4362</v>
      </c>
      <c r="C132" s="118"/>
      <c r="D132" s="129"/>
      <c r="E132" s="129"/>
      <c r="F132" s="129"/>
      <c r="G132" s="129"/>
      <c r="H132" s="129"/>
      <c r="I132" s="129"/>
      <c r="J132" s="129"/>
      <c r="K132" s="129"/>
      <c r="L132" s="136"/>
      <c r="M132" s="136"/>
      <c r="N132" s="129"/>
      <c r="O132" s="129"/>
      <c r="P132" s="129"/>
      <c r="Q132" s="129"/>
      <c r="R132" s="129"/>
      <c r="AG132" s="0" t="s">
        <v>4363</v>
      </c>
    </row>
    <row customHeight="1" ht="12">
      <c r="A133" s="118" t="s">
        <v>4110</v>
      </c>
      <c r="B133" s="385" t="s">
        <v>4364</v>
      </c>
      <c r="C133" s="118"/>
      <c r="D133" s="129"/>
      <c r="E133" s="129"/>
      <c r="F133" s="129"/>
      <c r="G133" s="129"/>
      <c r="H133" s="129"/>
      <c r="I133" s="129"/>
      <c r="J133" s="129"/>
      <c r="K133" s="129"/>
      <c r="L133" s="136"/>
      <c r="M133" s="136"/>
      <c r="N133" s="129"/>
      <c r="O133" s="129"/>
      <c r="P133" s="129"/>
      <c r="Q133" s="129"/>
      <c r="R133" s="129"/>
      <c r="AG133" s="0" t="s">
        <v>4365</v>
      </c>
    </row>
    <row customHeight="1" ht="12">
      <c r="A134" s="118" t="s">
        <v>4114</v>
      </c>
      <c r="B134" s="385" t="s">
        <v>4366</v>
      </c>
      <c r="C134" s="118"/>
      <c r="D134" s="129"/>
      <c r="E134" s="129"/>
      <c r="F134" s="129"/>
      <c r="G134" s="129"/>
      <c r="H134" s="129"/>
      <c r="I134" s="129"/>
      <c r="J134" s="129"/>
      <c r="K134" s="129"/>
      <c r="L134" s="136"/>
      <c r="M134" s="136"/>
      <c r="N134" s="129"/>
      <c r="O134" s="129"/>
      <c r="P134" s="129"/>
      <c r="Q134" s="129"/>
      <c r="R134" s="129"/>
      <c r="AG134" s="0" t="s">
        <v>4367</v>
      </c>
    </row>
    <row customHeight="1" ht="12">
      <c r="A135" s="118" t="s">
        <v>4118</v>
      </c>
      <c r="B135" s="385" t="s">
        <v>4368</v>
      </c>
      <c r="C135" s="118"/>
      <c r="D135" s="129"/>
      <c r="E135" s="129"/>
      <c r="F135" s="129"/>
      <c r="G135" s="129"/>
      <c r="H135" s="129"/>
      <c r="I135" s="129"/>
      <c r="J135" s="129"/>
      <c r="K135" s="136"/>
      <c r="L135" s="136"/>
      <c r="M135" s="136"/>
      <c r="N135" s="129"/>
      <c r="O135" s="129"/>
      <c r="P135" s="129"/>
      <c r="Q135" s="129"/>
      <c r="R135" s="129"/>
      <c r="AG135" s="0" t="s">
        <v>4369</v>
      </c>
    </row>
    <row customHeight="1" ht="12">
      <c r="A136" s="118" t="s">
        <v>4122</v>
      </c>
      <c r="B136" s="385" t="s">
        <v>4370</v>
      </c>
      <c r="C136" s="118"/>
      <c r="D136" s="129"/>
      <c r="E136" s="129"/>
      <c r="F136" s="129"/>
      <c r="G136" s="129"/>
      <c r="H136" s="129"/>
      <c r="I136" s="129"/>
      <c r="J136" s="129"/>
      <c r="K136" s="136"/>
      <c r="L136" s="136"/>
      <c r="M136" s="136"/>
      <c r="N136" s="129"/>
      <c r="O136" s="129"/>
      <c r="P136" s="129"/>
      <c r="Q136" s="129"/>
      <c r="R136" s="129"/>
      <c r="AG136" s="0" t="s">
        <v>4371</v>
      </c>
    </row>
    <row customHeight="1" ht="12">
      <c r="A137" s="118" t="s">
        <v>4126</v>
      </c>
      <c r="B137" s="385" t="s">
        <v>4372</v>
      </c>
      <c r="C137" s="118"/>
      <c r="D137" s="129"/>
      <c r="E137" s="129"/>
      <c r="F137" s="129"/>
      <c r="G137" s="129"/>
      <c r="H137" s="129"/>
      <c r="I137" s="129"/>
      <c r="J137" s="129"/>
      <c r="K137" s="136"/>
      <c r="L137" s="136"/>
      <c r="M137" s="136"/>
      <c r="N137" s="129"/>
      <c r="O137" s="129"/>
      <c r="P137" s="129"/>
      <c r="Q137" s="129"/>
      <c r="R137" s="129"/>
      <c r="AG137" s="0" t="s">
        <v>4373</v>
      </c>
    </row>
    <row customHeight="1" ht="12">
      <c r="A138" s="118" t="s">
        <v>4130</v>
      </c>
      <c r="B138" s="385" t="s">
        <v>4374</v>
      </c>
      <c r="C138" s="118"/>
      <c r="D138" s="129"/>
      <c r="E138" s="129"/>
      <c r="F138" s="129"/>
      <c r="G138" s="129"/>
      <c r="H138" s="129"/>
      <c r="I138" s="129"/>
      <c r="J138" s="129"/>
      <c r="K138" s="136"/>
      <c r="L138" s="136"/>
      <c r="M138" s="136"/>
      <c r="N138" s="129"/>
      <c r="O138" s="129"/>
      <c r="P138" s="129"/>
      <c r="Q138" s="129"/>
      <c r="R138" s="129"/>
      <c r="AG138" s="0" t="s">
        <v>4375</v>
      </c>
    </row>
    <row customHeight="1" ht="12">
      <c r="A139" s="118" t="s">
        <v>4135</v>
      </c>
      <c r="B139" s="385" t="s">
        <v>4376</v>
      </c>
      <c r="C139" s="118"/>
      <c r="D139" s="129"/>
      <c r="E139" s="129"/>
      <c r="F139" s="129"/>
      <c r="G139" s="129"/>
      <c r="H139" s="129"/>
      <c r="I139" s="129"/>
      <c r="J139" s="129"/>
      <c r="K139" s="136"/>
      <c r="L139" s="136"/>
      <c r="M139" s="136"/>
      <c r="N139" s="129"/>
      <c r="O139" s="129"/>
      <c r="P139" s="129"/>
      <c r="Q139" s="129"/>
      <c r="R139" s="129"/>
      <c r="AG139" s="0" t="s">
        <v>4377</v>
      </c>
    </row>
    <row customHeight="1" ht="12">
      <c r="A140" s="118" t="s">
        <v>4139</v>
      </c>
      <c r="B140" s="385" t="s">
        <v>4378</v>
      </c>
      <c r="C140" s="118"/>
      <c r="D140" s="129"/>
      <c r="E140" s="129"/>
      <c r="F140" s="129"/>
      <c r="G140" s="129"/>
      <c r="H140" s="129"/>
      <c r="I140" s="129"/>
      <c r="J140" s="129"/>
      <c r="K140" s="136"/>
      <c r="L140" s="136"/>
      <c r="M140" s="136"/>
      <c r="N140" s="129"/>
      <c r="O140" s="129"/>
      <c r="P140" s="129"/>
      <c r="Q140" s="129"/>
      <c r="R140" s="129"/>
      <c r="AG140" s="0" t="s">
        <v>4379</v>
      </c>
    </row>
    <row customHeight="1" ht="12">
      <c r="A141" s="118" t="s">
        <v>4143</v>
      </c>
      <c r="B141" s="385" t="s">
        <v>4380</v>
      </c>
      <c r="C141" s="118"/>
      <c r="D141" s="129"/>
      <c r="E141" s="129"/>
      <c r="F141" s="129"/>
      <c r="G141" s="129"/>
      <c r="H141" s="129"/>
      <c r="I141" s="129"/>
      <c r="J141" s="129"/>
      <c r="K141" s="136"/>
      <c r="L141" s="136"/>
      <c r="M141" s="136"/>
      <c r="N141" s="129"/>
      <c r="O141" s="129"/>
      <c r="P141" s="129"/>
      <c r="Q141" s="129"/>
      <c r="R141" s="129"/>
    </row>
    <row customHeight="1" ht="12">
      <c r="A142" s="118" t="s">
        <v>4147</v>
      </c>
      <c r="B142" s="385" t="s">
        <v>4381</v>
      </c>
      <c r="C142" s="118"/>
      <c r="D142" s="129"/>
      <c r="E142" s="129"/>
      <c r="F142" s="129"/>
      <c r="G142" s="129"/>
      <c r="H142" s="129"/>
      <c r="I142" s="129"/>
      <c r="J142" s="129"/>
      <c r="K142" s="136"/>
      <c r="L142" s="136"/>
      <c r="M142" s="136"/>
      <c r="N142" s="129"/>
      <c r="O142" s="129"/>
      <c r="P142" s="129"/>
      <c r="Q142" s="129"/>
      <c r="R142" s="129"/>
    </row>
    <row customHeight="1" ht="12">
      <c r="A143" s="118" t="s">
        <v>4151</v>
      </c>
      <c r="B143" s="385" t="s">
        <v>4382</v>
      </c>
      <c r="C143" s="118"/>
      <c r="D143" s="129"/>
      <c r="E143" s="129"/>
      <c r="F143" s="129"/>
      <c r="G143" s="129"/>
      <c r="H143" s="129"/>
      <c r="I143" s="129"/>
      <c r="J143" s="129"/>
      <c r="K143" s="136"/>
      <c r="L143" s="136"/>
      <c r="M143" s="136"/>
      <c r="N143" s="129"/>
      <c r="O143" s="129"/>
      <c r="P143" s="129"/>
      <c r="Q143" s="129"/>
      <c r="R143" s="129"/>
    </row>
    <row customHeight="1" ht="12">
      <c r="A144" s="118" t="s">
        <v>4156</v>
      </c>
      <c r="B144" s="385" t="s">
        <v>4383</v>
      </c>
      <c r="C144" s="118"/>
      <c r="D144" s="129"/>
      <c r="E144" s="129"/>
      <c r="F144" s="129"/>
      <c r="G144" s="129"/>
      <c r="H144" s="129"/>
      <c r="I144" s="129"/>
      <c r="J144" s="129"/>
      <c r="K144" s="136"/>
      <c r="L144" s="136"/>
      <c r="M144" s="136"/>
      <c r="N144" s="129"/>
      <c r="O144" s="129"/>
      <c r="P144" s="129"/>
      <c r="Q144" s="129"/>
      <c r="R144" s="129"/>
    </row>
    <row customHeight="1" ht="12">
      <c r="A145" s="118" t="s">
        <v>4160</v>
      </c>
      <c r="B145" s="385" t="s">
        <v>4384</v>
      </c>
      <c r="C145" s="118"/>
      <c r="D145" s="129"/>
      <c r="E145" s="129"/>
      <c r="F145" s="129"/>
      <c r="G145" s="129"/>
      <c r="H145" s="129"/>
      <c r="I145" s="129"/>
      <c r="J145" s="129"/>
      <c r="K145" s="136"/>
      <c r="L145" s="136"/>
      <c r="M145" s="136"/>
      <c r="N145" s="129"/>
      <c r="O145" s="129"/>
      <c r="P145" s="129"/>
      <c r="R145" s="129"/>
    </row>
    <row customHeight="1" ht="12">
      <c r="A146" s="118" t="s">
        <v>4165</v>
      </c>
      <c r="B146" s="385" t="s">
        <v>4385</v>
      </c>
      <c r="C146" s="118"/>
      <c r="D146" s="129"/>
      <c r="E146" s="129"/>
      <c r="F146" s="129"/>
      <c r="G146" s="129"/>
      <c r="H146" s="129"/>
      <c r="I146" s="129"/>
      <c r="J146" s="129"/>
      <c r="K146" s="136"/>
      <c r="L146" s="136"/>
      <c r="M146" s="136"/>
      <c r="N146" s="129"/>
      <c r="O146" s="129"/>
      <c r="P146" s="129"/>
      <c r="R146" s="129"/>
    </row>
    <row customHeight="1" ht="12">
      <c r="A147" s="118" t="s">
        <v>4169</v>
      </c>
      <c r="B147" s="385" t="s">
        <v>4386</v>
      </c>
      <c r="C147" s="118"/>
      <c r="D147" s="129"/>
      <c r="E147" s="129"/>
      <c r="F147" s="129"/>
      <c r="G147" s="129"/>
      <c r="H147" s="129"/>
      <c r="I147" s="129"/>
      <c r="J147" s="129"/>
      <c r="K147" s="136"/>
      <c r="L147" s="136"/>
      <c r="M147" s="136"/>
      <c r="N147" s="129"/>
      <c r="O147" s="129"/>
      <c r="P147" s="129"/>
      <c r="R147" s="129"/>
    </row>
    <row customHeight="1" ht="12">
      <c r="A148" s="118" t="s">
        <v>4173</v>
      </c>
      <c r="B148" s="385" t="s">
        <v>4387</v>
      </c>
      <c r="C148" s="118"/>
      <c r="D148" s="129"/>
      <c r="E148" s="129"/>
      <c r="F148" s="129"/>
      <c r="G148" s="129"/>
      <c r="H148" s="129"/>
      <c r="I148" s="129"/>
      <c r="J148" s="129"/>
      <c r="K148" s="136"/>
      <c r="L148" s="136"/>
      <c r="M148" s="136"/>
      <c r="N148" s="129"/>
      <c r="O148" s="129"/>
      <c r="P148" s="129"/>
      <c r="R148" s="129"/>
    </row>
    <row customHeight="1" ht="12">
      <c r="A149" s="118" t="s">
        <v>4177</v>
      </c>
      <c r="B149" s="385" t="s">
        <v>4388</v>
      </c>
      <c r="C149" s="118"/>
      <c r="D149" s="129"/>
      <c r="E149" s="129"/>
      <c r="F149" s="129"/>
      <c r="G149" s="129"/>
      <c r="H149" s="129"/>
      <c r="I149" s="129"/>
      <c r="J149" s="129"/>
      <c r="K149" s="136"/>
      <c r="L149" s="136"/>
      <c r="M149" s="136"/>
      <c r="N149" s="129"/>
      <c r="O149" s="129"/>
      <c r="P149" s="129"/>
      <c r="R149" s="129"/>
    </row>
    <row customHeight="1" ht="12">
      <c r="A150" s="118" t="s">
        <v>4180</v>
      </c>
      <c r="B150" s="385" t="s">
        <v>4389</v>
      </c>
      <c r="C150" s="118"/>
      <c r="D150" s="129"/>
      <c r="E150" s="129"/>
      <c r="F150" s="129"/>
      <c r="G150" s="129"/>
      <c r="H150" s="129"/>
      <c r="I150" s="129"/>
      <c r="J150" s="129"/>
      <c r="K150" s="136"/>
      <c r="L150" s="136"/>
      <c r="M150" s="136"/>
      <c r="N150" s="129"/>
      <c r="O150" s="129"/>
      <c r="P150" s="129"/>
      <c r="R150" s="129"/>
    </row>
    <row customHeight="1" ht="12">
      <c r="A151" s="118" t="s">
        <v>4183</v>
      </c>
      <c r="B151" s="385" t="s">
        <v>4390</v>
      </c>
      <c r="C151" s="118"/>
      <c r="D151" s="129"/>
      <c r="E151" s="129"/>
      <c r="F151" s="129"/>
      <c r="G151" s="129"/>
      <c r="H151" s="129"/>
      <c r="I151" s="129"/>
      <c r="J151" s="129"/>
      <c r="K151" s="136"/>
      <c r="L151" s="136"/>
      <c r="M151" s="136"/>
      <c r="N151" s="129"/>
      <c r="O151" s="129"/>
      <c r="P151" s="129"/>
      <c r="R151" s="129"/>
    </row>
    <row customHeight="1" ht="12">
      <c r="A152" s="118" t="s">
        <v>4186</v>
      </c>
      <c r="B152" s="385" t="s">
        <v>4391</v>
      </c>
      <c r="C152" s="118"/>
      <c r="D152" s="129"/>
      <c r="E152" s="129"/>
      <c r="F152" s="129"/>
      <c r="G152" s="129"/>
      <c r="H152" s="129"/>
      <c r="I152" s="129"/>
      <c r="J152" s="129"/>
      <c r="K152" s="136"/>
      <c r="L152" s="136"/>
      <c r="M152" s="136"/>
      <c r="N152" s="129"/>
      <c r="O152" s="129"/>
      <c r="P152" s="129"/>
      <c r="R152" s="129"/>
    </row>
    <row customHeight="1" ht="12">
      <c r="A153" s="118" t="s">
        <v>4190</v>
      </c>
      <c r="B153" s="385" t="s">
        <v>4392</v>
      </c>
      <c r="C153" s="118"/>
      <c r="D153" s="129"/>
      <c r="E153" s="129"/>
      <c r="F153" s="129"/>
      <c r="G153" s="129"/>
      <c r="H153" s="129"/>
      <c r="I153" s="129"/>
      <c r="J153" s="129"/>
      <c r="K153" s="136"/>
      <c r="L153" s="136"/>
      <c r="M153" s="136"/>
      <c r="N153" s="129"/>
      <c r="O153" s="129"/>
      <c r="P153" s="129"/>
      <c r="R153" s="129"/>
    </row>
    <row customHeight="1" ht="12">
      <c r="A154" s="118" t="s">
        <v>4193</v>
      </c>
      <c r="B154" s="385" t="s">
        <v>4393</v>
      </c>
      <c r="C154" s="118"/>
      <c r="D154" s="129"/>
      <c r="E154" s="129"/>
      <c r="F154" s="129"/>
      <c r="G154" s="129"/>
      <c r="H154" s="129"/>
      <c r="I154" s="129"/>
      <c r="J154" s="129"/>
      <c r="K154" s="136"/>
      <c r="L154" s="136"/>
      <c r="M154" s="136"/>
      <c r="N154" s="129"/>
      <c r="O154" s="129"/>
      <c r="P154" s="129"/>
      <c r="R154" s="129"/>
    </row>
    <row customHeight="1" ht="12">
      <c r="A155" s="118" t="s">
        <v>4196</v>
      </c>
      <c r="B155" s="385" t="s">
        <v>4394</v>
      </c>
      <c r="C155" s="118"/>
      <c r="D155" s="129"/>
      <c r="E155" s="129"/>
      <c r="F155" s="129"/>
      <c r="G155" s="129"/>
      <c r="H155" s="129"/>
      <c r="I155" s="129"/>
      <c r="J155" s="129"/>
      <c r="K155" s="136"/>
      <c r="L155" s="136"/>
      <c r="M155" s="136"/>
      <c r="N155" s="129"/>
      <c r="O155" s="129"/>
      <c r="P155" s="129"/>
      <c r="R155" s="129"/>
    </row>
    <row customHeight="1" ht="12">
      <c r="A156" s="118" t="s">
        <v>4199</v>
      </c>
      <c r="B156" s="385" t="s">
        <v>4395</v>
      </c>
      <c r="C156" s="118"/>
      <c r="D156" s="129"/>
      <c r="E156" s="129"/>
      <c r="F156" s="129"/>
      <c r="G156" s="129"/>
      <c r="H156" s="129"/>
      <c r="I156" s="129"/>
      <c r="J156" s="129"/>
      <c r="K156" s="136"/>
      <c r="L156" s="136"/>
      <c r="M156" s="136"/>
      <c r="N156" s="129"/>
      <c r="O156" s="129"/>
      <c r="P156" s="129"/>
      <c r="R156" s="129"/>
    </row>
    <row customHeight="1" ht="12">
      <c r="A157" s="118" t="s">
        <v>4203</v>
      </c>
      <c r="B157" s="385" t="s">
        <v>4396</v>
      </c>
      <c r="C157" s="118"/>
      <c r="D157" s="129"/>
      <c r="E157" s="129"/>
      <c r="F157" s="129"/>
      <c r="G157" s="129"/>
      <c r="H157" s="129"/>
      <c r="I157" s="129"/>
      <c r="J157" s="129"/>
      <c r="K157" s="136"/>
      <c r="L157" s="136"/>
      <c r="M157" s="136"/>
      <c r="N157" s="129"/>
      <c r="O157" s="129"/>
      <c r="P157" s="129"/>
      <c r="R157" s="129"/>
    </row>
    <row customHeight="1" ht="12">
      <c r="A158" s="118" t="s">
        <v>4206</v>
      </c>
      <c r="B158" s="385" t="s">
        <v>4397</v>
      </c>
      <c r="C158" s="118"/>
      <c r="D158" s="129"/>
      <c r="E158" s="129"/>
      <c r="F158" s="129"/>
      <c r="G158" s="129"/>
      <c r="H158" s="129"/>
      <c r="I158" s="129"/>
      <c r="J158" s="129"/>
      <c r="K158" s="136"/>
      <c r="L158" s="136"/>
      <c r="M158" s="136"/>
      <c r="N158" s="129"/>
      <c r="O158" s="129"/>
      <c r="P158" s="129"/>
      <c r="R158" s="129"/>
    </row>
    <row customHeight="1" ht="12">
      <c r="A159" s="118" t="s">
        <v>4210</v>
      </c>
      <c r="B159" s="385" t="s">
        <v>4398</v>
      </c>
      <c r="C159" s="118"/>
      <c r="D159" s="129"/>
      <c r="E159" s="129"/>
      <c r="F159" s="129"/>
      <c r="G159" s="129"/>
      <c r="H159" s="129"/>
      <c r="I159" s="129"/>
      <c r="J159" s="129"/>
      <c r="K159" s="136"/>
      <c r="L159" s="136"/>
      <c r="M159" s="136"/>
      <c r="N159" s="129"/>
      <c r="O159" s="129"/>
      <c r="P159" s="129"/>
      <c r="R159" s="129"/>
    </row>
    <row customHeight="1" ht="12">
      <c r="A160" s="118" t="s">
        <v>4213</v>
      </c>
      <c r="B160" s="385" t="s">
        <v>4399</v>
      </c>
      <c r="C160" s="118"/>
      <c r="D160" s="129"/>
      <c r="E160" s="129"/>
      <c r="F160" s="129"/>
      <c r="G160" s="129"/>
      <c r="H160" s="129"/>
      <c r="I160" s="129"/>
      <c r="J160" s="129"/>
      <c r="K160" s="136"/>
      <c r="L160" s="136"/>
      <c r="M160" s="136"/>
      <c r="N160" s="129"/>
      <c r="O160" s="129"/>
      <c r="P160" s="129"/>
      <c r="R160" s="129"/>
    </row>
    <row customHeight="1" ht="12">
      <c r="A161" s="118" t="s">
        <v>4216</v>
      </c>
      <c r="B161" s="385" t="s">
        <v>4400</v>
      </c>
      <c r="C161" s="118"/>
      <c r="D161" s="129"/>
      <c r="E161" s="129"/>
      <c r="F161" s="129"/>
      <c r="G161" s="129"/>
      <c r="H161" s="129"/>
      <c r="I161" s="129"/>
      <c r="J161" s="129"/>
      <c r="K161" s="136"/>
      <c r="L161" s="136"/>
      <c r="M161" s="136"/>
      <c r="N161" s="129"/>
      <c r="O161" s="129"/>
      <c r="P161" s="129"/>
      <c r="R161" s="129"/>
    </row>
    <row customHeight="1" ht="12">
      <c r="A162" s="118" t="s">
        <v>4219</v>
      </c>
      <c r="B162" s="385" t="s">
        <v>4401</v>
      </c>
      <c r="C162" s="118"/>
      <c r="D162" s="129"/>
      <c r="E162" s="129"/>
      <c r="F162" s="129"/>
      <c r="G162" s="129"/>
      <c r="H162" s="129"/>
      <c r="I162" s="129"/>
      <c r="J162" s="129"/>
      <c r="K162" s="136"/>
      <c r="L162" s="136"/>
      <c r="M162" s="136"/>
      <c r="N162" s="129"/>
      <c r="O162" s="129"/>
      <c r="P162" s="129"/>
      <c r="R162" s="129"/>
    </row>
    <row customHeight="1" ht="12">
      <c r="A163" s="118" t="s">
        <v>4222</v>
      </c>
      <c r="B163" s="385" t="s">
        <v>4402</v>
      </c>
      <c r="C163" s="118"/>
      <c r="D163" s="129"/>
      <c r="E163" s="129"/>
      <c r="F163" s="129"/>
      <c r="G163" s="129"/>
      <c r="H163" s="129"/>
      <c r="I163" s="129"/>
      <c r="J163" s="129"/>
      <c r="K163" s="136"/>
      <c r="L163" s="136"/>
      <c r="M163" s="136"/>
      <c r="N163" s="129"/>
      <c r="O163" s="129"/>
      <c r="P163" s="129"/>
      <c r="R163" s="129"/>
    </row>
    <row customHeight="1" ht="12">
      <c r="A164" s="118" t="s">
        <v>4225</v>
      </c>
      <c r="B164" s="385" t="s">
        <v>4403</v>
      </c>
      <c r="C164" s="118"/>
      <c r="D164" s="129"/>
      <c r="E164" s="129"/>
      <c r="F164" s="129"/>
      <c r="G164" s="129"/>
      <c r="H164" s="129"/>
      <c r="I164" s="129"/>
      <c r="J164" s="129"/>
      <c r="L164" s="136"/>
      <c r="M164" s="136"/>
      <c r="N164" s="129"/>
      <c r="O164" s="129"/>
      <c r="P164" s="129"/>
      <c r="R164" s="129"/>
    </row>
    <row customHeight="1" ht="12">
      <c r="A165" s="118" t="s">
        <v>4228</v>
      </c>
      <c r="B165" s="385" t="s">
        <v>4404</v>
      </c>
      <c r="C165" s="118"/>
      <c r="D165" s="129"/>
      <c r="E165" s="129"/>
      <c r="F165" s="129"/>
      <c r="G165" s="129"/>
      <c r="H165" s="129"/>
      <c r="I165" s="129"/>
      <c r="J165" s="129"/>
      <c r="L165" s="136"/>
      <c r="M165" s="136"/>
      <c r="N165" s="129"/>
      <c r="O165" s="129"/>
      <c r="P165" s="129"/>
      <c r="R165" s="129"/>
    </row>
    <row customHeight="1" ht="12">
      <c r="A166" s="118" t="s">
        <v>4231</v>
      </c>
      <c r="B166" s="385" t="s">
        <v>4405</v>
      </c>
      <c r="C166" s="118"/>
      <c r="D166" s="129"/>
      <c r="E166" s="129"/>
      <c r="F166" s="129"/>
      <c r="G166" s="129"/>
      <c r="H166" s="129"/>
      <c r="I166" s="129"/>
      <c r="J166" s="129"/>
      <c r="L166" s="136"/>
      <c r="M166" s="136"/>
      <c r="N166" s="129"/>
      <c r="O166" s="129"/>
      <c r="P166" s="129"/>
      <c r="R166" s="129"/>
    </row>
    <row customHeight="1" ht="12">
      <c r="A167" s="118" t="s">
        <v>4234</v>
      </c>
      <c r="B167" s="385" t="s">
        <v>4406</v>
      </c>
      <c r="C167" s="118"/>
      <c r="D167" s="129"/>
      <c r="E167" s="129"/>
      <c r="F167" s="129"/>
      <c r="G167" s="129"/>
      <c r="H167" s="129"/>
      <c r="I167" s="129"/>
      <c r="J167" s="129"/>
      <c r="L167" s="136"/>
      <c r="M167" s="136"/>
      <c r="N167" s="129"/>
      <c r="O167" s="129"/>
      <c r="P167" s="129"/>
      <c r="R167" s="129"/>
    </row>
    <row customHeight="1" ht="12">
      <c r="A168" s="118" t="s">
        <v>4237</v>
      </c>
      <c r="B168" s="385" t="s">
        <v>4407</v>
      </c>
      <c r="C168" s="118"/>
      <c r="D168" s="129"/>
      <c r="E168" s="129"/>
      <c r="F168" s="129"/>
      <c r="G168" s="129"/>
      <c r="H168" s="129"/>
      <c r="I168" s="129"/>
      <c r="J168" s="129"/>
      <c r="L168" s="136"/>
      <c r="M168" s="136"/>
      <c r="N168" s="129"/>
      <c r="O168" s="129"/>
      <c r="P168" s="129"/>
      <c r="R168" s="129"/>
    </row>
    <row customHeight="1" ht="12">
      <c r="A169" s="118" t="s">
        <v>4240</v>
      </c>
      <c r="B169" s="385" t="s">
        <v>4408</v>
      </c>
      <c r="C169" s="118"/>
      <c r="D169" s="129"/>
      <c r="E169" s="129"/>
      <c r="F169" s="129"/>
      <c r="H169" s="129"/>
      <c r="I169" s="129"/>
      <c r="J169" s="129"/>
      <c r="L169" s="136"/>
      <c r="M169" s="136"/>
      <c r="N169" s="129"/>
      <c r="O169" s="129"/>
      <c r="P169" s="129"/>
      <c r="R169" s="129"/>
    </row>
    <row customHeight="1" ht="12">
      <c r="A170" s="118" t="s">
        <v>4243</v>
      </c>
      <c r="B170" s="385" t="s">
        <v>4409</v>
      </c>
      <c r="C170" s="118"/>
      <c r="D170" s="129"/>
      <c r="E170" s="129"/>
      <c r="F170" s="129"/>
      <c r="H170" s="129"/>
      <c r="I170" s="129"/>
      <c r="J170" s="129"/>
      <c r="L170" s="136"/>
      <c r="M170" s="136"/>
      <c r="N170" s="129"/>
      <c r="O170" s="129"/>
      <c r="P170" s="129"/>
      <c r="R170" s="129"/>
    </row>
    <row customHeight="1" ht="12">
      <c r="A171" s="118" t="s">
        <v>4246</v>
      </c>
      <c r="B171" s="385" t="s">
        <v>4410</v>
      </c>
      <c r="C171" s="118"/>
      <c r="D171" s="129"/>
      <c r="E171" s="129"/>
      <c r="F171" s="129"/>
      <c r="H171" s="129"/>
      <c r="I171" s="129"/>
      <c r="J171" s="129"/>
      <c r="L171" s="136"/>
      <c r="M171" s="136"/>
      <c r="N171" s="129"/>
      <c r="O171" s="129"/>
      <c r="P171" s="129"/>
      <c r="R171" s="129"/>
    </row>
    <row customHeight="1" ht="12">
      <c r="A172" s="118" t="s">
        <v>4248</v>
      </c>
      <c r="B172" s="385" t="s">
        <v>4411</v>
      </c>
      <c r="C172" s="118"/>
      <c r="D172" s="129"/>
      <c r="E172" s="129"/>
      <c r="F172" s="129"/>
      <c r="H172" s="129"/>
      <c r="I172" s="129"/>
      <c r="J172" s="129"/>
      <c r="L172" s="136"/>
      <c r="M172" s="136"/>
      <c r="N172" s="129"/>
      <c r="O172" s="129"/>
      <c r="P172" s="129"/>
      <c r="R172" s="129"/>
    </row>
    <row customHeight="1" ht="12">
      <c r="A173" s="118" t="s">
        <v>4250</v>
      </c>
      <c r="B173" s="385" t="s">
        <v>4412</v>
      </c>
      <c r="C173" s="118"/>
      <c r="D173" s="129"/>
      <c r="E173" s="129"/>
      <c r="F173" s="129"/>
      <c r="H173" s="129"/>
      <c r="I173" s="129"/>
      <c r="J173" s="129"/>
      <c r="L173" s="136"/>
      <c r="M173" s="136"/>
      <c r="N173" s="129"/>
      <c r="O173" s="129"/>
      <c r="P173" s="129"/>
      <c r="R173" s="129"/>
    </row>
    <row customHeight="1" ht="12">
      <c r="A174" s="118" t="s">
        <v>4253</v>
      </c>
      <c r="B174" s="385" t="s">
        <v>4413</v>
      </c>
      <c r="C174" s="118"/>
      <c r="D174" s="129"/>
      <c r="E174" s="129"/>
      <c r="F174" s="129"/>
      <c r="H174" s="129"/>
      <c r="I174" s="129"/>
      <c r="J174" s="129"/>
      <c r="L174" s="136"/>
      <c r="M174" s="136"/>
      <c r="N174" s="129"/>
      <c r="O174" s="129"/>
      <c r="P174" s="129"/>
      <c r="R174" s="129"/>
    </row>
    <row customHeight="1" ht="12">
      <c r="A175" s="118" t="s">
        <v>4256</v>
      </c>
      <c r="B175" s="385" t="s">
        <v>4414</v>
      </c>
      <c r="C175" s="118"/>
      <c r="D175" s="129"/>
      <c r="E175" s="129"/>
      <c r="F175" s="129"/>
      <c r="H175" s="129"/>
      <c r="I175" s="129"/>
      <c r="J175" s="129"/>
      <c r="L175" s="136"/>
      <c r="M175" s="136"/>
      <c r="N175" s="129"/>
      <c r="O175" s="129"/>
      <c r="P175" s="129"/>
      <c r="R175" s="129"/>
    </row>
    <row customHeight="1" ht="12">
      <c r="A176" s="118" t="s">
        <v>4259</v>
      </c>
      <c r="B176" s="385" t="s">
        <v>4415</v>
      </c>
      <c r="C176" s="118"/>
    </row>
    <row customHeight="1" ht="12">
      <c r="A177" s="118" t="s">
        <v>4262</v>
      </c>
      <c r="B177" s="385" t="s">
        <v>4416</v>
      </c>
      <c r="C177" s="118"/>
    </row>
    <row customHeight="1" ht="12">
      <c r="A178" s="118" t="s">
        <v>4264</v>
      </c>
      <c r="B178" s="385" t="s">
        <v>4417</v>
      </c>
      <c r="C178" s="118"/>
    </row>
    <row customHeight="1" ht="12">
      <c r="A179" s="118" t="s">
        <v>4267</v>
      </c>
      <c r="B179" s="385" t="s">
        <v>4418</v>
      </c>
      <c r="C179" s="118"/>
    </row>
    <row customHeight="1" ht="12">
      <c r="A180" s="118" t="s">
        <v>4271</v>
      </c>
      <c r="B180" s="385" t="s">
        <v>4419</v>
      </c>
      <c r="C180" s="118"/>
    </row>
    <row customHeight="1" ht="12">
      <c r="A181" s="118" t="s">
        <v>4275</v>
      </c>
      <c r="B181" s="385" t="s">
        <v>4420</v>
      </c>
      <c r="C181" s="118"/>
    </row>
    <row customHeight="1" ht="12">
      <c r="A182" s="118" t="s">
        <v>4278</v>
      </c>
      <c r="B182" s="385" t="s">
        <v>4421</v>
      </c>
      <c r="C182" s="118"/>
    </row>
    <row customHeight="1" ht="12">
      <c r="A183" s="118" t="s">
        <v>4281</v>
      </c>
      <c r="B183" s="385" t="s">
        <v>4422</v>
      </c>
      <c r="C183" s="118"/>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42C2C5-6654-FB37-7DD8-380B922BAC24}" mc:Ignorable="x14ac xr xr2 xr3">
  <sheetPr>
    <tabColor rgb="FFFFCC99"/>
  </sheetPr>
  <dimension ref="A1:A5"/>
  <sheetViews>
    <sheetView topLeftCell="A1" workbookViewId="0">
      <selection activeCell="A1" sqref="A1"/>
    </sheetView>
  </sheetViews>
  <sheetFormatPr defaultColWidth="8.8515625" customHeight="1" defaultRowHeight="15"/>
  <sheetData>
    <row customHeight="1" ht="15">
      <c r="A1" s="0" t="s">
        <v>4423</v>
      </c>
    </row>
    <row customHeight="1" ht="15">
      <c r="A2" s="0" t="s">
        <v>4424</v>
      </c>
    </row>
    <row customHeight="1" ht="15">
      <c r="A3" s="0" t="s">
        <v>4425</v>
      </c>
    </row>
    <row customHeight="1" ht="15">
      <c r="A4" s="0" t="s">
        <v>4426</v>
      </c>
    </row>
    <row customHeight="1" ht="15">
      <c r="A5" s="0" t="s">
        <v>4427</v>
      </c>
    </row>
  </sheetData>
  <sheetProtection sort="0" autoFilter="0" insertRows="0" insertColumns="1" deleteRows="0" deleteColum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6F58F8-59A2-181D-B96F-0D774969FFA8}" mc:Ignorable="x14ac xr xr2 xr3">
  <sheetPr>
    <tabColor rgb="FFFFCC99"/>
  </sheetPr>
  <dimension ref="A1:A6"/>
  <sheetViews>
    <sheetView topLeftCell="A1" workbookViewId="0">
      <selection activeCell="A1" sqref="A1"/>
    </sheetView>
  </sheetViews>
  <sheetFormatPr defaultColWidth="8.8515625" customHeight="1" defaultRowHeight="15"/>
  <sheetData>
    <row customHeight="1" ht="15">
      <c r="A1" s="0" t="s">
        <v>4428</v>
      </c>
    </row>
    <row customHeight="1" ht="15">
      <c r="A2" s="0" t="s">
        <v>4429</v>
      </c>
    </row>
    <row customHeight="1" ht="15">
      <c r="A3" s="0" t="s">
        <v>358</v>
      </c>
    </row>
    <row customHeight="1" ht="15">
      <c r="A4" s="0" t="s">
        <v>279</v>
      </c>
    </row>
    <row customHeight="1" ht="15">
      <c r="A5" s="0" t="s">
        <v>4430</v>
      </c>
    </row>
    <row customHeight="1" ht="15">
      <c r="A6" s="0" t="s">
        <v>4431</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9A1C48-DF83-E948-23D8-3A7C978553A8}" mc:Ignorable="x14ac xr xr2 xr3">
  <sheetPr>
    <tabColor theme="3" tint="0.6"/>
    <pageSetUpPr fitToPage="1"/>
  </sheetPr>
  <dimension ref="A1:BA237"/>
  <sheetViews>
    <sheetView topLeftCell="AA179" showGridLines="0" workbookViewId="0">
      <selection activeCell="AE179" sqref="AE179"/>
    </sheetView>
  </sheetViews>
  <sheetFormatPr defaultColWidth="9.140625" customHeight="1" defaultRowHeight="19.5"/>
  <cols>
    <col min="1" max="1" style="963" width="13.7109375" hidden="1" customWidth="1"/>
    <col min="2" max="2" style="961" width="14.28125" hidden="1" customWidth="1"/>
    <col min="3" max="4" style="963" width="3.57421875" hidden="1" customWidth="1"/>
    <col min="5" max="5" style="600" width="4.7109375" hidden="1" customWidth="1"/>
    <col min="6" max="21" style="963" width="3.57421875" hidden="1" customWidth="1"/>
    <col min="22" max="22" style="963" width="5.8515625" hidden="1" customWidth="1"/>
    <col min="23" max="23" style="963" width="12.140625" hidden="1" customWidth="1"/>
    <col min="24" max="25" style="963" width="6.140625" hidden="1" customWidth="1"/>
    <col min="26" max="26" style="1621" width="12.57421875" hidden="1" customWidth="1"/>
    <col min="27" max="27" style="963" width="3.43359375" customWidth="1"/>
    <col min="28" max="28" style="1168" width="12.00390625" customWidth="1"/>
    <col min="29" max="29" style="1168" width="18.00390625" customWidth="1"/>
    <col min="30" max="30" style="1168" width="56.86328125" customWidth="1"/>
    <col min="31" max="31" style="1168" width="65.00390625" customWidth="1"/>
    <col min="32" max="32" style="354" width="3.00390625" customWidth="1"/>
    <col min="33" max="33" style="963" width="29.8515625" hidden="1" customWidth="1"/>
    <col min="34" max="34" style="963" width="18.57421875" hidden="1" customWidth="1"/>
    <col min="35" max="53" style="963" width="12.00390625" hidden="1" customWidth="1"/>
  </cols>
  <sheetData>
    <row customHeight="1" ht="11.25" hidden="1">
      <c r="E1" s="73"/>
      <c r="V1" s="73" t="s">
        <v>91</v>
      </c>
      <c r="W1" s="475" t="s">
        <v>92</v>
      </c>
      <c r="X1" s="440" t="s">
        <v>93</v>
      </c>
      <c r="Y1" s="440" t="s">
        <v>94</v>
      </c>
      <c r="Z1" s="477" t="s">
        <v>95</v>
      </c>
      <c r="AA1" s="477" t="s">
        <v>96</v>
      </c>
      <c r="AB1" s="478"/>
      <c r="AC1" s="478"/>
      <c r="AD1" s="476" t="s">
        <v>97</v>
      </c>
      <c r="AE1" s="476" t="s">
        <v>98</v>
      </c>
      <c r="AF1" s="475" t="s">
        <v>99</v>
      </c>
    </row>
    <row s="961" customFormat="1" customHeight="1" ht="11.25" hidden="1">
      <c r="B2" s="418" t="s">
        <v>18</v>
      </c>
      <c r="W2" s="62"/>
      <c r="X2" s="62"/>
      <c r="Y2" s="62"/>
      <c r="Z2" s="541"/>
      <c r="AA2" s="62"/>
      <c r="AB2" s="400"/>
      <c r="AC2" s="400"/>
      <c r="AD2" s="400"/>
      <c r="AE2" s="400"/>
      <c r="AF2" s="449"/>
      <c r="AG2" s="62"/>
      <c r="AH2" s="62"/>
      <c r="AI2" s="62"/>
      <c r="AJ2" s="62"/>
      <c r="AK2" s="62"/>
      <c r="AL2" s="62"/>
      <c r="AM2" s="62"/>
      <c r="AN2" s="62"/>
      <c r="AO2" s="62"/>
      <c r="AP2" s="62"/>
      <c r="AQ2" s="62"/>
      <c r="AR2" s="62"/>
      <c r="AS2" s="62"/>
      <c r="AT2" s="62"/>
      <c r="AU2" s="62"/>
      <c r="AV2" s="62"/>
      <c r="AW2" s="62"/>
      <c r="AX2" s="62"/>
      <c r="AY2" s="62"/>
      <c r="AZ2" s="62"/>
      <c r="BA2" s="62"/>
    </row>
    <row s="961" customFormat="1" customHeight="1" ht="11.25" hidden="1">
      <c r="B3" s="400"/>
      <c r="W3" s="62"/>
      <c r="X3" s="62"/>
      <c r="Y3" s="62"/>
      <c r="Z3" s="541"/>
      <c r="AA3" s="62"/>
      <c r="AB3" s="400"/>
      <c r="AC3" s="400"/>
      <c r="AD3" s="400"/>
      <c r="AE3" s="400"/>
      <c r="AF3" s="449"/>
      <c r="AG3" s="62"/>
      <c r="AH3" s="62"/>
      <c r="AI3" s="62"/>
      <c r="AJ3" s="62"/>
      <c r="AK3" s="62"/>
      <c r="AL3" s="62"/>
      <c r="AM3" s="62"/>
      <c r="AN3" s="62"/>
      <c r="AO3" s="62"/>
      <c r="AP3" s="62"/>
      <c r="AQ3" s="62"/>
      <c r="AR3" s="62"/>
      <c r="AS3" s="62"/>
      <c r="AT3" s="62"/>
      <c r="AU3" s="62"/>
      <c r="AV3" s="62"/>
      <c r="AW3" s="62"/>
      <c r="AX3" s="62"/>
      <c r="AY3" s="62"/>
      <c r="AZ3" s="62"/>
      <c r="BA3" s="62"/>
    </row>
    <row s="961" customFormat="1" customHeight="1" ht="11.25" hidden="1">
      <c r="B4" s="400"/>
      <c r="W4" s="62"/>
      <c r="X4" s="62"/>
      <c r="Y4" s="62"/>
      <c r="Z4" s="541"/>
      <c r="AA4" s="62"/>
      <c r="AB4" s="400"/>
      <c r="AC4" s="400"/>
      <c r="AD4" s="400"/>
      <c r="AE4" s="400"/>
      <c r="AF4" s="449"/>
      <c r="AG4" s="62"/>
      <c r="AH4" s="62"/>
      <c r="AI4" s="62"/>
      <c r="AJ4" s="62"/>
      <c r="AK4" s="62"/>
      <c r="AL4" s="62"/>
      <c r="AM4" s="62"/>
      <c r="AN4" s="62"/>
      <c r="AO4" s="62"/>
      <c r="AP4" s="62"/>
      <c r="AQ4" s="62"/>
      <c r="AR4" s="62"/>
      <c r="AS4" s="62"/>
      <c r="AT4" s="62"/>
      <c r="AU4" s="62"/>
      <c r="AV4" s="62"/>
      <c r="AW4" s="62"/>
      <c r="AX4" s="62"/>
      <c r="AY4" s="62"/>
      <c r="AZ4" s="62"/>
      <c r="BA4" s="62"/>
    </row>
    <row s="601" customFormat="1" customHeight="1" ht="11.25" hidden="1">
      <c r="A5" s="405"/>
      <c r="B5" s="400"/>
      <c r="C5" s="405"/>
      <c r="D5" s="405"/>
      <c r="E5" s="602" t="s">
        <v>19</v>
      </c>
      <c r="V5" s="405"/>
      <c r="W5" s="604"/>
      <c r="X5" s="604"/>
      <c r="Y5" s="604"/>
      <c r="Z5" s="605"/>
      <c r="AA5" s="604">
        <v>3.43</v>
      </c>
      <c r="AB5" s="604">
        <v>12</v>
      </c>
      <c r="AC5" s="604">
        <v>18</v>
      </c>
      <c r="AD5" s="604">
        <v>56.86</v>
      </c>
      <c r="AE5" s="604">
        <v>65</v>
      </c>
      <c r="AF5" s="604">
        <v>3</v>
      </c>
      <c r="AG5" s="604"/>
      <c r="AH5" s="604"/>
      <c r="AI5" s="604"/>
      <c r="AJ5" s="604"/>
      <c r="AK5" s="604"/>
      <c r="AL5" s="604"/>
      <c r="AM5" s="604"/>
      <c r="AN5" s="604"/>
      <c r="AO5" s="604"/>
      <c r="AP5" s="604"/>
      <c r="AQ5" s="604"/>
      <c r="AR5" s="604"/>
      <c r="AS5" s="604"/>
      <c r="AT5" s="604"/>
      <c r="AU5" s="604"/>
      <c r="AV5" s="604"/>
      <c r="AW5" s="604"/>
      <c r="AX5" s="604"/>
      <c r="AY5" s="604"/>
      <c r="AZ5" s="604"/>
      <c r="BA5" s="604"/>
    </row>
    <row s="961" customFormat="1" customHeight="1" ht="11.25" hidden="1">
      <c r="B6" s="400"/>
      <c r="E6" s="601"/>
      <c r="W6" s="62"/>
      <c r="X6" s="62"/>
      <c r="Y6" s="62"/>
      <c r="Z6" s="541"/>
      <c r="AA6" s="62"/>
      <c r="AB6" s="400"/>
      <c r="AC6" s="400"/>
      <c r="AD6" s="400"/>
      <c r="AE6" s="400"/>
      <c r="AF6" s="449"/>
      <c r="AG6" s="62"/>
      <c r="AH6" s="62"/>
      <c r="AI6" s="62"/>
      <c r="AJ6" s="62"/>
      <c r="AK6" s="62"/>
      <c r="AL6" s="62"/>
      <c r="AM6" s="62"/>
      <c r="AN6" s="62"/>
      <c r="AO6" s="62"/>
      <c r="AP6" s="62"/>
      <c r="AQ6" s="62"/>
      <c r="AR6" s="62"/>
      <c r="AS6" s="62"/>
      <c r="AT6" s="62"/>
      <c r="AU6" s="62"/>
      <c r="AV6" s="62"/>
      <c r="AW6" s="62"/>
      <c r="AX6" s="62"/>
      <c r="AY6" s="62"/>
      <c r="AZ6" s="62"/>
      <c r="BA6" s="62"/>
    </row>
    <row s="961" customFormat="1" customHeight="1" ht="11.25" hidden="1">
      <c r="B7" s="400"/>
      <c r="E7" s="601"/>
      <c r="W7" s="62"/>
      <c r="X7" s="62"/>
      <c r="Y7" s="62"/>
      <c r="Z7" s="541"/>
      <c r="AA7" s="62"/>
      <c r="AB7" s="400"/>
      <c r="AC7" s="400"/>
      <c r="AD7" s="400"/>
      <c r="AE7" s="400"/>
      <c r="AF7" s="449"/>
      <c r="AG7" s="62"/>
      <c r="AH7" s="62"/>
      <c r="AI7" s="62"/>
      <c r="AJ7" s="62"/>
      <c r="AK7" s="62"/>
      <c r="AL7" s="62"/>
      <c r="AM7" s="62"/>
      <c r="AN7" s="62"/>
      <c r="AO7" s="62"/>
      <c r="AP7" s="62"/>
      <c r="AQ7" s="62"/>
      <c r="AR7" s="62"/>
      <c r="AS7" s="62"/>
      <c r="AT7" s="62"/>
      <c r="AU7" s="62"/>
      <c r="AV7" s="62"/>
      <c r="AW7" s="62"/>
      <c r="AX7" s="62"/>
      <c r="AY7" s="62"/>
      <c r="AZ7" s="62"/>
      <c r="BA7" s="62"/>
    </row>
    <row s="961" customFormat="1" customHeight="1" ht="11.25" hidden="1">
      <c r="B8" s="400"/>
      <c r="E8" s="601"/>
      <c r="W8" s="62"/>
      <c r="X8" s="62"/>
      <c r="Y8" s="62"/>
      <c r="Z8" s="541"/>
      <c r="AA8" s="62"/>
      <c r="AB8" s="400"/>
      <c r="AC8" s="400"/>
      <c r="AD8" s="400"/>
      <c r="AE8" s="400"/>
      <c r="AF8" s="449"/>
      <c r="AG8" s="62"/>
      <c r="AH8" s="62"/>
      <c r="AI8" s="62"/>
      <c r="AJ8" s="62"/>
      <c r="AK8" s="62"/>
      <c r="AL8" s="62"/>
      <c r="AM8" s="62"/>
      <c r="AN8" s="62"/>
      <c r="AO8" s="62"/>
      <c r="AP8" s="62"/>
      <c r="AQ8" s="62"/>
      <c r="AR8" s="62"/>
      <c r="AS8" s="62"/>
      <c r="AT8" s="62"/>
      <c r="AU8" s="62"/>
      <c r="AV8" s="62"/>
      <c r="AW8" s="62"/>
      <c r="AX8" s="62"/>
      <c r="AY8" s="62"/>
      <c r="AZ8" s="62"/>
      <c r="BA8" s="62"/>
    </row>
    <row s="961" customFormat="1" customHeight="1" ht="11.25" hidden="1">
      <c r="B9" s="400"/>
      <c r="E9" s="601"/>
      <c r="W9" s="62"/>
      <c r="X9" s="62"/>
      <c r="Y9" s="62"/>
      <c r="Z9" s="541"/>
      <c r="AA9" s="62"/>
      <c r="AB9" s="400"/>
      <c r="AC9" s="400"/>
      <c r="AD9" s="400"/>
      <c r="AE9" s="400"/>
      <c r="AF9" s="449"/>
      <c r="AG9" s="62"/>
      <c r="AH9" s="62"/>
      <c r="AI9" s="62"/>
      <c r="AJ9" s="62"/>
      <c r="AK9" s="62"/>
      <c r="AL9" s="62"/>
      <c r="AM9" s="62"/>
      <c r="AN9" s="62"/>
      <c r="AO9" s="62"/>
      <c r="AP9" s="62"/>
      <c r="AQ9" s="62"/>
      <c r="AR9" s="62"/>
      <c r="AS9" s="62"/>
      <c r="AT9" s="62"/>
      <c r="AU9" s="62"/>
      <c r="AV9" s="62"/>
      <c r="AW9" s="62"/>
      <c r="AX9" s="62"/>
      <c r="AY9" s="62"/>
      <c r="AZ9" s="62"/>
      <c r="BA9" s="62"/>
    </row>
    <row s="961" customFormat="1" customHeight="1" ht="11.25" hidden="1">
      <c r="B10" s="400"/>
      <c r="E10" s="601"/>
      <c r="W10" s="62"/>
      <c r="X10" s="62"/>
      <c r="Y10" s="62"/>
      <c r="Z10" s="541"/>
      <c r="AA10" s="62"/>
      <c r="AB10" s="400"/>
      <c r="AC10" s="400"/>
      <c r="AD10" s="400"/>
      <c r="AE10" s="400"/>
      <c r="AF10" s="449"/>
      <c r="AG10" s="62"/>
      <c r="AH10" s="62"/>
      <c r="AI10" s="62"/>
      <c r="AJ10" s="62"/>
      <c r="AK10" s="62"/>
      <c r="AL10" s="62"/>
      <c r="AM10" s="62"/>
      <c r="AN10" s="62"/>
      <c r="AO10" s="62"/>
      <c r="AP10" s="62"/>
      <c r="AQ10" s="62"/>
      <c r="AR10" s="62"/>
      <c r="AS10" s="62"/>
      <c r="AT10" s="62"/>
      <c r="AU10" s="62"/>
      <c r="AV10" s="62"/>
      <c r="AW10" s="62"/>
      <c r="AX10" s="62"/>
      <c r="AY10" s="62"/>
      <c r="AZ10" s="62"/>
      <c r="BA10" s="62"/>
    </row>
    <row s="961" customFormat="1" customHeight="1" ht="11.25" hidden="1">
      <c r="B11" s="400"/>
      <c r="E11" s="601"/>
      <c r="W11" s="62"/>
      <c r="X11" s="62"/>
      <c r="Y11" s="62"/>
      <c r="Z11" s="541"/>
      <c r="AA11" s="62"/>
      <c r="AB11" s="400"/>
      <c r="AC11" s="400"/>
      <c r="AD11" s="400"/>
      <c r="AE11" s="400"/>
      <c r="AF11" s="449"/>
      <c r="AG11" s="62"/>
      <c r="AH11" s="62"/>
      <c r="AI11" s="62"/>
      <c r="AJ11" s="62"/>
      <c r="AK11" s="62"/>
      <c r="AL11" s="62"/>
      <c r="AM11" s="62"/>
      <c r="AN11" s="62"/>
      <c r="AO11" s="62"/>
      <c r="AP11" s="62"/>
      <c r="AQ11" s="62"/>
      <c r="AR11" s="62"/>
      <c r="AS11" s="62"/>
      <c r="AT11" s="62"/>
      <c r="AU11" s="62"/>
      <c r="AV11" s="62"/>
      <c r="AW11" s="62"/>
      <c r="AX11" s="62"/>
      <c r="AY11" s="62"/>
      <c r="AZ11" s="62"/>
      <c r="BA11" s="62"/>
    </row>
    <row s="961" customFormat="1" customHeight="1" ht="11.25" hidden="1">
      <c r="B12" s="400"/>
      <c r="E12" s="601"/>
      <c r="W12" s="62"/>
      <c r="X12" s="62"/>
      <c r="Y12" s="62"/>
      <c r="Z12" s="541"/>
      <c r="AA12" s="62"/>
      <c r="AB12" s="400"/>
      <c r="AC12" s="400"/>
      <c r="AD12" s="400"/>
      <c r="AE12" s="400"/>
      <c r="AF12" s="449"/>
      <c r="AG12" s="62"/>
      <c r="AH12" s="62"/>
      <c r="AI12" s="62"/>
      <c r="AJ12" s="62"/>
      <c r="AK12" s="62"/>
      <c r="AL12" s="62"/>
      <c r="AM12" s="62"/>
      <c r="AN12" s="62"/>
      <c r="AO12" s="62"/>
      <c r="AP12" s="62"/>
      <c r="AQ12" s="62"/>
      <c r="AR12" s="62"/>
      <c r="AS12" s="62"/>
      <c r="AT12" s="62"/>
      <c r="AU12" s="62"/>
      <c r="AV12" s="62"/>
      <c r="AW12" s="62"/>
      <c r="AX12" s="62"/>
      <c r="AY12" s="62"/>
      <c r="AZ12" s="62"/>
      <c r="BA12" s="62"/>
    </row>
    <row s="961" customFormat="1" customHeight="1" ht="11.25" hidden="1">
      <c r="B13" s="400"/>
      <c r="E13" s="601"/>
      <c r="W13" s="62"/>
      <c r="X13" s="62"/>
      <c r="Y13" s="62"/>
      <c r="Z13" s="541"/>
      <c r="AA13" s="62"/>
      <c r="AB13" s="400"/>
      <c r="AC13" s="400"/>
      <c r="AD13" s="400"/>
      <c r="AE13" s="400"/>
      <c r="AF13" s="449"/>
      <c r="AG13" s="62"/>
      <c r="AH13" s="62"/>
      <c r="AI13" s="62"/>
      <c r="AJ13" s="62"/>
      <c r="AK13" s="62"/>
      <c r="AL13" s="62"/>
      <c r="AM13" s="62"/>
      <c r="AN13" s="62"/>
      <c r="AO13" s="62"/>
      <c r="AP13" s="62"/>
      <c r="AQ13" s="62"/>
      <c r="AR13" s="62"/>
      <c r="AS13" s="62"/>
      <c r="AT13" s="62"/>
      <c r="AU13" s="62"/>
      <c r="AV13" s="62"/>
      <c r="AW13" s="62"/>
      <c r="AX13" s="62"/>
      <c r="AY13" s="62"/>
      <c r="AZ13" s="62"/>
      <c r="BA13" s="62"/>
    </row>
    <row s="961" customFormat="1" customHeight="1" ht="11.25" hidden="1">
      <c r="B14" s="400"/>
      <c r="E14" s="601"/>
      <c r="W14" s="62"/>
      <c r="X14" s="62"/>
      <c r="Y14" s="62"/>
      <c r="Z14" s="541"/>
      <c r="AA14" s="62"/>
      <c r="AB14" s="400"/>
      <c r="AC14" s="400"/>
      <c r="AD14" s="400"/>
      <c r="AE14" s="400"/>
      <c r="AF14" s="449"/>
      <c r="AG14" s="62"/>
      <c r="AH14" s="62"/>
      <c r="AI14" s="62"/>
      <c r="AJ14" s="62"/>
      <c r="AK14" s="62"/>
      <c r="AL14" s="62"/>
      <c r="AM14" s="62"/>
      <c r="AN14" s="62"/>
      <c r="AO14" s="62"/>
      <c r="AP14" s="62"/>
      <c r="AQ14" s="62"/>
      <c r="AR14" s="62"/>
      <c r="AS14" s="62"/>
      <c r="AT14" s="62"/>
      <c r="AU14" s="62"/>
      <c r="AV14" s="62"/>
      <c r="AW14" s="62"/>
      <c r="AX14" s="62"/>
      <c r="AY14" s="62"/>
      <c r="AZ14" s="62"/>
      <c r="BA14" s="62"/>
    </row>
    <row s="961" customFormat="1" customHeight="1" ht="11.25" hidden="1">
      <c r="B15" s="400"/>
      <c r="E15" s="601"/>
      <c r="W15" s="62"/>
      <c r="X15" s="62"/>
      <c r="Y15" s="62"/>
      <c r="Z15" s="541"/>
      <c r="AA15" s="62"/>
      <c r="AB15" s="400"/>
      <c r="AC15" s="400"/>
      <c r="AD15" s="400"/>
      <c r="AE15" s="400"/>
      <c r="AF15" s="449"/>
      <c r="AG15" s="62"/>
      <c r="AH15" s="62"/>
      <c r="AI15" s="62"/>
      <c r="AJ15" s="62"/>
      <c r="AK15" s="62"/>
      <c r="AL15" s="62"/>
      <c r="AM15" s="62"/>
      <c r="AN15" s="62"/>
      <c r="AO15" s="62"/>
      <c r="AP15" s="62"/>
      <c r="AQ15" s="62"/>
      <c r="AR15" s="62"/>
      <c r="AS15" s="62"/>
      <c r="AT15" s="62"/>
      <c r="AU15" s="62"/>
      <c r="AV15" s="62"/>
      <c r="AW15" s="62"/>
      <c r="AX15" s="62"/>
      <c r="AY15" s="62"/>
      <c r="AZ15" s="62"/>
      <c r="BA15" s="62"/>
    </row>
    <row s="961" customFormat="1" customHeight="1" ht="11.25" hidden="1">
      <c r="B16" s="400"/>
      <c r="E16" s="601"/>
      <c r="W16" s="62"/>
      <c r="X16" s="62"/>
      <c r="Y16" s="62"/>
      <c r="Z16" s="541"/>
      <c r="AA16" s="62"/>
      <c r="AB16" s="400"/>
      <c r="AC16" s="400"/>
      <c r="AD16" s="400"/>
      <c r="AE16" s="400"/>
      <c r="AF16" s="449"/>
      <c r="AG16" s="62"/>
      <c r="AH16" s="62"/>
      <c r="AI16" s="62"/>
      <c r="AJ16" s="62"/>
      <c r="AK16" s="62"/>
      <c r="AL16" s="62"/>
      <c r="AM16" s="62"/>
      <c r="AN16" s="62"/>
      <c r="AO16" s="62"/>
      <c r="AP16" s="62"/>
      <c r="AQ16" s="62"/>
      <c r="AR16" s="62"/>
      <c r="AS16" s="62"/>
      <c r="AT16" s="62"/>
      <c r="AU16" s="62"/>
      <c r="AV16" s="62"/>
      <c r="AW16" s="62"/>
      <c r="AX16" s="62"/>
      <c r="AY16" s="62"/>
      <c r="AZ16" s="62"/>
      <c r="BA16" s="62"/>
    </row>
    <row s="961" customFormat="1" customHeight="1" ht="11.25" hidden="1">
      <c r="B17" s="400"/>
      <c r="E17" s="601"/>
      <c r="W17" s="62"/>
      <c r="X17" s="62"/>
      <c r="Y17" s="62"/>
      <c r="Z17" s="541"/>
      <c r="AA17" s="62"/>
      <c r="AB17" s="400"/>
      <c r="AC17" s="400"/>
      <c r="AD17" s="400"/>
      <c r="AE17" s="400"/>
      <c r="AF17" s="449"/>
      <c r="AG17" s="62"/>
      <c r="AH17" s="62"/>
      <c r="AI17" s="62"/>
      <c r="AJ17" s="62"/>
      <c r="AK17" s="62"/>
      <c r="AL17" s="62"/>
      <c r="AM17" s="62"/>
      <c r="AN17" s="62"/>
      <c r="AO17" s="62"/>
      <c r="AP17" s="62"/>
      <c r="AQ17" s="62"/>
      <c r="AR17" s="62"/>
      <c r="AS17" s="62"/>
      <c r="AT17" s="62"/>
      <c r="AU17" s="62"/>
      <c r="AV17" s="62"/>
      <c r="AW17" s="62"/>
      <c r="AX17" s="62"/>
      <c r="AY17" s="62"/>
      <c r="AZ17" s="62"/>
      <c r="BA17" s="62"/>
    </row>
    <row s="961" customFormat="1" customHeight="1" ht="11.25" hidden="1">
      <c r="B18" s="400"/>
      <c r="E18" s="601"/>
      <c r="W18" s="62"/>
      <c r="X18" s="62"/>
      <c r="Y18" s="62"/>
      <c r="Z18" s="541"/>
      <c r="AA18" s="62"/>
      <c r="AB18" s="400"/>
      <c r="AC18" s="400"/>
      <c r="AD18" s="400"/>
      <c r="AE18" s="400"/>
      <c r="AF18" s="449"/>
      <c r="AG18" s="62"/>
      <c r="AH18" s="62"/>
      <c r="AI18" s="62"/>
      <c r="AJ18" s="62"/>
      <c r="AK18" s="62"/>
      <c r="AL18" s="62"/>
      <c r="AM18" s="62"/>
      <c r="AN18" s="62"/>
      <c r="AO18" s="62"/>
      <c r="AP18" s="62"/>
      <c r="AQ18" s="62"/>
      <c r="AR18" s="62"/>
      <c r="AS18" s="62"/>
      <c r="AT18" s="62"/>
      <c r="AU18" s="62"/>
      <c r="AV18" s="62"/>
      <c r="AW18" s="62"/>
      <c r="AX18" s="62"/>
      <c r="AY18" s="62"/>
      <c r="AZ18" s="62"/>
      <c r="BA18" s="62"/>
    </row>
    <row customHeight="1" ht="11.25" hidden="1"/>
    <row customHeight="1" ht="11.25" hidden="1"/>
    <row customHeight="1" ht="10.96875">
      <c r="E21" s="618">
        <v>11.25</v>
      </c>
      <c r="AA21" s="398"/>
      <c r="AF21" s="73"/>
    </row>
    <row customHeight="1" ht="19.0125">
      <c r="E22" s="618">
        <v>19.5</v>
      </c>
      <c r="AB22" s="1426" t="s">
        <v>100</v>
      </c>
      <c r="AC22" s="1427"/>
      <c r="AD22" s="1428"/>
      <c r="AE22" s="241" t="s">
        <v>101</v>
      </c>
      <c r="AF22" s="622" cm="1" t="str">
        <f t="array" ref="AF22:AF22">INDEX(TEHSHEET!B1:B90,MATCH(region_name,REGION,0))</f>
        <v>RU42</v>
      </c>
    </row>
    <row customHeight="1" ht="19.0125">
      <c r="E23" s="618">
        <v>19.5</v>
      </c>
      <c r="AB23" s="427"/>
      <c r="AC23" s="428"/>
      <c r="AD23" s="429" t="s">
        <v>102</v>
      </c>
      <c r="AE23" s="935" t="s">
        <v>103</v>
      </c>
      <c r="AH23" s="73"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73" t="str">
        <f>IF(method_reg="Метод индексации","INDEX",IF(method_reg="Метод экономически обоснованных расходов","EOR",IF(method_reg="Метод сравнения аналогов","ANALOG","RAB")))</f>
        <v>INDEX</v>
      </c>
    </row>
    <row customHeight="1" ht="19.0125">
      <c r="E24" s="618">
        <v>19.5</v>
      </c>
      <c r="AB24" s="1426" t="s">
        <v>104</v>
      </c>
      <c r="AC24" s="1427"/>
      <c r="AD24" s="1428"/>
      <c r="AE24" s="431">
        <v>2026</v>
      </c>
      <c r="AF24" s="355"/>
      <c r="AI24" s="73" t="str">
        <f>ORG_SHORT_NAME&amp;"_ИНН:"&amp;inn&amp;"_КПП:"&amp;kpp</f>
        <v>Филиал АО "УК "Кузбассразрезуголь" "Талдинский угольный разрез"_ИНН:4205049090_КПП:423802002</v>
      </c>
    </row>
    <row customHeight="1" ht="19.0125">
      <c r="B25" s="418">
        <f>AND(NOT(method_reg="Метод экономически обоснованных расходов"),NOT(method_reg="Метод сравнения аналогов"))</f>
        <v>1</v>
      </c>
      <c r="E25" s="618">
        <v>19.5</v>
      </c>
      <c r="AB25" s="1426" t="s">
        <v>105</v>
      </c>
      <c r="AC25" s="1427"/>
      <c r="AD25" s="1428"/>
      <c r="AE25" s="431">
        <v>2024</v>
      </c>
      <c r="AF25" s="624">
        <f>first_year+PERIOD_LENGTH-1</f>
        <v>2028</v>
      </c>
      <c r="AG25" s="73" cm="1" t="str">
        <f t="array" ref="AG25:AG25">IF(AE236="да",god,last_year)</f>
        <v>2026</v>
      </c>
    </row>
    <row customHeight="1" ht="19.0125">
      <c r="B26" s="418">
        <f>AND(NOT(method_reg="Метод экономически обоснованных расходов"),NOT(method_reg="Метод сравнения аналогов"))</f>
        <v>1</v>
      </c>
      <c r="E26" s="618">
        <v>19.5</v>
      </c>
      <c r="AB26" s="1426" t="s">
        <v>106</v>
      </c>
      <c r="AC26" s="1427"/>
      <c r="AD26" s="1428"/>
      <c r="AE26" s="431">
        <v>5</v>
      </c>
      <c r="AF26" s="355"/>
    </row>
    <row customHeight="1" ht="19.0125">
      <c r="B27" s="418">
        <f>AND(NOT(method_reg="Метод экономически обоснованных расходов"),NOT(method_reg="Метод сравнения аналогов"))</f>
        <v>1</v>
      </c>
      <c r="E27" s="618">
        <v>19.5</v>
      </c>
      <c r="AB27" s="1426" t="s">
        <v>107</v>
      </c>
      <c r="AC27" s="1427"/>
      <c r="AD27" s="1428"/>
      <c r="AE27" s="241">
        <f>IF(OR(PERIOD_LENGTH-god+first_year&lt;=0,PERIOD_LENGTH-god+first_year&gt;10),"",PERIOD_LENGTH-god+first_year)</f>
        <v>3</v>
      </c>
      <c r="AF27" s="355"/>
    </row>
    <row customHeight="1" ht="7.3125">
      <c r="E28" s="618">
        <v>7.5</v>
      </c>
    </row>
    <row customHeight="1" ht="7.3125">
      <c r="E29" s="618">
        <v>7.5</v>
      </c>
    </row>
    <row customHeight="1" ht="19.0125">
      <c r="E30" s="618">
        <v>19.5</v>
      </c>
      <c r="AB30" s="1429" t="s">
        <v>108</v>
      </c>
      <c r="AC30" s="1429"/>
      <c r="AD30" s="1429"/>
      <c r="AE30" s="1429"/>
      <c r="AF30" s="356"/>
      <c r="AG30" s="75"/>
      <c r="AH30" s="75"/>
      <c r="AI30" s="75"/>
      <c r="AJ30" s="75"/>
      <c r="AK30" s="75"/>
      <c r="AL30" s="75"/>
    </row>
    <row customHeight="1" ht="19.0125">
      <c r="E31" s="618">
        <v>19.5</v>
      </c>
      <c r="AB31" s="1430" t="s">
        <v>109</v>
      </c>
      <c r="AC31" s="1430"/>
      <c r="AD31" s="1430"/>
      <c r="AE31" s="1430"/>
      <c r="AF31" s="356"/>
      <c r="AG31" s="75"/>
      <c r="AH31" s="75"/>
      <c r="AI31" s="75"/>
      <c r="AJ31" s="75"/>
      <c r="AK31" s="75"/>
      <c r="AL31" s="75"/>
    </row>
    <row customHeight="1" ht="19.0125">
      <c r="E32" s="618">
        <v>19.5</v>
      </c>
      <c r="AB32" s="1431" t="s">
        <v>110</v>
      </c>
      <c r="AC32" s="1431"/>
      <c r="AD32" s="1431"/>
      <c r="AE32" s="1431"/>
      <c r="AF32" s="356"/>
      <c r="AG32" s="75"/>
      <c r="AH32" s="75"/>
      <c r="AI32" s="75"/>
      <c r="AJ32" s="75"/>
      <c r="AK32" s="75"/>
      <c r="AL32" s="75"/>
    </row>
    <row customHeight="1" ht="19.0125">
      <c r="E33" s="618">
        <v>19.5</v>
      </c>
      <c r="AA33" s="623">
        <v>26520873</v>
      </c>
      <c r="AB33" s="1432" t="s">
        <v>111</v>
      </c>
      <c r="AC33" s="1432"/>
      <c r="AD33" s="1432"/>
      <c r="AE33" s="1432"/>
      <c r="AG33" s="75"/>
      <c r="AH33" s="75"/>
      <c r="AI33" s="75"/>
      <c r="AJ33" s="75"/>
      <c r="AK33" s="75"/>
      <c r="AL33" s="73" t="str">
        <f>_xlfn.IFERROR(region_name&amp;" / "&amp;god&amp;" / "&amp;org&amp;" (ИНН:"&amp;inn&amp;", КПП:"&amp;kpp&amp;") / ДПР: "&amp;first_year&amp;"-"&amp;last_year,"")</f>
        <v>Кемеровская область / 2026 / Филиал АО "УК "Кузбассразрезуголь" "Талдинский угольный разрез" (ИНН:4205049090, КПП:423802002) / ДПР: 2024-2028</v>
      </c>
    </row>
    <row customHeight="1" ht="19.0125">
      <c r="E34" s="618">
        <v>19.5</v>
      </c>
      <c r="AB34" s="143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1433"/>
      <c r="AD34" s="1433"/>
      <c r="AE34" s="1433"/>
      <c r="AG34" s="75"/>
      <c r="AH34" s="75"/>
      <c r="AI34" s="75"/>
      <c r="AJ34" s="75"/>
      <c r="AK34" s="75"/>
      <c r="AL34" s="75"/>
    </row>
    <row customHeight="1" ht="19.0125">
      <c r="E35" s="618">
        <v>19.5</v>
      </c>
      <c r="AB35" s="143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1434"/>
      <c r="AD35" s="1434"/>
      <c r="AE35" s="1434"/>
      <c r="AF35" s="356"/>
      <c r="AG35" s="75"/>
      <c r="AH35" s="75"/>
      <c r="AI35" s="75"/>
      <c r="AJ35" s="75"/>
      <c r="AK35" s="75"/>
      <c r="AL35" s="75"/>
    </row>
    <row customHeight="1" ht="10.96875">
      <c r="E36" s="618">
        <v>11.25</v>
      </c>
      <c r="AB36" s="1435"/>
      <c r="AC36" s="1436"/>
      <c r="AD36" s="1436"/>
      <c r="AE36" s="1437"/>
      <c r="AF36" s="450"/>
      <c r="AG36" s="77"/>
      <c r="AH36" s="62"/>
      <c r="AI36" s="1438"/>
      <c r="AJ36" s="1438"/>
      <c r="AK36" s="62"/>
      <c r="AL36" s="77"/>
    </row>
    <row customHeight="1" ht="19.0125">
      <c r="E37" s="618">
        <v>19.5</v>
      </c>
      <c r="AB37" s="1439" t="s">
        <v>112</v>
      </c>
      <c r="AC37" s="1439"/>
      <c r="AD37" s="1439"/>
      <c r="AE37" s="1439"/>
      <c r="AF37" s="451"/>
      <c r="AG37" s="78"/>
      <c r="AH37" s="78"/>
      <c r="AI37" s="78"/>
      <c r="AJ37" s="78"/>
      <c r="AK37" s="78"/>
      <c r="AL37" s="74"/>
    </row>
    <row customHeight="1" ht="35.1">
      <c r="E38" s="618">
        <v>36</v>
      </c>
      <c r="AB38" s="1412" t="s">
        <v>113</v>
      </c>
      <c r="AC38" s="1412"/>
      <c r="AD38" s="1412"/>
      <c r="AE38" s="736" t="s">
        <v>114</v>
      </c>
      <c r="AF38" s="452"/>
      <c r="AG38" s="74"/>
      <c r="AH38" s="74"/>
      <c r="AI38" s="74"/>
    </row>
    <row customHeight="1" ht="35.1">
      <c r="E39" s="618">
        <v>36</v>
      </c>
      <c r="AB39" s="1412" t="s">
        <v>115</v>
      </c>
      <c r="AC39" s="1412"/>
      <c r="AD39" s="1412"/>
      <c r="AE39" s="736" t="s">
        <v>111</v>
      </c>
      <c r="AF39" s="452"/>
    </row>
    <row customHeight="1" ht="19.0125">
      <c r="E40" s="618">
        <v>19.5</v>
      </c>
      <c r="AB40" s="1412" t="s">
        <v>116</v>
      </c>
      <c r="AC40" s="1412"/>
      <c r="AD40" s="1412"/>
      <c r="AE40" s="1152"/>
      <c r="AF40" s="355"/>
    </row>
    <row customHeight="1" ht="19.0125">
      <c r="E41" s="618">
        <v>19.5</v>
      </c>
      <c r="AB41" s="1412" t="s">
        <v>117</v>
      </c>
      <c r="AC41" s="1412"/>
      <c r="AD41" s="1412"/>
      <c r="AE41" s="737" t="s">
        <v>118</v>
      </c>
      <c r="AF41" s="355"/>
    </row>
    <row customHeight="1" ht="19.0125">
      <c r="E42" s="618">
        <v>19.5</v>
      </c>
      <c r="AB42" s="1412" t="s">
        <v>119</v>
      </c>
      <c r="AC42" s="1412"/>
      <c r="AD42" s="1412"/>
      <c r="AE42" s="737" t="s">
        <v>120</v>
      </c>
      <c r="AF42" s="355"/>
    </row>
    <row customHeight="1" ht="19.0125">
      <c r="E43" s="618">
        <v>19.5</v>
      </c>
      <c r="AB43" s="1412" t="s">
        <v>121</v>
      </c>
      <c r="AC43" s="1412"/>
      <c r="AD43" s="1412"/>
      <c r="AE43" s="737" t="s">
        <v>122</v>
      </c>
      <c r="AF43" s="355"/>
    </row>
    <row customHeight="1" ht="19.0125">
      <c r="E44" s="618">
        <v>19.5</v>
      </c>
      <c r="AB44" s="1412" t="s">
        <v>123</v>
      </c>
      <c r="AC44" s="1412"/>
      <c r="AD44" s="1412"/>
      <c r="AE44" s="352" t="s">
        <v>124</v>
      </c>
      <c r="AF44" s="355"/>
      <c r="AG44" s="73" t="s">
        <v>125</v>
      </c>
    </row>
    <row customHeight="1" ht="19.0125">
      <c r="E45" s="618">
        <v>19.5</v>
      </c>
      <c r="AB45" s="1412" t="s">
        <v>126</v>
      </c>
      <c r="AC45" s="1412"/>
      <c r="AD45" s="1412"/>
      <c r="AE45" s="357" t="s">
        <v>127</v>
      </c>
      <c r="AF45" s="355"/>
      <c r="AG45" s="73" t="s">
        <v>128</v>
      </c>
    </row>
    <row customHeight="1" ht="19.0125">
      <c r="E46" s="618">
        <v>19.5</v>
      </c>
      <c r="AB46" s="1412" t="s">
        <v>129</v>
      </c>
      <c r="AC46" s="1412"/>
      <c r="AD46" s="1412"/>
      <c r="AE46" s="357" t="s">
        <v>130</v>
      </c>
      <c r="AG46" s="73" t="s">
        <v>131</v>
      </c>
    </row>
    <row customHeight="1" ht="23.25">
      <c r="E47" s="618">
        <v>19.5</v>
      </c>
      <c r="AB47" s="1412" t="s">
        <v>132</v>
      </c>
      <c r="AC47" s="1412"/>
      <c r="AD47" s="1412"/>
      <c r="AE47" s="357" t="s">
        <v>133</v>
      </c>
      <c r="AG47" s="73" t="s">
        <v>134</v>
      </c>
    </row>
    <row customHeight="1" ht="19.0125">
      <c r="E48" s="618">
        <v>19.5</v>
      </c>
      <c r="AB48" s="1412" t="s">
        <v>135</v>
      </c>
      <c r="AC48" s="1412"/>
      <c r="AD48" s="1412"/>
      <c r="AE48" s="357" t="s">
        <v>136</v>
      </c>
      <c r="AG48" s="73" t="s">
        <v>137</v>
      </c>
    </row>
    <row customHeight="1" ht="19.0125">
      <c r="E49" s="618">
        <v>19.5</v>
      </c>
      <c r="AB49" s="1412" t="s">
        <v>138</v>
      </c>
      <c r="AC49" s="1412"/>
      <c r="AD49" s="1412"/>
      <c r="AE49" s="358" t="s">
        <v>139</v>
      </c>
      <c r="AG49" s="73" t="s">
        <v>140</v>
      </c>
    </row>
    <row customHeight="1" ht="19.0125">
      <c r="E50" s="618">
        <v>19.5</v>
      </c>
      <c r="AB50" s="1412" t="s">
        <v>141</v>
      </c>
      <c r="AC50" s="1412"/>
      <c r="AD50" s="1412"/>
      <c r="AE50" s="357" t="s">
        <v>142</v>
      </c>
      <c r="AG50" s="73" t="s">
        <v>143</v>
      </c>
    </row>
    <row customHeight="1" ht="19.0125">
      <c r="E51" s="618">
        <v>19.5</v>
      </c>
      <c r="AB51" s="1412" t="s">
        <v>144</v>
      </c>
      <c r="AC51" s="1412"/>
      <c r="AD51" s="1412"/>
      <c r="AE51" s="357" t="s">
        <v>145</v>
      </c>
      <c r="AG51" s="73" t="s">
        <v>146</v>
      </c>
    </row>
    <row customHeight="1" ht="19.0125">
      <c r="E52" s="618">
        <v>19.5</v>
      </c>
      <c r="AB52" s="1412" t="s">
        <v>147</v>
      </c>
      <c r="AC52" s="1412"/>
      <c r="AD52" s="1412"/>
      <c r="AE52" s="359" t="s">
        <v>148</v>
      </c>
      <c r="AG52" s="73" t="s">
        <v>149</v>
      </c>
    </row>
    <row customHeight="1" ht="19.0125">
      <c r="E53" s="618">
        <v>19.5</v>
      </c>
      <c r="AB53" s="1412" t="s">
        <v>150</v>
      </c>
      <c r="AC53" s="1412"/>
      <c r="AD53" s="63" t="s">
        <v>151</v>
      </c>
      <c r="AE53" s="360" t="s">
        <v>152</v>
      </c>
      <c r="AG53" s="73" t="s">
        <v>153</v>
      </c>
    </row>
    <row customHeight="1" ht="19.0125">
      <c r="E54" s="618">
        <v>19.5</v>
      </c>
      <c r="AB54" s="1412"/>
      <c r="AC54" s="1412"/>
      <c r="AD54" s="63" t="s">
        <v>154</v>
      </c>
      <c r="AE54" s="1618" t="s">
        <v>155</v>
      </c>
      <c r="AG54" s="73" t="s">
        <v>156</v>
      </c>
    </row>
    <row customHeight="1" ht="19.0125">
      <c r="E55" s="618">
        <v>19.5</v>
      </c>
      <c r="AB55" s="1412"/>
      <c r="AC55" s="1412"/>
      <c r="AD55" s="63" t="s">
        <v>157</v>
      </c>
      <c r="AE55" s="1618" t="s">
        <v>158</v>
      </c>
      <c r="AG55" s="73" t="s">
        <v>159</v>
      </c>
    </row>
    <row customHeight="1" ht="24.862499999999997">
      <c r="E56" s="618">
        <v>25.5</v>
      </c>
      <c r="AB56" s="1412" t="s">
        <v>160</v>
      </c>
      <c r="AC56" s="1412"/>
      <c r="AD56" s="1412"/>
      <c r="AE56" s="360" t="s">
        <v>152</v>
      </c>
      <c r="AF56" s="453"/>
      <c r="AG56" s="73" t="s">
        <v>161</v>
      </c>
    </row>
    <row customHeight="1" ht="24.862499999999997">
      <c r="E57" s="618">
        <v>25.5</v>
      </c>
      <c r="AB57" s="1412" t="s">
        <v>162</v>
      </c>
      <c r="AC57" s="1412"/>
      <c r="AD57" s="1412"/>
      <c r="AE57" s="360" t="s">
        <v>163</v>
      </c>
      <c r="AF57" s="625"/>
      <c r="AG57" s="549"/>
    </row>
    <row customHeight="1" ht="19.0125">
      <c r="E58" s="618">
        <v>19.5</v>
      </c>
      <c r="AB58" s="1412" t="s">
        <v>164</v>
      </c>
      <c r="AC58" s="1412"/>
      <c r="AD58" s="1412"/>
      <c r="AE58" s="360" t="s">
        <v>165</v>
      </c>
      <c r="AG58" s="73" t="s">
        <v>166</v>
      </c>
    </row>
    <row customHeight="1" ht="24.862499999999997">
      <c r="E59" s="618">
        <v>25.5</v>
      </c>
      <c r="AB59" s="1412" t="s">
        <v>167</v>
      </c>
      <c r="AC59" s="1412"/>
      <c r="AD59" s="1412"/>
      <c r="AE59" s="360" t="s">
        <v>152</v>
      </c>
      <c r="AF59" s="453"/>
      <c r="AG59" s="73" t="s">
        <v>168</v>
      </c>
    </row>
    <row customHeight="1" ht="19.0125">
      <c r="B60" s="418">
        <f>NOT(method_reg="Метод сравнения аналогов")</f>
        <v>1</v>
      </c>
      <c r="E60" s="618">
        <v>19.5</v>
      </c>
      <c r="F60" s="73" t="s">
        <v>169</v>
      </c>
      <c r="AB60" s="1412" t="s">
        <v>170</v>
      </c>
      <c r="AC60" s="1412"/>
      <c r="AD60" s="1412"/>
      <c r="AE60" s="360" t="s">
        <v>152</v>
      </c>
      <c r="AG60" s="73" t="s">
        <v>171</v>
      </c>
    </row>
    <row customHeight="1" ht="11.700000000000001" hidden="1">
      <c r="A61" s="963"/>
      <c r="B61" s="418">
        <f>AND(NOT(method_reg="Метод сравнения аналогов"),STATUS_GO="да")</f>
        <v>0</v>
      </c>
      <c r="C61" s="963"/>
      <c r="D61" s="963"/>
      <c r="E61" s="618">
        <v>12</v>
      </c>
      <c r="F61" s="963"/>
      <c r="G61" s="963"/>
      <c r="H61" s="963"/>
      <c r="I61" s="963"/>
      <c r="J61" s="963"/>
      <c r="K61" s="963"/>
      <c r="L61" s="963"/>
      <c r="M61" s="963"/>
      <c r="N61" s="963"/>
      <c r="O61" s="963"/>
      <c r="P61" s="963"/>
      <c r="Q61" s="963"/>
      <c r="R61" s="963"/>
      <c r="S61" s="963"/>
      <c r="T61" s="963"/>
      <c r="U61" s="963"/>
      <c r="V61" s="963"/>
      <c r="W61" s="963"/>
      <c r="X61" s="963"/>
      <c r="Y61" s="963"/>
      <c r="Z61" s="1621"/>
      <c r="AA61" s="617"/>
      <c r="AB61" s="1412" t="s">
        <v>172</v>
      </c>
      <c r="AC61" s="1412"/>
      <c r="AD61" s="1412"/>
      <c r="AE61" s="389"/>
      <c r="AF61" s="617"/>
      <c r="AG61" s="963"/>
      <c r="AH61" s="963"/>
      <c r="AI61" s="963"/>
      <c r="AJ61" s="963"/>
      <c r="AK61" s="963"/>
      <c r="AL61" s="963"/>
      <c r="AM61" s="963"/>
      <c r="AN61" s="963"/>
      <c r="AO61" s="963"/>
      <c r="AP61" s="963"/>
      <c r="AQ61" s="963"/>
      <c r="AR61" s="963"/>
      <c r="AS61" s="963"/>
      <c r="AT61" s="963"/>
      <c r="AU61" s="963"/>
      <c r="AV61" s="963"/>
      <c r="AW61" s="963"/>
      <c r="AX61" s="963"/>
      <c r="AY61" s="963"/>
      <c r="AZ61" s="963"/>
      <c r="BA61" s="963"/>
    </row>
    <row customHeight="1" ht="11.700000000000001" hidden="1">
      <c r="A62" s="963"/>
      <c r="B62" s="418">
        <f>AND(NOT(method_reg="Метод сравнения аналогов"),STATUS_GO="да")</f>
        <v>0</v>
      </c>
      <c r="C62" s="963"/>
      <c r="D62" s="963"/>
      <c r="E62" s="618">
        <v>12</v>
      </c>
      <c r="F62" s="963"/>
      <c r="G62" s="963"/>
      <c r="H62" s="963"/>
      <c r="I62" s="963"/>
      <c r="J62" s="963"/>
      <c r="K62" s="963"/>
      <c r="L62" s="963"/>
      <c r="M62" s="963"/>
      <c r="N62" s="963"/>
      <c r="O62" s="963"/>
      <c r="P62" s="963"/>
      <c r="Q62" s="963"/>
      <c r="R62" s="963"/>
      <c r="S62" s="963"/>
      <c r="T62" s="963"/>
      <c r="U62" s="963"/>
      <c r="V62" s="963"/>
      <c r="W62" s="475">
        <f>ROW(Y62)&gt;ROW(Y$62)</f>
        <v>0</v>
      </c>
      <c r="X62" s="963"/>
      <c r="Y62" s="73" t="s">
        <v>173</v>
      </c>
      <c r="Z62" s="1621"/>
      <c r="AA62" s="617" t="s">
        <v>174</v>
      </c>
      <c r="AB62" s="1412" t="s">
        <v>172</v>
      </c>
      <c r="AC62" s="1412"/>
      <c r="AD62" s="1412"/>
      <c r="AE62" s="389"/>
      <c r="AF62" s="617"/>
      <c r="AG62" s="963"/>
      <c r="AH62" s="963"/>
      <c r="AI62" s="963"/>
      <c r="AJ62" s="963"/>
      <c r="AK62" s="963"/>
      <c r="AL62" s="963"/>
      <c r="AM62" s="963"/>
      <c r="AN62" s="963"/>
      <c r="AO62" s="963"/>
      <c r="AP62" s="963"/>
      <c r="AQ62" s="963"/>
      <c r="AR62" s="963"/>
      <c r="AS62" s="963"/>
      <c r="AT62" s="963"/>
      <c r="AU62" s="963"/>
      <c r="AV62" s="963"/>
      <c r="AW62" s="963"/>
      <c r="AX62" s="963"/>
      <c r="AY62" s="963"/>
      <c r="AZ62" s="963"/>
      <c r="BA62" s="963"/>
    </row>
    <row customHeight="1" ht="13.649999999999999" hidden="1">
      <c r="A63" s="963"/>
      <c r="B63" s="418">
        <f>AND(NOT(method_reg="Метод сравнения аналогов"),STATUS_GO="да")</f>
        <v>0</v>
      </c>
      <c r="C63" s="963"/>
      <c r="D63" s="963"/>
      <c r="E63" s="618">
        <v>14</v>
      </c>
      <c r="F63" s="73" t="s">
        <v>175</v>
      </c>
      <c r="G63" s="963"/>
      <c r="H63" s="963"/>
      <c r="I63" s="963"/>
      <c r="J63" s="963"/>
      <c r="K63" s="963"/>
      <c r="L63" s="963"/>
      <c r="M63" s="963"/>
      <c r="N63" s="963"/>
      <c r="O63" s="963"/>
      <c r="P63" s="963"/>
      <c r="Q63" s="963"/>
      <c r="R63" s="963"/>
      <c r="S63" s="963"/>
      <c r="T63" s="963"/>
      <c r="U63" s="963"/>
      <c r="V63" s="963"/>
      <c r="W63" s="963"/>
      <c r="X63" s="963"/>
      <c r="Y63" s="74" t="s">
        <v>176</v>
      </c>
      <c r="Z63" s="1621"/>
      <c r="AA63" s="963"/>
      <c r="AB63" s="232"/>
      <c r="AC63" s="231"/>
      <c r="AD63" s="231"/>
      <c r="AE63" s="335" t="s">
        <v>177</v>
      </c>
      <c r="AF63" s="1072"/>
      <c r="AG63" s="963"/>
      <c r="AH63" s="963"/>
      <c r="AI63" s="963"/>
      <c r="AJ63" s="963"/>
      <c r="AK63" s="963"/>
      <c r="AL63" s="963"/>
      <c r="AM63" s="963"/>
      <c r="AN63" s="963"/>
      <c r="AO63" s="963"/>
      <c r="AP63" s="963"/>
      <c r="AQ63" s="963"/>
      <c r="AR63" s="963"/>
      <c r="AS63" s="963"/>
      <c r="AT63" s="963"/>
      <c r="AU63" s="963"/>
      <c r="AV63" s="963"/>
      <c r="AW63" s="963"/>
      <c r="AX63" s="963"/>
      <c r="AY63" s="963"/>
      <c r="AZ63" s="963"/>
      <c r="BA63" s="963"/>
    </row>
    <row customHeight="1" ht="13.649999999999999" hidden="1">
      <c r="A64" s="963"/>
      <c r="B64" s="418">
        <f>method_reg="Метод сравнения аналогов"</f>
        <v>0</v>
      </c>
      <c r="C64" s="963"/>
      <c r="D64" s="963"/>
      <c r="E64" s="618">
        <v>14</v>
      </c>
      <c r="F64" s="963"/>
      <c r="G64" s="963"/>
      <c r="H64" s="963"/>
      <c r="I64" s="963"/>
      <c r="J64" s="963"/>
      <c r="K64" s="963"/>
      <c r="L64" s="963"/>
      <c r="M64" s="963"/>
      <c r="N64" s="963"/>
      <c r="O64" s="963"/>
      <c r="P64" s="963"/>
      <c r="Q64" s="963"/>
      <c r="R64" s="963"/>
      <c r="S64" s="963"/>
      <c r="T64" s="963"/>
      <c r="U64" s="963"/>
      <c r="V64" s="963"/>
      <c r="W64" s="963"/>
      <c r="X64" s="963"/>
      <c r="Y64" s="963"/>
      <c r="Z64" s="1621"/>
      <c r="AA64" s="963"/>
      <c r="AB64" s="543"/>
      <c r="AC64" s="544"/>
      <c r="AD64" s="544"/>
      <c r="AE64" s="545"/>
      <c r="AF64" s="1072"/>
      <c r="AG64" s="963"/>
      <c r="AH64" s="963"/>
      <c r="AI64" s="963"/>
      <c r="AJ64" s="963"/>
      <c r="AK64" s="963"/>
      <c r="AL64" s="963"/>
      <c r="AM64" s="963"/>
      <c r="AN64" s="963"/>
      <c r="AO64" s="963"/>
      <c r="AP64" s="963"/>
      <c r="AQ64" s="963"/>
      <c r="AR64" s="963"/>
      <c r="AS64" s="963"/>
      <c r="AT64" s="963"/>
      <c r="AU64" s="963"/>
      <c r="AV64" s="963"/>
      <c r="AW64" s="963"/>
      <c r="AX64" s="963"/>
      <c r="AY64" s="963"/>
      <c r="AZ64" s="963"/>
      <c r="BA64" s="963"/>
    </row>
    <row customHeight="1" ht="19.0125" hidden="1">
      <c r="A65" s="963"/>
      <c r="B65" s="418">
        <f>method_reg="Метод сравнения аналогов"</f>
        <v>0</v>
      </c>
      <c r="C65" s="963"/>
      <c r="D65" s="963"/>
      <c r="E65" s="618">
        <v>19.5</v>
      </c>
      <c r="F65" s="963"/>
      <c r="G65" s="963"/>
      <c r="H65" s="963"/>
      <c r="I65" s="963"/>
      <c r="J65" s="963"/>
      <c r="K65" s="963"/>
      <c r="L65" s="963"/>
      <c r="M65" s="963"/>
      <c r="N65" s="963"/>
      <c r="O65" s="963"/>
      <c r="P65" s="963"/>
      <c r="Q65" s="963"/>
      <c r="R65" s="963"/>
      <c r="S65" s="963"/>
      <c r="T65" s="963"/>
      <c r="U65" s="963"/>
      <c r="V65" s="963"/>
      <c r="W65" s="963"/>
      <c r="X65" s="963"/>
      <c r="Y65" s="963"/>
      <c r="Z65" s="1621"/>
      <c r="AA65" s="963"/>
      <c r="AB65" s="1425" t="s">
        <v>178</v>
      </c>
      <c r="AC65" s="1425"/>
      <c r="AD65" s="1425"/>
      <c r="AE65" s="736"/>
      <c r="AF65" s="1072"/>
      <c r="AG65" s="937" t="s">
        <v>179</v>
      </c>
      <c r="AH65" s="963"/>
      <c r="AI65" s="963"/>
      <c r="AJ65" s="963"/>
      <c r="AK65" s="963"/>
      <c r="AL65" s="963"/>
      <c r="AM65" s="963"/>
      <c r="AN65" s="963"/>
      <c r="AO65" s="963"/>
      <c r="AP65" s="963"/>
      <c r="AQ65" s="963"/>
      <c r="AR65" s="963"/>
      <c r="AS65" s="963"/>
      <c r="AT65" s="963"/>
      <c r="AU65" s="963"/>
      <c r="AV65" s="963"/>
      <c r="AW65" s="963"/>
      <c r="AX65" s="963"/>
      <c r="AY65" s="963"/>
      <c r="AZ65" s="963"/>
      <c r="BA65" s="963"/>
    </row>
    <row customHeight="1" ht="19.0125" hidden="1">
      <c r="A66" s="963"/>
      <c r="B66" s="418">
        <f>method_reg="Метод сравнения аналогов"</f>
        <v>0</v>
      </c>
      <c r="C66" s="963"/>
      <c r="D66" s="963"/>
      <c r="E66" s="618">
        <v>19.5</v>
      </c>
      <c r="F66" s="963"/>
      <c r="G66" s="963"/>
      <c r="H66" s="963"/>
      <c r="I66" s="963"/>
      <c r="J66" s="963"/>
      <c r="K66" s="963"/>
      <c r="L66" s="963"/>
      <c r="M66" s="963"/>
      <c r="N66" s="963"/>
      <c r="O66" s="963"/>
      <c r="P66" s="963"/>
      <c r="Q66" s="963"/>
      <c r="R66" s="963"/>
      <c r="S66" s="963"/>
      <c r="T66" s="963"/>
      <c r="U66" s="963"/>
      <c r="V66" s="963"/>
      <c r="W66" s="963"/>
      <c r="X66" s="963"/>
      <c r="Y66" s="963"/>
      <c r="Z66" s="1621"/>
      <c r="AA66" s="963"/>
      <c r="AB66" s="1425" t="s">
        <v>180</v>
      </c>
      <c r="AC66" s="1425"/>
      <c r="AD66" s="1425"/>
      <c r="AE66" s="736"/>
      <c r="AF66" s="1072"/>
      <c r="AG66" s="937" t="s">
        <v>181</v>
      </c>
      <c r="AH66" s="963"/>
      <c r="AI66" s="963"/>
      <c r="AJ66" s="963"/>
      <c r="AK66" s="963"/>
      <c r="AL66" s="963"/>
      <c r="AM66" s="963"/>
      <c r="AN66" s="963"/>
      <c r="AO66" s="963"/>
      <c r="AP66" s="963"/>
      <c r="AQ66" s="963"/>
      <c r="AR66" s="963"/>
      <c r="AS66" s="963"/>
      <c r="AT66" s="963"/>
      <c r="AU66" s="963"/>
      <c r="AV66" s="963"/>
      <c r="AW66" s="963"/>
      <c r="AX66" s="963"/>
      <c r="AY66" s="963"/>
      <c r="AZ66" s="963"/>
      <c r="BA66" s="963"/>
    </row>
    <row customHeight="1" ht="19.0125" hidden="1">
      <c r="A67" s="963"/>
      <c r="B67" s="418">
        <f>method_reg="Метод сравнения аналогов"</f>
        <v>0</v>
      </c>
      <c r="C67" s="963"/>
      <c r="D67" s="963"/>
      <c r="E67" s="618">
        <v>19.5</v>
      </c>
      <c r="F67" s="963"/>
      <c r="G67" s="963"/>
      <c r="H67" s="963"/>
      <c r="I67" s="963"/>
      <c r="J67" s="963"/>
      <c r="K67" s="963"/>
      <c r="L67" s="963"/>
      <c r="M67" s="963"/>
      <c r="N67" s="963"/>
      <c r="O67" s="963"/>
      <c r="P67" s="963"/>
      <c r="Q67" s="963"/>
      <c r="R67" s="963"/>
      <c r="S67" s="963"/>
      <c r="T67" s="963"/>
      <c r="U67" s="963"/>
      <c r="V67" s="963"/>
      <c r="W67" s="963"/>
      <c r="X67" s="963"/>
      <c r="Y67" s="963"/>
      <c r="Z67" s="1621"/>
      <c r="AA67" s="963"/>
      <c r="AB67" s="1425" t="s">
        <v>182</v>
      </c>
      <c r="AC67" s="1425"/>
      <c r="AD67" s="1425"/>
      <c r="AE67" s="736"/>
      <c r="AF67" s="1072"/>
      <c r="AG67" s="937" t="s">
        <v>183</v>
      </c>
      <c r="AH67" s="963"/>
      <c r="AI67" s="963"/>
      <c r="AJ67" s="963"/>
      <c r="AK67" s="963"/>
      <c r="AL67" s="963"/>
      <c r="AM67" s="963"/>
      <c r="AN67" s="963"/>
      <c r="AO67" s="963"/>
      <c r="AP67" s="963"/>
      <c r="AQ67" s="963"/>
      <c r="AR67" s="963"/>
      <c r="AS67" s="963"/>
      <c r="AT67" s="963"/>
      <c r="AU67" s="963"/>
      <c r="AV67" s="963"/>
      <c r="AW67" s="963"/>
      <c r="AX67" s="963"/>
      <c r="AY67" s="963"/>
      <c r="AZ67" s="963"/>
      <c r="BA67" s="963"/>
    </row>
    <row customHeight="1" ht="19.0125" hidden="1">
      <c r="A68" s="963"/>
      <c r="B68" s="418">
        <f>method_reg="Метод сравнения аналогов"</f>
        <v>0</v>
      </c>
      <c r="C68" s="963"/>
      <c r="D68" s="963"/>
      <c r="E68" s="618">
        <v>19.5</v>
      </c>
      <c r="F68" s="963"/>
      <c r="G68" s="963"/>
      <c r="H68" s="963"/>
      <c r="I68" s="963"/>
      <c r="J68" s="963"/>
      <c r="K68" s="963"/>
      <c r="L68" s="963"/>
      <c r="M68" s="963"/>
      <c r="N68" s="963"/>
      <c r="O68" s="963"/>
      <c r="P68" s="963"/>
      <c r="Q68" s="963"/>
      <c r="R68" s="963"/>
      <c r="S68" s="963"/>
      <c r="T68" s="963"/>
      <c r="U68" s="963"/>
      <c r="V68" s="963"/>
      <c r="W68" s="963"/>
      <c r="X68" s="963"/>
      <c r="Y68" s="963"/>
      <c r="Z68" s="1621"/>
      <c r="AA68" s="963"/>
      <c r="AB68" s="1412" t="s">
        <v>184</v>
      </c>
      <c r="AC68" s="1412"/>
      <c r="AD68" s="1412"/>
      <c r="AE68" s="1638"/>
      <c r="AF68" s="1072"/>
      <c r="AG68" s="937" t="s">
        <v>185</v>
      </c>
      <c r="AH68" s="963"/>
      <c r="AI68" s="963"/>
      <c r="AJ68" s="963"/>
      <c r="AK68" s="963"/>
      <c r="AL68" s="963"/>
      <c r="AM68" s="963"/>
      <c r="AN68" s="963"/>
      <c r="AO68" s="963"/>
      <c r="AP68" s="963"/>
      <c r="AQ68" s="963"/>
      <c r="AR68" s="963"/>
      <c r="AS68" s="963"/>
      <c r="AT68" s="963"/>
      <c r="AU68" s="963"/>
      <c r="AV68" s="963"/>
      <c r="AW68" s="963"/>
      <c r="AX68" s="963"/>
      <c r="AY68" s="963"/>
      <c r="AZ68" s="963"/>
      <c r="BA68" s="963"/>
    </row>
    <row customHeight="1" ht="19.0125" hidden="1">
      <c r="A69" s="963"/>
      <c r="B69" s="418">
        <f>method_reg="Метод сравнения аналогов"</f>
        <v>0</v>
      </c>
      <c r="C69" s="963"/>
      <c r="D69" s="963"/>
      <c r="E69" s="618">
        <v>19.5</v>
      </c>
      <c r="F69" s="963"/>
      <c r="G69" s="963"/>
      <c r="H69" s="963"/>
      <c r="I69" s="963"/>
      <c r="J69" s="963"/>
      <c r="K69" s="963"/>
      <c r="L69" s="963"/>
      <c r="M69" s="963"/>
      <c r="N69" s="963"/>
      <c r="O69" s="963"/>
      <c r="P69" s="963"/>
      <c r="Q69" s="963"/>
      <c r="R69" s="963"/>
      <c r="S69" s="963"/>
      <c r="T69" s="963"/>
      <c r="U69" s="963"/>
      <c r="V69" s="963"/>
      <c r="W69" s="963"/>
      <c r="X69" s="963"/>
      <c r="Y69" s="963"/>
      <c r="Z69" s="1621"/>
      <c r="AA69" s="963"/>
      <c r="AB69" s="1412" t="s">
        <v>186</v>
      </c>
      <c r="AC69" s="1412"/>
      <c r="AD69" s="1412"/>
      <c r="AE69" s="1639"/>
      <c r="AF69" s="1072"/>
      <c r="AG69" s="937" t="s">
        <v>187</v>
      </c>
      <c r="AH69" s="963"/>
      <c r="AI69" s="963"/>
      <c r="AJ69" s="963"/>
      <c r="AK69" s="963"/>
      <c r="AL69" s="963"/>
      <c r="AM69" s="963"/>
      <c r="AN69" s="963"/>
      <c r="AO69" s="963"/>
      <c r="AP69" s="963"/>
      <c r="AQ69" s="963"/>
      <c r="AR69" s="963"/>
      <c r="AS69" s="963"/>
      <c r="AT69" s="963"/>
      <c r="AU69" s="963"/>
      <c r="AV69" s="963"/>
      <c r="AW69" s="963"/>
      <c r="AX69" s="963"/>
      <c r="AY69" s="963"/>
      <c r="AZ69" s="963"/>
      <c r="BA69" s="963"/>
    </row>
    <row customHeight="1" ht="13.649999999999999">
      <c r="B70" s="73"/>
      <c r="E70" s="618">
        <v>14</v>
      </c>
      <c r="AB70" s="543"/>
      <c r="AC70" s="544"/>
      <c r="AD70" s="544"/>
      <c r="AE70" s="545"/>
      <c r="AF70" s="1072"/>
    </row>
    <row customHeight="1" ht="19.0125">
      <c r="B71" s="73"/>
      <c r="E71" s="618">
        <v>19.5</v>
      </c>
      <c r="AB71" s="1412" t="s">
        <v>188</v>
      </c>
      <c r="AC71" s="1412"/>
      <c r="AD71" s="1412"/>
      <c r="AE71" s="360" t="s">
        <v>152</v>
      </c>
      <c r="AF71" s="1072"/>
      <c r="AG71" s="73" t="s">
        <v>189</v>
      </c>
    </row>
    <row customHeight="1" ht="19.0125">
      <c r="B72" s="73"/>
      <c r="E72" s="618">
        <v>19.5</v>
      </c>
      <c r="F72" s="73" t="s">
        <v>190</v>
      </c>
      <c r="AB72" s="1412" t="s">
        <v>191</v>
      </c>
      <c r="AC72" s="1412"/>
      <c r="AD72" s="1412"/>
      <c r="AE72" s="360" t="s">
        <v>152</v>
      </c>
      <c r="AF72" s="1072"/>
      <c r="AG72" s="73" t="s">
        <v>192</v>
      </c>
    </row>
    <row customHeight="1" ht="19.0125" hidden="1">
      <c r="A73" s="963"/>
      <c r="B73" s="418">
        <f>HAS_DOC2="да"</f>
        <v>0</v>
      </c>
      <c r="C73" s="963"/>
      <c r="D73" s="963"/>
      <c r="E73" s="618">
        <v>19.5</v>
      </c>
      <c r="F73" s="963"/>
      <c r="G73" s="963"/>
      <c r="H73" s="963"/>
      <c r="I73" s="963"/>
      <c r="J73" s="963"/>
      <c r="K73" s="963"/>
      <c r="L73" s="963"/>
      <c r="M73" s="963"/>
      <c r="N73" s="963"/>
      <c r="O73" s="963"/>
      <c r="P73" s="963"/>
      <c r="Q73" s="963"/>
      <c r="R73" s="963"/>
      <c r="S73" s="963"/>
      <c r="T73" s="963"/>
      <c r="U73" s="963"/>
      <c r="V73" s="963"/>
      <c r="W73" s="963"/>
      <c r="X73" s="963"/>
      <c r="Y73" s="963"/>
      <c r="Z73" s="1621"/>
      <c r="AA73" s="963"/>
      <c r="AB73" s="1414" t="s">
        <v>193</v>
      </c>
      <c r="AC73" s="1422" t="s">
        <v>194</v>
      </c>
      <c r="AD73" s="1424"/>
      <c r="AE73" s="1643"/>
      <c r="AF73" s="1072"/>
      <c r="AG73" s="963"/>
      <c r="AH73" s="963"/>
      <c r="AI73" s="963"/>
      <c r="AJ73" s="963"/>
      <c r="AK73" s="963"/>
      <c r="AL73" s="963"/>
      <c r="AM73" s="963"/>
      <c r="AN73" s="963"/>
      <c r="AO73" s="963"/>
      <c r="AP73" s="963"/>
      <c r="AQ73" s="963"/>
      <c r="AR73" s="963"/>
      <c r="AS73" s="963"/>
      <c r="AT73" s="963"/>
      <c r="AU73" s="963"/>
      <c r="AV73" s="963"/>
      <c r="AW73" s="963"/>
      <c r="AX73" s="963"/>
      <c r="AY73" s="963"/>
      <c r="AZ73" s="963"/>
      <c r="BA73" s="963"/>
    </row>
    <row customHeight="1" ht="19.0125" hidden="1">
      <c r="A74" s="963"/>
      <c r="B74" s="418">
        <f>HAS_DOC2="да"</f>
        <v>0</v>
      </c>
      <c r="C74" s="963"/>
      <c r="D74" s="963"/>
      <c r="E74" s="618">
        <v>19.5</v>
      </c>
      <c r="F74" s="963"/>
      <c r="G74" s="963"/>
      <c r="H74" s="963"/>
      <c r="I74" s="963"/>
      <c r="J74" s="963"/>
      <c r="K74" s="963"/>
      <c r="L74" s="963"/>
      <c r="M74" s="963"/>
      <c r="N74" s="963"/>
      <c r="O74" s="963"/>
      <c r="P74" s="963"/>
      <c r="Q74" s="963"/>
      <c r="R74" s="963"/>
      <c r="S74" s="963"/>
      <c r="T74" s="963"/>
      <c r="U74" s="963"/>
      <c r="V74" s="963"/>
      <c r="W74" s="963"/>
      <c r="X74" s="963"/>
      <c r="Y74" s="963"/>
      <c r="Z74" s="1621"/>
      <c r="AA74" s="963"/>
      <c r="AB74" s="1415"/>
      <c r="AC74" s="1422" t="s">
        <v>195</v>
      </c>
      <c r="AD74" s="1424"/>
      <c r="AE74" s="1645"/>
      <c r="AF74" s="1072"/>
      <c r="AG74" s="963"/>
      <c r="AH74" s="963"/>
      <c r="AI74" s="963"/>
      <c r="AJ74" s="963"/>
      <c r="AK74" s="963"/>
      <c r="AL74" s="963"/>
      <c r="AM74" s="963"/>
      <c r="AN74" s="963"/>
      <c r="AO74" s="963"/>
      <c r="AP74" s="963"/>
      <c r="AQ74" s="963"/>
      <c r="AR74" s="963"/>
      <c r="AS74" s="963"/>
      <c r="AT74" s="963"/>
      <c r="AU74" s="963"/>
      <c r="AV74" s="963"/>
      <c r="AW74" s="963"/>
      <c r="AX74" s="963"/>
      <c r="AY74" s="963"/>
      <c r="AZ74" s="963"/>
      <c r="BA74" s="963"/>
    </row>
    <row customHeight="1" ht="19.0125" hidden="1">
      <c r="A75" s="963"/>
      <c r="B75" s="418">
        <f>HAS_DOC2="да"</f>
        <v>0</v>
      </c>
      <c r="C75" s="963"/>
      <c r="D75" s="963"/>
      <c r="E75" s="618">
        <v>19.5</v>
      </c>
      <c r="F75" s="963"/>
      <c r="G75" s="963"/>
      <c r="H75" s="963"/>
      <c r="I75" s="963"/>
      <c r="J75" s="963"/>
      <c r="K75" s="963"/>
      <c r="L75" s="963"/>
      <c r="M75" s="963"/>
      <c r="N75" s="963"/>
      <c r="O75" s="963"/>
      <c r="P75" s="963"/>
      <c r="Q75" s="963"/>
      <c r="R75" s="963"/>
      <c r="S75" s="963"/>
      <c r="T75" s="963"/>
      <c r="U75" s="963"/>
      <c r="V75" s="963"/>
      <c r="W75" s="963"/>
      <c r="X75" s="963"/>
      <c r="Y75" s="963"/>
      <c r="Z75" s="1621"/>
      <c r="AA75" s="963"/>
      <c r="AB75" s="1415"/>
      <c r="AC75" s="1422" t="s">
        <v>196</v>
      </c>
      <c r="AD75" s="1424"/>
      <c r="AE75" s="1643"/>
      <c r="AF75" s="1072"/>
      <c r="AG75" s="963"/>
      <c r="AH75" s="963"/>
      <c r="AI75" s="963"/>
      <c r="AJ75" s="963"/>
      <c r="AK75" s="963"/>
      <c r="AL75" s="963"/>
      <c r="AM75" s="963"/>
      <c r="AN75" s="963"/>
      <c r="AO75" s="963"/>
      <c r="AP75" s="963"/>
      <c r="AQ75" s="963"/>
      <c r="AR75" s="963"/>
      <c r="AS75" s="963"/>
      <c r="AT75" s="963"/>
      <c r="AU75" s="963"/>
      <c r="AV75" s="963"/>
      <c r="AW75" s="963"/>
      <c r="AX75" s="963"/>
      <c r="AY75" s="963"/>
      <c r="AZ75" s="963"/>
      <c r="BA75" s="963"/>
    </row>
    <row customHeight="1" ht="19.0125" hidden="1">
      <c r="A76" s="963"/>
      <c r="B76" s="418">
        <f>HAS_DOC2="да"</f>
        <v>0</v>
      </c>
      <c r="C76" s="963"/>
      <c r="D76" s="963"/>
      <c r="E76" s="618">
        <v>19.5</v>
      </c>
      <c r="F76" s="963"/>
      <c r="G76" s="963"/>
      <c r="H76" s="963"/>
      <c r="I76" s="963"/>
      <c r="J76" s="963"/>
      <c r="K76" s="963"/>
      <c r="L76" s="963"/>
      <c r="M76" s="963"/>
      <c r="N76" s="963"/>
      <c r="O76" s="963"/>
      <c r="P76" s="963"/>
      <c r="Q76" s="963"/>
      <c r="R76" s="963"/>
      <c r="S76" s="963"/>
      <c r="T76" s="963"/>
      <c r="U76" s="963"/>
      <c r="V76" s="963"/>
      <c r="W76" s="963"/>
      <c r="X76" s="963"/>
      <c r="Y76" s="963"/>
      <c r="Z76" s="1621"/>
      <c r="AA76" s="963"/>
      <c r="AB76" s="1415"/>
      <c r="AC76" s="1422" t="s">
        <v>197</v>
      </c>
      <c r="AD76" s="1424"/>
      <c r="AE76" s="1646"/>
      <c r="AF76" s="354"/>
      <c r="AG76" s="963"/>
      <c r="AH76" s="963"/>
      <c r="AI76" s="963"/>
      <c r="AJ76" s="963"/>
      <c r="AK76" s="963"/>
      <c r="AL76" s="963"/>
      <c r="AM76" s="963"/>
      <c r="AN76" s="963"/>
      <c r="AO76" s="963"/>
      <c r="AP76" s="963"/>
      <c r="AQ76" s="963"/>
      <c r="AR76" s="963"/>
      <c r="AS76" s="963"/>
      <c r="AT76" s="963"/>
      <c r="AU76" s="963"/>
      <c r="AV76" s="963"/>
      <c r="AW76" s="963"/>
      <c r="AX76" s="963"/>
      <c r="AY76" s="963"/>
      <c r="AZ76" s="963"/>
      <c r="BA76" s="963"/>
    </row>
    <row customHeight="1" ht="19.0125" hidden="1">
      <c r="A77" s="963"/>
      <c r="B77" s="418">
        <f>HAS_DOC2="да"</f>
        <v>0</v>
      </c>
      <c r="C77" s="963"/>
      <c r="D77" s="963"/>
      <c r="E77" s="618">
        <v>19.5</v>
      </c>
      <c r="F77" s="963"/>
      <c r="G77" s="963"/>
      <c r="H77" s="963"/>
      <c r="I77" s="963"/>
      <c r="J77" s="963"/>
      <c r="K77" s="963"/>
      <c r="L77" s="963"/>
      <c r="M77" s="963"/>
      <c r="N77" s="963"/>
      <c r="O77" s="963"/>
      <c r="P77" s="963"/>
      <c r="Q77" s="963"/>
      <c r="R77" s="963"/>
      <c r="S77" s="963"/>
      <c r="T77" s="963"/>
      <c r="U77" s="963"/>
      <c r="V77" s="963"/>
      <c r="W77" s="963"/>
      <c r="X77" s="963"/>
      <c r="Y77" s="963"/>
      <c r="Z77" s="1621"/>
      <c r="AA77" s="963"/>
      <c r="AB77" s="1416"/>
      <c r="AC77" s="1422" t="s">
        <v>198</v>
      </c>
      <c r="AD77" s="1424"/>
      <c r="AE77" s="1648"/>
      <c r="AF77" s="354"/>
      <c r="AG77" s="963"/>
      <c r="AH77" s="963"/>
      <c r="AI77" s="963"/>
      <c r="AJ77" s="963"/>
      <c r="AK77" s="963"/>
      <c r="AL77" s="963"/>
      <c r="AM77" s="963"/>
      <c r="AN77" s="963"/>
      <c r="AO77" s="963"/>
      <c r="AP77" s="963"/>
      <c r="AQ77" s="963"/>
      <c r="AR77" s="963"/>
      <c r="AS77" s="963"/>
      <c r="AT77" s="963"/>
      <c r="AU77" s="963"/>
      <c r="AV77" s="963"/>
      <c r="AW77" s="963"/>
      <c r="AX77" s="963"/>
      <c r="AY77" s="963"/>
      <c r="AZ77" s="963"/>
      <c r="BA77" s="963"/>
    </row>
    <row customHeight="1" ht="19.0125" hidden="1">
      <c r="A78" s="963"/>
      <c r="B78" s="418">
        <f>HAS_DOC2="да"</f>
        <v>0</v>
      </c>
      <c r="C78" s="963"/>
      <c r="D78" s="963"/>
      <c r="E78" s="618">
        <v>19.5</v>
      </c>
      <c r="F78" s="963"/>
      <c r="G78" s="963"/>
      <c r="H78" s="963"/>
      <c r="I78" s="963"/>
      <c r="J78" s="963"/>
      <c r="K78" s="963"/>
      <c r="L78" s="963"/>
      <c r="M78" s="963"/>
      <c r="N78" s="963"/>
      <c r="O78" s="963"/>
      <c r="P78" s="963"/>
      <c r="Q78" s="963"/>
      <c r="R78" s="963"/>
      <c r="S78" s="963"/>
      <c r="T78" s="963"/>
      <c r="U78" s="963"/>
      <c r="V78" s="963"/>
      <c r="W78" s="475">
        <f>ROW(Y78)&gt;ROW(Y$78)</f>
        <v>0</v>
      </c>
      <c r="X78" s="963"/>
      <c r="Y78" s="73" t="s">
        <v>173</v>
      </c>
      <c r="Z78" s="1621"/>
      <c r="AA78" s="1413" t="s">
        <v>174</v>
      </c>
      <c r="AB78" s="1414" t="s">
        <v>193</v>
      </c>
      <c r="AC78" s="1422" t="s">
        <v>194</v>
      </c>
      <c r="AD78" s="1424"/>
      <c r="AE78" s="1643"/>
      <c r="AF78" s="354"/>
      <c r="AG78" s="963"/>
      <c r="AH78" s="963"/>
      <c r="AI78" s="963"/>
      <c r="AJ78" s="963"/>
      <c r="AK78" s="963"/>
      <c r="AL78" s="963"/>
      <c r="AM78" s="963"/>
      <c r="AN78" s="963"/>
      <c r="AO78" s="963"/>
      <c r="AP78" s="963"/>
      <c r="AQ78" s="963"/>
      <c r="AR78" s="963"/>
      <c r="AS78" s="963"/>
      <c r="AT78" s="963"/>
      <c r="AU78" s="963"/>
      <c r="AV78" s="963"/>
      <c r="AW78" s="963"/>
      <c r="AX78" s="963"/>
      <c r="AY78" s="963"/>
      <c r="AZ78" s="963"/>
      <c r="BA78" s="963"/>
    </row>
    <row customHeight="1" ht="19.0125" hidden="1">
      <c r="A79" s="963"/>
      <c r="B79" s="418">
        <f>HAS_DOC2="да"</f>
        <v>0</v>
      </c>
      <c r="C79" s="963"/>
      <c r="D79" s="963"/>
      <c r="E79" s="618">
        <v>19.5</v>
      </c>
      <c r="F79" s="963"/>
      <c r="G79" s="963"/>
      <c r="H79" s="963"/>
      <c r="I79" s="963"/>
      <c r="J79" s="963"/>
      <c r="K79" s="963"/>
      <c r="L79" s="963"/>
      <c r="M79" s="963"/>
      <c r="N79" s="963"/>
      <c r="O79" s="963"/>
      <c r="P79" s="963"/>
      <c r="Q79" s="963"/>
      <c r="R79" s="963"/>
      <c r="S79" s="963"/>
      <c r="T79" s="963"/>
      <c r="U79" s="963"/>
      <c r="V79" s="963"/>
      <c r="W79" s="475" cm="1" t="str">
        <f t="array" ref="W79:W79">W78</f>
        <v>false</v>
      </c>
      <c r="X79" s="963"/>
      <c r="Y79" s="963"/>
      <c r="Z79" s="1621"/>
      <c r="AA79" s="1413"/>
      <c r="AB79" s="1415"/>
      <c r="AC79" s="1422" t="s">
        <v>195</v>
      </c>
      <c r="AD79" s="1424"/>
      <c r="AE79" s="1645"/>
      <c r="AF79" s="354"/>
      <c r="AG79" s="963"/>
      <c r="AH79" s="963"/>
      <c r="AI79" s="963"/>
      <c r="AJ79" s="963"/>
      <c r="AK79" s="963"/>
      <c r="AL79" s="963"/>
      <c r="AM79" s="963"/>
      <c r="AN79" s="963"/>
      <c r="AO79" s="963"/>
      <c r="AP79" s="963"/>
      <c r="AQ79" s="963"/>
      <c r="AR79" s="963"/>
      <c r="AS79" s="963"/>
      <c r="AT79" s="963"/>
      <c r="AU79" s="963"/>
      <c r="AV79" s="963"/>
      <c r="AW79" s="963"/>
      <c r="AX79" s="963"/>
      <c r="AY79" s="963"/>
      <c r="AZ79" s="963"/>
      <c r="BA79" s="963"/>
    </row>
    <row customHeight="1" ht="19.0125" hidden="1">
      <c r="A80" s="963"/>
      <c r="B80" s="418">
        <f>HAS_DOC2="да"</f>
        <v>0</v>
      </c>
      <c r="C80" s="963"/>
      <c r="D80" s="963"/>
      <c r="E80" s="618">
        <v>19.5</v>
      </c>
      <c r="F80" s="963"/>
      <c r="G80" s="963"/>
      <c r="H80" s="963"/>
      <c r="I80" s="963"/>
      <c r="J80" s="963"/>
      <c r="K80" s="963"/>
      <c r="L80" s="963"/>
      <c r="M80" s="963"/>
      <c r="N80" s="963"/>
      <c r="O80" s="963"/>
      <c r="P80" s="963"/>
      <c r="Q80" s="963"/>
      <c r="R80" s="963"/>
      <c r="S80" s="963"/>
      <c r="T80" s="963"/>
      <c r="U80" s="963"/>
      <c r="V80" s="963"/>
      <c r="W80" s="475" cm="1" t="str">
        <f t="array" ref="W80:W80">W79</f>
        <v>false</v>
      </c>
      <c r="X80" s="963"/>
      <c r="Y80" s="963"/>
      <c r="Z80" s="1621"/>
      <c r="AA80" s="1413"/>
      <c r="AB80" s="1415"/>
      <c r="AC80" s="1422" t="s">
        <v>196</v>
      </c>
      <c r="AD80" s="1424"/>
      <c r="AE80" s="1643"/>
      <c r="AF80" s="354"/>
      <c r="AG80" s="963"/>
      <c r="AH80" s="963"/>
      <c r="AI80" s="963"/>
      <c r="AJ80" s="963"/>
      <c r="AK80" s="963"/>
      <c r="AL80" s="963"/>
      <c r="AM80" s="963"/>
      <c r="AN80" s="963"/>
      <c r="AO80" s="963"/>
      <c r="AP80" s="963"/>
      <c r="AQ80" s="963"/>
      <c r="AR80" s="963"/>
      <c r="AS80" s="963"/>
      <c r="AT80" s="963"/>
      <c r="AU80" s="963"/>
      <c r="AV80" s="963"/>
      <c r="AW80" s="963"/>
      <c r="AX80" s="963"/>
      <c r="AY80" s="963"/>
      <c r="AZ80" s="963"/>
      <c r="BA80" s="963"/>
    </row>
    <row customHeight="1" ht="19.0125" hidden="1">
      <c r="A81" s="963"/>
      <c r="B81" s="418">
        <f>HAS_DOC2="да"</f>
        <v>0</v>
      </c>
      <c r="C81" s="963"/>
      <c r="D81" s="963"/>
      <c r="E81" s="618">
        <v>19.5</v>
      </c>
      <c r="F81" s="963"/>
      <c r="G81" s="963"/>
      <c r="H81" s="963"/>
      <c r="I81" s="963"/>
      <c r="J81" s="963"/>
      <c r="K81" s="963"/>
      <c r="L81" s="963"/>
      <c r="M81" s="963"/>
      <c r="N81" s="963"/>
      <c r="O81" s="963"/>
      <c r="P81" s="963"/>
      <c r="Q81" s="963"/>
      <c r="R81" s="963"/>
      <c r="S81" s="963"/>
      <c r="T81" s="963"/>
      <c r="U81" s="963"/>
      <c r="V81" s="963"/>
      <c r="W81" s="475" cm="1" t="str">
        <f t="array" ref="W81:W81">W80</f>
        <v>false</v>
      </c>
      <c r="X81" s="963"/>
      <c r="Y81" s="963"/>
      <c r="Z81" s="1621"/>
      <c r="AA81" s="1413"/>
      <c r="AB81" s="1415"/>
      <c r="AC81" s="1422" t="s">
        <v>197</v>
      </c>
      <c r="AD81" s="1424"/>
      <c r="AE81" s="1646"/>
      <c r="AF81" s="354"/>
      <c r="AG81" s="963"/>
      <c r="AH81" s="963"/>
      <c r="AI81" s="963"/>
      <c r="AJ81" s="963"/>
      <c r="AK81" s="963"/>
      <c r="AL81" s="963"/>
      <c r="AM81" s="963"/>
      <c r="AN81" s="963"/>
      <c r="AO81" s="963"/>
      <c r="AP81" s="963"/>
      <c r="AQ81" s="963"/>
      <c r="AR81" s="963"/>
      <c r="AS81" s="963"/>
      <c r="AT81" s="963"/>
      <c r="AU81" s="963"/>
      <c r="AV81" s="963"/>
      <c r="AW81" s="963"/>
      <c r="AX81" s="963"/>
      <c r="AY81" s="963"/>
      <c r="AZ81" s="963"/>
      <c r="BA81" s="963"/>
    </row>
    <row customHeight="1" ht="19.0125" hidden="1">
      <c r="A82" s="963"/>
      <c r="B82" s="418">
        <f>HAS_DOC2="да"</f>
        <v>0</v>
      </c>
      <c r="C82" s="963"/>
      <c r="D82" s="963"/>
      <c r="E82" s="618">
        <v>19.5</v>
      </c>
      <c r="F82" s="963"/>
      <c r="G82" s="963"/>
      <c r="H82" s="963"/>
      <c r="I82" s="963"/>
      <c r="J82" s="963"/>
      <c r="K82" s="963"/>
      <c r="L82" s="963"/>
      <c r="M82" s="963"/>
      <c r="N82" s="963"/>
      <c r="O82" s="963"/>
      <c r="P82" s="963"/>
      <c r="Q82" s="963"/>
      <c r="R82" s="963"/>
      <c r="S82" s="963"/>
      <c r="T82" s="963"/>
      <c r="U82" s="963"/>
      <c r="V82" s="963"/>
      <c r="W82" s="475" cm="1" t="str">
        <f t="array" ref="W82:W82">W81</f>
        <v>false</v>
      </c>
      <c r="X82" s="963"/>
      <c r="Y82" s="963"/>
      <c r="Z82" s="1621"/>
      <c r="AA82" s="1413"/>
      <c r="AB82" s="1416"/>
      <c r="AC82" s="1422" t="s">
        <v>198</v>
      </c>
      <c r="AD82" s="1424"/>
      <c r="AE82" s="1648"/>
      <c r="AF82" s="354"/>
      <c r="AG82" s="963"/>
      <c r="AH82" s="963"/>
      <c r="AI82" s="963"/>
      <c r="AJ82" s="963"/>
      <c r="AK82" s="963"/>
      <c r="AL82" s="963"/>
      <c r="AM82" s="963"/>
      <c r="AN82" s="963"/>
      <c r="AO82" s="963"/>
      <c r="AP82" s="963"/>
      <c r="AQ82" s="963"/>
      <c r="AR82" s="963"/>
      <c r="AS82" s="963"/>
      <c r="AT82" s="963"/>
      <c r="AU82" s="963"/>
      <c r="AV82" s="963"/>
      <c r="AW82" s="963"/>
      <c r="AX82" s="963"/>
      <c r="AY82" s="963"/>
      <c r="AZ82" s="963"/>
      <c r="BA82" s="963"/>
    </row>
    <row customHeight="1" ht="14.625" hidden="1">
      <c r="A83" s="963"/>
      <c r="B83" s="418">
        <f>HAS_DOC2="да"</f>
        <v>0</v>
      </c>
      <c r="C83" s="963"/>
      <c r="D83" s="963"/>
      <c r="E83" s="618">
        <v>15</v>
      </c>
      <c r="F83" s="73" t="s">
        <v>190</v>
      </c>
      <c r="G83" s="963"/>
      <c r="H83" s="963"/>
      <c r="I83" s="963"/>
      <c r="J83" s="963"/>
      <c r="K83" s="963"/>
      <c r="L83" s="963"/>
      <c r="M83" s="963"/>
      <c r="N83" s="963"/>
      <c r="O83" s="963"/>
      <c r="P83" s="963"/>
      <c r="Q83" s="963"/>
      <c r="R83" s="963"/>
      <c r="S83" s="963"/>
      <c r="T83" s="963"/>
      <c r="U83" s="963"/>
      <c r="V83" s="963"/>
      <c r="W83" s="963"/>
      <c r="X83" s="963"/>
      <c r="Y83" s="74" t="s">
        <v>176</v>
      </c>
      <c r="Z83" s="1621"/>
      <c r="AA83" s="963"/>
      <c r="AB83" s="232"/>
      <c r="AC83" s="231"/>
      <c r="AD83" s="231"/>
      <c r="AE83" s="335" t="s">
        <v>177</v>
      </c>
      <c r="AF83" s="354"/>
      <c r="AG83" s="963"/>
      <c r="AH83" s="963"/>
      <c r="AI83" s="963"/>
      <c r="AJ83" s="963"/>
      <c r="AK83" s="963"/>
      <c r="AL83" s="963"/>
      <c r="AM83" s="963"/>
      <c r="AN83" s="963"/>
      <c r="AO83" s="963"/>
      <c r="AP83" s="963"/>
      <c r="AQ83" s="963"/>
      <c r="AR83" s="963"/>
      <c r="AS83" s="963"/>
      <c r="AT83" s="963"/>
      <c r="AU83" s="963"/>
      <c r="AV83" s="963"/>
      <c r="AW83" s="963"/>
      <c r="AX83" s="963"/>
      <c r="AY83" s="963"/>
      <c r="AZ83" s="963"/>
      <c r="BA83" s="963"/>
    </row>
    <row customHeight="1" ht="19.0125">
      <c r="B84" s="73"/>
      <c r="E84" s="618">
        <v>19.5</v>
      </c>
      <c r="F84" s="73" t="s">
        <v>199</v>
      </c>
      <c r="AB84" s="1412" t="s">
        <v>200</v>
      </c>
      <c r="AC84" s="1412"/>
      <c r="AD84" s="1412"/>
      <c r="AE84" s="360" t="s">
        <v>165</v>
      </c>
      <c r="AG84" s="73" t="s">
        <v>201</v>
      </c>
    </row>
    <row customHeight="1" ht="19.0125">
      <c r="A85" s="963"/>
      <c r="B85" s="418">
        <f>HAS_DOC3="да"</f>
        <v>1</v>
      </c>
      <c r="C85" s="963"/>
      <c r="D85" s="963"/>
      <c r="E85" s="618">
        <v>19.5</v>
      </c>
      <c r="F85" s="963"/>
      <c r="G85" s="963"/>
      <c r="H85" s="963"/>
      <c r="I85" s="963"/>
      <c r="J85" s="963"/>
      <c r="K85" s="963"/>
      <c r="L85" s="963"/>
      <c r="M85" s="963"/>
      <c r="N85" s="963"/>
      <c r="O85" s="963"/>
      <c r="P85" s="963"/>
      <c r="Q85" s="963"/>
      <c r="R85" s="963"/>
      <c r="S85" s="963"/>
      <c r="T85" s="963"/>
      <c r="U85" s="963"/>
      <c r="V85" s="963"/>
      <c r="W85" s="963"/>
      <c r="X85" s="963"/>
      <c r="Y85" s="963"/>
      <c r="Z85" s="1621"/>
      <c r="AA85" s="963"/>
      <c r="AB85" s="1417" t="s">
        <v>193</v>
      </c>
      <c r="AC85" s="1412" t="s">
        <v>194</v>
      </c>
      <c r="AD85" s="1412"/>
      <c r="AE85" s="352" t="s">
        <v>202</v>
      </c>
      <c r="AF85" s="354"/>
      <c r="AG85" s="963"/>
      <c r="AH85" s="963"/>
      <c r="AI85" s="963"/>
      <c r="AJ85" s="963"/>
      <c r="AK85" s="963"/>
      <c r="AL85" s="963"/>
      <c r="AM85" s="963"/>
      <c r="AN85" s="963"/>
      <c r="AO85" s="963"/>
      <c r="AP85" s="963"/>
      <c r="AQ85" s="963"/>
      <c r="AR85" s="963"/>
      <c r="AS85" s="963"/>
      <c r="AT85" s="963"/>
      <c r="AU85" s="963"/>
      <c r="AV85" s="963"/>
      <c r="AW85" s="963"/>
      <c r="AX85" s="963"/>
      <c r="AY85" s="963"/>
      <c r="AZ85" s="963"/>
      <c r="BA85" s="963"/>
    </row>
    <row customHeight="1" ht="19.0125">
      <c r="A86" s="963"/>
      <c r="B86" s="418">
        <f>HAS_DOC3="да"</f>
        <v>1</v>
      </c>
      <c r="C86" s="963"/>
      <c r="D86" s="963"/>
      <c r="E86" s="618">
        <v>19.5</v>
      </c>
      <c r="F86" s="963"/>
      <c r="G86" s="963"/>
      <c r="H86" s="963"/>
      <c r="I86" s="963"/>
      <c r="J86" s="963"/>
      <c r="K86" s="963"/>
      <c r="L86" s="963"/>
      <c r="M86" s="963"/>
      <c r="N86" s="963"/>
      <c r="O86" s="963"/>
      <c r="P86" s="963"/>
      <c r="Q86" s="963"/>
      <c r="R86" s="963"/>
      <c r="S86" s="963"/>
      <c r="T86" s="963"/>
      <c r="U86" s="963"/>
      <c r="V86" s="963"/>
      <c r="W86" s="963"/>
      <c r="X86" s="963"/>
      <c r="Y86" s="963"/>
      <c r="Z86" s="1621"/>
      <c r="AA86" s="963"/>
      <c r="AB86" s="1417"/>
      <c r="AC86" s="1412" t="s">
        <v>195</v>
      </c>
      <c r="AD86" s="1412"/>
      <c r="AE86" s="353" t="s">
        <v>203</v>
      </c>
      <c r="AF86" s="354"/>
      <c r="AG86" s="963"/>
      <c r="AH86" s="963"/>
      <c r="AI86" s="963"/>
      <c r="AJ86" s="963"/>
      <c r="AK86" s="963"/>
      <c r="AL86" s="963"/>
      <c r="AM86" s="963"/>
      <c r="AN86" s="963"/>
      <c r="AO86" s="963"/>
      <c r="AP86" s="963"/>
      <c r="AQ86" s="963"/>
      <c r="AR86" s="963"/>
      <c r="AS86" s="963"/>
      <c r="AT86" s="963"/>
      <c r="AU86" s="963"/>
      <c r="AV86" s="963"/>
      <c r="AW86" s="963"/>
      <c r="AX86" s="963"/>
      <c r="AY86" s="963"/>
      <c r="AZ86" s="963"/>
      <c r="BA86" s="963"/>
    </row>
    <row customHeight="1" ht="19.0125">
      <c r="A87" s="963"/>
      <c r="B87" s="418">
        <f>HAS_DOC3="да"</f>
        <v>1</v>
      </c>
      <c r="C87" s="963"/>
      <c r="D87" s="963"/>
      <c r="E87" s="618">
        <v>19.5</v>
      </c>
      <c r="F87" s="963"/>
      <c r="G87" s="963"/>
      <c r="H87" s="963"/>
      <c r="I87" s="963"/>
      <c r="J87" s="963"/>
      <c r="K87" s="963"/>
      <c r="L87" s="963"/>
      <c r="M87" s="963"/>
      <c r="N87" s="963"/>
      <c r="O87" s="963"/>
      <c r="P87" s="963"/>
      <c r="Q87" s="963"/>
      <c r="R87" s="963"/>
      <c r="S87" s="963"/>
      <c r="T87" s="963"/>
      <c r="U87" s="963"/>
      <c r="V87" s="963"/>
      <c r="W87" s="963"/>
      <c r="X87" s="963"/>
      <c r="Y87" s="963"/>
      <c r="Z87" s="1621"/>
      <c r="AA87" s="963"/>
      <c r="AB87" s="1417"/>
      <c r="AC87" s="1412" t="s">
        <v>196</v>
      </c>
      <c r="AD87" s="1412"/>
      <c r="AE87" s="352" t="s">
        <v>204</v>
      </c>
      <c r="AF87" s="354"/>
      <c r="AG87" s="963"/>
      <c r="AH87" s="963"/>
      <c r="AI87" s="963"/>
      <c r="AJ87" s="963"/>
      <c r="AK87" s="963"/>
      <c r="AL87" s="963"/>
      <c r="AM87" s="963"/>
      <c r="AN87" s="963"/>
      <c r="AO87" s="963"/>
      <c r="AP87" s="963"/>
      <c r="AQ87" s="963"/>
      <c r="AR87" s="963"/>
      <c r="AS87" s="963"/>
      <c r="AT87" s="963"/>
      <c r="AU87" s="963"/>
      <c r="AV87" s="963"/>
      <c r="AW87" s="963"/>
      <c r="AX87" s="963"/>
      <c r="AY87" s="963"/>
      <c r="AZ87" s="963"/>
      <c r="BA87" s="963"/>
    </row>
    <row customHeight="1" ht="19.0125">
      <c r="A88" s="963"/>
      <c r="B88" s="418">
        <f>HAS_DOC3="да"</f>
        <v>1</v>
      </c>
      <c r="C88" s="963"/>
      <c r="D88" s="963"/>
      <c r="E88" s="618">
        <v>19.5</v>
      </c>
      <c r="F88" s="963"/>
      <c r="G88" s="963"/>
      <c r="H88" s="963"/>
      <c r="I88" s="963"/>
      <c r="J88" s="963"/>
      <c r="K88" s="963"/>
      <c r="L88" s="963"/>
      <c r="M88" s="963"/>
      <c r="N88" s="963"/>
      <c r="O88" s="963"/>
      <c r="P88" s="963"/>
      <c r="Q88" s="963"/>
      <c r="R88" s="963"/>
      <c r="S88" s="963"/>
      <c r="T88" s="963"/>
      <c r="U88" s="963"/>
      <c r="V88" s="963"/>
      <c r="W88" s="963"/>
      <c r="X88" s="963"/>
      <c r="Y88" s="963"/>
      <c r="Z88" s="1621"/>
      <c r="AA88" s="963"/>
      <c r="AB88" s="1417"/>
      <c r="AC88" s="1412" t="s">
        <v>197</v>
      </c>
      <c r="AD88" s="1412"/>
      <c r="AE88" s="392">
        <v>43635</v>
      </c>
      <c r="AF88" s="354"/>
      <c r="AG88" s="963"/>
      <c r="AH88" s="963"/>
      <c r="AI88" s="963"/>
      <c r="AJ88" s="963"/>
      <c r="AK88" s="963"/>
      <c r="AL88" s="963"/>
      <c r="AM88" s="963"/>
      <c r="AN88" s="963"/>
      <c r="AO88" s="963"/>
      <c r="AP88" s="963"/>
      <c r="AQ88" s="963"/>
      <c r="AR88" s="963"/>
      <c r="AS88" s="963"/>
      <c r="AT88" s="963"/>
      <c r="AU88" s="963"/>
      <c r="AV88" s="963"/>
      <c r="AW88" s="963"/>
      <c r="AX88" s="963"/>
      <c r="AY88" s="963"/>
      <c r="AZ88" s="963"/>
      <c r="BA88" s="963"/>
    </row>
    <row customHeight="1" ht="19.0125">
      <c r="A89" s="963"/>
      <c r="B89" s="418">
        <f>HAS_DOC3="да"</f>
        <v>1</v>
      </c>
      <c r="C89" s="963"/>
      <c r="D89" s="963"/>
      <c r="E89" s="618">
        <v>19.5</v>
      </c>
      <c r="F89" s="963"/>
      <c r="G89" s="963"/>
      <c r="H89" s="963"/>
      <c r="I89" s="963"/>
      <c r="J89" s="963"/>
      <c r="K89" s="963"/>
      <c r="L89" s="963"/>
      <c r="M89" s="963"/>
      <c r="N89" s="963"/>
      <c r="O89" s="963"/>
      <c r="P89" s="963"/>
      <c r="Q89" s="963"/>
      <c r="R89" s="963"/>
      <c r="S89" s="963"/>
      <c r="T89" s="963"/>
      <c r="U89" s="963"/>
      <c r="V89" s="963"/>
      <c r="W89" s="963"/>
      <c r="X89" s="963"/>
      <c r="Y89" s="963"/>
      <c r="Z89" s="1621"/>
      <c r="AA89" s="963"/>
      <c r="AB89" s="1417"/>
      <c r="AC89" s="1412" t="s">
        <v>198</v>
      </c>
      <c r="AD89" s="1412"/>
      <c r="AE89" s="373"/>
      <c r="AF89" s="354"/>
      <c r="AG89" s="963"/>
      <c r="AH89" s="963"/>
      <c r="AI89" s="963"/>
      <c r="AJ89" s="963"/>
      <c r="AK89" s="963"/>
      <c r="AL89" s="963"/>
      <c r="AM89" s="963"/>
      <c r="AN89" s="963"/>
      <c r="AO89" s="963"/>
      <c r="AP89" s="963"/>
      <c r="AQ89" s="963"/>
      <c r="AR89" s="963"/>
      <c r="AS89" s="963"/>
      <c r="AT89" s="963"/>
      <c r="AU89" s="963"/>
      <c r="AV89" s="963"/>
      <c r="AW89" s="963"/>
      <c r="AX89" s="963"/>
      <c r="AY89" s="963"/>
      <c r="AZ89" s="963"/>
      <c r="BA89" s="963"/>
    </row>
    <row customHeight="1" ht="19.0125" hidden="1">
      <c r="A90" s="963"/>
      <c r="B90" s="418">
        <f>HAS_DOC3="да"</f>
        <v>1</v>
      </c>
      <c r="C90" s="963"/>
      <c r="D90" s="963"/>
      <c r="E90" s="618">
        <v>19.5</v>
      </c>
      <c r="F90" s="963"/>
      <c r="G90" s="963"/>
      <c r="H90" s="963"/>
      <c r="I90" s="963"/>
      <c r="J90" s="963"/>
      <c r="K90" s="963"/>
      <c r="L90" s="963"/>
      <c r="M90" s="963"/>
      <c r="N90" s="963"/>
      <c r="O90" s="963"/>
      <c r="P90" s="963"/>
      <c r="Q90" s="963"/>
      <c r="R90" s="963"/>
      <c r="S90" s="963"/>
      <c r="T90" s="963"/>
      <c r="U90" s="963"/>
      <c r="V90" s="963"/>
      <c r="W90" s="475">
        <f>ROW(Y90)&gt;ROW(Y$90)</f>
        <v>0</v>
      </c>
      <c r="X90" s="963"/>
      <c r="Y90" s="73" t="s">
        <v>173</v>
      </c>
      <c r="Z90" s="1621"/>
      <c r="AA90" s="1413" t="s">
        <v>174</v>
      </c>
      <c r="AB90" s="1414" t="s">
        <v>193</v>
      </c>
      <c r="AC90" s="1422" t="s">
        <v>194</v>
      </c>
      <c r="AD90" s="1424"/>
      <c r="AE90" s="1643"/>
      <c r="AF90" s="354"/>
      <c r="AG90" s="963"/>
      <c r="AH90" s="963"/>
      <c r="AI90" s="963"/>
      <c r="AJ90" s="963"/>
      <c r="AK90" s="963"/>
      <c r="AL90" s="963"/>
      <c r="AM90" s="963"/>
      <c r="AN90" s="963"/>
      <c r="AO90" s="963"/>
      <c r="AP90" s="963"/>
      <c r="AQ90" s="963"/>
      <c r="AR90" s="963"/>
      <c r="AS90" s="963"/>
      <c r="AT90" s="963"/>
      <c r="AU90" s="963"/>
      <c r="AV90" s="963"/>
      <c r="AW90" s="963"/>
      <c r="AX90" s="963"/>
      <c r="AY90" s="963"/>
      <c r="AZ90" s="963"/>
      <c r="BA90" s="963"/>
    </row>
    <row customHeight="1" ht="19.0125" hidden="1">
      <c r="A91" s="963"/>
      <c r="B91" s="418">
        <f>HAS_DOC3="да"</f>
        <v>1</v>
      </c>
      <c r="C91" s="963"/>
      <c r="D91" s="963"/>
      <c r="E91" s="618">
        <v>19.5</v>
      </c>
      <c r="F91" s="963"/>
      <c r="G91" s="963"/>
      <c r="H91" s="963"/>
      <c r="I91" s="963"/>
      <c r="J91" s="963"/>
      <c r="K91" s="963"/>
      <c r="L91" s="963"/>
      <c r="M91" s="963"/>
      <c r="N91" s="963"/>
      <c r="O91" s="963"/>
      <c r="P91" s="963"/>
      <c r="Q91" s="963"/>
      <c r="R91" s="963"/>
      <c r="S91" s="963"/>
      <c r="T91" s="963"/>
      <c r="U91" s="963"/>
      <c r="V91" s="963"/>
      <c r="W91" s="475" cm="1" t="str">
        <f t="array" ref="W91:W91">W90</f>
        <v>false</v>
      </c>
      <c r="X91" s="963"/>
      <c r="Y91" s="963"/>
      <c r="Z91" s="1621"/>
      <c r="AA91" s="1413"/>
      <c r="AB91" s="1415"/>
      <c r="AC91" s="1422" t="s">
        <v>195</v>
      </c>
      <c r="AD91" s="1424"/>
      <c r="AE91" s="1645"/>
      <c r="AF91" s="354"/>
      <c r="AG91" s="963"/>
      <c r="AH91" s="963"/>
      <c r="AI91" s="963"/>
      <c r="AJ91" s="963"/>
      <c r="AK91" s="963"/>
      <c r="AL91" s="963"/>
      <c r="AM91" s="963"/>
      <c r="AN91" s="963"/>
      <c r="AO91" s="963"/>
      <c r="AP91" s="963"/>
      <c r="AQ91" s="963"/>
      <c r="AR91" s="963"/>
      <c r="AS91" s="963"/>
      <c r="AT91" s="963"/>
      <c r="AU91" s="963"/>
      <c r="AV91" s="963"/>
      <c r="AW91" s="963"/>
      <c r="AX91" s="963"/>
      <c r="AY91" s="963"/>
      <c r="AZ91" s="963"/>
      <c r="BA91" s="963"/>
    </row>
    <row customHeight="1" ht="19.0125" hidden="1">
      <c r="A92" s="963"/>
      <c r="B92" s="418">
        <f>HAS_DOC3="да"</f>
        <v>1</v>
      </c>
      <c r="C92" s="963"/>
      <c r="D92" s="963"/>
      <c r="E92" s="618">
        <v>19.5</v>
      </c>
      <c r="F92" s="963"/>
      <c r="G92" s="963"/>
      <c r="H92" s="963"/>
      <c r="I92" s="963"/>
      <c r="J92" s="963"/>
      <c r="K92" s="963"/>
      <c r="L92" s="963"/>
      <c r="M92" s="963"/>
      <c r="N92" s="963"/>
      <c r="O92" s="963"/>
      <c r="P92" s="963"/>
      <c r="Q92" s="963"/>
      <c r="R92" s="963"/>
      <c r="S92" s="963"/>
      <c r="T92" s="963"/>
      <c r="U92" s="963"/>
      <c r="V92" s="963"/>
      <c r="W92" s="475" cm="1" t="str">
        <f t="array" ref="W92:W92">W91</f>
        <v>false</v>
      </c>
      <c r="X92" s="963"/>
      <c r="Y92" s="963"/>
      <c r="Z92" s="1621"/>
      <c r="AA92" s="1413"/>
      <c r="AB92" s="1415"/>
      <c r="AC92" s="1422" t="s">
        <v>196</v>
      </c>
      <c r="AD92" s="1424"/>
      <c r="AE92" s="1643"/>
      <c r="AF92" s="354"/>
      <c r="AG92" s="963"/>
      <c r="AH92" s="963"/>
      <c r="AI92" s="963"/>
      <c r="AJ92" s="963"/>
      <c r="AK92" s="963"/>
      <c r="AL92" s="963"/>
      <c r="AM92" s="963"/>
      <c r="AN92" s="963"/>
      <c r="AO92" s="963"/>
      <c r="AP92" s="963"/>
      <c r="AQ92" s="963"/>
      <c r="AR92" s="963"/>
      <c r="AS92" s="963"/>
      <c r="AT92" s="963"/>
      <c r="AU92" s="963"/>
      <c r="AV92" s="963"/>
      <c r="AW92" s="963"/>
      <c r="AX92" s="963"/>
      <c r="AY92" s="963"/>
      <c r="AZ92" s="963"/>
      <c r="BA92" s="963"/>
    </row>
    <row customHeight="1" ht="19.0125" hidden="1">
      <c r="A93" s="963"/>
      <c r="B93" s="418">
        <f>HAS_DOC3="да"</f>
        <v>1</v>
      </c>
      <c r="C93" s="963"/>
      <c r="D93" s="963"/>
      <c r="E93" s="618">
        <v>19.5</v>
      </c>
      <c r="F93" s="963"/>
      <c r="G93" s="963"/>
      <c r="H93" s="963"/>
      <c r="I93" s="963"/>
      <c r="J93" s="963"/>
      <c r="K93" s="963"/>
      <c r="L93" s="963"/>
      <c r="M93" s="963"/>
      <c r="N93" s="963"/>
      <c r="O93" s="963"/>
      <c r="P93" s="963"/>
      <c r="Q93" s="963"/>
      <c r="R93" s="963"/>
      <c r="S93" s="963"/>
      <c r="T93" s="963"/>
      <c r="U93" s="963"/>
      <c r="V93" s="963"/>
      <c r="W93" s="475" cm="1" t="str">
        <f t="array" ref="W93:W93">W92</f>
        <v>false</v>
      </c>
      <c r="X93" s="963"/>
      <c r="Y93" s="963"/>
      <c r="Z93" s="1621"/>
      <c r="AA93" s="1413"/>
      <c r="AB93" s="1415"/>
      <c r="AC93" s="1422" t="s">
        <v>197</v>
      </c>
      <c r="AD93" s="1424"/>
      <c r="AE93" s="1646"/>
      <c r="AF93" s="354"/>
      <c r="AG93" s="963"/>
      <c r="AH93" s="963"/>
      <c r="AI93" s="963"/>
      <c r="AJ93" s="963"/>
      <c r="AK93" s="963"/>
      <c r="AL93" s="963"/>
      <c r="AM93" s="963"/>
      <c r="AN93" s="963"/>
      <c r="AO93" s="963"/>
      <c r="AP93" s="963"/>
      <c r="AQ93" s="963"/>
      <c r="AR93" s="963"/>
      <c r="AS93" s="963"/>
      <c r="AT93" s="963"/>
      <c r="AU93" s="963"/>
      <c r="AV93" s="963"/>
      <c r="AW93" s="963"/>
      <c r="AX93" s="963"/>
      <c r="AY93" s="963"/>
      <c r="AZ93" s="963"/>
      <c r="BA93" s="963"/>
    </row>
    <row customHeight="1" ht="19.0125" hidden="1">
      <c r="A94" s="963"/>
      <c r="B94" s="418">
        <f>HAS_DOC3="да"</f>
        <v>1</v>
      </c>
      <c r="C94" s="963"/>
      <c r="D94" s="963"/>
      <c r="E94" s="618">
        <v>19.5</v>
      </c>
      <c r="F94" s="963"/>
      <c r="G94" s="963"/>
      <c r="H94" s="963"/>
      <c r="I94" s="963"/>
      <c r="J94" s="963"/>
      <c r="K94" s="963"/>
      <c r="L94" s="963"/>
      <c r="M94" s="963"/>
      <c r="N94" s="963"/>
      <c r="O94" s="963"/>
      <c r="P94" s="963"/>
      <c r="Q94" s="963"/>
      <c r="R94" s="963"/>
      <c r="S94" s="963"/>
      <c r="T94" s="963"/>
      <c r="U94" s="963"/>
      <c r="V94" s="963"/>
      <c r="W94" s="475" cm="1" t="str">
        <f t="array" ref="W94:W94">W93</f>
        <v>false</v>
      </c>
      <c r="X94" s="963"/>
      <c r="Y94" s="963"/>
      <c r="Z94" s="1621"/>
      <c r="AA94" s="1413"/>
      <c r="AB94" s="1416"/>
      <c r="AC94" s="1422" t="s">
        <v>198</v>
      </c>
      <c r="AD94" s="1424"/>
      <c r="AE94" s="1648"/>
      <c r="AF94" s="354"/>
      <c r="AG94" s="963"/>
      <c r="AH94" s="963"/>
      <c r="AI94" s="963"/>
      <c r="AJ94" s="963"/>
      <c r="AK94" s="963"/>
      <c r="AL94" s="963"/>
      <c r="AM94" s="963"/>
      <c r="AN94" s="963"/>
      <c r="AO94" s="963"/>
      <c r="AP94" s="963"/>
      <c r="AQ94" s="963"/>
      <c r="AR94" s="963"/>
      <c r="AS94" s="963"/>
      <c r="AT94" s="963"/>
      <c r="AU94" s="963"/>
      <c r="AV94" s="963"/>
      <c r="AW94" s="963"/>
      <c r="AX94" s="963"/>
      <c r="AY94" s="963"/>
      <c r="AZ94" s="963"/>
      <c r="BA94" s="963"/>
    </row>
    <row customHeight="1" ht="14.625">
      <c r="A95" s="963"/>
      <c r="B95" s="418">
        <f>HAS_DOC3="да"</f>
        <v>1</v>
      </c>
      <c r="C95" s="963"/>
      <c r="D95" s="963"/>
      <c r="E95" s="618">
        <v>15</v>
      </c>
      <c r="F95" s="73" t="s">
        <v>199</v>
      </c>
      <c r="G95" s="963"/>
      <c r="H95" s="963"/>
      <c r="I95" s="963"/>
      <c r="J95" s="963"/>
      <c r="K95" s="963"/>
      <c r="L95" s="963"/>
      <c r="M95" s="963"/>
      <c r="N95" s="963"/>
      <c r="O95" s="963"/>
      <c r="P95" s="963"/>
      <c r="Q95" s="963"/>
      <c r="R95" s="963"/>
      <c r="S95" s="963"/>
      <c r="T95" s="963"/>
      <c r="U95" s="963"/>
      <c r="V95" s="963"/>
      <c r="W95" s="963"/>
      <c r="X95" s="963"/>
      <c r="Y95" s="74" t="s">
        <v>176</v>
      </c>
      <c r="Z95" s="1621"/>
      <c r="AA95" s="963"/>
      <c r="AB95" s="232"/>
      <c r="AC95" s="231"/>
      <c r="AD95" s="231"/>
      <c r="AE95" s="335" t="s">
        <v>177</v>
      </c>
      <c r="AF95" s="354"/>
      <c r="AG95" s="963"/>
      <c r="AH95" s="963"/>
      <c r="AI95" s="963"/>
      <c r="AJ95" s="963"/>
      <c r="AK95" s="963"/>
      <c r="AL95" s="963"/>
      <c r="AM95" s="963"/>
      <c r="AN95" s="963"/>
      <c r="AO95" s="963"/>
      <c r="AP95" s="963"/>
      <c r="AQ95" s="963"/>
      <c r="AR95" s="963"/>
      <c r="AS95" s="963"/>
      <c r="AT95" s="963"/>
      <c r="AU95" s="963"/>
      <c r="AV95" s="963"/>
      <c r="AW95" s="963"/>
      <c r="AX95" s="963"/>
      <c r="AY95" s="963"/>
      <c r="AZ95" s="963"/>
      <c r="BA95" s="963"/>
    </row>
    <row customHeight="1" ht="19.0125">
      <c r="B96" s="418">
        <f>NOT(method_reg="Метод сравнения аналогов")</f>
        <v>1</v>
      </c>
      <c r="E96" s="618">
        <v>19.5</v>
      </c>
      <c r="F96" s="73" t="s">
        <v>205</v>
      </c>
      <c r="AB96" s="1412" t="s">
        <v>206</v>
      </c>
      <c r="AC96" s="1412"/>
      <c r="AD96" s="1412"/>
      <c r="AE96" s="360" t="s">
        <v>152</v>
      </c>
      <c r="AG96" s="73" t="s">
        <v>207</v>
      </c>
    </row>
    <row customHeight="1" ht="19.0125" hidden="1">
      <c r="A97" s="963"/>
      <c r="B97" s="418">
        <f>AND(NOT(method_reg="Метод сравнения аналогов"),HAS_DOC4="да")</f>
        <v>0</v>
      </c>
      <c r="C97" s="963"/>
      <c r="D97" s="963"/>
      <c r="E97" s="618">
        <v>19.5</v>
      </c>
      <c r="F97" s="963"/>
      <c r="G97" s="963"/>
      <c r="H97" s="963"/>
      <c r="I97" s="963"/>
      <c r="J97" s="963"/>
      <c r="K97" s="963"/>
      <c r="L97" s="963"/>
      <c r="M97" s="963"/>
      <c r="N97" s="963"/>
      <c r="O97" s="963"/>
      <c r="P97" s="963"/>
      <c r="Q97" s="963"/>
      <c r="R97" s="963"/>
      <c r="S97" s="963"/>
      <c r="T97" s="963"/>
      <c r="U97" s="963"/>
      <c r="V97" s="963"/>
      <c r="W97" s="963"/>
      <c r="X97" s="963"/>
      <c r="Y97" s="963"/>
      <c r="Z97" s="1621"/>
      <c r="AA97" s="963"/>
      <c r="AB97" s="1417" t="s">
        <v>193</v>
      </c>
      <c r="AC97" s="1412" t="s">
        <v>194</v>
      </c>
      <c r="AD97" s="1412"/>
      <c r="AE97" s="1643"/>
      <c r="AF97" s="354"/>
      <c r="AG97" s="963"/>
      <c r="AH97" s="963"/>
      <c r="AI97" s="963"/>
      <c r="AJ97" s="963"/>
      <c r="AK97" s="963"/>
      <c r="AL97" s="963"/>
      <c r="AM97" s="963"/>
      <c r="AN97" s="963"/>
      <c r="AO97" s="963"/>
      <c r="AP97" s="963"/>
      <c r="AQ97" s="963"/>
      <c r="AR97" s="963"/>
      <c r="AS97" s="963"/>
      <c r="AT97" s="963"/>
      <c r="AU97" s="963"/>
      <c r="AV97" s="963"/>
      <c r="AW97" s="963"/>
      <c r="AX97" s="963"/>
      <c r="AY97" s="963"/>
      <c r="AZ97" s="963"/>
      <c r="BA97" s="963"/>
    </row>
    <row customHeight="1" ht="19.0125" hidden="1">
      <c r="A98" s="963"/>
      <c r="B98" s="418">
        <f>AND(NOT(method_reg="Метод сравнения аналогов"),HAS_DOC4="да")</f>
        <v>0</v>
      </c>
      <c r="C98" s="963"/>
      <c r="D98" s="963"/>
      <c r="E98" s="618">
        <v>19.5</v>
      </c>
      <c r="F98" s="963"/>
      <c r="G98" s="963"/>
      <c r="H98" s="963"/>
      <c r="I98" s="963"/>
      <c r="J98" s="963"/>
      <c r="K98" s="963"/>
      <c r="L98" s="963"/>
      <c r="M98" s="963"/>
      <c r="N98" s="963"/>
      <c r="O98" s="963"/>
      <c r="P98" s="963"/>
      <c r="Q98" s="963"/>
      <c r="R98" s="963"/>
      <c r="S98" s="963"/>
      <c r="T98" s="963"/>
      <c r="U98" s="963"/>
      <c r="V98" s="963"/>
      <c r="W98" s="963"/>
      <c r="X98" s="963"/>
      <c r="Y98" s="963"/>
      <c r="Z98" s="1621"/>
      <c r="AA98" s="963"/>
      <c r="AB98" s="1417"/>
      <c r="AC98" s="1412" t="s">
        <v>195</v>
      </c>
      <c r="AD98" s="1412"/>
      <c r="AE98" s="1645"/>
      <c r="AF98" s="354"/>
      <c r="AG98" s="963"/>
      <c r="AH98" s="963"/>
      <c r="AI98" s="963"/>
      <c r="AJ98" s="963"/>
      <c r="AK98" s="963"/>
      <c r="AL98" s="963"/>
      <c r="AM98" s="963"/>
      <c r="AN98" s="963"/>
      <c r="AO98" s="963"/>
      <c r="AP98" s="963"/>
      <c r="AQ98" s="963"/>
      <c r="AR98" s="963"/>
      <c r="AS98" s="963"/>
      <c r="AT98" s="963"/>
      <c r="AU98" s="963"/>
      <c r="AV98" s="963"/>
      <c r="AW98" s="963"/>
      <c r="AX98" s="963"/>
      <c r="AY98" s="963"/>
      <c r="AZ98" s="963"/>
      <c r="BA98" s="963"/>
    </row>
    <row customHeight="1" ht="19.0125" hidden="1">
      <c r="A99" s="963"/>
      <c r="B99" s="418">
        <f>AND(NOT(method_reg="Метод сравнения аналогов"),HAS_DOC4="да")</f>
        <v>0</v>
      </c>
      <c r="C99" s="963"/>
      <c r="D99" s="963"/>
      <c r="E99" s="618">
        <v>19.5</v>
      </c>
      <c r="F99" s="963"/>
      <c r="G99" s="963"/>
      <c r="H99" s="963"/>
      <c r="I99" s="963"/>
      <c r="J99" s="963"/>
      <c r="K99" s="963"/>
      <c r="L99" s="963"/>
      <c r="M99" s="963"/>
      <c r="N99" s="963"/>
      <c r="O99" s="963"/>
      <c r="P99" s="963"/>
      <c r="Q99" s="963"/>
      <c r="R99" s="963"/>
      <c r="S99" s="963"/>
      <c r="T99" s="963"/>
      <c r="U99" s="963"/>
      <c r="V99" s="963"/>
      <c r="W99" s="963"/>
      <c r="X99" s="963"/>
      <c r="Y99" s="963"/>
      <c r="Z99" s="1621"/>
      <c r="AA99" s="963"/>
      <c r="AB99" s="1417"/>
      <c r="AC99" s="1412" t="s">
        <v>196</v>
      </c>
      <c r="AD99" s="1412"/>
      <c r="AE99" s="1643"/>
      <c r="AF99" s="354"/>
      <c r="AG99" s="963"/>
      <c r="AH99" s="963"/>
      <c r="AI99" s="963"/>
      <c r="AJ99" s="963"/>
      <c r="AK99" s="963"/>
      <c r="AL99" s="963"/>
      <c r="AM99" s="963"/>
      <c r="AN99" s="963"/>
      <c r="AO99" s="963"/>
      <c r="AP99" s="963"/>
      <c r="AQ99" s="963"/>
      <c r="AR99" s="963"/>
      <c r="AS99" s="963"/>
      <c r="AT99" s="963"/>
      <c r="AU99" s="963"/>
      <c r="AV99" s="963"/>
      <c r="AW99" s="963"/>
      <c r="AX99" s="963"/>
      <c r="AY99" s="963"/>
      <c r="AZ99" s="963"/>
      <c r="BA99" s="963"/>
    </row>
    <row customHeight="1" ht="19.0125" hidden="1">
      <c r="A100" s="963"/>
      <c r="B100" s="418">
        <f>AND(NOT(method_reg="Метод сравнения аналогов"),HAS_DOC4="да")</f>
        <v>0</v>
      </c>
      <c r="C100" s="963"/>
      <c r="D100" s="963"/>
      <c r="E100" s="618">
        <v>19.5</v>
      </c>
      <c r="F100" s="963"/>
      <c r="G100" s="963"/>
      <c r="H100" s="963"/>
      <c r="I100" s="963"/>
      <c r="J100" s="963"/>
      <c r="K100" s="963"/>
      <c r="L100" s="963"/>
      <c r="M100" s="963"/>
      <c r="N100" s="963"/>
      <c r="O100" s="963"/>
      <c r="P100" s="963"/>
      <c r="Q100" s="963"/>
      <c r="R100" s="963"/>
      <c r="S100" s="963"/>
      <c r="T100" s="963"/>
      <c r="U100" s="963"/>
      <c r="V100" s="963"/>
      <c r="W100" s="963"/>
      <c r="X100" s="963"/>
      <c r="Y100" s="963"/>
      <c r="Z100" s="1621"/>
      <c r="AA100" s="963"/>
      <c r="AB100" s="1417"/>
      <c r="AC100" s="1412" t="s">
        <v>197</v>
      </c>
      <c r="AD100" s="1412"/>
      <c r="AE100" s="1646"/>
      <c r="AF100" s="354"/>
      <c r="AG100" s="963"/>
      <c r="AH100" s="963"/>
      <c r="AI100" s="963"/>
      <c r="AJ100" s="963"/>
      <c r="AK100" s="963"/>
      <c r="AL100" s="963"/>
      <c r="AM100" s="963"/>
      <c r="AN100" s="963"/>
      <c r="AO100" s="963"/>
      <c r="AP100" s="963"/>
      <c r="AQ100" s="963"/>
      <c r="AR100" s="963"/>
      <c r="AS100" s="963"/>
      <c r="AT100" s="963"/>
      <c r="AU100" s="963"/>
      <c r="AV100" s="963"/>
      <c r="AW100" s="963"/>
      <c r="AX100" s="963"/>
      <c r="AY100" s="963"/>
      <c r="AZ100" s="963"/>
      <c r="BA100" s="963"/>
    </row>
    <row customHeight="1" ht="19.0125" hidden="1">
      <c r="A101" s="963"/>
      <c r="B101" s="418">
        <f>AND(NOT(method_reg="Метод сравнения аналогов"),HAS_DOC4="да")</f>
        <v>0</v>
      </c>
      <c r="C101" s="963"/>
      <c r="D101" s="963"/>
      <c r="E101" s="618">
        <v>19.5</v>
      </c>
      <c r="F101" s="963"/>
      <c r="G101" s="963"/>
      <c r="H101" s="963"/>
      <c r="I101" s="963"/>
      <c r="J101" s="963"/>
      <c r="K101" s="963"/>
      <c r="L101" s="963"/>
      <c r="M101" s="963"/>
      <c r="N101" s="963"/>
      <c r="O101" s="963"/>
      <c r="P101" s="963"/>
      <c r="Q101" s="963"/>
      <c r="R101" s="963"/>
      <c r="S101" s="963"/>
      <c r="T101" s="963"/>
      <c r="U101" s="963"/>
      <c r="V101" s="963"/>
      <c r="W101" s="963"/>
      <c r="X101" s="963"/>
      <c r="Y101" s="963"/>
      <c r="Z101" s="1621"/>
      <c r="AA101" s="963"/>
      <c r="AB101" s="1417"/>
      <c r="AC101" s="1412" t="s">
        <v>198</v>
      </c>
      <c r="AD101" s="1412"/>
      <c r="AE101" s="1648"/>
      <c r="AF101" s="354"/>
      <c r="AG101" s="963"/>
      <c r="AH101" s="963"/>
      <c r="AI101" s="963"/>
      <c r="AJ101" s="963"/>
      <c r="AK101" s="963"/>
      <c r="AL101" s="963"/>
      <c r="AM101" s="963"/>
      <c r="AN101" s="963"/>
      <c r="AO101" s="963"/>
      <c r="AP101" s="963"/>
      <c r="AQ101" s="963"/>
      <c r="AR101" s="963"/>
      <c r="AS101" s="963"/>
      <c r="AT101" s="963"/>
      <c r="AU101" s="963"/>
      <c r="AV101" s="963"/>
      <c r="AW101" s="963"/>
      <c r="AX101" s="963"/>
      <c r="AY101" s="963"/>
      <c r="AZ101" s="963"/>
      <c r="BA101" s="963"/>
    </row>
    <row customHeight="1" ht="19.0125" hidden="1">
      <c r="A102" s="963"/>
      <c r="B102" s="418">
        <f>AND(NOT(method_reg="Метод сравнения аналогов"),HAS_DOC4="да")</f>
        <v>0</v>
      </c>
      <c r="C102" s="963"/>
      <c r="D102" s="963"/>
      <c r="E102" s="618">
        <v>19.5</v>
      </c>
      <c r="F102" s="963"/>
      <c r="G102" s="963"/>
      <c r="H102" s="963"/>
      <c r="I102" s="963"/>
      <c r="J102" s="963"/>
      <c r="K102" s="963"/>
      <c r="L102" s="963"/>
      <c r="M102" s="963"/>
      <c r="N102" s="963"/>
      <c r="O102" s="963"/>
      <c r="P102" s="963"/>
      <c r="Q102" s="963"/>
      <c r="R102" s="963"/>
      <c r="S102" s="963"/>
      <c r="T102" s="963"/>
      <c r="U102" s="963"/>
      <c r="V102" s="963"/>
      <c r="W102" s="475">
        <f>ROW(Y102)&gt;ROW(Y$102)</f>
        <v>0</v>
      </c>
      <c r="X102" s="963"/>
      <c r="Y102" s="73" t="s">
        <v>173</v>
      </c>
      <c r="Z102" s="1621"/>
      <c r="AA102" s="1413" t="s">
        <v>174</v>
      </c>
      <c r="AB102" s="1414" t="s">
        <v>193</v>
      </c>
      <c r="AC102" s="1422" t="s">
        <v>194</v>
      </c>
      <c r="AD102" s="1424"/>
      <c r="AE102" s="1643"/>
      <c r="AF102" s="354"/>
      <c r="AG102" s="963"/>
      <c r="AH102" s="963"/>
      <c r="AI102" s="963"/>
      <c r="AJ102" s="963"/>
      <c r="AK102" s="963"/>
      <c r="AL102" s="963"/>
      <c r="AM102" s="963"/>
      <c r="AN102" s="963"/>
      <c r="AO102" s="963"/>
      <c r="AP102" s="963"/>
      <c r="AQ102" s="963"/>
      <c r="AR102" s="963"/>
      <c r="AS102" s="963"/>
      <c r="AT102" s="963"/>
      <c r="AU102" s="963"/>
      <c r="AV102" s="963"/>
      <c r="AW102" s="963"/>
      <c r="AX102" s="963"/>
      <c r="AY102" s="963"/>
      <c r="AZ102" s="963"/>
      <c r="BA102" s="963"/>
    </row>
    <row customHeight="1" ht="19.0125" hidden="1">
      <c r="A103" s="963"/>
      <c r="B103" s="418">
        <f>AND(NOT(method_reg="Метод сравнения аналогов"),HAS_DOC4="да")</f>
        <v>0</v>
      </c>
      <c r="C103" s="963"/>
      <c r="D103" s="963"/>
      <c r="E103" s="618">
        <v>19.5</v>
      </c>
      <c r="F103" s="963"/>
      <c r="G103" s="963"/>
      <c r="H103" s="963"/>
      <c r="I103" s="963"/>
      <c r="J103" s="963"/>
      <c r="K103" s="963"/>
      <c r="L103" s="963"/>
      <c r="M103" s="963"/>
      <c r="N103" s="963"/>
      <c r="O103" s="963"/>
      <c r="P103" s="963"/>
      <c r="Q103" s="963"/>
      <c r="R103" s="963"/>
      <c r="S103" s="963"/>
      <c r="T103" s="963"/>
      <c r="U103" s="963"/>
      <c r="V103" s="963"/>
      <c r="W103" s="475" cm="1" t="str">
        <f t="array" ref="W103:W103">W102</f>
        <v>false</v>
      </c>
      <c r="X103" s="963"/>
      <c r="Y103" s="963"/>
      <c r="Z103" s="1621"/>
      <c r="AA103" s="1413"/>
      <c r="AB103" s="1415"/>
      <c r="AC103" s="1422" t="s">
        <v>195</v>
      </c>
      <c r="AD103" s="1424"/>
      <c r="AE103" s="1645"/>
      <c r="AF103" s="354"/>
      <c r="AG103" s="963"/>
      <c r="AH103" s="963"/>
      <c r="AI103" s="963"/>
      <c r="AJ103" s="963"/>
      <c r="AK103" s="963"/>
      <c r="AL103" s="963"/>
      <c r="AM103" s="963"/>
      <c r="AN103" s="963"/>
      <c r="AO103" s="963"/>
      <c r="AP103" s="963"/>
      <c r="AQ103" s="963"/>
      <c r="AR103" s="963"/>
      <c r="AS103" s="963"/>
      <c r="AT103" s="963"/>
      <c r="AU103" s="963"/>
      <c r="AV103" s="963"/>
      <c r="AW103" s="963"/>
      <c r="AX103" s="963"/>
      <c r="AY103" s="963"/>
      <c r="AZ103" s="963"/>
      <c r="BA103" s="963"/>
    </row>
    <row customHeight="1" ht="19.0125" hidden="1">
      <c r="A104" s="963"/>
      <c r="B104" s="418">
        <f>AND(NOT(method_reg="Метод сравнения аналогов"),HAS_DOC4="да")</f>
        <v>0</v>
      </c>
      <c r="C104" s="963"/>
      <c r="D104" s="963"/>
      <c r="E104" s="618">
        <v>19.5</v>
      </c>
      <c r="F104" s="963"/>
      <c r="G104" s="963"/>
      <c r="H104" s="963"/>
      <c r="I104" s="963"/>
      <c r="J104" s="963"/>
      <c r="K104" s="963"/>
      <c r="L104" s="963"/>
      <c r="M104" s="963"/>
      <c r="N104" s="963"/>
      <c r="O104" s="963"/>
      <c r="P104" s="963"/>
      <c r="Q104" s="963"/>
      <c r="R104" s="963"/>
      <c r="S104" s="963"/>
      <c r="T104" s="963"/>
      <c r="U104" s="963"/>
      <c r="V104" s="963"/>
      <c r="W104" s="475" cm="1" t="str">
        <f t="array" ref="W104:W104">W103</f>
        <v>false</v>
      </c>
      <c r="X104" s="963"/>
      <c r="Y104" s="963"/>
      <c r="Z104" s="1621"/>
      <c r="AA104" s="1413"/>
      <c r="AB104" s="1415"/>
      <c r="AC104" s="1422" t="s">
        <v>196</v>
      </c>
      <c r="AD104" s="1424"/>
      <c r="AE104" s="1643"/>
      <c r="AF104" s="354"/>
      <c r="AG104" s="963"/>
      <c r="AH104" s="963"/>
      <c r="AI104" s="963"/>
      <c r="AJ104" s="963"/>
      <c r="AK104" s="963"/>
      <c r="AL104" s="963"/>
      <c r="AM104" s="963"/>
      <c r="AN104" s="963"/>
      <c r="AO104" s="963"/>
      <c r="AP104" s="963"/>
      <c r="AQ104" s="963"/>
      <c r="AR104" s="963"/>
      <c r="AS104" s="963"/>
      <c r="AT104" s="963"/>
      <c r="AU104" s="963"/>
      <c r="AV104" s="963"/>
      <c r="AW104" s="963"/>
      <c r="AX104" s="963"/>
      <c r="AY104" s="963"/>
      <c r="AZ104" s="963"/>
      <c r="BA104" s="963"/>
    </row>
    <row customHeight="1" ht="19.0125" hidden="1">
      <c r="A105" s="963"/>
      <c r="B105" s="418">
        <f>AND(NOT(method_reg="Метод сравнения аналогов"),HAS_DOC4="да")</f>
        <v>0</v>
      </c>
      <c r="C105" s="963"/>
      <c r="D105" s="963"/>
      <c r="E105" s="618">
        <v>19.5</v>
      </c>
      <c r="F105" s="963"/>
      <c r="G105" s="963"/>
      <c r="H105" s="963"/>
      <c r="I105" s="963"/>
      <c r="J105" s="963"/>
      <c r="K105" s="963"/>
      <c r="L105" s="963"/>
      <c r="M105" s="963"/>
      <c r="N105" s="963"/>
      <c r="O105" s="963"/>
      <c r="P105" s="963"/>
      <c r="Q105" s="963"/>
      <c r="R105" s="963"/>
      <c r="S105" s="963"/>
      <c r="T105" s="963"/>
      <c r="U105" s="963"/>
      <c r="V105" s="963"/>
      <c r="W105" s="475" cm="1" t="str">
        <f t="array" ref="W105:W105">W104</f>
        <v>false</v>
      </c>
      <c r="X105" s="963"/>
      <c r="Y105" s="963"/>
      <c r="Z105" s="1621"/>
      <c r="AA105" s="1413"/>
      <c r="AB105" s="1415"/>
      <c r="AC105" s="1422" t="s">
        <v>197</v>
      </c>
      <c r="AD105" s="1424"/>
      <c r="AE105" s="1646"/>
      <c r="AF105" s="354"/>
      <c r="AG105" s="963"/>
      <c r="AH105" s="963"/>
      <c r="AI105" s="963"/>
      <c r="AJ105" s="963"/>
      <c r="AK105" s="963"/>
      <c r="AL105" s="963"/>
      <c r="AM105" s="963"/>
      <c r="AN105" s="963"/>
      <c r="AO105" s="963"/>
      <c r="AP105" s="963"/>
      <c r="AQ105" s="963"/>
      <c r="AR105" s="963"/>
      <c r="AS105" s="963"/>
      <c r="AT105" s="963"/>
      <c r="AU105" s="963"/>
      <c r="AV105" s="963"/>
      <c r="AW105" s="963"/>
      <c r="AX105" s="963"/>
      <c r="AY105" s="963"/>
      <c r="AZ105" s="963"/>
      <c r="BA105" s="963"/>
    </row>
    <row customHeight="1" ht="19.0125" hidden="1">
      <c r="A106" s="963"/>
      <c r="B106" s="418">
        <f>AND(NOT(method_reg="Метод сравнения аналогов"),HAS_DOC4="да")</f>
        <v>0</v>
      </c>
      <c r="C106" s="963"/>
      <c r="D106" s="963"/>
      <c r="E106" s="618">
        <v>19.5</v>
      </c>
      <c r="F106" s="963"/>
      <c r="G106" s="963"/>
      <c r="H106" s="963"/>
      <c r="I106" s="963"/>
      <c r="J106" s="963"/>
      <c r="K106" s="963"/>
      <c r="L106" s="963"/>
      <c r="M106" s="963"/>
      <c r="N106" s="963"/>
      <c r="O106" s="963"/>
      <c r="P106" s="963"/>
      <c r="Q106" s="963"/>
      <c r="R106" s="963"/>
      <c r="S106" s="963"/>
      <c r="T106" s="963"/>
      <c r="U106" s="963"/>
      <c r="V106" s="963"/>
      <c r="W106" s="475" cm="1" t="str">
        <f t="array" ref="W106:W106">W105</f>
        <v>false</v>
      </c>
      <c r="X106" s="963"/>
      <c r="Y106" s="963"/>
      <c r="Z106" s="1621"/>
      <c r="AA106" s="1413"/>
      <c r="AB106" s="1416"/>
      <c r="AC106" s="1422" t="s">
        <v>198</v>
      </c>
      <c r="AD106" s="1424"/>
      <c r="AE106" s="1648"/>
      <c r="AF106" s="354"/>
      <c r="AG106" s="963"/>
      <c r="AH106" s="963"/>
      <c r="AI106" s="963"/>
      <c r="AJ106" s="963"/>
      <c r="AK106" s="963"/>
      <c r="AL106" s="963"/>
      <c r="AM106" s="963"/>
      <c r="AN106" s="963"/>
      <c r="AO106" s="963"/>
      <c r="AP106" s="963"/>
      <c r="AQ106" s="963"/>
      <c r="AR106" s="963"/>
      <c r="AS106" s="963"/>
      <c r="AT106" s="963"/>
      <c r="AU106" s="963"/>
      <c r="AV106" s="963"/>
      <c r="AW106" s="963"/>
      <c r="AX106" s="963"/>
      <c r="AY106" s="963"/>
      <c r="AZ106" s="963"/>
      <c r="BA106" s="963"/>
    </row>
    <row customHeight="1" ht="14.625" hidden="1">
      <c r="A107" s="963"/>
      <c r="B107" s="418">
        <f>AND(NOT(method_reg="Метод сравнения аналогов"),HAS_DOC4="да")</f>
        <v>0</v>
      </c>
      <c r="C107" s="963"/>
      <c r="D107" s="963"/>
      <c r="E107" s="618">
        <v>15</v>
      </c>
      <c r="F107" s="73" t="s">
        <v>205</v>
      </c>
      <c r="G107" s="963"/>
      <c r="H107" s="963"/>
      <c r="I107" s="963"/>
      <c r="J107" s="963"/>
      <c r="K107" s="963"/>
      <c r="L107" s="963"/>
      <c r="M107" s="963"/>
      <c r="N107" s="963"/>
      <c r="O107" s="963"/>
      <c r="P107" s="963"/>
      <c r="Q107" s="963"/>
      <c r="R107" s="963"/>
      <c r="S107" s="963"/>
      <c r="T107" s="963"/>
      <c r="U107" s="963"/>
      <c r="V107" s="963"/>
      <c r="W107" s="963"/>
      <c r="X107" s="963"/>
      <c r="Y107" s="74" t="s">
        <v>176</v>
      </c>
      <c r="Z107" s="1621"/>
      <c r="AA107" s="963"/>
      <c r="AB107" s="232"/>
      <c r="AC107" s="231"/>
      <c r="AD107" s="231"/>
      <c r="AE107" s="335" t="s">
        <v>177</v>
      </c>
      <c r="AF107" s="354"/>
      <c r="AG107" s="963"/>
      <c r="AH107" s="963"/>
      <c r="AI107" s="963"/>
      <c r="AJ107" s="963"/>
      <c r="AK107" s="963"/>
      <c r="AL107" s="963"/>
      <c r="AM107" s="963"/>
      <c r="AN107" s="963"/>
      <c r="AO107" s="963"/>
      <c r="AP107" s="963"/>
      <c r="AQ107" s="963"/>
      <c r="AR107" s="963"/>
      <c r="AS107" s="963"/>
      <c r="AT107" s="963"/>
      <c r="AU107" s="963"/>
      <c r="AV107" s="963"/>
      <c r="AW107" s="963"/>
      <c r="AX107" s="963"/>
      <c r="AY107" s="963"/>
      <c r="AZ107" s="963"/>
      <c r="BA107" s="963"/>
    </row>
    <row customHeight="1" ht="24.862499999999997">
      <c r="B108" s="418">
        <f>NOT(method_reg="Метод сравнения аналогов")</f>
        <v>1</v>
      </c>
      <c r="E108" s="618">
        <v>25.5</v>
      </c>
      <c r="F108" s="73" t="s">
        <v>208</v>
      </c>
      <c r="AB108" s="1412"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412"/>
      <c r="AD108" s="1412"/>
      <c r="AE108" s="360" t="s">
        <v>152</v>
      </c>
      <c r="AF108" s="453"/>
      <c r="AG108" s="73" t="s">
        <v>209</v>
      </c>
    </row>
    <row customHeight="1" ht="19.0125" hidden="1">
      <c r="A109" s="963"/>
      <c r="B109" s="418">
        <f>AND(NOT(method_reg="Метод сравнения аналогов"),HAS_DOC5="да")</f>
        <v>0</v>
      </c>
      <c r="C109" s="963"/>
      <c r="D109" s="963"/>
      <c r="E109" s="618">
        <v>19.5</v>
      </c>
      <c r="F109" s="963"/>
      <c r="G109" s="963"/>
      <c r="H109" s="963"/>
      <c r="I109" s="963"/>
      <c r="J109" s="963"/>
      <c r="K109" s="963"/>
      <c r="L109" s="963"/>
      <c r="M109" s="963"/>
      <c r="N109" s="963"/>
      <c r="O109" s="963"/>
      <c r="P109" s="963"/>
      <c r="Q109" s="963"/>
      <c r="R109" s="963"/>
      <c r="S109" s="963"/>
      <c r="T109" s="963"/>
      <c r="U109" s="963"/>
      <c r="V109" s="963"/>
      <c r="W109" s="963"/>
      <c r="X109" s="963"/>
      <c r="Y109" s="963"/>
      <c r="Z109" s="1621"/>
      <c r="AA109" s="963"/>
      <c r="AB109" s="1414" t="s">
        <v>193</v>
      </c>
      <c r="AC109" s="1412" t="s">
        <v>194</v>
      </c>
      <c r="AD109" s="1412"/>
      <c r="AE109" s="390"/>
      <c r="AF109" s="354"/>
      <c r="AG109" s="963"/>
      <c r="AH109" s="963"/>
      <c r="AI109" s="963"/>
      <c r="AJ109" s="963"/>
      <c r="AK109" s="963"/>
      <c r="AL109" s="963"/>
      <c r="AM109" s="963"/>
      <c r="AN109" s="963"/>
      <c r="AO109" s="963"/>
      <c r="AP109" s="963"/>
      <c r="AQ109" s="963"/>
      <c r="AR109" s="963"/>
      <c r="AS109" s="963"/>
      <c r="AT109" s="963"/>
      <c r="AU109" s="963"/>
      <c r="AV109" s="963"/>
      <c r="AW109" s="963"/>
      <c r="AX109" s="963"/>
      <c r="AY109" s="963"/>
      <c r="AZ109" s="963"/>
      <c r="BA109" s="963"/>
    </row>
    <row customHeight="1" ht="19.0125" hidden="1">
      <c r="A110" s="963"/>
      <c r="B110" s="418">
        <f>AND(NOT(method_reg="Метод сравнения аналогов"),HAS_DOC5="да")</f>
        <v>0</v>
      </c>
      <c r="C110" s="963"/>
      <c r="D110" s="963"/>
      <c r="E110" s="618">
        <v>19.5</v>
      </c>
      <c r="F110" s="963"/>
      <c r="G110" s="963"/>
      <c r="H110" s="963"/>
      <c r="I110" s="963"/>
      <c r="J110" s="963"/>
      <c r="K110" s="963"/>
      <c r="L110" s="963"/>
      <c r="M110" s="963"/>
      <c r="N110" s="963"/>
      <c r="O110" s="963"/>
      <c r="P110" s="963"/>
      <c r="Q110" s="963"/>
      <c r="R110" s="963"/>
      <c r="S110" s="963"/>
      <c r="T110" s="963"/>
      <c r="U110" s="963"/>
      <c r="V110" s="963"/>
      <c r="W110" s="963"/>
      <c r="X110" s="963"/>
      <c r="Y110" s="963"/>
      <c r="Z110" s="1621"/>
      <c r="AA110" s="963"/>
      <c r="AB110" s="1415"/>
      <c r="AC110" s="1412" t="s">
        <v>195</v>
      </c>
      <c r="AD110" s="1412"/>
      <c r="AE110" s="391"/>
      <c r="AF110" s="354"/>
      <c r="AG110" s="963"/>
      <c r="AH110" s="963"/>
      <c r="AI110" s="963"/>
      <c r="AJ110" s="963"/>
      <c r="AK110" s="963"/>
      <c r="AL110" s="963"/>
      <c r="AM110" s="963"/>
      <c r="AN110" s="963"/>
      <c r="AO110" s="963"/>
      <c r="AP110" s="963"/>
      <c r="AQ110" s="963"/>
      <c r="AR110" s="963"/>
      <c r="AS110" s="963"/>
      <c r="AT110" s="963"/>
      <c r="AU110" s="963"/>
      <c r="AV110" s="963"/>
      <c r="AW110" s="963"/>
      <c r="AX110" s="963"/>
      <c r="AY110" s="963"/>
      <c r="AZ110" s="963"/>
      <c r="BA110" s="963"/>
    </row>
    <row customHeight="1" ht="19.0125" hidden="1">
      <c r="A111" s="963"/>
      <c r="B111" s="418">
        <f>AND(NOT(method_reg="Метод сравнения аналогов"),HAS_DOC5="да")</f>
        <v>0</v>
      </c>
      <c r="C111" s="963"/>
      <c r="D111" s="963"/>
      <c r="E111" s="618">
        <v>19.5</v>
      </c>
      <c r="F111" s="963"/>
      <c r="G111" s="963"/>
      <c r="H111" s="963"/>
      <c r="I111" s="963"/>
      <c r="J111" s="963"/>
      <c r="K111" s="963"/>
      <c r="L111" s="963"/>
      <c r="M111" s="963"/>
      <c r="N111" s="963"/>
      <c r="O111" s="963"/>
      <c r="P111" s="963"/>
      <c r="Q111" s="963"/>
      <c r="R111" s="963"/>
      <c r="S111" s="963"/>
      <c r="T111" s="963"/>
      <c r="U111" s="963"/>
      <c r="V111" s="963"/>
      <c r="W111" s="963"/>
      <c r="X111" s="963"/>
      <c r="Y111" s="963"/>
      <c r="Z111" s="1621"/>
      <c r="AA111" s="963"/>
      <c r="AB111" s="1415"/>
      <c r="AC111" s="1412" t="s">
        <v>196</v>
      </c>
      <c r="AD111" s="1412"/>
      <c r="AE111" s="390"/>
      <c r="AF111" s="354"/>
      <c r="AG111" s="963"/>
      <c r="AH111" s="963"/>
      <c r="AI111" s="963"/>
      <c r="AJ111" s="963"/>
      <c r="AK111" s="963"/>
      <c r="AL111" s="963"/>
      <c r="AM111" s="963"/>
      <c r="AN111" s="963"/>
      <c r="AO111" s="963"/>
      <c r="AP111" s="963"/>
      <c r="AQ111" s="963"/>
      <c r="AR111" s="963"/>
      <c r="AS111" s="963"/>
      <c r="AT111" s="963"/>
      <c r="AU111" s="963"/>
      <c r="AV111" s="963"/>
      <c r="AW111" s="963"/>
      <c r="AX111" s="963"/>
      <c r="AY111" s="963"/>
      <c r="AZ111" s="963"/>
      <c r="BA111" s="963"/>
    </row>
    <row customHeight="1" ht="19.0125" hidden="1">
      <c r="A112" s="963"/>
      <c r="B112" s="418">
        <f>AND(NOT(method_reg="Метод сравнения аналогов"),HAS_DOC5="да")</f>
        <v>0</v>
      </c>
      <c r="C112" s="963"/>
      <c r="D112" s="963"/>
      <c r="E112" s="618">
        <v>19.5</v>
      </c>
      <c r="F112" s="963"/>
      <c r="G112" s="963"/>
      <c r="H112" s="963"/>
      <c r="I112" s="963"/>
      <c r="J112" s="963"/>
      <c r="K112" s="963"/>
      <c r="L112" s="963"/>
      <c r="M112" s="963"/>
      <c r="N112" s="963"/>
      <c r="O112" s="963"/>
      <c r="P112" s="963"/>
      <c r="Q112" s="963"/>
      <c r="R112" s="963"/>
      <c r="S112" s="963"/>
      <c r="T112" s="963"/>
      <c r="U112" s="963"/>
      <c r="V112" s="963"/>
      <c r="W112" s="963"/>
      <c r="X112" s="963"/>
      <c r="Y112" s="963"/>
      <c r="Z112" s="1621"/>
      <c r="AA112" s="963"/>
      <c r="AB112" s="1415"/>
      <c r="AC112" s="1412" t="s">
        <v>197</v>
      </c>
      <c r="AD112" s="1412"/>
      <c r="AE112" s="1646"/>
      <c r="AF112" s="354"/>
      <c r="AG112" s="963"/>
      <c r="AH112" s="963"/>
      <c r="AI112" s="963"/>
      <c r="AJ112" s="963"/>
      <c r="AK112" s="963"/>
      <c r="AL112" s="963"/>
      <c r="AM112" s="963"/>
      <c r="AN112" s="963"/>
      <c r="AO112" s="963"/>
      <c r="AP112" s="963"/>
      <c r="AQ112" s="963"/>
      <c r="AR112" s="963"/>
      <c r="AS112" s="963"/>
      <c r="AT112" s="963"/>
      <c r="AU112" s="963"/>
      <c r="AV112" s="963"/>
      <c r="AW112" s="963"/>
      <c r="AX112" s="963"/>
      <c r="AY112" s="963"/>
      <c r="AZ112" s="963"/>
      <c r="BA112" s="963"/>
    </row>
    <row customHeight="1" ht="19.0125" hidden="1">
      <c r="A113" s="963"/>
      <c r="B113" s="418">
        <f>AND(NOT(method_reg="Метод сравнения аналогов"),HAS_DOC5="да")</f>
        <v>0</v>
      </c>
      <c r="C113" s="963"/>
      <c r="D113" s="963"/>
      <c r="E113" s="618">
        <v>19.5</v>
      </c>
      <c r="F113" s="963"/>
      <c r="G113" s="963"/>
      <c r="H113" s="963"/>
      <c r="I113" s="963"/>
      <c r="J113" s="963"/>
      <c r="K113" s="963"/>
      <c r="L113" s="963"/>
      <c r="M113" s="963"/>
      <c r="N113" s="963"/>
      <c r="O113" s="963"/>
      <c r="P113" s="963"/>
      <c r="Q113" s="963"/>
      <c r="R113" s="963"/>
      <c r="S113" s="963"/>
      <c r="T113" s="963"/>
      <c r="U113" s="963"/>
      <c r="V113" s="963"/>
      <c r="W113" s="963"/>
      <c r="X113" s="963"/>
      <c r="Y113" s="963"/>
      <c r="Z113" s="1621"/>
      <c r="AA113" s="963"/>
      <c r="AB113" s="1415"/>
      <c r="AC113" s="1412" t="s">
        <v>210</v>
      </c>
      <c r="AD113" s="1412"/>
      <c r="AE113" s="1646"/>
      <c r="AF113" s="354"/>
      <c r="AG113" s="963"/>
      <c r="AH113" s="963"/>
      <c r="AI113" s="963"/>
      <c r="AJ113" s="963"/>
      <c r="AK113" s="963"/>
      <c r="AL113" s="963"/>
      <c r="AM113" s="963"/>
      <c r="AN113" s="963"/>
      <c r="AO113" s="963"/>
      <c r="AP113" s="963"/>
      <c r="AQ113" s="963"/>
      <c r="AR113" s="963"/>
      <c r="AS113" s="963"/>
      <c r="AT113" s="963"/>
      <c r="AU113" s="963"/>
      <c r="AV113" s="963"/>
      <c r="AW113" s="963"/>
      <c r="AX113" s="963"/>
      <c r="AY113" s="963"/>
      <c r="AZ113" s="963"/>
      <c r="BA113" s="963"/>
    </row>
    <row customHeight="1" ht="19.0125" hidden="1">
      <c r="A114" s="963"/>
      <c r="B114" s="418">
        <f>AND(NOT(method_reg="Метод сравнения аналогов"),HAS_DOC5="да")</f>
        <v>0</v>
      </c>
      <c r="C114" s="963"/>
      <c r="D114" s="963"/>
      <c r="E114" s="618">
        <v>19.5</v>
      </c>
      <c r="F114" s="963"/>
      <c r="G114" s="963"/>
      <c r="H114" s="963"/>
      <c r="I114" s="963"/>
      <c r="J114" s="963"/>
      <c r="K114" s="963"/>
      <c r="L114" s="963"/>
      <c r="M114" s="963"/>
      <c r="N114" s="963"/>
      <c r="O114" s="963"/>
      <c r="P114" s="963"/>
      <c r="Q114" s="963"/>
      <c r="R114" s="963"/>
      <c r="S114" s="963"/>
      <c r="T114" s="963"/>
      <c r="U114" s="963"/>
      <c r="V114" s="963"/>
      <c r="W114" s="963"/>
      <c r="X114" s="963"/>
      <c r="Y114" s="963"/>
      <c r="Z114" s="1621"/>
      <c r="AA114" s="963"/>
      <c r="AB114" s="1416"/>
      <c r="AC114" s="1412" t="s">
        <v>211</v>
      </c>
      <c r="AD114" s="1412"/>
      <c r="AE114" s="1646"/>
      <c r="AF114" s="354"/>
      <c r="AG114" s="963"/>
      <c r="AH114" s="963"/>
      <c r="AI114" s="963"/>
      <c r="AJ114" s="963"/>
      <c r="AK114" s="963"/>
      <c r="AL114" s="963"/>
      <c r="AM114" s="963"/>
      <c r="AN114" s="963"/>
      <c r="AO114" s="963"/>
      <c r="AP114" s="963"/>
      <c r="AQ114" s="963"/>
      <c r="AR114" s="963"/>
      <c r="AS114" s="963"/>
      <c r="AT114" s="963"/>
      <c r="AU114" s="963"/>
      <c r="AV114" s="963"/>
      <c r="AW114" s="963"/>
      <c r="AX114" s="963"/>
      <c r="AY114" s="963"/>
      <c r="AZ114" s="963"/>
      <c r="BA114" s="963"/>
    </row>
    <row customHeight="1" ht="19.0125" hidden="1">
      <c r="A115" s="963"/>
      <c r="B115" s="418">
        <f>AND(NOT(method_reg="Метод сравнения аналогов"),HAS_DOC5="да")</f>
        <v>0</v>
      </c>
      <c r="C115" s="963"/>
      <c r="D115" s="963"/>
      <c r="E115" s="618">
        <v>19.5</v>
      </c>
      <c r="F115" s="963"/>
      <c r="G115" s="963"/>
      <c r="H115" s="963"/>
      <c r="I115" s="963"/>
      <c r="J115" s="963"/>
      <c r="K115" s="963"/>
      <c r="L115" s="963"/>
      <c r="M115" s="963"/>
      <c r="N115" s="963"/>
      <c r="O115" s="963"/>
      <c r="P115" s="963"/>
      <c r="Q115" s="963"/>
      <c r="R115" s="963"/>
      <c r="S115" s="963"/>
      <c r="T115" s="963"/>
      <c r="U115" s="963"/>
      <c r="V115" s="963"/>
      <c r="W115" s="475">
        <f>ROW(Y115)&gt;ROW(Y$115)</f>
        <v>0</v>
      </c>
      <c r="X115" s="963"/>
      <c r="Y115" s="73" t="s">
        <v>173</v>
      </c>
      <c r="Z115" s="1621"/>
      <c r="AA115" s="1413" t="s">
        <v>174</v>
      </c>
      <c r="AB115" s="1414" t="s">
        <v>193</v>
      </c>
      <c r="AC115" s="1412" t="s">
        <v>194</v>
      </c>
      <c r="AD115" s="1412"/>
      <c r="AE115" s="390"/>
      <c r="AF115" s="354"/>
      <c r="AG115" s="963"/>
      <c r="AH115" s="963"/>
      <c r="AI115" s="963"/>
      <c r="AJ115" s="963"/>
      <c r="AK115" s="963"/>
      <c r="AL115" s="963"/>
      <c r="AM115" s="963"/>
      <c r="AN115" s="963"/>
      <c r="AO115" s="963"/>
      <c r="AP115" s="963"/>
      <c r="AQ115" s="963"/>
      <c r="AR115" s="963"/>
      <c r="AS115" s="963"/>
      <c r="AT115" s="963"/>
      <c r="AU115" s="963"/>
      <c r="AV115" s="963"/>
      <c r="AW115" s="963"/>
      <c r="AX115" s="963"/>
      <c r="AY115" s="963"/>
      <c r="AZ115" s="963"/>
      <c r="BA115" s="963"/>
    </row>
    <row customHeight="1" ht="19.0125" hidden="1">
      <c r="A116" s="963"/>
      <c r="B116" s="418">
        <f>AND(NOT(method_reg="Метод сравнения аналогов"),HAS_DOC5="да")</f>
        <v>0</v>
      </c>
      <c r="C116" s="963"/>
      <c r="D116" s="963"/>
      <c r="E116" s="618">
        <v>19.5</v>
      </c>
      <c r="F116" s="963"/>
      <c r="G116" s="963"/>
      <c r="H116" s="963"/>
      <c r="I116" s="963"/>
      <c r="J116" s="963"/>
      <c r="K116" s="963"/>
      <c r="L116" s="963"/>
      <c r="M116" s="963"/>
      <c r="N116" s="963"/>
      <c r="O116" s="963"/>
      <c r="P116" s="963"/>
      <c r="Q116" s="963"/>
      <c r="R116" s="963"/>
      <c r="S116" s="963"/>
      <c r="T116" s="963"/>
      <c r="U116" s="963"/>
      <c r="V116" s="963"/>
      <c r="W116" s="475" cm="1" t="str">
        <f t="array" ref="W116:W116">W115</f>
        <v>false</v>
      </c>
      <c r="X116" s="963"/>
      <c r="Y116" s="963"/>
      <c r="Z116" s="1621"/>
      <c r="AA116" s="1413"/>
      <c r="AB116" s="1415"/>
      <c r="AC116" s="1412" t="s">
        <v>195</v>
      </c>
      <c r="AD116" s="1412"/>
      <c r="AE116" s="391"/>
      <c r="AF116" s="354"/>
      <c r="AG116" s="963"/>
      <c r="AH116" s="963"/>
      <c r="AI116" s="963"/>
      <c r="AJ116" s="963"/>
      <c r="AK116" s="963"/>
      <c r="AL116" s="963"/>
      <c r="AM116" s="963"/>
      <c r="AN116" s="963"/>
      <c r="AO116" s="963"/>
      <c r="AP116" s="963"/>
      <c r="AQ116" s="963"/>
      <c r="AR116" s="963"/>
      <c r="AS116" s="963"/>
      <c r="AT116" s="963"/>
      <c r="AU116" s="963"/>
      <c r="AV116" s="963"/>
      <c r="AW116" s="963"/>
      <c r="AX116" s="963"/>
      <c r="AY116" s="963"/>
      <c r="AZ116" s="963"/>
      <c r="BA116" s="963"/>
    </row>
    <row customHeight="1" ht="19.0125" hidden="1">
      <c r="A117" s="963"/>
      <c r="B117" s="418">
        <f>AND(NOT(method_reg="Метод сравнения аналогов"),HAS_DOC5="да")</f>
        <v>0</v>
      </c>
      <c r="C117" s="963"/>
      <c r="D117" s="963"/>
      <c r="E117" s="618">
        <v>19.5</v>
      </c>
      <c r="F117" s="963"/>
      <c r="G117" s="963"/>
      <c r="H117" s="963"/>
      <c r="I117" s="963"/>
      <c r="J117" s="963"/>
      <c r="K117" s="963"/>
      <c r="L117" s="963"/>
      <c r="M117" s="963"/>
      <c r="N117" s="963"/>
      <c r="O117" s="963"/>
      <c r="P117" s="963"/>
      <c r="Q117" s="963"/>
      <c r="R117" s="963"/>
      <c r="S117" s="963"/>
      <c r="T117" s="963"/>
      <c r="U117" s="963"/>
      <c r="V117" s="963"/>
      <c r="W117" s="475" cm="1" t="str">
        <f t="array" ref="W117:W117">W116</f>
        <v>false</v>
      </c>
      <c r="X117" s="963"/>
      <c r="Y117" s="963"/>
      <c r="Z117" s="1621"/>
      <c r="AA117" s="1413"/>
      <c r="AB117" s="1415"/>
      <c r="AC117" s="1412" t="s">
        <v>196</v>
      </c>
      <c r="AD117" s="1412"/>
      <c r="AE117" s="390"/>
      <c r="AF117" s="354"/>
      <c r="AG117" s="963"/>
      <c r="AH117" s="963"/>
      <c r="AI117" s="963"/>
      <c r="AJ117" s="963"/>
      <c r="AK117" s="963"/>
      <c r="AL117" s="963"/>
      <c r="AM117" s="963"/>
      <c r="AN117" s="963"/>
      <c r="AO117" s="963"/>
      <c r="AP117" s="963"/>
      <c r="AQ117" s="963"/>
      <c r="AR117" s="963"/>
      <c r="AS117" s="963"/>
      <c r="AT117" s="963"/>
      <c r="AU117" s="963"/>
      <c r="AV117" s="963"/>
      <c r="AW117" s="963"/>
      <c r="AX117" s="963"/>
      <c r="AY117" s="963"/>
      <c r="AZ117" s="963"/>
      <c r="BA117" s="963"/>
    </row>
    <row customHeight="1" ht="19.0125" hidden="1">
      <c r="A118" s="963"/>
      <c r="B118" s="418">
        <f>AND(NOT(method_reg="Метод сравнения аналогов"),HAS_DOC5="да")</f>
        <v>0</v>
      </c>
      <c r="C118" s="963"/>
      <c r="D118" s="963"/>
      <c r="E118" s="618">
        <v>19.5</v>
      </c>
      <c r="F118" s="963"/>
      <c r="G118" s="963"/>
      <c r="H118" s="963"/>
      <c r="I118" s="963"/>
      <c r="J118" s="963"/>
      <c r="K118" s="963"/>
      <c r="L118" s="963"/>
      <c r="M118" s="963"/>
      <c r="N118" s="963"/>
      <c r="O118" s="963"/>
      <c r="P118" s="963"/>
      <c r="Q118" s="963"/>
      <c r="R118" s="963"/>
      <c r="S118" s="963"/>
      <c r="T118" s="963"/>
      <c r="U118" s="963"/>
      <c r="V118" s="963"/>
      <c r="W118" s="475" cm="1" t="str">
        <f t="array" ref="W118:W118">W117</f>
        <v>false</v>
      </c>
      <c r="X118" s="963"/>
      <c r="Y118" s="963"/>
      <c r="Z118" s="1621"/>
      <c r="AA118" s="1413"/>
      <c r="AB118" s="1415"/>
      <c r="AC118" s="1412" t="s">
        <v>197</v>
      </c>
      <c r="AD118" s="1412"/>
      <c r="AE118" s="1646"/>
      <c r="AF118" s="354"/>
      <c r="AG118" s="963"/>
      <c r="AH118" s="963"/>
      <c r="AI118" s="963"/>
      <c r="AJ118" s="963"/>
      <c r="AK118" s="963"/>
      <c r="AL118" s="963"/>
      <c r="AM118" s="963"/>
      <c r="AN118" s="963"/>
      <c r="AO118" s="963"/>
      <c r="AP118" s="963"/>
      <c r="AQ118" s="963"/>
      <c r="AR118" s="963"/>
      <c r="AS118" s="963"/>
      <c r="AT118" s="963"/>
      <c r="AU118" s="963"/>
      <c r="AV118" s="963"/>
      <c r="AW118" s="963"/>
      <c r="AX118" s="963"/>
      <c r="AY118" s="963"/>
      <c r="AZ118" s="963"/>
      <c r="BA118" s="963"/>
    </row>
    <row customHeight="1" ht="19.0125" hidden="1">
      <c r="A119" s="963"/>
      <c r="B119" s="418">
        <f>AND(NOT(method_reg="Метод сравнения аналогов"),HAS_DOC5="да")</f>
        <v>0</v>
      </c>
      <c r="C119" s="963"/>
      <c r="D119" s="963"/>
      <c r="E119" s="618">
        <v>19.5</v>
      </c>
      <c r="F119" s="963"/>
      <c r="G119" s="963"/>
      <c r="H119" s="963"/>
      <c r="I119" s="963"/>
      <c r="J119" s="963"/>
      <c r="K119" s="963"/>
      <c r="L119" s="963"/>
      <c r="M119" s="963"/>
      <c r="N119" s="963"/>
      <c r="O119" s="963"/>
      <c r="P119" s="963"/>
      <c r="Q119" s="963"/>
      <c r="R119" s="963"/>
      <c r="S119" s="963"/>
      <c r="T119" s="963"/>
      <c r="U119" s="963"/>
      <c r="V119" s="963"/>
      <c r="W119" s="475" cm="1" t="str">
        <f t="array" ref="W119:W119">W118</f>
        <v>false</v>
      </c>
      <c r="X119" s="963"/>
      <c r="Y119" s="963"/>
      <c r="Z119" s="1621"/>
      <c r="AA119" s="1413"/>
      <c r="AB119" s="1415"/>
      <c r="AC119" s="1412" t="s">
        <v>210</v>
      </c>
      <c r="AD119" s="1412"/>
      <c r="AE119" s="1646"/>
      <c r="AF119" s="354"/>
      <c r="AG119" s="963"/>
      <c r="AH119" s="963"/>
      <c r="AI119" s="963"/>
      <c r="AJ119" s="963"/>
      <c r="AK119" s="963"/>
      <c r="AL119" s="963"/>
      <c r="AM119" s="963"/>
      <c r="AN119" s="963"/>
      <c r="AO119" s="963"/>
      <c r="AP119" s="963"/>
      <c r="AQ119" s="963"/>
      <c r="AR119" s="963"/>
      <c r="AS119" s="963"/>
      <c r="AT119" s="963"/>
      <c r="AU119" s="963"/>
      <c r="AV119" s="963"/>
      <c r="AW119" s="963"/>
      <c r="AX119" s="963"/>
      <c r="AY119" s="963"/>
      <c r="AZ119" s="963"/>
      <c r="BA119" s="963"/>
    </row>
    <row customHeight="1" ht="19.0125" hidden="1">
      <c r="A120" s="963"/>
      <c r="B120" s="418">
        <f>AND(NOT(method_reg="Метод сравнения аналогов"),HAS_DOC5="да")</f>
        <v>0</v>
      </c>
      <c r="C120" s="963"/>
      <c r="D120" s="963"/>
      <c r="E120" s="618">
        <v>19.5</v>
      </c>
      <c r="F120" s="963"/>
      <c r="G120" s="963"/>
      <c r="H120" s="963"/>
      <c r="I120" s="963"/>
      <c r="J120" s="963"/>
      <c r="K120" s="963"/>
      <c r="L120" s="963"/>
      <c r="M120" s="963"/>
      <c r="N120" s="963"/>
      <c r="O120" s="963"/>
      <c r="P120" s="963"/>
      <c r="Q120" s="963"/>
      <c r="R120" s="963"/>
      <c r="S120" s="963"/>
      <c r="T120" s="963"/>
      <c r="U120" s="963"/>
      <c r="V120" s="963"/>
      <c r="W120" s="475" cm="1" t="str">
        <f t="array" ref="W120:W120">W119</f>
        <v>false</v>
      </c>
      <c r="X120" s="963"/>
      <c r="Y120" s="963"/>
      <c r="Z120" s="1621"/>
      <c r="AA120" s="1413"/>
      <c r="AB120" s="1416"/>
      <c r="AC120" s="1412" t="s">
        <v>211</v>
      </c>
      <c r="AD120" s="1412"/>
      <c r="AE120" s="1646"/>
      <c r="AF120" s="354"/>
      <c r="AG120" s="963"/>
      <c r="AH120" s="963"/>
      <c r="AI120" s="963"/>
      <c r="AJ120" s="963"/>
      <c r="AK120" s="963"/>
      <c r="AL120" s="963"/>
      <c r="AM120" s="963"/>
      <c r="AN120" s="963"/>
      <c r="AO120" s="963"/>
      <c r="AP120" s="963"/>
      <c r="AQ120" s="963"/>
      <c r="AR120" s="963"/>
      <c r="AS120" s="963"/>
      <c r="AT120" s="963"/>
      <c r="AU120" s="963"/>
      <c r="AV120" s="963"/>
      <c r="AW120" s="963"/>
      <c r="AX120" s="963"/>
      <c r="AY120" s="963"/>
      <c r="AZ120" s="963"/>
      <c r="BA120" s="963"/>
    </row>
    <row customHeight="1" ht="14.625" hidden="1">
      <c r="A121" s="963"/>
      <c r="B121" s="418">
        <f>AND(NOT(method_reg="Метод сравнения аналогов"),HAS_DOC5="да")</f>
        <v>0</v>
      </c>
      <c r="C121" s="963"/>
      <c r="D121" s="963"/>
      <c r="E121" s="618">
        <v>15</v>
      </c>
      <c r="F121" s="73" t="s">
        <v>208</v>
      </c>
      <c r="G121" s="963"/>
      <c r="H121" s="963"/>
      <c r="I121" s="963"/>
      <c r="J121" s="963"/>
      <c r="K121" s="963"/>
      <c r="L121" s="963"/>
      <c r="M121" s="963"/>
      <c r="N121" s="963"/>
      <c r="O121" s="963"/>
      <c r="P121" s="963"/>
      <c r="Q121" s="963"/>
      <c r="R121" s="963"/>
      <c r="S121" s="963"/>
      <c r="T121" s="963"/>
      <c r="U121" s="963"/>
      <c r="V121" s="963"/>
      <c r="W121" s="963"/>
      <c r="X121" s="963"/>
      <c r="Y121" s="74" t="s">
        <v>176</v>
      </c>
      <c r="Z121" s="1621"/>
      <c r="AA121" s="963"/>
      <c r="AB121" s="232"/>
      <c r="AC121" s="231"/>
      <c r="AD121" s="231"/>
      <c r="AE121" s="335" t="s">
        <v>177</v>
      </c>
      <c r="AF121" s="354"/>
      <c r="AG121" s="963"/>
      <c r="AH121" s="963"/>
      <c r="AI121" s="963"/>
      <c r="AJ121" s="963"/>
      <c r="AK121" s="963"/>
      <c r="AL121" s="963"/>
      <c r="AM121" s="963"/>
      <c r="AN121" s="963"/>
      <c r="AO121" s="963"/>
      <c r="AP121" s="963"/>
      <c r="AQ121" s="963"/>
      <c r="AR121" s="963"/>
      <c r="AS121" s="963"/>
      <c r="AT121" s="963"/>
      <c r="AU121" s="963"/>
      <c r="AV121" s="963"/>
      <c r="AW121" s="963"/>
      <c r="AX121" s="963"/>
      <c r="AY121" s="963"/>
      <c r="AZ121" s="963"/>
      <c r="BA121" s="963"/>
    </row>
    <row customHeight="1" ht="24.862499999999997">
      <c r="B122" s="418">
        <f>NOT(method_reg="Метод сравнения аналогов")</f>
        <v>1</v>
      </c>
      <c r="E122" s="618">
        <v>25.5</v>
      </c>
      <c r="F122" s="73" t="s">
        <v>212</v>
      </c>
      <c r="AB122" s="1412"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412"/>
      <c r="AD122" s="1412"/>
      <c r="AE122" s="360" t="s">
        <v>152</v>
      </c>
      <c r="AF122" s="453"/>
      <c r="AG122" s="73" t="s">
        <v>213</v>
      </c>
    </row>
    <row customHeight="1" ht="19.0125" hidden="1">
      <c r="A123" s="963"/>
      <c r="B123" s="418">
        <f>AND(NOT(method_reg="Метод сравнения аналогов"),HAS_DOC6="да")</f>
        <v>0</v>
      </c>
      <c r="C123" s="963"/>
      <c r="D123" s="963"/>
      <c r="E123" s="618">
        <v>19.5</v>
      </c>
      <c r="F123" s="963"/>
      <c r="G123" s="963"/>
      <c r="H123" s="963"/>
      <c r="I123" s="963"/>
      <c r="J123" s="963"/>
      <c r="K123" s="963"/>
      <c r="L123" s="963"/>
      <c r="M123" s="963"/>
      <c r="N123" s="963"/>
      <c r="O123" s="963"/>
      <c r="P123" s="963"/>
      <c r="Q123" s="963"/>
      <c r="R123" s="963"/>
      <c r="S123" s="963"/>
      <c r="T123" s="963"/>
      <c r="U123" s="963"/>
      <c r="V123" s="963"/>
      <c r="W123" s="963"/>
      <c r="X123" s="963"/>
      <c r="Y123" s="963"/>
      <c r="Z123" s="1621"/>
      <c r="AA123" s="963"/>
      <c r="AB123" s="1417" t="s">
        <v>193</v>
      </c>
      <c r="AC123" s="1412" t="s">
        <v>194</v>
      </c>
      <c r="AD123" s="1412"/>
      <c r="AE123" s="390"/>
      <c r="AF123" s="354"/>
      <c r="AG123" s="963"/>
      <c r="AH123" s="963"/>
      <c r="AI123" s="963"/>
      <c r="AJ123" s="963"/>
      <c r="AK123" s="963"/>
      <c r="AL123" s="963"/>
      <c r="AM123" s="963"/>
      <c r="AN123" s="963"/>
      <c r="AO123" s="963"/>
      <c r="AP123" s="963"/>
      <c r="AQ123" s="963"/>
      <c r="AR123" s="963"/>
      <c r="AS123" s="963"/>
      <c r="AT123" s="963"/>
      <c r="AU123" s="963"/>
      <c r="AV123" s="963"/>
      <c r="AW123" s="963"/>
      <c r="AX123" s="963"/>
      <c r="AY123" s="963"/>
      <c r="AZ123" s="963"/>
      <c r="BA123" s="963"/>
    </row>
    <row customHeight="1" ht="19.0125" hidden="1">
      <c r="A124" s="963"/>
      <c r="B124" s="418">
        <f>AND(NOT(method_reg="Метод сравнения аналогов"),HAS_DOC6="да")</f>
        <v>0</v>
      </c>
      <c r="C124" s="963"/>
      <c r="D124" s="963"/>
      <c r="E124" s="618">
        <v>19.5</v>
      </c>
      <c r="F124" s="963"/>
      <c r="G124" s="963"/>
      <c r="H124" s="963"/>
      <c r="I124" s="963"/>
      <c r="J124" s="963"/>
      <c r="K124" s="963"/>
      <c r="L124" s="963"/>
      <c r="M124" s="963"/>
      <c r="N124" s="963"/>
      <c r="O124" s="963"/>
      <c r="P124" s="963"/>
      <c r="Q124" s="963"/>
      <c r="R124" s="963"/>
      <c r="S124" s="963"/>
      <c r="T124" s="963"/>
      <c r="U124" s="963"/>
      <c r="V124" s="963"/>
      <c r="W124" s="963"/>
      <c r="X124" s="963"/>
      <c r="Y124" s="963"/>
      <c r="Z124" s="1621"/>
      <c r="AA124" s="963"/>
      <c r="AB124" s="1417"/>
      <c r="AC124" s="1412" t="s">
        <v>195</v>
      </c>
      <c r="AD124" s="1412"/>
      <c r="AE124" s="391"/>
      <c r="AF124" s="354"/>
      <c r="AG124" s="963"/>
      <c r="AH124" s="963"/>
      <c r="AI124" s="963"/>
      <c r="AJ124" s="963"/>
      <c r="AK124" s="963"/>
      <c r="AL124" s="963"/>
      <c r="AM124" s="963"/>
      <c r="AN124" s="963"/>
      <c r="AO124" s="963"/>
      <c r="AP124" s="963"/>
      <c r="AQ124" s="963"/>
      <c r="AR124" s="963"/>
      <c r="AS124" s="963"/>
      <c r="AT124" s="963"/>
      <c r="AU124" s="963"/>
      <c r="AV124" s="963"/>
      <c r="AW124" s="963"/>
      <c r="AX124" s="963"/>
      <c r="AY124" s="963"/>
      <c r="AZ124" s="963"/>
      <c r="BA124" s="963"/>
    </row>
    <row customHeight="1" ht="19.0125" hidden="1">
      <c r="A125" s="963"/>
      <c r="B125" s="418">
        <f>AND(NOT(method_reg="Метод сравнения аналогов"),HAS_DOC6="да")</f>
        <v>0</v>
      </c>
      <c r="C125" s="963"/>
      <c r="D125" s="963"/>
      <c r="E125" s="618">
        <v>19.5</v>
      </c>
      <c r="F125" s="963"/>
      <c r="G125" s="963"/>
      <c r="H125" s="963"/>
      <c r="I125" s="963"/>
      <c r="J125" s="963"/>
      <c r="K125" s="963"/>
      <c r="L125" s="963"/>
      <c r="M125" s="963"/>
      <c r="N125" s="963"/>
      <c r="O125" s="963"/>
      <c r="P125" s="963"/>
      <c r="Q125" s="963"/>
      <c r="R125" s="963"/>
      <c r="S125" s="963"/>
      <c r="T125" s="963"/>
      <c r="U125" s="963"/>
      <c r="V125" s="963"/>
      <c r="W125" s="963"/>
      <c r="X125" s="963"/>
      <c r="Y125" s="963"/>
      <c r="Z125" s="1621"/>
      <c r="AA125" s="963"/>
      <c r="AB125" s="1417"/>
      <c r="AC125" s="1412" t="s">
        <v>196</v>
      </c>
      <c r="AD125" s="1412"/>
      <c r="AE125" s="390"/>
      <c r="AF125" s="354"/>
      <c r="AG125" s="963"/>
      <c r="AH125" s="963"/>
      <c r="AI125" s="963"/>
      <c r="AJ125" s="963"/>
      <c r="AK125" s="963"/>
      <c r="AL125" s="963"/>
      <c r="AM125" s="963"/>
      <c r="AN125" s="963"/>
      <c r="AO125" s="963"/>
      <c r="AP125" s="963"/>
      <c r="AQ125" s="963"/>
      <c r="AR125" s="963"/>
      <c r="AS125" s="963"/>
      <c r="AT125" s="963"/>
      <c r="AU125" s="963"/>
      <c r="AV125" s="963"/>
      <c r="AW125" s="963"/>
      <c r="AX125" s="963"/>
      <c r="AY125" s="963"/>
      <c r="AZ125" s="963"/>
      <c r="BA125" s="963"/>
    </row>
    <row customHeight="1" ht="19.0125" hidden="1">
      <c r="A126" s="963"/>
      <c r="B126" s="418">
        <f>AND(NOT(method_reg="Метод сравнения аналогов"),HAS_DOC6="да")</f>
        <v>0</v>
      </c>
      <c r="C126" s="963"/>
      <c r="D126" s="963"/>
      <c r="E126" s="618">
        <v>19.5</v>
      </c>
      <c r="F126" s="963"/>
      <c r="G126" s="963"/>
      <c r="H126" s="963"/>
      <c r="I126" s="963"/>
      <c r="J126" s="963"/>
      <c r="K126" s="963"/>
      <c r="L126" s="963"/>
      <c r="M126" s="963"/>
      <c r="N126" s="963"/>
      <c r="O126" s="963"/>
      <c r="P126" s="963"/>
      <c r="Q126" s="963"/>
      <c r="R126" s="963"/>
      <c r="S126" s="963"/>
      <c r="T126" s="963"/>
      <c r="U126" s="963"/>
      <c r="V126" s="963"/>
      <c r="W126" s="963"/>
      <c r="X126" s="963"/>
      <c r="Y126" s="963"/>
      <c r="Z126" s="1621"/>
      <c r="AA126" s="963"/>
      <c r="AB126" s="1417"/>
      <c r="AC126" s="1412" t="s">
        <v>197</v>
      </c>
      <c r="AD126" s="1412"/>
      <c r="AE126" s="1646"/>
      <c r="AF126" s="354"/>
      <c r="AG126" s="963"/>
      <c r="AH126" s="963"/>
      <c r="AI126" s="963"/>
      <c r="AJ126" s="963"/>
      <c r="AK126" s="963"/>
      <c r="AL126" s="963"/>
      <c r="AM126" s="963"/>
      <c r="AN126" s="963"/>
      <c r="AO126" s="963"/>
      <c r="AP126" s="963"/>
      <c r="AQ126" s="963"/>
      <c r="AR126" s="963"/>
      <c r="AS126" s="963"/>
      <c r="AT126" s="963"/>
      <c r="AU126" s="963"/>
      <c r="AV126" s="963"/>
      <c r="AW126" s="963"/>
      <c r="AX126" s="963"/>
      <c r="AY126" s="963"/>
      <c r="AZ126" s="963"/>
      <c r="BA126" s="963"/>
    </row>
    <row customHeight="1" ht="19.0125" hidden="1">
      <c r="A127" s="963"/>
      <c r="B127" s="418">
        <f>AND(NOT(method_reg="Метод сравнения аналогов"),HAS_DOC6="да")</f>
        <v>0</v>
      </c>
      <c r="C127" s="963"/>
      <c r="D127" s="963"/>
      <c r="E127" s="618">
        <v>19.5</v>
      </c>
      <c r="F127" s="963"/>
      <c r="G127" s="963"/>
      <c r="H127" s="963"/>
      <c r="I127" s="963"/>
      <c r="J127" s="963"/>
      <c r="K127" s="963"/>
      <c r="L127" s="963"/>
      <c r="M127" s="963"/>
      <c r="N127" s="963"/>
      <c r="O127" s="963"/>
      <c r="P127" s="963"/>
      <c r="Q127" s="963"/>
      <c r="R127" s="963"/>
      <c r="S127" s="963"/>
      <c r="T127" s="963"/>
      <c r="U127" s="963"/>
      <c r="V127" s="963"/>
      <c r="W127" s="963"/>
      <c r="X127" s="963"/>
      <c r="Y127" s="963"/>
      <c r="Z127" s="1621"/>
      <c r="AA127" s="963"/>
      <c r="AB127" s="1417"/>
      <c r="AC127" s="1412" t="s">
        <v>210</v>
      </c>
      <c r="AD127" s="1412"/>
      <c r="AE127" s="1646"/>
      <c r="AF127" s="354"/>
      <c r="AG127" s="963"/>
      <c r="AH127" s="963"/>
      <c r="AI127" s="963"/>
      <c r="AJ127" s="963"/>
      <c r="AK127" s="963"/>
      <c r="AL127" s="963"/>
      <c r="AM127" s="963"/>
      <c r="AN127" s="963"/>
      <c r="AO127" s="963"/>
      <c r="AP127" s="963"/>
      <c r="AQ127" s="963"/>
      <c r="AR127" s="963"/>
      <c r="AS127" s="963"/>
      <c r="AT127" s="963"/>
      <c r="AU127" s="963"/>
      <c r="AV127" s="963"/>
      <c r="AW127" s="963"/>
      <c r="AX127" s="963"/>
      <c r="AY127" s="963"/>
      <c r="AZ127" s="963"/>
      <c r="BA127" s="963"/>
    </row>
    <row customHeight="1" ht="19.0125" hidden="1">
      <c r="A128" s="963"/>
      <c r="B128" s="418">
        <f>AND(NOT(method_reg="Метод сравнения аналогов"),HAS_DOC6="да")</f>
        <v>0</v>
      </c>
      <c r="C128" s="963"/>
      <c r="D128" s="963"/>
      <c r="E128" s="618">
        <v>19.5</v>
      </c>
      <c r="F128" s="963"/>
      <c r="G128" s="963"/>
      <c r="H128" s="963"/>
      <c r="I128" s="963"/>
      <c r="J128" s="963"/>
      <c r="K128" s="963"/>
      <c r="L128" s="963"/>
      <c r="M128" s="963"/>
      <c r="N128" s="963"/>
      <c r="O128" s="963"/>
      <c r="P128" s="963"/>
      <c r="Q128" s="963"/>
      <c r="R128" s="963"/>
      <c r="S128" s="963"/>
      <c r="T128" s="963"/>
      <c r="U128" s="963"/>
      <c r="V128" s="963"/>
      <c r="W128" s="963"/>
      <c r="X128" s="963"/>
      <c r="Y128" s="963"/>
      <c r="Z128" s="1621"/>
      <c r="AA128" s="963"/>
      <c r="AB128" s="1417"/>
      <c r="AC128" s="1412" t="s">
        <v>211</v>
      </c>
      <c r="AD128" s="1412"/>
      <c r="AE128" s="1646"/>
      <c r="AF128" s="354"/>
      <c r="AG128" s="963"/>
      <c r="AH128" s="963"/>
      <c r="AI128" s="963"/>
      <c r="AJ128" s="963"/>
      <c r="AK128" s="963"/>
      <c r="AL128" s="963"/>
      <c r="AM128" s="963"/>
      <c r="AN128" s="963"/>
      <c r="AO128" s="963"/>
      <c r="AP128" s="963"/>
      <c r="AQ128" s="963"/>
      <c r="AR128" s="963"/>
      <c r="AS128" s="963"/>
      <c r="AT128" s="963"/>
      <c r="AU128" s="963"/>
      <c r="AV128" s="963"/>
      <c r="AW128" s="963"/>
      <c r="AX128" s="963"/>
      <c r="AY128" s="963"/>
      <c r="AZ128" s="963"/>
      <c r="BA128" s="963"/>
    </row>
    <row customHeight="1" ht="19.0125" hidden="1">
      <c r="A129" s="963"/>
      <c r="B129" s="418">
        <f>AND(NOT(method_reg="Метод сравнения аналогов"),HAS_DOC6="да")</f>
        <v>0</v>
      </c>
      <c r="C129" s="963"/>
      <c r="D129" s="963"/>
      <c r="E129" s="618">
        <v>19.5</v>
      </c>
      <c r="F129" s="963"/>
      <c r="G129" s="963"/>
      <c r="H129" s="963"/>
      <c r="I129" s="963"/>
      <c r="J129" s="963"/>
      <c r="K129" s="963"/>
      <c r="L129" s="963"/>
      <c r="M129" s="963"/>
      <c r="N129" s="963"/>
      <c r="O129" s="963"/>
      <c r="P129" s="963"/>
      <c r="Q129" s="963"/>
      <c r="R129" s="963"/>
      <c r="S129" s="963"/>
      <c r="T129" s="963"/>
      <c r="U129" s="963"/>
      <c r="V129" s="963"/>
      <c r="W129" s="475">
        <f>ROW(Y129)&gt;ROW(Y$129)</f>
        <v>0</v>
      </c>
      <c r="X129" s="963"/>
      <c r="Y129" s="73" t="s">
        <v>173</v>
      </c>
      <c r="Z129" s="1621"/>
      <c r="AA129" s="1413" t="s">
        <v>174</v>
      </c>
      <c r="AB129" s="1417" t="s">
        <v>193</v>
      </c>
      <c r="AC129" s="1412" t="s">
        <v>194</v>
      </c>
      <c r="AD129" s="1412"/>
      <c r="AE129" s="390"/>
      <c r="AF129" s="354"/>
      <c r="AG129" s="963"/>
      <c r="AH129" s="963"/>
      <c r="AI129" s="963"/>
      <c r="AJ129" s="963"/>
      <c r="AK129" s="963"/>
      <c r="AL129" s="963"/>
      <c r="AM129" s="963"/>
      <c r="AN129" s="963"/>
      <c r="AO129" s="963"/>
      <c r="AP129" s="963"/>
      <c r="AQ129" s="963"/>
      <c r="AR129" s="963"/>
      <c r="AS129" s="963"/>
      <c r="AT129" s="963"/>
      <c r="AU129" s="963"/>
      <c r="AV129" s="963"/>
      <c r="AW129" s="963"/>
      <c r="AX129" s="963"/>
      <c r="AY129" s="963"/>
      <c r="AZ129" s="963"/>
      <c r="BA129" s="963"/>
    </row>
    <row customHeight="1" ht="19.0125" hidden="1">
      <c r="A130" s="963"/>
      <c r="B130" s="418">
        <f>AND(NOT(method_reg="Метод сравнения аналогов"),HAS_DOC6="да")</f>
        <v>0</v>
      </c>
      <c r="C130" s="963"/>
      <c r="D130" s="963"/>
      <c r="E130" s="618">
        <v>19.5</v>
      </c>
      <c r="F130" s="963"/>
      <c r="G130" s="963"/>
      <c r="H130" s="963"/>
      <c r="I130" s="963"/>
      <c r="J130" s="963"/>
      <c r="K130" s="963"/>
      <c r="L130" s="963"/>
      <c r="M130" s="963"/>
      <c r="N130" s="963"/>
      <c r="O130" s="963"/>
      <c r="P130" s="963"/>
      <c r="Q130" s="963"/>
      <c r="R130" s="963"/>
      <c r="S130" s="963"/>
      <c r="T130" s="963"/>
      <c r="U130" s="963"/>
      <c r="V130" s="963"/>
      <c r="W130" s="475" cm="1" t="str">
        <f t="array" ref="W130:W130">W129</f>
        <v>false</v>
      </c>
      <c r="X130" s="963"/>
      <c r="Y130" s="963"/>
      <c r="Z130" s="1621"/>
      <c r="AA130" s="1413"/>
      <c r="AB130" s="1417"/>
      <c r="AC130" s="1412" t="s">
        <v>195</v>
      </c>
      <c r="AD130" s="1412"/>
      <c r="AE130" s="391"/>
      <c r="AF130" s="354"/>
      <c r="AG130" s="963"/>
      <c r="AH130" s="963"/>
      <c r="AI130" s="963"/>
      <c r="AJ130" s="963"/>
      <c r="AK130" s="963"/>
      <c r="AL130" s="963"/>
      <c r="AM130" s="963"/>
      <c r="AN130" s="963"/>
      <c r="AO130" s="963"/>
      <c r="AP130" s="963"/>
      <c r="AQ130" s="963"/>
      <c r="AR130" s="963"/>
      <c r="AS130" s="963"/>
      <c r="AT130" s="963"/>
      <c r="AU130" s="963"/>
      <c r="AV130" s="963"/>
      <c r="AW130" s="963"/>
      <c r="AX130" s="963"/>
      <c r="AY130" s="963"/>
      <c r="AZ130" s="963"/>
      <c r="BA130" s="963"/>
    </row>
    <row customHeight="1" ht="19.0125" hidden="1">
      <c r="A131" s="963"/>
      <c r="B131" s="418">
        <f>AND(NOT(method_reg="Метод сравнения аналогов"),HAS_DOC6="да")</f>
        <v>0</v>
      </c>
      <c r="C131" s="963"/>
      <c r="D131" s="963"/>
      <c r="E131" s="618">
        <v>19.5</v>
      </c>
      <c r="F131" s="963"/>
      <c r="G131" s="963"/>
      <c r="H131" s="963"/>
      <c r="I131" s="963"/>
      <c r="J131" s="963"/>
      <c r="K131" s="963"/>
      <c r="L131" s="963"/>
      <c r="M131" s="963"/>
      <c r="N131" s="963"/>
      <c r="O131" s="963"/>
      <c r="P131" s="963"/>
      <c r="Q131" s="963"/>
      <c r="R131" s="963"/>
      <c r="S131" s="963"/>
      <c r="T131" s="963"/>
      <c r="U131" s="963"/>
      <c r="V131" s="963"/>
      <c r="W131" s="475" cm="1" t="str">
        <f t="array" ref="W131:W131">W130</f>
        <v>false</v>
      </c>
      <c r="X131" s="963"/>
      <c r="Y131" s="963"/>
      <c r="Z131" s="1621"/>
      <c r="AA131" s="1413"/>
      <c r="AB131" s="1417"/>
      <c r="AC131" s="1412" t="s">
        <v>196</v>
      </c>
      <c r="AD131" s="1412"/>
      <c r="AE131" s="390"/>
      <c r="AF131" s="354"/>
      <c r="AG131" s="963"/>
      <c r="AH131" s="963"/>
      <c r="AI131" s="963"/>
      <c r="AJ131" s="963"/>
      <c r="AK131" s="963"/>
      <c r="AL131" s="963"/>
      <c r="AM131" s="963"/>
      <c r="AN131" s="963"/>
      <c r="AO131" s="963"/>
      <c r="AP131" s="963"/>
      <c r="AQ131" s="963"/>
      <c r="AR131" s="963"/>
      <c r="AS131" s="963"/>
      <c r="AT131" s="963"/>
      <c r="AU131" s="963"/>
      <c r="AV131" s="963"/>
      <c r="AW131" s="963"/>
      <c r="AX131" s="963"/>
      <c r="AY131" s="963"/>
      <c r="AZ131" s="963"/>
      <c r="BA131" s="963"/>
    </row>
    <row customHeight="1" ht="19.0125" hidden="1">
      <c r="A132" s="963"/>
      <c r="B132" s="418">
        <f>AND(NOT(method_reg="Метод сравнения аналогов"),HAS_DOC6="да")</f>
        <v>0</v>
      </c>
      <c r="C132" s="963"/>
      <c r="D132" s="963"/>
      <c r="E132" s="618">
        <v>19.5</v>
      </c>
      <c r="F132" s="963"/>
      <c r="G132" s="963"/>
      <c r="H132" s="963"/>
      <c r="I132" s="963"/>
      <c r="J132" s="963"/>
      <c r="K132" s="963"/>
      <c r="L132" s="963"/>
      <c r="M132" s="963"/>
      <c r="N132" s="963"/>
      <c r="O132" s="963"/>
      <c r="P132" s="963"/>
      <c r="Q132" s="963"/>
      <c r="R132" s="963"/>
      <c r="S132" s="963"/>
      <c r="T132" s="963"/>
      <c r="U132" s="963"/>
      <c r="V132" s="963"/>
      <c r="W132" s="475" cm="1" t="str">
        <f t="array" ref="W132:W132">W131</f>
        <v>false</v>
      </c>
      <c r="X132" s="963"/>
      <c r="Y132" s="963"/>
      <c r="Z132" s="1621"/>
      <c r="AA132" s="1413"/>
      <c r="AB132" s="1417"/>
      <c r="AC132" s="1412" t="s">
        <v>197</v>
      </c>
      <c r="AD132" s="1412"/>
      <c r="AE132" s="1646"/>
      <c r="AF132" s="354"/>
      <c r="AG132" s="963"/>
      <c r="AH132" s="963"/>
      <c r="AI132" s="963"/>
      <c r="AJ132" s="963"/>
      <c r="AK132" s="963"/>
      <c r="AL132" s="963"/>
      <c r="AM132" s="963"/>
      <c r="AN132" s="963"/>
      <c r="AO132" s="963"/>
      <c r="AP132" s="963"/>
      <c r="AQ132" s="963"/>
      <c r="AR132" s="963"/>
      <c r="AS132" s="963"/>
      <c r="AT132" s="963"/>
      <c r="AU132" s="963"/>
      <c r="AV132" s="963"/>
      <c r="AW132" s="963"/>
      <c r="AX132" s="963"/>
      <c r="AY132" s="963"/>
      <c r="AZ132" s="963"/>
      <c r="BA132" s="963"/>
    </row>
    <row customHeight="1" ht="19.0125" hidden="1">
      <c r="A133" s="963"/>
      <c r="B133" s="418">
        <f>AND(NOT(method_reg="Метод сравнения аналогов"),HAS_DOC6="да")</f>
        <v>0</v>
      </c>
      <c r="C133" s="963"/>
      <c r="D133" s="963"/>
      <c r="E133" s="618">
        <v>19.5</v>
      </c>
      <c r="F133" s="963"/>
      <c r="G133" s="963"/>
      <c r="H133" s="963"/>
      <c r="I133" s="963"/>
      <c r="J133" s="963"/>
      <c r="K133" s="963"/>
      <c r="L133" s="963"/>
      <c r="M133" s="963"/>
      <c r="N133" s="963"/>
      <c r="O133" s="963"/>
      <c r="P133" s="963"/>
      <c r="Q133" s="963"/>
      <c r="R133" s="963"/>
      <c r="S133" s="963"/>
      <c r="T133" s="963"/>
      <c r="U133" s="963"/>
      <c r="V133" s="963"/>
      <c r="W133" s="475" cm="1" t="str">
        <f t="array" ref="W133:W133">W132</f>
        <v>false</v>
      </c>
      <c r="X133" s="963"/>
      <c r="Y133" s="963"/>
      <c r="Z133" s="1621"/>
      <c r="AA133" s="1413"/>
      <c r="AB133" s="1417"/>
      <c r="AC133" s="1412" t="s">
        <v>210</v>
      </c>
      <c r="AD133" s="1412"/>
      <c r="AE133" s="1646"/>
      <c r="AF133" s="354"/>
      <c r="AG133" s="963"/>
      <c r="AH133" s="963"/>
      <c r="AI133" s="963"/>
      <c r="AJ133" s="963"/>
      <c r="AK133" s="963"/>
      <c r="AL133" s="963"/>
      <c r="AM133" s="963"/>
      <c r="AN133" s="963"/>
      <c r="AO133" s="963"/>
      <c r="AP133" s="963"/>
      <c r="AQ133" s="963"/>
      <c r="AR133" s="963"/>
      <c r="AS133" s="963"/>
      <c r="AT133" s="963"/>
      <c r="AU133" s="963"/>
      <c r="AV133" s="963"/>
      <c r="AW133" s="963"/>
      <c r="AX133" s="963"/>
      <c r="AY133" s="963"/>
      <c r="AZ133" s="963"/>
      <c r="BA133" s="963"/>
    </row>
    <row customHeight="1" ht="19.0125" hidden="1">
      <c r="A134" s="963"/>
      <c r="B134" s="418">
        <f>AND(NOT(method_reg="Метод сравнения аналогов"),HAS_DOC6="да")</f>
        <v>0</v>
      </c>
      <c r="C134" s="963"/>
      <c r="D134" s="963"/>
      <c r="E134" s="618">
        <v>19.5</v>
      </c>
      <c r="F134" s="963"/>
      <c r="G134" s="963"/>
      <c r="H134" s="963"/>
      <c r="I134" s="963"/>
      <c r="J134" s="963"/>
      <c r="K134" s="963"/>
      <c r="L134" s="963"/>
      <c r="M134" s="963"/>
      <c r="N134" s="963"/>
      <c r="O134" s="963"/>
      <c r="P134" s="963"/>
      <c r="Q134" s="963"/>
      <c r="R134" s="963"/>
      <c r="S134" s="963"/>
      <c r="T134" s="963"/>
      <c r="U134" s="963"/>
      <c r="V134" s="963"/>
      <c r="W134" s="475" cm="1" t="str">
        <f t="array" ref="W134:W134">W133</f>
        <v>false</v>
      </c>
      <c r="X134" s="963"/>
      <c r="Y134" s="963"/>
      <c r="Z134" s="1621"/>
      <c r="AA134" s="1413"/>
      <c r="AB134" s="1417"/>
      <c r="AC134" s="1412" t="s">
        <v>211</v>
      </c>
      <c r="AD134" s="1412"/>
      <c r="AE134" s="1646"/>
      <c r="AF134" s="354"/>
      <c r="AG134" s="963"/>
      <c r="AH134" s="963"/>
      <c r="AI134" s="963"/>
      <c r="AJ134" s="963"/>
      <c r="AK134" s="963"/>
      <c r="AL134" s="963"/>
      <c r="AM134" s="963"/>
      <c r="AN134" s="963"/>
      <c r="AO134" s="963"/>
      <c r="AP134" s="963"/>
      <c r="AQ134" s="963"/>
      <c r="AR134" s="963"/>
      <c r="AS134" s="963"/>
      <c r="AT134" s="963"/>
      <c r="AU134" s="963"/>
      <c r="AV134" s="963"/>
      <c r="AW134" s="963"/>
      <c r="AX134" s="963"/>
      <c r="AY134" s="963"/>
      <c r="AZ134" s="963"/>
      <c r="BA134" s="963"/>
    </row>
    <row customHeight="1" ht="14.625" hidden="1">
      <c r="A135" s="963"/>
      <c r="B135" s="418">
        <f>AND(NOT(method_reg="Метод сравнения аналогов"),HAS_DOC6="да")</f>
        <v>0</v>
      </c>
      <c r="C135" s="963"/>
      <c r="D135" s="963"/>
      <c r="E135" s="618">
        <v>15</v>
      </c>
      <c r="F135" s="73" t="s">
        <v>212</v>
      </c>
      <c r="G135" s="963"/>
      <c r="H135" s="963"/>
      <c r="I135" s="963"/>
      <c r="J135" s="963"/>
      <c r="K135" s="963"/>
      <c r="L135" s="963"/>
      <c r="M135" s="963"/>
      <c r="N135" s="963"/>
      <c r="O135" s="963"/>
      <c r="P135" s="963"/>
      <c r="Q135" s="963"/>
      <c r="R135" s="963"/>
      <c r="S135" s="963"/>
      <c r="T135" s="963"/>
      <c r="U135" s="963"/>
      <c r="V135" s="963"/>
      <c r="W135" s="963"/>
      <c r="X135" s="963"/>
      <c r="Y135" s="74" t="s">
        <v>176</v>
      </c>
      <c r="Z135" s="1621"/>
      <c r="AA135" s="963"/>
      <c r="AB135" s="232"/>
      <c r="AC135" s="231"/>
      <c r="AD135" s="231"/>
      <c r="AE135" s="335" t="s">
        <v>177</v>
      </c>
      <c r="AF135" s="354"/>
      <c r="AG135" s="963"/>
      <c r="AH135" s="963"/>
      <c r="AI135" s="963"/>
      <c r="AJ135" s="963"/>
      <c r="AK135" s="963"/>
      <c r="AL135" s="963"/>
      <c r="AM135" s="963"/>
      <c r="AN135" s="963"/>
      <c r="AO135" s="963"/>
      <c r="AP135" s="963"/>
      <c r="AQ135" s="963"/>
      <c r="AR135" s="963"/>
      <c r="AS135" s="963"/>
      <c r="AT135" s="963"/>
      <c r="AU135" s="963"/>
      <c r="AV135" s="963"/>
      <c r="AW135" s="963"/>
      <c r="AX135" s="963"/>
      <c r="AY135" s="963"/>
      <c r="AZ135" s="963"/>
      <c r="BA135" s="963"/>
    </row>
    <row customHeight="1" ht="24.862499999999997">
      <c r="B136" s="418">
        <f>NOT(method_reg="Метод сравнения аналогов")</f>
        <v>1</v>
      </c>
      <c r="E136" s="618">
        <v>25.5</v>
      </c>
      <c r="F136" s="73" t="s">
        <v>214</v>
      </c>
      <c r="AB136" s="1412"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412"/>
      <c r="AD136" s="1412"/>
      <c r="AE136" s="360" t="s">
        <v>152</v>
      </c>
      <c r="AF136" s="453"/>
      <c r="AG136" s="73" t="s">
        <v>215</v>
      </c>
    </row>
    <row customHeight="1" ht="19.0125" hidden="1">
      <c r="A137" s="963"/>
      <c r="B137" s="418">
        <f>AND(NOT(method_reg="Метод сравнения аналогов"),HAS_DOC7="да")</f>
        <v>0</v>
      </c>
      <c r="C137" s="963"/>
      <c r="D137" s="963"/>
      <c r="E137" s="618">
        <v>19.5</v>
      </c>
      <c r="F137" s="963"/>
      <c r="G137" s="963"/>
      <c r="H137" s="963"/>
      <c r="I137" s="963"/>
      <c r="J137" s="963"/>
      <c r="K137" s="963"/>
      <c r="L137" s="963"/>
      <c r="M137" s="963"/>
      <c r="N137" s="963"/>
      <c r="O137" s="963"/>
      <c r="P137" s="963"/>
      <c r="Q137" s="963"/>
      <c r="R137" s="963"/>
      <c r="S137" s="963"/>
      <c r="T137" s="963"/>
      <c r="U137" s="963"/>
      <c r="V137" s="963"/>
      <c r="W137" s="963"/>
      <c r="X137" s="963"/>
      <c r="Y137" s="963"/>
      <c r="Z137" s="1621"/>
      <c r="AA137" s="963"/>
      <c r="AB137" s="1417" t="s">
        <v>193</v>
      </c>
      <c r="AC137" s="1412" t="s">
        <v>194</v>
      </c>
      <c r="AD137" s="1412"/>
      <c r="AE137" s="390"/>
      <c r="AF137" s="354"/>
      <c r="AG137" s="963"/>
      <c r="AH137" s="963"/>
      <c r="AI137" s="963"/>
      <c r="AJ137" s="963"/>
      <c r="AK137" s="963"/>
      <c r="AL137" s="963"/>
      <c r="AM137" s="963"/>
      <c r="AN137" s="963"/>
      <c r="AO137" s="963"/>
      <c r="AP137" s="963"/>
      <c r="AQ137" s="963"/>
      <c r="AR137" s="963"/>
      <c r="AS137" s="963"/>
      <c r="AT137" s="963"/>
      <c r="AU137" s="963"/>
      <c r="AV137" s="963"/>
      <c r="AW137" s="963"/>
      <c r="AX137" s="963"/>
      <c r="AY137" s="963"/>
      <c r="AZ137" s="963"/>
      <c r="BA137" s="963"/>
    </row>
    <row customHeight="1" ht="19.0125" hidden="1">
      <c r="A138" s="963"/>
      <c r="B138" s="418">
        <f>AND(NOT(method_reg="Метод сравнения аналогов"),HAS_DOC7="да")</f>
        <v>0</v>
      </c>
      <c r="C138" s="963"/>
      <c r="D138" s="963"/>
      <c r="E138" s="618">
        <v>19.5</v>
      </c>
      <c r="F138" s="963"/>
      <c r="G138" s="963"/>
      <c r="H138" s="963"/>
      <c r="I138" s="963"/>
      <c r="J138" s="963"/>
      <c r="K138" s="963"/>
      <c r="L138" s="963"/>
      <c r="M138" s="963"/>
      <c r="N138" s="963"/>
      <c r="O138" s="963"/>
      <c r="P138" s="963"/>
      <c r="Q138" s="963"/>
      <c r="R138" s="963"/>
      <c r="S138" s="963"/>
      <c r="T138" s="963"/>
      <c r="U138" s="963"/>
      <c r="V138" s="963"/>
      <c r="W138" s="963"/>
      <c r="X138" s="963"/>
      <c r="Y138" s="963"/>
      <c r="Z138" s="1621"/>
      <c r="AA138" s="963"/>
      <c r="AB138" s="1417"/>
      <c r="AC138" s="1412" t="s">
        <v>195</v>
      </c>
      <c r="AD138" s="1412"/>
      <c r="AE138" s="390"/>
      <c r="AF138" s="354"/>
      <c r="AG138" s="963"/>
      <c r="AH138" s="963"/>
      <c r="AI138" s="963"/>
      <c r="AJ138" s="963"/>
      <c r="AK138" s="963"/>
      <c r="AL138" s="963"/>
      <c r="AM138" s="963"/>
      <c r="AN138" s="963"/>
      <c r="AO138" s="963"/>
      <c r="AP138" s="963"/>
      <c r="AQ138" s="963"/>
      <c r="AR138" s="963"/>
      <c r="AS138" s="963"/>
      <c r="AT138" s="963"/>
      <c r="AU138" s="963"/>
      <c r="AV138" s="963"/>
      <c r="AW138" s="963"/>
      <c r="AX138" s="963"/>
      <c r="AY138" s="963"/>
      <c r="AZ138" s="963"/>
      <c r="BA138" s="963"/>
    </row>
    <row customHeight="1" ht="19.0125" hidden="1">
      <c r="A139" s="963"/>
      <c r="B139" s="418">
        <f>AND(NOT(method_reg="Метод сравнения аналогов"),HAS_DOC7="да")</f>
        <v>0</v>
      </c>
      <c r="C139" s="963"/>
      <c r="D139" s="963"/>
      <c r="E139" s="618">
        <v>19.5</v>
      </c>
      <c r="F139" s="963"/>
      <c r="G139" s="963"/>
      <c r="H139" s="963"/>
      <c r="I139" s="963"/>
      <c r="J139" s="963"/>
      <c r="K139" s="963"/>
      <c r="L139" s="963"/>
      <c r="M139" s="963"/>
      <c r="N139" s="963"/>
      <c r="O139" s="963"/>
      <c r="P139" s="963"/>
      <c r="Q139" s="963"/>
      <c r="R139" s="963"/>
      <c r="S139" s="963"/>
      <c r="T139" s="963"/>
      <c r="U139" s="963"/>
      <c r="V139" s="963"/>
      <c r="W139" s="963"/>
      <c r="X139" s="963"/>
      <c r="Y139" s="963"/>
      <c r="Z139" s="1621"/>
      <c r="AA139" s="963"/>
      <c r="AB139" s="1417"/>
      <c r="AC139" s="1412" t="s">
        <v>196</v>
      </c>
      <c r="AD139" s="1412"/>
      <c r="AE139" s="390"/>
      <c r="AF139" s="354"/>
      <c r="AG139" s="963"/>
      <c r="AH139" s="963"/>
      <c r="AI139" s="963"/>
      <c r="AJ139" s="963"/>
      <c r="AK139" s="963"/>
      <c r="AL139" s="963"/>
      <c r="AM139" s="963"/>
      <c r="AN139" s="963"/>
      <c r="AO139" s="963"/>
      <c r="AP139" s="963"/>
      <c r="AQ139" s="963"/>
      <c r="AR139" s="963"/>
      <c r="AS139" s="963"/>
      <c r="AT139" s="963"/>
      <c r="AU139" s="963"/>
      <c r="AV139" s="963"/>
      <c r="AW139" s="963"/>
      <c r="AX139" s="963"/>
      <c r="AY139" s="963"/>
      <c r="AZ139" s="963"/>
      <c r="BA139" s="963"/>
    </row>
    <row customHeight="1" ht="19.0125" hidden="1">
      <c r="A140" s="963"/>
      <c r="B140" s="418">
        <f>AND(NOT(method_reg="Метод сравнения аналогов"),HAS_DOC7="да")</f>
        <v>0</v>
      </c>
      <c r="C140" s="963"/>
      <c r="D140" s="963"/>
      <c r="E140" s="618">
        <v>19.5</v>
      </c>
      <c r="F140" s="963"/>
      <c r="G140" s="963"/>
      <c r="H140" s="963"/>
      <c r="I140" s="963"/>
      <c r="J140" s="963"/>
      <c r="K140" s="963"/>
      <c r="L140" s="963"/>
      <c r="M140" s="963"/>
      <c r="N140" s="963"/>
      <c r="O140" s="963"/>
      <c r="P140" s="963"/>
      <c r="Q140" s="963"/>
      <c r="R140" s="963"/>
      <c r="S140" s="963"/>
      <c r="T140" s="963"/>
      <c r="U140" s="963"/>
      <c r="V140" s="963"/>
      <c r="W140" s="963"/>
      <c r="X140" s="963"/>
      <c r="Y140" s="963"/>
      <c r="Z140" s="1621"/>
      <c r="AA140" s="963"/>
      <c r="AB140" s="1417"/>
      <c r="AC140" s="1412" t="s">
        <v>197</v>
      </c>
      <c r="AD140" s="1412"/>
      <c r="AE140" s="1646"/>
      <c r="AF140" s="354"/>
      <c r="AG140" s="963"/>
      <c r="AH140" s="963"/>
      <c r="AI140" s="963"/>
      <c r="AJ140" s="963"/>
      <c r="AK140" s="963"/>
      <c r="AL140" s="963"/>
      <c r="AM140" s="963"/>
      <c r="AN140" s="963"/>
      <c r="AO140" s="963"/>
      <c r="AP140" s="963"/>
      <c r="AQ140" s="963"/>
      <c r="AR140" s="963"/>
      <c r="AS140" s="963"/>
      <c r="AT140" s="963"/>
      <c r="AU140" s="963"/>
      <c r="AV140" s="963"/>
      <c r="AW140" s="963"/>
      <c r="AX140" s="963"/>
      <c r="AY140" s="963"/>
      <c r="AZ140" s="963"/>
      <c r="BA140" s="963"/>
    </row>
    <row customHeight="1" ht="19.0125" hidden="1">
      <c r="A141" s="963"/>
      <c r="B141" s="418">
        <f>AND(NOT(method_reg="Метод сравнения аналогов"),HAS_DOC7="да")</f>
        <v>0</v>
      </c>
      <c r="C141" s="963"/>
      <c r="D141" s="963"/>
      <c r="E141" s="618">
        <v>19.5</v>
      </c>
      <c r="F141" s="963"/>
      <c r="G141" s="963"/>
      <c r="H141" s="963"/>
      <c r="I141" s="963"/>
      <c r="J141" s="963"/>
      <c r="K141" s="963"/>
      <c r="L141" s="963"/>
      <c r="M141" s="963"/>
      <c r="N141" s="963"/>
      <c r="O141" s="963"/>
      <c r="P141" s="963"/>
      <c r="Q141" s="963"/>
      <c r="R141" s="963"/>
      <c r="S141" s="963"/>
      <c r="T141" s="963"/>
      <c r="U141" s="963"/>
      <c r="V141" s="963"/>
      <c r="W141" s="963"/>
      <c r="X141" s="963"/>
      <c r="Y141" s="963"/>
      <c r="Z141" s="1621"/>
      <c r="AA141" s="963"/>
      <c r="AB141" s="1417"/>
      <c r="AC141" s="1412" t="s">
        <v>216</v>
      </c>
      <c r="AD141" s="1412"/>
      <c r="AE141" s="1646"/>
      <c r="AF141" s="354"/>
      <c r="AG141" s="963"/>
      <c r="AH141" s="963"/>
      <c r="AI141" s="963"/>
      <c r="AJ141" s="963"/>
      <c r="AK141" s="963"/>
      <c r="AL141" s="963"/>
      <c r="AM141" s="963"/>
      <c r="AN141" s="963"/>
      <c r="AO141" s="963"/>
      <c r="AP141" s="963"/>
      <c r="AQ141" s="963"/>
      <c r="AR141" s="963"/>
      <c r="AS141" s="963"/>
      <c r="AT141" s="963"/>
      <c r="AU141" s="963"/>
      <c r="AV141" s="963"/>
      <c r="AW141" s="963"/>
      <c r="AX141" s="963"/>
      <c r="AY141" s="963"/>
      <c r="AZ141" s="963"/>
      <c r="BA141" s="963"/>
    </row>
    <row customHeight="1" ht="19.0125" hidden="1">
      <c r="A142" s="963"/>
      <c r="B142" s="418">
        <f>AND(NOT(method_reg="Метод сравнения аналогов"),HAS_DOC7="да")</f>
        <v>0</v>
      </c>
      <c r="C142" s="963"/>
      <c r="D142" s="963"/>
      <c r="E142" s="618">
        <v>19.5</v>
      </c>
      <c r="F142" s="963"/>
      <c r="G142" s="963"/>
      <c r="H142" s="963"/>
      <c r="I142" s="963"/>
      <c r="J142" s="963"/>
      <c r="K142" s="963"/>
      <c r="L142" s="963"/>
      <c r="M142" s="963"/>
      <c r="N142" s="963"/>
      <c r="O142" s="963"/>
      <c r="P142" s="963"/>
      <c r="Q142" s="963"/>
      <c r="R142" s="963"/>
      <c r="S142" s="963"/>
      <c r="T142" s="963"/>
      <c r="U142" s="963"/>
      <c r="V142" s="963"/>
      <c r="W142" s="963"/>
      <c r="X142" s="963"/>
      <c r="Y142" s="963"/>
      <c r="Z142" s="1621"/>
      <c r="AA142" s="963"/>
      <c r="AB142" s="1417"/>
      <c r="AC142" s="1412" t="s">
        <v>217</v>
      </c>
      <c r="AD142" s="1412"/>
      <c r="AE142" s="1646"/>
      <c r="AF142" s="354"/>
      <c r="AG142" s="963"/>
      <c r="AH142" s="963"/>
      <c r="AI142" s="963"/>
      <c r="AJ142" s="963"/>
      <c r="AK142" s="963"/>
      <c r="AL142" s="963"/>
      <c r="AM142" s="963"/>
      <c r="AN142" s="963"/>
      <c r="AO142" s="963"/>
      <c r="AP142" s="963"/>
      <c r="AQ142" s="963"/>
      <c r="AR142" s="963"/>
      <c r="AS142" s="963"/>
      <c r="AT142" s="963"/>
      <c r="AU142" s="963"/>
      <c r="AV142" s="963"/>
      <c r="AW142" s="963"/>
      <c r="AX142" s="963"/>
      <c r="AY142" s="963"/>
      <c r="AZ142" s="963"/>
      <c r="BA142" s="963"/>
    </row>
    <row customHeight="1" ht="19.0125" hidden="1">
      <c r="A143" s="963"/>
      <c r="B143" s="418">
        <f>AND(NOT(method_reg="Метод сравнения аналогов"),HAS_DOC7="да")</f>
        <v>0</v>
      </c>
      <c r="C143" s="963"/>
      <c r="D143" s="963"/>
      <c r="E143" s="618">
        <v>19.5</v>
      </c>
      <c r="F143" s="963"/>
      <c r="G143" s="963"/>
      <c r="H143" s="963"/>
      <c r="I143" s="963"/>
      <c r="J143" s="963"/>
      <c r="K143" s="963"/>
      <c r="L143" s="963"/>
      <c r="M143" s="963"/>
      <c r="N143" s="963"/>
      <c r="O143" s="963"/>
      <c r="P143" s="963"/>
      <c r="Q143" s="963"/>
      <c r="R143" s="963"/>
      <c r="S143" s="963"/>
      <c r="T143" s="963"/>
      <c r="U143" s="963"/>
      <c r="V143" s="963"/>
      <c r="W143" s="475">
        <f>ROW(Y143)&gt;ROW(Y$143)</f>
        <v>0</v>
      </c>
      <c r="X143" s="963"/>
      <c r="Y143" s="73" t="s">
        <v>173</v>
      </c>
      <c r="Z143" s="1621"/>
      <c r="AA143" s="1413" t="s">
        <v>174</v>
      </c>
      <c r="AB143" s="1417" t="s">
        <v>193</v>
      </c>
      <c r="AC143" s="1412" t="s">
        <v>194</v>
      </c>
      <c r="AD143" s="1412"/>
      <c r="AE143" s="390"/>
      <c r="AF143" s="354"/>
      <c r="AG143" s="963"/>
      <c r="AH143" s="963"/>
      <c r="AI143" s="963"/>
      <c r="AJ143" s="963"/>
      <c r="AK143" s="963"/>
      <c r="AL143" s="963"/>
      <c r="AM143" s="963"/>
      <c r="AN143" s="963"/>
      <c r="AO143" s="963"/>
      <c r="AP143" s="963"/>
      <c r="AQ143" s="963"/>
      <c r="AR143" s="963"/>
      <c r="AS143" s="963"/>
      <c r="AT143" s="963"/>
      <c r="AU143" s="963"/>
      <c r="AV143" s="963"/>
      <c r="AW143" s="963"/>
      <c r="AX143" s="963"/>
      <c r="AY143" s="963"/>
      <c r="AZ143" s="963"/>
      <c r="BA143" s="963"/>
    </row>
    <row customHeight="1" ht="19.0125" hidden="1">
      <c r="A144" s="963"/>
      <c r="B144" s="418">
        <f>AND(NOT(method_reg="Метод сравнения аналогов"),HAS_DOC7="да")</f>
        <v>0</v>
      </c>
      <c r="C144" s="963"/>
      <c r="D144" s="963"/>
      <c r="E144" s="618">
        <v>19.5</v>
      </c>
      <c r="F144" s="963"/>
      <c r="G144" s="963"/>
      <c r="H144" s="963"/>
      <c r="I144" s="963"/>
      <c r="J144" s="963"/>
      <c r="K144" s="963"/>
      <c r="L144" s="963"/>
      <c r="M144" s="963"/>
      <c r="N144" s="963"/>
      <c r="O144" s="963"/>
      <c r="P144" s="963"/>
      <c r="Q144" s="963"/>
      <c r="R144" s="963"/>
      <c r="S144" s="963"/>
      <c r="T144" s="963"/>
      <c r="U144" s="963"/>
      <c r="V144" s="963"/>
      <c r="W144" s="475" cm="1" t="str">
        <f t="array" ref="W144:W144">W143</f>
        <v>false</v>
      </c>
      <c r="X144" s="963"/>
      <c r="Y144" s="963"/>
      <c r="Z144" s="1621"/>
      <c r="AA144" s="1413"/>
      <c r="AB144" s="1417"/>
      <c r="AC144" s="1412" t="s">
        <v>195</v>
      </c>
      <c r="AD144" s="1412"/>
      <c r="AE144" s="1645"/>
      <c r="AF144" s="354"/>
      <c r="AG144" s="963"/>
      <c r="AH144" s="963"/>
      <c r="AI144" s="963"/>
      <c r="AJ144" s="963"/>
      <c r="AK144" s="963"/>
      <c r="AL144" s="963"/>
      <c r="AM144" s="963"/>
      <c r="AN144" s="963"/>
      <c r="AO144" s="963"/>
      <c r="AP144" s="963"/>
      <c r="AQ144" s="963"/>
      <c r="AR144" s="963"/>
      <c r="AS144" s="963"/>
      <c r="AT144" s="963"/>
      <c r="AU144" s="963"/>
      <c r="AV144" s="963"/>
      <c r="AW144" s="963"/>
      <c r="AX144" s="963"/>
      <c r="AY144" s="963"/>
      <c r="AZ144" s="963"/>
      <c r="BA144" s="963"/>
    </row>
    <row customHeight="1" ht="19.0125" hidden="1">
      <c r="A145" s="963"/>
      <c r="B145" s="418">
        <f>AND(NOT(method_reg="Метод сравнения аналогов"),HAS_DOC7="да")</f>
        <v>0</v>
      </c>
      <c r="C145" s="963"/>
      <c r="D145" s="963"/>
      <c r="E145" s="618">
        <v>19.5</v>
      </c>
      <c r="F145" s="963"/>
      <c r="G145" s="963"/>
      <c r="H145" s="963"/>
      <c r="I145" s="963"/>
      <c r="J145" s="963"/>
      <c r="K145" s="963"/>
      <c r="L145" s="963"/>
      <c r="M145" s="963"/>
      <c r="N145" s="963"/>
      <c r="O145" s="963"/>
      <c r="P145" s="963"/>
      <c r="Q145" s="963"/>
      <c r="R145" s="963"/>
      <c r="S145" s="963"/>
      <c r="T145" s="963"/>
      <c r="U145" s="963"/>
      <c r="V145" s="963"/>
      <c r="W145" s="475" cm="1" t="str">
        <f t="array" ref="W145:W145">W144</f>
        <v>false</v>
      </c>
      <c r="X145" s="963"/>
      <c r="Y145" s="963"/>
      <c r="Z145" s="1621"/>
      <c r="AA145" s="1413"/>
      <c r="AB145" s="1417"/>
      <c r="AC145" s="1412" t="s">
        <v>196</v>
      </c>
      <c r="AD145" s="1412"/>
      <c r="AE145" s="390"/>
      <c r="AF145" s="354"/>
      <c r="AG145" s="963"/>
      <c r="AH145" s="963"/>
      <c r="AI145" s="963"/>
      <c r="AJ145" s="963"/>
      <c r="AK145" s="963"/>
      <c r="AL145" s="963"/>
      <c r="AM145" s="963"/>
      <c r="AN145" s="963"/>
      <c r="AO145" s="963"/>
      <c r="AP145" s="963"/>
      <c r="AQ145" s="963"/>
      <c r="AR145" s="963"/>
      <c r="AS145" s="963"/>
      <c r="AT145" s="963"/>
      <c r="AU145" s="963"/>
      <c r="AV145" s="963"/>
      <c r="AW145" s="963"/>
      <c r="AX145" s="963"/>
      <c r="AY145" s="963"/>
      <c r="AZ145" s="963"/>
      <c r="BA145" s="963"/>
    </row>
    <row customHeight="1" ht="19.0125" hidden="1">
      <c r="A146" s="963"/>
      <c r="B146" s="418">
        <f>AND(NOT(method_reg="Метод сравнения аналогов"),HAS_DOC7="да")</f>
        <v>0</v>
      </c>
      <c r="C146" s="963"/>
      <c r="D146" s="963"/>
      <c r="E146" s="618">
        <v>19.5</v>
      </c>
      <c r="F146" s="963"/>
      <c r="G146" s="963"/>
      <c r="H146" s="963"/>
      <c r="I146" s="963"/>
      <c r="J146" s="963"/>
      <c r="K146" s="963"/>
      <c r="L146" s="963"/>
      <c r="M146" s="963"/>
      <c r="N146" s="963"/>
      <c r="O146" s="963"/>
      <c r="P146" s="963"/>
      <c r="Q146" s="963"/>
      <c r="R146" s="963"/>
      <c r="S146" s="963"/>
      <c r="T146" s="963"/>
      <c r="U146" s="963"/>
      <c r="V146" s="963"/>
      <c r="W146" s="475" cm="1" t="str">
        <f t="array" ref="W146:W146">W145</f>
        <v>false</v>
      </c>
      <c r="X146" s="963"/>
      <c r="Y146" s="963"/>
      <c r="Z146" s="1621"/>
      <c r="AA146" s="1413"/>
      <c r="AB146" s="1417"/>
      <c r="AC146" s="1412" t="s">
        <v>197</v>
      </c>
      <c r="AD146" s="1412"/>
      <c r="AE146" s="1646"/>
      <c r="AF146" s="354"/>
      <c r="AG146" s="963"/>
      <c r="AH146" s="963"/>
      <c r="AI146" s="963"/>
      <c r="AJ146" s="963"/>
      <c r="AK146" s="963"/>
      <c r="AL146" s="963"/>
      <c r="AM146" s="963"/>
      <c r="AN146" s="963"/>
      <c r="AO146" s="963"/>
      <c r="AP146" s="963"/>
      <c r="AQ146" s="963"/>
      <c r="AR146" s="963"/>
      <c r="AS146" s="963"/>
      <c r="AT146" s="963"/>
      <c r="AU146" s="963"/>
      <c r="AV146" s="963"/>
      <c r="AW146" s="963"/>
      <c r="AX146" s="963"/>
      <c r="AY146" s="963"/>
      <c r="AZ146" s="963"/>
      <c r="BA146" s="963"/>
    </row>
    <row customHeight="1" ht="19.0125" hidden="1">
      <c r="A147" s="963"/>
      <c r="B147" s="418">
        <f>AND(NOT(method_reg="Метод сравнения аналогов"),HAS_DOC7="да")</f>
        <v>0</v>
      </c>
      <c r="C147" s="963"/>
      <c r="D147" s="963"/>
      <c r="E147" s="618">
        <v>19.5</v>
      </c>
      <c r="F147" s="963"/>
      <c r="G147" s="963"/>
      <c r="H147" s="963"/>
      <c r="I147" s="963"/>
      <c r="J147" s="963"/>
      <c r="K147" s="963"/>
      <c r="L147" s="963"/>
      <c r="M147" s="963"/>
      <c r="N147" s="963"/>
      <c r="O147" s="963"/>
      <c r="P147" s="963"/>
      <c r="Q147" s="963"/>
      <c r="R147" s="963"/>
      <c r="S147" s="963"/>
      <c r="T147" s="963"/>
      <c r="U147" s="963"/>
      <c r="V147" s="963"/>
      <c r="W147" s="475" cm="1" t="str">
        <f t="array" ref="W147:W147">W146</f>
        <v>false</v>
      </c>
      <c r="X147" s="963"/>
      <c r="Y147" s="963"/>
      <c r="Z147" s="1621"/>
      <c r="AA147" s="1413"/>
      <c r="AB147" s="1417"/>
      <c r="AC147" s="1412" t="s">
        <v>216</v>
      </c>
      <c r="AD147" s="1412"/>
      <c r="AE147" s="1646"/>
      <c r="AF147" s="354"/>
      <c r="AG147" s="963"/>
      <c r="AH147" s="963"/>
      <c r="AI147" s="963"/>
      <c r="AJ147" s="963"/>
      <c r="AK147" s="963"/>
      <c r="AL147" s="963"/>
      <c r="AM147" s="963"/>
      <c r="AN147" s="963"/>
      <c r="AO147" s="963"/>
      <c r="AP147" s="963"/>
      <c r="AQ147" s="963"/>
      <c r="AR147" s="963"/>
      <c r="AS147" s="963"/>
      <c r="AT147" s="963"/>
      <c r="AU147" s="963"/>
      <c r="AV147" s="963"/>
      <c r="AW147" s="963"/>
      <c r="AX147" s="963"/>
      <c r="AY147" s="963"/>
      <c r="AZ147" s="963"/>
      <c r="BA147" s="963"/>
    </row>
    <row customHeight="1" ht="19.0125" hidden="1">
      <c r="A148" s="963"/>
      <c r="B148" s="418">
        <f>AND(NOT(method_reg="Метод сравнения аналогов"),HAS_DOC7="да")</f>
        <v>0</v>
      </c>
      <c r="C148" s="963"/>
      <c r="D148" s="963"/>
      <c r="E148" s="618">
        <v>19.5</v>
      </c>
      <c r="F148" s="963"/>
      <c r="G148" s="963"/>
      <c r="H148" s="963"/>
      <c r="I148" s="963"/>
      <c r="J148" s="963"/>
      <c r="K148" s="963"/>
      <c r="L148" s="963"/>
      <c r="M148" s="963"/>
      <c r="N148" s="963"/>
      <c r="O148" s="963"/>
      <c r="P148" s="963"/>
      <c r="Q148" s="963"/>
      <c r="R148" s="963"/>
      <c r="S148" s="963"/>
      <c r="T148" s="963"/>
      <c r="U148" s="963"/>
      <c r="V148" s="963"/>
      <c r="W148" s="475" cm="1" t="str">
        <f t="array" ref="W148:W148">W147</f>
        <v>false</v>
      </c>
      <c r="X148" s="963"/>
      <c r="Y148" s="963"/>
      <c r="Z148" s="1621"/>
      <c r="AA148" s="1413"/>
      <c r="AB148" s="1417"/>
      <c r="AC148" s="1412" t="s">
        <v>217</v>
      </c>
      <c r="AD148" s="1412"/>
      <c r="AE148" s="1646"/>
      <c r="AF148" s="354"/>
      <c r="AG148" s="963"/>
      <c r="AH148" s="963"/>
      <c r="AI148" s="963"/>
      <c r="AJ148" s="963"/>
      <c r="AK148" s="963"/>
      <c r="AL148" s="963"/>
      <c r="AM148" s="963"/>
      <c r="AN148" s="963"/>
      <c r="AO148" s="963"/>
      <c r="AP148" s="963"/>
      <c r="AQ148" s="963"/>
      <c r="AR148" s="963"/>
      <c r="AS148" s="963"/>
      <c r="AT148" s="963"/>
      <c r="AU148" s="963"/>
      <c r="AV148" s="963"/>
      <c r="AW148" s="963"/>
      <c r="AX148" s="963"/>
      <c r="AY148" s="963"/>
      <c r="AZ148" s="963"/>
      <c r="BA148" s="963"/>
    </row>
    <row customHeight="1" ht="14.625" hidden="1">
      <c r="A149" s="963"/>
      <c r="B149" s="418">
        <f>AND(NOT(method_reg="Метод сравнения аналогов"),HAS_DOC7="да")</f>
        <v>0</v>
      </c>
      <c r="C149" s="963"/>
      <c r="D149" s="963"/>
      <c r="E149" s="618">
        <v>15</v>
      </c>
      <c r="F149" s="73" t="s">
        <v>214</v>
      </c>
      <c r="G149" s="963"/>
      <c r="H149" s="963"/>
      <c r="I149" s="963"/>
      <c r="J149" s="963"/>
      <c r="K149" s="963"/>
      <c r="L149" s="963"/>
      <c r="M149" s="963"/>
      <c r="N149" s="963"/>
      <c r="O149" s="963"/>
      <c r="P149" s="963"/>
      <c r="Q149" s="963"/>
      <c r="R149" s="963"/>
      <c r="S149" s="963"/>
      <c r="T149" s="963"/>
      <c r="U149" s="963"/>
      <c r="V149" s="963"/>
      <c r="W149" s="963"/>
      <c r="X149" s="963"/>
      <c r="Y149" s="74" t="s">
        <v>176</v>
      </c>
      <c r="Z149" s="1621"/>
      <c r="AA149" s="963"/>
      <c r="AB149" s="232"/>
      <c r="AC149" s="231"/>
      <c r="AD149" s="231"/>
      <c r="AE149" s="335" t="s">
        <v>177</v>
      </c>
      <c r="AF149" s="354"/>
      <c r="AG149" s="963"/>
      <c r="AH149" s="963"/>
      <c r="AI149" s="963"/>
      <c r="AJ149" s="963"/>
      <c r="AK149" s="963"/>
      <c r="AL149" s="963"/>
      <c r="AM149" s="963"/>
      <c r="AN149" s="963"/>
      <c r="AO149" s="963"/>
      <c r="AP149" s="963"/>
      <c r="AQ149" s="963"/>
      <c r="AR149" s="963"/>
      <c r="AS149" s="963"/>
      <c r="AT149" s="963"/>
      <c r="AU149" s="963"/>
      <c r="AV149" s="963"/>
      <c r="AW149" s="963"/>
      <c r="AX149" s="963"/>
      <c r="AY149" s="963"/>
      <c r="AZ149" s="963"/>
      <c r="BA149" s="963"/>
    </row>
    <row customHeight="1" ht="19.0125">
      <c r="B150" s="73"/>
      <c r="E150" s="618">
        <v>19.5</v>
      </c>
      <c r="AB150" s="1412" t="s">
        <v>218</v>
      </c>
      <c r="AC150" s="1412"/>
      <c r="AD150" s="1412"/>
      <c r="AE150" s="352"/>
      <c r="AG150" s="73" t="s">
        <v>219</v>
      </c>
    </row>
    <row customHeight="1" ht="24.862499999999997">
      <c r="B151" s="73"/>
      <c r="E151" s="618">
        <v>25.5</v>
      </c>
      <c r="F151" s="73" t="s">
        <v>169</v>
      </c>
      <c r="AB151" s="1412" t="s">
        <v>220</v>
      </c>
      <c r="AC151" s="1412"/>
      <c r="AD151" s="1412"/>
      <c r="AE151" s="360" t="s">
        <v>165</v>
      </c>
      <c r="AF151" s="453"/>
      <c r="AG151" s="351" t="s">
        <v>221</v>
      </c>
    </row>
    <row customHeight="1" ht="10.96875">
      <c r="B152" s="73"/>
      <c r="E152" s="618">
        <v>11.25</v>
      </c>
      <c r="AE152" s="109" t="s">
        <v>222</v>
      </c>
    </row>
    <row customHeight="1" ht="19.0125">
      <c r="B153" s="73"/>
      <c r="E153" s="618">
        <v>19.5</v>
      </c>
      <c r="AB153" s="1412" t="s">
        <v>223</v>
      </c>
      <c r="AC153" s="1412"/>
      <c r="AD153" s="63" t="s">
        <v>224</v>
      </c>
      <c r="AE153" s="352" t="s">
        <v>225</v>
      </c>
      <c r="AG153" s="73" t="s">
        <v>226</v>
      </c>
    </row>
    <row customHeight="1" ht="19.0125">
      <c r="B154" s="73"/>
      <c r="E154" s="618">
        <v>19.5</v>
      </c>
      <c r="AB154" s="1412"/>
      <c r="AC154" s="1412"/>
      <c r="AD154" s="63" t="s">
        <v>227</v>
      </c>
      <c r="AE154" s="352" t="s">
        <v>228</v>
      </c>
      <c r="AG154" s="73" t="s">
        <v>229</v>
      </c>
    </row>
    <row customHeight="1" ht="19.0125">
      <c r="B155" s="73"/>
      <c r="E155" s="618">
        <v>19.5</v>
      </c>
      <c r="AB155" s="1412"/>
      <c r="AC155" s="1412"/>
      <c r="AD155" s="63" t="s">
        <v>230</v>
      </c>
      <c r="AE155" s="352" t="s">
        <v>231</v>
      </c>
      <c r="AG155" s="73" t="s">
        <v>232</v>
      </c>
    </row>
    <row customHeight="1" ht="19.0125">
      <c r="B156" s="73"/>
      <c r="E156" s="618">
        <v>19.5</v>
      </c>
      <c r="AB156" s="1412"/>
      <c r="AC156" s="1412"/>
      <c r="AD156" s="63" t="s">
        <v>233</v>
      </c>
      <c r="AE156" s="352" t="s">
        <v>234</v>
      </c>
      <c r="AG156" s="73" t="s">
        <v>235</v>
      </c>
    </row>
    <row customHeight="1" ht="10.96875">
      <c r="B157" s="73"/>
      <c r="E157" s="618">
        <v>11.25</v>
      </c>
      <c r="AB157" s="171"/>
      <c r="AC157" s="171"/>
      <c r="AD157" s="171"/>
      <c r="AE157" s="264"/>
    </row>
    <row customHeight="1" ht="14.625">
      <c r="B158" s="73"/>
      <c r="E158" s="618">
        <v>15</v>
      </c>
      <c r="AB158" s="1441" t="s">
        <v>236</v>
      </c>
      <c r="AC158" s="1441"/>
      <c r="AD158" s="1441"/>
      <c r="AE158" s="1441"/>
    </row>
    <row customHeight="1" ht="14.625">
      <c r="B159" s="73"/>
      <c r="E159" s="618">
        <v>15</v>
      </c>
      <c r="AB159" s="1442" t="s">
        <v>237</v>
      </c>
      <c r="AC159" s="1442"/>
      <c r="AD159" s="1442"/>
      <c r="AE159" s="1442"/>
      <c r="AF159" s="454"/>
    </row>
    <row customHeight="1" ht="14.625">
      <c r="B160" s="73"/>
      <c r="E160" s="618">
        <v>15</v>
      </c>
      <c r="AB160" s="1440" t="s">
        <v>238</v>
      </c>
      <c r="AC160" s="1440"/>
      <c r="AD160" s="1440"/>
      <c r="AE160" s="1440"/>
      <c r="AF160" s="454"/>
    </row>
    <row customHeight="1" ht="14.625">
      <c r="B161" s="73"/>
      <c r="E161" s="618">
        <v>15</v>
      </c>
      <c r="AB161" s="1440" t="s">
        <v>239</v>
      </c>
      <c r="AC161" s="1440"/>
      <c r="AD161" s="1440"/>
      <c r="AE161" s="1440"/>
      <c r="AF161" s="454"/>
    </row>
    <row customHeight="1" ht="14.625">
      <c r="B162" s="73"/>
      <c r="E162" s="618">
        <v>15</v>
      </c>
      <c r="AB162" s="1440" t="s">
        <v>240</v>
      </c>
      <c r="AC162" s="1440"/>
      <c r="AD162" s="1440"/>
      <c r="AE162" s="1440"/>
      <c r="AF162" s="454"/>
    </row>
    <row customHeight="1" ht="14.625">
      <c r="B163" s="73"/>
      <c r="E163" s="618">
        <v>15</v>
      </c>
      <c r="AB163" s="1440" t="s">
        <v>241</v>
      </c>
      <c r="AC163" s="1440"/>
      <c r="AD163" s="1440"/>
      <c r="AE163" s="1440"/>
      <c r="AF163" s="454"/>
    </row>
    <row customHeight="1" ht="26.568750000000005">
      <c r="B164" s="73"/>
      <c r="E164" s="618">
        <v>27.25</v>
      </c>
      <c r="AB164" s="1440" t="s">
        <v>242</v>
      </c>
      <c r="AC164" s="1440"/>
      <c r="AD164" s="1440"/>
      <c r="AE164" s="1440"/>
      <c r="AF164" s="455"/>
    </row>
    <row customHeight="1" ht="14.625">
      <c r="B165" s="73"/>
      <c r="E165" s="618">
        <v>15</v>
      </c>
      <c r="AB165" s="1440" t="s">
        <v>243</v>
      </c>
      <c r="AC165" s="1440"/>
      <c r="AD165" s="1440"/>
      <c r="AE165" s="1440"/>
      <c r="AF165" s="454"/>
    </row>
    <row customHeight="1" ht="26.568750000000005">
      <c r="B166" s="73"/>
      <c r="E166" s="618">
        <v>27.25</v>
      </c>
      <c r="AB166" s="1440" t="s">
        <v>244</v>
      </c>
      <c r="AC166" s="1440"/>
      <c r="AD166" s="1440"/>
      <c r="AE166" s="1440"/>
      <c r="AF166" s="455"/>
    </row>
    <row customHeight="1" ht="14.625">
      <c r="B167" s="73"/>
      <c r="E167" s="618">
        <v>15</v>
      </c>
      <c r="AB167" s="1440" t="s">
        <v>245</v>
      </c>
      <c r="AC167" s="1440"/>
      <c r="AD167" s="1440"/>
      <c r="AE167" s="1440"/>
      <c r="AF167" s="454"/>
    </row>
    <row customHeight="1" ht="14.625">
      <c r="B168" s="73"/>
      <c r="E168" s="618">
        <v>15</v>
      </c>
      <c r="AB168" s="1440" t="s">
        <v>246</v>
      </c>
      <c r="AC168" s="1440"/>
      <c r="AD168" s="1440"/>
      <c r="AE168" s="1440"/>
      <c r="AF168" s="454"/>
    </row>
    <row customHeight="1" ht="26.568750000000005">
      <c r="B169" s="73"/>
      <c r="E169" s="618">
        <v>27.25</v>
      </c>
      <c r="AB169" s="1440" t="s">
        <v>247</v>
      </c>
      <c r="AC169" s="1440"/>
      <c r="AD169" s="1440"/>
      <c r="AE169" s="1440"/>
      <c r="AF169" s="455"/>
    </row>
    <row customHeight="1" ht="35.1">
      <c r="B170" s="73"/>
      <c r="E170" s="618">
        <v>36</v>
      </c>
      <c r="AB170" s="1440" t="s">
        <v>248</v>
      </c>
      <c r="AC170" s="1440"/>
      <c r="AD170" s="1440"/>
      <c r="AE170" s="1440"/>
      <c r="AF170" s="455"/>
    </row>
    <row customHeight="1" ht="14.625">
      <c r="B171" s="73"/>
      <c r="E171" s="618">
        <v>15</v>
      </c>
      <c r="W171" s="475">
        <f>NOT(method_reg="Метод сравнения аналогов")</f>
        <v>1</v>
      </c>
      <c r="AB171" s="1440" t="s">
        <v>249</v>
      </c>
      <c r="AC171" s="1440"/>
      <c r="AD171" s="1440"/>
      <c r="AE171" s="1440"/>
      <c r="AF171" s="454"/>
    </row>
    <row customHeight="1" ht="14.625">
      <c r="B172" s="73"/>
      <c r="E172" s="618">
        <v>15</v>
      </c>
      <c r="AB172" s="1450" t="str">
        <f>IF(W171,"14","13")&amp;". Иные нормативные правовые акты Российской Федерации."</f>
        <v>14. Иные нормативные правовые акты Российской Федерации.</v>
      </c>
      <c r="AC172" s="1450"/>
      <c r="AD172" s="1450"/>
      <c r="AE172" s="1450"/>
      <c r="AF172" s="454"/>
    </row>
    <row customHeight="1" ht="11.700000000000001">
      <c r="B173" s="73"/>
      <c r="E173" s="618">
        <v>12</v>
      </c>
      <c r="AB173" s="467"/>
      <c r="AC173" s="467"/>
      <c r="AD173" s="621">
        <f>COUNTIF(AE193:AE222,"Водоснабжение")&gt;0</f>
        <v>1</v>
      </c>
      <c r="AE173" s="621">
        <f>COUNTIF(AE193:AE222,"Водоотведение")&gt;0</f>
        <v>1</v>
      </c>
      <c r="AF173" s="622">
        <f>COUNTIF(AE193:AE222,"Транспортировка воды")&gt;0</f>
        <v>0</v>
      </c>
      <c r="AG173" s="623">
        <f>COUNTIF(AE193:AE222,"Транспортировка сточных вод")&gt;0</f>
        <v>0</v>
      </c>
    </row>
    <row customHeight="1" ht="19.0125">
      <c r="B174" s="73"/>
      <c r="E174" s="618">
        <v>19.5</v>
      </c>
      <c r="AB174" s="1451" t="s">
        <v>250</v>
      </c>
      <c r="AC174" s="1451"/>
      <c r="AD174" s="1451"/>
      <c r="AE174" s="1452"/>
      <c r="AF174" s="451"/>
      <c r="AG174" s="78"/>
      <c r="AH174" s="78"/>
      <c r="AI174" s="78"/>
      <c r="AJ174" s="78"/>
      <c r="AK174" s="78"/>
      <c r="AL174" s="74"/>
    </row>
    <row customHeight="1" ht="24.862499999999997">
      <c r="B175" s="73"/>
      <c r="E175" s="618">
        <v>25.5</v>
      </c>
      <c r="AB175" s="1449" t="s">
        <v>251</v>
      </c>
      <c r="AC175" s="1449"/>
      <c r="AD175" s="1449"/>
      <c r="AE175" s="575" t="s">
        <v>152</v>
      </c>
      <c r="AF175" s="453"/>
      <c r="AG175" s="78" t="s">
        <v>252</v>
      </c>
      <c r="AH175" s="78"/>
      <c r="AI175" s="78"/>
      <c r="AJ175" s="78"/>
      <c r="AK175" s="78"/>
      <c r="AL175" s="74"/>
    </row>
    <row customHeight="1" ht="19.0125">
      <c r="A176" s="963"/>
      <c r="B176" s="418">
        <f>FIRST_TIME_REG="нет"</f>
        <v>1</v>
      </c>
      <c r="C176" s="963"/>
      <c r="D176" s="963"/>
      <c r="E176" s="618">
        <v>19.5</v>
      </c>
      <c r="F176" s="963"/>
      <c r="G176" s="963"/>
      <c r="H176" s="963"/>
      <c r="I176" s="963"/>
      <c r="J176" s="963"/>
      <c r="K176" s="963"/>
      <c r="L176" s="963"/>
      <c r="M176" s="963"/>
      <c r="N176" s="963"/>
      <c r="O176" s="963"/>
      <c r="P176" s="963"/>
      <c r="Q176" s="963"/>
      <c r="R176" s="963"/>
      <c r="S176" s="963"/>
      <c r="T176" s="963"/>
      <c r="U176" s="963"/>
      <c r="V176" s="963"/>
      <c r="W176" s="963"/>
      <c r="X176" s="963"/>
      <c r="Y176" s="963"/>
      <c r="Z176" s="1621"/>
      <c r="AA176" s="963"/>
      <c r="AB176" s="1445" t="s">
        <v>253</v>
      </c>
      <c r="AC176" s="1446"/>
      <c r="AD176" s="576" t="s">
        <v>195</v>
      </c>
      <c r="AE176" s="1660" t="s">
        <v>203</v>
      </c>
      <c r="AF176" s="354"/>
      <c r="AG176" s="78" t="s">
        <v>254</v>
      </c>
      <c r="AH176" s="78"/>
      <c r="AI176" s="78"/>
      <c r="AJ176" s="78"/>
      <c r="AK176" s="78"/>
      <c r="AL176" s="74"/>
      <c r="AM176" s="963"/>
      <c r="AN176" s="963"/>
      <c r="AO176" s="963"/>
      <c r="AP176" s="963"/>
      <c r="AQ176" s="963"/>
      <c r="AR176" s="963"/>
      <c r="AS176" s="963"/>
      <c r="AT176" s="963"/>
      <c r="AU176" s="963"/>
      <c r="AV176" s="963"/>
      <c r="AW176" s="963"/>
      <c r="AX176" s="963"/>
      <c r="AY176" s="963"/>
      <c r="AZ176" s="963"/>
      <c r="BA176" s="963"/>
    </row>
    <row customHeight="1" ht="19.0125">
      <c r="A177" s="963"/>
      <c r="B177" s="418">
        <f>FIRST_TIME_REG="нет"</f>
        <v>1</v>
      </c>
      <c r="C177" s="963"/>
      <c r="D177" s="963"/>
      <c r="E177" s="618">
        <v>19.5</v>
      </c>
      <c r="F177" s="963"/>
      <c r="G177" s="963"/>
      <c r="H177" s="963"/>
      <c r="I177" s="963"/>
      <c r="J177" s="963"/>
      <c r="K177" s="963"/>
      <c r="L177" s="963"/>
      <c r="M177" s="963"/>
      <c r="N177" s="963"/>
      <c r="O177" s="963"/>
      <c r="P177" s="963"/>
      <c r="Q177" s="963"/>
      <c r="R177" s="963"/>
      <c r="S177" s="963"/>
      <c r="T177" s="963"/>
      <c r="U177" s="963"/>
      <c r="V177" s="963"/>
      <c r="W177" s="963"/>
      <c r="X177" s="963"/>
      <c r="Y177" s="963"/>
      <c r="Z177" s="1621"/>
      <c r="AA177" s="963"/>
      <c r="AB177" s="1445"/>
      <c r="AC177" s="1446"/>
      <c r="AD177" s="362" t="s">
        <v>196</v>
      </c>
      <c r="AE177" s="1663" t="s">
        <v>255</v>
      </c>
      <c r="AF177" s="354"/>
      <c r="AG177" s="73" t="s">
        <v>256</v>
      </c>
      <c r="AH177" s="963"/>
      <c r="AI177" s="963"/>
      <c r="AJ177" s="963"/>
      <c r="AK177" s="963"/>
      <c r="AL177" s="963"/>
      <c r="AM177" s="963"/>
      <c r="AN177" s="963"/>
      <c r="AO177" s="963"/>
      <c r="AP177" s="963"/>
      <c r="AQ177" s="963"/>
      <c r="AR177" s="963"/>
      <c r="AS177" s="963"/>
      <c r="AT177" s="963"/>
      <c r="AU177" s="963"/>
      <c r="AV177" s="963"/>
      <c r="AW177" s="963"/>
      <c r="AX177" s="963"/>
      <c r="AY177" s="963"/>
      <c r="AZ177" s="963"/>
      <c r="BA177" s="963"/>
    </row>
    <row customHeight="1" ht="19.0125">
      <c r="A178" s="963"/>
      <c r="B178" s="418">
        <f>FIRST_TIME_REG="нет"</f>
        <v>1</v>
      </c>
      <c r="C178" s="963"/>
      <c r="D178" s="963"/>
      <c r="E178" s="618">
        <v>19.5</v>
      </c>
      <c r="F178" s="963"/>
      <c r="G178" s="963"/>
      <c r="H178" s="963"/>
      <c r="I178" s="963"/>
      <c r="J178" s="963"/>
      <c r="K178" s="963"/>
      <c r="L178" s="963"/>
      <c r="M178" s="963"/>
      <c r="N178" s="963"/>
      <c r="O178" s="963"/>
      <c r="P178" s="963"/>
      <c r="Q178" s="963"/>
      <c r="R178" s="963"/>
      <c r="S178" s="963"/>
      <c r="T178" s="963"/>
      <c r="U178" s="963"/>
      <c r="V178" s="963"/>
      <c r="W178" s="963"/>
      <c r="X178" s="963"/>
      <c r="Y178" s="963"/>
      <c r="Z178" s="1621"/>
      <c r="AA178" s="963"/>
      <c r="AB178" s="1447"/>
      <c r="AC178" s="1448"/>
      <c r="AD178" s="362" t="s">
        <v>197</v>
      </c>
      <c r="AE178" s="1666">
        <v>45251</v>
      </c>
      <c r="AF178" s="354"/>
      <c r="AG178" s="73" t="s">
        <v>257</v>
      </c>
      <c r="AH178" s="963"/>
      <c r="AI178" s="963"/>
      <c r="AJ178" s="963"/>
      <c r="AK178" s="963"/>
      <c r="AL178" s="963"/>
      <c r="AM178" s="963"/>
      <c r="AN178" s="963"/>
      <c r="AO178" s="963"/>
      <c r="AP178" s="963"/>
      <c r="AQ178" s="963"/>
      <c r="AR178" s="963"/>
      <c r="AS178" s="963"/>
      <c r="AT178" s="963"/>
      <c r="AU178" s="963"/>
      <c r="AV178" s="963"/>
      <c r="AW178" s="963"/>
      <c r="AX178" s="963"/>
      <c r="AY178" s="963"/>
      <c r="AZ178" s="963"/>
      <c r="BA178" s="963"/>
    </row>
    <row customHeight="1" ht="19.9875">
      <c r="B179" s="73"/>
      <c r="E179" s="618">
        <v>20.5</v>
      </c>
      <c r="F179" s="139" t="s">
        <v>258</v>
      </c>
      <c r="AB179" s="1453" t="s">
        <v>259</v>
      </c>
      <c r="AC179" s="1454"/>
      <c r="AD179" s="464"/>
      <c r="AE179" s="465"/>
      <c r="AF179" s="456"/>
      <c r="AG179" s="456"/>
      <c r="AN179" s="73" t="s">
        <v>260</v>
      </c>
    </row>
    <row customHeight="1" ht="18.28125" hidden="1">
      <c r="A180" s="963"/>
      <c r="B180" s="73"/>
      <c r="C180" s="963"/>
      <c r="D180" s="963"/>
      <c r="E180" s="618">
        <v>18.75</v>
      </c>
      <c r="F180" s="73" cm="1" t="str">
        <f t="array" ref="F180:F180">Z180</f>
        <v>0</v>
      </c>
      <c r="G180" s="963"/>
      <c r="H180" s="963"/>
      <c r="I180" s="963"/>
      <c r="J180" s="963"/>
      <c r="K180" s="963"/>
      <c r="L180" s="963"/>
      <c r="M180" s="963"/>
      <c r="N180" s="963"/>
      <c r="O180" s="963"/>
      <c r="P180" s="963"/>
      <c r="Q180" s="963"/>
      <c r="R180" s="963"/>
      <c r="S180" s="963"/>
      <c r="T180" s="963"/>
      <c r="U180" s="963"/>
      <c r="V180" s="220" cm="1" t="str">
        <f t="array" ref="V180:V180">AE181</f>
        <v>0</v>
      </c>
      <c r="W180" s="475">
        <f>Z180&gt;0</f>
        <v>0</v>
      </c>
      <c r="X180" s="73" t="s">
        <v>261</v>
      </c>
      <c r="Y180" s="963"/>
      <c r="Z180" s="1443">
        <v>0</v>
      </c>
      <c r="AA180" s="1459"/>
      <c r="AB180" s="1670"/>
      <c r="AC180" s="1671"/>
      <c r="AD180" s="368" t="str">
        <f>"Тариф "&amp;Z180</f>
        <v>Тариф 0</v>
      </c>
      <c r="AE180" s="369"/>
      <c r="AF180" s="1444" t="s">
        <v>174</v>
      </c>
      <c r="AG180" s="73" t="str">
        <f>AD180&amp;" ("&amp;AE180&amp;") - "&amp;AE182&amp;IF(AE186="",""," ("&amp;AE186&amp;")")</f>
        <v>Тариф 0 () - </v>
      </c>
      <c r="AH180" s="73" cm="1" t="str">
        <f t="array" ref="AH180:AH180">AE185</f>
        <v>0</v>
      </c>
      <c r="AI180" s="220" cm="1" t="str">
        <f t="array" ref="AI180:AI180">AE182</f>
        <v>0</v>
      </c>
      <c r="AJ180" s="73" cm="1" t="str">
        <f t="array" ref="AJ180:AJ180">AE186</f>
        <v>0</v>
      </c>
      <c r="AK180" s="73" cm="1" t="str">
        <f t="array" ref="AK180:AK180">AE183</f>
        <v>0</v>
      </c>
      <c r="AL180" s="891" cm="1" t="str">
        <f t="array" ref="AL180:AL180">AE190</f>
        <v/>
      </c>
      <c r="AM180" s="472" cm="1" t="str">
        <f t="array" ref="AM180:AM180">AE191</f>
        <v>0</v>
      </c>
      <c r="AN180" s="73">
        <f>IF(ISERR(SEARCH("трансп",AI180)),FALSE,TRUE)</f>
        <v>0</v>
      </c>
      <c r="AO180" s="963"/>
      <c r="AP180" s="963"/>
      <c r="AQ180" s="963"/>
      <c r="AR180" s="963"/>
      <c r="AS180" s="963"/>
      <c r="AT180" s="963"/>
      <c r="AU180" s="963"/>
      <c r="AV180" s="963"/>
      <c r="AW180" s="963"/>
      <c r="AX180" s="963"/>
      <c r="AY180" s="963"/>
      <c r="AZ180" s="963"/>
      <c r="BA180" s="963"/>
    </row>
    <row customHeight="1" ht="16.0875" hidden="1">
      <c r="A181" s="963"/>
      <c r="B181" s="73"/>
      <c r="C181" s="963"/>
      <c r="D181" s="963"/>
      <c r="E181" s="618">
        <v>16.5</v>
      </c>
      <c r="F181" s="73" cm="1" t="str">
        <f t="array" ref="F181:F181">F180</f>
        <v>0</v>
      </c>
      <c r="G181" s="963"/>
      <c r="H181" s="963"/>
      <c r="I181" s="963"/>
      <c r="J181" s="963"/>
      <c r="K181" s="963"/>
      <c r="L181" s="963"/>
      <c r="M181" s="963"/>
      <c r="N181" s="963"/>
      <c r="O181" s="963"/>
      <c r="P181" s="963"/>
      <c r="Q181" s="963"/>
      <c r="R181" s="963"/>
      <c r="S181" s="963"/>
      <c r="T181" s="963"/>
      <c r="U181" s="963"/>
      <c r="V181" s="220"/>
      <c r="W181" s="475" cm="1" t="str">
        <f t="array" ref="W181:W181">W180</f>
        <v>false</v>
      </c>
      <c r="X181" s="963"/>
      <c r="Y181" s="963"/>
      <c r="Z181" s="1443"/>
      <c r="AA181" s="1459"/>
      <c r="AB181" s="1670"/>
      <c r="AC181" s="1671"/>
      <c r="AD181" s="370" t="s">
        <v>262</v>
      </c>
      <c r="AE181" s="361"/>
      <c r="AF181" s="1444"/>
      <c r="AG181" s="963"/>
      <c r="AH181" s="963"/>
      <c r="AI181" s="963"/>
      <c r="AJ181" s="963"/>
      <c r="AK181" s="963"/>
      <c r="AL181" s="963"/>
      <c r="AM181" s="963"/>
      <c r="AN181" s="963"/>
      <c r="AO181" s="963"/>
      <c r="AP181" s="963"/>
      <c r="AQ181" s="963"/>
      <c r="AR181" s="963"/>
      <c r="AS181" s="963"/>
      <c r="AT181" s="963"/>
      <c r="AU181" s="963"/>
      <c r="AV181" s="963"/>
      <c r="AW181" s="963"/>
      <c r="AX181" s="963"/>
      <c r="AY181" s="963"/>
      <c r="AZ181" s="963"/>
      <c r="BA181" s="963"/>
    </row>
    <row customHeight="1" ht="16.0875" hidden="1">
      <c r="A182" s="963"/>
      <c r="B182" s="73"/>
      <c r="C182" s="963"/>
      <c r="D182" s="963"/>
      <c r="E182" s="618">
        <v>16.5</v>
      </c>
      <c r="F182" s="73" cm="1" t="str">
        <f t="array" ref="F182:F182">F181</f>
        <v>0</v>
      </c>
      <c r="G182" s="963"/>
      <c r="H182" s="963"/>
      <c r="I182" s="963"/>
      <c r="J182" s="963"/>
      <c r="K182" s="963"/>
      <c r="L182" s="963"/>
      <c r="M182" s="963"/>
      <c r="N182" s="963"/>
      <c r="O182" s="963"/>
      <c r="P182" s="963"/>
      <c r="Q182" s="963"/>
      <c r="R182" s="963"/>
      <c r="S182" s="963"/>
      <c r="T182" s="963"/>
      <c r="U182" s="963"/>
      <c r="V182" s="220"/>
      <c r="W182" s="475" cm="1" t="str">
        <f t="array" ref="W182:W182">W181</f>
        <v>false</v>
      </c>
      <c r="X182" s="963"/>
      <c r="Y182" s="963"/>
      <c r="Z182" s="1443"/>
      <c r="AA182" s="1459"/>
      <c r="AB182" s="1670"/>
      <c r="AC182" s="1671"/>
      <c r="AD182" s="370" t="s">
        <v>263</v>
      </c>
      <c r="AE182" s="1679"/>
      <c r="AF182" s="1444"/>
      <c r="AG182" s="963"/>
      <c r="AH182" s="963"/>
      <c r="AI182" s="963"/>
      <c r="AJ182" s="963"/>
      <c r="AK182" s="963"/>
      <c r="AL182" s="963"/>
      <c r="AM182" s="963"/>
      <c r="AN182" s="963"/>
      <c r="AO182" s="963"/>
      <c r="AP182" s="963"/>
      <c r="AQ182" s="963"/>
      <c r="AR182" s="963"/>
      <c r="AS182" s="963"/>
      <c r="AT182" s="963"/>
      <c r="AU182" s="963"/>
      <c r="AV182" s="963"/>
      <c r="AW182" s="963"/>
      <c r="AX182" s="963"/>
      <c r="AY182" s="963"/>
      <c r="AZ182" s="963"/>
      <c r="BA182" s="963"/>
    </row>
    <row customHeight="1" ht="16.0875" hidden="1">
      <c r="A183" s="963"/>
      <c r="B183" s="73"/>
      <c r="C183" s="963"/>
      <c r="D183" s="963"/>
      <c r="E183" s="618">
        <v>16.5</v>
      </c>
      <c r="F183" s="73" cm="1" t="str">
        <f t="array" ref="F183:F183">F182</f>
        <v>0</v>
      </c>
      <c r="G183" s="963"/>
      <c r="H183" s="963"/>
      <c r="I183" s="963"/>
      <c r="J183" s="963"/>
      <c r="K183" s="963"/>
      <c r="L183" s="963"/>
      <c r="M183" s="963"/>
      <c r="N183" s="963"/>
      <c r="O183" s="963"/>
      <c r="P183" s="963"/>
      <c r="Q183" s="963"/>
      <c r="R183" s="963"/>
      <c r="S183" s="963"/>
      <c r="T183" s="963"/>
      <c r="U183" s="963"/>
      <c r="V183" s="220"/>
      <c r="W183" s="475" cm="1" t="str">
        <f t="array" ref="W183:W183">W182</f>
        <v>false</v>
      </c>
      <c r="X183" s="963"/>
      <c r="Y183" s="963"/>
      <c r="Z183" s="1443"/>
      <c r="AA183" s="1459"/>
      <c r="AB183" s="1670"/>
      <c r="AC183" s="1671"/>
      <c r="AD183" s="370" t="s">
        <v>264</v>
      </c>
      <c r="AE183" s="1679"/>
      <c r="AF183" s="1444"/>
      <c r="AG183" s="963"/>
      <c r="AH183" s="963"/>
      <c r="AI183" s="963"/>
      <c r="AJ183" s="963"/>
      <c r="AK183" s="963"/>
      <c r="AL183" s="963"/>
      <c r="AM183" s="963"/>
      <c r="AN183" s="963"/>
      <c r="AO183" s="963"/>
      <c r="AP183" s="963"/>
      <c r="AQ183" s="963"/>
      <c r="AR183" s="963"/>
      <c r="AS183" s="963"/>
      <c r="AT183" s="963"/>
      <c r="AU183" s="963"/>
      <c r="AV183" s="963"/>
      <c r="AW183" s="963"/>
      <c r="AX183" s="963"/>
      <c r="AY183" s="963"/>
      <c r="AZ183" s="963"/>
      <c r="BA183" s="963"/>
    </row>
    <row customHeight="1" ht="16.0875" hidden="1">
      <c r="A184" s="963"/>
      <c r="B184" s="73"/>
      <c r="C184" s="963"/>
      <c r="D184" s="963"/>
      <c r="E184" s="618">
        <v>16.5</v>
      </c>
      <c r="F184" s="73" cm="1" t="str">
        <f t="array" ref="F184:F184">F183</f>
        <v>0</v>
      </c>
      <c r="G184" s="963"/>
      <c r="H184" s="963"/>
      <c r="I184" s="963"/>
      <c r="J184" s="963"/>
      <c r="K184" s="963"/>
      <c r="L184" s="963"/>
      <c r="M184" s="963"/>
      <c r="N184" s="963"/>
      <c r="O184" s="963"/>
      <c r="P184" s="963"/>
      <c r="Q184" s="963"/>
      <c r="R184" s="963"/>
      <c r="S184" s="963"/>
      <c r="T184" s="963"/>
      <c r="U184" s="963"/>
      <c r="V184" s="220"/>
      <c r="W184" s="475" cm="1" t="str">
        <f t="array" ref="W184:W184">W183</f>
        <v>false</v>
      </c>
      <c r="X184" s="963"/>
      <c r="Y184" s="963"/>
      <c r="Z184" s="1443"/>
      <c r="AA184" s="1459"/>
      <c r="AB184" s="1670"/>
      <c r="AC184" s="1671"/>
      <c r="AD184" s="370" t="s">
        <v>265</v>
      </c>
      <c r="AE184" s="735"/>
      <c r="AF184" s="1444"/>
      <c r="AG184" s="963"/>
      <c r="AH184" s="963"/>
      <c r="AI184" s="963"/>
      <c r="AJ184" s="963"/>
      <c r="AK184" s="963"/>
      <c r="AL184" s="963"/>
      <c r="AM184" s="963"/>
      <c r="AN184" s="963"/>
      <c r="AO184" s="963"/>
      <c r="AP184" s="963"/>
      <c r="AQ184" s="963"/>
      <c r="AR184" s="963"/>
      <c r="AS184" s="963"/>
      <c r="AT184" s="963"/>
      <c r="AU184" s="963"/>
      <c r="AV184" s="963"/>
      <c r="AW184" s="963"/>
      <c r="AX184" s="963"/>
      <c r="AY184" s="963"/>
      <c r="AZ184" s="963"/>
      <c r="BA184" s="963"/>
    </row>
    <row customHeight="1" ht="16.0875" hidden="1">
      <c r="A185" s="963"/>
      <c r="B185" s="73"/>
      <c r="C185" s="963"/>
      <c r="D185" s="963"/>
      <c r="E185" s="618">
        <v>16.5</v>
      </c>
      <c r="F185" s="73" cm="1" t="str">
        <f t="array" ref="F185:F185">F184</f>
        <v>0</v>
      </c>
      <c r="G185" s="963"/>
      <c r="H185" s="963"/>
      <c r="I185" s="963"/>
      <c r="J185" s="963"/>
      <c r="K185" s="963"/>
      <c r="L185" s="963"/>
      <c r="M185" s="963"/>
      <c r="N185" s="963"/>
      <c r="O185" s="963"/>
      <c r="P185" s="963"/>
      <c r="Q185" s="963"/>
      <c r="R185" s="963"/>
      <c r="S185" s="963"/>
      <c r="T185" s="963"/>
      <c r="U185" s="963"/>
      <c r="V185" s="220"/>
      <c r="W185" s="475" cm="1" t="str">
        <f t="array" ref="W185:W185">W184</f>
        <v>false</v>
      </c>
      <c r="X185" s="963"/>
      <c r="Y185" s="963"/>
      <c r="Z185" s="1443"/>
      <c r="AA185" s="1459"/>
      <c r="AB185" s="1670"/>
      <c r="AC185" s="1671"/>
      <c r="AD185" s="65" t="str">
        <f>IF(AE180="Водоотведение","Вид сточных вод","Вид воды")</f>
        <v>Вид воды</v>
      </c>
      <c r="AE185" s="1679"/>
      <c r="AF185" s="1444"/>
      <c r="AG185" s="963"/>
      <c r="AH185" s="963"/>
      <c r="AI185" s="963"/>
      <c r="AJ185" s="963"/>
      <c r="AK185" s="963"/>
      <c r="AL185" s="963"/>
      <c r="AM185" s="963"/>
      <c r="AN185" s="963"/>
      <c r="AO185" s="963"/>
      <c r="AP185" s="963"/>
      <c r="AQ185" s="963"/>
      <c r="AR185" s="963"/>
      <c r="AS185" s="963"/>
      <c r="AT185" s="963"/>
      <c r="AU185" s="963"/>
      <c r="AV185" s="963"/>
      <c r="AW185" s="963"/>
      <c r="AX185" s="963"/>
      <c r="AY185" s="963"/>
      <c r="AZ185" s="963"/>
      <c r="BA185" s="963"/>
    </row>
    <row customHeight="1" ht="16.0875" hidden="1">
      <c r="A186" s="963"/>
      <c r="B186" s="73"/>
      <c r="C186" s="963"/>
      <c r="D186" s="963"/>
      <c r="E186" s="618">
        <v>16.5</v>
      </c>
      <c r="F186" s="73" cm="1" t="str">
        <f t="array" ref="F186:F186">F185</f>
        <v>0</v>
      </c>
      <c r="G186" s="963"/>
      <c r="H186" s="963"/>
      <c r="I186" s="963"/>
      <c r="J186" s="963"/>
      <c r="K186" s="963"/>
      <c r="L186" s="963"/>
      <c r="M186" s="963"/>
      <c r="N186" s="963"/>
      <c r="O186" s="963"/>
      <c r="P186" s="963"/>
      <c r="Q186" s="963"/>
      <c r="R186" s="963"/>
      <c r="S186" s="963"/>
      <c r="T186" s="963"/>
      <c r="U186" s="963"/>
      <c r="V186" s="220"/>
      <c r="W186" s="475" cm="1" t="str">
        <f t="array" ref="W186:W186">W185</f>
        <v>false</v>
      </c>
      <c r="X186" s="963"/>
      <c r="Y186" s="963"/>
      <c r="Z186" s="1443"/>
      <c r="AA186" s="1459"/>
      <c r="AB186" s="1670"/>
      <c r="AC186" s="1671"/>
      <c r="AD186" s="65" t="s">
        <v>266</v>
      </c>
      <c r="AE186" s="735"/>
      <c r="AF186" s="1444"/>
      <c r="AG186" s="963"/>
      <c r="AH186" s="963"/>
      <c r="AI186" s="963"/>
      <c r="AJ186" s="963"/>
      <c r="AK186" s="963"/>
      <c r="AL186" s="963"/>
      <c r="AM186" s="963"/>
      <c r="AN186" s="963"/>
      <c r="AO186" s="963"/>
      <c r="AP186" s="963"/>
      <c r="AQ186" s="963"/>
      <c r="AR186" s="963"/>
      <c r="AS186" s="963"/>
      <c r="AT186" s="963"/>
      <c r="AU186" s="963"/>
      <c r="AV186" s="963"/>
      <c r="AW186" s="963"/>
      <c r="AX186" s="963"/>
      <c r="AY186" s="963"/>
      <c r="AZ186" s="963"/>
      <c r="BA186" s="963"/>
    </row>
    <row customHeight="1" ht="16.0875" hidden="1">
      <c r="A187" s="963"/>
      <c r="B187" s="418">
        <f>org_declaration="Заявление организации"</f>
        <v>1</v>
      </c>
      <c r="C187" s="963"/>
      <c r="D187" s="963"/>
      <c r="E187" s="618">
        <v>16.5</v>
      </c>
      <c r="F187" s="73" cm="1" t="str">
        <f t="array" ref="F187:F187">F186</f>
        <v>0</v>
      </c>
      <c r="G187" s="963"/>
      <c r="H187" s="963"/>
      <c r="I187" s="963"/>
      <c r="J187" s="963"/>
      <c r="K187" s="963"/>
      <c r="L187" s="963"/>
      <c r="M187" s="963"/>
      <c r="N187" s="963"/>
      <c r="O187" s="963"/>
      <c r="P187" s="963"/>
      <c r="Q187" s="963"/>
      <c r="R187" s="963"/>
      <c r="S187" s="963"/>
      <c r="T187" s="963"/>
      <c r="U187" s="963"/>
      <c r="V187" s="220"/>
      <c r="W187" s="475" cm="1" t="str">
        <f t="array" ref="W187:W187">W186</f>
        <v>false</v>
      </c>
      <c r="X187" s="963"/>
      <c r="Y187" s="963"/>
      <c r="Z187" s="1443"/>
      <c r="AA187" s="1459"/>
      <c r="AB187" s="1670"/>
      <c r="AC187" s="1671"/>
      <c r="AD187" s="370" t="s">
        <v>267</v>
      </c>
      <c r="AE187" s="1682"/>
      <c r="AF187" s="1444"/>
      <c r="AG187" s="963"/>
      <c r="AH187" s="963"/>
      <c r="AI187" s="963"/>
      <c r="AJ187" s="963"/>
      <c r="AK187" s="963"/>
      <c r="AL187" s="963"/>
      <c r="AM187" s="963"/>
      <c r="AN187" s="963"/>
      <c r="AO187" s="963"/>
      <c r="AP187" s="963"/>
      <c r="AQ187" s="963"/>
      <c r="AR187" s="963"/>
      <c r="AS187" s="963"/>
      <c r="AT187" s="963"/>
      <c r="AU187" s="963"/>
      <c r="AV187" s="963"/>
      <c r="AW187" s="963"/>
      <c r="AX187" s="963"/>
      <c r="AY187" s="963"/>
      <c r="AZ187" s="963"/>
      <c r="BA187" s="963"/>
    </row>
    <row customHeight="1" ht="16.0875" hidden="1">
      <c r="A188" s="963"/>
      <c r="B188" s="418">
        <f>org_declaration="Заявление организации"</f>
        <v>1</v>
      </c>
      <c r="C188" s="963"/>
      <c r="D188" s="963"/>
      <c r="E188" s="618">
        <v>16.5</v>
      </c>
      <c r="F188" s="73" cm="1" t="str">
        <f t="array" ref="F188:F188">F187</f>
        <v>0</v>
      </c>
      <c r="G188" s="963"/>
      <c r="H188" s="963"/>
      <c r="I188" s="963"/>
      <c r="J188" s="963"/>
      <c r="K188" s="963"/>
      <c r="L188" s="963"/>
      <c r="M188" s="963"/>
      <c r="N188" s="963"/>
      <c r="O188" s="963"/>
      <c r="P188" s="963"/>
      <c r="Q188" s="963"/>
      <c r="R188" s="963"/>
      <c r="S188" s="963"/>
      <c r="T188" s="963"/>
      <c r="U188" s="963"/>
      <c r="V188" s="220"/>
      <c r="W188" s="475" cm="1" t="str">
        <f t="array" ref="W188:W188">W187</f>
        <v>false</v>
      </c>
      <c r="X188" s="963"/>
      <c r="Y188" s="963"/>
      <c r="Z188" s="1443"/>
      <c r="AA188" s="1459"/>
      <c r="AB188" s="1670"/>
      <c r="AC188" s="1671"/>
      <c r="AD188" s="370" t="s">
        <v>268</v>
      </c>
      <c r="AE188" s="1683"/>
      <c r="AF188" s="1444"/>
      <c r="AG188" s="963"/>
      <c r="AH188" s="963"/>
      <c r="AI188" s="963"/>
      <c r="AJ188" s="963"/>
      <c r="AK188" s="963"/>
      <c r="AL188" s="963"/>
      <c r="AM188" s="963"/>
      <c r="AN188" s="963"/>
      <c r="AO188" s="963"/>
      <c r="AP188" s="963"/>
      <c r="AQ188" s="963"/>
      <c r="AR188" s="963"/>
      <c r="AS188" s="963"/>
      <c r="AT188" s="963"/>
      <c r="AU188" s="963"/>
      <c r="AV188" s="963"/>
      <c r="AW188" s="963"/>
      <c r="AX188" s="963"/>
      <c r="AY188" s="963"/>
      <c r="AZ188" s="963"/>
      <c r="BA188" s="963"/>
    </row>
    <row customHeight="1" ht="16.0875" hidden="1">
      <c r="A189" s="963"/>
      <c r="B189" s="418">
        <f>org_declaration="Заявление организации"</f>
        <v>1</v>
      </c>
      <c r="C189" s="963"/>
      <c r="D189" s="963"/>
      <c r="E189" s="618">
        <v>16.5</v>
      </c>
      <c r="F189" s="73" cm="1" t="str">
        <f t="array" ref="F189:F189">F188</f>
        <v>0</v>
      </c>
      <c r="G189" s="963"/>
      <c r="H189" s="963"/>
      <c r="I189" s="963"/>
      <c r="J189" s="963"/>
      <c r="K189" s="963"/>
      <c r="L189" s="963"/>
      <c r="M189" s="963"/>
      <c r="N189" s="963"/>
      <c r="O189" s="963"/>
      <c r="P189" s="963"/>
      <c r="Q189" s="963"/>
      <c r="R189" s="963"/>
      <c r="S189" s="963"/>
      <c r="T189" s="963"/>
      <c r="U189" s="963"/>
      <c r="V189" s="220"/>
      <c r="W189" s="475" cm="1" t="str">
        <f t="array" ref="W189:W189">W188</f>
        <v>false</v>
      </c>
      <c r="X189" s="963"/>
      <c r="Y189" s="963"/>
      <c r="Z189" s="1443"/>
      <c r="AA189" s="1459"/>
      <c r="AB189" s="1670"/>
      <c r="AC189" s="1671"/>
      <c r="AD189" s="370" t="s">
        <v>269</v>
      </c>
      <c r="AE189" s="1684"/>
      <c r="AF189" s="1444"/>
      <c r="AG189" s="963"/>
      <c r="AH189" s="963"/>
      <c r="AI189" s="963"/>
      <c r="AJ189" s="963"/>
      <c r="AK189" s="963"/>
      <c r="AL189" s="963"/>
      <c r="AM189" s="963"/>
      <c r="AN189" s="963"/>
      <c r="AO189" s="963"/>
      <c r="AP189" s="963"/>
      <c r="AQ189" s="963"/>
      <c r="AR189" s="963"/>
      <c r="AS189" s="963"/>
      <c r="AT189" s="963"/>
      <c r="AU189" s="963"/>
      <c r="AV189" s="963"/>
      <c r="AW189" s="963"/>
      <c r="AX189" s="963"/>
      <c r="AY189" s="963"/>
      <c r="AZ189" s="963"/>
      <c r="BA189" s="963"/>
    </row>
    <row customHeight="1" ht="16.0875" hidden="1">
      <c r="A190" s="963"/>
      <c r="B190" s="418">
        <f>org_declaration="Заявление организации"</f>
        <v>1</v>
      </c>
      <c r="C190" s="963"/>
      <c r="D190" s="963"/>
      <c r="E190" s="618">
        <v>16.5</v>
      </c>
      <c r="F190" s="73" cm="1" t="str">
        <f t="array" ref="F190:F190">F189</f>
        <v>0</v>
      </c>
      <c r="G190" s="963"/>
      <c r="H190" s="963"/>
      <c r="I190" s="963"/>
      <c r="J190" s="963"/>
      <c r="K190" s="963"/>
      <c r="L190" s="963"/>
      <c r="M190" s="963"/>
      <c r="N190" s="963"/>
      <c r="O190" s="963"/>
      <c r="P190" s="963"/>
      <c r="Q190" s="963"/>
      <c r="R190" s="963"/>
      <c r="S190" s="963"/>
      <c r="T190" s="963"/>
      <c r="U190" s="963"/>
      <c r="V190" s="220"/>
      <c r="W190" s="475" cm="1" t="str">
        <f t="array" ref="W190:W190">W189</f>
        <v>false</v>
      </c>
      <c r="X190" s="963"/>
      <c r="Y190" s="963"/>
      <c r="Z190" s="1443"/>
      <c r="AA190" s="1459"/>
      <c r="AB190" s="1670"/>
      <c r="AC190" s="1671"/>
      <c r="AD190" s="370" t="s">
        <v>270</v>
      </c>
      <c r="AE190" s="1685" t="str">
        <f>IF(ISBLANK(AE192),"",DATE(AE192,7,1))</f>
        <v/>
      </c>
      <c r="AF190" s="1444"/>
      <c r="AG190" s="963"/>
      <c r="AH190" s="963"/>
      <c r="AI190" s="963"/>
      <c r="AJ190" s="963"/>
      <c r="AK190" s="963"/>
      <c r="AL190" s="963"/>
      <c r="AM190" s="963"/>
      <c r="AN190" s="963"/>
      <c r="AO190" s="963"/>
      <c r="AP190" s="963"/>
      <c r="AQ190" s="963"/>
      <c r="AR190" s="963"/>
      <c r="AS190" s="963"/>
      <c r="AT190" s="963"/>
      <c r="AU190" s="963"/>
      <c r="AV190" s="963"/>
      <c r="AW190" s="963"/>
      <c r="AX190" s="963"/>
      <c r="AY190" s="963"/>
      <c r="AZ190" s="963"/>
      <c r="BA190" s="963"/>
    </row>
    <row customHeight="1" ht="16.0875" hidden="1">
      <c r="A191" s="963"/>
      <c r="B191" s="418">
        <f>org_declaration="Заявление организации"</f>
        <v>1</v>
      </c>
      <c r="C191" s="963"/>
      <c r="D191" s="963"/>
      <c r="E191" s="618">
        <v>16.5</v>
      </c>
      <c r="F191" s="73" cm="1" t="str">
        <f t="array" ref="F191:F191">F190</f>
        <v>0</v>
      </c>
      <c r="G191" s="963"/>
      <c r="H191" s="963"/>
      <c r="I191" s="963"/>
      <c r="J191" s="963"/>
      <c r="K191" s="963"/>
      <c r="L191" s="963"/>
      <c r="M191" s="963"/>
      <c r="N191" s="963"/>
      <c r="O191" s="963"/>
      <c r="P191" s="963"/>
      <c r="Q191" s="963"/>
      <c r="R191" s="963"/>
      <c r="S191" s="963"/>
      <c r="T191" s="963"/>
      <c r="U191" s="963"/>
      <c r="V191" s="220"/>
      <c r="W191" s="475" cm="1" t="str">
        <f t="array" ref="W191:W191">W190</f>
        <v>false</v>
      </c>
      <c r="X191" s="963"/>
      <c r="Y191" s="963"/>
      <c r="Z191" s="1443"/>
      <c r="AA191" s="1459"/>
      <c r="AB191" s="1670"/>
      <c r="AC191" s="1671"/>
      <c r="AD191" s="370" t="s">
        <v>271</v>
      </c>
      <c r="AE191" s="1686"/>
      <c r="AF191" s="1444"/>
      <c r="AG191" s="963"/>
      <c r="AH191" s="963"/>
      <c r="AI191" s="963"/>
      <c r="AJ191" s="963"/>
      <c r="AK191" s="963"/>
      <c r="AL191" s="963"/>
      <c r="AM191" s="963"/>
      <c r="AN191" s="963"/>
      <c r="AO191" s="963"/>
      <c r="AP191" s="963"/>
      <c r="AQ191" s="963"/>
      <c r="AR191" s="963"/>
      <c r="AS191" s="963"/>
      <c r="AT191" s="963"/>
      <c r="AU191" s="963"/>
      <c r="AV191" s="963"/>
      <c r="AW191" s="963"/>
      <c r="AX191" s="963"/>
      <c r="AY191" s="963"/>
      <c r="AZ191" s="963"/>
      <c r="BA191" s="963"/>
    </row>
    <row customHeight="1" ht="21.9375" hidden="1">
      <c r="A192" s="963"/>
      <c r="B192" s="418">
        <f>org_declaration="Заявление организации"</f>
        <v>1</v>
      </c>
      <c r="C192" s="963"/>
      <c r="D192" s="963"/>
      <c r="E192" s="618">
        <v>22.5</v>
      </c>
      <c r="F192" s="73" cm="1" t="str">
        <f t="array" ref="F192:F192">F191</f>
        <v>0</v>
      </c>
      <c r="G192" s="963"/>
      <c r="H192" s="963"/>
      <c r="I192" s="963"/>
      <c r="J192" s="963"/>
      <c r="K192" s="963"/>
      <c r="L192" s="963"/>
      <c r="M192" s="963"/>
      <c r="N192" s="963"/>
      <c r="O192" s="963"/>
      <c r="P192" s="963"/>
      <c r="Q192" s="963"/>
      <c r="R192" s="963"/>
      <c r="S192" s="963"/>
      <c r="T192" s="963"/>
      <c r="U192" s="963"/>
      <c r="V192" s="220"/>
      <c r="W192" s="475">
        <f>AND(W191,AE191&lt;&gt;"Метод экономически обоснованных расходов",AE191&lt;&gt;"Метод сравнения аналогов")</f>
        <v>0</v>
      </c>
      <c r="X192" s="963"/>
      <c r="Y192" s="963"/>
      <c r="Z192" s="1443"/>
      <c r="AA192" s="1459"/>
      <c r="AB192" s="1670"/>
      <c r="AC192" s="1671"/>
      <c r="AD192" s="65"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687"/>
      <c r="AF192" s="1444"/>
      <c r="AG192" s="963"/>
      <c r="AH192" s="963"/>
      <c r="AI192" s="963"/>
      <c r="AJ192" s="963"/>
      <c r="AK192" s="963"/>
      <c r="AL192" s="963"/>
      <c r="AM192" s="963"/>
      <c r="AN192" s="963"/>
      <c r="AO192" s="963"/>
      <c r="AP192" s="963"/>
      <c r="AQ192" s="963"/>
      <c r="AR192" s="963"/>
      <c r="AS192" s="963"/>
      <c r="AT192" s="963"/>
      <c r="AU192" s="963"/>
      <c r="AV192" s="963"/>
      <c r="AW192" s="963"/>
      <c r="AX192" s="963"/>
      <c r="AY192" s="963"/>
      <c r="AZ192" s="963"/>
      <c r="BA192" s="963"/>
    </row>
    <row customHeight="1" ht="16.0875" hidden="1">
      <c r="A193" s="963"/>
      <c r="B193" s="418">
        <f>org_declaration="Заявление организации"</f>
        <v>1</v>
      </c>
      <c r="C193" s="963"/>
      <c r="D193" s="963"/>
      <c r="E193" s="618">
        <v>16.5</v>
      </c>
      <c r="F193" s="73" cm="1" t="str">
        <f t="array" ref="F193:F193">F192</f>
        <v>0</v>
      </c>
      <c r="G193" s="963"/>
      <c r="H193" s="963"/>
      <c r="I193" s="963"/>
      <c r="J193" s="963"/>
      <c r="K193" s="963"/>
      <c r="L193" s="963"/>
      <c r="M193" s="963"/>
      <c r="N193" s="963"/>
      <c r="O193" s="963"/>
      <c r="P193" s="963"/>
      <c r="Q193" s="963"/>
      <c r="R193" s="963"/>
      <c r="S193" s="963"/>
      <c r="T193" s="963"/>
      <c r="U193" s="963"/>
      <c r="V193" s="220"/>
      <c r="W193" s="475">
        <f>AND(W192,AE191&lt;&gt;"Метод экономически обоснованных расходов",AE191&lt;&gt;"Метод сравнения аналогов")</f>
        <v>0</v>
      </c>
      <c r="X193" s="963"/>
      <c r="Y193" s="963"/>
      <c r="Z193" s="1443"/>
      <c r="AA193" s="1459"/>
      <c r="AB193" s="1670"/>
      <c r="AC193" s="1671"/>
      <c r="AD193" s="370" t="s">
        <v>106</v>
      </c>
      <c r="AE193" s="1687"/>
      <c r="AF193" s="1444"/>
      <c r="AG193" s="963"/>
      <c r="AH193" s="963"/>
      <c r="AI193" s="963"/>
      <c r="AJ193" s="963"/>
      <c r="AK193" s="963"/>
      <c r="AL193" s="963"/>
      <c r="AM193" s="963"/>
      <c r="AN193" s="963"/>
      <c r="AO193" s="963"/>
      <c r="AP193" s="963"/>
      <c r="AQ193" s="963"/>
      <c r="AR193" s="963"/>
      <c r="AS193" s="963"/>
      <c r="AT193" s="963"/>
      <c r="AU193" s="963"/>
      <c r="AV193" s="963"/>
      <c r="AW193" s="963"/>
      <c r="AX193" s="963"/>
      <c r="AY193" s="963"/>
      <c r="AZ193" s="963"/>
      <c r="BA193" s="963"/>
    </row>
    <row s="1621" customFormat="1" customHeight="1" ht="18">
      <c r="A194" s="963"/>
      <c r="B194" s="73"/>
      <c r="C194" s="963"/>
      <c r="D194" s="963"/>
      <c r="E194" s="618">
        <v>18.75</v>
      </c>
      <c r="F194" s="73" cm="1" t="str">
        <f t="array" ref="F194:F194">Z194</f>
        <v>1</v>
      </c>
      <c r="G194" s="963"/>
      <c r="H194" s="963"/>
      <c r="I194" s="963"/>
      <c r="J194" s="963"/>
      <c r="K194" s="963"/>
      <c r="L194" s="963"/>
      <c r="M194" s="963"/>
      <c r="N194" s="963"/>
      <c r="O194" s="963"/>
      <c r="P194" s="963"/>
      <c r="Q194" s="963"/>
      <c r="R194" s="963"/>
      <c r="S194" s="963"/>
      <c r="T194" s="963"/>
      <c r="U194" s="963"/>
      <c r="V194" s="220" cm="1" t="str">
        <f t="array" ref="V194:V194">AE195</f>
        <v>ХВС.42.26520873.0006</v>
      </c>
      <c r="W194" s="475">
        <f>Z194&gt;0</f>
        <v>1</v>
      </c>
      <c r="X194" s="73"/>
      <c r="Y194" s="963"/>
      <c r="Z194" s="1443" t="s">
        <v>272</v>
      </c>
      <c r="AA194" s="1459"/>
      <c r="AB194" s="1455"/>
      <c r="AC194" s="1456"/>
      <c r="AD194" s="368" t="str">
        <f>"Тариф "&amp;Z194</f>
        <v>Тариф 1</v>
      </c>
      <c r="AE194" s="369" t="s">
        <v>273</v>
      </c>
      <c r="AF194" s="1444" t="s">
        <v>174</v>
      </c>
      <c r="AG194" s="73" t="str">
        <f>AD194&amp;" ("&amp;AE194&amp;") - "&amp;AE196&amp;IF(AE200="",""," ("&amp;AE200&amp;")")</f>
        <v>Тариф 1 (Водоснабжение) - тариф на техническую воду (Оказание услуг на территории: Прокопьевский муниципальный округ (ОКТМО: 32522000) - п Калачево)</v>
      </c>
      <c r="AH194" s="73" cm="1" t="str">
        <f t="array" ref="AH194:AH194">AE199</f>
        <v>техническая вода</v>
      </c>
      <c r="AI194" s="220" cm="1" t="str">
        <f t="array" ref="AI194:AI194">AE196</f>
        <v>тариф на техническую воду</v>
      </c>
      <c r="AJ194" s="73" cm="1" t="str">
        <f t="array" ref="AJ194:AJ194">AE200</f>
        <v>Оказание услуг на территории: Прокопьевский муниципальный округ (ОКТМО: 32522000) - п Калачево</v>
      </c>
      <c r="AK194" s="73" cm="1" t="str">
        <f t="array" ref="AK194:AK194">AE197</f>
        <v>одноставочный</v>
      </c>
      <c r="AL194" s="891" cm="1" t="str">
        <f t="array" ref="AL194:AL194">AE204</f>
        <v>45474</v>
      </c>
      <c r="AM194" s="472" cm="1" t="str">
        <f t="array" ref="AM194:AM194">AE205</f>
        <v>Метод индексации</v>
      </c>
      <c r="AN194" s="73">
        <f>IF(ISERR(SEARCH("трансп",AI194)),FALSE,TRUE)</f>
        <v>0</v>
      </c>
      <c r="AO194" s="963"/>
      <c r="AP194" s="963"/>
      <c r="AQ194" s="963"/>
      <c r="AR194" s="963"/>
      <c r="AS194" s="963"/>
      <c r="AT194" s="963"/>
      <c r="AU194" s="963"/>
      <c r="AV194" s="963"/>
      <c r="AW194" s="963"/>
      <c r="AX194" s="963"/>
      <c r="AY194" s="963"/>
      <c r="AZ194" s="963"/>
      <c r="BA194" s="963"/>
    </row>
    <row s="1621" customFormat="1" customHeight="1" ht="15.75">
      <c r="A195" s="963"/>
      <c r="B195" s="73"/>
      <c r="C195" s="963"/>
      <c r="D195" s="963"/>
      <c r="E195" s="618">
        <v>16.5</v>
      </c>
      <c r="F195" s="73" cm="1" t="str">
        <f t="array" ref="F195:F195">F194</f>
        <v>1</v>
      </c>
      <c r="G195" s="963"/>
      <c r="H195" s="963"/>
      <c r="I195" s="963"/>
      <c r="J195" s="963"/>
      <c r="K195" s="963"/>
      <c r="L195" s="963"/>
      <c r="M195" s="963"/>
      <c r="N195" s="963"/>
      <c r="O195" s="963"/>
      <c r="P195" s="963"/>
      <c r="Q195" s="963"/>
      <c r="R195" s="963"/>
      <c r="S195" s="963"/>
      <c r="T195" s="963"/>
      <c r="U195" s="963"/>
      <c r="V195" s="220"/>
      <c r="W195" s="475" cm="1" t="str">
        <f t="array" ref="W195:W195">W194</f>
        <v>true</v>
      </c>
      <c r="X195" s="963"/>
      <c r="Y195" s="963"/>
      <c r="Z195" s="1443"/>
      <c r="AA195" s="1459"/>
      <c r="AB195" s="1455"/>
      <c r="AC195" s="1456"/>
      <c r="AD195" s="370" t="s">
        <v>262</v>
      </c>
      <c r="AE195" s="361" t="s">
        <v>274</v>
      </c>
      <c r="AF195" s="1444"/>
      <c r="AG195" s="963"/>
      <c r="AH195" s="963">
        <v>8741430200</v>
      </c>
      <c r="AI195" s="963"/>
      <c r="AJ195" s="963"/>
      <c r="AK195" s="963"/>
      <c r="AL195" s="963"/>
      <c r="AM195" s="963"/>
      <c r="AN195" s="963"/>
      <c r="AO195" s="963"/>
      <c r="AP195" s="963"/>
      <c r="AQ195" s="963"/>
      <c r="AR195" s="963"/>
      <c r="AS195" s="963"/>
      <c r="AT195" s="963"/>
      <c r="AU195" s="963"/>
      <c r="AV195" s="963"/>
      <c r="AW195" s="963"/>
      <c r="AX195" s="963"/>
      <c r="AY195" s="963"/>
      <c r="AZ195" s="963"/>
      <c r="BA195" s="963"/>
    </row>
    <row s="1621" customFormat="1" customHeight="1" ht="15.75">
      <c r="A196" s="963"/>
      <c r="B196" s="73"/>
      <c r="C196" s="963"/>
      <c r="D196" s="963"/>
      <c r="E196" s="618">
        <v>16.5</v>
      </c>
      <c r="F196" s="73" cm="1" t="str">
        <f t="array" ref="F196:F196">F195</f>
        <v>1</v>
      </c>
      <c r="G196" s="963"/>
      <c r="H196" s="963"/>
      <c r="I196" s="963"/>
      <c r="J196" s="963"/>
      <c r="K196" s="963"/>
      <c r="L196" s="963"/>
      <c r="M196" s="963"/>
      <c r="N196" s="963"/>
      <c r="O196" s="963"/>
      <c r="P196" s="963"/>
      <c r="Q196" s="963"/>
      <c r="R196" s="963"/>
      <c r="S196" s="963"/>
      <c r="T196" s="963"/>
      <c r="U196" s="963"/>
      <c r="V196" s="220"/>
      <c r="W196" s="475" cm="1" t="str">
        <f t="array" ref="W196:W196">W195</f>
        <v>true</v>
      </c>
      <c r="X196" s="963"/>
      <c r="Y196" s="963"/>
      <c r="Z196" s="1443"/>
      <c r="AA196" s="1459"/>
      <c r="AB196" s="1455"/>
      <c r="AC196" s="1456"/>
      <c r="AD196" s="370" t="s">
        <v>263</v>
      </c>
      <c r="AE196" s="363" t="s">
        <v>275</v>
      </c>
      <c r="AF196" s="1444"/>
      <c r="AG196" s="963"/>
      <c r="AH196" s="963"/>
      <c r="AI196" s="963"/>
      <c r="AJ196" s="963"/>
      <c r="AK196" s="963"/>
      <c r="AL196" s="963"/>
      <c r="AM196" s="963"/>
      <c r="AN196" s="963"/>
      <c r="AO196" s="963"/>
      <c r="AP196" s="963"/>
      <c r="AQ196" s="963"/>
      <c r="AR196" s="963"/>
      <c r="AS196" s="963"/>
      <c r="AT196" s="963"/>
      <c r="AU196" s="963"/>
      <c r="AV196" s="963"/>
      <c r="AW196" s="963"/>
      <c r="AX196" s="963"/>
      <c r="AY196" s="963"/>
      <c r="AZ196" s="963"/>
      <c r="BA196" s="963"/>
    </row>
    <row s="1621" customFormat="1" customHeight="1" ht="15.75">
      <c r="A197" s="963"/>
      <c r="B197" s="73"/>
      <c r="C197" s="963"/>
      <c r="D197" s="963"/>
      <c r="E197" s="618">
        <v>16.5</v>
      </c>
      <c r="F197" s="73" cm="1" t="str">
        <f t="array" ref="F197:F197">F196</f>
        <v>1</v>
      </c>
      <c r="G197" s="963"/>
      <c r="H197" s="963"/>
      <c r="I197" s="963"/>
      <c r="J197" s="963"/>
      <c r="K197" s="963"/>
      <c r="L197" s="963"/>
      <c r="M197" s="963"/>
      <c r="N197" s="963"/>
      <c r="O197" s="963"/>
      <c r="P197" s="963"/>
      <c r="Q197" s="963"/>
      <c r="R197" s="963"/>
      <c r="S197" s="963"/>
      <c r="T197" s="963"/>
      <c r="U197" s="963"/>
      <c r="V197" s="220"/>
      <c r="W197" s="475" cm="1" t="str">
        <f t="array" ref="W197:W197">W196</f>
        <v>true</v>
      </c>
      <c r="X197" s="963"/>
      <c r="Y197" s="963"/>
      <c r="Z197" s="1443"/>
      <c r="AA197" s="1459"/>
      <c r="AB197" s="1455"/>
      <c r="AC197" s="1456"/>
      <c r="AD197" s="370" t="s">
        <v>264</v>
      </c>
      <c r="AE197" s="363" t="s">
        <v>276</v>
      </c>
      <c r="AF197" s="1444"/>
      <c r="AG197" s="963"/>
      <c r="AH197" s="963"/>
      <c r="AI197" s="963"/>
      <c r="AJ197" s="963"/>
      <c r="AK197" s="963"/>
      <c r="AL197" s="963"/>
      <c r="AM197" s="963"/>
      <c r="AN197" s="963"/>
      <c r="AO197" s="963"/>
      <c r="AP197" s="963"/>
      <c r="AQ197" s="963"/>
      <c r="AR197" s="963"/>
      <c r="AS197" s="963"/>
      <c r="AT197" s="963"/>
      <c r="AU197" s="963"/>
      <c r="AV197" s="963"/>
      <c r="AW197" s="963"/>
      <c r="AX197" s="963"/>
      <c r="AY197" s="963"/>
      <c r="AZ197" s="963"/>
      <c r="BA197" s="963"/>
    </row>
    <row s="1621" customFormat="1" customHeight="1" ht="23.25">
      <c r="A198" s="963"/>
      <c r="B198" s="73"/>
      <c r="C198" s="963"/>
      <c r="D198" s="963"/>
      <c r="E198" s="618">
        <v>16.5</v>
      </c>
      <c r="F198" s="73" cm="1" t="str">
        <f t="array" ref="F198:F198">F197</f>
        <v>1</v>
      </c>
      <c r="G198" s="963"/>
      <c r="H198" s="963"/>
      <c r="I198" s="963"/>
      <c r="J198" s="963"/>
      <c r="K198" s="963"/>
      <c r="L198" s="963"/>
      <c r="M198" s="963"/>
      <c r="N198" s="963"/>
      <c r="O198" s="963"/>
      <c r="P198" s="963"/>
      <c r="Q198" s="963"/>
      <c r="R198" s="963"/>
      <c r="S198" s="963"/>
      <c r="T198" s="963"/>
      <c r="U198" s="963"/>
      <c r="V198" s="220"/>
      <c r="W198" s="475" cm="1" t="str">
        <f t="array" ref="W198:W198">W197</f>
        <v>true</v>
      </c>
      <c r="X198" s="963"/>
      <c r="Y198" s="963"/>
      <c r="Z198" s="1443"/>
      <c r="AA198" s="1459"/>
      <c r="AB198" s="1455"/>
      <c r="AC198" s="1456"/>
      <c r="AD198" s="370" t="s">
        <v>265</v>
      </c>
      <c r="AE198" s="735" t="s">
        <v>277</v>
      </c>
      <c r="AF198" s="1444"/>
      <c r="AG198" s="963"/>
      <c r="AH198" s="963"/>
      <c r="AI198" s="963"/>
      <c r="AJ198" s="963"/>
      <c r="AK198" s="963"/>
      <c r="AL198" s="963"/>
      <c r="AM198" s="963"/>
      <c r="AN198" s="963"/>
      <c r="AO198" s="963"/>
      <c r="AP198" s="963"/>
      <c r="AQ198" s="963"/>
      <c r="AR198" s="963"/>
      <c r="AS198" s="963"/>
      <c r="AT198" s="963"/>
      <c r="AU198" s="963"/>
      <c r="AV198" s="963"/>
      <c r="AW198" s="963"/>
      <c r="AX198" s="963"/>
      <c r="AY198" s="963"/>
      <c r="AZ198" s="963"/>
      <c r="BA198" s="963"/>
    </row>
    <row s="1621" customFormat="1" customHeight="1" ht="15.75">
      <c r="A199" s="963"/>
      <c r="B199" s="73"/>
      <c r="C199" s="963"/>
      <c r="D199" s="963"/>
      <c r="E199" s="618">
        <v>16.5</v>
      </c>
      <c r="F199" s="73" cm="1" t="str">
        <f t="array" ref="F199:F199">F198</f>
        <v>1</v>
      </c>
      <c r="G199" s="963"/>
      <c r="H199" s="963"/>
      <c r="I199" s="963"/>
      <c r="J199" s="963"/>
      <c r="K199" s="963"/>
      <c r="L199" s="963"/>
      <c r="M199" s="963"/>
      <c r="N199" s="963"/>
      <c r="O199" s="963"/>
      <c r="P199" s="963"/>
      <c r="Q199" s="963"/>
      <c r="R199" s="963"/>
      <c r="S199" s="963"/>
      <c r="T199" s="963"/>
      <c r="U199" s="963"/>
      <c r="V199" s="220"/>
      <c r="W199" s="475" cm="1" t="str">
        <f t="array" ref="W199:W199">W198</f>
        <v>true</v>
      </c>
      <c r="X199" s="963"/>
      <c r="Y199" s="963"/>
      <c r="Z199" s="1443"/>
      <c r="AA199" s="1459"/>
      <c r="AB199" s="1455"/>
      <c r="AC199" s="1456"/>
      <c r="AD199" s="65" t="str">
        <f>IF(AE194="Водоотведение","Вид сточных вод","Вид воды")</f>
        <v>Вид воды</v>
      </c>
      <c r="AE199" s="363" t="s">
        <v>278</v>
      </c>
      <c r="AF199" s="1444"/>
      <c r="AG199" s="963"/>
      <c r="AH199" s="963"/>
      <c r="AI199" s="963"/>
      <c r="AJ199" s="963"/>
      <c r="AK199" s="963"/>
      <c r="AL199" s="963"/>
      <c r="AM199" s="963"/>
      <c r="AN199" s="963"/>
      <c r="AO199" s="963"/>
      <c r="AP199" s="963"/>
      <c r="AQ199" s="963"/>
      <c r="AR199" s="963"/>
      <c r="AS199" s="963"/>
      <c r="AT199" s="963"/>
      <c r="AU199" s="963"/>
      <c r="AV199" s="963"/>
      <c r="AW199" s="963"/>
      <c r="AX199" s="963"/>
      <c r="AY199" s="963"/>
      <c r="AZ199" s="963"/>
      <c r="BA199" s="963"/>
    </row>
    <row s="1621" customFormat="1" customHeight="1" ht="23.25">
      <c r="A200" s="963"/>
      <c r="B200" s="73"/>
      <c r="C200" s="963"/>
      <c r="D200" s="963"/>
      <c r="E200" s="618">
        <v>16.5</v>
      </c>
      <c r="F200" s="73" cm="1" t="str">
        <f t="array" ref="F200:F200">F199</f>
        <v>1</v>
      </c>
      <c r="G200" s="963"/>
      <c r="H200" s="963"/>
      <c r="I200" s="963"/>
      <c r="J200" s="963"/>
      <c r="K200" s="963"/>
      <c r="L200" s="963"/>
      <c r="M200" s="963"/>
      <c r="N200" s="963"/>
      <c r="O200" s="963"/>
      <c r="P200" s="963"/>
      <c r="Q200" s="963"/>
      <c r="R200" s="963"/>
      <c r="S200" s="963"/>
      <c r="T200" s="963"/>
      <c r="U200" s="963"/>
      <c r="V200" s="220"/>
      <c r="W200" s="475" cm="1" t="str">
        <f t="array" ref="W200:W200">W199</f>
        <v>true</v>
      </c>
      <c r="X200" s="963"/>
      <c r="Y200" s="963"/>
      <c r="Z200" s="1443"/>
      <c r="AA200" s="1459"/>
      <c r="AB200" s="1455"/>
      <c r="AC200" s="1456"/>
      <c r="AD200" s="65" t="s">
        <v>266</v>
      </c>
      <c r="AE200" s="735" t="s">
        <v>279</v>
      </c>
      <c r="AF200" s="1444"/>
      <c r="AG200" s="963"/>
      <c r="AH200" s="963"/>
      <c r="AI200" s="963"/>
      <c r="AJ200" s="963"/>
      <c r="AK200" s="963"/>
      <c r="AL200" s="963"/>
      <c r="AM200" s="963"/>
      <c r="AN200" s="963"/>
      <c r="AO200" s="963"/>
      <c r="AP200" s="963"/>
      <c r="AQ200" s="963"/>
      <c r="AR200" s="963"/>
      <c r="AS200" s="963"/>
      <c r="AT200" s="963"/>
      <c r="AU200" s="963"/>
      <c r="AV200" s="963"/>
      <c r="AW200" s="963"/>
      <c r="AX200" s="963"/>
      <c r="AY200" s="963"/>
      <c r="AZ200" s="963"/>
      <c r="BA200" s="963"/>
    </row>
    <row s="1621" customFormat="1" customHeight="1" ht="15.75">
      <c r="A201" s="963"/>
      <c r="B201" s="418">
        <f>org_declaration="Заявление организации"</f>
        <v>1</v>
      </c>
      <c r="C201" s="963"/>
      <c r="D201" s="963"/>
      <c r="E201" s="618">
        <v>16.5</v>
      </c>
      <c r="F201" s="73" cm="1" t="str">
        <f t="array" ref="F201:F201">F200</f>
        <v>1</v>
      </c>
      <c r="G201" s="963"/>
      <c r="H201" s="963"/>
      <c r="I201" s="963"/>
      <c r="J201" s="963"/>
      <c r="K201" s="963"/>
      <c r="L201" s="963"/>
      <c r="M201" s="963"/>
      <c r="N201" s="963"/>
      <c r="O201" s="963"/>
      <c r="P201" s="963"/>
      <c r="Q201" s="963"/>
      <c r="R201" s="963"/>
      <c r="S201" s="963"/>
      <c r="T201" s="963"/>
      <c r="U201" s="963"/>
      <c r="V201" s="220"/>
      <c r="W201" s="475" cm="1" t="str">
        <f t="array" ref="W201:W201">W200</f>
        <v>true</v>
      </c>
      <c r="X201" s="963"/>
      <c r="Y201" s="963"/>
      <c r="Z201" s="1443"/>
      <c r="AA201" s="1459"/>
      <c r="AB201" s="1455"/>
      <c r="AC201" s="1456"/>
      <c r="AD201" s="370" t="s">
        <v>267</v>
      </c>
      <c r="AE201" s="371" t="s">
        <v>280</v>
      </c>
      <c r="AF201" s="1444"/>
      <c r="AG201" s="963"/>
      <c r="AH201" s="963"/>
      <c r="AI201" s="963"/>
      <c r="AJ201" s="963"/>
      <c r="AK201" s="963"/>
      <c r="AL201" s="963"/>
      <c r="AM201" s="963"/>
      <c r="AN201" s="963"/>
      <c r="AO201" s="963"/>
      <c r="AP201" s="963"/>
      <c r="AQ201" s="963"/>
      <c r="AR201" s="963"/>
      <c r="AS201" s="963"/>
      <c r="AT201" s="963"/>
      <c r="AU201" s="963"/>
      <c r="AV201" s="963"/>
      <c r="AW201" s="963"/>
      <c r="AX201" s="963"/>
      <c r="AY201" s="963"/>
      <c r="AZ201" s="963"/>
      <c r="BA201" s="963"/>
    </row>
    <row s="1621" customFormat="1" customHeight="1" ht="15.75">
      <c r="A202" s="963"/>
      <c r="B202" s="418">
        <f>org_declaration="Заявление организации"</f>
        <v>1</v>
      </c>
      <c r="C202" s="963"/>
      <c r="D202" s="963"/>
      <c r="E202" s="618">
        <v>16.5</v>
      </c>
      <c r="F202" s="73" cm="1" t="str">
        <f t="array" ref="F202:F202">F201</f>
        <v>1</v>
      </c>
      <c r="G202" s="963"/>
      <c r="H202" s="963"/>
      <c r="I202" s="963"/>
      <c r="J202" s="963"/>
      <c r="K202" s="963"/>
      <c r="L202" s="963"/>
      <c r="M202" s="963"/>
      <c r="N202" s="963"/>
      <c r="O202" s="963"/>
      <c r="P202" s="963"/>
      <c r="Q202" s="963"/>
      <c r="R202" s="963"/>
      <c r="S202" s="963"/>
      <c r="T202" s="963"/>
      <c r="U202" s="963"/>
      <c r="V202" s="220"/>
      <c r="W202" s="475" cm="1" t="str">
        <f t="array" ref="W202:W202">W201</f>
        <v>true</v>
      </c>
      <c r="X202" s="963"/>
      <c r="Y202" s="963"/>
      <c r="Z202" s="1443"/>
      <c r="AA202" s="1459"/>
      <c r="AB202" s="1455"/>
      <c r="AC202" s="1456"/>
      <c r="AD202" s="370" t="s">
        <v>268</v>
      </c>
      <c r="AE202" s="1062" t="s">
        <v>281</v>
      </c>
      <c r="AF202" s="1444"/>
      <c r="AG202" s="963"/>
      <c r="AH202" s="963"/>
      <c r="AI202" s="963"/>
      <c r="AJ202" s="963"/>
      <c r="AK202" s="963"/>
      <c r="AL202" s="963"/>
      <c r="AM202" s="963"/>
      <c r="AN202" s="963"/>
      <c r="AO202" s="963"/>
      <c r="AP202" s="963"/>
      <c r="AQ202" s="963"/>
      <c r="AR202" s="963"/>
      <c r="AS202" s="963"/>
      <c r="AT202" s="963"/>
      <c r="AU202" s="963"/>
      <c r="AV202" s="963"/>
      <c r="AW202" s="963"/>
      <c r="AX202" s="963"/>
      <c r="AY202" s="963"/>
      <c r="AZ202" s="963"/>
      <c r="BA202" s="963"/>
    </row>
    <row s="1621" customFormat="1" customHeight="1" ht="12.75">
      <c r="A203" s="963"/>
      <c r="B203" s="418">
        <f>org_declaration="Заявление организации"</f>
        <v>1</v>
      </c>
      <c r="C203" s="963"/>
      <c r="D203" s="963"/>
      <c r="E203" s="618">
        <v>16.5</v>
      </c>
      <c r="F203" s="73" cm="1" t="str">
        <f t="array" ref="F203:F203">F202</f>
        <v>1</v>
      </c>
      <c r="G203" s="963"/>
      <c r="H203" s="963"/>
      <c r="I203" s="963"/>
      <c r="J203" s="963"/>
      <c r="K203" s="963"/>
      <c r="L203" s="963"/>
      <c r="M203" s="963"/>
      <c r="N203" s="963"/>
      <c r="O203" s="963"/>
      <c r="P203" s="963"/>
      <c r="Q203" s="963"/>
      <c r="R203" s="963"/>
      <c r="S203" s="963"/>
      <c r="T203" s="963"/>
      <c r="U203" s="963"/>
      <c r="V203" s="220"/>
      <c r="W203" s="475" cm="1" t="str">
        <f t="array" ref="W203:W203">W202</f>
        <v>true</v>
      </c>
      <c r="X203" s="963"/>
      <c r="Y203" s="963"/>
      <c r="Z203" s="1443"/>
      <c r="AA203" s="1459"/>
      <c r="AB203" s="1455"/>
      <c r="AC203" s="1456"/>
      <c r="AD203" s="370" t="s">
        <v>269</v>
      </c>
      <c r="AE203" s="372" t="s">
        <v>282</v>
      </c>
      <c r="AF203" s="1444"/>
      <c r="AG203" s="963"/>
      <c r="AH203" s="963"/>
      <c r="AI203" s="963"/>
      <c r="AJ203" s="963"/>
      <c r="AK203" s="963"/>
      <c r="AL203" s="963"/>
      <c r="AM203" s="963"/>
      <c r="AN203" s="963"/>
      <c r="AO203" s="963"/>
      <c r="AP203" s="963"/>
      <c r="AQ203" s="963"/>
      <c r="AR203" s="963"/>
      <c r="AS203" s="963"/>
      <c r="AT203" s="963"/>
      <c r="AU203" s="963"/>
      <c r="AV203" s="963"/>
      <c r="AW203" s="963"/>
      <c r="AX203" s="963"/>
      <c r="AY203" s="963"/>
      <c r="AZ203" s="963"/>
      <c r="BA203" s="963"/>
    </row>
    <row s="1621" customFormat="1" customHeight="1" ht="15.75">
      <c r="A204" s="963"/>
      <c r="B204" s="418">
        <f>org_declaration="Заявление организации"</f>
        <v>1</v>
      </c>
      <c r="C204" s="963"/>
      <c r="D204" s="963"/>
      <c r="E204" s="618">
        <v>16.5</v>
      </c>
      <c r="F204" s="73" cm="1" t="str">
        <f t="array" ref="F204:F204">F203</f>
        <v>1</v>
      </c>
      <c r="G204" s="963"/>
      <c r="H204" s="963"/>
      <c r="I204" s="963"/>
      <c r="J204" s="963"/>
      <c r="K204" s="963"/>
      <c r="L204" s="963"/>
      <c r="M204" s="963"/>
      <c r="N204" s="963"/>
      <c r="O204" s="963"/>
      <c r="P204" s="963"/>
      <c r="Q204" s="963"/>
      <c r="R204" s="963"/>
      <c r="S204" s="963"/>
      <c r="T204" s="963"/>
      <c r="U204" s="963"/>
      <c r="V204" s="220"/>
      <c r="W204" s="475" cm="1" t="str">
        <f t="array" ref="W204:W204">W203</f>
        <v>true</v>
      </c>
      <c r="X204" s="963"/>
      <c r="Y204" s="963"/>
      <c r="Z204" s="1443"/>
      <c r="AA204" s="1459"/>
      <c r="AB204" s="1455"/>
      <c r="AC204" s="1456"/>
      <c r="AD204" s="370" t="s">
        <v>270</v>
      </c>
      <c r="AE204" s="923" t="str">
        <f>IF(ISBLANK(AE206),"",DATE(AE206,7,1))</f>
        <v>45474</v>
      </c>
      <c r="AF204" s="1444"/>
      <c r="AG204" s="963"/>
      <c r="AH204" s="963"/>
      <c r="AI204" s="963"/>
      <c r="AJ204" s="963"/>
      <c r="AK204" s="963"/>
      <c r="AL204" s="963"/>
      <c r="AM204" s="963"/>
      <c r="AN204" s="963"/>
      <c r="AO204" s="963"/>
      <c r="AP204" s="963"/>
      <c r="AQ204" s="963"/>
      <c r="AR204" s="963"/>
      <c r="AS204" s="963"/>
      <c r="AT204" s="963"/>
      <c r="AU204" s="963"/>
      <c r="AV204" s="963"/>
      <c r="AW204" s="963"/>
      <c r="AX204" s="963"/>
      <c r="AY204" s="963"/>
      <c r="AZ204" s="963"/>
      <c r="BA204" s="963"/>
    </row>
    <row s="1621" customFormat="1" customHeight="1" ht="15.75">
      <c r="A205" s="963"/>
      <c r="B205" s="418">
        <f>org_declaration="Заявление организации"</f>
        <v>1</v>
      </c>
      <c r="C205" s="963"/>
      <c r="D205" s="963"/>
      <c r="E205" s="618">
        <v>16.5</v>
      </c>
      <c r="F205" s="73" cm="1" t="str">
        <f t="array" ref="F205:F205">F204</f>
        <v>1</v>
      </c>
      <c r="G205" s="963"/>
      <c r="H205" s="963"/>
      <c r="I205" s="963"/>
      <c r="J205" s="963"/>
      <c r="K205" s="963"/>
      <c r="L205" s="963"/>
      <c r="M205" s="963"/>
      <c r="N205" s="963"/>
      <c r="O205" s="963"/>
      <c r="P205" s="963"/>
      <c r="Q205" s="963"/>
      <c r="R205" s="963"/>
      <c r="S205" s="963"/>
      <c r="T205" s="963"/>
      <c r="U205" s="963"/>
      <c r="V205" s="220"/>
      <c r="W205" s="475" cm="1" t="str">
        <f t="array" ref="W205:W205">W204</f>
        <v>true</v>
      </c>
      <c r="X205" s="963"/>
      <c r="Y205" s="963"/>
      <c r="Z205" s="1443"/>
      <c r="AA205" s="1459"/>
      <c r="AB205" s="1455"/>
      <c r="AC205" s="1456"/>
      <c r="AD205" s="370" t="s">
        <v>271</v>
      </c>
      <c r="AE205" s="430" t="s">
        <v>103</v>
      </c>
      <c r="AF205" s="1444"/>
      <c r="AG205" s="963"/>
      <c r="AH205" s="963"/>
      <c r="AI205" s="963"/>
      <c r="AJ205" s="963"/>
      <c r="AK205" s="963"/>
      <c r="AL205" s="963"/>
      <c r="AM205" s="963"/>
      <c r="AN205" s="963"/>
      <c r="AO205" s="963"/>
      <c r="AP205" s="963"/>
      <c r="AQ205" s="963"/>
      <c r="AR205" s="963"/>
      <c r="AS205" s="963"/>
      <c r="AT205" s="963"/>
      <c r="AU205" s="963"/>
      <c r="AV205" s="963"/>
      <c r="AW205" s="963"/>
      <c r="AX205" s="963"/>
      <c r="AY205" s="963"/>
      <c r="AZ205" s="963"/>
      <c r="BA205" s="963"/>
    </row>
    <row s="1621" customFormat="1" customHeight="1" ht="21.75">
      <c r="A206" s="963"/>
      <c r="B206" s="418">
        <f>org_declaration="Заявление организации"</f>
        <v>1</v>
      </c>
      <c r="C206" s="963"/>
      <c r="D206" s="963"/>
      <c r="E206" s="618">
        <v>22.5</v>
      </c>
      <c r="F206" s="73" cm="1" t="str">
        <f t="array" ref="F206:F206">F205</f>
        <v>1</v>
      </c>
      <c r="G206" s="963"/>
      <c r="H206" s="963"/>
      <c r="I206" s="963"/>
      <c r="J206" s="963"/>
      <c r="K206" s="963"/>
      <c r="L206" s="963"/>
      <c r="M206" s="963"/>
      <c r="N206" s="963"/>
      <c r="O206" s="963"/>
      <c r="P206" s="963"/>
      <c r="Q206" s="963"/>
      <c r="R206" s="963"/>
      <c r="S206" s="963"/>
      <c r="T206" s="963"/>
      <c r="U206" s="963"/>
      <c r="V206" s="220"/>
      <c r="W206" s="475">
        <f>AND(W205,AE205&lt;&gt;"Метод экономически обоснованных расходов",AE205&lt;&gt;"Метод сравнения аналогов")</f>
        <v>1</v>
      </c>
      <c r="X206" s="963"/>
      <c r="Y206" s="963"/>
      <c r="Z206" s="1443"/>
      <c r="AA206" s="1459"/>
      <c r="AB206" s="1455"/>
      <c r="AC206" s="1456"/>
      <c r="AD206" s="65"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431">
        <v>2024</v>
      </c>
      <c r="AF206" s="1444"/>
      <c r="AG206" s="963"/>
      <c r="AH206" s="963"/>
      <c r="AI206" s="963"/>
      <c r="AJ206" s="963"/>
      <c r="AK206" s="963"/>
      <c r="AL206" s="963"/>
      <c r="AM206" s="963"/>
      <c r="AN206" s="963"/>
      <c r="AO206" s="963"/>
      <c r="AP206" s="963"/>
      <c r="AQ206" s="963"/>
      <c r="AR206" s="963"/>
      <c r="AS206" s="963"/>
      <c r="AT206" s="963"/>
      <c r="AU206" s="963"/>
      <c r="AV206" s="963"/>
      <c r="AW206" s="963"/>
      <c r="AX206" s="963"/>
      <c r="AY206" s="963"/>
      <c r="AZ206" s="963"/>
      <c r="BA206" s="963"/>
    </row>
    <row s="1621" customFormat="1" customHeight="1" ht="15.75">
      <c r="A207" s="963"/>
      <c r="B207" s="418">
        <f>org_declaration="Заявление организации"</f>
        <v>1</v>
      </c>
      <c r="C207" s="963"/>
      <c r="D207" s="963"/>
      <c r="E207" s="618">
        <v>16.5</v>
      </c>
      <c r="F207" s="73" cm="1" t="str">
        <f t="array" ref="F207:F207">F206</f>
        <v>1</v>
      </c>
      <c r="G207" s="963"/>
      <c r="H207" s="963"/>
      <c r="I207" s="963"/>
      <c r="J207" s="963"/>
      <c r="K207" s="963"/>
      <c r="L207" s="963"/>
      <c r="M207" s="963"/>
      <c r="N207" s="963"/>
      <c r="O207" s="963"/>
      <c r="P207" s="963"/>
      <c r="Q207" s="963"/>
      <c r="R207" s="963"/>
      <c r="S207" s="963"/>
      <c r="T207" s="963"/>
      <c r="U207" s="963"/>
      <c r="V207" s="220"/>
      <c r="W207" s="475">
        <f>AND(W206,AE205&lt;&gt;"Метод экономически обоснованных расходов",AE205&lt;&gt;"Метод сравнения аналогов")</f>
        <v>1</v>
      </c>
      <c r="X207" s="963"/>
      <c r="Y207" s="963"/>
      <c r="Z207" s="1443"/>
      <c r="AA207" s="1459"/>
      <c r="AB207" s="1455"/>
      <c r="AC207" s="1456"/>
      <c r="AD207" s="370" t="s">
        <v>106</v>
      </c>
      <c r="AE207" s="431">
        <v>5</v>
      </c>
      <c r="AF207" s="1444"/>
      <c r="AG207" s="963"/>
      <c r="AH207" s="963"/>
      <c r="AI207" s="963"/>
      <c r="AJ207" s="963"/>
      <c r="AK207" s="963"/>
      <c r="AL207" s="963"/>
      <c r="AM207" s="963"/>
      <c r="AN207" s="963"/>
      <c r="AO207" s="963"/>
      <c r="AP207" s="963"/>
      <c r="AQ207" s="963"/>
      <c r="AR207" s="963"/>
      <c r="AS207" s="963"/>
      <c r="AT207" s="963"/>
      <c r="AU207" s="963"/>
      <c r="AV207" s="963"/>
      <c r="AW207" s="963"/>
      <c r="AX207" s="963"/>
      <c r="AY207" s="963"/>
      <c r="AZ207" s="963"/>
      <c r="BA207" s="963"/>
    </row>
    <row s="1621" customFormat="1" customHeight="1" ht="18">
      <c r="A208" s="963"/>
      <c r="B208" s="73"/>
      <c r="C208" s="963"/>
      <c r="D208" s="963"/>
      <c r="E208" s="618">
        <v>18.75</v>
      </c>
      <c r="F208" s="73" cm="1" t="str">
        <f t="array" ref="F208:F208">Z208</f>
        <v>2</v>
      </c>
      <c r="G208" s="963"/>
      <c r="H208" s="963"/>
      <c r="I208" s="963"/>
      <c r="J208" s="963"/>
      <c r="K208" s="963"/>
      <c r="L208" s="963"/>
      <c r="M208" s="963"/>
      <c r="N208" s="963"/>
      <c r="O208" s="963"/>
      <c r="P208" s="963"/>
      <c r="Q208" s="963"/>
      <c r="R208" s="963"/>
      <c r="S208" s="963"/>
      <c r="T208" s="963"/>
      <c r="U208" s="963"/>
      <c r="V208" s="220" cm="1" t="str">
        <f t="array" ref="V208:V208">AE209</f>
        <v>ВО.42.26520873.0004</v>
      </c>
      <c r="W208" s="475">
        <f>Z208&gt;0</f>
        <v>1</v>
      </c>
      <c r="X208" s="73"/>
      <c r="Y208" s="963"/>
      <c r="Z208" s="1443" t="s">
        <v>283</v>
      </c>
      <c r="AA208" s="1459"/>
      <c r="AB208" s="1455"/>
      <c r="AC208" s="1456"/>
      <c r="AD208" s="368" t="str">
        <f>"Тариф "&amp;Z208</f>
        <v>Тариф 2</v>
      </c>
      <c r="AE208" s="369" t="s">
        <v>284</v>
      </c>
      <c r="AF208" s="1444" t="s">
        <v>174</v>
      </c>
      <c r="AG208" s="73" t="str">
        <f>AD208&amp;" ("&amp;AE208&amp;") - "&amp;AE210&amp;IF(AE214="",""," ("&amp;AE214&amp;")")</f>
        <v>Тариф 2 (Водоотведение) - тариф на водоотведение (Оказание услуг на территории: Прокопьевский муниципальный округ (ОКТМО: 32522000) - п Калачево)</v>
      </c>
      <c r="AH208" s="73" cm="1" t="str">
        <f t="array" ref="AH208:AH208">AE213</f>
        <v>без дифференциации</v>
      </c>
      <c r="AI208" s="220" cm="1" t="str">
        <f t="array" ref="AI208:AI208">AE210</f>
        <v>тариф на водоотведение</v>
      </c>
      <c r="AJ208" s="73" cm="1" t="str">
        <f t="array" ref="AJ208:AJ208">AE214</f>
        <v>Оказание услуг на территории: Прокопьевский муниципальный округ (ОКТМО: 32522000) - п Калачево</v>
      </c>
      <c r="AK208" s="73" cm="1" t="str">
        <f t="array" ref="AK208:AK208">AE211</f>
        <v>одноставочный</v>
      </c>
      <c r="AL208" s="891" cm="1" t="str">
        <f t="array" ref="AL208:AL208">AE218</f>
        <v>45474</v>
      </c>
      <c r="AM208" s="472" cm="1" t="str">
        <f t="array" ref="AM208:AM208">AE219</f>
        <v>Метод индексации</v>
      </c>
      <c r="AN208" s="73">
        <f>IF(ISERR(SEARCH("трансп",AI208)),FALSE,TRUE)</f>
        <v>0</v>
      </c>
      <c r="AO208" s="963"/>
      <c r="AP208" s="963"/>
      <c r="AQ208" s="963"/>
      <c r="AR208" s="963"/>
      <c r="AS208" s="963"/>
      <c r="AT208" s="963"/>
      <c r="AU208" s="963"/>
      <c r="AV208" s="963"/>
      <c r="AW208" s="963"/>
      <c r="AX208" s="963"/>
      <c r="AY208" s="963"/>
      <c r="AZ208" s="963"/>
      <c r="BA208" s="963"/>
    </row>
    <row s="1621" customFormat="1" customHeight="1" ht="15.75">
      <c r="A209" s="963"/>
      <c r="B209" s="73"/>
      <c r="C209" s="963"/>
      <c r="D209" s="963"/>
      <c r="E209" s="618">
        <v>16.5</v>
      </c>
      <c r="F209" s="73" cm="1" t="str">
        <f t="array" ref="F209:F209">F208</f>
        <v>2</v>
      </c>
      <c r="G209" s="963"/>
      <c r="H209" s="963"/>
      <c r="I209" s="963"/>
      <c r="J209" s="963"/>
      <c r="K209" s="963"/>
      <c r="L209" s="963"/>
      <c r="M209" s="963"/>
      <c r="N209" s="963"/>
      <c r="O209" s="963"/>
      <c r="P209" s="963"/>
      <c r="Q209" s="963"/>
      <c r="R209" s="963"/>
      <c r="S209" s="963"/>
      <c r="T209" s="963"/>
      <c r="U209" s="963"/>
      <c r="V209" s="220"/>
      <c r="W209" s="475" cm="1" t="str">
        <f t="array" ref="W209:W209">W208</f>
        <v>true</v>
      </c>
      <c r="X209" s="963"/>
      <c r="Y209" s="963"/>
      <c r="Z209" s="1443"/>
      <c r="AA209" s="1459"/>
      <c r="AB209" s="1455"/>
      <c r="AC209" s="1456"/>
      <c r="AD209" s="370" t="s">
        <v>262</v>
      </c>
      <c r="AE209" s="361" t="s">
        <v>285</v>
      </c>
      <c r="AF209" s="1444"/>
      <c r="AG209" s="963"/>
      <c r="AH209" s="963">
        <v>8741430200</v>
      </c>
      <c r="AI209" s="963"/>
      <c r="AJ209" s="963"/>
      <c r="AK209" s="963"/>
      <c r="AL209" s="963"/>
      <c r="AM209" s="963"/>
      <c r="AN209" s="963"/>
      <c r="AO209" s="963"/>
      <c r="AP209" s="963"/>
      <c r="AQ209" s="963"/>
      <c r="AR209" s="963"/>
      <c r="AS209" s="963"/>
      <c r="AT209" s="963"/>
      <c r="AU209" s="963"/>
      <c r="AV209" s="963"/>
      <c r="AW209" s="963"/>
      <c r="AX209" s="963"/>
      <c r="AY209" s="963"/>
      <c r="AZ209" s="963"/>
      <c r="BA209" s="963"/>
    </row>
    <row s="1621" customFormat="1" customHeight="1" ht="15.75">
      <c r="A210" s="963"/>
      <c r="B210" s="73"/>
      <c r="C210" s="963"/>
      <c r="D210" s="963"/>
      <c r="E210" s="618">
        <v>16.5</v>
      </c>
      <c r="F210" s="73" cm="1" t="str">
        <f t="array" ref="F210:F210">F209</f>
        <v>2</v>
      </c>
      <c r="G210" s="963"/>
      <c r="H210" s="963"/>
      <c r="I210" s="963"/>
      <c r="J210" s="963"/>
      <c r="K210" s="963"/>
      <c r="L210" s="963"/>
      <c r="M210" s="963"/>
      <c r="N210" s="963"/>
      <c r="O210" s="963"/>
      <c r="P210" s="963"/>
      <c r="Q210" s="963"/>
      <c r="R210" s="963"/>
      <c r="S210" s="963"/>
      <c r="T210" s="963"/>
      <c r="U210" s="963"/>
      <c r="V210" s="220"/>
      <c r="W210" s="475" cm="1" t="str">
        <f t="array" ref="W210:W210">W209</f>
        <v>true</v>
      </c>
      <c r="X210" s="963"/>
      <c r="Y210" s="963"/>
      <c r="Z210" s="1443"/>
      <c r="AA210" s="1459"/>
      <c r="AB210" s="1455"/>
      <c r="AC210" s="1456"/>
      <c r="AD210" s="370" t="s">
        <v>263</v>
      </c>
      <c r="AE210" s="363" t="s">
        <v>286</v>
      </c>
      <c r="AF210" s="1444"/>
      <c r="AG210" s="963"/>
      <c r="AH210" s="963"/>
      <c r="AI210" s="963"/>
      <c r="AJ210" s="963"/>
      <c r="AK210" s="963"/>
      <c r="AL210" s="963"/>
      <c r="AM210" s="963"/>
      <c r="AN210" s="963"/>
      <c r="AO210" s="963"/>
      <c r="AP210" s="963"/>
      <c r="AQ210" s="963"/>
      <c r="AR210" s="963"/>
      <c r="AS210" s="963"/>
      <c r="AT210" s="963"/>
      <c r="AU210" s="963"/>
      <c r="AV210" s="963"/>
      <c r="AW210" s="963"/>
      <c r="AX210" s="963"/>
      <c r="AY210" s="963"/>
      <c r="AZ210" s="963"/>
      <c r="BA210" s="963"/>
    </row>
    <row s="1621" customFormat="1" customHeight="1" ht="15.75">
      <c r="A211" s="963"/>
      <c r="B211" s="73"/>
      <c r="C211" s="963"/>
      <c r="D211" s="963"/>
      <c r="E211" s="618">
        <v>16.5</v>
      </c>
      <c r="F211" s="73" cm="1" t="str">
        <f t="array" ref="F211:F211">F210</f>
        <v>2</v>
      </c>
      <c r="G211" s="963"/>
      <c r="H211" s="963"/>
      <c r="I211" s="963"/>
      <c r="J211" s="963"/>
      <c r="K211" s="963"/>
      <c r="L211" s="963"/>
      <c r="M211" s="963"/>
      <c r="N211" s="963"/>
      <c r="O211" s="963"/>
      <c r="P211" s="963"/>
      <c r="Q211" s="963"/>
      <c r="R211" s="963"/>
      <c r="S211" s="963"/>
      <c r="T211" s="963"/>
      <c r="U211" s="963"/>
      <c r="V211" s="220"/>
      <c r="W211" s="475" cm="1" t="str">
        <f t="array" ref="W211:W211">W210</f>
        <v>true</v>
      </c>
      <c r="X211" s="963"/>
      <c r="Y211" s="963"/>
      <c r="Z211" s="1443"/>
      <c r="AA211" s="1459"/>
      <c r="AB211" s="1455"/>
      <c r="AC211" s="1456"/>
      <c r="AD211" s="370" t="s">
        <v>264</v>
      </c>
      <c r="AE211" s="363" t="s">
        <v>276</v>
      </c>
      <c r="AF211" s="1444"/>
      <c r="AG211" s="963"/>
      <c r="AH211" s="963"/>
      <c r="AI211" s="963"/>
      <c r="AJ211" s="963"/>
      <c r="AK211" s="963"/>
      <c r="AL211" s="963"/>
      <c r="AM211" s="963"/>
      <c r="AN211" s="963"/>
      <c r="AO211" s="963"/>
      <c r="AP211" s="963"/>
      <c r="AQ211" s="963"/>
      <c r="AR211" s="963"/>
      <c r="AS211" s="963"/>
      <c r="AT211" s="963"/>
      <c r="AU211" s="963"/>
      <c r="AV211" s="963"/>
      <c r="AW211" s="963"/>
      <c r="AX211" s="963"/>
      <c r="AY211" s="963"/>
      <c r="AZ211" s="963"/>
      <c r="BA211" s="963"/>
    </row>
    <row s="1621" customFormat="1" customHeight="1" ht="12.75">
      <c r="A212" s="963"/>
      <c r="B212" s="73"/>
      <c r="C212" s="963"/>
      <c r="D212" s="963"/>
      <c r="E212" s="618">
        <v>16.5</v>
      </c>
      <c r="F212" s="73" cm="1" t="str">
        <f t="array" ref="F212:F212">F211</f>
        <v>2</v>
      </c>
      <c r="G212" s="963"/>
      <c r="H212" s="963"/>
      <c r="I212" s="963"/>
      <c r="J212" s="963"/>
      <c r="K212" s="963"/>
      <c r="L212" s="963"/>
      <c r="M212" s="963"/>
      <c r="N212" s="963"/>
      <c r="O212" s="963"/>
      <c r="P212" s="963"/>
      <c r="Q212" s="963"/>
      <c r="R212" s="963"/>
      <c r="S212" s="963"/>
      <c r="T212" s="963"/>
      <c r="U212" s="963"/>
      <c r="V212" s="220"/>
      <c r="W212" s="475" cm="1" t="str">
        <f t="array" ref="W212:W212">W211</f>
        <v>true</v>
      </c>
      <c r="X212" s="963"/>
      <c r="Y212" s="963"/>
      <c r="Z212" s="1443"/>
      <c r="AA212" s="1459"/>
      <c r="AB212" s="1455"/>
      <c r="AC212" s="1456"/>
      <c r="AD212" s="370" t="s">
        <v>265</v>
      </c>
      <c r="AE212" s="735" t="s">
        <v>287</v>
      </c>
      <c r="AF212" s="1444"/>
      <c r="AG212" s="963"/>
      <c r="AH212" s="963"/>
      <c r="AI212" s="963"/>
      <c r="AJ212" s="963"/>
      <c r="AK212" s="963"/>
      <c r="AL212" s="963"/>
      <c r="AM212" s="963"/>
      <c r="AN212" s="963"/>
      <c r="AO212" s="963"/>
      <c r="AP212" s="963"/>
      <c r="AQ212" s="963"/>
      <c r="AR212" s="963"/>
      <c r="AS212" s="963"/>
      <c r="AT212" s="963"/>
      <c r="AU212" s="963"/>
      <c r="AV212" s="963"/>
      <c r="AW212" s="963"/>
      <c r="AX212" s="963"/>
      <c r="AY212" s="963"/>
      <c r="AZ212" s="963"/>
      <c r="BA212" s="963"/>
    </row>
    <row s="1621" customFormat="1" customHeight="1" ht="15.75">
      <c r="A213" s="963"/>
      <c r="B213" s="73"/>
      <c r="C213" s="963"/>
      <c r="D213" s="963"/>
      <c r="E213" s="618">
        <v>16.5</v>
      </c>
      <c r="F213" s="73" cm="1" t="str">
        <f t="array" ref="F213:F213">F212</f>
        <v>2</v>
      </c>
      <c r="G213" s="963"/>
      <c r="H213" s="963"/>
      <c r="I213" s="963"/>
      <c r="J213" s="963"/>
      <c r="K213" s="963"/>
      <c r="L213" s="963"/>
      <c r="M213" s="963"/>
      <c r="N213" s="963"/>
      <c r="O213" s="963"/>
      <c r="P213" s="963"/>
      <c r="Q213" s="963"/>
      <c r="R213" s="963"/>
      <c r="S213" s="963"/>
      <c r="T213" s="963"/>
      <c r="U213" s="963"/>
      <c r="V213" s="220"/>
      <c r="W213" s="475" cm="1" t="str">
        <f t="array" ref="W213:W213">W212</f>
        <v>true</v>
      </c>
      <c r="X213" s="963"/>
      <c r="Y213" s="963"/>
      <c r="Z213" s="1443"/>
      <c r="AA213" s="1459"/>
      <c r="AB213" s="1455"/>
      <c r="AC213" s="1456"/>
      <c r="AD213" s="65" t="str">
        <f>IF(AE208="Водоотведение","Вид сточных вод","Вид воды")</f>
        <v>Вид сточных вод</v>
      </c>
      <c r="AE213" s="363" t="s">
        <v>288</v>
      </c>
      <c r="AF213" s="1444"/>
      <c r="AG213" s="963"/>
      <c r="AH213" s="963"/>
      <c r="AI213" s="963"/>
      <c r="AJ213" s="963"/>
      <c r="AK213" s="963"/>
      <c r="AL213" s="963"/>
      <c r="AM213" s="963"/>
      <c r="AN213" s="963"/>
      <c r="AO213" s="963"/>
      <c r="AP213" s="963"/>
      <c r="AQ213" s="963"/>
      <c r="AR213" s="963"/>
      <c r="AS213" s="963"/>
      <c r="AT213" s="963"/>
      <c r="AU213" s="963"/>
      <c r="AV213" s="963"/>
      <c r="AW213" s="963"/>
      <c r="AX213" s="963"/>
      <c r="AY213" s="963"/>
      <c r="AZ213" s="963"/>
      <c r="BA213" s="963"/>
    </row>
    <row s="1621" customFormat="1" customHeight="1" ht="23.25">
      <c r="A214" s="963"/>
      <c r="B214" s="73"/>
      <c r="C214" s="963"/>
      <c r="D214" s="963"/>
      <c r="E214" s="618">
        <v>16.5</v>
      </c>
      <c r="F214" s="73" cm="1" t="str">
        <f t="array" ref="F214:F214">F213</f>
        <v>2</v>
      </c>
      <c r="G214" s="963"/>
      <c r="H214" s="963"/>
      <c r="I214" s="963"/>
      <c r="J214" s="963"/>
      <c r="K214" s="963"/>
      <c r="L214" s="963"/>
      <c r="M214" s="963"/>
      <c r="N214" s="963"/>
      <c r="O214" s="963"/>
      <c r="P214" s="963"/>
      <c r="Q214" s="963"/>
      <c r="R214" s="963"/>
      <c r="S214" s="963"/>
      <c r="T214" s="963"/>
      <c r="U214" s="963"/>
      <c r="V214" s="220"/>
      <c r="W214" s="475" cm="1" t="str">
        <f t="array" ref="W214:W214">W213</f>
        <v>true</v>
      </c>
      <c r="X214" s="963"/>
      <c r="Y214" s="963"/>
      <c r="Z214" s="1443"/>
      <c r="AA214" s="1459"/>
      <c r="AB214" s="1455"/>
      <c r="AC214" s="1456"/>
      <c r="AD214" s="65" t="s">
        <v>266</v>
      </c>
      <c r="AE214" s="735" t="s">
        <v>279</v>
      </c>
      <c r="AF214" s="1444"/>
      <c r="AG214" s="963"/>
      <c r="AH214" s="963"/>
      <c r="AI214" s="963"/>
      <c r="AJ214" s="963"/>
      <c r="AK214" s="963"/>
      <c r="AL214" s="963"/>
      <c r="AM214" s="963"/>
      <c r="AN214" s="963"/>
      <c r="AO214" s="963"/>
      <c r="AP214" s="963"/>
      <c r="AQ214" s="963"/>
      <c r="AR214" s="963"/>
      <c r="AS214" s="963"/>
      <c r="AT214" s="963"/>
      <c r="AU214" s="963"/>
      <c r="AV214" s="963"/>
      <c r="AW214" s="963"/>
      <c r="AX214" s="963"/>
      <c r="AY214" s="963"/>
      <c r="AZ214" s="963"/>
      <c r="BA214" s="963"/>
    </row>
    <row s="1621" customFormat="1" customHeight="1" ht="15.75">
      <c r="A215" s="963"/>
      <c r="B215" s="418">
        <f>org_declaration="Заявление организации"</f>
        <v>1</v>
      </c>
      <c r="C215" s="963"/>
      <c r="D215" s="963"/>
      <c r="E215" s="618">
        <v>16.5</v>
      </c>
      <c r="F215" s="73" cm="1" t="str">
        <f t="array" ref="F215:F215">F214</f>
        <v>2</v>
      </c>
      <c r="G215" s="963"/>
      <c r="H215" s="963"/>
      <c r="I215" s="963"/>
      <c r="J215" s="963"/>
      <c r="K215" s="963"/>
      <c r="L215" s="963"/>
      <c r="M215" s="963"/>
      <c r="N215" s="963"/>
      <c r="O215" s="963"/>
      <c r="P215" s="963"/>
      <c r="Q215" s="963"/>
      <c r="R215" s="963"/>
      <c r="S215" s="963"/>
      <c r="T215" s="963"/>
      <c r="U215" s="963"/>
      <c r="V215" s="220"/>
      <c r="W215" s="475" cm="1" t="str">
        <f t="array" ref="W215:W215">W214</f>
        <v>true</v>
      </c>
      <c r="X215" s="963"/>
      <c r="Y215" s="963"/>
      <c r="Z215" s="1443"/>
      <c r="AA215" s="1459"/>
      <c r="AB215" s="1455"/>
      <c r="AC215" s="1456"/>
      <c r="AD215" s="370" t="s">
        <v>267</v>
      </c>
      <c r="AE215" s="371" t="s">
        <v>280</v>
      </c>
      <c r="AF215" s="1444"/>
      <c r="AG215" s="963"/>
      <c r="AH215" s="963"/>
      <c r="AI215" s="963"/>
      <c r="AJ215" s="963"/>
      <c r="AK215" s="963"/>
      <c r="AL215" s="963"/>
      <c r="AM215" s="963"/>
      <c r="AN215" s="963"/>
      <c r="AO215" s="963"/>
      <c r="AP215" s="963"/>
      <c r="AQ215" s="963"/>
      <c r="AR215" s="963"/>
      <c r="AS215" s="963"/>
      <c r="AT215" s="963"/>
      <c r="AU215" s="963"/>
      <c r="AV215" s="963"/>
      <c r="AW215" s="963"/>
      <c r="AX215" s="963"/>
      <c r="AY215" s="963"/>
      <c r="AZ215" s="963"/>
      <c r="BA215" s="963"/>
    </row>
    <row s="1621" customFormat="1" customHeight="1" ht="15.75">
      <c r="A216" s="963"/>
      <c r="B216" s="418">
        <f>org_declaration="Заявление организации"</f>
        <v>1</v>
      </c>
      <c r="C216" s="963"/>
      <c r="D216" s="963"/>
      <c r="E216" s="618">
        <v>16.5</v>
      </c>
      <c r="F216" s="73" cm="1" t="str">
        <f t="array" ref="F216:F216">F215</f>
        <v>2</v>
      </c>
      <c r="G216" s="963"/>
      <c r="H216" s="963"/>
      <c r="I216" s="963"/>
      <c r="J216" s="963"/>
      <c r="K216" s="963"/>
      <c r="L216" s="963"/>
      <c r="M216" s="963"/>
      <c r="N216" s="963"/>
      <c r="O216" s="963"/>
      <c r="P216" s="963"/>
      <c r="Q216" s="963"/>
      <c r="R216" s="963"/>
      <c r="S216" s="963"/>
      <c r="T216" s="963"/>
      <c r="U216" s="963"/>
      <c r="V216" s="220"/>
      <c r="W216" s="475" cm="1" t="str">
        <f t="array" ref="W216:W216">W215</f>
        <v>true</v>
      </c>
      <c r="X216" s="963"/>
      <c r="Y216" s="963"/>
      <c r="Z216" s="1443"/>
      <c r="AA216" s="1459"/>
      <c r="AB216" s="1455"/>
      <c r="AC216" s="1456"/>
      <c r="AD216" s="370" t="s">
        <v>268</v>
      </c>
      <c r="AE216" s="1062" t="s">
        <v>281</v>
      </c>
      <c r="AF216" s="1444"/>
      <c r="AG216" s="963"/>
      <c r="AH216" s="963"/>
      <c r="AI216" s="963"/>
      <c r="AJ216" s="963"/>
      <c r="AK216" s="963"/>
      <c r="AL216" s="963"/>
      <c r="AM216" s="963"/>
      <c r="AN216" s="963"/>
      <c r="AO216" s="963"/>
      <c r="AP216" s="963"/>
      <c r="AQ216" s="963"/>
      <c r="AR216" s="963"/>
      <c r="AS216" s="963"/>
      <c r="AT216" s="963"/>
      <c r="AU216" s="963"/>
      <c r="AV216" s="963"/>
      <c r="AW216" s="963"/>
      <c r="AX216" s="963"/>
      <c r="AY216" s="963"/>
      <c r="AZ216" s="963"/>
      <c r="BA216" s="963"/>
    </row>
    <row s="1621" customFormat="1" customHeight="1" ht="12.75">
      <c r="A217" s="963"/>
      <c r="B217" s="418">
        <f>org_declaration="Заявление организации"</f>
        <v>1</v>
      </c>
      <c r="C217" s="963"/>
      <c r="D217" s="963"/>
      <c r="E217" s="618">
        <v>16.5</v>
      </c>
      <c r="F217" s="73" cm="1" t="str">
        <f t="array" ref="F217:F217">F216</f>
        <v>2</v>
      </c>
      <c r="G217" s="963"/>
      <c r="H217" s="963"/>
      <c r="I217" s="963"/>
      <c r="J217" s="963"/>
      <c r="K217" s="963"/>
      <c r="L217" s="963"/>
      <c r="M217" s="963"/>
      <c r="N217" s="963"/>
      <c r="O217" s="963"/>
      <c r="P217" s="963"/>
      <c r="Q217" s="963"/>
      <c r="R217" s="963"/>
      <c r="S217" s="963"/>
      <c r="T217" s="963"/>
      <c r="U217" s="963"/>
      <c r="V217" s="220"/>
      <c r="W217" s="475" cm="1" t="str">
        <f t="array" ref="W217:W217">W216</f>
        <v>true</v>
      </c>
      <c r="X217" s="963"/>
      <c r="Y217" s="963"/>
      <c r="Z217" s="1443"/>
      <c r="AA217" s="1459"/>
      <c r="AB217" s="1455"/>
      <c r="AC217" s="1456"/>
      <c r="AD217" s="370" t="s">
        <v>269</v>
      </c>
      <c r="AE217" s="372" t="s">
        <v>282</v>
      </c>
      <c r="AF217" s="1444"/>
      <c r="AG217" s="963"/>
      <c r="AH217" s="963"/>
      <c r="AI217" s="963"/>
      <c r="AJ217" s="963"/>
      <c r="AK217" s="963"/>
      <c r="AL217" s="963"/>
      <c r="AM217" s="963"/>
      <c r="AN217" s="963"/>
      <c r="AO217" s="963"/>
      <c r="AP217" s="963"/>
      <c r="AQ217" s="963"/>
      <c r="AR217" s="963"/>
      <c r="AS217" s="963"/>
      <c r="AT217" s="963"/>
      <c r="AU217" s="963"/>
      <c r="AV217" s="963"/>
      <c r="AW217" s="963"/>
      <c r="AX217" s="963"/>
      <c r="AY217" s="963"/>
      <c r="AZ217" s="963"/>
      <c r="BA217" s="963"/>
    </row>
    <row s="1621" customFormat="1" customHeight="1" ht="15.75">
      <c r="A218" s="963"/>
      <c r="B218" s="418">
        <f>org_declaration="Заявление организации"</f>
        <v>1</v>
      </c>
      <c r="C218" s="963"/>
      <c r="D218" s="963"/>
      <c r="E218" s="618">
        <v>16.5</v>
      </c>
      <c r="F218" s="73" cm="1" t="str">
        <f t="array" ref="F218:F218">F217</f>
        <v>2</v>
      </c>
      <c r="G218" s="963"/>
      <c r="H218" s="963"/>
      <c r="I218" s="963"/>
      <c r="J218" s="963"/>
      <c r="K218" s="963"/>
      <c r="L218" s="963"/>
      <c r="M218" s="963"/>
      <c r="N218" s="963"/>
      <c r="O218" s="963"/>
      <c r="P218" s="963"/>
      <c r="Q218" s="963"/>
      <c r="R218" s="963"/>
      <c r="S218" s="963"/>
      <c r="T218" s="963"/>
      <c r="U218" s="963"/>
      <c r="V218" s="220"/>
      <c r="W218" s="475" cm="1" t="str">
        <f t="array" ref="W218:W218">W217</f>
        <v>true</v>
      </c>
      <c r="X218" s="963"/>
      <c r="Y218" s="963"/>
      <c r="Z218" s="1443"/>
      <c r="AA218" s="1459"/>
      <c r="AB218" s="1455"/>
      <c r="AC218" s="1456"/>
      <c r="AD218" s="370" t="s">
        <v>270</v>
      </c>
      <c r="AE218" s="923" t="str">
        <f>IF(ISBLANK(AE220),"",DATE(AE220,7,1))</f>
        <v>45474</v>
      </c>
      <c r="AF218" s="1444"/>
      <c r="AG218" s="963"/>
      <c r="AH218" s="963"/>
      <c r="AI218" s="963"/>
      <c r="AJ218" s="963"/>
      <c r="AK218" s="963"/>
      <c r="AL218" s="963"/>
      <c r="AM218" s="963"/>
      <c r="AN218" s="963"/>
      <c r="AO218" s="963"/>
      <c r="AP218" s="963"/>
      <c r="AQ218" s="963"/>
      <c r="AR218" s="963"/>
      <c r="AS218" s="963"/>
      <c r="AT218" s="963"/>
      <c r="AU218" s="963"/>
      <c r="AV218" s="963"/>
      <c r="AW218" s="963"/>
      <c r="AX218" s="963"/>
      <c r="AY218" s="963"/>
      <c r="AZ218" s="963"/>
      <c r="BA218" s="963"/>
    </row>
    <row s="1621" customFormat="1" customHeight="1" ht="15.75">
      <c r="A219" s="963"/>
      <c r="B219" s="418">
        <f>org_declaration="Заявление организации"</f>
        <v>1</v>
      </c>
      <c r="C219" s="963"/>
      <c r="D219" s="963"/>
      <c r="E219" s="618">
        <v>16.5</v>
      </c>
      <c r="F219" s="73" cm="1" t="str">
        <f t="array" ref="F219:F219">F218</f>
        <v>2</v>
      </c>
      <c r="G219" s="963"/>
      <c r="H219" s="963"/>
      <c r="I219" s="963"/>
      <c r="J219" s="963"/>
      <c r="K219" s="963"/>
      <c r="L219" s="963"/>
      <c r="M219" s="963"/>
      <c r="N219" s="963"/>
      <c r="O219" s="963"/>
      <c r="P219" s="963"/>
      <c r="Q219" s="963"/>
      <c r="R219" s="963"/>
      <c r="S219" s="963"/>
      <c r="T219" s="963"/>
      <c r="U219" s="963"/>
      <c r="V219" s="220"/>
      <c r="W219" s="475" cm="1" t="str">
        <f t="array" ref="W219:W219">W218</f>
        <v>true</v>
      </c>
      <c r="X219" s="963"/>
      <c r="Y219" s="963"/>
      <c r="Z219" s="1443"/>
      <c r="AA219" s="1459"/>
      <c r="AB219" s="1455"/>
      <c r="AC219" s="1456"/>
      <c r="AD219" s="370" t="s">
        <v>271</v>
      </c>
      <c r="AE219" s="430" t="s">
        <v>103</v>
      </c>
      <c r="AF219" s="1444"/>
      <c r="AG219" s="963"/>
      <c r="AH219" s="963"/>
      <c r="AI219" s="963"/>
      <c r="AJ219" s="963"/>
      <c r="AK219" s="963"/>
      <c r="AL219" s="963"/>
      <c r="AM219" s="963"/>
      <c r="AN219" s="963"/>
      <c r="AO219" s="963"/>
      <c r="AP219" s="963"/>
      <c r="AQ219" s="963"/>
      <c r="AR219" s="963"/>
      <c r="AS219" s="963"/>
      <c r="AT219" s="963"/>
      <c r="AU219" s="963"/>
      <c r="AV219" s="963"/>
      <c r="AW219" s="963"/>
      <c r="AX219" s="963"/>
      <c r="AY219" s="963"/>
      <c r="AZ219" s="963"/>
      <c r="BA219" s="963"/>
    </row>
    <row s="1621" customFormat="1" customHeight="1" ht="21.75">
      <c r="A220" s="963"/>
      <c r="B220" s="418">
        <f>org_declaration="Заявление организации"</f>
        <v>1</v>
      </c>
      <c r="C220" s="963"/>
      <c r="D220" s="963"/>
      <c r="E220" s="618">
        <v>22.5</v>
      </c>
      <c r="F220" s="73" cm="1" t="str">
        <f t="array" ref="F220:F220">F219</f>
        <v>2</v>
      </c>
      <c r="G220" s="963"/>
      <c r="H220" s="963"/>
      <c r="I220" s="963"/>
      <c r="J220" s="963"/>
      <c r="K220" s="963"/>
      <c r="L220" s="963"/>
      <c r="M220" s="963"/>
      <c r="N220" s="963"/>
      <c r="O220" s="963"/>
      <c r="P220" s="963"/>
      <c r="Q220" s="963"/>
      <c r="R220" s="963"/>
      <c r="S220" s="963"/>
      <c r="T220" s="963"/>
      <c r="U220" s="963"/>
      <c r="V220" s="220"/>
      <c r="W220" s="475">
        <f>AND(W219,AE219&lt;&gt;"Метод экономически обоснованных расходов",AE219&lt;&gt;"Метод сравнения аналогов")</f>
        <v>1</v>
      </c>
      <c r="X220" s="963"/>
      <c r="Y220" s="963"/>
      <c r="Z220" s="1443"/>
      <c r="AA220" s="1459"/>
      <c r="AB220" s="1455"/>
      <c r="AC220" s="1456"/>
      <c r="AD220" s="65"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431">
        <v>2024</v>
      </c>
      <c r="AF220" s="1444"/>
      <c r="AG220" s="963"/>
      <c r="AH220" s="963"/>
      <c r="AI220" s="963"/>
      <c r="AJ220" s="963"/>
      <c r="AK220" s="963"/>
      <c r="AL220" s="963"/>
      <c r="AM220" s="963"/>
      <c r="AN220" s="963"/>
      <c r="AO220" s="963"/>
      <c r="AP220" s="963"/>
      <c r="AQ220" s="963"/>
      <c r="AR220" s="963"/>
      <c r="AS220" s="963"/>
      <c r="AT220" s="963"/>
      <c r="AU220" s="963"/>
      <c r="AV220" s="963"/>
      <c r="AW220" s="963"/>
      <c r="AX220" s="963"/>
      <c r="AY220" s="963"/>
      <c r="AZ220" s="963"/>
      <c r="BA220" s="963"/>
    </row>
    <row s="1621" customFormat="1" customHeight="1" ht="15.75">
      <c r="A221" s="963"/>
      <c r="B221" s="418">
        <f>org_declaration="Заявление организации"</f>
        <v>1</v>
      </c>
      <c r="C221" s="963"/>
      <c r="D221" s="963"/>
      <c r="E221" s="618">
        <v>16.5</v>
      </c>
      <c r="F221" s="73" cm="1" t="str">
        <f t="array" ref="F221:F221">F220</f>
        <v>2</v>
      </c>
      <c r="G221" s="963"/>
      <c r="H221" s="963"/>
      <c r="I221" s="963"/>
      <c r="J221" s="963"/>
      <c r="K221" s="963"/>
      <c r="L221" s="963"/>
      <c r="M221" s="963"/>
      <c r="N221" s="963"/>
      <c r="O221" s="963"/>
      <c r="P221" s="963"/>
      <c r="Q221" s="963"/>
      <c r="R221" s="963"/>
      <c r="S221" s="963"/>
      <c r="T221" s="963"/>
      <c r="U221" s="963"/>
      <c r="V221" s="220"/>
      <c r="W221" s="475">
        <f>AND(W220,AE219&lt;&gt;"Метод экономически обоснованных расходов",AE219&lt;&gt;"Метод сравнения аналогов")</f>
        <v>1</v>
      </c>
      <c r="X221" s="963"/>
      <c r="Y221" s="963"/>
      <c r="Z221" s="1443"/>
      <c r="AA221" s="1459"/>
      <c r="AB221" s="1455"/>
      <c r="AC221" s="1456"/>
      <c r="AD221" s="370" t="s">
        <v>106</v>
      </c>
      <c r="AE221" s="431">
        <v>5</v>
      </c>
      <c r="AF221" s="1444"/>
      <c r="AG221" s="963"/>
      <c r="AH221" s="963"/>
      <c r="AI221" s="963"/>
      <c r="AJ221" s="963"/>
      <c r="AK221" s="963"/>
      <c r="AL221" s="963"/>
      <c r="AM221" s="963"/>
      <c r="AN221" s="963"/>
      <c r="AO221" s="963"/>
      <c r="AP221" s="963"/>
      <c r="AQ221" s="963"/>
      <c r="AR221" s="963"/>
      <c r="AS221" s="963"/>
      <c r="AT221" s="963"/>
      <c r="AU221" s="963"/>
      <c r="AV221" s="963"/>
      <c r="AW221" s="963"/>
      <c r="AX221" s="963"/>
      <c r="AY221" s="963"/>
      <c r="AZ221" s="963"/>
      <c r="BA221" s="963"/>
    </row>
    <row customHeight="1" ht="19.0125">
      <c r="E222" s="618">
        <v>19.5</v>
      </c>
      <c r="F222" s="139" t="s">
        <v>289</v>
      </c>
      <c r="X222" s="264" t="s">
        <v>290</v>
      </c>
      <c r="Z222" s="73"/>
      <c r="AB222" s="1457"/>
      <c r="AC222" s="1458"/>
      <c r="AD222" s="466" t="s">
        <v>291</v>
      </c>
      <c r="AE222" s="230"/>
    </row>
    <row customHeight="1" ht="19.0125">
      <c r="E223" s="618">
        <v>19.5</v>
      </c>
      <c r="Z223" s="73"/>
      <c r="AB223" s="1418" t="s">
        <v>292</v>
      </c>
      <c r="AC223" s="1419"/>
      <c r="AD223" s="364" t="s">
        <v>293</v>
      </c>
      <c r="AE223" s="352" t="s">
        <v>294</v>
      </c>
      <c r="AG223" s="73" t="s">
        <v>295</v>
      </c>
    </row>
    <row customHeight="1" ht="19.0125">
      <c r="E224" s="618">
        <v>19.5</v>
      </c>
      <c r="Z224" s="73"/>
      <c r="AB224" s="1418"/>
      <c r="AC224" s="1419"/>
      <c r="AD224" s="364" t="s">
        <v>296</v>
      </c>
      <c r="AE224" s="352" t="s">
        <v>297</v>
      </c>
      <c r="AG224" s="73" t="s">
        <v>298</v>
      </c>
    </row>
    <row customHeight="1" ht="19.0125">
      <c r="E225" s="618">
        <v>19.5</v>
      </c>
      <c r="Z225" s="73"/>
      <c r="AB225" s="1418"/>
      <c r="AC225" s="1419"/>
      <c r="AD225" s="364" t="s">
        <v>299</v>
      </c>
      <c r="AE225" s="352" t="s">
        <v>300</v>
      </c>
      <c r="AG225" s="73" t="s">
        <v>301</v>
      </c>
    </row>
    <row customHeight="1" ht="19.0125">
      <c r="E226" s="618">
        <v>19.5</v>
      </c>
      <c r="Z226" s="73"/>
      <c r="AB226" s="1418"/>
      <c r="AC226" s="1419"/>
      <c r="AD226" s="364" t="s">
        <v>302</v>
      </c>
      <c r="AE226" s="352" t="s">
        <v>303</v>
      </c>
      <c r="AG226" s="73" t="s">
        <v>304</v>
      </c>
    </row>
    <row customHeight="1" ht="19.0125">
      <c r="E227" s="618">
        <v>19.5</v>
      </c>
      <c r="Z227" s="73"/>
      <c r="AB227" s="1418"/>
      <c r="AC227" s="1419"/>
      <c r="AD227" s="364" t="s">
        <v>305</v>
      </c>
      <c r="AE227" s="352" t="s">
        <v>306</v>
      </c>
      <c r="AG227" s="73" t="s">
        <v>307</v>
      </c>
    </row>
    <row customHeight="1" ht="19.0125" hidden="1">
      <c r="A228" s="963"/>
      <c r="B228" s="961"/>
      <c r="C228" s="963"/>
      <c r="D228" s="963"/>
      <c r="E228" s="618">
        <v>19.5</v>
      </c>
      <c r="F228" s="963"/>
      <c r="G228" s="963"/>
      <c r="H228" s="963"/>
      <c r="I228" s="963"/>
      <c r="J228" s="963"/>
      <c r="K228" s="963"/>
      <c r="L228" s="963"/>
      <c r="M228" s="963"/>
      <c r="N228" s="963"/>
      <c r="O228" s="963"/>
      <c r="P228" s="963"/>
      <c r="Q228" s="963"/>
      <c r="R228" s="963"/>
      <c r="S228" s="963"/>
      <c r="T228" s="963"/>
      <c r="U228" s="963"/>
      <c r="V228" s="963"/>
      <c r="W228" s="475">
        <f>ROW(X228)&gt;ROW(X$228)</f>
        <v>0</v>
      </c>
      <c r="X228" s="73" t="s">
        <v>261</v>
      </c>
      <c r="Y228" s="963"/>
      <c r="Z228" s="73"/>
      <c r="AA228" s="963"/>
      <c r="AB228" s="1418"/>
      <c r="AC228" s="1419"/>
      <c r="AD228" s="1698"/>
      <c r="AE228" s="1645"/>
      <c r="AF228" s="617" t="s">
        <v>174</v>
      </c>
      <c r="AG228" s="963"/>
      <c r="AH228" s="963"/>
      <c r="AI228" s="963"/>
      <c r="AJ228" s="963"/>
      <c r="AK228" s="963"/>
      <c r="AL228" s="963"/>
      <c r="AM228" s="963"/>
      <c r="AN228" s="963"/>
      <c r="AO228" s="963"/>
      <c r="AP228" s="963"/>
      <c r="AQ228" s="963"/>
      <c r="AR228" s="963"/>
      <c r="AS228" s="963"/>
      <c r="AT228" s="963"/>
      <c r="AU228" s="963"/>
      <c r="AV228" s="963"/>
      <c r="AW228" s="963"/>
      <c r="AX228" s="963"/>
      <c r="AY228" s="963"/>
      <c r="AZ228" s="963"/>
      <c r="BA228" s="963"/>
    </row>
    <row customHeight="1" ht="14.625">
      <c r="E229" s="618">
        <v>15</v>
      </c>
      <c r="X229" s="264" t="s">
        <v>176</v>
      </c>
      <c r="Z229" s="73"/>
      <c r="AB229" s="1418"/>
      <c r="AC229" s="1419"/>
      <c r="AD229" s="365" t="s">
        <v>308</v>
      </c>
      <c r="AE229" s="335"/>
    </row>
    <row customHeight="1" ht="19.0125">
      <c r="E230" s="618">
        <v>19.5</v>
      </c>
      <c r="Z230" s="73"/>
      <c r="AB230" s="1418"/>
      <c r="AC230" s="1419"/>
      <c r="AD230" s="364" t="s">
        <v>309</v>
      </c>
      <c r="AE230" s="366" cm="1" t="str">
        <f t="array" ref="AE230:AE230">method_reg</f>
        <v>Метод индексации</v>
      </c>
    </row>
    <row customHeight="1" ht="19.0125">
      <c r="E231" s="618">
        <v>19.5</v>
      </c>
      <c r="Z231" s="73"/>
      <c r="AB231" s="1418"/>
      <c r="AC231" s="1419"/>
      <c r="AD231" s="364" t="s">
        <v>104</v>
      </c>
      <c r="AE231" s="367" cm="1" t="str">
        <f t="array" ref="AE231:AE231">god</f>
        <v>2026</v>
      </c>
    </row>
    <row customHeight="1" ht="19.0125">
      <c r="B232" s="418">
        <f>AND(NOT(method_reg="Метод экономически обоснованных расходов"),NOT(method_reg="Метод сравнения аналогов"))</f>
        <v>1</v>
      </c>
      <c r="E232" s="618">
        <v>19.5</v>
      </c>
      <c r="Z232" s="73"/>
      <c r="AB232" s="1418"/>
      <c r="AC232" s="1419"/>
      <c r="AD232" s="364" t="s">
        <v>105</v>
      </c>
      <c r="AE232" s="367" cm="1" t="str">
        <f t="array" ref="AE232:AE232">first_year</f>
        <v>2024</v>
      </c>
    </row>
    <row customHeight="1" ht="19.0125">
      <c r="B233" s="418">
        <f>AND(NOT(method_reg="Метод экономически обоснованных расходов"),NOT(method_reg="Метод сравнения аналогов"))</f>
        <v>1</v>
      </c>
      <c r="E233" s="618">
        <v>19.5</v>
      </c>
      <c r="Z233" s="73"/>
      <c r="AB233" s="1420"/>
      <c r="AC233" s="1421"/>
      <c r="AD233" s="364" t="s">
        <v>106</v>
      </c>
      <c r="AE233" s="367" cm="1" t="str">
        <f t="array" ref="AE233:AE233">PERIOD_LENGTH</f>
        <v>5</v>
      </c>
    </row>
    <row customHeight="1" ht="37.05">
      <c r="E234" s="618">
        <v>38</v>
      </c>
      <c r="Z234" s="73"/>
      <c r="AB234" s="1422" t="s">
        <v>310</v>
      </c>
      <c r="AC234" s="1423"/>
      <c r="AD234" s="1424"/>
      <c r="AE234" s="360" t="s">
        <v>165</v>
      </c>
      <c r="AF234" s="453"/>
    </row>
    <row customHeight="1" ht="10.96875">
      <c r="E235" s="618">
        <v>11.25</v>
      </c>
      <c r="Z235" s="73"/>
      <c r="AF235" s="399"/>
    </row>
    <row s="1621" customFormat="1" customHeight="1" ht="19.0125">
      <c r="A236" s="1621"/>
      <c r="B236" s="418">
        <f>AND(NOT(god=first_year),(method_reg="Метод индексации"))</f>
        <v>1</v>
      </c>
      <c r="C236" s="1621"/>
      <c r="D236" s="1621"/>
      <c r="E236" s="619">
        <v>19.5</v>
      </c>
      <c r="F236" s="1621"/>
      <c r="G236" s="1621"/>
      <c r="H236" s="1621"/>
      <c r="I236" s="1621"/>
      <c r="J236" s="1621"/>
      <c r="K236" s="1621"/>
      <c r="L236" s="1621"/>
      <c r="M236" s="1621"/>
      <c r="N236" s="1621"/>
      <c r="O236" s="1621"/>
      <c r="P236" s="1621"/>
      <c r="Q236" s="1621"/>
      <c r="R236" s="1621"/>
      <c r="S236" s="1621"/>
      <c r="T236" s="1621"/>
      <c r="U236" s="1621"/>
      <c r="V236" s="1621"/>
      <c r="W236" s="1621"/>
      <c r="X236" s="378"/>
      <c r="Y236" s="1621"/>
      <c r="Z236" s="73"/>
      <c r="AA236" s="1621"/>
      <c r="AB236" s="1422" t="s">
        <v>311</v>
      </c>
      <c r="AC236" s="1423"/>
      <c r="AD236" s="1424"/>
      <c r="AE236" s="434" t="s">
        <v>165</v>
      </c>
      <c r="AF236" s="617"/>
      <c r="AG236" s="0" t="s">
        <v>312</v>
      </c>
      <c r="AH236" s="0"/>
      <c r="AI236" s="0"/>
      <c r="AJ236" s="456"/>
      <c r="AK236" s="456"/>
      <c r="AL236" s="456"/>
      <c r="AM236" s="456"/>
      <c r="AN236" s="456"/>
      <c r="AO236" s="0"/>
      <c r="AP236" s="0"/>
      <c r="AQ236" s="0"/>
      <c r="AR236" s="0"/>
      <c r="AS236" s="0"/>
      <c r="AT236" s="0"/>
      <c r="AU236" s="0"/>
      <c r="AV236" s="0"/>
      <c r="AW236" s="0"/>
      <c r="AX236" s="0"/>
      <c r="AY236" s="0"/>
      <c r="AZ236" s="0"/>
      <c r="BA236" s="0"/>
    </row>
    <row customHeight="1" ht="11.25">
      <c r="Z237" s="73"/>
      <c r="AF237" s="399"/>
    </row>
  </sheetData>
  <sheetProtection formatColumns="0" formatRows="0" insertRows="0" deleteColumns="0" deleteRows="0" sort="0" autoFilter="0" insertColumns="1"/>
  <mergeCells count="16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Z194:Z207"/>
    <mergeCell ref="AF194:AF207"/>
    <mergeCell ref="AA194:AA207"/>
    <mergeCell ref="Z208:Z221"/>
    <mergeCell ref="AF208:AF221"/>
    <mergeCell ref="AA208:AA221"/>
  </mergeCells>
  <dataValidations count="28">
    <dataValidation type="list" allowBlank="1" showInputMessage="1" showErrorMessage="1" errorTitle="Внимание" error="Пожалуйста, выберите значение из списка!" sqref="AE57">
      <formula1>NALOG_SYSTEM_LIST</formula1>
    </dataValidation>
    <dataValidation type="textLength" operator="lessThanOrEqual" allowBlank="1" showInputMessage="1" showErrorMessage="1" errorTitle="Ошибка" error="Допускается ввод не более 900 символов!" sqref="AE65:AE67">
      <formula1>900</formula1>
    </dataValidation>
    <dataValidation type="list" allowBlank="1" showInputMessage="1" showErrorMessage="1" errorTitle="Ошибка" error="Выберите значение из списка" prompt="Выберите значение из списка" sqref="AE185 AE199">
      <formula1>COLDVSNA_VTOV</formula1>
    </dataValidation>
    <dataValidation type="list" allowBlank="1" showInputMessage="1" showErrorMessage="1" errorTitle="Ошибка" error="Выберите значение из списка" prompt="Выберите значение из списка" sqref="AE182 AE196">
      <formula1>COLDVSNA_VTARIFF</formula1>
    </dataValidation>
    <dataValidation type="list" allowBlank="1" showInputMessage="1" showErrorMessage="1" sqref="AB179">
      <formula1>"Заявление организации,Заявление организации (отсутствует)"</formula1>
    </dataValidation>
    <dataValidation type="list" allowBlank="1" showInputMessage="1" showErrorMessage="1" sqref="AE236">
      <formula1>YES_NO</formula1>
    </dataValidation>
    <dataValidation type="list" allowBlank="1" showInputMessage="1" showErrorMessage="1" sqref="AE23">
      <formula1>metod_list</formula1>
    </dataValidation>
    <dataValidation type="list" allowBlank="1" showInputMessage="1" showErrorMessage="1" errorTitle="Ошибка" error="Выберите значение из списка" prompt="Выберите значение из списка" sqref="AE183 AE197 AE211">
      <formula1>tariff_type_list</formula1>
    </dataValidation>
    <dataValidation type="list" allowBlank="1" showInputMessage="1" showErrorMessage="1" errorTitle="Внимание" error="Пожалуйста, выберите значение из списка!" sqref="AE191 AE205 AE219">
      <formula1>TARIFF_CALC_METHOD</formula1>
    </dataValidation>
    <dataValidation type="list" allowBlank="1" showInputMessage="1" showErrorMessage="1" errorTitle="Ошибка" error="Выберите значение из списка" prompt="Выберите значение из списка" sqref="AE193 AE207 AE221">
      <formula1>period_list</formula1>
    </dataValidation>
    <dataValidation type="list" allowBlank="1" showInputMessage="1" showErrorMessage="1" errorTitle="Ошибка" error="Выберите значение из списка" prompt="Выберите значение из списка" sqref="AE192 AE206 AE22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formula1>okopf_list</formula1>
    </dataValidation>
    <dataValidation type="list" showInputMessage="1" showErrorMessage="1" errorTitle="Внимание" error="Пожалуйста, выберите значение из списка!" sqref="AE25">
      <formula1>YEAR_LIST</formula1>
    </dataValidation>
    <dataValidation type="list" showDropDown="1" sqref="Z40">
      <formula1>subsidiary_list</formula1>
    </dataValidation>
    <dataValidation type="list" showDropDown="1" showInputMessage="1" showErrorMessage="1" sqref="Z94 Z77 Z61:Z62 Z82 Z89 Z101 Z106">
      <formula1>"FAS_URL"</formula1>
    </dataValidation>
    <dataValidation type="list" showInputMessage="1" showErrorMessage="1" errorTitle="Внимание" error="Пожалуйста, выберите значение из списка!" sqref="AE26">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formula1>DOCUMENT_TYPES</formula1>
    </dataValidation>
    <dataValidation type="date" operator="notEqual" allowBlank="1" showInputMessage="1" showErrorMessage="1" sqref="Z81 Z88 Z100 Z126:Z134 Z140:Z148 Z76 Z93 Z105 Z112:Z120 Z178:Z179 Z222">
      <formula1>1</formula1>
    </dataValidation>
    <dataValidation type="list" showDropDown="1" showInputMessage="1" showErrorMessage="1" sqref="Z55">
      <formula1>OWNERSHIP_TYPE</formula1>
    </dataValidation>
    <dataValidation type="list" showDropDown="1" sqref="Z53 Z234 Z71:Z72 Z84 Z96 Z108 Z122 Z136 Z151 Z56:Z60">
      <formula1>YES_NO</formula1>
    </dataValidation>
    <dataValidation type="list" showDropDown="1" sqref="Z45">
      <formula1>okopf_list</formula1>
    </dataValidation>
    <dataValidation type="list" showDropDown="1" sqref="Z26">
      <formula1>period_list</formula1>
    </dataValidation>
    <dataValidation type="list" showDropDown="1" sqref="Z24">
      <formula1>year_list2</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108 AE84 AE96 AE122 AE136 AE69 AE71:AE72 AE234 AE175 AE151 AE56 AE58:AE60">
      <formula1>YES_NO</formula1>
    </dataValidation>
    <dataValidation type="list" allowBlank="1" showInputMessage="1" showErrorMessage="1" errorTitle="Ошибка" error="Выберите значение из списка" sqref="AE210">
      <formula1>VOTV_VTARIFF</formula1>
    </dataValidation>
    <dataValidation type="list" allowBlank="1" showInputMessage="1" showErrorMessage="1" errorTitle="Ошибка" error="Выберите значение из списка" sqref="AE213">
      <formula1>VOTV_VTOV</formula1>
    </dataValidation>
  </dataValidation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51" man="1" max="1048576"/>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FA0488-A4B3-9648-1DE1-1C7F47923733}" mc:Ignorable="x14ac xr xr2 xr3">
  <sheetPr>
    <tabColor theme="3" tint="0.6"/>
    <outlinePr summaryRight="0" summaryBelow="0"/>
    <pageSetUpPr fitToPage="1"/>
  </sheetPr>
  <dimension ref="A1:AR38"/>
  <sheetViews>
    <sheetView showGridLines="0" workbookViewId="0">
      <pane xSplit="31" ySplit="24" topLeftCell="AF29" activePane="bottomRight" state="frozen"/>
      <selection pane="bottomLeft" activeCell="A25" sqref="A25"/>
      <selection pane="topRight" activeCell="AF1" sqref="AF1"/>
      <selection pane="bottomRight" activeCell="AA21" sqref="AA21"/>
    </sheetView>
  </sheetViews>
  <sheetFormatPr defaultColWidth="9.140625" customHeight="1" defaultRowHeight="11.25"/>
  <cols>
    <col min="1" max="1" style="547" width="3.57421875" hidden="1" customWidth="1"/>
    <col min="2" max="2" style="1190" width="8.57421875" hidden="1" customWidth="1"/>
    <col min="3" max="4" style="547" width="3.57421875" hidden="1" customWidth="1"/>
    <col min="5" max="5" style="946" width="3.57421875" hidden="1" customWidth="1"/>
    <col min="6" max="16" style="547" width="3.57421875" hidden="1" customWidth="1"/>
    <col min="17" max="17" style="942" width="3.57421875" hidden="1" customWidth="1"/>
    <col min="18" max="19" style="547" width="3.57421875" hidden="1" customWidth="1"/>
    <col min="20" max="20" style="1316" width="3.57421875" hidden="1" customWidth="1"/>
    <col min="21" max="21" style="547" width="8.57421875" hidden="1" customWidth="1"/>
    <col min="22" max="25" style="547" width="6.00390625" hidden="1" customWidth="1"/>
    <col min="26" max="26" style="547" width="5.140625" hidden="1" customWidth="1"/>
    <col min="27" max="27" style="547" width="3.7109375" customWidth="1"/>
    <col min="28" max="28" style="80" width="11.00390625" customWidth="1"/>
    <col min="29" max="30" style="80" width="45.00390625" customWidth="1"/>
    <col min="31" max="31" style="86" width="14.00390625" customWidth="1"/>
    <col min="32" max="32" style="86" width="35.00390625" customWidth="1"/>
    <col min="33" max="33" style="80" width="35.00390625" customWidth="1"/>
    <col min="34" max="34" style="80" width="9.140625"/>
    <col min="35" max="41" style="547" width="9.140625" hidden="1"/>
    <col min="42" max="44" style="80" width="9.140625" hidden="1"/>
  </cols>
  <sheetData>
    <row customHeight="1" ht="11.25" hidden="1">
      <c r="E1" s="114"/>
      <c r="F1" s="114" t="s">
        <v>313</v>
      </c>
      <c r="G1" s="114" t="s">
        <v>314</v>
      </c>
      <c r="U1" s="441" t="s">
        <v>92</v>
      </c>
      <c r="V1" s="439" t="s">
        <v>97</v>
      </c>
      <c r="W1" s="439" t="s">
        <v>93</v>
      </c>
      <c r="X1" s="439" t="s">
        <v>94</v>
      </c>
      <c r="Y1" s="439" t="s">
        <v>95</v>
      </c>
      <c r="Z1" s="439" t="s">
        <v>99</v>
      </c>
      <c r="AA1" s="441" t="s">
        <v>96</v>
      </c>
      <c r="AB1" s="440" t="s">
        <v>315</v>
      </c>
      <c r="AC1" s="440" t="s">
        <v>98</v>
      </c>
      <c r="AI1" s="114" t="s">
        <v>316</v>
      </c>
      <c r="AJ1" s="114" t="s">
        <v>317</v>
      </c>
      <c r="AK1" s="114" t="s">
        <v>318</v>
      </c>
      <c r="AL1" s="114" t="s">
        <v>319</v>
      </c>
      <c r="AM1" s="114" t="s">
        <v>320</v>
      </c>
      <c r="AN1" s="114" t="s">
        <v>321</v>
      </c>
      <c r="AO1" s="114" t="s">
        <v>322</v>
      </c>
    </row>
    <row s="412" customFormat="1" customHeight="1" ht="11.25" hidden="1">
      <c r="A2" s="402"/>
      <c r="B2" s="944" t="s">
        <v>18</v>
      </c>
      <c r="C2" s="402"/>
      <c r="D2" s="402"/>
      <c r="E2" s="402"/>
      <c r="F2" s="402"/>
      <c r="G2" s="402"/>
      <c r="H2" s="402"/>
      <c r="I2" s="402"/>
      <c r="J2" s="402"/>
      <c r="K2" s="402"/>
      <c r="L2" s="402"/>
      <c r="M2" s="402"/>
      <c r="N2" s="402"/>
      <c r="O2" s="402"/>
      <c r="P2" s="402"/>
      <c r="Q2" s="402"/>
      <c r="R2" s="402"/>
      <c r="S2" s="402"/>
      <c r="T2" s="635"/>
      <c r="U2" s="264"/>
      <c r="V2" s="402"/>
      <c r="W2" s="402"/>
      <c r="X2" s="402"/>
      <c r="Y2" s="402"/>
      <c r="Z2" s="402"/>
      <c r="AA2" s="402"/>
      <c r="AI2" s="402"/>
      <c r="AJ2" s="402"/>
      <c r="AK2" s="402"/>
      <c r="AL2" s="402"/>
      <c r="AM2" s="402"/>
      <c r="AN2" s="402"/>
      <c r="AO2" s="402"/>
    </row>
    <row customHeight="1" ht="11.25" hidden="1">
      <c r="E3" s="114"/>
    </row>
    <row customHeight="1" ht="11.25" hidden="1">
      <c r="E4" s="114"/>
    </row>
    <row s="606" customFormat="1" customHeight="1" ht="11.25" hidden="1">
      <c r="A5" s="114"/>
      <c r="B5" s="402"/>
      <c r="C5" s="114"/>
      <c r="D5" s="114"/>
      <c r="E5" s="945" t="s">
        <v>19</v>
      </c>
      <c r="F5" s="946"/>
      <c r="G5" s="946"/>
      <c r="H5" s="946"/>
      <c r="I5" s="946"/>
      <c r="J5" s="946"/>
      <c r="K5" s="946"/>
      <c r="L5" s="946"/>
      <c r="M5" s="946"/>
      <c r="N5" s="946"/>
      <c r="O5" s="946"/>
      <c r="P5" s="946"/>
      <c r="Q5" s="947"/>
      <c r="R5" s="946"/>
      <c r="S5" s="946"/>
      <c r="T5" s="948"/>
      <c r="U5" s="946"/>
      <c r="V5" s="946"/>
      <c r="W5" s="946"/>
      <c r="X5" s="946"/>
      <c r="Y5" s="946"/>
      <c r="Z5" s="946"/>
      <c r="AA5" s="600" t="s">
        <v>323</v>
      </c>
      <c r="AB5" s="618">
        <v>11</v>
      </c>
      <c r="AC5" s="618">
        <v>45</v>
      </c>
      <c r="AD5" s="618">
        <v>45</v>
      </c>
      <c r="AE5" s="618">
        <v>14</v>
      </c>
      <c r="AF5" s="618">
        <v>35</v>
      </c>
      <c r="AG5" s="618">
        <v>35</v>
      </c>
      <c r="AH5" s="606" t="s">
        <v>323</v>
      </c>
      <c r="AI5" s="946"/>
      <c r="AJ5" s="946"/>
      <c r="AK5" s="946"/>
      <c r="AL5" s="946"/>
      <c r="AM5" s="946"/>
      <c r="AN5" s="946"/>
      <c r="AO5" s="946"/>
    </row>
    <row customHeight="1" ht="11.25" hidden="1">
      <c r="A6" s="114" t="s">
        <v>324</v>
      </c>
      <c r="AC6" s="68" t="s">
        <v>325</v>
      </c>
      <c r="AD6" s="68" t="s">
        <v>326</v>
      </c>
      <c r="AE6" s="68" t="s">
        <v>327</v>
      </c>
      <c r="AF6" s="86" t="s">
        <v>328</v>
      </c>
      <c r="AG6" s="68" t="s">
        <v>329</v>
      </c>
    </row>
    <row s="547" customFormat="1" customHeight="1" ht="11.25" hidden="1">
      <c r="B7" s="402"/>
      <c r="E7" s="946"/>
      <c r="Q7" s="942"/>
      <c r="T7" s="943"/>
      <c r="AE7" s="171"/>
      <c r="AF7" s="171"/>
    </row>
    <row s="547" customFormat="1" customHeight="1" ht="11.25" hidden="1">
      <c r="B8" s="402"/>
      <c r="E8" s="946"/>
      <c r="Q8" s="942"/>
      <c r="T8" s="943"/>
      <c r="AE8" s="171"/>
      <c r="AF8" s="171"/>
    </row>
    <row s="547" customFormat="1" customHeight="1" ht="11.25" hidden="1">
      <c r="A9" s="114" t="s">
        <v>330</v>
      </c>
      <c r="B9" s="402"/>
      <c r="E9" s="946"/>
      <c r="Q9" s="942"/>
      <c r="T9" s="943"/>
      <c r="AE9" s="171"/>
      <c r="AF9" s="171" cm="1" t="str">
        <f t="array" ref="AF9:AF9">AF24</f>
        <v>Тип муниципального образования </v>
      </c>
      <c r="AG9" s="171" cm="1" t="str">
        <f t="array" ref="AG9:AG9">AG24</f>
        <v>Дополнительные сведения</v>
      </c>
    </row>
    <row s="547" customFormat="1" customHeight="1" ht="11.25" hidden="1">
      <c r="A10" s="114" t="s">
        <v>331</v>
      </c>
      <c r="B10" s="402"/>
      <c r="E10" s="946"/>
      <c r="Q10" s="942"/>
      <c r="T10" s="943"/>
      <c r="AC10" s="114" t="s">
        <v>318</v>
      </c>
      <c r="AD10" s="114" t="s">
        <v>319</v>
      </c>
      <c r="AE10" s="171" t="s">
        <v>320</v>
      </c>
      <c r="AF10" s="171"/>
    </row>
    <row s="547" customFormat="1" customHeight="1" ht="11.25" hidden="1">
      <c r="B11" s="402"/>
      <c r="E11" s="946"/>
      <c r="Q11" s="949"/>
      <c r="T11" s="943"/>
      <c r="AE11" s="171"/>
    </row>
    <row s="547" customFormat="1" customHeight="1" ht="11.25" hidden="1">
      <c r="B12" s="402"/>
      <c r="E12" s="946"/>
      <c r="Q12" s="949"/>
      <c r="T12" s="943"/>
    </row>
    <row s="547" customFormat="1" customHeight="1" ht="11.25" hidden="1">
      <c r="B13" s="402"/>
      <c r="E13" s="946"/>
      <c r="Q13" s="949"/>
      <c r="T13" s="943"/>
    </row>
    <row s="547" customFormat="1" customHeight="1" ht="11.25" hidden="1">
      <c r="B14" s="402"/>
      <c r="E14" s="946"/>
      <c r="Q14" s="949"/>
      <c r="T14" s="943"/>
    </row>
    <row s="547" customFormat="1" customHeight="1" ht="11.25" hidden="1">
      <c r="B15" s="402"/>
      <c r="E15" s="946"/>
      <c r="Q15" s="949"/>
      <c r="T15" s="943"/>
    </row>
    <row s="547" customFormat="1" customHeight="1" ht="11.25" hidden="1">
      <c r="B16" s="402"/>
      <c r="E16" s="946"/>
      <c r="Q16" s="949"/>
      <c r="T16" s="943"/>
    </row>
    <row customHeight="1" ht="11.25" hidden="1">
      <c r="Q17" s="949"/>
      <c r="AE17" s="68"/>
      <c r="AF17" s="68"/>
    </row>
    <row customHeight="1" ht="11.25" hidden="1">
      <c r="A18" s="114" t="s">
        <v>332</v>
      </c>
      <c r="Q18" s="949"/>
      <c r="AC18" s="68" t="s">
        <v>333</v>
      </c>
      <c r="AD18" s="68" t="s">
        <v>334</v>
      </c>
      <c r="AE18" s="68"/>
      <c r="AF18" s="68"/>
    </row>
    <row customHeight="1" ht="11.25" hidden="1">
      <c r="Q19" s="949"/>
      <c r="AE19" s="68"/>
      <c r="AF19" s="68"/>
    </row>
    <row customHeight="1" ht="11.25" hidden="1">
      <c r="Q20" s="949"/>
      <c r="AE20" s="68"/>
      <c r="AF20" s="68"/>
    </row>
    <row customHeight="1" ht="15">
      <c r="E21" s="946" t="s">
        <v>335</v>
      </c>
      <c r="Q21" s="949"/>
      <c r="U21" s="943"/>
      <c r="V21" s="943"/>
      <c r="W21" s="943"/>
      <c r="X21" s="943"/>
      <c r="Y21" s="943"/>
      <c r="Z21" s="943"/>
      <c r="AA21" s="943"/>
      <c r="AB21" s="79"/>
      <c r="AC21" s="332" cm="1" t="str">
        <f t="array" ref="AC21:AC21">tpl_title</f>
        <v>Кемеровская область / 2026 / Филиал АО "УК "Кузбассразрезуголь" "Талдинский угольный разрез" (ИНН:4205049090, КПП:423802002) / ДПР: 2024-2028</v>
      </c>
      <c r="AD21" s="79"/>
      <c r="AE21" s="79"/>
      <c r="AF21" s="79"/>
    </row>
    <row customHeight="1" ht="30">
      <c r="E22" s="946" t="s">
        <v>336</v>
      </c>
      <c r="Q22" s="949"/>
      <c r="S22" s="943"/>
      <c r="U22" s="943"/>
      <c r="V22" s="943"/>
      <c r="W22" s="943"/>
      <c r="X22" s="943"/>
      <c r="Y22" s="943"/>
      <c r="Z22" s="943"/>
      <c r="AA22" s="943"/>
      <c r="AB22" s="1460" t="s">
        <v>34</v>
      </c>
      <c r="AC22" s="1461"/>
      <c r="AD22" s="1461"/>
      <c r="AE22" s="1461"/>
      <c r="AF22" s="1461"/>
      <c r="AG22" s="1461"/>
    </row>
    <row customHeight="1" ht="11.25">
      <c r="E23" s="612" t="s">
        <v>337</v>
      </c>
      <c r="Q23" s="949"/>
      <c r="U23" s="950"/>
      <c r="V23" s="950"/>
      <c r="W23" s="950"/>
      <c r="X23" s="950"/>
      <c r="Y23" s="950"/>
      <c r="Z23" s="950"/>
      <c r="AA23" s="950"/>
      <c r="AB23" s="81"/>
      <c r="AC23" s="81"/>
      <c r="AD23" s="81"/>
      <c r="AE23" s="82"/>
      <c r="AF23" s="82"/>
      <c r="AG23" s="82"/>
    </row>
    <row customHeight="1" ht="28.5">
      <c r="E24" s="946" t="s">
        <v>338</v>
      </c>
      <c r="U24" s="950"/>
      <c r="V24" s="950"/>
      <c r="W24" s="950"/>
      <c r="X24" s="950"/>
      <c r="Y24" s="950"/>
      <c r="Z24" s="950"/>
      <c r="AA24" s="950"/>
      <c r="AB24" s="83" t="s">
        <v>21</v>
      </c>
      <c r="AC24" s="84" t="s">
        <v>333</v>
      </c>
      <c r="AD24" s="84" t="s">
        <v>334</v>
      </c>
      <c r="AE24" s="84" t="s">
        <v>339</v>
      </c>
      <c r="AF24" s="339" t="s">
        <v>340</v>
      </c>
      <c r="AG24" s="85" t="s">
        <v>269</v>
      </c>
    </row>
    <row customHeight="1" ht="11.25" hidden="1">
      <c r="E25" s="946">
        <v>0</v>
      </c>
      <c r="U25" s="950"/>
      <c r="V25" s="950"/>
      <c r="W25" s="950"/>
      <c r="X25" s="950"/>
      <c r="Y25" s="950"/>
      <c r="Z25" s="950"/>
      <c r="AA25" s="950"/>
      <c r="AB25" s="704"/>
      <c r="AC25" s="704"/>
      <c r="AD25" s="704"/>
      <c r="AE25" s="704"/>
      <c r="AF25" s="704"/>
      <c r="AG25" s="704"/>
    </row>
    <row customHeight="1" ht="15" hidden="1">
      <c r="A26" s="547"/>
      <c r="B26" s="1190"/>
      <c r="C26" s="547"/>
      <c r="D26" s="547"/>
      <c r="E26" s="946" t="s">
        <v>335</v>
      </c>
      <c r="F26" s="109" cm="1" t="str">
        <f t="array" ref="F26:F26">Y26</f>
        <v>0</v>
      </c>
      <c r="G26" s="547"/>
      <c r="H26" s="547"/>
      <c r="I26" s="547"/>
      <c r="J26" s="547"/>
      <c r="K26" s="547"/>
      <c r="L26" s="547"/>
      <c r="M26" s="547"/>
      <c r="N26" s="547"/>
      <c r="O26" s="547"/>
      <c r="P26" s="547"/>
      <c r="Q26" s="942"/>
      <c r="R26" s="547"/>
      <c r="S26" s="547"/>
      <c r="T26" s="1316"/>
      <c r="U26" s="441">
        <f>Y26&gt;0</f>
        <v>0</v>
      </c>
      <c r="V26" s="444"/>
      <c r="W26" s="445" t="s">
        <v>261</v>
      </c>
      <c r="X26" s="444"/>
      <c r="Y26" s="1462">
        <v>0</v>
      </c>
      <c r="Z26" s="1463"/>
      <c r="AA26" s="951"/>
      <c r="AB26" s="147" cm="1" t="str">
        <f t="array" ref="AB26:AB26">INDEX('Общие сведения'!$AG$179:$AG$222,MATCH($Y26,'Общие сведения'!$Z$179:$Z$222,0))</f>
        <v>Тариф 0 () - </v>
      </c>
      <c r="AC26" s="141"/>
      <c r="AD26" s="141"/>
      <c r="AE26" s="141"/>
      <c r="AF26" s="141"/>
      <c r="AG26" s="141"/>
      <c r="AH26" s="80"/>
      <c r="AI26" s="547"/>
      <c r="AJ26" s="547"/>
      <c r="AK26" s="547"/>
      <c r="AL26" s="547"/>
      <c r="AM26" s="547"/>
      <c r="AN26" s="547"/>
      <c r="AO26" s="547"/>
      <c r="AP26" s="80"/>
      <c r="AQ26" s="80"/>
      <c r="AR26" s="80"/>
    </row>
    <row customHeight="1" ht="15" hidden="1">
      <c r="A27" s="547"/>
      <c r="B27" s="1190"/>
      <c r="C27" s="547"/>
      <c r="D27" s="547"/>
      <c r="E27" s="946" t="s">
        <v>335</v>
      </c>
      <c r="F27" s="109" cm="1" t="str">
        <f t="array" ref="F27:F27">OFFSET(E27,-1,1)</f>
        <v>0</v>
      </c>
      <c r="G27" s="114" cm="1" t="str">
        <f t="array" ref="G27:G27">AB27</f>
        <v>0</v>
      </c>
      <c r="H27" s="547"/>
      <c r="I27" s="547"/>
      <c r="J27" s="547"/>
      <c r="K27" s="547"/>
      <c r="L27" s="547"/>
      <c r="M27" s="547"/>
      <c r="N27" s="547"/>
      <c r="O27" s="547"/>
      <c r="P27" s="547"/>
      <c r="Q27" s="942"/>
      <c r="R27" s="547"/>
      <c r="S27" s="547"/>
      <c r="T27" s="952"/>
      <c r="U27" s="441">
        <f>AND(F27&gt;0,AB27&gt;0)</f>
        <v>0</v>
      </c>
      <c r="V27" s="446"/>
      <c r="W27" s="447"/>
      <c r="X27" s="738" t="s">
        <v>173</v>
      </c>
      <c r="Y27" s="1462"/>
      <c r="Z27" s="1463"/>
      <c r="AA27" s="642" t="s">
        <v>174</v>
      </c>
      <c r="AB27" s="626">
        <v>0</v>
      </c>
      <c r="AC27" s="739"/>
      <c r="AD27" s="146"/>
      <c r="AE27" s="146"/>
      <c r="AF27" s="1725"/>
      <c r="AG27" s="1726"/>
      <c r="AH27" s="80"/>
      <c r="AI27" s="114" t="s">
        <v>341</v>
      </c>
      <c r="AJ27" s="114" t="s">
        <v>342</v>
      </c>
      <c r="AK27" s="114" cm="1" t="str">
        <f t="array" ref="AK27:AK27">AC27</f>
        <v>0</v>
      </c>
      <c r="AL27" s="114" cm="1" t="str">
        <f t="array" ref="AL27:AL27">AD27</f>
        <v>0</v>
      </c>
      <c r="AM27" s="114" cm="1" t="str">
        <f t="array" ref="AM27:AM27">AE27</f>
        <v>0</v>
      </c>
      <c r="AN27" s="547"/>
      <c r="AO27" s="114" t="b">
        <v>1</v>
      </c>
      <c r="AP27" s="80"/>
      <c r="AQ27" s="80"/>
      <c r="AR27" s="80"/>
    </row>
    <row customHeight="1" ht="15" hidden="1">
      <c r="A28" s="547"/>
      <c r="B28" s="1190"/>
      <c r="C28" s="547"/>
      <c r="D28" s="547"/>
      <c r="E28" s="946" t="s">
        <v>335</v>
      </c>
      <c r="F28" s="109" cm="1" t="str">
        <f t="array" ref="F28:F28">OFFSET(E28,-1,1)</f>
        <v>0</v>
      </c>
      <c r="G28" s="114" t="s">
        <v>343</v>
      </c>
      <c r="H28" s="547"/>
      <c r="I28" s="547"/>
      <c r="J28" s="547"/>
      <c r="K28" s="547"/>
      <c r="L28" s="547"/>
      <c r="M28" s="547"/>
      <c r="N28" s="547"/>
      <c r="O28" s="547"/>
      <c r="P28" s="738"/>
      <c r="Q28" s="942"/>
      <c r="R28" s="547"/>
      <c r="S28" s="547"/>
      <c r="T28" s="1316"/>
      <c r="U28" s="441" cm="1" t="str">
        <f t="array" ref="U28:U28">U26</f>
        <v>false</v>
      </c>
      <c r="V28" s="547"/>
      <c r="W28" s="547"/>
      <c r="X28" s="738" t="s">
        <v>344</v>
      </c>
      <c r="Y28" s="1462"/>
      <c r="Z28" s="1463"/>
      <c r="AA28" s="442"/>
      <c r="AB28" s="142"/>
      <c r="AC28" s="227" t="s">
        <v>345</v>
      </c>
      <c r="AD28" s="143"/>
      <c r="AE28" s="143"/>
      <c r="AF28" s="143"/>
      <c r="AG28" s="144"/>
      <c r="AH28" s="80"/>
      <c r="AI28" s="547"/>
      <c r="AJ28" s="547"/>
      <c r="AK28" s="547"/>
      <c r="AL28" s="547"/>
      <c r="AM28" s="547"/>
      <c r="AN28" s="114" t="s">
        <v>342</v>
      </c>
      <c r="AO28" s="547"/>
      <c r="AP28" s="80"/>
      <c r="AQ28" s="80"/>
      <c r="AR28" s="80"/>
    </row>
    <row s="1621" customFormat="1" customHeight="1" ht="15">
      <c r="A29" s="547"/>
      <c r="B29" s="1190"/>
      <c r="C29" s="547"/>
      <c r="D29" s="547"/>
      <c r="E29" s="946" t="s">
        <v>335</v>
      </c>
      <c r="F29" s="109" cm="1" t="str">
        <f t="array" ref="F29:F29">Y29</f>
        <v>1</v>
      </c>
      <c r="G29" s="547"/>
      <c r="H29" s="547"/>
      <c r="I29" s="547"/>
      <c r="J29" s="547"/>
      <c r="K29" s="547"/>
      <c r="L29" s="547"/>
      <c r="M29" s="547"/>
      <c r="N29" s="547"/>
      <c r="O29" s="547"/>
      <c r="P29" s="547"/>
      <c r="Q29" s="942"/>
      <c r="R29" s="547"/>
      <c r="S29" s="547"/>
      <c r="T29" s="1316"/>
      <c r="U29" s="441">
        <f>Y29&gt;0</f>
        <v>1</v>
      </c>
      <c r="V29" s="444"/>
      <c r="W29" s="445" cm="1" t="str">
        <f t="array" ref="W29:W29">'Общие сведения'!$AG$194</f>
        <v>Тариф 1 (Водоснабжение) - тариф на техническую воду (Оказание услуг на территории: Прокопьевский муниципальный округ (ОКТМО: 32522000) - п Калачево)</v>
      </c>
      <c r="X29" s="444"/>
      <c r="Y29" s="1462" t="s">
        <v>272</v>
      </c>
      <c r="Z29" s="1463"/>
      <c r="AA29" s="951"/>
      <c r="AB29" s="147" cm="1" t="str">
        <f t="array" ref="AB29:AB29">'Общие сведения'!$AG$194</f>
        <v>Тариф 1 (Водоснабжение) - тариф на техническую воду (Оказание услуг на территории: Прокопьевский муниципальный округ (ОКТМО: 32522000) - п Калачево)</v>
      </c>
      <c r="AC29" s="141"/>
      <c r="AD29" s="141"/>
      <c r="AE29" s="141"/>
      <c r="AF29" s="141"/>
      <c r="AG29" s="141"/>
      <c r="AH29" s="80"/>
      <c r="AI29" s="547"/>
      <c r="AJ29" s="547"/>
      <c r="AK29" s="547"/>
      <c r="AL29" s="547"/>
      <c r="AM29" s="547"/>
      <c r="AN29" s="547"/>
      <c r="AO29" s="547"/>
      <c r="AP29" s="80"/>
      <c r="AQ29" s="80"/>
      <c r="AR29" s="80"/>
    </row>
    <row s="1621" customFormat="1" customHeight="1" ht="15" hidden="1">
      <c r="A30" s="547"/>
      <c r="B30" s="1190"/>
      <c r="C30" s="547"/>
      <c r="D30" s="547"/>
      <c r="E30" s="946" t="s">
        <v>335</v>
      </c>
      <c r="F30" s="109" cm="1" t="str">
        <f t="array" ref="F30:F30">OFFSET(E30,-1,1)</f>
        <v>1</v>
      </c>
      <c r="G30" s="114" cm="1" t="str">
        <f t="array" ref="G30:G30">AB30</f>
        <v>0</v>
      </c>
      <c r="H30" s="547"/>
      <c r="I30" s="547"/>
      <c r="J30" s="547"/>
      <c r="K30" s="547"/>
      <c r="L30" s="547"/>
      <c r="M30" s="547"/>
      <c r="N30" s="547"/>
      <c r="O30" s="547"/>
      <c r="P30" s="547"/>
      <c r="Q30" s="942"/>
      <c r="R30" s="547"/>
      <c r="S30" s="547"/>
      <c r="T30" s="952"/>
      <c r="U30" s="441">
        <f>AND(F30&gt;0,AB30&gt;0)</f>
        <v>0</v>
      </c>
      <c r="V30" s="446"/>
      <c r="W30" s="447"/>
      <c r="X30" s="738" t="s">
        <v>173</v>
      </c>
      <c r="Y30" s="1462"/>
      <c r="Z30" s="1463"/>
      <c r="AA30" s="642" t="s">
        <v>174</v>
      </c>
      <c r="AB30" s="626">
        <v>0</v>
      </c>
      <c r="AC30" s="739"/>
      <c r="AD30" s="146"/>
      <c r="AE30" s="146"/>
      <c r="AF30" s="1725"/>
      <c r="AG30" s="1726"/>
      <c r="AH30" s="80"/>
      <c r="AI30" s="114" t="s">
        <v>341</v>
      </c>
      <c r="AJ30" s="114" t="s">
        <v>342</v>
      </c>
      <c r="AK30" s="114" cm="1" t="str">
        <f t="array" ref="AK30:AK30">AC30</f>
        <v>0</v>
      </c>
      <c r="AL30" s="114" cm="1" t="str">
        <f t="array" ref="AL30:AL30">AD30</f>
        <v>0</v>
      </c>
      <c r="AM30" s="114" cm="1" t="str">
        <f t="array" ref="AM30:AM30">AE30</f>
        <v>0</v>
      </c>
      <c r="AN30" s="547"/>
      <c r="AO30" s="114" t="b">
        <v>1</v>
      </c>
      <c r="AP30" s="80"/>
      <c r="AQ30" s="80"/>
      <c r="AR30" s="80"/>
    </row>
    <row s="1621" customFormat="1" customHeight="1" ht="18.75">
      <c r="A31" s="547"/>
      <c r="B31" s="1190"/>
      <c r="C31" s="547"/>
      <c r="D31" s="547"/>
      <c r="E31" s="946" t="s">
        <v>335</v>
      </c>
      <c r="F31" s="109" cm="1" t="str">
        <f t="array" ref="F31:F31">OFFSET(E31,-1,1)</f>
        <v>1</v>
      </c>
      <c r="G31" s="114" cm="1" t="str">
        <f t="array" ref="G31:G31">AB31</f>
        <v>1</v>
      </c>
      <c r="H31" s="547"/>
      <c r="I31" s="547"/>
      <c r="J31" s="547"/>
      <c r="K31" s="547"/>
      <c r="L31" s="547"/>
      <c r="M31" s="547"/>
      <c r="N31" s="547"/>
      <c r="O31" s="547"/>
      <c r="P31" s="547"/>
      <c r="Q31" s="942"/>
      <c r="R31" s="547"/>
      <c r="S31" s="547"/>
      <c r="T31" s="952"/>
      <c r="U31" s="441">
        <f>AND(F31&gt;0,AB31&gt;0)</f>
        <v>1</v>
      </c>
      <c r="V31" s="446"/>
      <c r="W31" s="447"/>
      <c r="X31" s="738"/>
      <c r="Y31" s="1462"/>
      <c r="Z31" s="1463"/>
      <c r="AA31" s="642" t="s">
        <v>174</v>
      </c>
      <c r="AB31" s="626" t="s">
        <v>272</v>
      </c>
      <c r="AC31" s="739" t="s">
        <v>346</v>
      </c>
      <c r="AD31" s="146" t="s">
        <v>346</v>
      </c>
      <c r="AE31" s="146" t="s">
        <v>347</v>
      </c>
      <c r="AF31" s="921" t="s">
        <v>348</v>
      </c>
      <c r="AG31" s="163" t="s">
        <v>349</v>
      </c>
      <c r="AH31" s="80"/>
      <c r="AI31" s="114" t="s">
        <v>341</v>
      </c>
      <c r="AJ31" s="114" t="s">
        <v>342</v>
      </c>
      <c r="AK31" s="114" cm="1" t="str">
        <f t="array" ref="AK31:AK31">AC31</f>
        <v>Прокопьевский муниципальный округ</v>
      </c>
      <c r="AL31" s="114" cm="1" t="str">
        <f t="array" ref="AL31:AL31">AD31</f>
        <v>Прокопьевский муниципальный округ</v>
      </c>
      <c r="AM31" s="114" cm="1" t="str">
        <f t="array" ref="AM31:AM31">AE31</f>
        <v>32522000</v>
      </c>
      <c r="AN31" s="547"/>
      <c r="AO31" s="114" t="b">
        <v>1</v>
      </c>
      <c r="AP31" s="80"/>
      <c r="AQ31" s="80"/>
      <c r="AR31" s="80"/>
    </row>
    <row s="1621" customFormat="1" customHeight="1" ht="15">
      <c r="A32" s="547"/>
      <c r="B32" s="1190"/>
      <c r="C32" s="547"/>
      <c r="D32" s="547"/>
      <c r="E32" s="946" t="s">
        <v>335</v>
      </c>
      <c r="F32" s="109" cm="1" t="str">
        <f t="array" ref="F32:F32">OFFSET(E32,-1,1)</f>
        <v>1</v>
      </c>
      <c r="G32" s="114" t="s">
        <v>343</v>
      </c>
      <c r="H32" s="547"/>
      <c r="I32" s="547"/>
      <c r="J32" s="547"/>
      <c r="K32" s="547"/>
      <c r="L32" s="547"/>
      <c r="M32" s="547"/>
      <c r="N32" s="547"/>
      <c r="O32" s="547"/>
      <c r="P32" s="738"/>
      <c r="Q32" s="942"/>
      <c r="R32" s="547"/>
      <c r="S32" s="547"/>
      <c r="T32" s="1316"/>
      <c r="U32" s="441" cm="1" t="str">
        <f t="array" ref="U32:U32">U29</f>
        <v>true</v>
      </c>
      <c r="V32" s="547"/>
      <c r="W32" s="547"/>
      <c r="X32" s="738" t="s">
        <v>344</v>
      </c>
      <c r="Y32" s="1462"/>
      <c r="Z32" s="1463"/>
      <c r="AA32" s="442"/>
      <c r="AB32" s="142"/>
      <c r="AC32" s="227" t="s">
        <v>345</v>
      </c>
      <c r="AD32" s="143"/>
      <c r="AE32" s="143"/>
      <c r="AF32" s="143"/>
      <c r="AG32" s="144"/>
      <c r="AH32" s="80"/>
      <c r="AI32" s="547"/>
      <c r="AJ32" s="547"/>
      <c r="AK32" s="547"/>
      <c r="AL32" s="547"/>
      <c r="AM32" s="547"/>
      <c r="AN32" s="114" t="s">
        <v>342</v>
      </c>
      <c r="AO32" s="547"/>
      <c r="AP32" s="80"/>
      <c r="AQ32" s="80"/>
      <c r="AR32" s="80"/>
    </row>
    <row s="1621" customFormat="1" customHeight="1" ht="15">
      <c r="A33" s="547"/>
      <c r="B33" s="1190"/>
      <c r="C33" s="547"/>
      <c r="D33" s="547"/>
      <c r="E33" s="946" t="s">
        <v>335</v>
      </c>
      <c r="F33" s="109" cm="1" t="str">
        <f t="array" ref="F33:F33">Y33</f>
        <v>2</v>
      </c>
      <c r="G33" s="547"/>
      <c r="H33" s="547"/>
      <c r="I33" s="547"/>
      <c r="J33" s="547"/>
      <c r="K33" s="547"/>
      <c r="L33" s="547"/>
      <c r="M33" s="547"/>
      <c r="N33" s="547"/>
      <c r="O33" s="547"/>
      <c r="P33" s="547"/>
      <c r="Q33" s="942"/>
      <c r="R33" s="547"/>
      <c r="S33" s="547"/>
      <c r="T33" s="1316"/>
      <c r="U33" s="441">
        <f>Y33&gt;0</f>
        <v>1</v>
      </c>
      <c r="V33" s="444"/>
      <c r="W33" s="445" cm="1" t="str">
        <f t="array" ref="W33:W33">'Общие сведения'!$AG$208</f>
        <v>Тариф 2 (Водоотведение) - тариф на водоотведение (Оказание услуг на территории: Прокопьевский муниципальный округ (ОКТМО: 32522000) - п Калачево)</v>
      </c>
      <c r="X33" s="444"/>
      <c r="Y33" s="1462" t="s">
        <v>283</v>
      </c>
      <c r="Z33" s="1463"/>
      <c r="AA33" s="951"/>
      <c r="AB33" s="147" cm="1" t="str">
        <f t="array" ref="AB33:AB33">'Общие сведения'!$AG$208</f>
        <v>Тариф 2 (Водоотведение) - тариф на водоотведение (Оказание услуг на территории: Прокопьевский муниципальный округ (ОКТМО: 32522000) - п Калачево)</v>
      </c>
      <c r="AC33" s="141"/>
      <c r="AD33" s="141"/>
      <c r="AE33" s="141"/>
      <c r="AF33" s="141"/>
      <c r="AG33" s="141"/>
      <c r="AH33" s="80"/>
      <c r="AI33" s="547"/>
      <c r="AJ33" s="547"/>
      <c r="AK33" s="547"/>
      <c r="AL33" s="547"/>
      <c r="AM33" s="547"/>
      <c r="AN33" s="547"/>
      <c r="AO33" s="547"/>
      <c r="AP33" s="80"/>
      <c r="AQ33" s="80"/>
      <c r="AR33" s="80"/>
    </row>
    <row s="1621" customFormat="1" customHeight="1" ht="15" hidden="1">
      <c r="A34" s="547"/>
      <c r="B34" s="1190"/>
      <c r="C34" s="547"/>
      <c r="D34" s="547"/>
      <c r="E34" s="946" t="s">
        <v>335</v>
      </c>
      <c r="F34" s="109" cm="1" t="str">
        <f t="array" ref="F34:F34">OFFSET(E34,-1,1)</f>
        <v>2</v>
      </c>
      <c r="G34" s="114" cm="1" t="str">
        <f t="array" ref="G34:G34">AB34</f>
        <v>0</v>
      </c>
      <c r="H34" s="547"/>
      <c r="I34" s="547"/>
      <c r="J34" s="547"/>
      <c r="K34" s="547"/>
      <c r="L34" s="547"/>
      <c r="M34" s="547"/>
      <c r="N34" s="547"/>
      <c r="O34" s="547"/>
      <c r="P34" s="547"/>
      <c r="Q34" s="942"/>
      <c r="R34" s="547"/>
      <c r="S34" s="547"/>
      <c r="T34" s="952"/>
      <c r="U34" s="441">
        <f>AND(F34&gt;0,AB34&gt;0)</f>
        <v>0</v>
      </c>
      <c r="V34" s="446"/>
      <c r="W34" s="447"/>
      <c r="X34" s="738" t="s">
        <v>173</v>
      </c>
      <c r="Y34" s="1462"/>
      <c r="Z34" s="1463"/>
      <c r="AA34" s="642" t="s">
        <v>174</v>
      </c>
      <c r="AB34" s="626">
        <v>0</v>
      </c>
      <c r="AC34" s="739"/>
      <c r="AD34" s="146"/>
      <c r="AE34" s="146"/>
      <c r="AF34" s="1725"/>
      <c r="AG34" s="1726"/>
      <c r="AH34" s="80"/>
      <c r="AI34" s="114" t="s">
        <v>341</v>
      </c>
      <c r="AJ34" s="114" t="s">
        <v>342</v>
      </c>
      <c r="AK34" s="114" cm="1" t="str">
        <f t="array" ref="AK34:AK34">AC34</f>
        <v>0</v>
      </c>
      <c r="AL34" s="114" cm="1" t="str">
        <f t="array" ref="AL34:AL34">AD34</f>
        <v>0</v>
      </c>
      <c r="AM34" s="114" cm="1" t="str">
        <f t="array" ref="AM34:AM34">AE34</f>
        <v>0</v>
      </c>
      <c r="AN34" s="547"/>
      <c r="AO34" s="114" t="b">
        <v>1</v>
      </c>
      <c r="AP34" s="80"/>
      <c r="AQ34" s="80"/>
      <c r="AR34" s="80"/>
    </row>
    <row s="1621" customFormat="1" customHeight="1" ht="18.75">
      <c r="A35" s="547"/>
      <c r="B35" s="1190"/>
      <c r="C35" s="547"/>
      <c r="D35" s="547"/>
      <c r="E35" s="946" t="s">
        <v>335</v>
      </c>
      <c r="F35" s="109" cm="1" t="str">
        <f t="array" ref="F35:F35">OFFSET(E35,-1,1)</f>
        <v>2</v>
      </c>
      <c r="G35" s="114" cm="1" t="str">
        <f t="array" ref="G35:G35">AB35</f>
        <v>1</v>
      </c>
      <c r="H35" s="547"/>
      <c r="I35" s="547"/>
      <c r="J35" s="547"/>
      <c r="K35" s="547"/>
      <c r="L35" s="547"/>
      <c r="M35" s="547"/>
      <c r="N35" s="547"/>
      <c r="O35" s="547"/>
      <c r="P35" s="547"/>
      <c r="Q35" s="942"/>
      <c r="R35" s="547"/>
      <c r="S35" s="547"/>
      <c r="T35" s="952"/>
      <c r="U35" s="441">
        <f>AND(F35&gt;0,AB35&gt;0)</f>
        <v>1</v>
      </c>
      <c r="V35" s="446"/>
      <c r="W35" s="447"/>
      <c r="X35" s="738"/>
      <c r="Y35" s="1462"/>
      <c r="Z35" s="1463"/>
      <c r="AA35" s="642" t="s">
        <v>174</v>
      </c>
      <c r="AB35" s="626" t="s">
        <v>272</v>
      </c>
      <c r="AC35" s="739" t="s">
        <v>346</v>
      </c>
      <c r="AD35" s="146" t="s">
        <v>346</v>
      </c>
      <c r="AE35" s="146" t="s">
        <v>347</v>
      </c>
      <c r="AF35" s="921" t="s">
        <v>348</v>
      </c>
      <c r="AG35" s="163" t="s">
        <v>349</v>
      </c>
      <c r="AH35" s="80"/>
      <c r="AI35" s="114" t="s">
        <v>341</v>
      </c>
      <c r="AJ35" s="114" t="s">
        <v>342</v>
      </c>
      <c r="AK35" s="114" cm="1" t="str">
        <f t="array" ref="AK35:AK35">AC35</f>
        <v>Прокопьевский муниципальный округ</v>
      </c>
      <c r="AL35" s="114" cm="1" t="str">
        <f t="array" ref="AL35:AL35">AD35</f>
        <v>Прокопьевский муниципальный округ</v>
      </c>
      <c r="AM35" s="114" cm="1" t="str">
        <f t="array" ref="AM35:AM35">AE35</f>
        <v>32522000</v>
      </c>
      <c r="AN35" s="547"/>
      <c r="AO35" s="114" t="b">
        <v>1</v>
      </c>
      <c r="AP35" s="80"/>
      <c r="AQ35" s="80"/>
      <c r="AR35" s="80"/>
    </row>
    <row s="1621" customFormat="1" customHeight="1" ht="15">
      <c r="A36" s="547"/>
      <c r="B36" s="1190"/>
      <c r="C36" s="547"/>
      <c r="D36" s="547"/>
      <c r="E36" s="946" t="s">
        <v>335</v>
      </c>
      <c r="F36" s="109" cm="1" t="str">
        <f t="array" ref="F36:F36">OFFSET(E36,-1,1)</f>
        <v>2</v>
      </c>
      <c r="G36" s="114" t="s">
        <v>343</v>
      </c>
      <c r="H36" s="547"/>
      <c r="I36" s="547"/>
      <c r="J36" s="547"/>
      <c r="K36" s="547"/>
      <c r="L36" s="547"/>
      <c r="M36" s="547"/>
      <c r="N36" s="547"/>
      <c r="O36" s="547"/>
      <c r="P36" s="738"/>
      <c r="Q36" s="942"/>
      <c r="R36" s="547"/>
      <c r="S36" s="547"/>
      <c r="T36" s="1316"/>
      <c r="U36" s="441" cm="1" t="str">
        <f t="array" ref="U36:U36">U33</f>
        <v>true</v>
      </c>
      <c r="V36" s="547"/>
      <c r="W36" s="547"/>
      <c r="X36" s="738" t="s">
        <v>344</v>
      </c>
      <c r="Y36" s="1462"/>
      <c r="Z36" s="1463"/>
      <c r="AA36" s="442"/>
      <c r="AB36" s="142"/>
      <c r="AC36" s="227" t="s">
        <v>345</v>
      </c>
      <c r="AD36" s="143"/>
      <c r="AE36" s="143"/>
      <c r="AF36" s="143"/>
      <c r="AG36" s="144"/>
      <c r="AH36" s="80"/>
      <c r="AI36" s="547"/>
      <c r="AJ36" s="547"/>
      <c r="AK36" s="547"/>
      <c r="AL36" s="547"/>
      <c r="AM36" s="547"/>
      <c r="AN36" s="114" t="s">
        <v>342</v>
      </c>
      <c r="AO36" s="547"/>
      <c r="AP36" s="80"/>
      <c r="AQ36" s="80"/>
      <c r="AR36" s="80"/>
    </row>
    <row s="1621" customFormat="1" customHeight="1" ht="14.25">
      <c r="A37" s="473"/>
      <c r="B37" s="638"/>
      <c r="C37" s="473"/>
      <c r="D37" s="473"/>
      <c r="E37" s="848" t="s">
        <v>337</v>
      </c>
      <c r="F37" s="456"/>
      <c r="G37" s="473"/>
      <c r="H37" s="473"/>
      <c r="I37" s="473"/>
      <c r="J37" s="473"/>
      <c r="K37" s="473"/>
      <c r="L37" s="473"/>
      <c r="M37" s="473"/>
      <c r="N37" s="473"/>
      <c r="O37" s="473"/>
      <c r="P37" s="473"/>
      <c r="Q37" s="473"/>
      <c r="R37" s="473"/>
      <c r="S37" s="473"/>
      <c r="T37" s="473"/>
      <c r="U37" s="443"/>
      <c r="V37" s="448" t="s">
        <v>177</v>
      </c>
      <c r="W37" s="738" t="s">
        <v>350</v>
      </c>
      <c r="X37" s="473"/>
      <c r="Y37" s="473"/>
      <c r="Z37" s="473"/>
      <c r="AA37" s="473"/>
      <c r="AC37" s="66"/>
      <c r="AD37" s="66"/>
      <c r="AE37" s="66"/>
      <c r="AF37" s="66"/>
      <c r="AH37" s="0"/>
      <c r="AI37" s="473"/>
      <c r="AJ37" s="473"/>
      <c r="AK37" s="473"/>
      <c r="AL37" s="473"/>
      <c r="AM37" s="473"/>
      <c r="AN37" s="473"/>
      <c r="AO37" s="473"/>
      <c r="AQ37" s="67"/>
    </row>
    <row s="1621" customFormat="1" customHeight="1" ht="11.25" hidden="1">
      <c r="A38" s="473"/>
      <c r="B38" s="638"/>
      <c r="C38" s="473"/>
      <c r="D38" s="473"/>
      <c r="E38" s="639"/>
      <c r="F38" s="953"/>
      <c r="G38" s="473"/>
      <c r="H38" s="473"/>
      <c r="I38" s="473"/>
      <c r="J38" s="473"/>
      <c r="K38" s="473"/>
      <c r="L38" s="473"/>
      <c r="M38" s="473"/>
      <c r="N38" s="473"/>
      <c r="O38" s="473"/>
      <c r="P38" s="473"/>
      <c r="Q38" s="473"/>
      <c r="R38" s="473"/>
      <c r="S38" s="473"/>
      <c r="T38" s="473"/>
      <c r="U38" s="443"/>
      <c r="V38" s="473"/>
      <c r="W38" s="473"/>
      <c r="X38" s="473"/>
      <c r="Y38" s="473"/>
      <c r="Z38" s="473"/>
      <c r="AA38" s="473"/>
      <c r="AC38" s="66"/>
      <c r="AD38" s="66"/>
      <c r="AE38" s="66"/>
      <c r="AF38" s="66"/>
      <c r="AG38" s="66"/>
      <c r="AI38" s="473"/>
      <c r="AJ38" s="473"/>
      <c r="AK38" s="473"/>
      <c r="AL38" s="473"/>
      <c r="AM38" s="473"/>
      <c r="AN38" s="473"/>
      <c r="AO38" s="473"/>
      <c r="AR38" s="67"/>
    </row>
  </sheetData>
  <sheetProtection formatColumns="0" formatRows="0" insertRows="0" deleteColumns="0" deleteRows="0" sort="0" autoFilter="0" insertColumns="1"/>
  <mergeCells count="7">
    <mergeCell ref="AB22:AG22"/>
    <mergeCell ref="Y26:Y28"/>
    <mergeCell ref="Z26:Z28"/>
    <mergeCell ref="Y29:Y32"/>
    <mergeCell ref="Z29:Z32"/>
    <mergeCell ref="Y33:Y36"/>
    <mergeCell ref="Z33:Z36"/>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72B7BC-3E6B-4FF8-D818-8A2ECD49ADA3}" mc:Ignorable="x14ac xr xr2 xr3">
  <sheetPr>
    <tabColor theme="3" tint="0.6"/>
    <outlinePr summaryRight="0" summaryBelow="0"/>
    <pageSetUpPr fitToPage="1"/>
  </sheetPr>
  <dimension ref="A1:BE69"/>
  <sheetViews>
    <sheetView showGridLines="0" workbookViewId="0">
      <pane xSplit="31" ySplit="25" topLeftCell="AF42" activePane="bottomRight" state="frozen"/>
      <selection pane="bottomLeft" activeCell="A26" sqref="A26"/>
      <selection pane="topRight" activeCell="AF1" sqref="AF1"/>
      <selection pane="bottomRight" activeCell="AD58" sqref="AD58"/>
    </sheetView>
  </sheetViews>
  <sheetFormatPr defaultColWidth="8.7109375" customHeight="1" defaultRowHeight="11.25"/>
  <cols>
    <col min="1" max="1" style="80" width="3.57421875" hidden="1" customWidth="1"/>
    <col min="2" max="2" style="1190" width="8.57421875" hidden="1" customWidth="1"/>
    <col min="3" max="4" style="80" width="3.57421875" hidden="1" customWidth="1"/>
    <col min="5" max="5" style="614" width="3.57421875" hidden="1" customWidth="1"/>
    <col min="6" max="7" style="80" width="4.00390625" hidden="1" customWidth="1"/>
    <col min="8" max="9" style="80" width="3.57421875" hidden="1" customWidth="1"/>
    <col min="10" max="10" style="80" width="12.421875" hidden="1" customWidth="1"/>
    <col min="11" max="11" style="80" width="9.7109375" hidden="1" customWidth="1"/>
    <col min="12" max="16" style="80" width="3.57421875" hidden="1" customWidth="1"/>
    <col min="17" max="17" style="80" width="5.57421875" hidden="1" customWidth="1"/>
    <col min="18" max="19" style="80" width="3.57421875" hidden="1" customWidth="1"/>
    <col min="20" max="20" style="1621" width="3.57421875" hidden="1" customWidth="1"/>
    <col min="21" max="21" style="1621" width="6.140625" hidden="1" customWidth="1"/>
    <col min="22" max="22" style="1621" width="10.140625" hidden="1" customWidth="1"/>
    <col min="23" max="23" style="1621" width="5.8515625" hidden="1" customWidth="1"/>
    <col min="24" max="25" style="1621" width="6.140625" hidden="1" customWidth="1"/>
    <col min="26" max="26" style="1621" width="5.57421875" hidden="1" customWidth="1"/>
    <col min="27" max="27" style="1621" width="5.28125" hidden="1" customWidth="1"/>
    <col min="28" max="28" style="80" width="3.00390625" customWidth="1"/>
    <col min="29" max="29" style="80" width="11.00390625" customWidth="1"/>
    <col min="30" max="30" style="80" width="70.00390625" customWidth="1"/>
    <col min="31" max="31" style="80" width="15.00390625" customWidth="1"/>
    <col min="32" max="32" style="80" width="20.00390625" customWidth="1"/>
    <col min="33" max="33" style="86" width="20.00390625" customWidth="1"/>
    <col min="34" max="35" style="80" width="20.00390625" customWidth="1"/>
    <col min="36" max="36" style="86" width="20.00390625" customWidth="1"/>
    <col min="37" max="37" style="80" width="3.7109375" customWidth="1"/>
    <col min="38" max="38" style="80" width="8.7109375" hidden="1"/>
    <col min="39" max="42" style="986" width="8.7109375" hidden="1"/>
    <col min="43" max="44" style="606" width="8.7109375" hidden="1"/>
    <col min="45" max="57" style="80" width="8.7109375" hidden="1"/>
  </cols>
  <sheetData>
    <row s="547" customFormat="1" customHeight="1" ht="11.25" hidden="1">
      <c r="B1" s="402"/>
      <c r="E1" s="849"/>
      <c r="F1" s="114" t="s">
        <v>313</v>
      </c>
      <c r="H1" s="114" t="s">
        <v>324</v>
      </c>
      <c r="J1" s="114" t="s">
        <v>351</v>
      </c>
      <c r="P1" s="114" t="s">
        <v>352</v>
      </c>
      <c r="T1" s="943"/>
      <c r="U1" s="441" t="s">
        <v>315</v>
      </c>
      <c r="V1" s="439" t="s">
        <v>92</v>
      </c>
      <c r="W1" s="439" t="s">
        <v>97</v>
      </c>
      <c r="X1" s="439" t="s">
        <v>93</v>
      </c>
      <c r="Y1" s="439" t="s">
        <v>94</v>
      </c>
      <c r="Z1" s="439" t="s">
        <v>95</v>
      </c>
      <c r="AA1" s="439" t="s">
        <v>99</v>
      </c>
      <c r="AB1" s="441" t="s">
        <v>96</v>
      </c>
      <c r="AC1" s="441"/>
      <c r="AD1" s="441" t="s">
        <v>98</v>
      </c>
      <c r="AG1" s="171"/>
      <c r="AJ1" s="171"/>
      <c r="AM1" s="977" t="s">
        <v>316</v>
      </c>
      <c r="AN1" s="977" t="s">
        <v>317</v>
      </c>
      <c r="AO1" s="977" t="s">
        <v>318</v>
      </c>
      <c r="AP1" s="977" t="s">
        <v>353</v>
      </c>
      <c r="AQ1" s="946" t="s">
        <v>321</v>
      </c>
      <c r="AR1" s="946" t="s">
        <v>322</v>
      </c>
    </row>
    <row s="1190" customFormat="1" customHeight="1" ht="11.25" hidden="1">
      <c r="B2" s="944" t="s">
        <v>18</v>
      </c>
      <c r="T2" s="635"/>
      <c r="U2" s="635"/>
      <c r="V2" s="635"/>
      <c r="W2" s="635"/>
      <c r="X2" s="635"/>
      <c r="Y2" s="635"/>
      <c r="Z2" s="635"/>
      <c r="AA2" s="635"/>
      <c r="AF2" s="944">
        <f>method_reg&lt;&gt;"Метод сравнения аналогов"</f>
        <v>1</v>
      </c>
      <c r="AG2" s="944">
        <f>method_reg&lt;&gt;"Метод сравнения аналогов"</f>
        <v>1</v>
      </c>
      <c r="AM2" s="976"/>
      <c r="AN2" s="976"/>
      <c r="AO2" s="976"/>
      <c r="AP2" s="976"/>
      <c r="AQ2" s="985"/>
      <c r="AR2" s="985"/>
    </row>
    <row s="547" customFormat="1" customHeight="1" ht="11.25" hidden="1">
      <c r="B3" s="402"/>
      <c r="E3" s="849"/>
      <c r="T3" s="943"/>
      <c r="U3" s="943"/>
      <c r="V3" s="943"/>
      <c r="W3" s="943"/>
      <c r="X3" s="943"/>
      <c r="Y3" s="943"/>
      <c r="Z3" s="943"/>
      <c r="AA3" s="943"/>
      <c r="AG3" s="171"/>
      <c r="AJ3" s="171"/>
      <c r="AM3" s="977"/>
      <c r="AN3" s="977"/>
      <c r="AO3" s="977"/>
      <c r="AP3" s="977"/>
      <c r="AQ3" s="946"/>
      <c r="AR3" s="946"/>
    </row>
    <row s="547" customFormat="1" customHeight="1" ht="11.25" hidden="1">
      <c r="B4" s="402"/>
      <c r="E4" s="849"/>
      <c r="T4" s="943"/>
      <c r="U4" s="943"/>
      <c r="V4" s="943"/>
      <c r="W4" s="943"/>
      <c r="X4" s="943"/>
      <c r="Y4" s="943"/>
      <c r="Z4" s="943"/>
      <c r="AA4" s="943"/>
      <c r="AG4" s="171"/>
      <c r="AJ4" s="171"/>
      <c r="AM4" s="977"/>
      <c r="AN4" s="977"/>
      <c r="AO4" s="977"/>
      <c r="AP4" s="977"/>
      <c r="AQ4" s="946"/>
      <c r="AR4" s="946"/>
    </row>
    <row s="858" customFormat="1" customHeight="1" ht="11.25" hidden="1">
      <c r="A5" s="849"/>
      <c r="B5" s="402"/>
      <c r="C5" s="849"/>
      <c r="D5" s="849"/>
      <c r="E5" s="850" t="s">
        <v>19</v>
      </c>
      <c r="T5" s="973"/>
      <c r="U5" s="973"/>
      <c r="V5" s="973"/>
      <c r="W5" s="973"/>
      <c r="X5" s="973"/>
      <c r="Y5" s="973"/>
      <c r="Z5" s="973"/>
      <c r="AA5" s="973"/>
      <c r="AB5" s="600">
        <v>3</v>
      </c>
      <c r="AC5" s="600">
        <v>11</v>
      </c>
      <c r="AD5" s="600">
        <v>70</v>
      </c>
      <c r="AE5" s="600">
        <v>15</v>
      </c>
      <c r="AF5" s="600">
        <v>20</v>
      </c>
      <c r="AG5" s="600">
        <v>20</v>
      </c>
      <c r="AH5" s="600">
        <v>20</v>
      </c>
      <c r="AI5" s="600">
        <v>20</v>
      </c>
      <c r="AJ5" s="600">
        <v>20</v>
      </c>
      <c r="AK5" s="850" t="s">
        <v>323</v>
      </c>
      <c r="AM5" s="978"/>
      <c r="AN5" s="978"/>
      <c r="AO5" s="978"/>
      <c r="AP5" s="978"/>
    </row>
    <row s="547" customFormat="1" customHeight="1" ht="11.25" hidden="1">
      <c r="A6" s="114" t="s">
        <v>354</v>
      </c>
      <c r="B6" s="402"/>
      <c r="E6" s="850"/>
      <c r="T6" s="943"/>
      <c r="U6" s="943"/>
      <c r="V6" s="943"/>
      <c r="W6" s="943"/>
      <c r="X6" s="943"/>
      <c r="Y6" s="943"/>
      <c r="Z6" s="943"/>
      <c r="AA6" s="943"/>
      <c r="AF6" s="114">
        <f>god-2</f>
        <v>2024</v>
      </c>
      <c r="AG6" s="114">
        <f>god-1</f>
        <v>2025</v>
      </c>
      <c r="AH6" s="114" cm="1" t="str">
        <f t="array" ref="AH6:AH6">god</f>
        <v>2026</v>
      </c>
      <c r="AI6" s="114" cm="1" t="str">
        <f t="array" ref="AI6:AI6">god</f>
        <v>2026</v>
      </c>
      <c r="AJ6" s="114" cm="1" t="str">
        <f t="array" ref="AJ6:AJ6">god</f>
        <v>2026</v>
      </c>
      <c r="AM6" s="977"/>
      <c r="AN6" s="977"/>
      <c r="AO6" s="977"/>
      <c r="AP6" s="977"/>
      <c r="AQ6" s="946"/>
      <c r="AR6" s="946"/>
    </row>
    <row s="547" customFormat="1" customHeight="1" ht="11.25" hidden="1">
      <c r="A7" s="114" t="s">
        <v>355</v>
      </c>
      <c r="B7" s="402"/>
      <c r="E7" s="850"/>
      <c r="T7" s="943"/>
      <c r="U7" s="943"/>
      <c r="V7" s="943"/>
      <c r="W7" s="943"/>
      <c r="X7" s="943"/>
      <c r="Y7" s="943"/>
      <c r="Z7" s="943"/>
      <c r="AA7" s="943"/>
      <c r="AF7" s="340" cm="1" t="str">
        <f t="array" ref="AF7:AF7">AF25</f>
        <v>Принято органом регулирования</v>
      </c>
      <c r="AG7" s="340" t="s">
        <v>356</v>
      </c>
      <c r="AH7" s="341" t="s">
        <v>357</v>
      </c>
      <c r="AI7" s="341" t="s">
        <v>356</v>
      </c>
      <c r="AJ7" s="340" t="s">
        <v>358</v>
      </c>
      <c r="AM7" s="977"/>
      <c r="AN7" s="977"/>
      <c r="AO7" s="977"/>
      <c r="AP7" s="977"/>
      <c r="AQ7" s="946"/>
      <c r="AR7" s="946"/>
    </row>
    <row s="547" customFormat="1" customHeight="1" ht="11.25" hidden="1">
      <c r="B8" s="402"/>
      <c r="E8" s="850"/>
      <c r="T8" s="943"/>
      <c r="U8" s="943"/>
      <c r="V8" s="943"/>
      <c r="W8" s="943"/>
      <c r="X8" s="943"/>
      <c r="Y8" s="943"/>
      <c r="Z8" s="943"/>
      <c r="AA8" s="943"/>
      <c r="AG8" s="171"/>
      <c r="AJ8" s="171"/>
      <c r="AM8" s="977"/>
      <c r="AN8" s="977"/>
      <c r="AO8" s="977"/>
      <c r="AP8" s="977"/>
      <c r="AQ8" s="946"/>
      <c r="AR8" s="946"/>
    </row>
    <row s="977" customFormat="1" customHeight="1" ht="11.25" hidden="1">
      <c r="A9" s="977" t="s">
        <v>359</v>
      </c>
      <c r="B9" s="976"/>
      <c r="E9" s="978"/>
      <c r="T9" s="979"/>
      <c r="U9" s="979"/>
      <c r="V9" s="979"/>
      <c r="W9" s="979"/>
      <c r="X9" s="979"/>
      <c r="Y9" s="979"/>
      <c r="Z9" s="979"/>
      <c r="AA9" s="979"/>
      <c r="AF9" s="977" cm="1" t="str">
        <f t="array" ref="AF9:AF9">AF6</f>
        <v>2024</v>
      </c>
      <c r="AG9" s="977" cm="1" t="str">
        <f t="array" ref="AG9:AG9">AG6</f>
        <v>2025</v>
      </c>
      <c r="AH9" s="977" cm="1" t="str">
        <f t="array" ref="AH9:AH9">AH6</f>
        <v>2026</v>
      </c>
      <c r="AI9" s="977" cm="1" t="str">
        <f t="array" ref="AI9:AI9">AI6</f>
        <v>2026</v>
      </c>
      <c r="AQ9" s="946"/>
      <c r="AR9" s="946"/>
    </row>
    <row s="977" customFormat="1" customHeight="1" ht="11.25" hidden="1">
      <c r="A10" s="977" t="s">
        <v>360</v>
      </c>
      <c r="B10" s="976"/>
      <c r="E10" s="978"/>
      <c r="T10" s="979"/>
      <c r="U10" s="979"/>
      <c r="V10" s="979"/>
      <c r="W10" s="979"/>
      <c r="X10" s="979"/>
      <c r="Y10" s="979"/>
      <c r="Z10" s="979"/>
      <c r="AA10" s="979"/>
      <c r="AF10" s="977" cm="1" t="str">
        <f t="array" ref="AF10:AF10">AF25</f>
        <v>Принято органом регулирования</v>
      </c>
      <c r="AG10" s="977" cm="1" t="str">
        <f t="array" ref="AG10:AG10">AG25</f>
        <v>Принято органом регулирования</v>
      </c>
      <c r="AH10" s="977" cm="1" t="str">
        <f t="array" ref="AH10:AH10">AH25</f>
        <v>Предложение организации</v>
      </c>
      <c r="AI10" s="977" cm="1" t="str">
        <f t="array" ref="AI10:AI10">AI25</f>
        <v>Принято органом регулирования</v>
      </c>
      <c r="AQ10" s="946"/>
      <c r="AR10" s="946"/>
    </row>
    <row s="977" customFormat="1" customHeight="1" ht="11.25" hidden="1">
      <c r="A11" s="977" t="s">
        <v>361</v>
      </c>
      <c r="B11" s="976"/>
      <c r="E11" s="978"/>
      <c r="T11" s="979"/>
      <c r="U11" s="979"/>
      <c r="V11" s="979"/>
      <c r="W11" s="979"/>
      <c r="X11" s="979"/>
      <c r="Y11" s="979"/>
      <c r="Z11" s="979"/>
      <c r="AA11" s="979"/>
      <c r="AG11" s="975"/>
      <c r="AJ11" s="975" cm="1" t="str">
        <f t="array" ref="AJ11:AJ11">AJ24</f>
        <v>Комментарии</v>
      </c>
      <c r="AQ11" s="946"/>
      <c r="AR11" s="946"/>
    </row>
    <row s="977" customFormat="1" customHeight="1" ht="11.25" hidden="1">
      <c r="A12" s="977" t="s">
        <v>331</v>
      </c>
      <c r="B12" s="976"/>
      <c r="E12" s="978"/>
      <c r="T12" s="979"/>
      <c r="U12" s="979"/>
      <c r="V12" s="979"/>
      <c r="W12" s="979"/>
      <c r="X12" s="979"/>
      <c r="Y12" s="979"/>
      <c r="Z12" s="979"/>
      <c r="AA12" s="979"/>
      <c r="AB12" s="979"/>
      <c r="AD12" s="977" t="s">
        <v>318</v>
      </c>
      <c r="AE12" s="977" t="s">
        <v>353</v>
      </c>
      <c r="AG12" s="975"/>
      <c r="AJ12" s="975"/>
      <c r="AQ12" s="946"/>
      <c r="AR12" s="946"/>
    </row>
    <row s="547" customFormat="1" customHeight="1" ht="11.25" hidden="1">
      <c r="B13" s="402"/>
      <c r="E13" s="850"/>
      <c r="T13" s="943"/>
      <c r="U13" s="943"/>
      <c r="V13" s="943"/>
      <c r="W13" s="943"/>
      <c r="X13" s="943"/>
      <c r="Y13" s="943"/>
      <c r="Z13" s="943"/>
      <c r="AA13" s="943"/>
      <c r="AB13" s="943"/>
      <c r="AC13" s="943"/>
      <c r="AD13" s="974"/>
      <c r="AE13" s="974"/>
      <c r="AF13" s="974"/>
      <c r="AG13" s="974"/>
      <c r="AJ13" s="974"/>
      <c r="AM13" s="977"/>
      <c r="AN13" s="977"/>
      <c r="AO13" s="977"/>
      <c r="AP13" s="977"/>
      <c r="AQ13" s="946"/>
      <c r="AR13" s="946"/>
    </row>
    <row s="547" customFormat="1" customHeight="1" ht="11.25" hidden="1">
      <c r="B14" s="402"/>
      <c r="E14" s="850"/>
      <c r="T14" s="943"/>
      <c r="U14" s="943"/>
      <c r="V14" s="943"/>
      <c r="W14" s="943"/>
      <c r="X14" s="943"/>
      <c r="Y14" s="943"/>
      <c r="Z14" s="943"/>
      <c r="AA14" s="943"/>
      <c r="AB14" s="943"/>
      <c r="AC14" s="943"/>
      <c r="AD14" s="974"/>
      <c r="AE14" s="974"/>
      <c r="AF14" s="974"/>
      <c r="AG14" s="974"/>
      <c r="AJ14" s="974"/>
      <c r="AM14" s="977"/>
      <c r="AN14" s="977"/>
      <c r="AO14" s="977"/>
      <c r="AP14" s="977"/>
      <c r="AQ14" s="946"/>
      <c r="AR14" s="946"/>
    </row>
    <row s="547" customFormat="1" customHeight="1" ht="11.25" hidden="1">
      <c r="B15" s="402"/>
      <c r="E15" s="850"/>
      <c r="T15" s="943"/>
      <c r="U15" s="943"/>
      <c r="V15" s="943"/>
      <c r="W15" s="943"/>
      <c r="X15" s="943"/>
      <c r="Y15" s="943"/>
      <c r="Z15" s="943"/>
      <c r="AA15" s="943"/>
      <c r="AB15" s="943"/>
      <c r="AC15" s="943"/>
      <c r="AD15" s="974"/>
      <c r="AE15" s="974"/>
      <c r="AF15" s="974"/>
      <c r="AG15" s="974"/>
      <c r="AJ15" s="974"/>
      <c r="AM15" s="977"/>
      <c r="AN15" s="977"/>
      <c r="AO15" s="977"/>
      <c r="AP15" s="977"/>
      <c r="AQ15" s="946"/>
      <c r="AR15" s="946"/>
    </row>
    <row s="547" customFormat="1" customHeight="1" ht="11.25" hidden="1">
      <c r="B16" s="402"/>
      <c r="E16" s="850"/>
      <c r="T16" s="943"/>
      <c r="U16" s="943"/>
      <c r="V16" s="943"/>
      <c r="W16" s="943"/>
      <c r="X16" s="943"/>
      <c r="Y16" s="943"/>
      <c r="Z16" s="943"/>
      <c r="AA16" s="943"/>
      <c r="AB16" s="943"/>
      <c r="AC16" s="943"/>
      <c r="AD16" s="974"/>
      <c r="AE16" s="974"/>
      <c r="AF16" s="974"/>
      <c r="AG16" s="974"/>
      <c r="AJ16" s="974"/>
      <c r="AM16" s="977"/>
      <c r="AN16" s="977"/>
      <c r="AO16" s="977"/>
      <c r="AP16" s="977"/>
      <c r="AQ16" s="946"/>
      <c r="AR16" s="946"/>
    </row>
    <row s="547" customFormat="1" customHeight="1" ht="11.25" hidden="1">
      <c r="B17" s="402"/>
      <c r="E17" s="850"/>
      <c r="T17" s="943"/>
      <c r="U17" s="943"/>
      <c r="V17" s="943"/>
      <c r="W17" s="943"/>
      <c r="X17" s="943"/>
      <c r="Y17" s="943"/>
      <c r="Z17" s="943"/>
      <c r="AA17" s="943"/>
      <c r="AB17" s="943"/>
      <c r="AC17" s="943"/>
      <c r="AD17" s="974"/>
      <c r="AE17" s="974"/>
      <c r="AF17" s="974"/>
      <c r="AG17" s="974"/>
      <c r="AJ17" s="974"/>
      <c r="AM17" s="977"/>
      <c r="AN17" s="977"/>
      <c r="AO17" s="977"/>
      <c r="AP17" s="977"/>
      <c r="AQ17" s="946"/>
      <c r="AR17" s="946"/>
    </row>
    <row s="547" customFormat="1" customHeight="1" ht="11.25" hidden="1">
      <c r="A18" s="114" t="s">
        <v>332</v>
      </c>
      <c r="B18" s="402"/>
      <c r="E18" s="850"/>
      <c r="T18" s="943"/>
      <c r="U18" s="943"/>
      <c r="V18" s="943"/>
      <c r="W18" s="943"/>
      <c r="X18" s="943"/>
      <c r="Y18" s="943"/>
      <c r="Z18" s="943"/>
      <c r="AA18" s="943"/>
      <c r="AB18" s="943"/>
      <c r="AC18" s="943"/>
      <c r="AD18" s="931" t="s">
        <v>194</v>
      </c>
      <c r="AE18" s="974"/>
      <c r="AF18" s="974"/>
      <c r="AG18" s="974"/>
      <c r="AJ18" s="974"/>
      <c r="AM18" s="977"/>
      <c r="AN18" s="977"/>
      <c r="AO18" s="977"/>
      <c r="AP18" s="977"/>
      <c r="AQ18" s="946"/>
      <c r="AR18" s="946"/>
    </row>
    <row s="547" customFormat="1" customHeight="1" ht="11.25" hidden="1">
      <c r="B19" s="402"/>
      <c r="E19" s="850"/>
      <c r="T19" s="943"/>
      <c r="U19" s="943"/>
      <c r="V19" s="943"/>
      <c r="W19" s="943"/>
      <c r="X19" s="943"/>
      <c r="Y19" s="943"/>
      <c r="Z19" s="943"/>
      <c r="AA19" s="943"/>
      <c r="AB19" s="943"/>
      <c r="AC19" s="943"/>
      <c r="AD19" s="974"/>
      <c r="AE19" s="974"/>
      <c r="AF19" s="974"/>
      <c r="AG19" s="974"/>
      <c r="AJ19" s="974"/>
      <c r="AM19" s="977"/>
      <c r="AN19" s="977"/>
      <c r="AO19" s="977"/>
      <c r="AP19" s="977"/>
      <c r="AQ19" s="946"/>
      <c r="AR19" s="946"/>
    </row>
    <row s="547" customFormat="1" customHeight="1" ht="11.25" hidden="1">
      <c r="B20" s="402"/>
      <c r="E20" s="850"/>
      <c r="T20" s="943"/>
      <c r="U20" s="943"/>
      <c r="V20" s="943"/>
      <c r="W20" s="943"/>
      <c r="X20" s="943"/>
      <c r="Y20" s="943"/>
      <c r="Z20" s="943"/>
      <c r="AA20" s="943"/>
      <c r="AB20" s="943"/>
      <c r="AC20" s="943"/>
      <c r="AD20" s="974"/>
      <c r="AE20" s="974"/>
      <c r="AF20" s="974"/>
      <c r="AG20" s="974"/>
      <c r="AJ20" s="974"/>
      <c r="AM20" s="977"/>
      <c r="AN20" s="977"/>
      <c r="AO20" s="977"/>
      <c r="AP20" s="977"/>
      <c r="AQ20" s="946"/>
      <c r="AR20" s="946"/>
    </row>
    <row s="547" customFormat="1" customHeight="1" ht="14.625">
      <c r="B21" s="402"/>
      <c r="E21" s="850">
        <v>15</v>
      </c>
      <c r="T21" s="943"/>
      <c r="U21" s="943"/>
      <c r="V21" s="943"/>
      <c r="W21" s="943"/>
      <c r="X21" s="943"/>
      <c r="Y21" s="943"/>
      <c r="Z21" s="943"/>
      <c r="AA21" s="943"/>
      <c r="AB21" s="637"/>
      <c r="AC21" s="442"/>
      <c r="AD21" s="332" cm="1" t="str">
        <f t="array" ref="AD21:AD21">tpl_title</f>
        <v>Кемеровская область / 2026 / Филиал АО "УК "Кузбассразрезуголь" "Талдинский угольный разрез" (ИНН:4205049090, КПП:423802002) / ДПР: 2024-2028</v>
      </c>
      <c r="AE21" s="442"/>
      <c r="AF21" s="442"/>
      <c r="AG21" s="442"/>
      <c r="AJ21" s="442"/>
      <c r="AM21" s="977"/>
      <c r="AN21" s="977"/>
      <c r="AO21" s="977"/>
      <c r="AP21" s="977"/>
      <c r="AQ21" s="946"/>
      <c r="AR21" s="946"/>
    </row>
    <row customHeight="1" ht="20.475">
      <c r="E22" s="614">
        <v>21</v>
      </c>
      <c r="S22" s="0"/>
      <c r="AB22" s="0"/>
      <c r="AC22" s="1460" t="s">
        <v>36</v>
      </c>
      <c r="AD22" s="1461"/>
      <c r="AE22" s="1461"/>
      <c r="AF22" s="1461"/>
      <c r="AG22" s="1461"/>
      <c r="AH22" s="1461"/>
      <c r="AI22" s="1461"/>
      <c r="AJ22" s="1461"/>
    </row>
    <row customHeight="1" ht="8.775">
      <c r="E23" s="614">
        <v>9</v>
      </c>
      <c r="AB23" s="81"/>
      <c r="AC23" s="81"/>
      <c r="AD23" s="81"/>
      <c r="AE23" s="81"/>
      <c r="AF23" s="81"/>
      <c r="AG23" s="1478"/>
      <c r="AH23" s="1478"/>
      <c r="AI23" s="61"/>
      <c r="AJ23" s="61"/>
    </row>
    <row customHeight="1" ht="20.475">
      <c r="E24" s="614">
        <v>21</v>
      </c>
      <c r="AB24" s="81"/>
      <c r="AC24" s="1479" t="s">
        <v>21</v>
      </c>
      <c r="AD24" s="1479" t="s">
        <v>362</v>
      </c>
      <c r="AE24" s="1479" t="s">
        <v>363</v>
      </c>
      <c r="AF24" s="325" t="str">
        <f>god-2&amp;" год"</f>
        <v>2024 год</v>
      </c>
      <c r="AG24" s="58" t="str">
        <f>god-1&amp;" год"</f>
        <v>2025 год</v>
      </c>
      <c r="AH24" s="1103" t="str">
        <f>god&amp;" год"</f>
        <v>2026 год</v>
      </c>
      <c r="AI24" s="58" t="str">
        <f>god&amp;" год"</f>
        <v>2026 год</v>
      </c>
      <c r="AJ24" s="1480" t="s">
        <v>364</v>
      </c>
    </row>
    <row s="1153" customFormat="1" customHeight="1" ht="35.1">
      <c r="B25" s="401"/>
      <c r="E25" s="608">
        <v>36</v>
      </c>
      <c r="F25" s="88" t="s">
        <v>365</v>
      </c>
      <c r="AC25" s="1479"/>
      <c r="AD25" s="1479"/>
      <c r="AE25" s="1479"/>
      <c r="AF25" s="58" t="s">
        <v>356</v>
      </c>
      <c r="AG25" s="58" t="s">
        <v>356</v>
      </c>
      <c r="AH25" s="1103" t="s">
        <v>357</v>
      </c>
      <c r="AI25" s="58" t="s">
        <v>356</v>
      </c>
      <c r="AJ25" s="1481"/>
      <c r="AM25" s="980"/>
      <c r="AN25" s="980"/>
      <c r="AO25" s="980"/>
      <c r="AP25" s="980"/>
      <c r="AQ25" s="597"/>
      <c r="AR25" s="597"/>
    </row>
    <row s="1621" customFormat="1" customHeight="1" ht="11.25">
      <c r="B26" s="638"/>
      <c r="E26" s="615" t="s">
        <v>366</v>
      </c>
      <c r="F26" s="139"/>
      <c r="G26" s="139"/>
      <c r="T26" s="0" t="s">
        <v>367</v>
      </c>
      <c r="AD26" s="66"/>
      <c r="AE26" s="66"/>
      <c r="AF26" s="66"/>
      <c r="AG26" s="66"/>
      <c r="AM26" s="987"/>
      <c r="AN26" s="987"/>
      <c r="AO26" s="987"/>
      <c r="AP26" s="987"/>
      <c r="AQ26" s="603"/>
      <c r="AR26" s="990"/>
    </row>
    <row s="1153" customFormat="1" customHeight="1" ht="14.625" hidden="1">
      <c r="A27" s="1153"/>
      <c r="B27" s="401"/>
      <c r="C27" s="1153"/>
      <c r="D27" s="1153"/>
      <c r="E27" s="608">
        <v>15</v>
      </c>
      <c r="F27" s="88" cm="1" t="str">
        <f t="array" ref="F27:F27">Z27</f>
        <v>0</v>
      </c>
      <c r="G27" s="1153"/>
      <c r="H27" s="1153"/>
      <c r="I27" s="1153"/>
      <c r="J27" s="1153"/>
      <c r="K27" s="1153"/>
      <c r="L27" s="1153"/>
      <c r="M27" s="1153"/>
      <c r="N27" s="1153"/>
      <c r="O27" s="1153"/>
      <c r="P27" s="1153"/>
      <c r="Q27" s="1153"/>
      <c r="R27" s="1153"/>
      <c r="S27" s="1153"/>
      <c r="T27" s="1065" cm="1" t="str">
        <f t="array" ref="T27:T27">INDEX('Общие сведения'!$AE$179:$AE$222,MATCH($Z27,'Общие сведения'!$Z$179:$Z$222,0))</f>
        <v>0</v>
      </c>
      <c r="U27" s="1153"/>
      <c r="V27" s="439">
        <f>Z27&gt;0</f>
        <v>0</v>
      </c>
      <c r="W27" s="1153"/>
      <c r="X27" s="88" t="s">
        <v>261</v>
      </c>
      <c r="Y27" s="1153"/>
      <c r="Z27" s="1464">
        <v>0</v>
      </c>
      <c r="AA27" s="1465"/>
      <c r="AB27" s="1153"/>
      <c r="AC27" s="147" cm="1" t="str">
        <f t="array" ref="AC27:AC27">INDEX('Общие сведения'!$AG$179:$AG$222,MATCH($Z27,'Общие сведения'!$Z$179:$Z$222,0))</f>
        <v>Тариф 0 () - </v>
      </c>
      <c r="AD27" s="147"/>
      <c r="AE27" s="141"/>
      <c r="AF27" s="141"/>
      <c r="AG27" s="141"/>
      <c r="AH27" s="141"/>
      <c r="AI27" s="141"/>
      <c r="AJ27" s="141"/>
      <c r="AK27" s="1153"/>
      <c r="AL27" s="1153"/>
      <c r="AM27" s="980"/>
      <c r="AN27" s="980"/>
      <c r="AO27" s="980"/>
      <c r="AP27" s="980"/>
      <c r="AQ27" s="597"/>
      <c r="AR27" s="597"/>
      <c r="AS27" s="1153"/>
      <c r="AT27" s="1153"/>
      <c r="AU27" s="1153"/>
      <c r="AV27" s="1153"/>
      <c r="AW27" s="1153"/>
      <c r="AX27" s="1153"/>
      <c r="AY27" s="1153"/>
      <c r="AZ27" s="1153"/>
      <c r="BA27" s="1153"/>
      <c r="BB27" s="1153"/>
      <c r="BC27" s="1153"/>
      <c r="BD27" s="1153"/>
      <c r="BE27" s="1153"/>
    </row>
    <row s="1153" customFormat="1" customHeight="1" ht="14.625" hidden="1">
      <c r="A28" s="1153"/>
      <c r="B28" s="944">
        <f>AND(T27="Водоснабжение",method_reg&lt;&gt;"Метод сравнения аналогов")</f>
        <v>0</v>
      </c>
      <c r="C28" s="1153"/>
      <c r="D28" s="1153"/>
      <c r="E28" s="608">
        <v>15</v>
      </c>
      <c r="F28" s="109" cm="1" t="str">
        <f t="array" ref="F28:F28">OFFSET(E28,-1,1)</f>
        <v>0</v>
      </c>
      <c r="G28" s="458"/>
      <c r="H28" s="88" t="s">
        <v>325</v>
      </c>
      <c r="I28" s="88" t="s">
        <v>368</v>
      </c>
      <c r="J28" s="88" t="str">
        <f>AD28&amp;"::"&amp;AE28</f>
        <v>Водонасосные станции (водозаборные узлы)::ед.</v>
      </c>
      <c r="K28" s="90"/>
      <c r="L28" s="1153"/>
      <c r="M28" s="1153"/>
      <c r="N28" s="1153"/>
      <c r="O28" s="1153"/>
      <c r="P28" s="1153"/>
      <c r="Q28" s="1153"/>
      <c r="R28" s="1153"/>
      <c r="S28" s="1153"/>
      <c r="T28" s="1153"/>
      <c r="U28" s="1153"/>
      <c r="V28" s="439" cm="1" t="str">
        <f t="array" ref="V28:V28">V27</f>
        <v>false</v>
      </c>
      <c r="W28" s="1153"/>
      <c r="X28" s="1153"/>
      <c r="Y28" s="1153"/>
      <c r="Z28" s="1464"/>
      <c r="AA28" s="1465"/>
      <c r="AB28" s="1153"/>
      <c r="AC28" s="151">
        <v>1</v>
      </c>
      <c r="AD28" s="149" t="s">
        <v>369</v>
      </c>
      <c r="AE28" s="89" t="s">
        <v>370</v>
      </c>
      <c r="AF28" s="1762"/>
      <c r="AG28" s="1762"/>
      <c r="AH28" s="1762"/>
      <c r="AI28" s="1762"/>
      <c r="AJ28" s="1763"/>
      <c r="AK28" s="1153"/>
      <c r="AL28" s="1153"/>
      <c r="AM28" s="980" t="s">
        <v>371</v>
      </c>
      <c r="AN28" s="980"/>
      <c r="AO28" s="980"/>
      <c r="AP28" s="980"/>
      <c r="AQ28" s="597"/>
      <c r="AR28" s="597"/>
      <c r="AS28" s="1153"/>
      <c r="AT28" s="1153"/>
      <c r="AU28" s="1153"/>
      <c r="AV28" s="1153"/>
      <c r="AW28" s="1153"/>
      <c r="AX28" s="1153"/>
      <c r="AY28" s="1153"/>
      <c r="AZ28" s="1153"/>
      <c r="BA28" s="1153"/>
      <c r="BB28" s="1153"/>
      <c r="BC28" s="1153"/>
      <c r="BD28" s="1153"/>
      <c r="BE28" s="1153"/>
    </row>
    <row s="1153" customFormat="1" customHeight="1" ht="14.625" hidden="1">
      <c r="A29" s="1153"/>
      <c r="B29" s="944" cm="1" t="str">
        <f t="array" ref="B29:B29">B28</f>
        <v>false</v>
      </c>
      <c r="C29" s="1153"/>
      <c r="D29" s="1153"/>
      <c r="E29" s="608">
        <v>15</v>
      </c>
      <c r="F29" s="109" cm="1" t="str">
        <f t="array" ref="F29:F29">OFFSET(E29,-1,1)</f>
        <v>0</v>
      </c>
      <c r="G29" s="109"/>
      <c r="H29" s="88" t="s">
        <v>325</v>
      </c>
      <c r="I29" s="88" t="s">
        <v>368</v>
      </c>
      <c r="J29" s="88" t="str">
        <f>AD29&amp;"::"&amp;AE29</f>
        <v>Скважины::ед.</v>
      </c>
      <c r="K29" s="1153"/>
      <c r="L29" s="1153"/>
      <c r="M29" s="1153"/>
      <c r="N29" s="1153"/>
      <c r="O29" s="1153"/>
      <c r="P29" s="1153"/>
      <c r="Q29" s="1153"/>
      <c r="R29" s="1153"/>
      <c r="S29" s="1153"/>
      <c r="T29" s="1153"/>
      <c r="U29" s="1153"/>
      <c r="V29" s="439" cm="1" t="str">
        <f t="array" ref="V29:V29">V28</f>
        <v>false</v>
      </c>
      <c r="W29" s="1153"/>
      <c r="X29" s="1153"/>
      <c r="Y29" s="1153"/>
      <c r="Z29" s="1464"/>
      <c r="AA29" s="1465"/>
      <c r="AB29" s="1153"/>
      <c r="AC29" s="151">
        <v>2</v>
      </c>
      <c r="AD29" s="149" t="s">
        <v>372</v>
      </c>
      <c r="AE29" s="89" t="s">
        <v>370</v>
      </c>
      <c r="AF29" s="1762"/>
      <c r="AG29" s="1762"/>
      <c r="AH29" s="1762"/>
      <c r="AI29" s="1762"/>
      <c r="AJ29" s="1763"/>
      <c r="AK29" s="1153"/>
      <c r="AL29" s="1153"/>
      <c r="AM29" s="980" t="s">
        <v>373</v>
      </c>
      <c r="AN29" s="980"/>
      <c r="AO29" s="980"/>
      <c r="AP29" s="980"/>
      <c r="AQ29" s="597"/>
      <c r="AR29" s="597"/>
      <c r="AS29" s="1153"/>
      <c r="AT29" s="1153"/>
      <c r="AU29" s="1153"/>
      <c r="AV29" s="1153"/>
      <c r="AW29" s="1153"/>
      <c r="AX29" s="1153"/>
      <c r="AY29" s="1153"/>
      <c r="AZ29" s="1153"/>
      <c r="BA29" s="1153"/>
      <c r="BB29" s="1153"/>
      <c r="BC29" s="1153"/>
      <c r="BD29" s="1153"/>
      <c r="BE29" s="1153"/>
    </row>
    <row s="1153" customFormat="1" customHeight="1" ht="14.625" hidden="1">
      <c r="A30" s="1153"/>
      <c r="B30" s="944">
        <f>T27="Водоснабжение"</f>
        <v>0</v>
      </c>
      <c r="C30" s="1153"/>
      <c r="D30" s="1153"/>
      <c r="E30" s="608">
        <v>15</v>
      </c>
      <c r="F30" s="109" cm="1" t="str">
        <f t="array" ref="F30:F30">OFFSET(E30,-1,1)</f>
        <v>0</v>
      </c>
      <c r="G30" s="109" t="s">
        <v>49</v>
      </c>
      <c r="H30" s="88" t="s">
        <v>325</v>
      </c>
      <c r="I30" s="88" t="s">
        <v>368</v>
      </c>
      <c r="J30" s="88" t="str">
        <f>AD30&amp;"::"&amp;AE30</f>
        <v>Подкачивающие насосные станции::ед.</v>
      </c>
      <c r="K30" s="1153"/>
      <c r="L30" s="88" t="s">
        <v>49</v>
      </c>
      <c r="M30" s="1153"/>
      <c r="N30" s="1153"/>
      <c r="O30" s="1153"/>
      <c r="P30" s="1153"/>
      <c r="Q30" s="1153"/>
      <c r="R30" s="1153"/>
      <c r="S30" s="1153"/>
      <c r="T30" s="1153"/>
      <c r="U30" s="1153"/>
      <c r="V30" s="439" cm="1" t="str">
        <f t="array" ref="V30:V30">V29</f>
        <v>false</v>
      </c>
      <c r="W30" s="1153"/>
      <c r="X30" s="1153"/>
      <c r="Y30" s="1153"/>
      <c r="Z30" s="1464"/>
      <c r="AA30" s="1465"/>
      <c r="AB30" s="1153"/>
      <c r="AC30" s="151">
        <f>IF(B29,3,1)</f>
        <v>1</v>
      </c>
      <c r="AD30" s="149" t="s">
        <v>374</v>
      </c>
      <c r="AE30" s="89" t="s">
        <v>370</v>
      </c>
      <c r="AF30" s="1762"/>
      <c r="AG30" s="1762"/>
      <c r="AH30" s="1762"/>
      <c r="AI30" s="1762"/>
      <c r="AJ30" s="1763"/>
      <c r="AK30" s="1153"/>
      <c r="AL30" s="1153"/>
      <c r="AM30" s="980" t="s">
        <v>375</v>
      </c>
      <c r="AN30" s="980"/>
      <c r="AO30" s="980"/>
      <c r="AP30" s="980"/>
      <c r="AQ30" s="597"/>
      <c r="AR30" s="597"/>
      <c r="AS30" s="1153"/>
      <c r="AT30" s="1153"/>
      <c r="AU30" s="1153"/>
      <c r="AV30" s="1153"/>
      <c r="AW30" s="1153"/>
      <c r="AX30" s="1153"/>
      <c r="AY30" s="1153"/>
      <c r="AZ30" s="1153"/>
      <c r="BA30" s="1153"/>
      <c r="BB30" s="1153"/>
      <c r="BC30" s="1153"/>
      <c r="BD30" s="1153"/>
      <c r="BE30" s="1153"/>
    </row>
    <row s="1153" customFormat="1" customHeight="1" ht="14.625" hidden="1">
      <c r="A31" s="1153"/>
      <c r="B31" s="944" cm="1" t="str">
        <f t="array" ref="B31:B31">B29</f>
        <v>false</v>
      </c>
      <c r="C31" s="1153"/>
      <c r="D31" s="1153"/>
      <c r="E31" s="608">
        <v>15</v>
      </c>
      <c r="F31" s="109" cm="1" t="str">
        <f t="array" ref="F31:F31">OFFSET(E31,-1,1)</f>
        <v>0</v>
      </c>
      <c r="G31" s="109"/>
      <c r="H31" s="88" t="s">
        <v>325</v>
      </c>
      <c r="I31" s="88" t="s">
        <v>368</v>
      </c>
      <c r="J31" s="88" t="str">
        <f>AD31&amp;"::"&amp;AE31</f>
        <v>Водонапорные башни::ед.</v>
      </c>
      <c r="K31" s="1153"/>
      <c r="L31" s="1153"/>
      <c r="M31" s="1153"/>
      <c r="N31" s="1153"/>
      <c r="O31" s="1153"/>
      <c r="P31" s="1153"/>
      <c r="Q31" s="1153"/>
      <c r="R31" s="1153"/>
      <c r="S31" s="1153"/>
      <c r="T31" s="1153"/>
      <c r="U31" s="1153"/>
      <c r="V31" s="439" cm="1" t="str">
        <f t="array" ref="V31:V31">V30</f>
        <v>false</v>
      </c>
      <c r="W31" s="1153"/>
      <c r="X31" s="1153"/>
      <c r="Y31" s="1153"/>
      <c r="Z31" s="1464"/>
      <c r="AA31" s="1465"/>
      <c r="AB31" s="1153"/>
      <c r="AC31" s="151">
        <v>4</v>
      </c>
      <c r="AD31" s="149" t="s">
        <v>376</v>
      </c>
      <c r="AE31" s="89" t="s">
        <v>370</v>
      </c>
      <c r="AF31" s="1762"/>
      <c r="AG31" s="1762"/>
      <c r="AH31" s="1762"/>
      <c r="AI31" s="1762"/>
      <c r="AJ31" s="1763"/>
      <c r="AK31" s="1153"/>
      <c r="AL31" s="1153"/>
      <c r="AM31" s="980" t="s">
        <v>377</v>
      </c>
      <c r="AN31" s="980"/>
      <c r="AO31" s="980"/>
      <c r="AP31" s="980"/>
      <c r="AQ31" s="597"/>
      <c r="AR31" s="597"/>
      <c r="AS31" s="1153"/>
      <c r="AT31" s="1153"/>
      <c r="AU31" s="1153"/>
      <c r="AV31" s="1153"/>
      <c r="AW31" s="1153"/>
      <c r="AX31" s="1153"/>
      <c r="AY31" s="1153"/>
      <c r="AZ31" s="1153"/>
      <c r="BA31" s="1153"/>
      <c r="BB31" s="1153"/>
      <c r="BC31" s="1153"/>
      <c r="BD31" s="1153"/>
      <c r="BE31" s="1153"/>
    </row>
    <row s="1153" customFormat="1" customHeight="1" ht="14.625" hidden="1">
      <c r="A32" s="1153"/>
      <c r="B32" s="944">
        <f>T27="Водоснабжение"</f>
        <v>0</v>
      </c>
      <c r="C32" s="1153"/>
      <c r="D32" s="1153"/>
      <c r="E32" s="608">
        <v>15</v>
      </c>
      <c r="F32" s="109" cm="1" t="str">
        <f t="array" ref="F32:F32">OFFSET(E32,-1,1)</f>
        <v>0</v>
      </c>
      <c r="G32" s="109"/>
      <c r="H32" s="88" t="s">
        <v>325</v>
      </c>
      <c r="I32" s="88" t="s">
        <v>368</v>
      </c>
      <c r="J32" s="88" t="str">
        <f>AD32&amp;"::"&amp;AE32</f>
        <v>Водопроводные сети::км</v>
      </c>
      <c r="K32" s="1153"/>
      <c r="L32" s="1153"/>
      <c r="M32" s="1153"/>
      <c r="N32" s="1153"/>
      <c r="O32" s="1153"/>
      <c r="P32" s="88" t="s">
        <v>378</v>
      </c>
      <c r="Q32" s="88" t="s">
        <v>379</v>
      </c>
      <c r="R32" s="1153"/>
      <c r="S32" s="1153"/>
      <c r="T32" s="1153"/>
      <c r="U32" s="1153"/>
      <c r="V32" s="439" cm="1" t="str">
        <f t="array" ref="V32:V32">V31</f>
        <v>false</v>
      </c>
      <c r="W32" s="1153"/>
      <c r="X32" s="1153"/>
      <c r="Y32" s="1153"/>
      <c r="Z32" s="1464"/>
      <c r="AA32" s="1465"/>
      <c r="AB32" s="1153"/>
      <c r="AC32" s="151">
        <f>IF(B29,5,2)</f>
        <v>2</v>
      </c>
      <c r="AD32" s="149" t="s">
        <v>380</v>
      </c>
      <c r="AE32" s="89" t="s">
        <v>381</v>
      </c>
      <c r="AF32" s="1764"/>
      <c r="AG32" s="1764"/>
      <c r="AH32" s="107"/>
      <c r="AI32" s="107"/>
      <c r="AJ32" s="1763"/>
      <c r="AK32" s="1153"/>
      <c r="AL32" s="1153"/>
      <c r="AM32" s="980" t="s">
        <v>382</v>
      </c>
      <c r="AN32" s="980"/>
      <c r="AO32" s="980"/>
      <c r="AP32" s="980"/>
      <c r="AQ32" s="597"/>
      <c r="AR32" s="597"/>
      <c r="AS32" s="1153"/>
      <c r="AT32" s="1153"/>
      <c r="AU32" s="1153"/>
      <c r="AV32" s="1153"/>
      <c r="AW32" s="1153"/>
      <c r="AX32" s="1153"/>
      <c r="AY32" s="1153"/>
      <c r="AZ32" s="1153"/>
      <c r="BA32" s="1153"/>
      <c r="BB32" s="1153"/>
      <c r="BC32" s="1153"/>
      <c r="BD32" s="1153"/>
      <c r="BE32" s="1153"/>
    </row>
    <row s="1153" customFormat="1" customHeight="1" ht="14.625" hidden="1">
      <c r="A33" s="1153"/>
      <c r="B33" s="944">
        <f>AND(T27="Водоотведение",method_reg&lt;&gt;"Метод сравнения аналогов")</f>
        <v>0</v>
      </c>
      <c r="C33" s="1153"/>
      <c r="D33" s="1153"/>
      <c r="E33" s="608">
        <v>15</v>
      </c>
      <c r="F33" s="109" cm="1" t="str">
        <f t="array" ref="F33:F33">OFFSET(E33,-1,1)</f>
        <v>0</v>
      </c>
      <c r="G33" s="458"/>
      <c r="H33" s="88" t="s">
        <v>325</v>
      </c>
      <c r="I33" s="88" t="s">
        <v>368</v>
      </c>
      <c r="J33" s="88" t="str">
        <f>AD33&amp;"::"&amp;AE33</f>
        <v>Биологические очистные сооружения::ед.</v>
      </c>
      <c r="K33" s="90"/>
      <c r="L33" s="1153"/>
      <c r="M33" s="1153"/>
      <c r="N33" s="1153"/>
      <c r="O33" s="1153"/>
      <c r="P33" s="1153"/>
      <c r="Q33" s="1153"/>
      <c r="R33" s="1153"/>
      <c r="S33" s="1153"/>
      <c r="T33" s="1153"/>
      <c r="U33" s="1153"/>
      <c r="V33" s="439" cm="1" t="str">
        <f t="array" ref="V33:V33">V32</f>
        <v>false</v>
      </c>
      <c r="W33" s="1153"/>
      <c r="X33" s="1153"/>
      <c r="Y33" s="1153"/>
      <c r="Z33" s="1464"/>
      <c r="AA33" s="1465"/>
      <c r="AB33" s="1153"/>
      <c r="AC33" s="151">
        <v>1</v>
      </c>
      <c r="AD33" s="149" t="s">
        <v>383</v>
      </c>
      <c r="AE33" s="89" t="s">
        <v>370</v>
      </c>
      <c r="AF33" s="1762"/>
      <c r="AG33" s="1762"/>
      <c r="AH33" s="1762"/>
      <c r="AI33" s="1762"/>
      <c r="AJ33" s="1763"/>
      <c r="AK33" s="1153"/>
      <c r="AL33" s="1153"/>
      <c r="AM33" s="980" t="s">
        <v>384</v>
      </c>
      <c r="AN33" s="980"/>
      <c r="AO33" s="980"/>
      <c r="AP33" s="980"/>
      <c r="AQ33" s="597"/>
      <c r="AR33" s="597"/>
      <c r="AS33" s="1153"/>
      <c r="AT33" s="1153"/>
      <c r="AU33" s="1153"/>
      <c r="AV33" s="1153"/>
      <c r="AW33" s="1153"/>
      <c r="AX33" s="1153"/>
      <c r="AY33" s="1153"/>
      <c r="AZ33" s="1153"/>
      <c r="BA33" s="1153"/>
      <c r="BB33" s="1153"/>
      <c r="BC33" s="1153"/>
      <c r="BD33" s="1153"/>
      <c r="BE33" s="1153"/>
    </row>
    <row s="1153" customFormat="1" customHeight="1" ht="14.625" hidden="1">
      <c r="A34" s="1153"/>
      <c r="B34" s="944">
        <f>T27="Водоотведение"</f>
        <v>0</v>
      </c>
      <c r="C34" s="1153"/>
      <c r="D34" s="1153"/>
      <c r="E34" s="608">
        <v>15</v>
      </c>
      <c r="F34" s="109" cm="1" t="str">
        <f t="array" ref="F34:F34">OFFSET(E34,-1,1)</f>
        <v>0</v>
      </c>
      <c r="G34" s="109" t="s">
        <v>49</v>
      </c>
      <c r="H34" s="88" t="s">
        <v>325</v>
      </c>
      <c r="I34" s="88" t="s">
        <v>368</v>
      </c>
      <c r="J34" s="88" t="str">
        <f>AD34&amp;"::"&amp;AE34</f>
        <v>Канализационные насосные станции::ед.</v>
      </c>
      <c r="K34" s="1153"/>
      <c r="L34" s="1153"/>
      <c r="M34" s="1153"/>
      <c r="N34" s="1153"/>
      <c r="O34" s="1153"/>
      <c r="P34" s="1153"/>
      <c r="Q34" s="1153"/>
      <c r="R34" s="1153"/>
      <c r="S34" s="1153"/>
      <c r="T34" s="1153"/>
      <c r="U34" s="1153"/>
      <c r="V34" s="439" cm="1" t="str">
        <f t="array" ref="V34:V34">V33</f>
        <v>false</v>
      </c>
      <c r="W34" s="1153"/>
      <c r="X34" s="1153"/>
      <c r="Y34" s="1153"/>
      <c r="Z34" s="1464"/>
      <c r="AA34" s="1465"/>
      <c r="AB34" s="1153"/>
      <c r="AC34" s="151">
        <f>IF(B33,2,1)</f>
        <v>1</v>
      </c>
      <c r="AD34" s="149" t="s">
        <v>385</v>
      </c>
      <c r="AE34" s="89" t="s">
        <v>370</v>
      </c>
      <c r="AF34" s="1762"/>
      <c r="AG34" s="1762"/>
      <c r="AH34" s="1762"/>
      <c r="AI34" s="1762"/>
      <c r="AJ34" s="1763"/>
      <c r="AK34" s="1153"/>
      <c r="AL34" s="1153"/>
      <c r="AM34" s="980" t="s">
        <v>386</v>
      </c>
      <c r="AN34" s="980"/>
      <c r="AO34" s="980"/>
      <c r="AP34" s="980"/>
      <c r="AQ34" s="597"/>
      <c r="AR34" s="597"/>
      <c r="AS34" s="1153"/>
      <c r="AT34" s="1153"/>
      <c r="AU34" s="1153"/>
      <c r="AV34" s="1153"/>
      <c r="AW34" s="1153"/>
      <c r="AX34" s="1153"/>
      <c r="AY34" s="1153"/>
      <c r="AZ34" s="1153"/>
      <c r="BA34" s="1153"/>
      <c r="BB34" s="1153"/>
      <c r="BC34" s="1153"/>
      <c r="BD34" s="1153"/>
      <c r="BE34" s="1153"/>
    </row>
    <row s="1153" customFormat="1" customHeight="1" ht="14.625" hidden="1">
      <c r="A35" s="1153"/>
      <c r="B35" s="944" cm="1" t="str">
        <f t="array" ref="B35:B35">B34</f>
        <v>false</v>
      </c>
      <c r="C35" s="1153"/>
      <c r="D35" s="1153"/>
      <c r="E35" s="608">
        <v>15</v>
      </c>
      <c r="F35" s="109" cm="1" t="str">
        <f t="array" ref="F35:F35">OFFSET(E35,-1,1)</f>
        <v>0</v>
      </c>
      <c r="G35" s="109"/>
      <c r="H35" s="88" t="s">
        <v>325</v>
      </c>
      <c r="I35" s="88" t="s">
        <v>368</v>
      </c>
      <c r="J35" s="88" t="str">
        <f>AD35&amp;"::"&amp;AE35</f>
        <v>Канализационные сети::км</v>
      </c>
      <c r="K35" s="1153"/>
      <c r="L35" s="88" t="s">
        <v>49</v>
      </c>
      <c r="M35" s="1153"/>
      <c r="N35" s="1153"/>
      <c r="O35" s="1153"/>
      <c r="P35" s="88" t="s">
        <v>378</v>
      </c>
      <c r="Q35" s="88" t="s">
        <v>379</v>
      </c>
      <c r="R35" s="1153"/>
      <c r="S35" s="1153"/>
      <c r="T35" s="1153"/>
      <c r="U35" s="1153"/>
      <c r="V35" s="439" cm="1" t="str">
        <f t="array" ref="V35:V35">V34</f>
        <v>false</v>
      </c>
      <c r="W35" s="1153"/>
      <c r="X35" s="1153"/>
      <c r="Y35" s="1153"/>
      <c r="Z35" s="1464"/>
      <c r="AA35" s="1465"/>
      <c r="AB35" s="1153"/>
      <c r="AC35" s="151">
        <f>AC34+1</f>
        <v>2</v>
      </c>
      <c r="AD35" s="149" t="s">
        <v>387</v>
      </c>
      <c r="AE35" s="89" t="s">
        <v>381</v>
      </c>
      <c r="AF35" s="1764"/>
      <c r="AG35" s="1764"/>
      <c r="AH35" s="107"/>
      <c r="AI35" s="107"/>
      <c r="AJ35" s="1763"/>
      <c r="AK35" s="1153"/>
      <c r="AL35" s="1153"/>
      <c r="AM35" s="980" t="s">
        <v>388</v>
      </c>
      <c r="AN35" s="980"/>
      <c r="AO35" s="980"/>
      <c r="AP35" s="980"/>
      <c r="AQ35" s="597"/>
      <c r="AR35" s="597"/>
      <c r="AS35" s="1153"/>
      <c r="AT35" s="1153"/>
      <c r="AU35" s="1153"/>
      <c r="AV35" s="1153"/>
      <c r="AW35" s="1153"/>
      <c r="AX35" s="1153"/>
      <c r="AY35" s="1153"/>
      <c r="AZ35" s="1153"/>
      <c r="BA35" s="1153"/>
      <c r="BB35" s="1153"/>
      <c r="BC35" s="1153"/>
      <c r="BD35" s="1153"/>
      <c r="BE35" s="1153"/>
    </row>
    <row s="90" customFormat="1" customHeight="1" ht="14.625" hidden="1">
      <c r="A36" s="90"/>
      <c r="B36" s="401"/>
      <c r="C36" s="90"/>
      <c r="D36" s="90"/>
      <c r="E36" s="616">
        <v>15</v>
      </c>
      <c r="F36" s="109" cm="1" t="str">
        <f t="array" ref="F36:F36">OFFSET(E36,-1,1)</f>
        <v>0</v>
      </c>
      <c r="G36" s="109"/>
      <c r="H36" s="90" t="s">
        <v>325</v>
      </c>
      <c r="I36" s="90" t="s">
        <v>368</v>
      </c>
      <c r="J36" s="90" t="str">
        <f>AD36&amp;"::"&amp;AE36</f>
        <v>::</v>
      </c>
      <c r="K36" s="90"/>
      <c r="L36" s="90"/>
      <c r="M36" s="90"/>
      <c r="N36" s="90"/>
      <c r="O36" s="90"/>
      <c r="P36" s="90"/>
      <c r="Q36" s="90"/>
      <c r="R36" s="90"/>
      <c r="S36" s="90"/>
      <c r="T36" s="90"/>
      <c r="U36" s="88">
        <v>0</v>
      </c>
      <c r="V36" s="439">
        <f>AND(F36&gt;0,U36&gt;0)</f>
        <v>0</v>
      </c>
      <c r="W36" s="90"/>
      <c r="X36" s="90"/>
      <c r="Y36" s="738" t="s">
        <v>173</v>
      </c>
      <c r="Z36" s="1464"/>
      <c r="AA36" s="1465"/>
      <c r="AB36" s="393" t="s">
        <v>174</v>
      </c>
      <c r="AC36" s="151">
        <f>IF(OFFSET(C36,-8-U36,-1),5,IF(OFFSET(C36,-3-U36,-1),3,2))+U36</f>
        <v>2</v>
      </c>
      <c r="AD36" s="1768"/>
      <c r="AE36" s="1769"/>
      <c r="AF36" s="1770"/>
      <c r="AG36" s="1770"/>
      <c r="AH36" s="1770"/>
      <c r="AI36" s="1770"/>
      <c r="AJ36" s="1771"/>
      <c r="AK36" s="90"/>
      <c r="AL36" s="90"/>
      <c r="AM36" s="988" t="s">
        <v>389</v>
      </c>
      <c r="AN36" s="988" t="s">
        <v>390</v>
      </c>
      <c r="AO36" s="991" cm="1" t="str">
        <f t="array" ref="AO36:AO36">AD36</f>
        <v>0</v>
      </c>
      <c r="AP36" s="991" cm="1" t="str">
        <f t="array" ref="AP36:AP36">AE36</f>
        <v>0</v>
      </c>
      <c r="AQ36" s="672"/>
      <c r="AR36" s="672" t="b">
        <v>1</v>
      </c>
      <c r="AS36" s="90"/>
      <c r="AT36" s="90"/>
      <c r="AU36" s="90"/>
      <c r="AV36" s="90"/>
      <c r="AW36" s="90"/>
      <c r="AX36" s="90"/>
      <c r="AY36" s="90"/>
      <c r="AZ36" s="90"/>
      <c r="BA36" s="90"/>
      <c r="BB36" s="90"/>
      <c r="BC36" s="90"/>
      <c r="BD36" s="90"/>
      <c r="BE36" s="90"/>
    </row>
    <row s="1153" customFormat="1" customHeight="1" ht="14.625" hidden="1">
      <c r="A37" s="1153"/>
      <c r="B37" s="401"/>
      <c r="C37" s="1153"/>
      <c r="D37" s="1153"/>
      <c r="E37" s="608">
        <v>15</v>
      </c>
      <c r="F37" s="109" cm="1" t="str">
        <f t="array" ref="F37:F37">OFFSET(E37,-1,1)</f>
        <v>0</v>
      </c>
      <c r="G37" s="109"/>
      <c r="H37" s="1153"/>
      <c r="I37" s="1153"/>
      <c r="J37" s="87" t="s">
        <v>391</v>
      </c>
      <c r="K37" s="1153"/>
      <c r="L37" s="1153"/>
      <c r="M37" s="1153"/>
      <c r="N37" s="1153"/>
      <c r="O37" s="1153"/>
      <c r="P37" s="1153"/>
      <c r="Q37" s="1153"/>
      <c r="R37" s="1153"/>
      <c r="S37" s="1153"/>
      <c r="T37" s="1153"/>
      <c r="U37" s="1153"/>
      <c r="V37" s="439" cm="1" t="str">
        <f t="array" ref="V37:V37">V35</f>
        <v>false</v>
      </c>
      <c r="W37" s="1153"/>
      <c r="X37" s="1153"/>
      <c r="Y37" s="738" t="s">
        <v>392</v>
      </c>
      <c r="Z37" s="1464"/>
      <c r="AA37" s="1465"/>
      <c r="AB37" s="1153"/>
      <c r="AC37" s="142"/>
      <c r="AD37" s="275" t="s">
        <v>177</v>
      </c>
      <c r="AE37" s="143"/>
      <c r="AF37" s="143"/>
      <c r="AG37" s="143"/>
      <c r="AH37" s="143"/>
      <c r="AI37" s="143"/>
      <c r="AJ37" s="154"/>
      <c r="AK37" s="1153"/>
      <c r="AL37" s="1153"/>
      <c r="AM37" s="980"/>
      <c r="AN37" s="980"/>
      <c r="AO37" s="980"/>
      <c r="AP37" s="980"/>
      <c r="AQ37" s="597" t="s">
        <v>390</v>
      </c>
      <c r="AR37" s="597"/>
      <c r="AS37" s="1153"/>
      <c r="AT37" s="1153"/>
      <c r="AU37" s="1153"/>
      <c r="AV37" s="1153"/>
      <c r="AW37" s="1153"/>
      <c r="AX37" s="1153"/>
      <c r="AY37" s="1153"/>
      <c r="AZ37" s="1153"/>
      <c r="BA37" s="1153"/>
      <c r="BB37" s="1153"/>
      <c r="BC37" s="1153"/>
      <c r="BD37" s="1153"/>
      <c r="BE37" s="1153"/>
    </row>
    <row s="1153" customFormat="1" customHeight="1" ht="14.625" hidden="1">
      <c r="A38" s="1153"/>
      <c r="B38" s="401"/>
      <c r="C38" s="1153"/>
      <c r="D38" s="1153"/>
      <c r="E38" s="608">
        <v>15</v>
      </c>
      <c r="F38" s="109" cm="1" t="str">
        <f t="array" ref="F38:F38">OFFSET(E38,-1,1)</f>
        <v>0</v>
      </c>
      <c r="G38" s="109"/>
      <c r="H38" s="88" t="s">
        <v>326</v>
      </c>
      <c r="I38" s="88" t="s">
        <v>368</v>
      </c>
      <c r="J38" s="336" cm="1" t="str">
        <f t="array" ref="J38:J38">AD38</f>
        <v>Краткое описание технологического процесса</v>
      </c>
      <c r="K38" s="1153"/>
      <c r="L38" s="1153"/>
      <c r="M38" s="1153"/>
      <c r="N38" s="1153"/>
      <c r="O38" s="1153"/>
      <c r="P38" s="1153"/>
      <c r="Q38" s="1153"/>
      <c r="R38" s="1153"/>
      <c r="S38" s="1153"/>
      <c r="T38" s="1153"/>
      <c r="U38" s="1153"/>
      <c r="V38" s="439" cm="1" t="str">
        <f t="array" ref="V38:V38">V37</f>
        <v>false</v>
      </c>
      <c r="W38" s="1153"/>
      <c r="X38" s="1153"/>
      <c r="Y38" s="1153"/>
      <c r="Z38" s="1464"/>
      <c r="AA38" s="1465"/>
      <c r="AB38" s="1153"/>
      <c r="AC38" s="151"/>
      <c r="AD38" s="149" t="s">
        <v>393</v>
      </c>
      <c r="AE38" s="89"/>
      <c r="AF38" s="1779"/>
      <c r="AG38" s="1780"/>
      <c r="AH38" s="1780"/>
      <c r="AI38" s="1780"/>
      <c r="AJ38" s="1781"/>
      <c r="AK38" s="1153"/>
      <c r="AL38" s="1153"/>
      <c r="AM38" s="980" t="s">
        <v>394</v>
      </c>
      <c r="AN38" s="980"/>
      <c r="AO38" s="980"/>
      <c r="AP38" s="980"/>
      <c r="AQ38" s="597"/>
      <c r="AR38" s="597"/>
      <c r="AS38" s="1153"/>
      <c r="AT38" s="1153"/>
      <c r="AU38" s="1153"/>
      <c r="AV38" s="1153"/>
      <c r="AW38" s="1153"/>
      <c r="AX38" s="1153"/>
      <c r="AY38" s="1153"/>
      <c r="AZ38" s="1153"/>
      <c r="BA38" s="1153"/>
      <c r="BB38" s="1153"/>
      <c r="BC38" s="1153"/>
      <c r="BD38" s="1153"/>
      <c r="BE38" s="1153"/>
    </row>
    <row s="1782" customFormat="1" customHeight="1" ht="14.25">
      <c r="A39" s="1153"/>
      <c r="B39" s="401"/>
      <c r="C39" s="1153"/>
      <c r="D39" s="1153"/>
      <c r="E39" s="608">
        <v>15</v>
      </c>
      <c r="F39" s="88" cm="1" t="str">
        <f t="array" ref="F39:F39">Z39</f>
        <v>1</v>
      </c>
      <c r="G39" s="1153"/>
      <c r="H39" s="1153"/>
      <c r="I39" s="1153"/>
      <c r="J39" s="1153"/>
      <c r="K39" s="1153"/>
      <c r="L39" s="1153"/>
      <c r="M39" s="1153"/>
      <c r="N39" s="1153"/>
      <c r="O39" s="1153"/>
      <c r="P39" s="1153"/>
      <c r="Q39" s="1153"/>
      <c r="R39" s="1153"/>
      <c r="S39" s="1153"/>
      <c r="T39" s="1065" cm="1" t="str">
        <f t="array" ref="T39:T39">INDEX('Общие сведения'!$AE$179:$AE$222,MATCH($Z39,'Общие сведения'!$Z$179:$Z$222,0))</f>
        <v>Водоснабжение</v>
      </c>
      <c r="U39" s="1153"/>
      <c r="V39" s="439">
        <f>Z39&gt;0</f>
        <v>1</v>
      </c>
      <c r="W39" s="1153"/>
      <c r="X39" s="88" cm="1" t="str">
        <f t="array" ref="X39:X39">'Список территорий'!$AB$29</f>
        <v>Тариф 1 (Водоснабжение) - тариф на техническую воду (Оказание услуг на территории: Прокопьевский муниципальный округ (ОКТМО: 32522000) - п Калачево)</v>
      </c>
      <c r="Y39" s="1153"/>
      <c r="Z39" s="1464" t="s">
        <v>272</v>
      </c>
      <c r="AA39" s="1465"/>
      <c r="AB39" s="1153"/>
      <c r="AC39" s="147" cm="1" t="str">
        <f t="array" ref="AC39:AC39">'Список территорий'!$AB$29</f>
        <v>Тариф 1 (Водоснабжение) - тариф на техническую воду (Оказание услуг на территории: Прокопьевский муниципальный округ (ОКТМО: 32522000) - п Калачево)</v>
      </c>
      <c r="AD39" s="147"/>
      <c r="AE39" s="141"/>
      <c r="AF39" s="141"/>
      <c r="AG39" s="141"/>
      <c r="AH39" s="141"/>
      <c r="AI39" s="141"/>
      <c r="AJ39" s="141"/>
      <c r="AK39" s="1153"/>
      <c r="AL39" s="1153"/>
      <c r="AM39" s="980"/>
      <c r="AN39" s="980"/>
      <c r="AO39" s="980"/>
      <c r="AP39" s="980"/>
      <c r="AQ39" s="597"/>
      <c r="AR39" s="597"/>
      <c r="AS39" s="1153"/>
      <c r="AT39" s="1153"/>
      <c r="AU39" s="1153"/>
      <c r="AV39" s="1153"/>
      <c r="AW39" s="1153"/>
      <c r="AX39" s="1153"/>
      <c r="AY39" s="1153"/>
      <c r="AZ39" s="1153"/>
      <c r="BA39" s="1153"/>
      <c r="BB39" s="1153"/>
      <c r="BC39" s="1153"/>
      <c r="BD39" s="1153"/>
      <c r="BE39" s="1153"/>
    </row>
    <row s="1783" customFormat="1" customHeight="1" ht="14.625">
      <c r="A40" s="1153"/>
      <c r="B40" s="944">
        <f>AND(T39="Водоснабжение",method_reg&lt;&gt;"Метод сравнения аналогов")</f>
        <v>1</v>
      </c>
      <c r="C40" s="1153"/>
      <c r="D40" s="1153"/>
      <c r="E40" s="608">
        <v>15</v>
      </c>
      <c r="F40" s="109" cm="1" t="str">
        <f t="array" ref="F40:F40">OFFSET(E40,-1,1)</f>
        <v>1</v>
      </c>
      <c r="G40" s="458"/>
      <c r="H40" s="88" t="s">
        <v>325</v>
      </c>
      <c r="I40" s="88" t="s">
        <v>368</v>
      </c>
      <c r="J40" s="88" t="str">
        <f>AD40&amp;"::"&amp;AE40</f>
        <v>Водонасосные станции (водозаборные узлы)::ед.</v>
      </c>
      <c r="K40" s="90"/>
      <c r="L40" s="1153"/>
      <c r="M40" s="1153"/>
      <c r="N40" s="1153"/>
      <c r="O40" s="1153"/>
      <c r="P40" s="1153"/>
      <c r="Q40" s="1153"/>
      <c r="R40" s="1153"/>
      <c r="S40" s="1153"/>
      <c r="T40" s="1153"/>
      <c r="U40" s="1153"/>
      <c r="V40" s="439" cm="1" t="str">
        <f t="array" ref="V40:V40">V39</f>
        <v>true</v>
      </c>
      <c r="W40" s="1153"/>
      <c r="X40" s="1153"/>
      <c r="Y40" s="1153"/>
      <c r="Z40" s="1464"/>
      <c r="AA40" s="1465"/>
      <c r="AB40" s="1153"/>
      <c r="AC40" s="151">
        <v>1</v>
      </c>
      <c r="AD40" s="149" t="s">
        <v>369</v>
      </c>
      <c r="AE40" s="89" t="s">
        <v>370</v>
      </c>
      <c r="AF40" s="155">
        <v>1</v>
      </c>
      <c r="AG40" s="155"/>
      <c r="AH40" s="155">
        <v>1</v>
      </c>
      <c r="AI40" s="155">
        <v>1</v>
      </c>
      <c r="AJ40" s="156"/>
      <c r="AK40" s="1153"/>
      <c r="AL40" s="1153"/>
      <c r="AM40" s="980" t="s">
        <v>371</v>
      </c>
      <c r="AN40" s="980"/>
      <c r="AO40" s="980"/>
      <c r="AP40" s="980"/>
      <c r="AQ40" s="597"/>
      <c r="AR40" s="597"/>
      <c r="AS40" s="1153"/>
      <c r="AT40" s="1153"/>
      <c r="AU40" s="1153"/>
      <c r="AV40" s="1153"/>
      <c r="AW40" s="1153"/>
      <c r="AX40" s="1153"/>
      <c r="AY40" s="1153"/>
      <c r="AZ40" s="1153"/>
      <c r="BA40" s="1153"/>
      <c r="BB40" s="1153"/>
      <c r="BC40" s="1153"/>
      <c r="BD40" s="1153"/>
      <c r="BE40" s="1153"/>
    </row>
    <row s="1786" customFormat="1" customHeight="1" ht="14.625">
      <c r="A41" s="1153"/>
      <c r="B41" s="944" cm="1" t="str">
        <f t="array" ref="B41:B41">B40</f>
        <v>true</v>
      </c>
      <c r="C41" s="1153"/>
      <c r="D41" s="1153"/>
      <c r="E41" s="608">
        <v>15</v>
      </c>
      <c r="F41" s="109" cm="1" t="str">
        <f t="array" ref="F41:F41">OFFSET(E41,-1,1)</f>
        <v>1</v>
      </c>
      <c r="G41" s="109"/>
      <c r="H41" s="88" t="s">
        <v>325</v>
      </c>
      <c r="I41" s="88" t="s">
        <v>368</v>
      </c>
      <c r="J41" s="88" t="str">
        <f>AD41&amp;"::"&amp;AE41</f>
        <v>Скважины::ед.</v>
      </c>
      <c r="K41" s="1153"/>
      <c r="L41" s="1153"/>
      <c r="M41" s="1153"/>
      <c r="N41" s="1153"/>
      <c r="O41" s="1153"/>
      <c r="P41" s="1153"/>
      <c r="Q41" s="1153"/>
      <c r="R41" s="1153"/>
      <c r="S41" s="1153"/>
      <c r="T41" s="1153"/>
      <c r="U41" s="1153"/>
      <c r="V41" s="439" cm="1" t="str">
        <f t="array" ref="V41:V41">V40</f>
        <v>true</v>
      </c>
      <c r="W41" s="1153"/>
      <c r="X41" s="1153"/>
      <c r="Y41" s="1153"/>
      <c r="Z41" s="1464"/>
      <c r="AA41" s="1465"/>
      <c r="AB41" s="1153"/>
      <c r="AC41" s="151">
        <v>2</v>
      </c>
      <c r="AD41" s="149" t="s">
        <v>372</v>
      </c>
      <c r="AE41" s="89" t="s">
        <v>370</v>
      </c>
      <c r="AF41" s="155">
        <v>3</v>
      </c>
      <c r="AG41" s="155"/>
      <c r="AH41" s="155">
        <v>3</v>
      </c>
      <c r="AI41" s="155">
        <v>3</v>
      </c>
      <c r="AJ41" s="156"/>
      <c r="AK41" s="1153"/>
      <c r="AL41" s="1153"/>
      <c r="AM41" s="980" t="s">
        <v>373</v>
      </c>
      <c r="AN41" s="980"/>
      <c r="AO41" s="980"/>
      <c r="AP41" s="980"/>
      <c r="AQ41" s="597"/>
      <c r="AR41" s="597"/>
      <c r="AS41" s="1153"/>
      <c r="AT41" s="1153"/>
      <c r="AU41" s="1153"/>
      <c r="AV41" s="1153"/>
      <c r="AW41" s="1153"/>
      <c r="AX41" s="1153"/>
      <c r="AY41" s="1153"/>
      <c r="AZ41" s="1153"/>
      <c r="BA41" s="1153"/>
      <c r="BB41" s="1153"/>
      <c r="BC41" s="1153"/>
      <c r="BD41" s="1153"/>
      <c r="BE41" s="1153"/>
    </row>
    <row s="1787" customFormat="1" customHeight="1" ht="14.25">
      <c r="A42" s="1153"/>
      <c r="B42" s="944">
        <f>T39="Водоснабжение"</f>
        <v>1</v>
      </c>
      <c r="C42" s="1153"/>
      <c r="D42" s="1153"/>
      <c r="E42" s="608">
        <v>15</v>
      </c>
      <c r="F42" s="109" cm="1" t="str">
        <f t="array" ref="F42:F42">OFFSET(E42,-1,1)</f>
        <v>1</v>
      </c>
      <c r="G42" s="109" t="s">
        <v>49</v>
      </c>
      <c r="H42" s="88" t="s">
        <v>325</v>
      </c>
      <c r="I42" s="88" t="s">
        <v>368</v>
      </c>
      <c r="J42" s="88" t="str">
        <f>AD42&amp;"::"&amp;AE42</f>
        <v>Подкачивающие насосные станции::ед.</v>
      </c>
      <c r="K42" s="1153"/>
      <c r="L42" s="88" t="s">
        <v>49</v>
      </c>
      <c r="M42" s="1153"/>
      <c r="N42" s="1153"/>
      <c r="O42" s="1153"/>
      <c r="P42" s="1153"/>
      <c r="Q42" s="1153"/>
      <c r="R42" s="1153"/>
      <c r="S42" s="1153"/>
      <c r="T42" s="1153"/>
      <c r="U42" s="1153"/>
      <c r="V42" s="439" cm="1" t="str">
        <f t="array" ref="V42:V42">V41</f>
        <v>true</v>
      </c>
      <c r="W42" s="1153"/>
      <c r="X42" s="1153"/>
      <c r="Y42" s="1153"/>
      <c r="Z42" s="1464"/>
      <c r="AA42" s="1465"/>
      <c r="AB42" s="1153"/>
      <c r="AC42" s="151">
        <f>IF(B41,3,1)</f>
        <v>3</v>
      </c>
      <c r="AD42" s="149" t="s">
        <v>374</v>
      </c>
      <c r="AE42" s="89" t="s">
        <v>370</v>
      </c>
      <c r="AF42" s="155"/>
      <c r="AG42" s="155"/>
      <c r="AH42" s="155"/>
      <c r="AI42" s="155"/>
      <c r="AJ42" s="156"/>
      <c r="AK42" s="1153"/>
      <c r="AL42" s="1153"/>
      <c r="AM42" s="980" t="s">
        <v>375</v>
      </c>
      <c r="AN42" s="980"/>
      <c r="AO42" s="980"/>
      <c r="AP42" s="980"/>
      <c r="AQ42" s="597"/>
      <c r="AR42" s="597"/>
      <c r="AS42" s="1153"/>
      <c r="AT42" s="1153"/>
      <c r="AU42" s="1153"/>
      <c r="AV42" s="1153"/>
      <c r="AW42" s="1153"/>
      <c r="AX42" s="1153"/>
      <c r="AY42" s="1153"/>
      <c r="AZ42" s="1153"/>
      <c r="BA42" s="1153"/>
      <c r="BB42" s="1153"/>
      <c r="BC42" s="1153"/>
      <c r="BD42" s="1153"/>
      <c r="BE42" s="1153"/>
    </row>
    <row s="1788" customFormat="1" customHeight="1" ht="14.25">
      <c r="A43" s="1153"/>
      <c r="B43" s="944" cm="1" t="str">
        <f t="array" ref="B43:B43">B41</f>
        <v>true</v>
      </c>
      <c r="C43" s="1153"/>
      <c r="D43" s="1153"/>
      <c r="E43" s="608">
        <v>15</v>
      </c>
      <c r="F43" s="109" cm="1" t="str">
        <f t="array" ref="F43:F43">OFFSET(E43,-1,1)</f>
        <v>1</v>
      </c>
      <c r="G43" s="109"/>
      <c r="H43" s="88" t="s">
        <v>325</v>
      </c>
      <c r="I43" s="88" t="s">
        <v>368</v>
      </c>
      <c r="J43" s="88" t="str">
        <f>AD43&amp;"::"&amp;AE43</f>
        <v>Водонапорные башни::ед.</v>
      </c>
      <c r="K43" s="1153"/>
      <c r="L43" s="1153"/>
      <c r="M43" s="1153"/>
      <c r="N43" s="1153"/>
      <c r="O43" s="1153"/>
      <c r="P43" s="1153"/>
      <c r="Q43" s="1153"/>
      <c r="R43" s="1153"/>
      <c r="S43" s="1153"/>
      <c r="T43" s="1153"/>
      <c r="U43" s="1153"/>
      <c r="V43" s="439" cm="1" t="str">
        <f t="array" ref="V43:V43">V42</f>
        <v>true</v>
      </c>
      <c r="W43" s="1153"/>
      <c r="X43" s="1153"/>
      <c r="Y43" s="1153"/>
      <c r="Z43" s="1464"/>
      <c r="AA43" s="1465"/>
      <c r="AB43" s="1153"/>
      <c r="AC43" s="151">
        <v>4</v>
      </c>
      <c r="AD43" s="149" t="s">
        <v>376</v>
      </c>
      <c r="AE43" s="89" t="s">
        <v>370</v>
      </c>
      <c r="AF43" s="155"/>
      <c r="AG43" s="155"/>
      <c r="AH43" s="155"/>
      <c r="AI43" s="155"/>
      <c r="AJ43" s="156"/>
      <c r="AK43" s="1153"/>
      <c r="AL43" s="1153"/>
      <c r="AM43" s="980" t="s">
        <v>377</v>
      </c>
      <c r="AN43" s="980"/>
      <c r="AO43" s="980"/>
      <c r="AP43" s="980"/>
      <c r="AQ43" s="597"/>
      <c r="AR43" s="597"/>
      <c r="AS43" s="1153"/>
      <c r="AT43" s="1153"/>
      <c r="AU43" s="1153"/>
      <c r="AV43" s="1153"/>
      <c r="AW43" s="1153"/>
      <c r="AX43" s="1153"/>
      <c r="AY43" s="1153"/>
      <c r="AZ43" s="1153"/>
      <c r="BA43" s="1153"/>
      <c r="BB43" s="1153"/>
      <c r="BC43" s="1153"/>
      <c r="BD43" s="1153"/>
      <c r="BE43" s="1153"/>
    </row>
    <row s="1789" customFormat="1" customHeight="1" ht="14.625">
      <c r="A44" s="1153"/>
      <c r="B44" s="944">
        <f>T39="Водоснабжение"</f>
        <v>1</v>
      </c>
      <c r="C44" s="1153"/>
      <c r="D44" s="1153"/>
      <c r="E44" s="608">
        <v>15</v>
      </c>
      <c r="F44" s="109" cm="1" t="str">
        <f t="array" ref="F44:F44">OFFSET(E44,-1,1)</f>
        <v>1</v>
      </c>
      <c r="G44" s="109"/>
      <c r="H44" s="88" t="s">
        <v>325</v>
      </c>
      <c r="I44" s="88" t="s">
        <v>368</v>
      </c>
      <c r="J44" s="88" t="str">
        <f>AD44&amp;"::"&amp;AE44</f>
        <v>Водопроводные сети::км</v>
      </c>
      <c r="K44" s="1153"/>
      <c r="L44" s="1153"/>
      <c r="M44" s="1153"/>
      <c r="N44" s="1153"/>
      <c r="O44" s="1153"/>
      <c r="P44" s="88" t="s">
        <v>378</v>
      </c>
      <c r="Q44" s="88" t="s">
        <v>379</v>
      </c>
      <c r="R44" s="1153"/>
      <c r="S44" s="1153"/>
      <c r="T44" s="1153"/>
      <c r="U44" s="1153"/>
      <c r="V44" s="439" cm="1" t="str">
        <f t="array" ref="V44:V44">V43</f>
        <v>true</v>
      </c>
      <c r="W44" s="1153"/>
      <c r="X44" s="1153"/>
      <c r="Y44" s="1153"/>
      <c r="Z44" s="1464"/>
      <c r="AA44" s="1465"/>
      <c r="AB44" s="1153"/>
      <c r="AC44" s="151">
        <f>IF(B41,5,2)</f>
        <v>5</v>
      </c>
      <c r="AD44" s="149" t="s">
        <v>380</v>
      </c>
      <c r="AE44" s="89" t="s">
        <v>381</v>
      </c>
      <c r="AF44" s="107">
        <v>5.9</v>
      </c>
      <c r="AG44" s="107"/>
      <c r="AH44" s="107">
        <v>5.9</v>
      </c>
      <c r="AI44" s="107">
        <v>5.9</v>
      </c>
      <c r="AJ44" s="156"/>
      <c r="AK44" s="1153"/>
      <c r="AL44" s="1153"/>
      <c r="AM44" s="980" t="s">
        <v>382</v>
      </c>
      <c r="AN44" s="980"/>
      <c r="AO44" s="980"/>
      <c r="AP44" s="980"/>
      <c r="AQ44" s="597"/>
      <c r="AR44" s="597"/>
      <c r="AS44" s="1153"/>
      <c r="AT44" s="1153"/>
      <c r="AU44" s="1153"/>
      <c r="AV44" s="1153"/>
      <c r="AW44" s="1153"/>
      <c r="AX44" s="1153"/>
      <c r="AY44" s="1153"/>
      <c r="AZ44" s="1153"/>
      <c r="BA44" s="1153"/>
      <c r="BB44" s="1153"/>
      <c r="BC44" s="1153"/>
      <c r="BD44" s="1153"/>
      <c r="BE44" s="1153"/>
    </row>
    <row s="1790" customFormat="1" customHeight="1" ht="14.25" hidden="1">
      <c r="A45" s="1153"/>
      <c r="B45" s="944">
        <f>AND(T39="Водоотведение",method_reg&lt;&gt;"Метод сравнения аналогов")</f>
        <v>0</v>
      </c>
      <c r="C45" s="1153"/>
      <c r="D45" s="1153"/>
      <c r="E45" s="608">
        <v>15</v>
      </c>
      <c r="F45" s="109" cm="1" t="str">
        <f t="array" ref="F45:F45">OFFSET(E45,-1,1)</f>
        <v>1</v>
      </c>
      <c r="G45" s="458"/>
      <c r="H45" s="88" t="s">
        <v>325</v>
      </c>
      <c r="I45" s="88" t="s">
        <v>368</v>
      </c>
      <c r="J45" s="88" t="str">
        <f>AD45&amp;"::"&amp;AE45</f>
        <v>Биологические очистные сооружения::ед.</v>
      </c>
      <c r="K45" s="90"/>
      <c r="L45" s="1153"/>
      <c r="M45" s="1153"/>
      <c r="N45" s="1153"/>
      <c r="O45" s="1153"/>
      <c r="P45" s="1153"/>
      <c r="Q45" s="1153"/>
      <c r="R45" s="1153"/>
      <c r="S45" s="1153"/>
      <c r="T45" s="1153"/>
      <c r="U45" s="1153"/>
      <c r="V45" s="439" cm="1" t="str">
        <f t="array" ref="V45:V45">V44</f>
        <v>true</v>
      </c>
      <c r="W45" s="1153"/>
      <c r="X45" s="1153"/>
      <c r="Y45" s="1153"/>
      <c r="Z45" s="1464"/>
      <c r="AA45" s="1465"/>
      <c r="AB45" s="1153"/>
      <c r="AC45" s="151">
        <v>1</v>
      </c>
      <c r="AD45" s="149" t="s">
        <v>383</v>
      </c>
      <c r="AE45" s="89" t="s">
        <v>370</v>
      </c>
      <c r="AF45" s="1762"/>
      <c r="AG45" s="1762"/>
      <c r="AH45" s="1762"/>
      <c r="AI45" s="1762"/>
      <c r="AJ45" s="1763"/>
      <c r="AK45" s="1153"/>
      <c r="AL45" s="1153"/>
      <c r="AM45" s="980" t="s">
        <v>384</v>
      </c>
      <c r="AN45" s="980"/>
      <c r="AO45" s="980"/>
      <c r="AP45" s="980"/>
      <c r="AQ45" s="597"/>
      <c r="AR45" s="597"/>
      <c r="AS45" s="1153"/>
      <c r="AT45" s="1153"/>
      <c r="AU45" s="1153"/>
      <c r="AV45" s="1153"/>
      <c r="AW45" s="1153"/>
      <c r="AX45" s="1153"/>
      <c r="AY45" s="1153"/>
      <c r="AZ45" s="1153"/>
      <c r="BA45" s="1153"/>
      <c r="BB45" s="1153"/>
      <c r="BC45" s="1153"/>
      <c r="BD45" s="1153"/>
      <c r="BE45" s="1153"/>
    </row>
    <row s="1791" customFormat="1" customHeight="1" ht="14.25" hidden="1">
      <c r="A46" s="1153"/>
      <c r="B46" s="944">
        <f>T39="Водоотведение"</f>
        <v>0</v>
      </c>
      <c r="C46" s="1153"/>
      <c r="D46" s="1153"/>
      <c r="E46" s="608">
        <v>15</v>
      </c>
      <c r="F46" s="109" cm="1" t="str">
        <f t="array" ref="F46:F46">OFFSET(E46,-1,1)</f>
        <v>1</v>
      </c>
      <c r="G46" s="109" t="s">
        <v>49</v>
      </c>
      <c r="H46" s="88" t="s">
        <v>325</v>
      </c>
      <c r="I46" s="88" t="s">
        <v>368</v>
      </c>
      <c r="J46" s="88" t="str">
        <f>AD46&amp;"::"&amp;AE46</f>
        <v>Канализационные насосные станции::ед.</v>
      </c>
      <c r="K46" s="1153"/>
      <c r="L46" s="1153"/>
      <c r="M46" s="1153"/>
      <c r="N46" s="1153"/>
      <c r="O46" s="1153"/>
      <c r="P46" s="1153"/>
      <c r="Q46" s="1153"/>
      <c r="R46" s="1153"/>
      <c r="S46" s="1153"/>
      <c r="T46" s="1153"/>
      <c r="U46" s="1153"/>
      <c r="V46" s="439" cm="1" t="str">
        <f t="array" ref="V46:V46">V45</f>
        <v>true</v>
      </c>
      <c r="W46" s="1153"/>
      <c r="X46" s="1153"/>
      <c r="Y46" s="1153"/>
      <c r="Z46" s="1464"/>
      <c r="AA46" s="1465"/>
      <c r="AB46" s="1153"/>
      <c r="AC46" s="151">
        <f>IF(B45,2,1)</f>
        <v>1</v>
      </c>
      <c r="AD46" s="149" t="s">
        <v>385</v>
      </c>
      <c r="AE46" s="89" t="s">
        <v>370</v>
      </c>
      <c r="AF46" s="1762"/>
      <c r="AG46" s="1762"/>
      <c r="AH46" s="1762"/>
      <c r="AI46" s="1762"/>
      <c r="AJ46" s="1763"/>
      <c r="AK46" s="1153"/>
      <c r="AL46" s="1153"/>
      <c r="AM46" s="980" t="s">
        <v>386</v>
      </c>
      <c r="AN46" s="980"/>
      <c r="AO46" s="980"/>
      <c r="AP46" s="980"/>
      <c r="AQ46" s="597"/>
      <c r="AR46" s="597"/>
      <c r="AS46" s="1153"/>
      <c r="AT46" s="1153"/>
      <c r="AU46" s="1153"/>
      <c r="AV46" s="1153"/>
      <c r="AW46" s="1153"/>
      <c r="AX46" s="1153"/>
      <c r="AY46" s="1153"/>
      <c r="AZ46" s="1153"/>
      <c r="BA46" s="1153"/>
      <c r="BB46" s="1153"/>
      <c r="BC46" s="1153"/>
      <c r="BD46" s="1153"/>
      <c r="BE46" s="1153"/>
    </row>
    <row s="1792" customFormat="1" customHeight="1" ht="14.25" hidden="1">
      <c r="A47" s="1153"/>
      <c r="B47" s="944" cm="1" t="str">
        <f t="array" ref="B47:B47">B46</f>
        <v>false</v>
      </c>
      <c r="C47" s="1153"/>
      <c r="D47" s="1153"/>
      <c r="E47" s="608">
        <v>15</v>
      </c>
      <c r="F47" s="109" cm="1" t="str">
        <f t="array" ref="F47:F47">OFFSET(E47,-1,1)</f>
        <v>1</v>
      </c>
      <c r="G47" s="109"/>
      <c r="H47" s="88" t="s">
        <v>325</v>
      </c>
      <c r="I47" s="88" t="s">
        <v>368</v>
      </c>
      <c r="J47" s="88" t="str">
        <f>AD47&amp;"::"&amp;AE47</f>
        <v>Канализационные сети::км</v>
      </c>
      <c r="K47" s="1153"/>
      <c r="L47" s="88" t="s">
        <v>49</v>
      </c>
      <c r="M47" s="1153"/>
      <c r="N47" s="1153"/>
      <c r="O47" s="1153"/>
      <c r="P47" s="88" t="s">
        <v>378</v>
      </c>
      <c r="Q47" s="88" t="s">
        <v>379</v>
      </c>
      <c r="R47" s="1153"/>
      <c r="S47" s="1153"/>
      <c r="T47" s="1153"/>
      <c r="U47" s="1153"/>
      <c r="V47" s="439" cm="1" t="str">
        <f t="array" ref="V47:V47">V46</f>
        <v>true</v>
      </c>
      <c r="W47" s="1153"/>
      <c r="X47" s="1153"/>
      <c r="Y47" s="1153"/>
      <c r="Z47" s="1464"/>
      <c r="AA47" s="1465"/>
      <c r="AB47" s="1153"/>
      <c r="AC47" s="151">
        <f>AC46+1</f>
        <v>2</v>
      </c>
      <c r="AD47" s="149" t="s">
        <v>387</v>
      </c>
      <c r="AE47" s="89" t="s">
        <v>381</v>
      </c>
      <c r="AF47" s="1764"/>
      <c r="AG47" s="1764"/>
      <c r="AH47" s="107"/>
      <c r="AI47" s="107"/>
      <c r="AJ47" s="1763"/>
      <c r="AK47" s="1153"/>
      <c r="AL47" s="1153"/>
      <c r="AM47" s="980" t="s">
        <v>388</v>
      </c>
      <c r="AN47" s="980"/>
      <c r="AO47" s="980"/>
      <c r="AP47" s="980"/>
      <c r="AQ47" s="597"/>
      <c r="AR47" s="597"/>
      <c r="AS47" s="1153"/>
      <c r="AT47" s="1153"/>
      <c r="AU47" s="1153"/>
      <c r="AV47" s="1153"/>
      <c r="AW47" s="1153"/>
      <c r="AX47" s="1153"/>
      <c r="AY47" s="1153"/>
      <c r="AZ47" s="1153"/>
      <c r="BA47" s="1153"/>
      <c r="BB47" s="1153"/>
      <c r="BC47" s="1153"/>
      <c r="BD47" s="1153"/>
      <c r="BE47" s="1153"/>
    </row>
    <row s="90" customFormat="1" customHeight="1" ht="14.25" hidden="1">
      <c r="A48" s="90"/>
      <c r="B48" s="401"/>
      <c r="C48" s="90"/>
      <c r="D48" s="90"/>
      <c r="E48" s="616">
        <v>15</v>
      </c>
      <c r="F48" s="109" cm="1" t="str">
        <f t="array" ref="F48:F48">OFFSET(E48,-1,1)</f>
        <v>1</v>
      </c>
      <c r="G48" s="109"/>
      <c r="H48" s="90" t="s">
        <v>325</v>
      </c>
      <c r="I48" s="90" t="s">
        <v>368</v>
      </c>
      <c r="J48" s="90" t="str">
        <f>AD48&amp;"::"&amp;AE48</f>
        <v>::</v>
      </c>
      <c r="K48" s="90"/>
      <c r="L48" s="90"/>
      <c r="M48" s="90"/>
      <c r="N48" s="90"/>
      <c r="O48" s="90"/>
      <c r="P48" s="90"/>
      <c r="Q48" s="90"/>
      <c r="R48" s="90"/>
      <c r="S48" s="90"/>
      <c r="T48" s="90"/>
      <c r="U48" s="88">
        <v>0</v>
      </c>
      <c r="V48" s="439">
        <f>AND(F48&gt;0,U48&gt;0)</f>
        <v>0</v>
      </c>
      <c r="W48" s="90"/>
      <c r="X48" s="90"/>
      <c r="Y48" s="738" t="s">
        <v>173</v>
      </c>
      <c r="Z48" s="1464"/>
      <c r="AA48" s="1465"/>
      <c r="AB48" s="393" t="s">
        <v>174</v>
      </c>
      <c r="AC48" s="151">
        <f>IF(OFFSET(C48,-8-U48,-1),5,IF(OFFSET(C48,-3-U48,-1),3,2))+U48</f>
        <v>5</v>
      </c>
      <c r="AD48" s="1768"/>
      <c r="AE48" s="1769"/>
      <c r="AF48" s="1770"/>
      <c r="AG48" s="1770"/>
      <c r="AH48" s="1770"/>
      <c r="AI48" s="1770"/>
      <c r="AJ48" s="1771"/>
      <c r="AK48" s="90"/>
      <c r="AL48" s="90"/>
      <c r="AM48" s="988" t="s">
        <v>389</v>
      </c>
      <c r="AN48" s="988" t="s">
        <v>390</v>
      </c>
      <c r="AO48" s="991" cm="1" t="str">
        <f t="array" ref="AO48:AO48">AD48</f>
        <v>0</v>
      </c>
      <c r="AP48" s="991" cm="1" t="str">
        <f t="array" ref="AP48:AP48">AE48</f>
        <v>0</v>
      </c>
      <c r="AQ48" s="672"/>
      <c r="AR48" s="672" t="b">
        <v>1</v>
      </c>
      <c r="AS48" s="90"/>
      <c r="AT48" s="90"/>
      <c r="AU48" s="90"/>
      <c r="AV48" s="90"/>
      <c r="AW48" s="90"/>
      <c r="AX48" s="90"/>
      <c r="AY48" s="90"/>
      <c r="AZ48" s="90"/>
      <c r="BA48" s="90"/>
      <c r="BB48" s="90"/>
      <c r="BC48" s="90"/>
      <c r="BD48" s="90"/>
      <c r="BE48" s="90"/>
    </row>
    <row s="1793" customFormat="1" customHeight="1" ht="14.25">
      <c r="A49" s="1153"/>
      <c r="B49" s="401"/>
      <c r="C49" s="1153"/>
      <c r="D49" s="1153"/>
      <c r="E49" s="608">
        <v>15</v>
      </c>
      <c r="F49" s="109" cm="1" t="str">
        <f t="array" ref="F49:F49">OFFSET(E49,-1,1)</f>
        <v>1</v>
      </c>
      <c r="G49" s="109"/>
      <c r="H49" s="1153"/>
      <c r="I49" s="1153"/>
      <c r="J49" s="87" t="s">
        <v>391</v>
      </c>
      <c r="K49" s="1153"/>
      <c r="L49" s="1153"/>
      <c r="M49" s="1153"/>
      <c r="N49" s="1153"/>
      <c r="O49" s="1153"/>
      <c r="P49" s="1153"/>
      <c r="Q49" s="1153"/>
      <c r="R49" s="1153"/>
      <c r="S49" s="1153"/>
      <c r="T49" s="1153"/>
      <c r="U49" s="1153"/>
      <c r="V49" s="439" cm="1" t="str">
        <f t="array" ref="V49:V49">V47</f>
        <v>true</v>
      </c>
      <c r="W49" s="1153"/>
      <c r="X49" s="1153"/>
      <c r="Y49" s="738" t="s">
        <v>392</v>
      </c>
      <c r="Z49" s="1464"/>
      <c r="AA49" s="1465"/>
      <c r="AB49" s="1153"/>
      <c r="AC49" s="142"/>
      <c r="AD49" s="275" t="s">
        <v>177</v>
      </c>
      <c r="AE49" s="143"/>
      <c r="AF49" s="143"/>
      <c r="AG49" s="143"/>
      <c r="AH49" s="143"/>
      <c r="AI49" s="143"/>
      <c r="AJ49" s="154"/>
      <c r="AK49" s="1153"/>
      <c r="AL49" s="1153"/>
      <c r="AM49" s="980"/>
      <c r="AN49" s="980"/>
      <c r="AO49" s="980"/>
      <c r="AP49" s="980"/>
      <c r="AQ49" s="597" t="s">
        <v>390</v>
      </c>
      <c r="AR49" s="597"/>
      <c r="AS49" s="1153"/>
      <c r="AT49" s="1153"/>
      <c r="AU49" s="1153"/>
      <c r="AV49" s="1153"/>
      <c r="AW49" s="1153"/>
      <c r="AX49" s="1153"/>
      <c r="AY49" s="1153"/>
      <c r="AZ49" s="1153"/>
      <c r="BA49" s="1153"/>
      <c r="BB49" s="1153"/>
      <c r="BC49" s="1153"/>
      <c r="BD49" s="1153"/>
      <c r="BE49" s="1153"/>
    </row>
    <row s="1802" customFormat="1" customHeight="1" ht="33.75">
      <c r="A50" s="1153"/>
      <c r="B50" s="401"/>
      <c r="C50" s="1153"/>
      <c r="D50" s="1153"/>
      <c r="E50" s="608">
        <v>15</v>
      </c>
      <c r="F50" s="109" cm="1" t="str">
        <f t="array" ref="F50:F50">OFFSET(E50,-1,1)</f>
        <v>1</v>
      </c>
      <c r="G50" s="109"/>
      <c r="H50" s="88" t="s">
        <v>326</v>
      </c>
      <c r="I50" s="88" t="s">
        <v>368</v>
      </c>
      <c r="J50" s="336" cm="1" t="str">
        <f t="array" ref="J50:J50">AD50</f>
        <v>Краткое описание технологического процесса</v>
      </c>
      <c r="K50" s="1153"/>
      <c r="L50" s="1153"/>
      <c r="M50" s="1153"/>
      <c r="N50" s="1153"/>
      <c r="O50" s="1153"/>
      <c r="P50" s="1153"/>
      <c r="Q50" s="1153"/>
      <c r="R50" s="1153"/>
      <c r="S50" s="1153"/>
      <c r="T50" s="1153"/>
      <c r="U50" s="1153"/>
      <c r="V50" s="439" cm="1" t="str">
        <f t="array" ref="V50:V50">V49</f>
        <v>true</v>
      </c>
      <c r="W50" s="1153"/>
      <c r="X50" s="1153"/>
      <c r="Y50" s="1153"/>
      <c r="Z50" s="1464"/>
      <c r="AA50" s="1465"/>
      <c r="AB50" s="1153"/>
      <c r="AC50" s="151"/>
      <c r="AD50" s="149" t="s">
        <v>393</v>
      </c>
      <c r="AE50" s="89"/>
      <c r="AF50" s="1466" t="s">
        <v>395</v>
      </c>
      <c r="AG50" s="1467"/>
      <c r="AH50" s="1467"/>
      <c r="AI50" s="1467"/>
      <c r="AJ50" s="1468"/>
      <c r="AK50" s="1153"/>
      <c r="AL50" s="1153"/>
      <c r="AM50" s="980" t="s">
        <v>394</v>
      </c>
      <c r="AN50" s="980"/>
      <c r="AO50" s="980"/>
      <c r="AP50" s="980"/>
      <c r="AQ50" s="597"/>
      <c r="AR50" s="597"/>
      <c r="AS50" s="1153"/>
      <c r="AT50" s="1153"/>
      <c r="AU50" s="1153"/>
      <c r="AV50" s="1153"/>
      <c r="AW50" s="1153"/>
      <c r="AX50" s="1153"/>
      <c r="AY50" s="1153"/>
      <c r="AZ50" s="1153"/>
      <c r="BA50" s="1153"/>
      <c r="BB50" s="1153"/>
      <c r="BC50" s="1153"/>
      <c r="BD50" s="1153"/>
      <c r="BE50" s="1153"/>
    </row>
    <row s="1806" customFormat="1" customHeight="1" ht="14.25">
      <c r="A51" s="1153"/>
      <c r="B51" s="401"/>
      <c r="C51" s="1153"/>
      <c r="D51" s="1153"/>
      <c r="E51" s="608">
        <v>15</v>
      </c>
      <c r="F51" s="88" cm="1" t="str">
        <f t="array" ref="F51:F51">Z51</f>
        <v>2</v>
      </c>
      <c r="G51" s="1153"/>
      <c r="H51" s="1153"/>
      <c r="I51" s="1153"/>
      <c r="J51" s="1153"/>
      <c r="K51" s="1153"/>
      <c r="L51" s="1153"/>
      <c r="M51" s="1153"/>
      <c r="N51" s="1153"/>
      <c r="O51" s="1153"/>
      <c r="P51" s="1153"/>
      <c r="Q51" s="1153"/>
      <c r="R51" s="1153"/>
      <c r="S51" s="1153"/>
      <c r="T51" s="1065" cm="1" t="str">
        <f t="array" ref="T51:T51">INDEX('Общие сведения'!$AE$179:$AE$222,MATCH($Z51,'Общие сведения'!$Z$179:$Z$222,0))</f>
        <v>Водоотведение</v>
      </c>
      <c r="U51" s="1153"/>
      <c r="V51" s="439">
        <f>Z51&gt;0</f>
        <v>1</v>
      </c>
      <c r="W51" s="1153"/>
      <c r="X51" s="88" cm="1" t="str">
        <f t="array" ref="X51:X51">'Список территорий'!$AB$33</f>
        <v>Тариф 2 (Водоотведение) - тариф на водоотведение (Оказание услуг на территории: Прокопьевский муниципальный округ (ОКТМО: 32522000) - п Калачево)</v>
      </c>
      <c r="Y51" s="1153"/>
      <c r="Z51" s="1464" t="s">
        <v>283</v>
      </c>
      <c r="AA51" s="1465"/>
      <c r="AB51" s="1153"/>
      <c r="AC51" s="147" cm="1" t="str">
        <f t="array" ref="AC51:AC51">'Список территорий'!$AB$33</f>
        <v>Тариф 2 (Водоотведение) - тариф на водоотведение (Оказание услуг на территории: Прокопьевский муниципальный округ (ОКТМО: 32522000) - п Калачево)</v>
      </c>
      <c r="AD51" s="147"/>
      <c r="AE51" s="141"/>
      <c r="AF51" s="141"/>
      <c r="AG51" s="141"/>
      <c r="AH51" s="141"/>
      <c r="AI51" s="141"/>
      <c r="AJ51" s="141"/>
      <c r="AK51" s="1153"/>
      <c r="AL51" s="1153"/>
      <c r="AM51" s="980"/>
      <c r="AN51" s="980"/>
      <c r="AO51" s="980"/>
      <c r="AP51" s="980"/>
      <c r="AQ51" s="597"/>
      <c r="AR51" s="597"/>
      <c r="AS51" s="1153"/>
      <c r="AT51" s="1153"/>
      <c r="AU51" s="1153"/>
      <c r="AV51" s="1153"/>
      <c r="AW51" s="1153"/>
      <c r="AX51" s="1153"/>
      <c r="AY51" s="1153"/>
      <c r="AZ51" s="1153"/>
      <c r="BA51" s="1153"/>
      <c r="BB51" s="1153"/>
      <c r="BC51" s="1153"/>
      <c r="BD51" s="1153"/>
      <c r="BE51" s="1153"/>
    </row>
    <row s="1807" customFormat="1" customHeight="1" ht="14.25" hidden="1">
      <c r="A52" s="1153"/>
      <c r="B52" s="944">
        <f>AND(T51="Водоснабжение",method_reg&lt;&gt;"Метод сравнения аналогов")</f>
        <v>0</v>
      </c>
      <c r="C52" s="1153"/>
      <c r="D52" s="1153"/>
      <c r="E52" s="608">
        <v>15</v>
      </c>
      <c r="F52" s="109" cm="1" t="str">
        <f t="array" ref="F52:F52">OFFSET(E52,-1,1)</f>
        <v>2</v>
      </c>
      <c r="G52" s="458"/>
      <c r="H52" s="88" t="s">
        <v>325</v>
      </c>
      <c r="I52" s="88" t="s">
        <v>368</v>
      </c>
      <c r="J52" s="88" t="str">
        <f>AD52&amp;"::"&amp;AE52</f>
        <v>Водонасосные станции (водозаборные узлы)::ед.</v>
      </c>
      <c r="K52" s="90"/>
      <c r="L52" s="1153"/>
      <c r="M52" s="1153"/>
      <c r="N52" s="1153"/>
      <c r="O52" s="1153"/>
      <c r="P52" s="1153"/>
      <c r="Q52" s="1153"/>
      <c r="R52" s="1153"/>
      <c r="S52" s="1153"/>
      <c r="T52" s="1153"/>
      <c r="U52" s="1153"/>
      <c r="V52" s="439" cm="1" t="str">
        <f t="array" ref="V52:V52">V51</f>
        <v>true</v>
      </c>
      <c r="W52" s="1153"/>
      <c r="X52" s="1153"/>
      <c r="Y52" s="1153"/>
      <c r="Z52" s="1464"/>
      <c r="AA52" s="1465"/>
      <c r="AB52" s="1153"/>
      <c r="AC52" s="151">
        <v>1</v>
      </c>
      <c r="AD52" s="149" t="s">
        <v>369</v>
      </c>
      <c r="AE52" s="89" t="s">
        <v>370</v>
      </c>
      <c r="AF52" s="1762"/>
      <c r="AG52" s="1762"/>
      <c r="AH52" s="1762"/>
      <c r="AI52" s="1762"/>
      <c r="AJ52" s="1763"/>
      <c r="AK52" s="1153"/>
      <c r="AL52" s="1153"/>
      <c r="AM52" s="980" t="s">
        <v>371</v>
      </c>
      <c r="AN52" s="980"/>
      <c r="AO52" s="980"/>
      <c r="AP52" s="980"/>
      <c r="AQ52" s="597"/>
      <c r="AR52" s="597"/>
      <c r="AS52" s="1153"/>
      <c r="AT52" s="1153"/>
      <c r="AU52" s="1153"/>
      <c r="AV52" s="1153"/>
      <c r="AW52" s="1153"/>
      <c r="AX52" s="1153"/>
      <c r="AY52" s="1153"/>
      <c r="AZ52" s="1153"/>
      <c r="BA52" s="1153"/>
      <c r="BB52" s="1153"/>
      <c r="BC52" s="1153"/>
      <c r="BD52" s="1153"/>
      <c r="BE52" s="1153"/>
    </row>
    <row s="1808" customFormat="1" customHeight="1" ht="14.25" hidden="1">
      <c r="A53" s="1153"/>
      <c r="B53" s="944" cm="1" t="str">
        <f t="array" ref="B53:B53">B52</f>
        <v>false</v>
      </c>
      <c r="C53" s="1153"/>
      <c r="D53" s="1153"/>
      <c r="E53" s="608">
        <v>15</v>
      </c>
      <c r="F53" s="109" cm="1" t="str">
        <f t="array" ref="F53:F53">OFFSET(E53,-1,1)</f>
        <v>2</v>
      </c>
      <c r="G53" s="109"/>
      <c r="H53" s="88" t="s">
        <v>325</v>
      </c>
      <c r="I53" s="88" t="s">
        <v>368</v>
      </c>
      <c r="J53" s="88" t="str">
        <f>AD53&amp;"::"&amp;AE53</f>
        <v>Скважины::ед.</v>
      </c>
      <c r="K53" s="1153"/>
      <c r="L53" s="1153"/>
      <c r="M53" s="1153"/>
      <c r="N53" s="1153"/>
      <c r="O53" s="1153"/>
      <c r="P53" s="1153"/>
      <c r="Q53" s="1153"/>
      <c r="R53" s="1153"/>
      <c r="S53" s="1153"/>
      <c r="T53" s="1153"/>
      <c r="U53" s="1153"/>
      <c r="V53" s="439" cm="1" t="str">
        <f t="array" ref="V53:V53">V52</f>
        <v>true</v>
      </c>
      <c r="W53" s="1153"/>
      <c r="X53" s="1153"/>
      <c r="Y53" s="1153"/>
      <c r="Z53" s="1464"/>
      <c r="AA53" s="1465"/>
      <c r="AB53" s="1153"/>
      <c r="AC53" s="151">
        <v>2</v>
      </c>
      <c r="AD53" s="149" t="s">
        <v>372</v>
      </c>
      <c r="AE53" s="89" t="s">
        <v>370</v>
      </c>
      <c r="AF53" s="1762"/>
      <c r="AG53" s="1762"/>
      <c r="AH53" s="1762"/>
      <c r="AI53" s="1762"/>
      <c r="AJ53" s="1763"/>
      <c r="AK53" s="1153"/>
      <c r="AL53" s="1153"/>
      <c r="AM53" s="980" t="s">
        <v>373</v>
      </c>
      <c r="AN53" s="980"/>
      <c r="AO53" s="980"/>
      <c r="AP53" s="980"/>
      <c r="AQ53" s="597"/>
      <c r="AR53" s="597"/>
      <c r="AS53" s="1153"/>
      <c r="AT53" s="1153"/>
      <c r="AU53" s="1153"/>
      <c r="AV53" s="1153"/>
      <c r="AW53" s="1153"/>
      <c r="AX53" s="1153"/>
      <c r="AY53" s="1153"/>
      <c r="AZ53" s="1153"/>
      <c r="BA53" s="1153"/>
      <c r="BB53" s="1153"/>
      <c r="BC53" s="1153"/>
      <c r="BD53" s="1153"/>
      <c r="BE53" s="1153"/>
    </row>
    <row s="1809" customFormat="1" customHeight="1" ht="14.25" hidden="1">
      <c r="A54" s="1153"/>
      <c r="B54" s="944">
        <f>T51="Водоснабжение"</f>
        <v>0</v>
      </c>
      <c r="C54" s="1153"/>
      <c r="D54" s="1153"/>
      <c r="E54" s="608">
        <v>15</v>
      </c>
      <c r="F54" s="109" cm="1" t="str">
        <f t="array" ref="F54:F54">OFFSET(E54,-1,1)</f>
        <v>2</v>
      </c>
      <c r="G54" s="109" t="s">
        <v>49</v>
      </c>
      <c r="H54" s="88" t="s">
        <v>325</v>
      </c>
      <c r="I54" s="88" t="s">
        <v>368</v>
      </c>
      <c r="J54" s="88" t="str">
        <f>AD54&amp;"::"&amp;AE54</f>
        <v>Подкачивающие насосные станции::ед.</v>
      </c>
      <c r="K54" s="1153"/>
      <c r="L54" s="88" t="s">
        <v>49</v>
      </c>
      <c r="M54" s="1153"/>
      <c r="N54" s="1153"/>
      <c r="O54" s="1153"/>
      <c r="P54" s="1153"/>
      <c r="Q54" s="1153"/>
      <c r="R54" s="1153"/>
      <c r="S54" s="1153"/>
      <c r="T54" s="1153"/>
      <c r="U54" s="1153"/>
      <c r="V54" s="439" cm="1" t="str">
        <f t="array" ref="V54:V54">V53</f>
        <v>true</v>
      </c>
      <c r="W54" s="1153"/>
      <c r="X54" s="1153"/>
      <c r="Y54" s="1153"/>
      <c r="Z54" s="1464"/>
      <c r="AA54" s="1465"/>
      <c r="AB54" s="1153"/>
      <c r="AC54" s="151">
        <f>IF(B53,3,1)</f>
        <v>1</v>
      </c>
      <c r="AD54" s="149" t="s">
        <v>374</v>
      </c>
      <c r="AE54" s="89" t="s">
        <v>370</v>
      </c>
      <c r="AF54" s="1762"/>
      <c r="AG54" s="1762"/>
      <c r="AH54" s="1762"/>
      <c r="AI54" s="1762"/>
      <c r="AJ54" s="1763"/>
      <c r="AK54" s="1153"/>
      <c r="AL54" s="1153"/>
      <c r="AM54" s="980" t="s">
        <v>375</v>
      </c>
      <c r="AN54" s="980"/>
      <c r="AO54" s="980"/>
      <c r="AP54" s="980"/>
      <c r="AQ54" s="597"/>
      <c r="AR54" s="597"/>
      <c r="AS54" s="1153"/>
      <c r="AT54" s="1153"/>
      <c r="AU54" s="1153"/>
      <c r="AV54" s="1153"/>
      <c r="AW54" s="1153"/>
      <c r="AX54" s="1153"/>
      <c r="AY54" s="1153"/>
      <c r="AZ54" s="1153"/>
      <c r="BA54" s="1153"/>
      <c r="BB54" s="1153"/>
      <c r="BC54" s="1153"/>
      <c r="BD54" s="1153"/>
      <c r="BE54" s="1153"/>
    </row>
    <row s="1810" customFormat="1" customHeight="1" ht="14.25" hidden="1">
      <c r="A55" s="1153"/>
      <c r="B55" s="944" cm="1" t="str">
        <f t="array" ref="B55:B55">B53</f>
        <v>false</v>
      </c>
      <c r="C55" s="1153"/>
      <c r="D55" s="1153"/>
      <c r="E55" s="608">
        <v>15</v>
      </c>
      <c r="F55" s="109" cm="1" t="str">
        <f t="array" ref="F55:F55">OFFSET(E55,-1,1)</f>
        <v>2</v>
      </c>
      <c r="G55" s="109"/>
      <c r="H55" s="88" t="s">
        <v>325</v>
      </c>
      <c r="I55" s="88" t="s">
        <v>368</v>
      </c>
      <c r="J55" s="88" t="str">
        <f>AD55&amp;"::"&amp;AE55</f>
        <v>Водонапорные башни::ед.</v>
      </c>
      <c r="K55" s="1153"/>
      <c r="L55" s="1153"/>
      <c r="M55" s="1153"/>
      <c r="N55" s="1153"/>
      <c r="O55" s="1153"/>
      <c r="P55" s="1153"/>
      <c r="Q55" s="1153"/>
      <c r="R55" s="1153"/>
      <c r="S55" s="1153"/>
      <c r="T55" s="1153"/>
      <c r="U55" s="1153"/>
      <c r="V55" s="439" cm="1" t="str">
        <f t="array" ref="V55:V55">V54</f>
        <v>true</v>
      </c>
      <c r="W55" s="1153"/>
      <c r="X55" s="1153"/>
      <c r="Y55" s="1153"/>
      <c r="Z55" s="1464"/>
      <c r="AA55" s="1465"/>
      <c r="AB55" s="1153"/>
      <c r="AC55" s="151">
        <v>4</v>
      </c>
      <c r="AD55" s="149" t="s">
        <v>376</v>
      </c>
      <c r="AE55" s="89" t="s">
        <v>370</v>
      </c>
      <c r="AF55" s="1762"/>
      <c r="AG55" s="1762"/>
      <c r="AH55" s="1762"/>
      <c r="AI55" s="1762"/>
      <c r="AJ55" s="1763"/>
      <c r="AK55" s="1153"/>
      <c r="AL55" s="1153"/>
      <c r="AM55" s="980" t="s">
        <v>377</v>
      </c>
      <c r="AN55" s="980"/>
      <c r="AO55" s="980"/>
      <c r="AP55" s="980"/>
      <c r="AQ55" s="597"/>
      <c r="AR55" s="597"/>
      <c r="AS55" s="1153"/>
      <c r="AT55" s="1153"/>
      <c r="AU55" s="1153"/>
      <c r="AV55" s="1153"/>
      <c r="AW55" s="1153"/>
      <c r="AX55" s="1153"/>
      <c r="AY55" s="1153"/>
      <c r="AZ55" s="1153"/>
      <c r="BA55" s="1153"/>
      <c r="BB55" s="1153"/>
      <c r="BC55" s="1153"/>
      <c r="BD55" s="1153"/>
      <c r="BE55" s="1153"/>
    </row>
    <row s="1811" customFormat="1" customHeight="1" ht="14.25" hidden="1">
      <c r="A56" s="1153"/>
      <c r="B56" s="944">
        <f>T51="Водоснабжение"</f>
        <v>0</v>
      </c>
      <c r="C56" s="1153"/>
      <c r="D56" s="1153"/>
      <c r="E56" s="608">
        <v>15</v>
      </c>
      <c r="F56" s="109" cm="1" t="str">
        <f t="array" ref="F56:F56">OFFSET(E56,-1,1)</f>
        <v>2</v>
      </c>
      <c r="G56" s="109"/>
      <c r="H56" s="88" t="s">
        <v>325</v>
      </c>
      <c r="I56" s="88" t="s">
        <v>368</v>
      </c>
      <c r="J56" s="88" t="str">
        <f>AD56&amp;"::"&amp;AE56</f>
        <v>Водопроводные сети::км</v>
      </c>
      <c r="K56" s="1153"/>
      <c r="L56" s="1153"/>
      <c r="M56" s="1153"/>
      <c r="N56" s="1153"/>
      <c r="O56" s="1153"/>
      <c r="P56" s="88" t="s">
        <v>378</v>
      </c>
      <c r="Q56" s="88" t="s">
        <v>379</v>
      </c>
      <c r="R56" s="1153"/>
      <c r="S56" s="1153"/>
      <c r="T56" s="1153"/>
      <c r="U56" s="1153"/>
      <c r="V56" s="439" cm="1" t="str">
        <f t="array" ref="V56:V56">V55</f>
        <v>true</v>
      </c>
      <c r="W56" s="1153"/>
      <c r="X56" s="1153"/>
      <c r="Y56" s="1153"/>
      <c r="Z56" s="1464"/>
      <c r="AA56" s="1465"/>
      <c r="AB56" s="1153"/>
      <c r="AC56" s="151">
        <f>IF(B53,5,2)</f>
        <v>2</v>
      </c>
      <c r="AD56" s="149" t="s">
        <v>380</v>
      </c>
      <c r="AE56" s="89" t="s">
        <v>381</v>
      </c>
      <c r="AF56" s="1764"/>
      <c r="AG56" s="1764"/>
      <c r="AH56" s="107"/>
      <c r="AI56" s="107"/>
      <c r="AJ56" s="1763"/>
      <c r="AK56" s="1153"/>
      <c r="AL56" s="1153"/>
      <c r="AM56" s="980" t="s">
        <v>382</v>
      </c>
      <c r="AN56" s="980"/>
      <c r="AO56" s="980"/>
      <c r="AP56" s="980"/>
      <c r="AQ56" s="597"/>
      <c r="AR56" s="597"/>
      <c r="AS56" s="1153"/>
      <c r="AT56" s="1153"/>
      <c r="AU56" s="1153"/>
      <c r="AV56" s="1153"/>
      <c r="AW56" s="1153"/>
      <c r="AX56" s="1153"/>
      <c r="AY56" s="1153"/>
      <c r="AZ56" s="1153"/>
      <c r="BA56" s="1153"/>
      <c r="BB56" s="1153"/>
      <c r="BC56" s="1153"/>
      <c r="BD56" s="1153"/>
      <c r="BE56" s="1153"/>
    </row>
    <row s="1812" customFormat="1" customHeight="1" ht="14.25">
      <c r="A57" s="1153"/>
      <c r="B57" s="944">
        <f>AND(T51="Водоотведение",method_reg&lt;&gt;"Метод сравнения аналогов")</f>
        <v>1</v>
      </c>
      <c r="C57" s="1153"/>
      <c r="D57" s="1153"/>
      <c r="E57" s="608">
        <v>15</v>
      </c>
      <c r="F57" s="109" cm="1" t="str">
        <f t="array" ref="F57:F57">OFFSET(E57,-1,1)</f>
        <v>2</v>
      </c>
      <c r="G57" s="458"/>
      <c r="H57" s="88" t="s">
        <v>325</v>
      </c>
      <c r="I57" s="88" t="s">
        <v>368</v>
      </c>
      <c r="J57" s="88" t="str">
        <f>AD57&amp;"::"&amp;AE57</f>
        <v>Биологические очистные сооружения::ед.</v>
      </c>
      <c r="K57" s="90"/>
      <c r="L57" s="1153"/>
      <c r="M57" s="1153"/>
      <c r="N57" s="1153"/>
      <c r="O57" s="1153"/>
      <c r="P57" s="1153"/>
      <c r="Q57" s="1153"/>
      <c r="R57" s="1153"/>
      <c r="S57" s="1153"/>
      <c r="T57" s="1153"/>
      <c r="U57" s="1153"/>
      <c r="V57" s="439" cm="1" t="str">
        <f t="array" ref="V57:V57">V56</f>
        <v>true</v>
      </c>
      <c r="W57" s="1153"/>
      <c r="X57" s="1153"/>
      <c r="Y57" s="1153"/>
      <c r="Z57" s="1464"/>
      <c r="AA57" s="1465"/>
      <c r="AB57" s="1153"/>
      <c r="AC57" s="151">
        <v>1</v>
      </c>
      <c r="AD57" s="149" t="s">
        <v>383</v>
      </c>
      <c r="AE57" s="89" t="s">
        <v>370</v>
      </c>
      <c r="AF57" s="155"/>
      <c r="AG57" s="155"/>
      <c r="AH57" s="155"/>
      <c r="AI57" s="155"/>
      <c r="AJ57" s="156"/>
      <c r="AK57" s="1153"/>
      <c r="AL57" s="1153"/>
      <c r="AM57" s="980" t="s">
        <v>384</v>
      </c>
      <c r="AN57" s="980"/>
      <c r="AO57" s="980"/>
      <c r="AP57" s="980"/>
      <c r="AQ57" s="597"/>
      <c r="AR57" s="597"/>
      <c r="AS57" s="1153"/>
      <c r="AT57" s="1153"/>
      <c r="AU57" s="1153"/>
      <c r="AV57" s="1153"/>
      <c r="AW57" s="1153"/>
      <c r="AX57" s="1153"/>
      <c r="AY57" s="1153"/>
      <c r="AZ57" s="1153"/>
      <c r="BA57" s="1153"/>
      <c r="BB57" s="1153"/>
      <c r="BC57" s="1153"/>
      <c r="BD57" s="1153"/>
      <c r="BE57" s="1153"/>
    </row>
    <row s="1813" customFormat="1" customHeight="1" ht="14.625">
      <c r="A58" s="1153"/>
      <c r="B58" s="944">
        <f>T51="Водоотведение"</f>
        <v>1</v>
      </c>
      <c r="C58" s="1153"/>
      <c r="D58" s="1153"/>
      <c r="E58" s="608">
        <v>15</v>
      </c>
      <c r="F58" s="109" cm="1" t="str">
        <f t="array" ref="F58:F58">OFFSET(E58,-1,1)</f>
        <v>2</v>
      </c>
      <c r="G58" s="109" t="s">
        <v>49</v>
      </c>
      <c r="H58" s="88" t="s">
        <v>325</v>
      </c>
      <c r="I58" s="88" t="s">
        <v>368</v>
      </c>
      <c r="J58" s="88" t="str">
        <f>AD58&amp;"::"&amp;AE58</f>
        <v>Канализационные насосные станции::ед.</v>
      </c>
      <c r="K58" s="1153"/>
      <c r="L58" s="1153"/>
      <c r="M58" s="1153"/>
      <c r="N58" s="1153"/>
      <c r="O58" s="1153"/>
      <c r="P58" s="1153"/>
      <c r="Q58" s="1153"/>
      <c r="R58" s="1153"/>
      <c r="S58" s="1153"/>
      <c r="T58" s="1153"/>
      <c r="U58" s="1153"/>
      <c r="V58" s="439" cm="1" t="str">
        <f t="array" ref="V58:V58">V57</f>
        <v>true</v>
      </c>
      <c r="W58" s="1153"/>
      <c r="X58" s="1153"/>
      <c r="Y58" s="1153"/>
      <c r="Z58" s="1464"/>
      <c r="AA58" s="1465"/>
      <c r="AB58" s="1153"/>
      <c r="AC58" s="151">
        <f>IF(B57,2,1)</f>
        <v>2</v>
      </c>
      <c r="AD58" s="149" t="s">
        <v>385</v>
      </c>
      <c r="AE58" s="89" t="s">
        <v>370</v>
      </c>
      <c r="AF58" s="155">
        <v>1</v>
      </c>
      <c r="AG58" s="155"/>
      <c r="AH58" s="155">
        <v>1</v>
      </c>
      <c r="AI58" s="155">
        <v>1</v>
      </c>
      <c r="AJ58" s="156"/>
      <c r="AK58" s="1153"/>
      <c r="AL58" s="1153"/>
      <c r="AM58" s="980" t="s">
        <v>386</v>
      </c>
      <c r="AN58" s="980"/>
      <c r="AO58" s="980"/>
      <c r="AP58" s="980"/>
      <c r="AQ58" s="597"/>
      <c r="AR58" s="597"/>
      <c r="AS58" s="1153"/>
      <c r="AT58" s="1153"/>
      <c r="AU58" s="1153"/>
      <c r="AV58" s="1153"/>
      <c r="AW58" s="1153"/>
      <c r="AX58" s="1153"/>
      <c r="AY58" s="1153"/>
      <c r="AZ58" s="1153"/>
      <c r="BA58" s="1153"/>
      <c r="BB58" s="1153"/>
      <c r="BC58" s="1153"/>
      <c r="BD58" s="1153"/>
      <c r="BE58" s="1153"/>
    </row>
    <row s="1814" customFormat="1" customHeight="1" ht="14.625">
      <c r="A59" s="1153"/>
      <c r="B59" s="944" cm="1" t="str">
        <f t="array" ref="B59:B59">B58</f>
        <v>true</v>
      </c>
      <c r="C59" s="1153"/>
      <c r="D59" s="1153"/>
      <c r="E59" s="608">
        <v>15</v>
      </c>
      <c r="F59" s="109" cm="1" t="str">
        <f t="array" ref="F59:F59">OFFSET(E59,-1,1)</f>
        <v>2</v>
      </c>
      <c r="G59" s="109"/>
      <c r="H59" s="88" t="s">
        <v>325</v>
      </c>
      <c r="I59" s="88" t="s">
        <v>368</v>
      </c>
      <c r="J59" s="88" t="str">
        <f>AD59&amp;"::"&amp;AE59</f>
        <v>Канализационные сети::км</v>
      </c>
      <c r="K59" s="1153"/>
      <c r="L59" s="88" t="s">
        <v>49</v>
      </c>
      <c r="M59" s="1153"/>
      <c r="N59" s="1153"/>
      <c r="O59" s="1153"/>
      <c r="P59" s="88" t="s">
        <v>378</v>
      </c>
      <c r="Q59" s="88" t="s">
        <v>379</v>
      </c>
      <c r="R59" s="1153"/>
      <c r="S59" s="1153"/>
      <c r="T59" s="1153"/>
      <c r="U59" s="1153"/>
      <c r="V59" s="439" cm="1" t="str">
        <f t="array" ref="V59:V59">V58</f>
        <v>true</v>
      </c>
      <c r="W59" s="1153"/>
      <c r="X59" s="1153"/>
      <c r="Y59" s="1153"/>
      <c r="Z59" s="1464"/>
      <c r="AA59" s="1465"/>
      <c r="AB59" s="1153"/>
      <c r="AC59" s="151">
        <f>AC58+1</f>
        <v>3</v>
      </c>
      <c r="AD59" s="149" t="s">
        <v>387</v>
      </c>
      <c r="AE59" s="89" t="s">
        <v>381</v>
      </c>
      <c r="AF59" s="107">
        <v>5.11</v>
      </c>
      <c r="AG59" s="107"/>
      <c r="AH59" s="107">
        <v>5.11</v>
      </c>
      <c r="AI59" s="107">
        <v>5.11</v>
      </c>
      <c r="AJ59" s="156"/>
      <c r="AK59" s="1153"/>
      <c r="AL59" s="1153"/>
      <c r="AM59" s="980" t="s">
        <v>388</v>
      </c>
      <c r="AN59" s="980"/>
      <c r="AO59" s="980"/>
      <c r="AP59" s="980"/>
      <c r="AQ59" s="597"/>
      <c r="AR59" s="597"/>
      <c r="AS59" s="1153"/>
      <c r="AT59" s="1153"/>
      <c r="AU59" s="1153"/>
      <c r="AV59" s="1153"/>
      <c r="AW59" s="1153"/>
      <c r="AX59" s="1153"/>
      <c r="AY59" s="1153"/>
      <c r="AZ59" s="1153"/>
      <c r="BA59" s="1153"/>
      <c r="BB59" s="1153"/>
      <c r="BC59" s="1153"/>
      <c r="BD59" s="1153"/>
      <c r="BE59" s="1153"/>
    </row>
    <row s="90" customFormat="1" customHeight="1" ht="14.25" hidden="1">
      <c r="A60" s="90"/>
      <c r="B60" s="401"/>
      <c r="C60" s="90"/>
      <c r="D60" s="90"/>
      <c r="E60" s="616">
        <v>15</v>
      </c>
      <c r="F60" s="109" cm="1" t="str">
        <f t="array" ref="F60:F60">OFFSET(E60,-1,1)</f>
        <v>2</v>
      </c>
      <c r="G60" s="109"/>
      <c r="H60" s="90" t="s">
        <v>325</v>
      </c>
      <c r="I60" s="90" t="s">
        <v>368</v>
      </c>
      <c r="J60" s="90" t="str">
        <f>AD60&amp;"::"&amp;AE60</f>
        <v>::</v>
      </c>
      <c r="K60" s="90"/>
      <c r="L60" s="90"/>
      <c r="M60" s="90"/>
      <c r="N60" s="90"/>
      <c r="O60" s="90"/>
      <c r="P60" s="90"/>
      <c r="Q60" s="90"/>
      <c r="R60" s="90"/>
      <c r="S60" s="90"/>
      <c r="T60" s="90"/>
      <c r="U60" s="88">
        <v>0</v>
      </c>
      <c r="V60" s="439">
        <f>AND(F60&gt;0,U60&gt;0)</f>
        <v>0</v>
      </c>
      <c r="W60" s="90"/>
      <c r="X60" s="90"/>
      <c r="Y60" s="738" t="s">
        <v>173</v>
      </c>
      <c r="Z60" s="1464"/>
      <c r="AA60" s="1465"/>
      <c r="AB60" s="393" t="s">
        <v>174</v>
      </c>
      <c r="AC60" s="151">
        <f>IF(OFFSET(C60,-8-U60,-1),5,IF(OFFSET(C60,-3-U60,-1),3,2))+U60</f>
        <v>3</v>
      </c>
      <c r="AD60" s="1768"/>
      <c r="AE60" s="1769"/>
      <c r="AF60" s="1770"/>
      <c r="AG60" s="1770"/>
      <c r="AH60" s="1770"/>
      <c r="AI60" s="1770"/>
      <c r="AJ60" s="1771"/>
      <c r="AK60" s="90"/>
      <c r="AL60" s="90"/>
      <c r="AM60" s="988" t="s">
        <v>389</v>
      </c>
      <c r="AN60" s="988" t="s">
        <v>390</v>
      </c>
      <c r="AO60" s="991" cm="1" t="str">
        <f t="array" ref="AO60:AO60">AD60</f>
        <v>0</v>
      </c>
      <c r="AP60" s="991" cm="1" t="str">
        <f t="array" ref="AP60:AP60">AE60</f>
        <v>0</v>
      </c>
      <c r="AQ60" s="672"/>
      <c r="AR60" s="672" t="b">
        <v>1</v>
      </c>
      <c r="AS60" s="90"/>
      <c r="AT60" s="90"/>
      <c r="AU60" s="90"/>
      <c r="AV60" s="90"/>
      <c r="AW60" s="90"/>
      <c r="AX60" s="90"/>
      <c r="AY60" s="90"/>
      <c r="AZ60" s="90"/>
      <c r="BA60" s="90"/>
      <c r="BB60" s="90"/>
      <c r="BC60" s="90"/>
      <c r="BD60" s="90"/>
      <c r="BE60" s="90"/>
    </row>
    <row s="1815" customFormat="1" customHeight="1" ht="14.25">
      <c r="A61" s="1153"/>
      <c r="B61" s="401"/>
      <c r="C61" s="1153"/>
      <c r="D61" s="1153"/>
      <c r="E61" s="608">
        <v>15</v>
      </c>
      <c r="F61" s="109" cm="1" t="str">
        <f t="array" ref="F61:F61">OFFSET(E61,-1,1)</f>
        <v>2</v>
      </c>
      <c r="G61" s="109"/>
      <c r="H61" s="1153"/>
      <c r="I61" s="1153"/>
      <c r="J61" s="87" t="s">
        <v>391</v>
      </c>
      <c r="K61" s="1153"/>
      <c r="L61" s="1153"/>
      <c r="M61" s="1153"/>
      <c r="N61" s="1153"/>
      <c r="O61" s="1153"/>
      <c r="P61" s="1153"/>
      <c r="Q61" s="1153"/>
      <c r="R61" s="1153"/>
      <c r="S61" s="1153"/>
      <c r="T61" s="1153"/>
      <c r="U61" s="1153"/>
      <c r="V61" s="439" cm="1" t="str">
        <f t="array" ref="V61:V61">V59</f>
        <v>true</v>
      </c>
      <c r="W61" s="1153"/>
      <c r="X61" s="1153"/>
      <c r="Y61" s="738" t="s">
        <v>392</v>
      </c>
      <c r="Z61" s="1464"/>
      <c r="AA61" s="1465"/>
      <c r="AB61" s="1153"/>
      <c r="AC61" s="142"/>
      <c r="AD61" s="275" t="s">
        <v>177</v>
      </c>
      <c r="AE61" s="143"/>
      <c r="AF61" s="143"/>
      <c r="AG61" s="143"/>
      <c r="AH61" s="143"/>
      <c r="AI61" s="143"/>
      <c r="AJ61" s="154"/>
      <c r="AK61" s="1153"/>
      <c r="AL61" s="1153"/>
      <c r="AM61" s="980"/>
      <c r="AN61" s="980"/>
      <c r="AO61" s="980"/>
      <c r="AP61" s="980"/>
      <c r="AQ61" s="597" t="s">
        <v>390</v>
      </c>
      <c r="AR61" s="597"/>
      <c r="AS61" s="1153"/>
      <c r="AT61" s="1153"/>
      <c r="AU61" s="1153"/>
      <c r="AV61" s="1153"/>
      <c r="AW61" s="1153"/>
      <c r="AX61" s="1153"/>
      <c r="AY61" s="1153"/>
      <c r="AZ61" s="1153"/>
      <c r="BA61" s="1153"/>
      <c r="BB61" s="1153"/>
      <c r="BC61" s="1153"/>
      <c r="BD61" s="1153"/>
      <c r="BE61" s="1153"/>
    </row>
    <row s="1824" customFormat="1" customHeight="1" ht="33.75">
      <c r="A62" s="1153"/>
      <c r="B62" s="401"/>
      <c r="C62" s="1153"/>
      <c r="D62" s="1153"/>
      <c r="E62" s="608">
        <v>15</v>
      </c>
      <c r="F62" s="109" cm="1" t="str">
        <f t="array" ref="F62:F62">OFFSET(E62,-1,1)</f>
        <v>2</v>
      </c>
      <c r="G62" s="109"/>
      <c r="H62" s="88" t="s">
        <v>326</v>
      </c>
      <c r="I62" s="88" t="s">
        <v>368</v>
      </c>
      <c r="J62" s="336" cm="1" t="str">
        <f t="array" ref="J62:J62">AD62</f>
        <v>Краткое описание технологического процесса</v>
      </c>
      <c r="K62" s="1153"/>
      <c r="L62" s="1153"/>
      <c r="M62" s="1153"/>
      <c r="N62" s="1153"/>
      <c r="O62" s="1153"/>
      <c r="P62" s="1153"/>
      <c r="Q62" s="1153"/>
      <c r="R62" s="1153"/>
      <c r="S62" s="1153"/>
      <c r="T62" s="1153"/>
      <c r="U62" s="1153"/>
      <c r="V62" s="439" cm="1" t="str">
        <f t="array" ref="V62:V62">V61</f>
        <v>true</v>
      </c>
      <c r="W62" s="1153"/>
      <c r="X62" s="1153"/>
      <c r="Y62" s="1153"/>
      <c r="Z62" s="1464"/>
      <c r="AA62" s="1465"/>
      <c r="AB62" s="1153"/>
      <c r="AC62" s="151"/>
      <c r="AD62" s="149" t="s">
        <v>393</v>
      </c>
      <c r="AE62" s="89"/>
      <c r="AF62" s="1466" t="s">
        <v>396</v>
      </c>
      <c r="AG62" s="1467"/>
      <c r="AH62" s="1467"/>
      <c r="AI62" s="1467"/>
      <c r="AJ62" s="1468"/>
      <c r="AK62" s="1153"/>
      <c r="AL62" s="1153"/>
      <c r="AM62" s="980" t="s">
        <v>394</v>
      </c>
      <c r="AN62" s="980"/>
      <c r="AO62" s="980"/>
      <c r="AP62" s="980"/>
      <c r="AQ62" s="597"/>
      <c r="AR62" s="597"/>
      <c r="AS62" s="1153"/>
      <c r="AT62" s="1153"/>
      <c r="AU62" s="1153"/>
      <c r="AV62" s="1153"/>
      <c r="AW62" s="1153"/>
      <c r="AX62" s="1153"/>
      <c r="AY62" s="1153"/>
      <c r="AZ62" s="1153"/>
      <c r="BA62" s="1153"/>
      <c r="BB62" s="1153"/>
      <c r="BC62" s="1153"/>
      <c r="BD62" s="1153"/>
      <c r="BE62" s="1153"/>
    </row>
    <row s="1153" customFormat="1" customHeight="1" ht="14.625">
      <c r="B63" s="401"/>
      <c r="E63" s="608">
        <v>15</v>
      </c>
      <c r="F63" s="336"/>
      <c r="G63" s="336"/>
      <c r="J63" s="336"/>
      <c r="W63" s="88" t="s">
        <v>177</v>
      </c>
      <c r="X63" s="106" t="s">
        <v>397</v>
      </c>
      <c r="Z63" s="64"/>
      <c r="AC63" s="486"/>
      <c r="AD63" s="80"/>
      <c r="AE63" s="487"/>
      <c r="AF63" s="931"/>
      <c r="AG63" s="931"/>
      <c r="AH63" s="931"/>
      <c r="AI63" s="931"/>
      <c r="AJ63" s="931"/>
      <c r="AM63" s="980"/>
      <c r="AN63" s="980"/>
      <c r="AO63" s="980"/>
      <c r="AP63" s="980"/>
      <c r="AQ63" s="597"/>
      <c r="AR63" s="597"/>
    </row>
    <row s="676" customFormat="1" customHeight="1" ht="11.700000000000001">
      <c r="B64" s="485"/>
      <c r="E64" s="613">
        <v>12</v>
      </c>
      <c r="Q64" s="456"/>
      <c r="R64" s="456"/>
      <c r="S64" s="456"/>
      <c r="T64" s="456"/>
      <c r="U64" s="463"/>
      <c r="V64" s="463"/>
      <c r="W64" s="478"/>
      <c r="X64" s="463"/>
      <c r="Y64" s="463"/>
      <c r="Z64" s="463"/>
      <c r="AA64" s="463"/>
      <c r="AB64" s="463"/>
      <c r="AC64" s="1469" t="s">
        <v>398</v>
      </c>
      <c r="AD64" s="1470"/>
      <c r="AE64" s="1470"/>
      <c r="AF64" s="1470"/>
      <c r="AG64" s="1470"/>
      <c r="AH64" s="1470"/>
      <c r="AI64" s="1470"/>
      <c r="AJ64" s="1471"/>
      <c r="AK64" s="51"/>
      <c r="AL64" s="51"/>
      <c r="AM64" s="989"/>
      <c r="AN64" s="989"/>
      <c r="AO64" s="989"/>
      <c r="AP64" s="989"/>
      <c r="AQ64" s="655"/>
      <c r="AR64" s="655"/>
      <c r="AS64" s="51"/>
      <c r="AT64" s="51"/>
      <c r="AU64" s="51"/>
      <c r="AV64" s="51"/>
      <c r="AW64" s="51"/>
      <c r="AX64" s="51"/>
      <c r="AY64" s="51"/>
      <c r="AZ64" s="51"/>
      <c r="BA64" s="51"/>
      <c r="BB64" s="51"/>
      <c r="BC64" s="51"/>
      <c r="BD64" s="51"/>
      <c r="BE64" s="463"/>
    </row>
    <row s="676" customFormat="1" customHeight="1" ht="14.625">
      <c r="B65" s="400"/>
      <c r="E65" s="611">
        <v>15</v>
      </c>
      <c r="Q65" s="388"/>
      <c r="R65" s="388"/>
      <c r="S65" s="388"/>
      <c r="T65" s="388"/>
      <c r="U65" s="463"/>
      <c r="V65" s="463"/>
      <c r="W65" s="478"/>
      <c r="X65" s="463"/>
      <c r="Y65" s="463"/>
      <c r="Z65" s="463"/>
      <c r="AA65" s="463"/>
      <c r="AB65" s="641"/>
      <c r="AC65" s="1472"/>
      <c r="AD65" s="1473"/>
      <c r="AE65" s="1473"/>
      <c r="AF65" s="1473"/>
      <c r="AG65" s="1473"/>
      <c r="AH65" s="1473"/>
      <c r="AI65" s="1473"/>
      <c r="AJ65" s="1474"/>
      <c r="AK65" s="51"/>
      <c r="AL65" s="51"/>
      <c r="AM65" s="989"/>
      <c r="AN65" s="989"/>
      <c r="AO65" s="989"/>
      <c r="AP65" s="989"/>
      <c r="AQ65" s="655"/>
      <c r="AR65" s="655"/>
      <c r="AS65" s="51"/>
      <c r="AT65" s="51"/>
      <c r="AU65" s="51"/>
      <c r="AV65" s="51"/>
      <c r="AW65" s="51"/>
      <c r="AX65" s="51"/>
      <c r="AY65" s="51"/>
      <c r="AZ65" s="51"/>
      <c r="BA65" s="51"/>
      <c r="BB65" s="51"/>
      <c r="BC65" s="51"/>
      <c r="BD65" s="51"/>
      <c r="BE65" s="463"/>
    </row>
    <row s="676" customFormat="1" customHeight="1" ht="14.625" hidden="1">
      <c r="A66" s="676"/>
      <c r="B66" s="400"/>
      <c r="C66" s="676"/>
      <c r="D66" s="676"/>
      <c r="E66" s="611">
        <v>15</v>
      </c>
      <c r="F66" s="676"/>
      <c r="G66" s="676"/>
      <c r="H66" s="676"/>
      <c r="I66" s="676"/>
      <c r="J66" s="676"/>
      <c r="K66" s="676"/>
      <c r="L66" s="676"/>
      <c r="M66" s="676"/>
      <c r="N66" s="676"/>
      <c r="O66" s="676"/>
      <c r="P66" s="676"/>
      <c r="Q66" s="388"/>
      <c r="R66" s="388"/>
      <c r="S66" s="388"/>
      <c r="T66" s="388"/>
      <c r="U66" s="676"/>
      <c r="V66" s="439">
        <f>ROW(Y66)&gt;ROW(X$66)</f>
        <v>0</v>
      </c>
      <c r="W66" s="478"/>
      <c r="X66" s="676"/>
      <c r="Y66" s="738" t="s">
        <v>173</v>
      </c>
      <c r="Z66" s="463"/>
      <c r="AA66" s="463"/>
      <c r="AB66" s="642" t="s">
        <v>174</v>
      </c>
      <c r="AC66" s="1830"/>
      <c r="AD66" s="1831"/>
      <c r="AE66" s="1831"/>
      <c r="AF66" s="1831"/>
      <c r="AG66" s="1831"/>
      <c r="AH66" s="1831"/>
      <c r="AI66" s="1831"/>
      <c r="AJ66" s="1832"/>
      <c r="AK66" s="51"/>
      <c r="AL66" s="51"/>
      <c r="AM66" s="989"/>
      <c r="AN66" s="989"/>
      <c r="AO66" s="989"/>
      <c r="AP66" s="989"/>
      <c r="AQ66" s="655"/>
      <c r="AR66" s="655"/>
      <c r="AS66" s="51"/>
      <c r="AT66" s="51"/>
      <c r="AU66" s="51"/>
      <c r="AV66" s="51"/>
      <c r="AW66" s="51"/>
      <c r="AX66" s="51"/>
      <c r="AY66" s="51"/>
      <c r="AZ66" s="51"/>
      <c r="BA66" s="51"/>
      <c r="BB66" s="51"/>
      <c r="BC66" s="51"/>
      <c r="BD66" s="51"/>
      <c r="BE66" s="463"/>
    </row>
    <row s="676" customFormat="1" customHeight="1" ht="14.625">
      <c r="B67" s="400"/>
      <c r="E67" s="611">
        <v>15</v>
      </c>
      <c r="Q67" s="388"/>
      <c r="R67" s="388"/>
      <c r="S67" s="388"/>
      <c r="T67" s="388"/>
      <c r="U67" s="463"/>
      <c r="V67" s="463"/>
      <c r="W67" s="463"/>
      <c r="Y67" s="738" t="s">
        <v>399</v>
      </c>
      <c r="Z67" s="463"/>
      <c r="AA67" s="463"/>
      <c r="AB67" s="463"/>
      <c r="AC67" s="627"/>
      <c r="AD67" s="145" t="s">
        <v>400</v>
      </c>
      <c r="AE67" s="479"/>
      <c r="AF67" s="480"/>
      <c r="AG67" s="480"/>
      <c r="AH67" s="480"/>
      <c r="AI67" s="480"/>
      <c r="AJ67" s="644"/>
      <c r="AK67" s="51"/>
      <c r="AL67" s="51"/>
      <c r="AM67" s="989"/>
      <c r="AN67" s="989"/>
      <c r="AO67" s="989"/>
      <c r="AP67" s="989"/>
      <c r="AQ67" s="655"/>
      <c r="AR67" s="655"/>
      <c r="AS67" s="51"/>
      <c r="AT67" s="51"/>
      <c r="AU67" s="51"/>
      <c r="AV67" s="51"/>
      <c r="AW67" s="51"/>
      <c r="AX67" s="51"/>
      <c r="AY67" s="51"/>
      <c r="AZ67" s="51"/>
      <c r="BA67" s="51"/>
      <c r="BB67" s="51"/>
      <c r="BC67" s="51"/>
      <c r="BD67" s="51"/>
      <c r="BE67" s="463"/>
    </row>
    <row s="1621" customFormat="1" customHeight="1" ht="11.25">
      <c r="B68" s="638"/>
      <c r="E68" s="615"/>
      <c r="F68" s="51"/>
      <c r="G68" s="51"/>
      <c r="H68" s="51"/>
      <c r="I68" s="51"/>
      <c r="J68" s="51"/>
      <c r="AD68" s="66"/>
      <c r="AE68" s="66"/>
      <c r="AF68" s="66"/>
      <c r="AG68" s="66"/>
      <c r="AK68" s="0"/>
      <c r="AM68" s="987"/>
      <c r="AN68" s="987"/>
      <c r="AO68" s="987"/>
      <c r="AP68" s="987"/>
      <c r="AQ68" s="603"/>
      <c r="AR68" s="990"/>
    </row>
    <row s="1621" customFormat="1" customHeight="1" ht="11.25" hidden="1">
      <c r="B69" s="638"/>
      <c r="E69" s="615"/>
      <c r="F69" s="51"/>
      <c r="G69" s="51"/>
      <c r="H69" s="51"/>
      <c r="I69" s="51"/>
      <c r="J69" s="51"/>
      <c r="AD69" s="66"/>
      <c r="AE69" s="66"/>
      <c r="AF69" s="66"/>
      <c r="AG69" s="66"/>
      <c r="AM69" s="987"/>
      <c r="AN69" s="987"/>
      <c r="AO69" s="987"/>
      <c r="AP69" s="987"/>
      <c r="AQ69" s="603"/>
      <c r="AR69" s="990"/>
    </row>
  </sheetData>
  <sheetProtection formatColumns="0" formatRows="0" insertRows="0" deleteColumns="0" deleteRows="0" sort="0" autoFilter="0" insertColumns="1"/>
  <mergeCells count="18">
    <mergeCell ref="AC66:AJ66"/>
    <mergeCell ref="AC22:AJ22"/>
    <mergeCell ref="AG23:AH23"/>
    <mergeCell ref="AC24:AC25"/>
    <mergeCell ref="AD24:AD25"/>
    <mergeCell ref="AE24:AE25"/>
    <mergeCell ref="AJ24:AJ25"/>
    <mergeCell ref="Z27:Z38"/>
    <mergeCell ref="AA27:AA38"/>
    <mergeCell ref="AF38:AJ38"/>
    <mergeCell ref="AC64:AJ64"/>
    <mergeCell ref="AC65:AJ65"/>
    <mergeCell ref="Z39:Z50"/>
    <mergeCell ref="AA39:AA50"/>
    <mergeCell ref="AF50:AJ50"/>
    <mergeCell ref="Z51:Z62"/>
    <mergeCell ref="AA51:AA62"/>
    <mergeCell ref="AF62:AJ62"/>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A5CD9B-4A73-A9F8-8DE8-7D0A25A67808}" mc:Ignorable="x14ac xr xr2 xr3">
  <sheetPr>
    <tabColor theme="3" tint="0.6"/>
    <outlinePr summaryRight="0" summaryBelow="0"/>
    <pageSetUpPr fitToPage="1"/>
  </sheetPr>
  <dimension ref="A1:AS53"/>
  <sheetViews>
    <sheetView showGridLines="0" workbookViewId="0">
      <pane xSplit="29" ySplit="24" topLeftCell="AD30" activePane="bottomRight" state="frozen"/>
      <selection pane="bottomLeft" activeCell="A25" sqref="A25"/>
      <selection pane="topRight" activeCell="AD1" sqref="AD1"/>
      <selection pane="bottomRight" activeCell="AC38" sqref="AC38"/>
    </sheetView>
  </sheetViews>
  <sheetFormatPr defaultColWidth="8.7109375" customHeight="1" defaultRowHeight="11.25"/>
  <cols>
    <col min="1" max="1" style="547" width="3.57421875" hidden="1" customWidth="1"/>
    <col min="2" max="2" style="1190" width="8.57421875" hidden="1" customWidth="1"/>
    <col min="3" max="4" style="547" width="3.57421875" hidden="1" customWidth="1"/>
    <col min="5" max="5" style="858" width="3.57421875" hidden="1" customWidth="1"/>
    <col min="6" max="6" style="547" width="4.00390625" hidden="1" customWidth="1"/>
    <col min="7" max="8" style="547" width="3.57421875" hidden="1" customWidth="1"/>
    <col min="9" max="9" style="547" width="12.421875" hidden="1" customWidth="1"/>
    <col min="10" max="18" style="547" width="3.57421875" hidden="1" customWidth="1"/>
    <col min="19" max="19" style="1316" width="3.57421875" hidden="1" customWidth="1"/>
    <col min="20" max="20" style="1316" width="6.140625" hidden="1" customWidth="1"/>
    <col min="21" max="21" style="1316" width="10.140625" hidden="1" customWidth="1"/>
    <col min="22" max="22" style="1316" width="5.8515625" hidden="1" customWidth="1"/>
    <col min="23" max="24" style="1316" width="6.140625" hidden="1" customWidth="1"/>
    <col min="25" max="25" style="1316" width="5.57421875" hidden="1" customWidth="1"/>
    <col min="26" max="26" style="1316" width="5.28125" hidden="1" customWidth="1"/>
    <col min="27" max="27" style="547" width="3.00390625" customWidth="1"/>
    <col min="28" max="28" style="80" width="11.00390625" customWidth="1"/>
    <col min="29" max="29" style="80" width="70.00390625" customWidth="1"/>
    <col min="30" max="30" style="80" width="15.00390625" customWidth="1"/>
    <col min="31" max="31" style="80" width="20.00390625" customWidth="1"/>
    <col min="32" max="32" style="86" width="20.00390625" customWidth="1"/>
    <col min="33" max="34" style="80" width="20.00390625" customWidth="1"/>
    <col min="35" max="35" style="547" width="3.00390625" customWidth="1"/>
    <col min="36" max="36" style="547" width="8.7109375" hidden="1"/>
    <col min="37" max="43" style="977" width="8.7109375" hidden="1"/>
    <col min="44" max="44" style="946" width="8.7109375" hidden="1"/>
    <col min="45" max="45" style="606" width="8.7109375" hidden="1"/>
  </cols>
  <sheetData>
    <row s="547" customFormat="1" customHeight="1" ht="11.25" hidden="1">
      <c r="B1" s="402"/>
      <c r="E1" s="849"/>
      <c r="F1" s="114" t="s">
        <v>313</v>
      </c>
      <c r="S1" s="943"/>
      <c r="T1" s="943"/>
      <c r="U1" s="439" t="s">
        <v>92</v>
      </c>
      <c r="V1" s="439" t="s">
        <v>97</v>
      </c>
      <c r="W1" s="439" t="s">
        <v>93</v>
      </c>
      <c r="X1" s="439" t="s">
        <v>94</v>
      </c>
      <c r="Y1" s="439" t="s">
        <v>95</v>
      </c>
      <c r="Z1" s="439" t="s">
        <v>99</v>
      </c>
      <c r="AA1" s="441" t="s">
        <v>96</v>
      </c>
      <c r="AB1" s="441" t="s">
        <v>315</v>
      </c>
      <c r="AC1" s="441" t="s">
        <v>98</v>
      </c>
      <c r="AF1" s="171"/>
      <c r="AK1" s="971" t="s">
        <v>316</v>
      </c>
      <c r="AL1" s="975" t="s">
        <v>317</v>
      </c>
      <c r="AM1" s="975" t="s">
        <v>318</v>
      </c>
      <c r="AN1" s="975" t="s">
        <v>401</v>
      </c>
      <c r="AO1" s="975" t="s">
        <v>402</v>
      </c>
      <c r="AP1" s="975" t="s">
        <v>403</v>
      </c>
      <c r="AQ1" s="975" t="s">
        <v>404</v>
      </c>
      <c r="AR1" s="233" t="s">
        <v>321</v>
      </c>
      <c r="AS1" s="233" t="s">
        <v>322</v>
      </c>
    </row>
    <row s="1190" customFormat="1" customHeight="1" ht="11.25" hidden="1">
      <c r="B2" s="944" t="s">
        <v>18</v>
      </c>
      <c r="S2" s="635"/>
      <c r="T2" s="635"/>
      <c r="U2" s="635"/>
      <c r="V2" s="635"/>
      <c r="W2" s="635"/>
      <c r="X2" s="635"/>
      <c r="Y2" s="635"/>
      <c r="Z2" s="635"/>
      <c r="AK2" s="976"/>
      <c r="AL2" s="976"/>
      <c r="AM2" s="976"/>
      <c r="AN2" s="976"/>
      <c r="AO2" s="976"/>
      <c r="AP2" s="976"/>
      <c r="AQ2" s="976"/>
      <c r="AR2" s="985"/>
      <c r="AS2" s="985"/>
    </row>
    <row s="547" customFormat="1" customHeight="1" ht="11.25" hidden="1">
      <c r="B3" s="402"/>
      <c r="E3" s="849"/>
      <c r="S3" s="943"/>
      <c r="T3" s="943"/>
      <c r="U3" s="943"/>
      <c r="V3" s="943"/>
      <c r="W3" s="943"/>
      <c r="X3" s="943"/>
      <c r="Y3" s="943"/>
      <c r="Z3" s="943"/>
      <c r="AF3" s="171"/>
      <c r="AK3" s="977"/>
      <c r="AL3" s="977"/>
      <c r="AM3" s="977"/>
      <c r="AN3" s="977"/>
      <c r="AO3" s="977"/>
      <c r="AP3" s="977"/>
      <c r="AQ3" s="977"/>
      <c r="AR3" s="946"/>
      <c r="AS3" s="946"/>
    </row>
    <row s="547" customFormat="1" customHeight="1" ht="11.25" hidden="1">
      <c r="B4" s="402"/>
      <c r="E4" s="849"/>
      <c r="S4" s="943"/>
      <c r="T4" s="943"/>
      <c r="U4" s="943"/>
      <c r="V4" s="943"/>
      <c r="W4" s="943"/>
      <c r="X4" s="943"/>
      <c r="Y4" s="943"/>
      <c r="Z4" s="943"/>
      <c r="AF4" s="171"/>
      <c r="AK4" s="977"/>
      <c r="AL4" s="977"/>
      <c r="AM4" s="977"/>
      <c r="AN4" s="977"/>
      <c r="AO4" s="977"/>
      <c r="AP4" s="977"/>
      <c r="AQ4" s="977"/>
      <c r="AR4" s="946"/>
      <c r="AS4" s="946"/>
    </row>
    <row s="858" customFormat="1" customHeight="1" ht="11.25" hidden="1">
      <c r="A5" s="849"/>
      <c r="B5" s="402"/>
      <c r="C5" s="849"/>
      <c r="D5" s="849"/>
      <c r="E5" s="850" t="s">
        <v>19</v>
      </c>
      <c r="S5" s="973"/>
      <c r="T5" s="973"/>
      <c r="U5" s="973"/>
      <c r="V5" s="973"/>
      <c r="W5" s="973"/>
      <c r="X5" s="973"/>
      <c r="Y5" s="973"/>
      <c r="Z5" s="973"/>
      <c r="AA5" s="600">
        <v>3</v>
      </c>
      <c r="AB5" s="600">
        <v>11</v>
      </c>
      <c r="AC5" s="600">
        <v>70</v>
      </c>
      <c r="AD5" s="600">
        <v>15</v>
      </c>
      <c r="AE5" s="600">
        <v>20</v>
      </c>
      <c r="AF5" s="600">
        <v>20</v>
      </c>
      <c r="AG5" s="600">
        <v>20</v>
      </c>
      <c r="AH5" s="600">
        <v>20</v>
      </c>
      <c r="AI5" s="850">
        <v>3</v>
      </c>
      <c r="AK5" s="978"/>
      <c r="AL5" s="978"/>
      <c r="AM5" s="978"/>
      <c r="AN5" s="978"/>
      <c r="AO5" s="978"/>
      <c r="AP5" s="978"/>
      <c r="AQ5" s="978"/>
    </row>
    <row s="547" customFormat="1" customHeight="1" ht="11.25" hidden="1">
      <c r="B6" s="402"/>
      <c r="E6" s="850"/>
      <c r="S6" s="943"/>
      <c r="T6" s="943"/>
      <c r="U6" s="943"/>
      <c r="V6" s="943"/>
      <c r="W6" s="943"/>
      <c r="X6" s="943"/>
      <c r="Y6" s="943"/>
      <c r="Z6" s="943"/>
      <c r="AK6" s="977"/>
      <c r="AL6" s="977"/>
      <c r="AM6" s="977"/>
      <c r="AN6" s="977"/>
      <c r="AO6" s="977"/>
      <c r="AP6" s="977"/>
      <c r="AQ6" s="977"/>
      <c r="AR6" s="946"/>
      <c r="AS6" s="946"/>
    </row>
    <row s="547" customFormat="1" customHeight="1" ht="11.25" hidden="1">
      <c r="B7" s="402"/>
      <c r="E7" s="850"/>
      <c r="S7" s="943"/>
      <c r="T7" s="943"/>
      <c r="U7" s="943"/>
      <c r="V7" s="943"/>
      <c r="W7" s="943"/>
      <c r="X7" s="943"/>
      <c r="Y7" s="943"/>
      <c r="Z7" s="943"/>
      <c r="AE7" s="340"/>
      <c r="AF7" s="340"/>
      <c r="AG7" s="341"/>
      <c r="AH7" s="341"/>
      <c r="AK7" s="977"/>
      <c r="AL7" s="977"/>
      <c r="AM7" s="977"/>
      <c r="AN7" s="977"/>
      <c r="AO7" s="977"/>
      <c r="AP7" s="977"/>
      <c r="AQ7" s="977"/>
      <c r="AR7" s="946"/>
      <c r="AS7" s="946"/>
    </row>
    <row s="547" customFormat="1" customHeight="1" ht="11.25" hidden="1">
      <c r="B8" s="402"/>
      <c r="E8" s="850"/>
      <c r="S8" s="943"/>
      <c r="T8" s="943"/>
      <c r="U8" s="943"/>
      <c r="V8" s="943"/>
      <c r="W8" s="943"/>
      <c r="X8" s="943"/>
      <c r="Y8" s="943"/>
      <c r="Z8" s="943"/>
      <c r="AF8" s="171"/>
      <c r="AK8" s="977"/>
      <c r="AL8" s="977"/>
      <c r="AM8" s="977"/>
      <c r="AN8" s="977"/>
      <c r="AO8" s="977"/>
      <c r="AP8" s="977"/>
      <c r="AQ8" s="977"/>
      <c r="AR8" s="946"/>
      <c r="AS8" s="946"/>
    </row>
    <row s="977" customFormat="1" customHeight="1" ht="11.25" hidden="1">
      <c r="A9" s="971" t="s">
        <v>405</v>
      </c>
      <c r="B9" s="976"/>
      <c r="E9" s="978"/>
      <c r="S9" s="979"/>
      <c r="T9" s="979"/>
      <c r="U9" s="979"/>
      <c r="V9" s="979"/>
      <c r="W9" s="979"/>
      <c r="X9" s="979"/>
      <c r="Y9" s="979"/>
      <c r="Z9" s="979"/>
      <c r="AF9" s="975"/>
      <c r="AH9" s="977" cm="1" t="str">
        <f t="array" ref="AH9:AH9">AH24</f>
        <v>Срок действия</v>
      </c>
      <c r="AR9" s="946"/>
      <c r="AS9" s="946"/>
    </row>
    <row s="977" customFormat="1" customHeight="1" ht="11.25" hidden="1">
      <c r="A10" s="971" t="s">
        <v>331</v>
      </c>
      <c r="B10" s="976"/>
      <c r="E10" s="978"/>
      <c r="S10" s="979"/>
      <c r="T10" s="979"/>
      <c r="U10" s="979"/>
      <c r="V10" s="979"/>
      <c r="W10" s="979"/>
      <c r="X10" s="979"/>
      <c r="Y10" s="979"/>
      <c r="Z10" s="979"/>
      <c r="AC10" s="972" t="s">
        <v>318</v>
      </c>
      <c r="AD10" s="972" t="s">
        <v>401</v>
      </c>
      <c r="AE10" s="972" t="s">
        <v>402</v>
      </c>
      <c r="AF10" s="972" t="s">
        <v>403</v>
      </c>
      <c r="AG10" s="972" t="s">
        <v>404</v>
      </c>
      <c r="AR10" s="946"/>
      <c r="AS10" s="946"/>
    </row>
    <row s="547" customFormat="1" customHeight="1" ht="11.25" hidden="1">
      <c r="B11" s="402"/>
      <c r="E11" s="850"/>
      <c r="S11" s="943"/>
      <c r="T11" s="943"/>
      <c r="U11" s="943"/>
      <c r="V11" s="943"/>
      <c r="W11" s="943"/>
      <c r="X11" s="943"/>
      <c r="Y11" s="943"/>
      <c r="Z11" s="943"/>
      <c r="AF11" s="171"/>
      <c r="AK11" s="977"/>
      <c r="AL11" s="977"/>
      <c r="AM11" s="977"/>
      <c r="AN11" s="977"/>
      <c r="AO11" s="977"/>
      <c r="AP11" s="977"/>
      <c r="AQ11" s="977"/>
      <c r="AR11" s="946"/>
      <c r="AS11" s="946"/>
    </row>
    <row s="547" customFormat="1" customHeight="1" ht="11.25" hidden="1">
      <c r="B12" s="402"/>
      <c r="E12" s="850"/>
      <c r="S12" s="943"/>
      <c r="T12" s="943"/>
      <c r="U12" s="943"/>
      <c r="V12" s="943"/>
      <c r="W12" s="943"/>
      <c r="X12" s="943"/>
      <c r="Y12" s="943"/>
      <c r="Z12" s="943"/>
      <c r="AA12" s="943"/>
      <c r="AB12" s="943"/>
      <c r="AC12" s="974"/>
      <c r="AD12" s="974"/>
      <c r="AF12" s="171"/>
      <c r="AK12" s="977"/>
      <c r="AL12" s="977"/>
      <c r="AM12" s="977"/>
      <c r="AN12" s="977"/>
      <c r="AO12" s="977"/>
      <c r="AP12" s="977"/>
      <c r="AQ12" s="977"/>
      <c r="AR12" s="946"/>
      <c r="AS12" s="946"/>
    </row>
    <row s="547" customFormat="1" customHeight="1" ht="11.25" hidden="1">
      <c r="B13" s="402"/>
      <c r="E13" s="850"/>
      <c r="S13" s="943"/>
      <c r="T13" s="943"/>
      <c r="U13" s="943"/>
      <c r="V13" s="943"/>
      <c r="W13" s="943"/>
      <c r="X13" s="943"/>
      <c r="Y13" s="943"/>
      <c r="Z13" s="943"/>
      <c r="AA13" s="943"/>
      <c r="AB13" s="943"/>
      <c r="AC13" s="974"/>
      <c r="AD13" s="974"/>
      <c r="AE13" s="974"/>
      <c r="AF13" s="974"/>
      <c r="AK13" s="977"/>
      <c r="AL13" s="977"/>
      <c r="AM13" s="977"/>
      <c r="AN13" s="977"/>
      <c r="AO13" s="977"/>
      <c r="AP13" s="977"/>
      <c r="AQ13" s="977"/>
      <c r="AR13" s="946"/>
      <c r="AS13" s="946"/>
    </row>
    <row s="547" customFormat="1" customHeight="1" ht="11.25" hidden="1">
      <c r="B14" s="402"/>
      <c r="E14" s="850"/>
      <c r="S14" s="943"/>
      <c r="T14" s="943"/>
      <c r="U14" s="943"/>
      <c r="V14" s="943"/>
      <c r="W14" s="943"/>
      <c r="X14" s="943"/>
      <c r="Y14" s="943"/>
      <c r="Z14" s="943"/>
      <c r="AA14" s="943"/>
      <c r="AB14" s="943"/>
      <c r="AC14" s="974"/>
      <c r="AD14" s="974"/>
      <c r="AE14" s="974"/>
      <c r="AF14" s="974"/>
      <c r="AK14" s="977"/>
      <c r="AL14" s="977"/>
      <c r="AM14" s="977"/>
      <c r="AN14" s="977"/>
      <c r="AO14" s="977"/>
      <c r="AP14" s="977"/>
      <c r="AQ14" s="977"/>
      <c r="AR14" s="946"/>
      <c r="AS14" s="946"/>
    </row>
    <row s="547" customFormat="1" customHeight="1" ht="11.25" hidden="1">
      <c r="B15" s="402"/>
      <c r="E15" s="850"/>
      <c r="S15" s="943"/>
      <c r="T15" s="943"/>
      <c r="U15" s="943"/>
      <c r="V15" s="943"/>
      <c r="W15" s="943"/>
      <c r="X15" s="943"/>
      <c r="Y15" s="943"/>
      <c r="Z15" s="943"/>
      <c r="AA15" s="943"/>
      <c r="AB15" s="943"/>
      <c r="AC15" s="974"/>
      <c r="AD15" s="974"/>
      <c r="AE15" s="974"/>
      <c r="AF15" s="974"/>
      <c r="AK15" s="977"/>
      <c r="AL15" s="977"/>
      <c r="AM15" s="977"/>
      <c r="AN15" s="977"/>
      <c r="AO15" s="977"/>
      <c r="AP15" s="977"/>
      <c r="AQ15" s="977"/>
      <c r="AR15" s="946"/>
      <c r="AS15" s="946"/>
    </row>
    <row s="547" customFormat="1" customHeight="1" ht="11.25" hidden="1">
      <c r="B16" s="402"/>
      <c r="E16" s="850"/>
      <c r="S16" s="943"/>
      <c r="T16" s="943"/>
      <c r="U16" s="943"/>
      <c r="V16" s="943"/>
      <c r="W16" s="943"/>
      <c r="X16" s="943"/>
      <c r="Y16" s="943"/>
      <c r="Z16" s="943"/>
      <c r="AA16" s="943"/>
      <c r="AB16" s="943"/>
      <c r="AC16" s="974"/>
      <c r="AD16" s="974"/>
      <c r="AE16" s="974"/>
      <c r="AF16" s="974"/>
      <c r="AK16" s="977"/>
      <c r="AL16" s="977"/>
      <c r="AM16" s="977"/>
      <c r="AN16" s="977"/>
      <c r="AO16" s="977"/>
      <c r="AP16" s="977"/>
      <c r="AQ16" s="977"/>
      <c r="AR16" s="946"/>
      <c r="AS16" s="946"/>
    </row>
    <row s="547" customFormat="1" customHeight="1" ht="11.25" hidden="1">
      <c r="B17" s="402"/>
      <c r="E17" s="850"/>
      <c r="S17" s="943"/>
      <c r="T17" s="943"/>
      <c r="U17" s="943"/>
      <c r="V17" s="943"/>
      <c r="W17" s="943"/>
      <c r="X17" s="943"/>
      <c r="Y17" s="943"/>
      <c r="Z17" s="943"/>
      <c r="AA17" s="943"/>
      <c r="AB17" s="943"/>
      <c r="AC17" s="974"/>
      <c r="AD17" s="974"/>
      <c r="AE17" s="974"/>
      <c r="AF17" s="974"/>
      <c r="AK17" s="977"/>
      <c r="AL17" s="977"/>
      <c r="AM17" s="977"/>
      <c r="AN17" s="977"/>
      <c r="AO17" s="977"/>
      <c r="AP17" s="977"/>
      <c r="AQ17" s="977"/>
      <c r="AR17" s="946"/>
      <c r="AS17" s="946"/>
    </row>
    <row s="547" customFormat="1" customHeight="1" ht="11.25" hidden="1">
      <c r="A18" s="114"/>
      <c r="B18" s="402"/>
      <c r="E18" s="850"/>
      <c r="S18" s="943"/>
      <c r="T18" s="943"/>
      <c r="U18" s="943"/>
      <c r="V18" s="943"/>
      <c r="W18" s="943"/>
      <c r="X18" s="943"/>
      <c r="Y18" s="943"/>
      <c r="Z18" s="943"/>
      <c r="AA18" s="943"/>
      <c r="AB18" s="943"/>
      <c r="AC18" s="931"/>
      <c r="AD18" s="974"/>
      <c r="AE18" s="974"/>
      <c r="AF18" s="974"/>
      <c r="AK18" s="977"/>
      <c r="AL18" s="977"/>
      <c r="AM18" s="977"/>
      <c r="AN18" s="977"/>
      <c r="AO18" s="977"/>
      <c r="AP18" s="977"/>
      <c r="AQ18" s="977"/>
      <c r="AR18" s="946"/>
      <c r="AS18" s="946"/>
    </row>
    <row s="547" customFormat="1" customHeight="1" ht="11.25" hidden="1">
      <c r="B19" s="402"/>
      <c r="E19" s="850"/>
      <c r="S19" s="943"/>
      <c r="T19" s="943"/>
      <c r="U19" s="943"/>
      <c r="V19" s="943"/>
      <c r="W19" s="943"/>
      <c r="X19" s="943"/>
      <c r="Y19" s="943"/>
      <c r="Z19" s="943"/>
      <c r="AA19" s="943"/>
      <c r="AB19" s="943"/>
      <c r="AC19" s="974"/>
      <c r="AD19" s="974"/>
      <c r="AE19" s="974"/>
      <c r="AF19" s="974"/>
      <c r="AK19" s="977"/>
      <c r="AL19" s="977"/>
      <c r="AM19" s="977"/>
      <c r="AN19" s="977"/>
      <c r="AO19" s="977"/>
      <c r="AP19" s="977"/>
      <c r="AQ19" s="977"/>
      <c r="AR19" s="946"/>
      <c r="AS19" s="946"/>
    </row>
    <row s="547" customFormat="1" customHeight="1" ht="11.25" hidden="1">
      <c r="B20" s="402"/>
      <c r="E20" s="850"/>
      <c r="S20" s="943"/>
      <c r="T20" s="943"/>
      <c r="U20" s="943"/>
      <c r="V20" s="943"/>
      <c r="W20" s="943"/>
      <c r="X20" s="943"/>
      <c r="Y20" s="943"/>
      <c r="Z20" s="943"/>
      <c r="AA20" s="943"/>
      <c r="AB20" s="943"/>
      <c r="AC20" s="974"/>
      <c r="AD20" s="974"/>
      <c r="AE20" s="974"/>
      <c r="AF20" s="974"/>
      <c r="AK20" s="977"/>
      <c r="AL20" s="977"/>
      <c r="AM20" s="977"/>
      <c r="AN20" s="977"/>
      <c r="AO20" s="977"/>
      <c r="AP20" s="977"/>
      <c r="AQ20" s="977"/>
      <c r="AR20" s="946"/>
      <c r="AS20" s="946"/>
    </row>
    <row s="547" customFormat="1" customHeight="1" ht="14.625">
      <c r="B21" s="402"/>
      <c r="E21" s="850">
        <v>15</v>
      </c>
      <c r="S21" s="943"/>
      <c r="T21" s="943"/>
      <c r="U21" s="943"/>
      <c r="V21" s="943"/>
      <c r="W21" s="943"/>
      <c r="X21" s="943"/>
      <c r="Y21" s="943"/>
      <c r="Z21" s="943"/>
      <c r="AA21" s="637"/>
      <c r="AB21" s="442"/>
      <c r="AC21" s="332" cm="1" t="str">
        <f t="array" ref="AC21:AC21">tpl_title</f>
        <v>Кемеровская область / 2026 / Филиал АО "УК "Кузбассразрезуголь" "Талдинский угольный разрез" (ИНН:4205049090, КПП:423802002) / ДПР: 2024-2028</v>
      </c>
      <c r="AD21" s="442"/>
      <c r="AE21" s="442"/>
      <c r="AF21" s="442"/>
      <c r="AK21" s="977"/>
      <c r="AL21" s="977"/>
      <c r="AM21" s="977"/>
      <c r="AN21" s="977"/>
      <c r="AO21" s="977"/>
      <c r="AP21" s="977"/>
      <c r="AQ21" s="977"/>
      <c r="AR21" s="946"/>
      <c r="AS21" s="946"/>
    </row>
    <row customHeight="1" ht="20.475">
      <c r="E22" s="614">
        <v>21</v>
      </c>
      <c r="R22" s="943"/>
      <c r="AA22" s="943"/>
      <c r="AB22" s="1460" t="s">
        <v>406</v>
      </c>
      <c r="AC22" s="1461"/>
      <c r="AD22" s="1461"/>
      <c r="AE22" s="1461"/>
      <c r="AF22" s="1461"/>
      <c r="AG22" s="1461"/>
      <c r="AH22" s="1461"/>
    </row>
    <row customHeight="1" ht="8.775">
      <c r="E23" s="614">
        <v>9</v>
      </c>
      <c r="AA23" s="950"/>
      <c r="AB23" s="81"/>
      <c r="AC23" s="81"/>
      <c r="AD23" s="81"/>
      <c r="AE23" s="81"/>
      <c r="AF23" s="1478"/>
      <c r="AG23" s="1478"/>
      <c r="AH23" s="61"/>
    </row>
    <row s="1153" customFormat="1" customHeight="1" ht="20.475">
      <c r="B24" s="401"/>
      <c r="E24" s="614">
        <v>21</v>
      </c>
      <c r="AB24" s="153" t="s">
        <v>21</v>
      </c>
      <c r="AC24" s="152" t="s">
        <v>407</v>
      </c>
      <c r="AD24" s="152" t="s">
        <v>408</v>
      </c>
      <c r="AE24" s="152" t="s">
        <v>409</v>
      </c>
      <c r="AF24" s="152" t="s">
        <v>410</v>
      </c>
      <c r="AG24" s="152" t="s">
        <v>411</v>
      </c>
      <c r="AH24" s="152" t="s">
        <v>412</v>
      </c>
      <c r="AK24" s="980"/>
      <c r="AL24" s="980"/>
      <c r="AM24" s="980"/>
      <c r="AN24" s="980"/>
      <c r="AO24" s="980"/>
      <c r="AP24" s="980"/>
      <c r="AQ24" s="980"/>
      <c r="AR24" s="597"/>
      <c r="AS24" s="597"/>
    </row>
    <row s="1621" customFormat="1" customHeight="1" ht="11.25" hidden="1">
      <c r="A25" s="473"/>
      <c r="B25" s="638"/>
      <c r="C25" s="473"/>
      <c r="D25" s="473"/>
      <c r="E25" s="608">
        <v>0</v>
      </c>
      <c r="F25" s="634"/>
      <c r="G25" s="473"/>
      <c r="H25" s="473"/>
      <c r="I25" s="473"/>
      <c r="J25" s="473"/>
      <c r="K25" s="473"/>
      <c r="L25" s="473"/>
      <c r="M25" s="473"/>
      <c r="N25" s="473"/>
      <c r="O25" s="473"/>
      <c r="P25" s="473"/>
      <c r="Q25" s="473"/>
      <c r="R25" s="473"/>
      <c r="S25" s="473"/>
      <c r="T25" s="473"/>
      <c r="U25" s="473"/>
      <c r="V25" s="473"/>
      <c r="W25" s="473"/>
      <c r="X25" s="473"/>
      <c r="Y25" s="473"/>
      <c r="Z25" s="473"/>
      <c r="AA25" s="473"/>
      <c r="AB25" s="941"/>
      <c r="AC25" s="66"/>
      <c r="AD25" s="66"/>
      <c r="AE25" s="66"/>
      <c r="AF25" s="66"/>
      <c r="AI25" s="473"/>
      <c r="AJ25" s="473"/>
      <c r="AK25" s="981"/>
      <c r="AL25" s="981"/>
      <c r="AM25" s="981"/>
      <c r="AN25" s="981"/>
      <c r="AO25" s="981"/>
      <c r="AP25" s="982"/>
      <c r="AQ25" s="981"/>
      <c r="AR25" s="639"/>
      <c r="AS25" s="603"/>
    </row>
    <row s="1153" customFormat="1" customHeight="1" ht="15" hidden="1">
      <c r="A26" s="1153"/>
      <c r="B26" s="401"/>
      <c r="C26" s="1153"/>
      <c r="D26" s="1153"/>
      <c r="E26" s="615" t="s">
        <v>335</v>
      </c>
      <c r="F26" s="88" cm="1" t="str">
        <f t="array" ref="F26:F26">Y26</f>
        <v>0</v>
      </c>
      <c r="G26" s="1153"/>
      <c r="H26" s="1153"/>
      <c r="I26" s="1153"/>
      <c r="J26" s="1153"/>
      <c r="K26" s="1153"/>
      <c r="L26" s="1153"/>
      <c r="M26" s="1153"/>
      <c r="N26" s="1153"/>
      <c r="O26" s="1153"/>
      <c r="P26" s="1153"/>
      <c r="Q26" s="1153"/>
      <c r="R26" s="1153"/>
      <c r="S26" s="1153"/>
      <c r="T26" s="1153"/>
      <c r="U26" s="439">
        <f>Y26&gt;0</f>
        <v>0</v>
      </c>
      <c r="V26" s="1153"/>
      <c r="W26" s="88" t="s">
        <v>261</v>
      </c>
      <c r="X26" s="1153"/>
      <c r="Y26" s="1482">
        <v>0</v>
      </c>
      <c r="Z26" s="1465"/>
      <c r="AA26" s="1153"/>
      <c r="AB26" s="147" cm="1" t="str">
        <f t="array" ref="AB26:AB26">INDEX('Общие сведения'!$AG$179:$AG$222,MATCH($Y26,'Общие сведения'!$Z$179:$Z$222,0))</f>
        <v>Тариф 0 () - </v>
      </c>
      <c r="AC26" s="147"/>
      <c r="AD26" s="141"/>
      <c r="AE26" s="141"/>
      <c r="AF26" s="141"/>
      <c r="AG26" s="141"/>
      <c r="AH26" s="141"/>
      <c r="AI26" s="1153"/>
      <c r="AJ26" s="1153"/>
      <c r="AK26" s="980"/>
      <c r="AL26" s="980"/>
      <c r="AM26" s="980"/>
      <c r="AN26" s="980"/>
      <c r="AO26" s="980"/>
      <c r="AP26" s="980"/>
      <c r="AQ26" s="980"/>
      <c r="AR26" s="597"/>
      <c r="AS26" s="597"/>
    </row>
    <row s="1153" customFormat="1" customHeight="1" ht="15" hidden="1">
      <c r="A27" s="1153"/>
      <c r="B27" s="401"/>
      <c r="C27" s="1153"/>
      <c r="D27" s="1153"/>
      <c r="E27" s="608">
        <v>0</v>
      </c>
      <c r="F27" s="88" cm="1" t="str">
        <f t="array" ref="F27:F27">OFFSET(G27,-1,-1)</f>
        <v>0</v>
      </c>
      <c r="G27" s="1153"/>
      <c r="H27" s="1153"/>
      <c r="I27" s="1153"/>
      <c r="J27" s="1153"/>
      <c r="K27" s="1153"/>
      <c r="L27" s="1153"/>
      <c r="M27" s="1153"/>
      <c r="N27" s="1153"/>
      <c r="O27" s="1153"/>
      <c r="P27" s="1153"/>
      <c r="Q27" s="1153"/>
      <c r="R27" s="1153"/>
      <c r="S27" s="1153"/>
      <c r="T27" s="1153"/>
      <c r="U27" s="439" t="b">
        <v>0</v>
      </c>
      <c r="V27" s="1153"/>
      <c r="W27" s="1153"/>
      <c r="X27" s="1153"/>
      <c r="Y27" s="1482"/>
      <c r="Z27" s="1465"/>
      <c r="AA27" s="1153"/>
      <c r="AB27" s="147"/>
      <c r="AC27" s="147"/>
      <c r="AD27" s="141"/>
      <c r="AE27" s="141"/>
      <c r="AF27" s="141"/>
      <c r="AG27" s="141"/>
      <c r="AH27" s="141"/>
      <c r="AI27" s="1153"/>
      <c r="AJ27" s="1153"/>
      <c r="AK27" s="980"/>
      <c r="AL27" s="980"/>
      <c r="AM27" s="980"/>
      <c r="AN27" s="980"/>
      <c r="AO27" s="980"/>
      <c r="AP27" s="980"/>
      <c r="AQ27" s="980"/>
      <c r="AR27" s="597"/>
      <c r="AS27" s="597"/>
    </row>
    <row s="1248" customFormat="1" customHeight="1" ht="14.625" hidden="1">
      <c r="A28" s="1248"/>
      <c r="B28" s="401"/>
      <c r="C28" s="1248"/>
      <c r="D28" s="1248"/>
      <c r="E28" s="608">
        <v>15</v>
      </c>
      <c r="F28" s="70" cm="1" t="str">
        <f t="array" ref="F28:F28">OFFSET(G28,-1,-1)</f>
        <v>0</v>
      </c>
      <c r="G28" s="1248"/>
      <c r="H28" s="1248"/>
      <c r="I28" s="70" t="s">
        <v>413</v>
      </c>
      <c r="J28" s="1248"/>
      <c r="K28" s="70" t="s">
        <v>414</v>
      </c>
      <c r="L28" s="1248"/>
      <c r="M28" s="1248"/>
      <c r="N28" s="1248"/>
      <c r="O28" s="1248"/>
      <c r="P28" s="1248"/>
      <c r="Q28" s="1248"/>
      <c r="R28" s="1248"/>
      <c r="S28" s="1248"/>
      <c r="T28" s="1248"/>
      <c r="U28" s="439">
        <f>AND(F28&gt;0,AB28&gt;0)</f>
        <v>0</v>
      </c>
      <c r="V28" s="1248"/>
      <c r="W28" s="1248"/>
      <c r="X28" s="738" t="s">
        <v>173</v>
      </c>
      <c r="Y28" s="1482"/>
      <c r="Z28" s="1465"/>
      <c r="AA28" s="642" t="s">
        <v>174</v>
      </c>
      <c r="AB28" s="54">
        <v>0</v>
      </c>
      <c r="AC28" s="241" t="str">
        <f>I28&amp;" :: "&amp;K28</f>
        <v>Наименование объекта :: адрес</v>
      </c>
      <c r="AD28" s="241"/>
      <c r="AE28" s="241"/>
      <c r="AF28" s="377"/>
      <c r="AG28" s="377"/>
      <c r="AH28" s="1763"/>
      <c r="AI28" s="1248"/>
      <c r="AJ28" s="1248"/>
      <c r="AK28" s="983" t="s">
        <v>415</v>
      </c>
      <c r="AL28" s="983" t="s">
        <v>416</v>
      </c>
      <c r="AM28" s="983" cm="1" t="str">
        <f t="array" ref="AM28:AM28">AC28</f>
        <v>Наименование объекта :: адрес</v>
      </c>
      <c r="AN28" s="983" cm="1" t="str">
        <f t="array" ref="AN28:AN28">AD28</f>
        <v>0</v>
      </c>
      <c r="AO28" s="983" cm="1" t="str">
        <f t="array" ref="AO28:AO28">AE28</f>
        <v>0</v>
      </c>
      <c r="AP28" s="983" cm="1" t="str">
        <f t="array" ref="AP28:AP28">AF28</f>
        <v>0</v>
      </c>
      <c r="AQ28" s="983" cm="1" t="str">
        <f t="array" ref="AQ28:AQ28">AG28</f>
        <v>0</v>
      </c>
      <c r="AR28" s="607"/>
      <c r="AS28" s="607" t="b">
        <v>1</v>
      </c>
    </row>
    <row s="1153" customFormat="1" customHeight="1" ht="10.725000000000001" hidden="1">
      <c r="A29" s="1153"/>
      <c r="B29" s="401"/>
      <c r="C29" s="1153"/>
      <c r="D29" s="1153"/>
      <c r="E29" s="608">
        <v>11</v>
      </c>
      <c r="F29" s="88" cm="1" t="str">
        <f t="array" ref="F29:F29">OFFSET(G29,-1,-1)</f>
        <v>0</v>
      </c>
      <c r="G29" s="1153"/>
      <c r="H29" s="1153"/>
      <c r="I29" s="1153"/>
      <c r="J29" s="1153"/>
      <c r="K29" s="1153"/>
      <c r="L29" s="1153"/>
      <c r="M29" s="1153"/>
      <c r="N29" s="1153"/>
      <c r="O29" s="1153"/>
      <c r="P29" s="1153"/>
      <c r="Q29" s="1153"/>
      <c r="R29" s="1153"/>
      <c r="S29" s="1153"/>
      <c r="T29" s="1153"/>
      <c r="U29" s="439">
        <f>F29&gt;0</f>
        <v>0</v>
      </c>
      <c r="V29" s="1153"/>
      <c r="W29" s="1153"/>
      <c r="X29" s="738" t="s">
        <v>417</v>
      </c>
      <c r="Y29" s="1482"/>
      <c r="Z29" s="1465"/>
      <c r="AA29" s="1153"/>
      <c r="AB29" s="142"/>
      <c r="AC29" s="145" t="s">
        <v>418</v>
      </c>
      <c r="AD29" s="143"/>
      <c r="AE29" s="143"/>
      <c r="AF29" s="143"/>
      <c r="AG29" s="143"/>
      <c r="AH29" s="154"/>
      <c r="AI29" s="1153"/>
      <c r="AJ29" s="1153"/>
      <c r="AK29" s="980"/>
      <c r="AL29" s="980"/>
      <c r="AM29" s="980"/>
      <c r="AN29" s="980"/>
      <c r="AO29" s="980"/>
      <c r="AP29" s="980"/>
      <c r="AQ29" s="980"/>
      <c r="AR29" s="597" t="s">
        <v>416</v>
      </c>
      <c r="AS29" s="597"/>
    </row>
    <row s="1845" customFormat="1" customHeight="1" ht="15">
      <c r="A30" s="1153"/>
      <c r="B30" s="401"/>
      <c r="C30" s="1153"/>
      <c r="D30" s="1153"/>
      <c r="E30" s="615" t="s">
        <v>335</v>
      </c>
      <c r="F30" s="88" cm="1" t="str">
        <f t="array" ref="F30:F30">Y30</f>
        <v>1</v>
      </c>
      <c r="G30" s="1153"/>
      <c r="H30" s="1153"/>
      <c r="I30" s="1153"/>
      <c r="J30" s="1153"/>
      <c r="K30" s="1153"/>
      <c r="L30" s="1153"/>
      <c r="M30" s="1153"/>
      <c r="N30" s="1153"/>
      <c r="O30" s="1153"/>
      <c r="P30" s="1153"/>
      <c r="Q30" s="1153"/>
      <c r="R30" s="1153"/>
      <c r="S30" s="1153"/>
      <c r="T30" s="1153"/>
      <c r="U30" s="439">
        <f>Y30&gt;0</f>
        <v>1</v>
      </c>
      <c r="V30" s="1153"/>
      <c r="W30" s="88" cm="1" t="str">
        <f t="array" ref="W30:W30">'Перечень объектов'!$AC$39</f>
        <v>Тариф 1 (Водоснабжение) - тариф на техническую воду (Оказание услуг на территории: Прокопьевский муниципальный округ (ОКТМО: 32522000) - п Калачево)</v>
      </c>
      <c r="X30" s="1153"/>
      <c r="Y30" s="1482" t="s">
        <v>272</v>
      </c>
      <c r="Z30" s="1465"/>
      <c r="AA30" s="1153"/>
      <c r="AB30" s="147" cm="1" t="str">
        <f t="array" ref="AB30:AB30">'Перечень объектов'!$AC$39</f>
        <v>Тариф 1 (Водоснабжение) - тариф на техническую воду (Оказание услуг на территории: Прокопьевский муниципальный округ (ОКТМО: 32522000) - п Калачево)</v>
      </c>
      <c r="AC30" s="147"/>
      <c r="AD30" s="141"/>
      <c r="AE30" s="141"/>
      <c r="AF30" s="141"/>
      <c r="AG30" s="141"/>
      <c r="AH30" s="141"/>
      <c r="AI30" s="1153"/>
      <c r="AJ30" s="1153"/>
      <c r="AK30" s="980"/>
      <c r="AL30" s="980"/>
      <c r="AM30" s="980"/>
      <c r="AN30" s="980"/>
      <c r="AO30" s="980"/>
      <c r="AP30" s="980"/>
      <c r="AQ30" s="980"/>
      <c r="AR30" s="597"/>
      <c r="AS30" s="597"/>
    </row>
    <row s="1846" customFormat="1" customHeight="1" ht="15" hidden="1">
      <c r="A31" s="1153"/>
      <c r="B31" s="401"/>
      <c r="C31" s="1153"/>
      <c r="D31" s="1153"/>
      <c r="E31" s="608">
        <v>0</v>
      </c>
      <c r="F31" s="88" cm="1" t="str">
        <f t="array" ref="F31:F31">OFFSET(G31,-1,-1)</f>
        <v>1</v>
      </c>
      <c r="G31" s="1153"/>
      <c r="H31" s="1153"/>
      <c r="I31" s="1153"/>
      <c r="J31" s="1153"/>
      <c r="K31" s="1153"/>
      <c r="L31" s="1153"/>
      <c r="M31" s="1153"/>
      <c r="N31" s="1153"/>
      <c r="O31" s="1153"/>
      <c r="P31" s="1153"/>
      <c r="Q31" s="1153"/>
      <c r="R31" s="1153"/>
      <c r="S31" s="1153"/>
      <c r="T31" s="1153"/>
      <c r="U31" s="439" t="b">
        <v>0</v>
      </c>
      <c r="V31" s="1153"/>
      <c r="W31" s="1153"/>
      <c r="X31" s="1153"/>
      <c r="Y31" s="1482"/>
      <c r="Z31" s="1465"/>
      <c r="AA31" s="1153"/>
      <c r="AB31" s="147"/>
      <c r="AC31" s="147"/>
      <c r="AD31" s="141"/>
      <c r="AE31" s="141"/>
      <c r="AF31" s="141"/>
      <c r="AG31" s="141"/>
      <c r="AH31" s="141"/>
      <c r="AI31" s="1153"/>
      <c r="AJ31" s="1153"/>
      <c r="AK31" s="980"/>
      <c r="AL31" s="980"/>
      <c r="AM31" s="980"/>
      <c r="AN31" s="980"/>
      <c r="AO31" s="980"/>
      <c r="AP31" s="980"/>
      <c r="AQ31" s="980"/>
      <c r="AR31" s="597"/>
      <c r="AS31" s="597"/>
    </row>
    <row s="1248" customFormat="1" customHeight="1" ht="14.25" hidden="1">
      <c r="A32" s="1248"/>
      <c r="B32" s="401"/>
      <c r="C32" s="1248"/>
      <c r="D32" s="1248"/>
      <c r="E32" s="608">
        <v>15</v>
      </c>
      <c r="F32" s="70" cm="1" t="str">
        <f t="array" ref="F32:F32">OFFSET(G32,-1,-1)</f>
        <v>1</v>
      </c>
      <c r="G32" s="1248"/>
      <c r="H32" s="1248"/>
      <c r="I32" s="70" t="s">
        <v>413</v>
      </c>
      <c r="J32" s="1248"/>
      <c r="K32" s="70" t="s">
        <v>414</v>
      </c>
      <c r="L32" s="1248"/>
      <c r="M32" s="1248"/>
      <c r="N32" s="1248"/>
      <c r="O32" s="1248"/>
      <c r="P32" s="1248"/>
      <c r="Q32" s="1248"/>
      <c r="R32" s="1248"/>
      <c r="S32" s="1248"/>
      <c r="T32" s="1248"/>
      <c r="U32" s="439">
        <f>AND(F32&gt;0,AB32&gt;0)</f>
        <v>0</v>
      </c>
      <c r="V32" s="1248"/>
      <c r="W32" s="1248"/>
      <c r="X32" s="738" t="s">
        <v>173</v>
      </c>
      <c r="Y32" s="1482"/>
      <c r="Z32" s="1465"/>
      <c r="AA32" s="642" t="s">
        <v>174</v>
      </c>
      <c r="AB32" s="54">
        <v>0</v>
      </c>
      <c r="AC32" s="241" t="str">
        <f>I32&amp;" :: "&amp;K32</f>
        <v>Наименование объекта :: адрес</v>
      </c>
      <c r="AD32" s="241"/>
      <c r="AE32" s="241"/>
      <c r="AF32" s="377"/>
      <c r="AG32" s="377"/>
      <c r="AH32" s="1763"/>
      <c r="AI32" s="1248"/>
      <c r="AJ32" s="1248"/>
      <c r="AK32" s="983" t="s">
        <v>415</v>
      </c>
      <c r="AL32" s="983" t="s">
        <v>416</v>
      </c>
      <c r="AM32" s="983" cm="1" t="str">
        <f t="array" ref="AM32:AM32">AC32</f>
        <v>Наименование объекта :: адрес</v>
      </c>
      <c r="AN32" s="983" cm="1" t="str">
        <f t="array" ref="AN32:AN32">AD32</f>
        <v>0</v>
      </c>
      <c r="AO32" s="983" cm="1" t="str">
        <f t="array" ref="AO32:AO32">AE32</f>
        <v>0</v>
      </c>
      <c r="AP32" s="983" cm="1" t="str">
        <f t="array" ref="AP32:AP32">AF32</f>
        <v>0</v>
      </c>
      <c r="AQ32" s="983" cm="1" t="str">
        <f t="array" ref="AQ32:AQ32">AG32</f>
        <v>0</v>
      </c>
      <c r="AR32" s="607"/>
      <c r="AS32" s="607" t="b">
        <v>1</v>
      </c>
    </row>
    <row s="1248" customFormat="1" customHeight="1" ht="18.75">
      <c r="A33" s="1248"/>
      <c r="B33" s="401"/>
      <c r="C33" s="1248"/>
      <c r="D33" s="1248"/>
      <c r="E33" s="608">
        <v>15</v>
      </c>
      <c r="F33" s="70" cm="1" t="str">
        <f t="array" ref="F33:F33">OFFSET(G33,-1,-1)</f>
        <v>1</v>
      </c>
      <c r="G33" s="1248"/>
      <c r="H33" s="1248"/>
      <c r="I33" s="70" t="s">
        <v>419</v>
      </c>
      <c r="J33" s="1248"/>
      <c r="K33" s="70" t="s">
        <v>420</v>
      </c>
      <c r="L33" s="1248"/>
      <c r="M33" s="1248"/>
      <c r="N33" s="1248"/>
      <c r="O33" s="1248"/>
      <c r="P33" s="1248"/>
      <c r="Q33" s="1248"/>
      <c r="R33" s="1248"/>
      <c r="S33" s="1248"/>
      <c r="T33" s="1248"/>
      <c r="U33" s="439">
        <f>AND(F33&gt;0,AB33&gt;0)</f>
        <v>1</v>
      </c>
      <c r="V33" s="1248"/>
      <c r="W33" s="1248"/>
      <c r="X33" s="738"/>
      <c r="Y33" s="1482"/>
      <c r="Z33" s="1465"/>
      <c r="AA33" s="642" t="s">
        <v>174</v>
      </c>
      <c r="AB33" s="54" t="s">
        <v>272</v>
      </c>
      <c r="AC33" s="241" t="str">
        <f>I33&amp;" :: "&amp;K33</f>
        <v>ПСХ-1 ["Талдинский угольный разрез"] :: п Калачево, п. Колачево, -</v>
      </c>
      <c r="AD33" s="241" t="s">
        <v>421</v>
      </c>
      <c r="AE33" s="241" t="s">
        <v>422</v>
      </c>
      <c r="AF33" s="377" t="s">
        <v>423</v>
      </c>
      <c r="AG33" s="377" t="s">
        <v>424</v>
      </c>
      <c r="AH33" s="156"/>
      <c r="AI33" s="1248"/>
      <c r="AJ33" s="1248"/>
      <c r="AK33" s="983" t="s">
        <v>415</v>
      </c>
      <c r="AL33" s="983" t="s">
        <v>416</v>
      </c>
      <c r="AM33" s="983" cm="1" t="str">
        <f t="array" ref="AM33:AM33">AC33</f>
        <v>ПСХ-1 ["Талдинский угольный разрез"] :: п Калачево, п. Колачево, -</v>
      </c>
      <c r="AN33" s="983" cm="1" t="str">
        <f t="array" ref="AN33:AN33">AD33</f>
        <v>собственность</v>
      </c>
      <c r="AO33" s="983" cm="1" t="str">
        <f t="array" ref="AO33:AO33">AE33</f>
        <v>акт приёма-передачи</v>
      </c>
      <c r="AP33" s="983" cm="1" t="str">
        <f t="array" ref="AP33:AP33">AF33</f>
        <v>б/н</v>
      </c>
      <c r="AQ33" s="983" cm="1" t="str">
        <f t="array" ref="AQ33:AQ33">AG33</f>
        <v>31.12.2018</v>
      </c>
      <c r="AR33" s="607"/>
      <c r="AS33" s="607" t="b">
        <v>1</v>
      </c>
    </row>
    <row s="1847" customFormat="1" customHeight="1" ht="10.5">
      <c r="A34" s="1153"/>
      <c r="B34" s="401"/>
      <c r="C34" s="1153"/>
      <c r="D34" s="1153"/>
      <c r="E34" s="608">
        <v>11</v>
      </c>
      <c r="F34" s="88" cm="1" t="str">
        <f t="array" ref="F34:F34">OFFSET(G34,-1,-1)</f>
        <v>1</v>
      </c>
      <c r="G34" s="1153"/>
      <c r="H34" s="1153"/>
      <c r="I34" s="1153"/>
      <c r="J34" s="1153"/>
      <c r="K34" s="1153"/>
      <c r="L34" s="1153"/>
      <c r="M34" s="1153"/>
      <c r="N34" s="1153"/>
      <c r="O34" s="1153"/>
      <c r="P34" s="1153"/>
      <c r="Q34" s="1153"/>
      <c r="R34" s="1153"/>
      <c r="S34" s="1153"/>
      <c r="T34" s="1153"/>
      <c r="U34" s="439">
        <f>F34&gt;0</f>
        <v>1</v>
      </c>
      <c r="V34" s="1153"/>
      <c r="W34" s="1153"/>
      <c r="X34" s="738" t="s">
        <v>417</v>
      </c>
      <c r="Y34" s="1482"/>
      <c r="Z34" s="1465"/>
      <c r="AA34" s="1153"/>
      <c r="AB34" s="142"/>
      <c r="AC34" s="145" t="s">
        <v>418</v>
      </c>
      <c r="AD34" s="143"/>
      <c r="AE34" s="143"/>
      <c r="AF34" s="143"/>
      <c r="AG34" s="143"/>
      <c r="AH34" s="154"/>
      <c r="AI34" s="1153"/>
      <c r="AJ34" s="1153"/>
      <c r="AK34" s="980"/>
      <c r="AL34" s="980"/>
      <c r="AM34" s="980"/>
      <c r="AN34" s="980"/>
      <c r="AO34" s="980"/>
      <c r="AP34" s="980"/>
      <c r="AQ34" s="980"/>
      <c r="AR34" s="597" t="s">
        <v>416</v>
      </c>
      <c r="AS34" s="597"/>
    </row>
    <row s="1855" customFormat="1" customHeight="1" ht="15">
      <c r="A35" s="1153"/>
      <c r="B35" s="401"/>
      <c r="C35" s="1153"/>
      <c r="D35" s="1153"/>
      <c r="E35" s="615" t="s">
        <v>335</v>
      </c>
      <c r="F35" s="88" cm="1" t="str">
        <f t="array" ref="F35:F35">Y35</f>
        <v>2</v>
      </c>
      <c r="G35" s="1153"/>
      <c r="H35" s="1153"/>
      <c r="I35" s="1153"/>
      <c r="J35" s="1153"/>
      <c r="K35" s="1153"/>
      <c r="L35" s="1153"/>
      <c r="M35" s="1153"/>
      <c r="N35" s="1153"/>
      <c r="O35" s="1153"/>
      <c r="P35" s="1153"/>
      <c r="Q35" s="1153"/>
      <c r="R35" s="1153"/>
      <c r="S35" s="1153"/>
      <c r="T35" s="1153"/>
      <c r="U35" s="439">
        <f>Y35&gt;0</f>
        <v>1</v>
      </c>
      <c r="V35" s="1153"/>
      <c r="W35" s="88" cm="1" t="str">
        <f t="array" ref="W35:W35">'Перечень объектов'!$AC$51</f>
        <v>Тариф 2 (Водоотведение) - тариф на водоотведение (Оказание услуг на территории: Прокопьевский муниципальный округ (ОКТМО: 32522000) - п Калачево)</v>
      </c>
      <c r="X35" s="1153"/>
      <c r="Y35" s="1482" t="s">
        <v>283</v>
      </c>
      <c r="Z35" s="1465"/>
      <c r="AA35" s="1153"/>
      <c r="AB35" s="147" cm="1" t="str">
        <f t="array" ref="AB35:AB35">'Перечень объектов'!$AC$51</f>
        <v>Тариф 2 (Водоотведение) - тариф на водоотведение (Оказание услуг на территории: Прокопьевский муниципальный округ (ОКТМО: 32522000) - п Калачево)</v>
      </c>
      <c r="AC35" s="147"/>
      <c r="AD35" s="141"/>
      <c r="AE35" s="141"/>
      <c r="AF35" s="141"/>
      <c r="AG35" s="141"/>
      <c r="AH35" s="141"/>
      <c r="AI35" s="1153"/>
      <c r="AJ35" s="1153"/>
      <c r="AK35" s="980"/>
      <c r="AL35" s="980"/>
      <c r="AM35" s="980"/>
      <c r="AN35" s="980"/>
      <c r="AO35" s="980"/>
      <c r="AP35" s="980"/>
      <c r="AQ35" s="980"/>
      <c r="AR35" s="597"/>
      <c r="AS35" s="597"/>
    </row>
    <row s="1856" customFormat="1" customHeight="1" ht="15" hidden="1">
      <c r="A36" s="1153"/>
      <c r="B36" s="401"/>
      <c r="C36" s="1153"/>
      <c r="D36" s="1153"/>
      <c r="E36" s="608">
        <v>0</v>
      </c>
      <c r="F36" s="88" cm="1" t="str">
        <f t="array" ref="F36:F36">OFFSET(G36,-1,-1)</f>
        <v>2</v>
      </c>
      <c r="G36" s="1153"/>
      <c r="H36" s="1153"/>
      <c r="I36" s="1153"/>
      <c r="J36" s="1153"/>
      <c r="K36" s="1153"/>
      <c r="L36" s="1153"/>
      <c r="M36" s="1153"/>
      <c r="N36" s="1153"/>
      <c r="O36" s="1153"/>
      <c r="P36" s="1153"/>
      <c r="Q36" s="1153"/>
      <c r="R36" s="1153"/>
      <c r="S36" s="1153"/>
      <c r="T36" s="1153"/>
      <c r="U36" s="439" t="b">
        <v>0</v>
      </c>
      <c r="V36" s="1153"/>
      <c r="W36" s="1153"/>
      <c r="X36" s="1153"/>
      <c r="Y36" s="1482"/>
      <c r="Z36" s="1465"/>
      <c r="AA36" s="1153"/>
      <c r="AB36" s="147"/>
      <c r="AC36" s="147"/>
      <c r="AD36" s="141"/>
      <c r="AE36" s="141"/>
      <c r="AF36" s="141"/>
      <c r="AG36" s="141"/>
      <c r="AH36" s="141"/>
      <c r="AI36" s="1153"/>
      <c r="AJ36" s="1153"/>
      <c r="AK36" s="980"/>
      <c r="AL36" s="980"/>
      <c r="AM36" s="980"/>
      <c r="AN36" s="980"/>
      <c r="AO36" s="980"/>
      <c r="AP36" s="980"/>
      <c r="AQ36" s="980"/>
      <c r="AR36" s="597"/>
      <c r="AS36" s="597"/>
    </row>
    <row s="1248" customFormat="1" customHeight="1" ht="14.25" hidden="1">
      <c r="A37" s="1248"/>
      <c r="B37" s="401"/>
      <c r="C37" s="1248"/>
      <c r="D37" s="1248"/>
      <c r="E37" s="608">
        <v>15</v>
      </c>
      <c r="F37" s="70" cm="1" t="str">
        <f t="array" ref="F37:F37">OFFSET(G37,-1,-1)</f>
        <v>2</v>
      </c>
      <c r="G37" s="1248"/>
      <c r="H37" s="1248"/>
      <c r="I37" s="70" t="s">
        <v>413</v>
      </c>
      <c r="J37" s="1248"/>
      <c r="K37" s="70" t="s">
        <v>414</v>
      </c>
      <c r="L37" s="1248"/>
      <c r="M37" s="1248"/>
      <c r="N37" s="1248"/>
      <c r="O37" s="1248"/>
      <c r="P37" s="1248"/>
      <c r="Q37" s="1248"/>
      <c r="R37" s="1248"/>
      <c r="S37" s="1248"/>
      <c r="T37" s="1248"/>
      <c r="U37" s="439">
        <f>AND(F37&gt;0,AB37&gt;0)</f>
        <v>0</v>
      </c>
      <c r="V37" s="1248"/>
      <c r="W37" s="1248"/>
      <c r="X37" s="738" t="s">
        <v>173</v>
      </c>
      <c r="Y37" s="1482"/>
      <c r="Z37" s="1465"/>
      <c r="AA37" s="642" t="s">
        <v>174</v>
      </c>
      <c r="AB37" s="54">
        <v>0</v>
      </c>
      <c r="AC37" s="241" t="str">
        <f>I37&amp;" :: "&amp;K37</f>
        <v>Наименование объекта :: адрес</v>
      </c>
      <c r="AD37" s="241"/>
      <c r="AE37" s="241"/>
      <c r="AF37" s="377"/>
      <c r="AG37" s="377"/>
      <c r="AH37" s="1763"/>
      <c r="AI37" s="1248"/>
      <c r="AJ37" s="1248"/>
      <c r="AK37" s="983" t="s">
        <v>415</v>
      </c>
      <c r="AL37" s="983" t="s">
        <v>416</v>
      </c>
      <c r="AM37" s="983" cm="1" t="str">
        <f t="array" ref="AM37:AM37">AC37</f>
        <v>Наименование объекта :: адрес</v>
      </c>
      <c r="AN37" s="983" cm="1" t="str">
        <f t="array" ref="AN37:AN37">AD37</f>
        <v>0</v>
      </c>
      <c r="AO37" s="983" cm="1" t="str">
        <f t="array" ref="AO37:AO37">AE37</f>
        <v>0</v>
      </c>
      <c r="AP37" s="983" cm="1" t="str">
        <f t="array" ref="AP37:AP37">AF37</f>
        <v>0</v>
      </c>
      <c r="AQ37" s="983" cm="1" t="str">
        <f t="array" ref="AQ37:AQ37">AG37</f>
        <v>0</v>
      </c>
      <c r="AR37" s="607"/>
      <c r="AS37" s="607" t="b">
        <v>1</v>
      </c>
    </row>
    <row s="1248" customFormat="1" customHeight="1" ht="18.75">
      <c r="A38" s="1248"/>
      <c r="B38" s="401"/>
      <c r="C38" s="1248"/>
      <c r="D38" s="1248"/>
      <c r="E38" s="608">
        <v>15</v>
      </c>
      <c r="F38" s="70" cm="1" t="str">
        <f t="array" ref="F38:F38">OFFSET(G38,-1,-1)</f>
        <v>2</v>
      </c>
      <c r="G38" s="1248"/>
      <c r="H38" s="1248"/>
      <c r="I38" s="70" t="s">
        <v>419</v>
      </c>
      <c r="J38" s="1248"/>
      <c r="K38" s="70" t="s">
        <v>425</v>
      </c>
      <c r="L38" s="1248"/>
      <c r="M38" s="1248"/>
      <c r="N38" s="1248"/>
      <c r="O38" s="1248"/>
      <c r="P38" s="1248"/>
      <c r="Q38" s="1248"/>
      <c r="R38" s="1248"/>
      <c r="S38" s="1248"/>
      <c r="T38" s="1248"/>
      <c r="U38" s="439">
        <f>AND(F38&gt;0,AB38&gt;0)</f>
        <v>1</v>
      </c>
      <c r="V38" s="1248"/>
      <c r="W38" s="1248"/>
      <c r="X38" s="738"/>
      <c r="Y38" s="1482"/>
      <c r="Z38" s="1465"/>
      <c r="AA38" s="642" t="s">
        <v>174</v>
      </c>
      <c r="AB38" s="54" t="s">
        <v>272</v>
      </c>
      <c r="AC38" s="241" t="str">
        <f>I38&amp;" :: "&amp;K38</f>
        <v>ПСХ-1 ["Талдинский угольный разрез"] :: п Калачево, п Калачево, -</v>
      </c>
      <c r="AD38" s="241" t="s">
        <v>421</v>
      </c>
      <c r="AE38" s="241" t="s">
        <v>426</v>
      </c>
      <c r="AF38" s="377" t="s">
        <v>427</v>
      </c>
      <c r="AG38" s="377" t="s">
        <v>428</v>
      </c>
      <c r="AH38" s="156"/>
      <c r="AI38" s="1248"/>
      <c r="AJ38" s="1248"/>
      <c r="AK38" s="983" t="s">
        <v>415</v>
      </c>
      <c r="AL38" s="983" t="s">
        <v>416</v>
      </c>
      <c r="AM38" s="983" cm="1" t="str">
        <f t="array" ref="AM38:AM38">AC38</f>
        <v>ПСХ-1 ["Талдинский угольный разрез"] :: п Калачево, п Калачево, -</v>
      </c>
      <c r="AN38" s="983" cm="1" t="str">
        <f t="array" ref="AN38:AN38">AD38</f>
        <v>собственность</v>
      </c>
      <c r="AO38" s="983" cm="1" t="str">
        <f t="array" ref="AO38:AO38">AE38</f>
        <v>выписка из ЕГРН</v>
      </c>
      <c r="AP38" s="983" cm="1" t="str">
        <f t="array" ref="AP38:AP38">AF38</f>
        <v>42:10:0107007:1704</v>
      </c>
      <c r="AQ38" s="983" cm="1" t="str">
        <f t="array" ref="AQ38:AQ38">AG38</f>
        <v>03.05.2018</v>
      </c>
      <c r="AR38" s="607"/>
      <c r="AS38" s="607" t="b">
        <v>1</v>
      </c>
    </row>
    <row s="1857" customFormat="1" customHeight="1" ht="10.5">
      <c r="A39" s="1153"/>
      <c r="B39" s="401"/>
      <c r="C39" s="1153"/>
      <c r="D39" s="1153"/>
      <c r="E39" s="608">
        <v>11</v>
      </c>
      <c r="F39" s="88" cm="1" t="str">
        <f t="array" ref="F39:F39">OFFSET(G39,-1,-1)</f>
        <v>2</v>
      </c>
      <c r="G39" s="1153"/>
      <c r="H39" s="1153"/>
      <c r="I39" s="1153"/>
      <c r="J39" s="1153"/>
      <c r="K39" s="1153"/>
      <c r="L39" s="1153"/>
      <c r="M39" s="1153"/>
      <c r="N39" s="1153"/>
      <c r="O39" s="1153"/>
      <c r="P39" s="1153"/>
      <c r="Q39" s="1153"/>
      <c r="R39" s="1153"/>
      <c r="S39" s="1153"/>
      <c r="T39" s="1153"/>
      <c r="U39" s="439">
        <f>F39&gt;0</f>
        <v>1</v>
      </c>
      <c r="V39" s="1153"/>
      <c r="W39" s="1153"/>
      <c r="X39" s="738" t="s">
        <v>417</v>
      </c>
      <c r="Y39" s="1482"/>
      <c r="Z39" s="1465"/>
      <c r="AA39" s="1153"/>
      <c r="AB39" s="142"/>
      <c r="AC39" s="145" t="s">
        <v>418</v>
      </c>
      <c r="AD39" s="143"/>
      <c r="AE39" s="143"/>
      <c r="AF39" s="143"/>
      <c r="AG39" s="143"/>
      <c r="AH39" s="154"/>
      <c r="AI39" s="1153"/>
      <c r="AJ39" s="1153"/>
      <c r="AK39" s="980"/>
      <c r="AL39" s="980"/>
      <c r="AM39" s="980"/>
      <c r="AN39" s="980"/>
      <c r="AO39" s="980"/>
      <c r="AP39" s="980"/>
      <c r="AQ39" s="980"/>
      <c r="AR39" s="597" t="s">
        <v>416</v>
      </c>
      <c r="AS39" s="597"/>
    </row>
    <row customHeight="1" ht="10.725000000000001">
      <c r="A40" s="388"/>
      <c r="B40" s="388"/>
      <c r="C40" s="388"/>
      <c r="D40" s="388"/>
      <c r="E40" s="608">
        <v>11</v>
      </c>
      <c r="F40" s="388"/>
      <c r="G40" s="388"/>
      <c r="H40" s="388"/>
      <c r="I40" s="388"/>
      <c r="J40" s="388"/>
      <c r="K40" s="388"/>
      <c r="L40" s="388"/>
      <c r="M40" s="388"/>
      <c r="N40" s="388"/>
      <c r="O40" s="388"/>
      <c r="P40" s="388"/>
      <c r="Q40" s="388"/>
      <c r="R40" s="388"/>
      <c r="S40" s="388"/>
      <c r="T40" s="388"/>
      <c r="U40" s="388"/>
      <c r="V40" s="88" t="s">
        <v>177</v>
      </c>
      <c r="W40" s="106" t="s">
        <v>429</v>
      </c>
      <c r="X40" s="388"/>
      <c r="Y40" s="388"/>
      <c r="Z40" s="388"/>
      <c r="AA40" s="388"/>
      <c r="AI40" s="388"/>
      <c r="AJ40" s="388"/>
      <c r="AK40" s="984"/>
      <c r="AL40" s="984"/>
      <c r="AM40" s="984"/>
      <c r="AN40" s="984"/>
      <c r="AO40" s="984"/>
      <c r="AP40" s="984"/>
      <c r="AQ40" s="984"/>
      <c r="AR40" s="636"/>
      <c r="AS40" s="655"/>
    </row>
    <row s="1621" customFormat="1" customHeight="1" ht="11.25" hidden="1">
      <c r="A41" s="473"/>
      <c r="B41" s="638"/>
      <c r="C41" s="473"/>
      <c r="D41" s="473"/>
      <c r="E41" s="608"/>
      <c r="F41" s="388"/>
      <c r="G41" s="388"/>
      <c r="H41" s="388"/>
      <c r="I41" s="388"/>
      <c r="J41" s="473"/>
      <c r="K41" s="473"/>
      <c r="L41" s="473"/>
      <c r="M41" s="473"/>
      <c r="N41" s="473"/>
      <c r="O41" s="473"/>
      <c r="P41" s="473"/>
      <c r="Q41" s="473"/>
      <c r="R41" s="473"/>
      <c r="S41" s="473"/>
      <c r="T41" s="473"/>
      <c r="U41" s="473"/>
      <c r="V41" s="473"/>
      <c r="W41" s="473"/>
      <c r="X41" s="473"/>
      <c r="Y41" s="473"/>
      <c r="Z41" s="473"/>
      <c r="AA41" s="473"/>
      <c r="AC41" s="66"/>
      <c r="AD41" s="66"/>
      <c r="AE41" s="66"/>
      <c r="AF41" s="66"/>
      <c r="AI41" s="473"/>
      <c r="AJ41" s="473"/>
      <c r="AK41" s="981"/>
      <c r="AL41" s="981"/>
      <c r="AM41" s="981"/>
      <c r="AN41" s="981"/>
      <c r="AO41" s="981"/>
      <c r="AP41" s="982"/>
      <c r="AQ41" s="981"/>
      <c r="AR41" s="639"/>
      <c r="AS41" s="603"/>
    </row>
    <row customHeight="1" ht="11.25" hidden="1">
      <c r="E42" s="608"/>
    </row>
    <row customHeight="1" ht="11.25" hidden="1">
      <c r="E43" s="608"/>
    </row>
    <row customHeight="1" ht="11.25" hidden="1">
      <c r="E44" s="608"/>
    </row>
    <row customHeight="1" ht="11.25" hidden="1">
      <c r="E45" s="608"/>
    </row>
    <row customHeight="1" ht="11.25" hidden="1">
      <c r="E46" s="616"/>
    </row>
    <row customHeight="1" ht="11.25" hidden="1">
      <c r="E47" s="608"/>
    </row>
    <row customHeight="1" ht="11.25" hidden="1">
      <c r="E48" s="608"/>
    </row>
    <row customHeight="1" ht="11.25" hidden="1">
      <c r="E49" s="608"/>
    </row>
    <row customHeight="1" ht="11.25" hidden="1">
      <c r="E50" s="613"/>
    </row>
    <row customHeight="1" ht="11.25" hidden="1">
      <c r="E51" s="611"/>
    </row>
    <row customHeight="1" ht="11.25" hidden="1">
      <c r="E52" s="611"/>
    </row>
    <row customHeight="1" ht="11.25" hidden="1">
      <c r="E53" s="611"/>
    </row>
  </sheetData>
  <sheetProtection formatColumns="0" formatRows="0" insertRows="0" deleteColumns="0" deleteRows="0" sort="0" autoFilter="0" insertColumns="1"/>
  <mergeCells count="8">
    <mergeCell ref="AB22:AH22"/>
    <mergeCell ref="AF23:AG23"/>
    <mergeCell ref="Y26:Y29"/>
    <mergeCell ref="Z26:Z29"/>
    <mergeCell ref="Y30:Y34"/>
    <mergeCell ref="Z30:Z34"/>
    <mergeCell ref="Y35:Y39"/>
    <mergeCell ref="Z35:Z39"/>
  </mergeCells>
  <dataValidations count="1">
    <dataValidation type="list" showDropDown="1" errorTitle="Ошибка" error="Выберите значение из списка" prompt="Выберите значение из списка" sqref="AD29 AD34 AD39">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3746EC-FF24-9338-1526-C5BC9D475517}" mc:Ignorable="x14ac xr xr2 xr3">
  <sheetPr>
    <tabColor theme="3" tint="0.6"/>
    <outlinePr summaryRight="0" summaryBelow="0"/>
    <pageSetUpPr fitToPage="1"/>
  </sheetPr>
  <dimension ref="A1:BM109"/>
  <sheetViews>
    <sheetView showGridLines="0" workbookViewId="0">
      <pane xSplit="30" ySplit="26" topLeftCell="AE98" activePane="bottomRight" state="frozen"/>
      <selection pane="bottomLeft" activeCell="A27" sqref="A27"/>
      <selection pane="topRight" activeCell="AE1" sqref="AE1"/>
      <selection pane="bottomRight" activeCell="AF58" sqref="AF58"/>
    </sheetView>
  </sheetViews>
  <sheetFormatPr defaultColWidth="9.140625" customHeight="1" defaultRowHeight="11.25"/>
  <cols>
    <col min="1" max="1" style="1153" width="3.57421875" hidden="1" customWidth="1"/>
    <col min="2" max="2" style="1160" width="8.7109375" hidden="1" customWidth="1"/>
    <col min="3" max="4" style="1153" width="3.57421875" hidden="1" customWidth="1"/>
    <col min="5" max="5" style="1161" width="3.57421875" hidden="1" customWidth="1"/>
    <col min="6" max="6" style="1154" width="8.57421875" hidden="1" customWidth="1"/>
    <col min="7" max="7" style="1153" width="7.57421875" hidden="1" customWidth="1"/>
    <col min="8" max="20" style="1153" width="3.57421875" hidden="1" customWidth="1"/>
    <col min="21" max="21" style="1153" width="8.57421875" hidden="1" customWidth="1"/>
    <col min="22" max="26" style="1153" width="6.00390625" hidden="1" customWidth="1"/>
    <col min="27" max="27" style="1153" width="3.00390625" customWidth="1"/>
    <col min="28" max="28" style="1248" width="11.00390625" customWidth="1"/>
    <col min="29" max="29" style="1201" width="40.00390625" customWidth="1"/>
    <col min="30" max="33" style="1153" width="15.00390625" customWidth="1"/>
    <col min="34" max="34" style="1153" width="17.7109375" customWidth="1"/>
    <col min="35" max="40" style="1153" width="15.00390625" customWidth="1"/>
    <col min="41" max="58" style="1153" width="15.00390625" hidden="1" customWidth="1"/>
    <col min="59" max="59" style="1153" width="3.00390625" customWidth="1"/>
    <col min="60" max="60" style="1153" width="9.140625" hidden="1"/>
    <col min="61" max="63" style="1253" width="9.140625" hidden="1"/>
    <col min="64" max="65" style="1161" width="9.140625" hidden="1"/>
  </cols>
  <sheetData>
    <row customHeight="1" ht="11.25" hidden="1">
      <c r="E1" s="88"/>
      <c r="F1" s="730" t="s">
        <v>313</v>
      </c>
      <c r="H1" s="88" t="s">
        <v>324</v>
      </c>
      <c r="U1" s="439" t="s">
        <v>92</v>
      </c>
      <c r="V1" s="439" t="s">
        <v>97</v>
      </c>
      <c r="W1" s="439" t="s">
        <v>93</v>
      </c>
      <c r="X1" s="439" t="s">
        <v>94</v>
      </c>
      <c r="Y1" s="439" t="s">
        <v>95</v>
      </c>
      <c r="Z1" s="439" t="s">
        <v>99</v>
      </c>
      <c r="AA1" s="439" t="s">
        <v>96</v>
      </c>
      <c r="AB1" s="439" t="s">
        <v>315</v>
      </c>
      <c r="AC1" s="439" t="s">
        <v>98</v>
      </c>
      <c r="AO1" s="1153"/>
      <c r="AP1" s="1153"/>
      <c r="AQ1" s="1153"/>
      <c r="AR1" s="1153"/>
      <c r="AS1" s="1153"/>
      <c r="AT1" s="1153"/>
      <c r="AU1" s="1153"/>
      <c r="AV1" s="1153"/>
      <c r="AW1" s="1153"/>
      <c r="AX1" s="1153"/>
      <c r="AY1" s="1153"/>
      <c r="AZ1" s="1153"/>
      <c r="BA1" s="1153"/>
      <c r="BB1" s="1153"/>
      <c r="BC1" s="1153"/>
      <c r="BD1" s="1153"/>
      <c r="BE1" s="1153"/>
      <c r="BF1" s="1153"/>
      <c r="BI1" s="980" t="s">
        <v>316</v>
      </c>
      <c r="BJ1" s="980" t="s">
        <v>317</v>
      </c>
      <c r="BK1" s="980" t="s">
        <v>318</v>
      </c>
      <c r="BL1" s="597" t="s">
        <v>321</v>
      </c>
      <c r="BM1" s="597" t="s">
        <v>322</v>
      </c>
    </row>
    <row s="1160" customFormat="1" customHeight="1" ht="11.25" hidden="1">
      <c r="B2" s="419" t="s">
        <v>18</v>
      </c>
      <c r="F2" s="731"/>
      <c r="AC2" s="416"/>
      <c r="AO2" s="419">
        <f>AO6&lt;=last_year_vis</f>
        <v>0</v>
      </c>
      <c r="AP2" s="419">
        <f>AP6&lt;=last_year_vis</f>
        <v>0</v>
      </c>
      <c r="AQ2" s="419">
        <f>AQ6&lt;=last_year_vis</f>
        <v>0</v>
      </c>
      <c r="AR2" s="419">
        <f>AR6&lt;=last_year_vis</f>
        <v>0</v>
      </c>
      <c r="AS2" s="419">
        <f>AS6&lt;=last_year_vis</f>
        <v>0</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0</v>
      </c>
      <c r="BE2" s="419">
        <f>BE6&lt;=last_year_vis</f>
        <v>0</v>
      </c>
      <c r="BF2" s="419">
        <f>BF6&lt;=last_year_vis</f>
        <v>0</v>
      </c>
      <c r="BI2" s="992"/>
      <c r="BJ2" s="992"/>
      <c r="BK2" s="992"/>
      <c r="BL2" s="997"/>
      <c r="BM2" s="997"/>
    </row>
    <row customHeight="1" ht="11.25" hidden="1">
      <c r="E3" s="88"/>
      <c r="AO3" s="1153"/>
      <c r="AP3" s="1153"/>
      <c r="AQ3" s="1153"/>
      <c r="AR3" s="1153"/>
      <c r="AS3" s="1153"/>
      <c r="AT3" s="1153"/>
      <c r="AU3" s="1153"/>
      <c r="AV3" s="1153"/>
      <c r="AW3" s="1153"/>
      <c r="AX3" s="1153"/>
      <c r="AY3" s="1153"/>
      <c r="AZ3" s="1153"/>
      <c r="BA3" s="1153"/>
      <c r="BB3" s="1153"/>
      <c r="BC3" s="1153"/>
      <c r="BD3" s="1153"/>
      <c r="BE3" s="1153"/>
      <c r="BF3" s="1153"/>
    </row>
    <row customHeight="1" ht="11.25" hidden="1">
      <c r="E4" s="88"/>
      <c r="AO4" s="1153"/>
      <c r="AP4" s="1153"/>
      <c r="AQ4" s="1153"/>
      <c r="AR4" s="1153"/>
      <c r="AS4" s="1153"/>
      <c r="AT4" s="1153"/>
      <c r="AU4" s="1153"/>
      <c r="AV4" s="1153"/>
      <c r="AW4" s="1153"/>
      <c r="AX4" s="1153"/>
      <c r="AY4" s="1153"/>
      <c r="AZ4" s="1153"/>
      <c r="BA4" s="1153"/>
      <c r="BB4" s="1153"/>
      <c r="BC4" s="1153"/>
      <c r="BD4" s="1153"/>
      <c r="BE4" s="1153"/>
      <c r="BF4" s="1153"/>
    </row>
    <row s="1161" customFormat="1" customHeight="1" ht="11.25" hidden="1">
      <c r="A5" s="88"/>
      <c r="B5" s="401"/>
      <c r="C5" s="88"/>
      <c r="D5" s="88"/>
      <c r="E5" s="597" t="s">
        <v>19</v>
      </c>
      <c r="F5" s="732"/>
      <c r="AA5" s="597">
        <v>3</v>
      </c>
      <c r="AB5" s="607">
        <v>11</v>
      </c>
      <c r="AC5" s="610">
        <v>40</v>
      </c>
      <c r="AD5" s="597">
        <v>15</v>
      </c>
      <c r="AE5" s="597">
        <v>15</v>
      </c>
      <c r="AF5" s="597">
        <v>15</v>
      </c>
      <c r="AG5" s="597">
        <v>15</v>
      </c>
      <c r="AH5" s="597">
        <v>17.71</v>
      </c>
      <c r="AI5" s="597">
        <v>15</v>
      </c>
      <c r="AJ5" s="597">
        <v>15</v>
      </c>
      <c r="AK5" s="597">
        <v>15</v>
      </c>
      <c r="AL5" s="597">
        <v>15</v>
      </c>
      <c r="AM5" s="597">
        <v>15</v>
      </c>
      <c r="AN5" s="597">
        <v>15</v>
      </c>
      <c r="AO5" s="597">
        <v>15</v>
      </c>
      <c r="AP5" s="597">
        <v>15</v>
      </c>
      <c r="AQ5" s="597">
        <v>15</v>
      </c>
      <c r="AR5" s="597">
        <v>15</v>
      </c>
      <c r="AS5" s="597">
        <v>15</v>
      </c>
      <c r="AT5" s="597">
        <v>15</v>
      </c>
      <c r="AU5" s="597">
        <v>15</v>
      </c>
      <c r="AV5" s="597">
        <v>15</v>
      </c>
      <c r="AW5" s="597">
        <v>15</v>
      </c>
      <c r="AX5" s="597">
        <v>15</v>
      </c>
      <c r="AY5" s="597">
        <v>15</v>
      </c>
      <c r="AZ5" s="597">
        <v>15</v>
      </c>
      <c r="BA5" s="597">
        <v>15</v>
      </c>
      <c r="BB5" s="597">
        <v>15</v>
      </c>
      <c r="BC5" s="597">
        <v>15</v>
      </c>
      <c r="BD5" s="597">
        <v>15</v>
      </c>
      <c r="BE5" s="597">
        <v>15</v>
      </c>
      <c r="BF5" s="597">
        <v>15</v>
      </c>
      <c r="BG5" s="597">
        <v>3</v>
      </c>
      <c r="BI5" s="980"/>
      <c r="BJ5" s="980"/>
      <c r="BK5" s="980"/>
    </row>
    <row customHeight="1" ht="11.25" hidden="1">
      <c r="A6" s="88" t="s">
        <v>354</v>
      </c>
      <c r="AE6" s="88">
        <f>god-2</f>
        <v>2024</v>
      </c>
      <c r="AF6" s="88">
        <f>god-2</f>
        <v>2024</v>
      </c>
      <c r="AG6" s="88">
        <f>god-2</f>
        <v>2024</v>
      </c>
      <c r="AH6" s="88">
        <f>god-2</f>
        <v>2024</v>
      </c>
      <c r="AI6" s="88">
        <f>god-1</f>
        <v>2025</v>
      </c>
      <c r="AJ6" s="88" cm="1" t="str">
        <f t="array" ref="AJ6:AJ6">god</f>
        <v>2026</v>
      </c>
      <c r="AK6" s="88" cm="1" t="str">
        <f t="array" ref="AK6:AK6">god</f>
        <v>2026</v>
      </c>
      <c r="AL6" s="88" cm="1" t="str">
        <f t="array" ref="AL6:AL6">god</f>
        <v>2026</v>
      </c>
      <c r="AM6" s="88" cm="1" t="str">
        <f t="array" ref="AM6:AM6">god</f>
        <v>2026</v>
      </c>
      <c r="AN6" s="88" cm="1" t="str">
        <f t="array" ref="AN6:AN6">god</f>
        <v>2026</v>
      </c>
      <c r="AO6" s="88">
        <f>god+1</f>
        <v>2027</v>
      </c>
      <c r="AP6" s="88">
        <f>god+2</f>
        <v>2028</v>
      </c>
      <c r="AQ6" s="88">
        <f>god+3</f>
        <v>2029</v>
      </c>
      <c r="AR6" s="88">
        <f>god+4</f>
        <v>2030</v>
      </c>
      <c r="AS6" s="88">
        <f>god+5</f>
        <v>2031</v>
      </c>
      <c r="AT6" s="88">
        <f>god+6</f>
        <v>2032</v>
      </c>
      <c r="AU6" s="88">
        <f>god+7</f>
        <v>2033</v>
      </c>
      <c r="AV6" s="88">
        <f>god+8</f>
        <v>2034</v>
      </c>
      <c r="AW6" s="88">
        <f>god+9</f>
        <v>2035</v>
      </c>
      <c r="AX6" s="88">
        <f>god+1</f>
        <v>2027</v>
      </c>
      <c r="AY6" s="88">
        <f>god+2</f>
        <v>2028</v>
      </c>
      <c r="AZ6" s="88">
        <f>god+3</f>
        <v>2029</v>
      </c>
      <c r="BA6" s="88">
        <f>god+4</f>
        <v>2030</v>
      </c>
      <c r="BB6" s="88">
        <f>god+5</f>
        <v>2031</v>
      </c>
      <c r="BC6" s="88">
        <f>god+6</f>
        <v>2032</v>
      </c>
      <c r="BD6" s="88">
        <f>god+7</f>
        <v>2033</v>
      </c>
      <c r="BE6" s="88">
        <f>god+8</f>
        <v>2034</v>
      </c>
      <c r="BF6" s="88">
        <f>god+9</f>
        <v>2035</v>
      </c>
    </row>
    <row customHeight="1" ht="11.25" hidden="1">
      <c r="A7" s="88" t="s">
        <v>355</v>
      </c>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t="s">
        <v>358</v>
      </c>
      <c r="AI7" s="88" cm="1" t="str">
        <f t="array" ref="AI7:AI7">AI25</f>
        <v>Принято органом регулирования</v>
      </c>
      <c r="AJ7" s="88" cm="1" t="str">
        <f t="array" ref="AJ7:AJ7">AJ25</f>
        <v>Предложение организации</v>
      </c>
      <c r="AK7" s="88" cm="1" t="str">
        <f t="array" ref="AK7:AK7">AK25</f>
        <v>Принято органом регулирования</v>
      </c>
      <c r="AL7" s="88" cm="1" t="str">
        <f t="array" ref="AL7:AL7">AL25</f>
        <v>% роста / снижения</v>
      </c>
      <c r="AM7" s="88" cm="1" t="str">
        <f t="array" ref="AM7:AM7">AM25</f>
        <v>Отклонение (принято органом регулирования - заявлено организацией)</v>
      </c>
      <c r="AN7" s="88" t="s">
        <v>358</v>
      </c>
      <c r="AO7" s="88" cm="1" t="str">
        <f t="array" ref="AO7:AO7">AO25</f>
        <v>Предложение организации</v>
      </c>
      <c r="AP7" s="88" cm="1" t="str">
        <f t="array" ref="AP7:AP7">AP25</f>
        <v>Предложение организации</v>
      </c>
      <c r="AQ7" s="88" cm="1" t="str">
        <f t="array" ref="AQ7:AQ7">AQ25</f>
        <v>Предложение организации</v>
      </c>
      <c r="AR7" s="88" cm="1" t="str">
        <f t="array" ref="AR7:AR7">AR25</f>
        <v>Предложение организации</v>
      </c>
      <c r="AS7" s="88" cm="1" t="str">
        <f t="array" ref="AS7:AS7">AS25</f>
        <v>Предложение организации</v>
      </c>
      <c r="AT7" s="88" cm="1" t="str">
        <f t="array" ref="AT7:AT7">AT25</f>
        <v>Предложение организации</v>
      </c>
      <c r="AU7" s="88" cm="1" t="str">
        <f t="array" ref="AU7:AU7">AU25</f>
        <v>Предложение организации</v>
      </c>
      <c r="AV7" s="88" cm="1" t="str">
        <f t="array" ref="AV7:AV7">AV25</f>
        <v>Предложение организации</v>
      </c>
      <c r="AW7" s="88" cm="1" t="str">
        <f t="array" ref="AW7:AW7">AW25</f>
        <v>Предложение организации</v>
      </c>
      <c r="AX7" s="88" cm="1" t="str">
        <f t="array" ref="AX7:AX7">AX25</f>
        <v>Принято органом регулирования</v>
      </c>
      <c r="AY7" s="88" cm="1" t="str">
        <f t="array" ref="AY7:AY7">AY25</f>
        <v>Принято органом регулирования</v>
      </c>
      <c r="AZ7" s="88" cm="1" t="str">
        <f t="array" ref="AZ7:AZ7">AZ25</f>
        <v>Принято органом регулирования</v>
      </c>
      <c r="BA7" s="88" cm="1" t="str">
        <f t="array" ref="BA7:BA7">BA25</f>
        <v>Принято органом регулирования</v>
      </c>
      <c r="BB7" s="88" cm="1" t="str">
        <f t="array" ref="BB7:BB7">BB25</f>
        <v>Принято органом регулирования</v>
      </c>
      <c r="BC7" s="88" cm="1" t="str">
        <f t="array" ref="BC7:BC7">BC25</f>
        <v>Принято органом регулирования</v>
      </c>
      <c r="BD7" s="88" cm="1" t="str">
        <f t="array" ref="BD7:BD7">BD25</f>
        <v>Принято органом регулирования</v>
      </c>
      <c r="BE7" s="88" cm="1" t="str">
        <f t="array" ref="BE7:BE7">BE25</f>
        <v>Принято органом регулирования</v>
      </c>
      <c r="BF7" s="88" cm="1" t="str">
        <f t="array" ref="BF7:BF7">BF25</f>
        <v>Принято органом регулирования</v>
      </c>
    </row>
    <row customHeight="1" ht="11.25" hidden="1">
      <c r="AE8" s="88" t="str">
        <f>AE6&amp;AE7</f>
        <v>2024Принято органом регулирования</v>
      </c>
      <c r="AF8" s="88" t="str">
        <f>AF6&amp;AF7</f>
        <v>2024Факт по данным организации</v>
      </c>
      <c r="AG8" s="88" t="str">
        <f>AG6&amp;AG7</f>
        <v>2024Факт, принятый органом регулирования</v>
      </c>
      <c r="AH8" s="88" t="str">
        <f>AH6&amp;AH7</f>
        <v>2024Не определено</v>
      </c>
      <c r="AI8" s="88" t="str">
        <f>AI6&amp;AI7</f>
        <v>2025Принято органом регулирования</v>
      </c>
      <c r="AJ8" s="88" t="str">
        <f>AJ6&amp;AJ7</f>
        <v>2026Предложение организации</v>
      </c>
      <c r="AK8" s="88" t="str">
        <f>AK6&amp;AK7</f>
        <v>2026Принято органом регулирования</v>
      </c>
      <c r="AL8" s="88" t="str">
        <f>AL6&amp;AL7</f>
        <v>2026% роста / снижения</v>
      </c>
      <c r="AM8" s="88" t="str">
        <f>AM6&amp;AM7</f>
        <v>2026Отклонение (принято органом регулирования - заявлено организацией)</v>
      </c>
      <c r="AN8" s="88" t="str">
        <f>AN6&amp;AN7</f>
        <v>2026Не определено</v>
      </c>
      <c r="AO8" s="88" t="str">
        <f>AO6&amp;AO7</f>
        <v>2027Предложение организации</v>
      </c>
      <c r="AP8" s="88" t="str">
        <f>AP6&amp;AP7</f>
        <v>2028Предложение организации</v>
      </c>
      <c r="AQ8" s="88" t="str">
        <f>AQ6&amp;AQ7</f>
        <v>2029Предложение организации</v>
      </c>
      <c r="AR8" s="88" t="str">
        <f>AR6&amp;AR7</f>
        <v>2030Предложение организации</v>
      </c>
      <c r="AS8" s="88" t="str">
        <f>AS6&amp;AS7</f>
        <v>2031Предложение организации</v>
      </c>
      <c r="AT8" s="88" t="str">
        <f>AT6&amp;AT7</f>
        <v>2032Предложение организации</v>
      </c>
      <c r="AU8" s="88" t="str">
        <f>AU6&amp;AU7</f>
        <v>2033Предложение организации</v>
      </c>
      <c r="AV8" s="88" t="str">
        <f>AV6&amp;AV7</f>
        <v>2034Предложение организации</v>
      </c>
      <c r="AW8" s="88" t="str">
        <f>AW6&amp;AW7</f>
        <v>2035Предложение организации</v>
      </c>
      <c r="AX8" s="88" t="str">
        <f>AX6&amp;AX7</f>
        <v>2027Принято органом регулирования</v>
      </c>
      <c r="AY8" s="88" t="str">
        <f>AY6&amp;AY7</f>
        <v>2028Принято органом регулирования</v>
      </c>
      <c r="AZ8" s="88" t="str">
        <f>AZ6&amp;AZ7</f>
        <v>2029Принято органом регулирования</v>
      </c>
      <c r="BA8" s="88" t="str">
        <f>BA6&amp;BA7</f>
        <v>2030Принято органом регулирования</v>
      </c>
      <c r="BB8" s="88" t="str">
        <f>BB6&amp;BB7</f>
        <v>2031Принято органом регулирования</v>
      </c>
      <c r="BC8" s="88" t="str">
        <f>BC6&amp;BC7</f>
        <v>2032Принято органом регулирования</v>
      </c>
      <c r="BD8" s="88" t="str">
        <f>BD6&amp;BD7</f>
        <v>2033Принято органом регулирования</v>
      </c>
      <c r="BE8" s="88" t="str">
        <f>BE6&amp;BE7</f>
        <v>2034Принято органом регулирования</v>
      </c>
      <c r="BF8" s="88" t="str">
        <f>BF6&amp;BF7</f>
        <v>2035Принято органом регулирования</v>
      </c>
    </row>
    <row s="1253" customFormat="1" customHeight="1" ht="11.25" hidden="1">
      <c r="A9" s="980" t="s">
        <v>359</v>
      </c>
      <c r="B9" s="992"/>
      <c r="F9" s="993"/>
      <c r="AB9" s="983"/>
      <c r="AC9" s="994"/>
      <c r="AE9" s="980" cm="1" t="str">
        <f t="array" ref="AE9:AE9">AE6</f>
        <v>2024</v>
      </c>
      <c r="AF9" s="980" cm="1" t="str">
        <f t="array" ref="AF9:AF9">AF6</f>
        <v>2024</v>
      </c>
      <c r="AG9" s="980" cm="1" t="str">
        <f t="array" ref="AG9:AG9">AG6</f>
        <v>2024</v>
      </c>
      <c r="AH9" s="980" cm="1" t="str">
        <f t="array" ref="AH9:AH9">AH6</f>
        <v>2024</v>
      </c>
      <c r="AI9" s="980" cm="1" t="str">
        <f t="array" ref="AI9:AI9">AI6</f>
        <v>2025</v>
      </c>
      <c r="AJ9" s="980" cm="1" t="str">
        <f t="array" ref="AJ9:AJ9">AJ6</f>
        <v>2026</v>
      </c>
      <c r="AK9" s="980" cm="1" t="str">
        <f t="array" ref="AK9:AK9">AK6</f>
        <v>2026</v>
      </c>
      <c r="AL9" s="980" cm="1" t="str">
        <f t="array" ref="AL9:AL9">AL6</f>
        <v>2026</v>
      </c>
      <c r="AM9" s="980" cm="1" t="str">
        <f t="array" ref="AM9:AM9">AM6</f>
        <v>2026</v>
      </c>
      <c r="AN9" s="980" cm="1" t="str">
        <f t="array" ref="AN9:AN9">AN6</f>
        <v>2026</v>
      </c>
      <c r="AO9" s="980" cm="1" t="str">
        <f t="array" ref="AO9:AO9">AO6</f>
        <v>2027</v>
      </c>
      <c r="AP9" s="980" cm="1" t="str">
        <f t="array" ref="AP9:AP9">AP6</f>
        <v>2028</v>
      </c>
      <c r="AQ9" s="980" cm="1" t="str">
        <f t="array" ref="AQ9:AQ9">AQ6</f>
        <v>2029</v>
      </c>
      <c r="AR9" s="980" cm="1" t="str">
        <f t="array" ref="AR9:AR9">AR6</f>
        <v>2030</v>
      </c>
      <c r="AS9" s="980" cm="1" t="str">
        <f t="array" ref="AS9:AS9">AS6</f>
        <v>2031</v>
      </c>
      <c r="AT9" s="980" cm="1" t="str">
        <f t="array" ref="AT9:AT9">AT6</f>
        <v>2032</v>
      </c>
      <c r="AU9" s="980" cm="1" t="str">
        <f t="array" ref="AU9:AU9">AU6</f>
        <v>2033</v>
      </c>
      <c r="AV9" s="980" cm="1" t="str">
        <f t="array" ref="AV9:AV9">AV6</f>
        <v>2034</v>
      </c>
      <c r="AW9" s="980" cm="1" t="str">
        <f t="array" ref="AW9:AW9">AW6</f>
        <v>2035</v>
      </c>
      <c r="AX9" s="980" cm="1" t="str">
        <f t="array" ref="AX9:AX9">AX6</f>
        <v>2027</v>
      </c>
      <c r="AY9" s="980" cm="1" t="str">
        <f t="array" ref="AY9:AY9">AY6</f>
        <v>2028</v>
      </c>
      <c r="AZ9" s="980" cm="1" t="str">
        <f t="array" ref="AZ9:AZ9">AZ6</f>
        <v>2029</v>
      </c>
      <c r="BA9" s="980" cm="1" t="str">
        <f t="array" ref="BA9:BA9">BA6</f>
        <v>2030</v>
      </c>
      <c r="BB9" s="980" cm="1" t="str">
        <f t="array" ref="BB9:BB9">BB6</f>
        <v>2031</v>
      </c>
      <c r="BC9" s="980" cm="1" t="str">
        <f t="array" ref="BC9:BC9">BC6</f>
        <v>2032</v>
      </c>
      <c r="BD9" s="980" cm="1" t="str">
        <f t="array" ref="BD9:BD9">BD6</f>
        <v>2033</v>
      </c>
      <c r="BE9" s="980" cm="1" t="str">
        <f t="array" ref="BE9:BE9">BE6</f>
        <v>2034</v>
      </c>
      <c r="BF9" s="980" cm="1" t="str">
        <f t="array" ref="BF9:BF9">BF6</f>
        <v>2035</v>
      </c>
      <c r="BL9" s="597"/>
      <c r="BM9" s="597"/>
    </row>
    <row s="1253" customFormat="1" customHeight="1" ht="11.25" hidden="1">
      <c r="A10" s="980" t="s">
        <v>360</v>
      </c>
      <c r="B10" s="992"/>
      <c r="F10" s="993"/>
      <c r="AB10" s="983"/>
      <c r="AC10" s="994"/>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I10" s="980" cm="1" t="str">
        <f t="array" ref="AI10:AI10">AI25</f>
        <v>Принято органом регулирования</v>
      </c>
      <c r="AJ10" s="980" cm="1" t="str">
        <f t="array" ref="AJ10:AJ10">AJ25</f>
        <v>Предложение организации</v>
      </c>
      <c r="AK10" s="980" cm="1" t="str">
        <f t="array" ref="AK10:AK10">AK25</f>
        <v>Принято органом регулирования</v>
      </c>
      <c r="AL10" s="980" cm="1" t="str">
        <f t="array" ref="AL10:AL10">AL25</f>
        <v>% роста / снижения</v>
      </c>
      <c r="AM10" s="980" cm="1" t="str">
        <f t="array" ref="AM10:AM10">AM25</f>
        <v>Отклонение (принято органом регулирования - заявлено организацией)</v>
      </c>
      <c r="AO10" s="980" cm="1" t="str">
        <f t="array" ref="AO10:AO10">AO25</f>
        <v>Предложение организации</v>
      </c>
      <c r="AP10" s="980" cm="1" t="str">
        <f t="array" ref="AP10:AP10">AP25</f>
        <v>Предложение организации</v>
      </c>
      <c r="AQ10" s="980" cm="1" t="str">
        <f t="array" ref="AQ10:AQ10">AQ25</f>
        <v>Предложение организации</v>
      </c>
      <c r="AR10" s="980" cm="1" t="str">
        <f t="array" ref="AR10:AR10">AR25</f>
        <v>Предложение организации</v>
      </c>
      <c r="AS10" s="980" cm="1" t="str">
        <f t="array" ref="AS10:AS10">AS25</f>
        <v>Предложение организации</v>
      </c>
      <c r="AT10" s="980" cm="1" t="str">
        <f t="array" ref="AT10:AT10">AT25</f>
        <v>Предложение организации</v>
      </c>
      <c r="AU10" s="980" cm="1" t="str">
        <f t="array" ref="AU10:AU10">AU25</f>
        <v>Предложение организации</v>
      </c>
      <c r="AV10" s="980" cm="1" t="str">
        <f t="array" ref="AV10:AV10">AV25</f>
        <v>Предложение организации</v>
      </c>
      <c r="AW10" s="980" cm="1" t="str">
        <f t="array" ref="AW10:AW10">AW25</f>
        <v>Предложение организации</v>
      </c>
      <c r="AX10" s="980" cm="1" t="str">
        <f t="array" ref="AX10:AX10">AX25</f>
        <v>Принято органом регулирования</v>
      </c>
      <c r="AY10" s="980" cm="1" t="str">
        <f t="array" ref="AY10:AY10">AY25</f>
        <v>Принято органом регулирования</v>
      </c>
      <c r="AZ10" s="980" cm="1" t="str">
        <f t="array" ref="AZ10:AZ10">AZ25</f>
        <v>Принято органом регулирования</v>
      </c>
      <c r="BA10" s="980" cm="1" t="str">
        <f t="array" ref="BA10:BA10">BA25</f>
        <v>Принято органом регулирования</v>
      </c>
      <c r="BB10" s="980" cm="1" t="str">
        <f t="array" ref="BB10:BB10">BB25</f>
        <v>Принято органом регулирования</v>
      </c>
      <c r="BC10" s="980" cm="1" t="str">
        <f t="array" ref="BC10:BC10">BC25</f>
        <v>Принято органом регулирования</v>
      </c>
      <c r="BD10" s="980" cm="1" t="str">
        <f t="array" ref="BD10:BD10">BD25</f>
        <v>Принято органом регулирования</v>
      </c>
      <c r="BE10" s="980" cm="1" t="str">
        <f t="array" ref="BE10:BE10">BE25</f>
        <v>Принято органом регулирования</v>
      </c>
      <c r="BF10" s="980" cm="1" t="str">
        <f t="array" ref="BF10:BF10">BF25</f>
        <v>Принято органом регулирования</v>
      </c>
      <c r="BL10" s="597"/>
      <c r="BM10" s="597"/>
    </row>
    <row s="1253" customFormat="1" customHeight="1" ht="11.25" hidden="1">
      <c r="A11" s="980" t="s">
        <v>361</v>
      </c>
      <c r="B11" s="992"/>
      <c r="F11" s="993"/>
      <c r="AB11" s="983"/>
      <c r="AC11" s="994"/>
      <c r="AH11" s="980" cm="1" t="str">
        <f t="array" ref="AH11:AH11">AH25</f>
        <v>Комментарии</v>
      </c>
      <c r="AN11" s="980" cm="1" t="str">
        <f t="array" ref="AN11:AN11">AN25</f>
        <v>Комментарии</v>
      </c>
      <c r="AO11" s="1253"/>
      <c r="AP11" s="1253"/>
      <c r="AQ11" s="1253"/>
      <c r="AR11" s="1253"/>
      <c r="AS11" s="1253"/>
      <c r="AT11" s="1253"/>
      <c r="AU11" s="1253"/>
      <c r="AV11" s="1253"/>
      <c r="AW11" s="1253"/>
      <c r="AX11" s="1253"/>
      <c r="AY11" s="1253"/>
      <c r="AZ11" s="1253"/>
      <c r="BA11" s="1253"/>
      <c r="BB11" s="1253"/>
      <c r="BC11" s="1253"/>
      <c r="BD11" s="1253"/>
      <c r="BE11" s="1253"/>
      <c r="BF11" s="1253"/>
      <c r="BL11" s="597"/>
      <c r="BM11" s="597"/>
    </row>
    <row s="1253" customFormat="1" customHeight="1" ht="11.25" hidden="1">
      <c r="A12" s="980" t="s">
        <v>331</v>
      </c>
      <c r="B12" s="992"/>
      <c r="F12" s="993"/>
      <c r="AB12" s="983"/>
      <c r="AC12" s="994" t="s">
        <v>318</v>
      </c>
      <c r="AO12" s="1253"/>
      <c r="AP12" s="1253"/>
      <c r="AQ12" s="1253"/>
      <c r="AR12" s="1253"/>
      <c r="AS12" s="1253"/>
      <c r="AT12" s="1253"/>
      <c r="AU12" s="1253"/>
      <c r="AV12" s="1253"/>
      <c r="AW12" s="1253"/>
      <c r="AX12" s="1253"/>
      <c r="AY12" s="1253"/>
      <c r="AZ12" s="1253"/>
      <c r="BA12" s="1253"/>
      <c r="BB12" s="1253"/>
      <c r="BC12" s="1253"/>
      <c r="BD12" s="1253"/>
      <c r="BE12" s="1253"/>
      <c r="BF12" s="1253"/>
      <c r="BL12" s="597"/>
      <c r="BM12" s="597"/>
    </row>
    <row customHeight="1" ht="11.25" hidden="1">
      <c r="AO13" s="1153"/>
      <c r="AP13" s="1153"/>
      <c r="AQ13" s="1153"/>
      <c r="AR13" s="1153"/>
      <c r="AS13" s="1153"/>
      <c r="AT13" s="1153"/>
      <c r="AU13" s="1153"/>
      <c r="AV13" s="1153"/>
      <c r="AW13" s="1153"/>
      <c r="AX13" s="1153"/>
      <c r="AY13" s="1153"/>
      <c r="AZ13" s="1153"/>
      <c r="BA13" s="1153"/>
      <c r="BB13" s="1153"/>
      <c r="BC13" s="1153"/>
      <c r="BD13" s="1153"/>
      <c r="BE13" s="1153"/>
      <c r="BF13" s="1153"/>
    </row>
    <row customHeight="1" ht="11.25" hidden="1">
      <c r="AO14" s="1153"/>
      <c r="AP14" s="1153"/>
      <c r="AQ14" s="1153"/>
      <c r="AR14" s="1153"/>
      <c r="AS14" s="1153"/>
      <c r="AT14" s="1153"/>
      <c r="AU14" s="1153"/>
      <c r="AV14" s="1153"/>
      <c r="AW14" s="1153"/>
      <c r="AX14" s="1153"/>
      <c r="AY14" s="1153"/>
      <c r="AZ14" s="1153"/>
      <c r="BA14" s="1153"/>
      <c r="BB14" s="1153"/>
      <c r="BC14" s="1153"/>
      <c r="BD14" s="1153"/>
      <c r="BE14" s="1153"/>
      <c r="BF14" s="1153"/>
    </row>
    <row customHeight="1" ht="11.25" hidden="1">
      <c r="AO15" s="1153"/>
      <c r="AP15" s="1153"/>
      <c r="AQ15" s="1153"/>
      <c r="AR15" s="1153"/>
      <c r="AS15" s="1153"/>
      <c r="AT15" s="1153"/>
      <c r="AU15" s="1153"/>
      <c r="AV15" s="1153"/>
      <c r="AW15" s="1153"/>
      <c r="AX15" s="1153"/>
      <c r="AY15" s="1153"/>
      <c r="AZ15" s="1153"/>
      <c r="BA15" s="1153"/>
      <c r="BB15" s="1153"/>
      <c r="BC15" s="1153"/>
      <c r="BD15" s="1153"/>
      <c r="BE15" s="1153"/>
      <c r="BF15" s="1153"/>
    </row>
    <row customHeight="1" ht="11.25" hidden="1">
      <c r="AO16" s="1153"/>
      <c r="AP16" s="1153"/>
      <c r="AQ16" s="1153"/>
      <c r="AR16" s="1153"/>
      <c r="AS16" s="1153"/>
      <c r="AT16" s="1153"/>
      <c r="AU16" s="1153"/>
      <c r="AV16" s="1153"/>
      <c r="AW16" s="1153"/>
      <c r="AX16" s="1153"/>
      <c r="AY16" s="1153"/>
      <c r="AZ16" s="1153"/>
      <c r="BA16" s="1153"/>
      <c r="BB16" s="1153"/>
      <c r="BC16" s="1153"/>
      <c r="BD16" s="1153"/>
      <c r="BE16" s="1153"/>
      <c r="BF16" s="1153"/>
    </row>
    <row customHeight="1" ht="11.25" hidden="1">
      <c r="AO17" s="1153"/>
      <c r="AP17" s="1153"/>
      <c r="AQ17" s="1153"/>
      <c r="AR17" s="1153"/>
      <c r="AS17" s="1153"/>
      <c r="AT17" s="1153"/>
      <c r="AU17" s="1153"/>
      <c r="AV17" s="1153"/>
      <c r="AW17" s="1153"/>
      <c r="AX17" s="1153"/>
      <c r="AY17" s="1153"/>
      <c r="AZ17" s="1153"/>
      <c r="BA17" s="1153"/>
      <c r="BB17" s="1153"/>
      <c r="BC17" s="1153"/>
      <c r="BD17" s="1153"/>
      <c r="BE17" s="1153"/>
      <c r="BF17" s="1153"/>
    </row>
    <row customHeight="1" ht="11.25" hidden="1">
      <c r="A18" s="88" t="s">
        <v>332</v>
      </c>
      <c r="AC18" s="106" t="s">
        <v>430</v>
      </c>
      <c r="AO18" s="1153"/>
      <c r="AP18" s="1153"/>
      <c r="AQ18" s="1153"/>
      <c r="AR18" s="1153"/>
      <c r="AS18" s="1153"/>
      <c r="AT18" s="1153"/>
      <c r="AU18" s="1153"/>
      <c r="AV18" s="1153"/>
      <c r="AW18" s="1153"/>
      <c r="AX18" s="1153"/>
      <c r="AY18" s="1153"/>
      <c r="AZ18" s="1153"/>
      <c r="BA18" s="1153"/>
      <c r="BB18" s="1153"/>
      <c r="BC18" s="1153"/>
      <c r="BD18" s="1153"/>
      <c r="BE18" s="1153"/>
      <c r="BF18" s="1153"/>
    </row>
    <row customHeight="1" ht="11.25" hidden="1">
      <c r="AO19" s="1153"/>
      <c r="AP19" s="1153"/>
      <c r="AQ19" s="1153"/>
      <c r="AR19" s="1153"/>
      <c r="AS19" s="1153"/>
      <c r="AT19" s="1153"/>
      <c r="AU19" s="1153"/>
      <c r="AV19" s="1153"/>
      <c r="AW19" s="1153"/>
      <c r="AX19" s="1153"/>
      <c r="AY19" s="1153"/>
      <c r="AZ19" s="1153"/>
      <c r="BA19" s="1153"/>
      <c r="BB19" s="1153"/>
      <c r="BC19" s="1153"/>
      <c r="BD19" s="1153"/>
      <c r="BE19" s="1153"/>
      <c r="BF19" s="1153"/>
    </row>
    <row customHeight="1" ht="11.25" hidden="1">
      <c r="AO20" s="1153"/>
      <c r="AP20" s="1153"/>
      <c r="AQ20" s="1153"/>
      <c r="AR20" s="1153"/>
      <c r="AS20" s="1153"/>
      <c r="AT20" s="1153"/>
      <c r="AU20" s="1153"/>
      <c r="AV20" s="1153"/>
      <c r="AW20" s="1153"/>
      <c r="AX20" s="1153"/>
      <c r="AY20" s="1153"/>
      <c r="AZ20" s="1153"/>
      <c r="BA20" s="1153"/>
      <c r="BB20" s="1153"/>
      <c r="BC20" s="1153"/>
      <c r="BD20" s="1153"/>
      <c r="BE20" s="1153"/>
      <c r="BF20" s="1153"/>
    </row>
    <row customHeight="1" ht="14.625">
      <c r="E21" s="597">
        <v>15</v>
      </c>
      <c r="AA21" s="637"/>
      <c r="AC21" s="50" cm="1" t="str">
        <f t="array" ref="AC21:AC21">tpl_title</f>
        <v>Кемеровская область / 2026 / Филиал АО "УК "Кузбассразрезуголь" "Талдинский угольный разрез" (ИНН:4205049090, КПП:423802002) / ДПР: 2024-2028</v>
      </c>
      <c r="AD21" s="91"/>
      <c r="AE21" s="92"/>
      <c r="AO21" s="1153"/>
      <c r="AP21" s="1153"/>
      <c r="AQ21" s="1153"/>
      <c r="AR21" s="1153"/>
      <c r="AS21" s="1153"/>
      <c r="AT21" s="1153"/>
      <c r="AU21" s="1153"/>
      <c r="AV21" s="1153"/>
      <c r="AW21" s="1153"/>
      <c r="AX21" s="1153"/>
      <c r="AY21" s="1153"/>
      <c r="AZ21" s="1153"/>
      <c r="BA21" s="1153"/>
      <c r="BB21" s="1153"/>
      <c r="BC21" s="1153"/>
      <c r="BD21" s="1153"/>
      <c r="BE21" s="1153"/>
      <c r="BF21" s="1153"/>
    </row>
    <row customHeight="1" ht="21.9375">
      <c r="E22" s="597">
        <v>22.5</v>
      </c>
      <c r="AB22" s="285" t="s">
        <v>40</v>
      </c>
      <c r="AC22" s="160"/>
      <c r="AD22" s="160"/>
      <c r="AE22" s="160"/>
      <c r="AF22" s="160"/>
      <c r="AG22" s="160"/>
      <c r="AH22" s="160"/>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row>
    <row s="1465" customFormat="1" customHeight="1" ht="10.96875">
      <c r="B23" s="401"/>
      <c r="E23" s="608">
        <v>11.25</v>
      </c>
      <c r="F23" s="730"/>
      <c r="AA23" s="93"/>
      <c r="AB23" s="94"/>
      <c r="AC23" s="95"/>
      <c r="AD23" s="96"/>
      <c r="AE23" s="97"/>
      <c r="AO23" s="1465"/>
      <c r="AP23" s="1465"/>
      <c r="AQ23" s="1465"/>
      <c r="AR23" s="1465"/>
      <c r="AS23" s="1465"/>
      <c r="AT23" s="1465"/>
      <c r="AU23" s="1465"/>
      <c r="AV23" s="1465"/>
      <c r="AW23" s="1465"/>
      <c r="AX23" s="1465"/>
      <c r="AY23" s="1465"/>
      <c r="AZ23" s="1465"/>
      <c r="BA23" s="1465"/>
      <c r="BB23" s="1465"/>
      <c r="BC23" s="1465"/>
      <c r="BD23" s="1465"/>
      <c r="BE23" s="1465"/>
      <c r="BF23" s="1465"/>
      <c r="BI23" s="995"/>
      <c r="BJ23" s="995"/>
      <c r="BK23" s="995"/>
      <c r="BL23" s="608"/>
      <c r="BM23" s="608"/>
    </row>
    <row customHeight="1" ht="14.625">
      <c r="E24" s="597">
        <v>15</v>
      </c>
      <c r="AB24" s="1483" t="s">
        <v>21</v>
      </c>
      <c r="AC24" s="1483" t="s">
        <v>430</v>
      </c>
      <c r="AD24" s="1483" t="s">
        <v>363</v>
      </c>
      <c r="AE24" s="59" t="str">
        <f>god-2&amp;" год"</f>
        <v>2024 год</v>
      </c>
      <c r="AF24" s="1104" t="str">
        <f>god-2&amp;" год"</f>
        <v>2024 год</v>
      </c>
      <c r="AG24" s="59" t="str">
        <f>god-2&amp;" год"</f>
        <v>2024 год</v>
      </c>
      <c r="AH24" s="59" t="str">
        <f>god-2&amp;" год"</f>
        <v>2024 год</v>
      </c>
      <c r="AI24" s="59" t="str">
        <f>god-1&amp;" год"</f>
        <v>2025 год</v>
      </c>
      <c r="AJ24" s="1104" t="str">
        <f>god&amp;" год"</f>
        <v>2026 год</v>
      </c>
      <c r="AK24" s="59" t="str">
        <f>god&amp;" год"</f>
        <v>2026 год</v>
      </c>
      <c r="AL24" s="59" t="str">
        <f>god&amp;" год"</f>
        <v>2026 год</v>
      </c>
      <c r="AM24" s="59" t="str">
        <f>god&amp;" год"</f>
        <v>2026 год</v>
      </c>
      <c r="AN24" s="59" t="str">
        <f>god&amp;" год"</f>
        <v>2026 год</v>
      </c>
      <c r="AO24" s="1104" t="str">
        <f>god+1&amp;" год"</f>
        <v>2027 год</v>
      </c>
      <c r="AP24" s="1104" t="str">
        <f>god+2&amp;" год"</f>
        <v>2028 год</v>
      </c>
      <c r="AQ24" s="1104" t="str">
        <f>god+3&amp;" год"</f>
        <v>2029 год</v>
      </c>
      <c r="AR24" s="1104" t="str">
        <f>god+4&amp;" год"</f>
        <v>2030 год</v>
      </c>
      <c r="AS24" s="1104" t="str">
        <f>god+5&amp;" год"</f>
        <v>2031 год</v>
      </c>
      <c r="AT24" s="1104" t="str">
        <f>god+6&amp;" год"</f>
        <v>2032 год</v>
      </c>
      <c r="AU24" s="1104" t="str">
        <f>god+7&amp;" год"</f>
        <v>2033 год</v>
      </c>
      <c r="AV24" s="1104" t="str">
        <f>god+8&amp;" год"</f>
        <v>2034 год</v>
      </c>
      <c r="AW24" s="1104" t="str">
        <f>god+9&amp;" год"</f>
        <v>2035 год</v>
      </c>
      <c r="AX24" s="59" t="str">
        <f>god+1&amp;" год"</f>
        <v>2027 год</v>
      </c>
      <c r="AY24" s="59" t="str">
        <f>god+2&amp;" год"</f>
        <v>2028 год</v>
      </c>
      <c r="AZ24" s="59" t="str">
        <f>god+3&amp;" год"</f>
        <v>2029 год</v>
      </c>
      <c r="BA24" s="59" t="str">
        <f>god+4&amp;" год"</f>
        <v>2030 год</v>
      </c>
      <c r="BB24" s="59" t="str">
        <f>god+5&amp;" год"</f>
        <v>2031 год</v>
      </c>
      <c r="BC24" s="59" t="str">
        <f>god+6&amp;" год"</f>
        <v>2032 год</v>
      </c>
      <c r="BD24" s="59" t="str">
        <f>god+7&amp;" год"</f>
        <v>2033 год</v>
      </c>
      <c r="BE24" s="59" t="str">
        <f>god+8&amp;" год"</f>
        <v>2034 год</v>
      </c>
      <c r="BF24" s="59" t="str">
        <f>god+9&amp;" год"</f>
        <v>2035 год</v>
      </c>
    </row>
    <row customHeight="1" ht="67.275">
      <c r="E25" s="597">
        <v>69</v>
      </c>
      <c r="F25" s="730" t="s">
        <v>365</v>
      </c>
      <c r="AB25" s="1483"/>
      <c r="AC25" s="1483"/>
      <c r="AD25" s="1483"/>
      <c r="AE25" s="58" t="s">
        <v>356</v>
      </c>
      <c r="AF25" s="1105" t="s">
        <v>431</v>
      </c>
      <c r="AG25" s="59" t="s">
        <v>432</v>
      </c>
      <c r="AH25" s="59" t="s">
        <v>364</v>
      </c>
      <c r="AI25" s="59" t="s">
        <v>356</v>
      </c>
      <c r="AJ25" s="1103" t="s">
        <v>357</v>
      </c>
      <c r="AK25" s="59" t="s">
        <v>356</v>
      </c>
      <c r="AL25" s="157" t="s">
        <v>433</v>
      </c>
      <c r="AM25" s="157" t="s">
        <v>434</v>
      </c>
      <c r="AN25" s="59" t="s">
        <v>364</v>
      </c>
      <c r="AO25" s="1104" t="s">
        <v>357</v>
      </c>
      <c r="AP25" s="1104" t="s">
        <v>357</v>
      </c>
      <c r="AQ25" s="1104" t="s">
        <v>357</v>
      </c>
      <c r="AR25" s="1104" t="s">
        <v>357</v>
      </c>
      <c r="AS25" s="1104" t="s">
        <v>357</v>
      </c>
      <c r="AT25" s="1104" t="s">
        <v>357</v>
      </c>
      <c r="AU25" s="1104" t="s">
        <v>357</v>
      </c>
      <c r="AV25" s="1104" t="s">
        <v>357</v>
      </c>
      <c r="AW25" s="1104" t="s">
        <v>357</v>
      </c>
      <c r="AX25" s="59" t="s">
        <v>356</v>
      </c>
      <c r="AY25" s="59" t="s">
        <v>356</v>
      </c>
      <c r="AZ25" s="59" t="s">
        <v>356</v>
      </c>
      <c r="BA25" s="59" t="s">
        <v>356</v>
      </c>
      <c r="BB25" s="59" t="s">
        <v>356</v>
      </c>
      <c r="BC25" s="59" t="s">
        <v>356</v>
      </c>
      <c r="BD25" s="59" t="s">
        <v>356</v>
      </c>
      <c r="BE25" s="59" t="s">
        <v>356</v>
      </c>
      <c r="BF25" s="59" t="s">
        <v>356</v>
      </c>
    </row>
    <row s="1621" customFormat="1" customHeight="1" ht="19.5">
      <c r="A26" s="473"/>
      <c r="B26" s="638"/>
      <c r="C26" s="473"/>
      <c r="D26" s="473"/>
      <c r="E26" s="639">
        <v>20</v>
      </c>
      <c r="F26" s="728" t="s">
        <v>435</v>
      </c>
      <c r="G26" s="473"/>
      <c r="H26" s="473"/>
      <c r="I26" s="473"/>
      <c r="J26" s="473"/>
      <c r="K26" s="473"/>
      <c r="L26" s="473"/>
      <c r="M26" s="473"/>
      <c r="N26" s="473"/>
      <c r="O26" s="473"/>
      <c r="P26" s="473"/>
      <c r="Q26" s="473"/>
      <c r="R26" s="473"/>
      <c r="S26" s="473"/>
      <c r="T26" s="473"/>
      <c r="U26" s="473"/>
      <c r="V26" s="473"/>
      <c r="W26" s="473"/>
      <c r="X26" s="473"/>
      <c r="Y26" s="473"/>
      <c r="Z26" s="473"/>
      <c r="AB26" s="56"/>
      <c r="AC26" s="552" t="s">
        <v>436</v>
      </c>
      <c r="AD26" s="102" t="s">
        <v>437</v>
      </c>
      <c r="AE26" s="553"/>
      <c r="AF26" s="553"/>
      <c r="AG26" s="553"/>
      <c r="AH26" s="930"/>
      <c r="AI26" s="553"/>
      <c r="AJ26" s="553"/>
      <c r="AK26" s="553"/>
      <c r="AL26" s="553"/>
      <c r="AM26" s="553"/>
      <c r="AN26" s="930"/>
      <c r="AO26" s="1869"/>
      <c r="AP26" s="1869"/>
      <c r="AQ26" s="1869"/>
      <c r="AR26" s="1869"/>
      <c r="AS26" s="1869"/>
      <c r="AT26" s="1869"/>
      <c r="AU26" s="1869"/>
      <c r="AV26" s="1869"/>
      <c r="AW26" s="1869"/>
      <c r="AX26" s="1869"/>
      <c r="AY26" s="1869"/>
      <c r="AZ26" s="1869"/>
      <c r="BA26" s="1869"/>
      <c r="BB26" s="1869"/>
      <c r="BC26" s="1869"/>
      <c r="BD26" s="1869"/>
      <c r="BE26" s="1869"/>
      <c r="BF26" s="1869"/>
      <c r="BI26" s="987"/>
      <c r="BJ26" s="987"/>
      <c r="BK26" s="987"/>
      <c r="BL26" s="603"/>
      <c r="BM26" s="603"/>
    </row>
    <row s="1621" customFormat="1" customHeight="1" ht="11.25" hidden="1">
      <c r="A27" s="473"/>
      <c r="B27" s="638"/>
      <c r="C27" s="473"/>
      <c r="D27" s="473"/>
      <c r="E27" s="848">
        <v>0</v>
      </c>
      <c r="F27" s="728"/>
      <c r="G27" s="473"/>
      <c r="H27" s="473"/>
      <c r="I27" s="473"/>
      <c r="J27" s="473"/>
      <c r="K27" s="473"/>
      <c r="L27" s="473"/>
      <c r="M27" s="473"/>
      <c r="N27" s="473"/>
      <c r="O27" s="473"/>
      <c r="P27" s="473"/>
      <c r="Q27" s="473"/>
      <c r="R27" s="473"/>
      <c r="S27" s="473"/>
      <c r="T27" s="473"/>
      <c r="U27" s="473"/>
      <c r="V27" s="473"/>
      <c r="W27" s="473"/>
      <c r="X27" s="473"/>
      <c r="Y27" s="473"/>
      <c r="Z27" s="473"/>
      <c r="AB27" s="707"/>
      <c r="AC27" s="708"/>
      <c r="AD27" s="486"/>
      <c r="AE27" s="932"/>
      <c r="AF27" s="932"/>
      <c r="AG27" s="932"/>
      <c r="AH27" s="932"/>
      <c r="AI27" s="932"/>
      <c r="AJ27" s="932"/>
      <c r="AK27" s="932"/>
      <c r="AL27" s="932"/>
      <c r="AM27" s="932"/>
      <c r="AN27" s="932"/>
      <c r="AO27" s="932"/>
      <c r="AP27" s="932"/>
      <c r="AQ27" s="932"/>
      <c r="AR27" s="932"/>
      <c r="AS27" s="932"/>
      <c r="AT27" s="932"/>
      <c r="AU27" s="932"/>
      <c r="AV27" s="932"/>
      <c r="AW27" s="932"/>
      <c r="AX27" s="932"/>
      <c r="AY27" s="932"/>
      <c r="AZ27" s="932"/>
      <c r="BA27" s="932"/>
      <c r="BB27" s="932"/>
      <c r="BC27" s="932"/>
      <c r="BD27" s="932"/>
      <c r="BE27" s="932"/>
      <c r="BF27" s="932"/>
      <c r="BI27" s="987"/>
      <c r="BJ27" s="987"/>
      <c r="BK27" s="987"/>
      <c r="BL27" s="603"/>
      <c r="BM27" s="603"/>
    </row>
    <row s="1187" customFormat="1" customHeight="1" ht="14.625" hidden="1">
      <c r="A28" s="1187"/>
      <c r="B28" s="402"/>
      <c r="C28" s="1187"/>
      <c r="D28" s="1187"/>
      <c r="E28" s="609">
        <v>15</v>
      </c>
      <c r="F28" s="730" cm="1" t="str">
        <f t="array" ref="F28:F28">Y28</f>
        <v>0</v>
      </c>
      <c r="G28" s="1187"/>
      <c r="H28" s="1187"/>
      <c r="I28" s="1187"/>
      <c r="J28" s="1187"/>
      <c r="K28" s="1187"/>
      <c r="L28" s="1187"/>
      <c r="M28" s="1187"/>
      <c r="N28" s="1187"/>
      <c r="O28" s="1187"/>
      <c r="P28" s="1187"/>
      <c r="Q28" s="1187"/>
      <c r="R28" s="1187"/>
      <c r="S28" s="1187"/>
      <c r="T28" s="1187"/>
      <c r="U28" s="439">
        <f>Y28&gt;0</f>
        <v>0</v>
      </c>
      <c r="V28" s="1187"/>
      <c r="W28" s="110" t="s">
        <v>261</v>
      </c>
      <c r="X28" s="1187"/>
      <c r="Y28" s="1462">
        <v>0</v>
      </c>
      <c r="Z28" s="1484"/>
      <c r="AA28" s="1187"/>
      <c r="AB28" s="150" cm="1" t="str">
        <f t="array" ref="AB28:AB28">INDEX('Общие сведения'!$AG$179:$AG$222,MATCH($Y28,'Общие сведения'!$Z$179:$Z$222,0))</f>
        <v>Тариф 0 () - </v>
      </c>
      <c r="AC28" s="147"/>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187"/>
      <c r="BH28" s="1187"/>
      <c r="BI28" s="996"/>
      <c r="BJ28" s="996"/>
      <c r="BK28" s="996"/>
      <c r="BL28" s="609"/>
      <c r="BM28" s="609"/>
    </row>
    <row customHeight="1" ht="14.625" hidden="1">
      <c r="A29" s="1153"/>
      <c r="B29" s="1160"/>
      <c r="C29" s="1153"/>
      <c r="D29" s="1153"/>
      <c r="E29" s="597">
        <v>15</v>
      </c>
      <c r="F29" s="50" cm="1" t="str">
        <f t="array" ref="F29:F29">OFFSET(E29,-1,1)</f>
        <v>0</v>
      </c>
      <c r="G29" s="88" t="s">
        <v>438</v>
      </c>
      <c r="H29" s="1153"/>
      <c r="I29" s="1153"/>
      <c r="J29" s="1153"/>
      <c r="K29" s="1153"/>
      <c r="L29" s="1153"/>
      <c r="M29" s="1153"/>
      <c r="N29" s="1153"/>
      <c r="O29" s="1153"/>
      <c r="P29" s="1153"/>
      <c r="Q29" s="1153"/>
      <c r="R29" s="1153"/>
      <c r="S29" s="1153"/>
      <c r="T29" s="1153"/>
      <c r="U29" s="439" cm="1" t="str">
        <f t="array" ref="U29:U29">U28</f>
        <v>false</v>
      </c>
      <c r="V29" s="1153"/>
      <c r="W29" s="1153"/>
      <c r="X29" s="1153"/>
      <c r="Y29" s="1462"/>
      <c r="Z29" s="1484"/>
      <c r="AA29" s="1153"/>
      <c r="AB29" s="237"/>
      <c r="AC29" s="238" t="s">
        <v>439</v>
      </c>
      <c r="AD29" s="239"/>
      <c r="AE29" s="239"/>
      <c r="AF29" s="239"/>
      <c r="AG29" s="239"/>
      <c r="AH29" s="239"/>
      <c r="AI29" s="272">
        <f>(1-AI30/100)*(1+AI31/100)*(1+AI33/100)</f>
        <v>1</v>
      </c>
      <c r="AJ29" s="272">
        <f>(1-AJ30/100)*(1+AJ31/100)*(1+AJ33/100)</f>
        <v>1</v>
      </c>
      <c r="AK29" s="272">
        <f>(1-AK30/100)*(1+AK31/100)*(1+AK33/100)</f>
        <v>1</v>
      </c>
      <c r="AL29" s="239"/>
      <c r="AM29" s="239"/>
      <c r="AN29" s="239"/>
      <c r="AO29" s="272">
        <f>(1-AO30/100)*(1+AO31/100)*(1+AO33/100)</f>
        <v>1</v>
      </c>
      <c r="AP29" s="272">
        <f>(1-AP30/100)*(1+AP31/100)*(1+AP33/100)</f>
        <v>1</v>
      </c>
      <c r="AQ29" s="272">
        <f>(1-AQ30/100)*(1+AQ31/100)*(1+AQ33/100)</f>
        <v>1</v>
      </c>
      <c r="AR29" s="272">
        <f>(1-AR30/100)*(1+AR31/100)*(1+AR33/100)</f>
        <v>1</v>
      </c>
      <c r="AS29" s="272">
        <f>(1-AS30/100)*(1+AS31/100)*(1+AS33/100)</f>
        <v>1</v>
      </c>
      <c r="AT29" s="272">
        <f>(1-AT30/100)*(1+AT31/100)*(1+AT33/100)</f>
        <v>1</v>
      </c>
      <c r="AU29" s="272">
        <f>(1-AU30/100)*(1+AU31/100)*(1+AU33/100)</f>
        <v>1</v>
      </c>
      <c r="AV29" s="272">
        <f>(1-AV30/100)*(1+AV31/100)*(1+AV33/100)</f>
        <v>1</v>
      </c>
      <c r="AW29" s="272">
        <f>(1-AW30/100)*(1+AW31/100)*(1+AW33/100)</f>
        <v>1</v>
      </c>
      <c r="AX29" s="272">
        <f>(1-AX30/100)*(1+AX31/100)*(1+AX33/100)</f>
        <v>1</v>
      </c>
      <c r="AY29" s="272">
        <f>(1-AY30/100)*(1+AY31/100)*(1+AY33/100)</f>
        <v>1</v>
      </c>
      <c r="AZ29" s="272">
        <f>(1-AZ30/100)*(1+AZ31/100)*(1+AZ33/100)</f>
        <v>1</v>
      </c>
      <c r="BA29" s="272">
        <f>(1-BA30/100)*(1+BA31/100)*(1+BA33/100)</f>
        <v>1</v>
      </c>
      <c r="BB29" s="272">
        <f>(1-BB30/100)*(1+BB31/100)*(1+BB33/100)</f>
        <v>1</v>
      </c>
      <c r="BC29" s="272">
        <f>(1-BC30/100)*(1+BC31/100)*(1+BC33/100)</f>
        <v>1</v>
      </c>
      <c r="BD29" s="272">
        <f>(1-BD30/100)*(1+BD31/100)*(1+BD33/100)</f>
        <v>1</v>
      </c>
      <c r="BE29" s="272">
        <f>(1-BE30/100)*(1+BE31/100)*(1+BE33/100)</f>
        <v>1</v>
      </c>
      <c r="BF29" s="272">
        <f>(1-BF30/100)*(1+BF31/100)*(1+BF33/100)</f>
        <v>1</v>
      </c>
      <c r="BG29" s="1153"/>
      <c r="BH29" s="1153"/>
      <c r="BI29" s="1253"/>
      <c r="BJ29" s="1253"/>
      <c r="BK29" s="1253"/>
      <c r="BL29" s="1161"/>
      <c r="BM29" s="1161"/>
    </row>
    <row customHeight="1" ht="21.9375" hidden="1">
      <c r="A30" s="1153"/>
      <c r="B30" s="419">
        <f>method_reg&lt;&gt;"Метод экономически обоснованных расходов"</f>
        <v>1</v>
      </c>
      <c r="C30" s="1153"/>
      <c r="D30" s="1153"/>
      <c r="E30" s="597">
        <v>22.5</v>
      </c>
      <c r="F30" s="50" cm="1" t="str">
        <f t="array" ref="F30:F30">OFFSET(E30,-1,1)</f>
        <v>0</v>
      </c>
      <c r="G30" s="88" t="s">
        <v>440</v>
      </c>
      <c r="H30" s="88" t="s">
        <v>441</v>
      </c>
      <c r="I30" s="1153"/>
      <c r="J30" s="1153"/>
      <c r="K30" s="1153"/>
      <c r="L30" s="1153"/>
      <c r="M30" s="1153"/>
      <c r="N30" s="1153"/>
      <c r="O30" s="1153"/>
      <c r="P30" s="1153"/>
      <c r="Q30" s="1153"/>
      <c r="R30" s="1153"/>
      <c r="S30" s="1153"/>
      <c r="T30" s="1153"/>
      <c r="U30" s="439" cm="1" t="str">
        <f t="array" ref="U30:U30">U29</f>
        <v>false</v>
      </c>
      <c r="V30" s="1153"/>
      <c r="W30" s="1153"/>
      <c r="X30" s="1153"/>
      <c r="Y30" s="1462"/>
      <c r="Z30" s="1484"/>
      <c r="AA30" s="1153"/>
      <c r="AB30" s="99">
        <v>1</v>
      </c>
      <c r="AC30" s="100" t="s">
        <v>442</v>
      </c>
      <c r="AD30" s="102" t="s">
        <v>437</v>
      </c>
      <c r="AE30" s="1886"/>
      <c r="AF30" s="1886"/>
      <c r="AG30" s="1886"/>
      <c r="AH30" s="1887"/>
      <c r="AI30" s="1886"/>
      <c r="AJ30" s="1886"/>
      <c r="AK30" s="1886"/>
      <c r="AL30" s="248">
        <f>IF(AI30&lt;&gt;0,AK30/AI30,0)</f>
        <v>0</v>
      </c>
      <c r="AM30" s="247">
        <f>AK30-AJ30</f>
        <v>0</v>
      </c>
      <c r="AN30" s="1887"/>
      <c r="AO30" s="1886"/>
      <c r="AP30" s="1886"/>
      <c r="AQ30" s="1886"/>
      <c r="AR30" s="1886"/>
      <c r="AS30" s="1886"/>
      <c r="AT30" s="1886"/>
      <c r="AU30" s="1886"/>
      <c r="AV30" s="1886"/>
      <c r="AW30" s="1886"/>
      <c r="AX30" s="1886"/>
      <c r="AY30" s="1886"/>
      <c r="AZ30" s="1886"/>
      <c r="BA30" s="1886"/>
      <c r="BB30" s="1886"/>
      <c r="BC30" s="1886"/>
      <c r="BD30" s="1886"/>
      <c r="BE30" s="1886"/>
      <c r="BF30" s="1886"/>
      <c r="BG30" s="1153"/>
      <c r="BH30" s="1153"/>
      <c r="BI30" s="980" t="s">
        <v>443</v>
      </c>
      <c r="BJ30" s="1253"/>
      <c r="BK30" s="1253"/>
      <c r="BL30" s="1161"/>
      <c r="BM30" s="1161"/>
    </row>
    <row customHeight="1" ht="14.625" hidden="1">
      <c r="A31" s="1153"/>
      <c r="B31" s="1160"/>
      <c r="C31" s="1153"/>
      <c r="D31" s="1153"/>
      <c r="E31" s="597">
        <v>15</v>
      </c>
      <c r="F31" s="50" cm="1" t="str">
        <f t="array" ref="F31:F31">OFFSET(E31,-1,1)</f>
        <v>0</v>
      </c>
      <c r="G31" s="88" t="s">
        <v>444</v>
      </c>
      <c r="H31" s="88" t="s">
        <v>445</v>
      </c>
      <c r="I31" s="1153"/>
      <c r="J31" s="1153"/>
      <c r="K31" s="1153"/>
      <c r="L31" s="1153"/>
      <c r="M31" s="1153"/>
      <c r="N31" s="1153"/>
      <c r="O31" s="1153"/>
      <c r="P31" s="1153"/>
      <c r="Q31" s="1153"/>
      <c r="R31" s="1153"/>
      <c r="S31" s="1153"/>
      <c r="T31" s="1153"/>
      <c r="U31" s="439" cm="1" t="str">
        <f t="array" ref="U31:U31">U30</f>
        <v>false</v>
      </c>
      <c r="V31" s="1153"/>
      <c r="W31" s="1153"/>
      <c r="X31" s="1153"/>
      <c r="Y31" s="1462"/>
      <c r="Z31" s="1484"/>
      <c r="AA31" s="1153"/>
      <c r="AB31" s="99">
        <f>IF(B30,2,1)</f>
        <v>2</v>
      </c>
      <c r="AC31" s="101" t="s">
        <v>446</v>
      </c>
      <c r="AD31" s="102" t="s">
        <v>437</v>
      </c>
      <c r="AE31" s="1886"/>
      <c r="AF31" s="1886"/>
      <c r="AG31" s="1886"/>
      <c r="AH31" s="1887"/>
      <c r="AI31" s="1886"/>
      <c r="AJ31" s="1886"/>
      <c r="AK31" s="1886"/>
      <c r="AL31" s="248">
        <f>IF(AI31&lt;&gt;0,AK31/AI31,0)</f>
        <v>0</v>
      </c>
      <c r="AM31" s="247">
        <f>AK31-AJ31</f>
        <v>0</v>
      </c>
      <c r="AN31" s="1887"/>
      <c r="AO31" s="1886"/>
      <c r="AP31" s="1886"/>
      <c r="AQ31" s="1886"/>
      <c r="AR31" s="1886"/>
      <c r="AS31" s="1886"/>
      <c r="AT31" s="1886"/>
      <c r="AU31" s="1886"/>
      <c r="AV31" s="1886"/>
      <c r="AW31" s="1886"/>
      <c r="AX31" s="1886"/>
      <c r="AY31" s="1886"/>
      <c r="AZ31" s="1886"/>
      <c r="BA31" s="1886"/>
      <c r="BB31" s="1886"/>
      <c r="BC31" s="1886"/>
      <c r="BD31" s="1886"/>
      <c r="BE31" s="1886"/>
      <c r="BF31" s="1886"/>
      <c r="BG31" s="1153"/>
      <c r="BH31" s="1153"/>
      <c r="BI31" s="980" t="s">
        <v>447</v>
      </c>
      <c r="BJ31" s="1253"/>
      <c r="BK31" s="1253"/>
      <c r="BL31" s="1161"/>
      <c r="BM31" s="1161"/>
    </row>
    <row customHeight="1" ht="14.625" hidden="1">
      <c r="A32" s="1153"/>
      <c r="B32" s="1160"/>
      <c r="C32" s="1153"/>
      <c r="D32" s="1153"/>
      <c r="E32" s="597">
        <v>15</v>
      </c>
      <c r="F32" s="50" cm="1" t="str">
        <f t="array" ref="F32:F32">OFFSET(E32,-1,1)</f>
        <v>0</v>
      </c>
      <c r="G32" s="1153"/>
      <c r="H32" s="88" t="s">
        <v>448</v>
      </c>
      <c r="I32" s="1153"/>
      <c r="J32" s="1153"/>
      <c r="K32" s="1153"/>
      <c r="L32" s="1153"/>
      <c r="M32" s="1153"/>
      <c r="N32" s="1153"/>
      <c r="O32" s="1153"/>
      <c r="P32" s="1153"/>
      <c r="Q32" s="1153"/>
      <c r="R32" s="1153"/>
      <c r="S32" s="1153"/>
      <c r="T32" s="1153"/>
      <c r="U32" s="439" cm="1" t="str">
        <f t="array" ref="U32:U32">U31</f>
        <v>false</v>
      </c>
      <c r="V32" s="1153"/>
      <c r="W32" s="1153"/>
      <c r="X32" s="1153"/>
      <c r="Y32" s="1462"/>
      <c r="Z32" s="1484"/>
      <c r="AA32" s="1153"/>
      <c r="AB32" s="99">
        <f>AB31+1</f>
        <v>3</v>
      </c>
      <c r="AC32" s="103" t="s">
        <v>449</v>
      </c>
      <c r="AD32" s="102" t="s">
        <v>437</v>
      </c>
      <c r="AE32" s="1886"/>
      <c r="AF32" s="1886"/>
      <c r="AG32" s="1886"/>
      <c r="AH32" s="1887"/>
      <c r="AI32" s="1886"/>
      <c r="AJ32" s="1886"/>
      <c r="AK32" s="1886"/>
      <c r="AL32" s="248">
        <f>IF(AI32&lt;&gt;0,AK32/AI32,0)</f>
        <v>0</v>
      </c>
      <c r="AM32" s="247">
        <f>AK32-AJ32</f>
        <v>0</v>
      </c>
      <c r="AN32" s="1887"/>
      <c r="AO32" s="1886"/>
      <c r="AP32" s="1886"/>
      <c r="AQ32" s="1886"/>
      <c r="AR32" s="1886"/>
      <c r="AS32" s="1886"/>
      <c r="AT32" s="1886"/>
      <c r="AU32" s="1886"/>
      <c r="AV32" s="1886"/>
      <c r="AW32" s="1886"/>
      <c r="AX32" s="1886"/>
      <c r="AY32" s="1886"/>
      <c r="AZ32" s="1886"/>
      <c r="BA32" s="1886"/>
      <c r="BB32" s="1886"/>
      <c r="BC32" s="1886"/>
      <c r="BD32" s="1886"/>
      <c r="BE32" s="1886"/>
      <c r="BF32" s="1886"/>
      <c r="BG32" s="1153"/>
      <c r="BH32" s="1153"/>
      <c r="BI32" s="980" t="s">
        <v>450</v>
      </c>
      <c r="BJ32" s="1253"/>
      <c r="BK32" s="1253"/>
      <c r="BL32" s="1161"/>
      <c r="BM32" s="1161"/>
    </row>
    <row customHeight="1" ht="14.625" hidden="1">
      <c r="A33" s="1153"/>
      <c r="B33" s="419">
        <f>method_reg&lt;&gt;"Метод экономически обоснованных расходов"</f>
        <v>1</v>
      </c>
      <c r="C33" s="1153"/>
      <c r="D33" s="1153"/>
      <c r="E33" s="597">
        <v>15</v>
      </c>
      <c r="F33" s="50" cm="1" t="str">
        <f t="array" ref="F33:F33">OFFSET(E33,-1,1)</f>
        <v>0</v>
      </c>
      <c r="G33" s="88" t="s">
        <v>451</v>
      </c>
      <c r="H33" s="88" t="s">
        <v>452</v>
      </c>
      <c r="I33" s="1153"/>
      <c r="J33" s="1153"/>
      <c r="K33" s="1153"/>
      <c r="L33" s="1153"/>
      <c r="M33" s="1153"/>
      <c r="N33" s="1153"/>
      <c r="O33" s="1153"/>
      <c r="P33" s="1153"/>
      <c r="Q33" s="1153"/>
      <c r="R33" s="1153"/>
      <c r="S33" s="1153"/>
      <c r="T33" s="1153"/>
      <c r="U33" s="439" cm="1" t="str">
        <f t="array" ref="U33:U33">U32</f>
        <v>false</v>
      </c>
      <c r="V33" s="1153"/>
      <c r="W33" s="1153"/>
      <c r="X33" s="1153"/>
      <c r="Y33" s="1462"/>
      <c r="Z33" s="1484"/>
      <c r="AA33" s="1153"/>
      <c r="AB33" s="99">
        <v>4</v>
      </c>
      <c r="AC33" s="101" t="s">
        <v>453</v>
      </c>
      <c r="AD33" s="102" t="s">
        <v>437</v>
      </c>
      <c r="AE33" s="1886"/>
      <c r="AF33" s="1886"/>
      <c r="AG33" s="1886"/>
      <c r="AH33" s="1887"/>
      <c r="AI33" s="1886"/>
      <c r="AJ33" s="1886"/>
      <c r="AK33" s="1886"/>
      <c r="AL33" s="248">
        <f>IF(AI33&lt;&gt;0,AK33/AI33,0)</f>
        <v>0</v>
      </c>
      <c r="AM33" s="247">
        <f>AK33-AJ33</f>
        <v>0</v>
      </c>
      <c r="AN33" s="1887"/>
      <c r="AO33" s="1886"/>
      <c r="AP33" s="1886"/>
      <c r="AQ33" s="1886"/>
      <c r="AR33" s="1886"/>
      <c r="AS33" s="1886"/>
      <c r="AT33" s="1886"/>
      <c r="AU33" s="1886"/>
      <c r="AV33" s="1886"/>
      <c r="AW33" s="1886"/>
      <c r="AX33" s="1886"/>
      <c r="AY33" s="1886"/>
      <c r="AZ33" s="1886"/>
      <c r="BA33" s="1886"/>
      <c r="BB33" s="1886"/>
      <c r="BC33" s="1886"/>
      <c r="BD33" s="1886"/>
      <c r="BE33" s="1886"/>
      <c r="BF33" s="1886"/>
      <c r="BG33" s="1153"/>
      <c r="BH33" s="1153"/>
      <c r="BI33" s="980" t="s">
        <v>454</v>
      </c>
      <c r="BJ33" s="1253"/>
      <c r="BK33" s="1253"/>
      <c r="BL33" s="1161"/>
      <c r="BM33" s="1161"/>
    </row>
    <row s="1310" customFormat="1" customHeight="1" ht="14.625" hidden="1">
      <c r="A34" s="115"/>
      <c r="B34" s="420"/>
      <c r="C34" s="115"/>
      <c r="D34" s="115"/>
      <c r="E34" s="656">
        <v>15</v>
      </c>
      <c r="F34" s="341" cm="1" t="str">
        <f t="array" ref="F34:F34">OFFSET(E34,-1,1)</f>
        <v>0</v>
      </c>
      <c r="G34" s="115"/>
      <c r="H34" s="115"/>
      <c r="I34" s="115"/>
      <c r="J34" s="115"/>
      <c r="K34" s="115"/>
      <c r="L34" s="115"/>
      <c r="M34" s="115"/>
      <c r="N34" s="115"/>
      <c r="O34" s="115"/>
      <c r="P34" s="115"/>
      <c r="Q34" s="115"/>
      <c r="R34" s="115"/>
      <c r="S34" s="115"/>
      <c r="T34" s="115"/>
      <c r="U34" s="439" cm="1" t="str">
        <f t="array" ref="U34:U34">U33</f>
        <v>false</v>
      </c>
      <c r="V34" s="115"/>
      <c r="W34" s="115"/>
      <c r="X34" s="115"/>
      <c r="Y34" s="1462"/>
      <c r="Z34" s="1484"/>
      <c r="AA34" s="115"/>
      <c r="AB34" s="99">
        <v>5</v>
      </c>
      <c r="AC34" s="101" t="s">
        <v>455</v>
      </c>
      <c r="AD34" s="102" t="s">
        <v>437</v>
      </c>
      <c r="AE34" s="1886"/>
      <c r="AF34" s="1886"/>
      <c r="AG34" s="1886"/>
      <c r="AH34" s="1887"/>
      <c r="AI34" s="1886"/>
      <c r="AJ34" s="1886"/>
      <c r="AK34" s="1886"/>
      <c r="AL34" s="248">
        <f>IF(AI34&lt;&gt;0,AK34/AI34,0)</f>
        <v>0</v>
      </c>
      <c r="AM34" s="247">
        <f>AK34-AJ34</f>
        <v>0</v>
      </c>
      <c r="AN34" s="1887"/>
      <c r="AO34" s="1886"/>
      <c r="AP34" s="1886"/>
      <c r="AQ34" s="1886"/>
      <c r="AR34" s="1886"/>
      <c r="AS34" s="1886"/>
      <c r="AT34" s="1886"/>
      <c r="AU34" s="1886"/>
      <c r="AV34" s="1886"/>
      <c r="AW34" s="1886"/>
      <c r="AX34" s="1886"/>
      <c r="AY34" s="1886"/>
      <c r="AZ34" s="1886"/>
      <c r="BA34" s="1886"/>
      <c r="BB34" s="1886"/>
      <c r="BC34" s="1886"/>
      <c r="BD34" s="1886"/>
      <c r="BE34" s="1886"/>
      <c r="BF34" s="1886"/>
      <c r="BG34" s="115"/>
      <c r="BH34" s="115"/>
      <c r="BI34" s="1022" t="s">
        <v>456</v>
      </c>
      <c r="BJ34" s="1022"/>
      <c r="BK34" s="1022"/>
      <c r="BL34" s="656"/>
      <c r="BM34" s="656"/>
    </row>
    <row customHeight="1" ht="14.625" hidden="1">
      <c r="A35" s="1153"/>
      <c r="B35" s="1160"/>
      <c r="C35" s="1153"/>
      <c r="D35" s="1153"/>
      <c r="E35" s="597">
        <v>15</v>
      </c>
      <c r="F35" s="50" cm="1" t="str">
        <f t="array" ref="F35:F35">OFFSET(E35,-1,1)</f>
        <v>0</v>
      </c>
      <c r="G35" s="1153"/>
      <c r="H35" s="1153"/>
      <c r="I35" s="1153"/>
      <c r="J35" s="1153"/>
      <c r="K35" s="1153"/>
      <c r="L35" s="1153"/>
      <c r="M35" s="1153"/>
      <c r="N35" s="1153"/>
      <c r="O35" s="1153"/>
      <c r="P35" s="1153"/>
      <c r="Q35" s="1153"/>
      <c r="R35" s="1153"/>
      <c r="S35" s="1153"/>
      <c r="T35" s="1153"/>
      <c r="U35" s="439" cm="1" t="str">
        <f t="array" ref="U35:U35">U33</f>
        <v>false</v>
      </c>
      <c r="V35" s="1153"/>
      <c r="W35" s="1153"/>
      <c r="X35" s="1153"/>
      <c r="Y35" s="1462"/>
      <c r="Z35" s="1484"/>
      <c r="AA35" s="1153"/>
      <c r="AB35" s="237"/>
      <c r="AC35" s="238" t="s">
        <v>457</v>
      </c>
      <c r="AD35" s="239"/>
      <c r="AE35" s="244"/>
      <c r="AF35" s="244"/>
      <c r="AG35" s="244"/>
      <c r="AH35" s="239"/>
      <c r="AI35" s="244"/>
      <c r="AJ35" s="244"/>
      <c r="AK35" s="244"/>
      <c r="AL35" s="249"/>
      <c r="AM35" s="244"/>
      <c r="AN35" s="239"/>
      <c r="AO35" s="244"/>
      <c r="AP35" s="244"/>
      <c r="AQ35" s="244"/>
      <c r="AR35" s="244"/>
      <c r="AS35" s="244"/>
      <c r="AT35" s="244"/>
      <c r="AU35" s="244"/>
      <c r="AV35" s="244"/>
      <c r="AW35" s="244"/>
      <c r="AX35" s="244"/>
      <c r="AY35" s="244"/>
      <c r="AZ35" s="244"/>
      <c r="BA35" s="244"/>
      <c r="BB35" s="244"/>
      <c r="BC35" s="244"/>
      <c r="BD35" s="244"/>
      <c r="BE35" s="244"/>
      <c r="BF35" s="250"/>
      <c r="BG35" s="1153"/>
      <c r="BH35" s="1153"/>
      <c r="BI35" s="1253"/>
      <c r="BJ35" s="1253"/>
      <c r="BK35" s="1253"/>
      <c r="BL35" s="1161"/>
      <c r="BM35" s="1161"/>
    </row>
    <row customHeight="1" ht="14.625" hidden="1">
      <c r="A36" s="1153"/>
      <c r="B36" s="1160"/>
      <c r="C36" s="1153"/>
      <c r="D36" s="1153"/>
      <c r="E36" s="597">
        <v>15</v>
      </c>
      <c r="F36" s="50" cm="1" t="str">
        <f t="array" ref="F36:F36">OFFSET(E36,-1,1)</f>
        <v>0</v>
      </c>
      <c r="G36" s="88" t="s">
        <v>458</v>
      </c>
      <c r="H36" s="88" t="s">
        <v>459</v>
      </c>
      <c r="I36" s="1153"/>
      <c r="J36" s="1153"/>
      <c r="K36" s="1153"/>
      <c r="L36" s="1153"/>
      <c r="M36" s="1153"/>
      <c r="N36" s="1153"/>
      <c r="O36" s="1153"/>
      <c r="P36" s="1153"/>
      <c r="Q36" s="1153"/>
      <c r="R36" s="1153"/>
      <c r="S36" s="1153"/>
      <c r="T36" s="1153"/>
      <c r="U36" s="439" cm="1" t="str">
        <f t="array" ref="U36:U36">U35</f>
        <v>false</v>
      </c>
      <c r="V36" s="1153"/>
      <c r="W36" s="1153"/>
      <c r="X36" s="1153"/>
      <c r="Y36" s="1462"/>
      <c r="Z36" s="1484"/>
      <c r="AA36" s="1153"/>
      <c r="AB36" s="99">
        <v>1</v>
      </c>
      <c r="AC36" s="101" t="s">
        <v>460</v>
      </c>
      <c r="AD36" s="102" t="s">
        <v>437</v>
      </c>
      <c r="AE36" s="1899"/>
      <c r="AF36" s="1899"/>
      <c r="AG36" s="1899"/>
      <c r="AH36" s="1887"/>
      <c r="AI36" s="1899"/>
      <c r="AJ36" s="1899"/>
      <c r="AK36" s="1899"/>
      <c r="AL36" s="248">
        <f>IF(AI36&lt;&gt;0,AK36/AI36,0)</f>
        <v>0</v>
      </c>
      <c r="AM36" s="247">
        <f>AK36-AJ36</f>
        <v>0</v>
      </c>
      <c r="AN36" s="1887"/>
      <c r="AO36" s="1899"/>
      <c r="AP36" s="1899"/>
      <c r="AQ36" s="1899"/>
      <c r="AR36" s="1899"/>
      <c r="AS36" s="1899"/>
      <c r="AT36" s="1899"/>
      <c r="AU36" s="1899"/>
      <c r="AV36" s="1899"/>
      <c r="AW36" s="1899"/>
      <c r="AX36" s="1899"/>
      <c r="AY36" s="1899"/>
      <c r="AZ36" s="1899"/>
      <c r="BA36" s="1899"/>
      <c r="BB36" s="1899"/>
      <c r="BC36" s="1899"/>
      <c r="BD36" s="1899"/>
      <c r="BE36" s="1899"/>
      <c r="BF36" s="1899"/>
      <c r="BG36" s="1153"/>
      <c r="BH36" s="1153"/>
      <c r="BI36" s="980" t="s">
        <v>461</v>
      </c>
      <c r="BJ36" s="1253"/>
      <c r="BK36" s="1253"/>
      <c r="BL36" s="1161"/>
      <c r="BM36" s="1161"/>
    </row>
    <row customHeight="1" ht="15" hidden="1">
      <c r="A37" s="1153"/>
      <c r="B37" s="1160"/>
      <c r="C37" s="1153"/>
      <c r="D37" s="1153"/>
      <c r="E37" s="597">
        <v>0</v>
      </c>
      <c r="F37" s="50" cm="1" t="str">
        <f t="array" ref="F37:F37">OFFSET(E37,-1,1)</f>
        <v>0</v>
      </c>
      <c r="G37" s="1153"/>
      <c r="H37" s="88" t="s">
        <v>462</v>
      </c>
      <c r="I37" s="1153"/>
      <c r="J37" s="1153"/>
      <c r="K37" s="1153"/>
      <c r="L37" s="1153"/>
      <c r="M37" s="1153"/>
      <c r="N37" s="1153"/>
      <c r="O37" s="1153"/>
      <c r="P37" s="1153"/>
      <c r="Q37" s="1153"/>
      <c r="R37" s="1153"/>
      <c r="S37" s="1153"/>
      <c r="T37" s="1153"/>
      <c r="U37" s="439" cm="1" t="str">
        <f t="array" ref="U37:U37">U36</f>
        <v>false</v>
      </c>
      <c r="V37" s="1153"/>
      <c r="W37" s="1153"/>
      <c r="X37" s="1153"/>
      <c r="Y37" s="1462"/>
      <c r="Z37" s="1484"/>
      <c r="AA37" s="1153"/>
      <c r="AB37" s="99">
        <v>2</v>
      </c>
      <c r="AC37" s="101" t="s">
        <v>436</v>
      </c>
      <c r="AD37" s="102" t="s">
        <v>437</v>
      </c>
      <c r="AE37" s="1899"/>
      <c r="AF37" s="1886"/>
      <c r="AG37" s="1899"/>
      <c r="AH37" s="1887"/>
      <c r="AI37" s="1899"/>
      <c r="AJ37" s="1899"/>
      <c r="AK37" s="1899"/>
      <c r="AL37" s="248">
        <f>IF(AI37&lt;&gt;0,AK37/AI37,0)</f>
        <v>0</v>
      </c>
      <c r="AM37" s="247">
        <f>AK37-AJ37</f>
        <v>0</v>
      </c>
      <c r="AN37" s="1887"/>
      <c r="AO37" s="1899"/>
      <c r="AP37" s="1899"/>
      <c r="AQ37" s="1899"/>
      <c r="AR37" s="1899"/>
      <c r="AS37" s="1899"/>
      <c r="AT37" s="1899"/>
      <c r="AU37" s="1899"/>
      <c r="AV37" s="1899"/>
      <c r="AW37" s="1899"/>
      <c r="AX37" s="1899"/>
      <c r="AY37" s="1899"/>
      <c r="AZ37" s="1899"/>
      <c r="BA37" s="1899"/>
      <c r="BB37" s="1899"/>
      <c r="BC37" s="1899"/>
      <c r="BD37" s="1899"/>
      <c r="BE37" s="1899"/>
      <c r="BF37" s="1899"/>
      <c r="BG37" s="1153"/>
      <c r="BH37" s="1153"/>
      <c r="BI37" s="980" t="s">
        <v>463</v>
      </c>
      <c r="BJ37" s="1253"/>
      <c r="BK37" s="1253"/>
      <c r="BL37" s="1161"/>
      <c r="BM37" s="1161"/>
    </row>
    <row customHeight="1" ht="14.625" hidden="1">
      <c r="A38" s="1153"/>
      <c r="B38" s="1160"/>
      <c r="C38" s="1153"/>
      <c r="D38" s="1153"/>
      <c r="E38" s="597">
        <v>15</v>
      </c>
      <c r="F38" s="50" cm="1" t="str">
        <f t="array" ref="F38:F38">OFFSET(E38,-1,1)</f>
        <v>0</v>
      </c>
      <c r="G38" s="1153"/>
      <c r="H38" s="1153"/>
      <c r="I38" s="1153"/>
      <c r="J38" s="1153"/>
      <c r="K38" s="1153"/>
      <c r="L38" s="1153"/>
      <c r="M38" s="1153"/>
      <c r="N38" s="1153"/>
      <c r="O38" s="1153"/>
      <c r="P38" s="1153"/>
      <c r="Q38" s="1153"/>
      <c r="R38" s="1153"/>
      <c r="S38" s="1153"/>
      <c r="T38" s="1153"/>
      <c r="U38" s="439" cm="1" t="str">
        <f t="array" ref="U38:U38">U37</f>
        <v>false</v>
      </c>
      <c r="V38" s="1153"/>
      <c r="W38" s="1153"/>
      <c r="X38" s="1153"/>
      <c r="Y38" s="1462"/>
      <c r="Z38" s="1484"/>
      <c r="AA38" s="1153"/>
      <c r="AB38" s="585">
        <v>2</v>
      </c>
      <c r="AC38" s="586" t="s">
        <v>464</v>
      </c>
      <c r="AD38" s="60"/>
      <c r="AE38" s="587"/>
      <c r="AF38" s="588"/>
      <c r="AG38" s="589"/>
      <c r="AH38" s="590"/>
      <c r="AI38" s="587"/>
      <c r="AJ38" s="588"/>
      <c r="AK38" s="588"/>
      <c r="AL38" s="591"/>
      <c r="AM38" s="588"/>
      <c r="AN38" s="590"/>
      <c r="AO38" s="587"/>
      <c r="AP38" s="587"/>
      <c r="AQ38" s="587"/>
      <c r="AR38" s="587"/>
      <c r="AS38" s="587"/>
      <c r="AT38" s="587"/>
      <c r="AU38" s="587"/>
      <c r="AV38" s="587"/>
      <c r="AW38" s="587"/>
      <c r="AX38" s="587"/>
      <c r="AY38" s="587"/>
      <c r="AZ38" s="587"/>
      <c r="BA38" s="587"/>
      <c r="BB38" s="587"/>
      <c r="BC38" s="587"/>
      <c r="BD38" s="587"/>
      <c r="BE38" s="587"/>
      <c r="BF38" s="587"/>
      <c r="BG38" s="1153"/>
      <c r="BH38" s="1153"/>
      <c r="BI38" s="980" t="s">
        <v>465</v>
      </c>
      <c r="BJ38" s="1253"/>
      <c r="BK38" s="1253"/>
      <c r="BL38" s="1161"/>
      <c r="BM38" s="1161"/>
    </row>
    <row customHeight="1" ht="21.9375" hidden="1">
      <c r="A39" s="1153"/>
      <c r="B39" s="1160"/>
      <c r="C39" s="1153"/>
      <c r="D39" s="1153"/>
      <c r="E39" s="597">
        <v>22.5</v>
      </c>
      <c r="F39" s="50" cm="1" t="str">
        <f t="array" ref="F39:F39">OFFSET(E39,-1,1)</f>
        <v>0</v>
      </c>
      <c r="G39" s="1153"/>
      <c r="H39" s="88" t="s">
        <v>466</v>
      </c>
      <c r="I39" s="1153"/>
      <c r="J39" s="1153"/>
      <c r="K39" s="1153"/>
      <c r="L39" s="1153"/>
      <c r="M39" s="1153"/>
      <c r="N39" s="1153"/>
      <c r="O39" s="1153"/>
      <c r="P39" s="1153"/>
      <c r="Q39" s="1153"/>
      <c r="R39" s="1153"/>
      <c r="S39" s="1153"/>
      <c r="T39" s="1153"/>
      <c r="U39" s="439" cm="1" t="str">
        <f t="array" ref="U39:U39">U38</f>
        <v>false</v>
      </c>
      <c r="V39" s="1153"/>
      <c r="W39" s="1153"/>
      <c r="X39" s="1153"/>
      <c r="Y39" s="1462"/>
      <c r="Z39" s="1484"/>
      <c r="AA39" s="1153"/>
      <c r="AB39" s="187" t="s">
        <v>467</v>
      </c>
      <c r="AC39" s="181" t="s">
        <v>468</v>
      </c>
      <c r="AD39" s="57" t="s">
        <v>469</v>
      </c>
      <c r="AE39" s="1911"/>
      <c r="AF39" s="1912"/>
      <c r="AG39" s="1913"/>
      <c r="AH39" s="1914"/>
      <c r="AI39" s="1911"/>
      <c r="AJ39" s="1912"/>
      <c r="AK39" s="1912"/>
      <c r="AL39" s="594">
        <f>IF(AI39&lt;&gt;0,AK39/AI39,0)</f>
        <v>0</v>
      </c>
      <c r="AM39" s="595">
        <f>AK39-AJ39</f>
        <v>0</v>
      </c>
      <c r="AN39" s="1914"/>
      <c r="AO39" s="1911"/>
      <c r="AP39" s="1911"/>
      <c r="AQ39" s="1911"/>
      <c r="AR39" s="1911"/>
      <c r="AS39" s="1911"/>
      <c r="AT39" s="1911"/>
      <c r="AU39" s="1911"/>
      <c r="AV39" s="1911"/>
      <c r="AW39" s="1911"/>
      <c r="AX39" s="1911"/>
      <c r="AY39" s="1911"/>
      <c r="AZ39" s="1911"/>
      <c r="BA39" s="1911"/>
      <c r="BB39" s="1911"/>
      <c r="BC39" s="1911"/>
      <c r="BD39" s="1911"/>
      <c r="BE39" s="1911"/>
      <c r="BF39" s="1911"/>
      <c r="BG39" s="1153"/>
      <c r="BH39" s="1153"/>
      <c r="BI39" s="980" t="s">
        <v>470</v>
      </c>
      <c r="BJ39" s="1253"/>
      <c r="BK39" s="1253"/>
      <c r="BL39" s="1161"/>
      <c r="BM39" s="1161"/>
    </row>
    <row customHeight="1" ht="21.9375" hidden="1">
      <c r="A40" s="1153"/>
      <c r="B40" s="1160"/>
      <c r="C40" s="1153"/>
      <c r="D40" s="1153"/>
      <c r="E40" s="597">
        <v>22.5</v>
      </c>
      <c r="F40" s="50" cm="1" t="str">
        <f t="array" ref="F40:F40">OFFSET(E40,-1,1)</f>
        <v>0</v>
      </c>
      <c r="G40" s="1153"/>
      <c r="H40" s="1153"/>
      <c r="I40" s="88" cm="1" t="str">
        <f t="array" ref="I40:I40">AC40</f>
        <v>0</v>
      </c>
      <c r="J40" s="1153"/>
      <c r="K40" s="1153"/>
      <c r="L40" s="1153"/>
      <c r="M40" s="1153"/>
      <c r="N40" s="1153"/>
      <c r="O40" s="1153"/>
      <c r="P40" s="1153"/>
      <c r="Q40" s="1153"/>
      <c r="R40" s="1153"/>
      <c r="S40" s="1153"/>
      <c r="T40" s="1153"/>
      <c r="U40" s="439">
        <f>AND(F40&gt;0,--RIGHT(AB40,1)&gt;1)</f>
        <v>0</v>
      </c>
      <c r="V40" s="1153"/>
      <c r="W40" s="1153"/>
      <c r="X40" s="738" t="s">
        <v>173</v>
      </c>
      <c r="Y40" s="1462"/>
      <c r="Z40" s="1484"/>
      <c r="AA40" s="393" t="s">
        <v>174</v>
      </c>
      <c r="AB40" s="187" t="s">
        <v>467</v>
      </c>
      <c r="AC40" s="1917"/>
      <c r="AD40" s="57" t="s">
        <v>469</v>
      </c>
      <c r="AE40" s="1911"/>
      <c r="AF40" s="1912"/>
      <c r="AG40" s="1913"/>
      <c r="AH40" s="1914"/>
      <c r="AI40" s="1911"/>
      <c r="AJ40" s="1912"/>
      <c r="AK40" s="1912"/>
      <c r="AL40" s="594">
        <f>IF(AI40&lt;&gt;0,AK40/AI40,0)</f>
        <v>0</v>
      </c>
      <c r="AM40" s="595">
        <f>AK40-AJ40</f>
        <v>0</v>
      </c>
      <c r="AN40" s="1914"/>
      <c r="AO40" s="1911"/>
      <c r="AP40" s="1911"/>
      <c r="AQ40" s="1911"/>
      <c r="AR40" s="1911"/>
      <c r="AS40" s="1911"/>
      <c r="AT40" s="1911"/>
      <c r="AU40" s="1911"/>
      <c r="AV40" s="1911"/>
      <c r="AW40" s="1911"/>
      <c r="AX40" s="1911"/>
      <c r="AY40" s="1911"/>
      <c r="AZ40" s="1911"/>
      <c r="BA40" s="1911"/>
      <c r="BB40" s="1911"/>
      <c r="BC40" s="1911"/>
      <c r="BD40" s="1911"/>
      <c r="BE40" s="1911"/>
      <c r="BF40" s="1911"/>
      <c r="BG40" s="1153"/>
      <c r="BH40" s="1153"/>
      <c r="BI40" s="980" t="s">
        <v>470</v>
      </c>
      <c r="BJ40" s="980" t="s">
        <v>471</v>
      </c>
      <c r="BK40" s="980" cm="1" t="str">
        <f t="array" ref="BK40:BK40">AC40</f>
        <v>0</v>
      </c>
      <c r="BL40" s="1161"/>
      <c r="BM40" s="597" t="b">
        <v>1</v>
      </c>
    </row>
    <row customHeight="1" ht="14.625" hidden="1">
      <c r="A41" s="1153"/>
      <c r="B41" s="1160"/>
      <c r="C41" s="1153"/>
      <c r="D41" s="1153"/>
      <c r="E41" s="597">
        <v>15</v>
      </c>
      <c r="F41" s="50" cm="1" t="str">
        <f t="array" ref="F41:F41">OFFSET(E41,-1,1)</f>
        <v>0</v>
      </c>
      <c r="G41" s="1153"/>
      <c r="H41" s="1153"/>
      <c r="I41" s="1153"/>
      <c r="J41" s="1153"/>
      <c r="K41" s="1153"/>
      <c r="L41" s="1153"/>
      <c r="M41" s="1153"/>
      <c r="N41" s="1153"/>
      <c r="O41" s="1153"/>
      <c r="P41" s="1153"/>
      <c r="Q41" s="1153"/>
      <c r="R41" s="1153"/>
      <c r="S41" s="1153"/>
      <c r="T41" s="1153"/>
      <c r="U41" s="439">
        <f>F41&gt;0</f>
        <v>0</v>
      </c>
      <c r="V41" s="1153"/>
      <c r="W41" s="1153"/>
      <c r="X41" s="738" t="s">
        <v>399</v>
      </c>
      <c r="Y41" s="1462"/>
      <c r="Z41" s="1484"/>
      <c r="AA41" s="1153"/>
      <c r="AB41" s="142"/>
      <c r="AC41" s="275" t="s">
        <v>177</v>
      </c>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153"/>
      <c r="BH41" s="1153"/>
      <c r="BI41" s="1253"/>
      <c r="BJ41" s="1253"/>
      <c r="BK41" s="1253"/>
      <c r="BL41" s="597" t="s">
        <v>471</v>
      </c>
      <c r="BM41" s="1161"/>
    </row>
    <row customHeight="1" ht="21.9375" hidden="1">
      <c r="A42" s="1153"/>
      <c r="B42" s="1160"/>
      <c r="C42" s="1153"/>
      <c r="D42" s="1153"/>
      <c r="E42" s="597">
        <v>22.5</v>
      </c>
      <c r="F42" s="50" cm="1" t="str">
        <f t="array" ref="F42:F42">OFFSET(E42,-1,1)</f>
        <v>0</v>
      </c>
      <c r="G42" s="1153"/>
      <c r="H42" s="88" t="s">
        <v>472</v>
      </c>
      <c r="I42" s="1153"/>
      <c r="J42" s="1153"/>
      <c r="K42" s="1153"/>
      <c r="L42" s="1153"/>
      <c r="M42" s="1153"/>
      <c r="N42" s="1153"/>
      <c r="O42" s="1153"/>
      <c r="P42" s="1153"/>
      <c r="Q42" s="1153"/>
      <c r="R42" s="1153"/>
      <c r="S42" s="1153"/>
      <c r="T42" s="1153"/>
      <c r="U42" s="439" cm="1" t="str">
        <f t="array" ref="U42:U42">U41</f>
        <v>false</v>
      </c>
      <c r="V42" s="1153"/>
      <c r="W42" s="1153"/>
      <c r="X42" s="1153"/>
      <c r="Y42" s="1462"/>
      <c r="Z42" s="1484"/>
      <c r="AA42" s="1153"/>
      <c r="AB42" s="577" t="s">
        <v>473</v>
      </c>
      <c r="AC42" s="578" t="s">
        <v>474</v>
      </c>
      <c r="AD42" s="574" t="s">
        <v>469</v>
      </c>
      <c r="AE42" s="1921"/>
      <c r="AF42" s="1922"/>
      <c r="AG42" s="1923"/>
      <c r="AH42" s="1924"/>
      <c r="AI42" s="1921"/>
      <c r="AJ42" s="1922"/>
      <c r="AK42" s="1922"/>
      <c r="AL42" s="583">
        <f>IF(AI42&lt;&gt;0,AK42/AI42,0)</f>
        <v>0</v>
      </c>
      <c r="AM42" s="584">
        <f>AK42-AJ42</f>
        <v>0</v>
      </c>
      <c r="AN42" s="1924"/>
      <c r="AO42" s="1921"/>
      <c r="AP42" s="1921"/>
      <c r="AQ42" s="1921"/>
      <c r="AR42" s="1921"/>
      <c r="AS42" s="1921"/>
      <c r="AT42" s="1921"/>
      <c r="AU42" s="1921"/>
      <c r="AV42" s="1921"/>
      <c r="AW42" s="1921"/>
      <c r="AX42" s="1921"/>
      <c r="AY42" s="1921"/>
      <c r="AZ42" s="1921"/>
      <c r="BA42" s="1921"/>
      <c r="BB42" s="1921"/>
      <c r="BC42" s="1921"/>
      <c r="BD42" s="1921"/>
      <c r="BE42" s="1921"/>
      <c r="BF42" s="1921"/>
      <c r="BG42" s="1153"/>
      <c r="BH42" s="1153"/>
      <c r="BI42" s="980" t="s">
        <v>475</v>
      </c>
      <c r="BJ42" s="1253"/>
      <c r="BK42" s="1253"/>
      <c r="BL42" s="1161"/>
      <c r="BM42" s="1161"/>
    </row>
    <row customHeight="1" ht="21.9375" hidden="1">
      <c r="A43" s="1153"/>
      <c r="B43" s="1160"/>
      <c r="C43" s="1153"/>
      <c r="D43" s="1153"/>
      <c r="E43" s="597">
        <v>22.5</v>
      </c>
      <c r="F43" s="50" cm="1" t="str">
        <f t="array" ref="F43:F43">OFFSET(E43,-1,1)</f>
        <v>0</v>
      </c>
      <c r="G43" s="1153"/>
      <c r="H43" s="1153"/>
      <c r="I43" s="88" cm="1" t="str">
        <f t="array" ref="I43:I43">AC43</f>
        <v>0</v>
      </c>
      <c r="J43" s="1153"/>
      <c r="K43" s="1153"/>
      <c r="L43" s="1153"/>
      <c r="M43" s="1153"/>
      <c r="N43" s="1153"/>
      <c r="O43" s="1153"/>
      <c r="P43" s="1153"/>
      <c r="Q43" s="1153"/>
      <c r="R43" s="1153"/>
      <c r="S43" s="1153"/>
      <c r="T43" s="1153"/>
      <c r="U43" s="439">
        <f>AND(F43&gt;0,--RIGHT(AB43,1)&gt;1)</f>
        <v>0</v>
      </c>
      <c r="V43" s="1153"/>
      <c r="W43" s="1153"/>
      <c r="X43" s="738" t="s">
        <v>173</v>
      </c>
      <c r="Y43" s="1462"/>
      <c r="Z43" s="1484"/>
      <c r="AA43" s="393" t="s">
        <v>174</v>
      </c>
      <c r="AB43" s="577" t="s">
        <v>473</v>
      </c>
      <c r="AC43" s="1927"/>
      <c r="AD43" s="574" t="s">
        <v>469</v>
      </c>
      <c r="AE43" s="1921"/>
      <c r="AF43" s="1922"/>
      <c r="AG43" s="1923"/>
      <c r="AH43" s="1924"/>
      <c r="AI43" s="1921"/>
      <c r="AJ43" s="1922"/>
      <c r="AK43" s="1922"/>
      <c r="AL43" s="583">
        <f>IF(AI43&lt;&gt;0,AK43/AI43,0)</f>
        <v>0</v>
      </c>
      <c r="AM43" s="584">
        <f>AK43-AJ43</f>
        <v>0</v>
      </c>
      <c r="AN43" s="1924"/>
      <c r="AO43" s="1921"/>
      <c r="AP43" s="1921"/>
      <c r="AQ43" s="1921"/>
      <c r="AR43" s="1921"/>
      <c r="AS43" s="1921"/>
      <c r="AT43" s="1921"/>
      <c r="AU43" s="1921"/>
      <c r="AV43" s="1921"/>
      <c r="AW43" s="1921"/>
      <c r="AX43" s="1921"/>
      <c r="AY43" s="1921"/>
      <c r="AZ43" s="1921"/>
      <c r="BA43" s="1921"/>
      <c r="BB43" s="1921"/>
      <c r="BC43" s="1921"/>
      <c r="BD43" s="1921"/>
      <c r="BE43" s="1921"/>
      <c r="BF43" s="1921"/>
      <c r="BG43" s="1153"/>
      <c r="BH43" s="1153"/>
      <c r="BI43" s="980" t="s">
        <v>475</v>
      </c>
      <c r="BJ43" s="980" t="s">
        <v>476</v>
      </c>
      <c r="BK43" s="980" cm="1" t="str">
        <f t="array" ref="BK43:BK43">AC43</f>
        <v>0</v>
      </c>
      <c r="BL43" s="1161"/>
      <c r="BM43" s="597" t="b">
        <v>1</v>
      </c>
    </row>
    <row customHeight="1" ht="14.625" hidden="1">
      <c r="A44" s="1153"/>
      <c r="B44" s="1160"/>
      <c r="C44" s="1153"/>
      <c r="D44" s="1153"/>
      <c r="E44" s="597">
        <v>15</v>
      </c>
      <c r="F44" s="50" cm="1" t="str">
        <f t="array" ref="F44:F44">OFFSET(E44,-1,1)</f>
        <v>0</v>
      </c>
      <c r="G44" s="1153"/>
      <c r="H44" s="1153"/>
      <c r="I44" s="1153"/>
      <c r="J44" s="1153"/>
      <c r="K44" s="1153"/>
      <c r="L44" s="1153"/>
      <c r="M44" s="1153"/>
      <c r="N44" s="1153"/>
      <c r="O44" s="1153"/>
      <c r="P44" s="1153"/>
      <c r="Q44" s="1153"/>
      <c r="R44" s="1153"/>
      <c r="S44" s="1153"/>
      <c r="T44" s="1153"/>
      <c r="U44" s="439">
        <f>F44&gt;0</f>
        <v>0</v>
      </c>
      <c r="V44" s="1153"/>
      <c r="W44" s="1153"/>
      <c r="X44" s="738" t="s">
        <v>399</v>
      </c>
      <c r="Y44" s="1462"/>
      <c r="Z44" s="1484"/>
      <c r="AA44" s="1153"/>
      <c r="AB44" s="142"/>
      <c r="AC44" s="275" t="s">
        <v>177</v>
      </c>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153"/>
      <c r="BH44" s="1153"/>
      <c r="BI44" s="1253"/>
      <c r="BJ44" s="1253"/>
      <c r="BK44" s="1253"/>
      <c r="BL44" s="597" t="s">
        <v>476</v>
      </c>
      <c r="BM44" s="1161"/>
    </row>
    <row customHeight="1" ht="21.9375" hidden="1">
      <c r="A45" s="1153"/>
      <c r="B45" s="1160"/>
      <c r="C45" s="1153"/>
      <c r="D45" s="1153"/>
      <c r="E45" s="597">
        <v>22.5</v>
      </c>
      <c r="F45" s="50" cm="1" t="str">
        <f t="array" ref="F45:F45">OFFSET(E45,-1,1)</f>
        <v>0</v>
      </c>
      <c r="G45" s="1153"/>
      <c r="H45" s="88" t="s">
        <v>477</v>
      </c>
      <c r="I45" s="1153"/>
      <c r="J45" s="1153"/>
      <c r="K45" s="1153"/>
      <c r="L45" s="1153"/>
      <c r="M45" s="1153"/>
      <c r="N45" s="1153"/>
      <c r="O45" s="1153"/>
      <c r="P45" s="1153"/>
      <c r="Q45" s="1153"/>
      <c r="R45" s="1153"/>
      <c r="S45" s="1153"/>
      <c r="T45" s="1153"/>
      <c r="U45" s="439" cm="1" t="str">
        <f t="array" ref="U45:U45">U44</f>
        <v>false</v>
      </c>
      <c r="V45" s="1153"/>
      <c r="W45" s="1153"/>
      <c r="X45" s="1153"/>
      <c r="Y45" s="1462"/>
      <c r="Z45" s="1484"/>
      <c r="AA45" s="1153"/>
      <c r="AB45" s="89" t="s">
        <v>478</v>
      </c>
      <c r="AC45" s="159" t="s">
        <v>479</v>
      </c>
      <c r="AD45" s="58" t="s">
        <v>469</v>
      </c>
      <c r="AE45" s="1886"/>
      <c r="AF45" s="1899"/>
      <c r="AG45" s="1930"/>
      <c r="AH45" s="1887"/>
      <c r="AI45" s="1886"/>
      <c r="AJ45" s="1899"/>
      <c r="AK45" s="1899"/>
      <c r="AL45" s="248">
        <f>IF(AI45&lt;&gt;0,AK45/AI45,0)</f>
        <v>0</v>
      </c>
      <c r="AM45" s="247">
        <f>AK45-AJ45</f>
        <v>0</v>
      </c>
      <c r="AN45" s="1887"/>
      <c r="AO45" s="1886"/>
      <c r="AP45" s="1886"/>
      <c r="AQ45" s="1886"/>
      <c r="AR45" s="1886"/>
      <c r="AS45" s="1886"/>
      <c r="AT45" s="1886"/>
      <c r="AU45" s="1886"/>
      <c r="AV45" s="1886"/>
      <c r="AW45" s="1886"/>
      <c r="AX45" s="1886"/>
      <c r="AY45" s="1886"/>
      <c r="AZ45" s="1886"/>
      <c r="BA45" s="1886"/>
      <c r="BB45" s="1886"/>
      <c r="BC45" s="1886"/>
      <c r="BD45" s="1886"/>
      <c r="BE45" s="1886"/>
      <c r="BF45" s="1886"/>
      <c r="BG45" s="1153"/>
      <c r="BH45" s="1153"/>
      <c r="BI45" s="980" t="s">
        <v>480</v>
      </c>
      <c r="BJ45" s="1253"/>
      <c r="BK45" s="1253"/>
      <c r="BL45" s="1161"/>
      <c r="BM45" s="1161"/>
    </row>
    <row customHeight="1" ht="21.9375" hidden="1">
      <c r="A46" s="1153"/>
      <c r="B46" s="1160"/>
      <c r="C46" s="1153"/>
      <c r="D46" s="1153"/>
      <c r="E46" s="597">
        <v>22.5</v>
      </c>
      <c r="F46" s="50" cm="1" t="str">
        <f t="array" ref="F46:F46">OFFSET(E46,-1,1)</f>
        <v>0</v>
      </c>
      <c r="G46" s="1153"/>
      <c r="H46" s="1153"/>
      <c r="I46" s="88" cm="1" t="str">
        <f t="array" ref="I46:I46">AC46</f>
        <v>0</v>
      </c>
      <c r="J46" s="1153"/>
      <c r="K46" s="1153"/>
      <c r="L46" s="1153"/>
      <c r="M46" s="1153"/>
      <c r="N46" s="1153"/>
      <c r="O46" s="1153"/>
      <c r="P46" s="1153"/>
      <c r="Q46" s="1153"/>
      <c r="R46" s="1153"/>
      <c r="S46" s="1153"/>
      <c r="T46" s="1153"/>
      <c r="U46" s="439">
        <f>AND(F46&gt;0,--RIGHT(AB46,1)&gt;1)</f>
        <v>0</v>
      </c>
      <c r="V46" s="1153"/>
      <c r="W46" s="1153"/>
      <c r="X46" s="738" t="s">
        <v>173</v>
      </c>
      <c r="Y46" s="1462"/>
      <c r="Z46" s="1484"/>
      <c r="AA46" s="393" t="s">
        <v>174</v>
      </c>
      <c r="AB46" s="89" t="s">
        <v>478</v>
      </c>
      <c r="AC46" s="1931"/>
      <c r="AD46" s="58" t="s">
        <v>469</v>
      </c>
      <c r="AE46" s="1886"/>
      <c r="AF46" s="1899"/>
      <c r="AG46" s="1930"/>
      <c r="AH46" s="1887"/>
      <c r="AI46" s="1886"/>
      <c r="AJ46" s="1899"/>
      <c r="AK46" s="1899"/>
      <c r="AL46" s="248">
        <f>IF(AI46&lt;&gt;0,AK46/AI46,0)</f>
        <v>0</v>
      </c>
      <c r="AM46" s="247">
        <f>AK46-AJ46</f>
        <v>0</v>
      </c>
      <c r="AN46" s="1887"/>
      <c r="AO46" s="1886"/>
      <c r="AP46" s="1886"/>
      <c r="AQ46" s="1886"/>
      <c r="AR46" s="1886"/>
      <c r="AS46" s="1886"/>
      <c r="AT46" s="1886"/>
      <c r="AU46" s="1886"/>
      <c r="AV46" s="1886"/>
      <c r="AW46" s="1886"/>
      <c r="AX46" s="1886"/>
      <c r="AY46" s="1886"/>
      <c r="AZ46" s="1886"/>
      <c r="BA46" s="1886"/>
      <c r="BB46" s="1886"/>
      <c r="BC46" s="1886"/>
      <c r="BD46" s="1886"/>
      <c r="BE46" s="1886"/>
      <c r="BF46" s="1886"/>
      <c r="BG46" s="1153"/>
      <c r="BH46" s="1153"/>
      <c r="BI46" s="980" t="s">
        <v>480</v>
      </c>
      <c r="BJ46" s="980" t="s">
        <v>481</v>
      </c>
      <c r="BK46" s="980" cm="1" t="str">
        <f t="array" ref="BK46:BK46">AC46</f>
        <v>0</v>
      </c>
      <c r="BL46" s="1161"/>
      <c r="BM46" s="597" t="b">
        <v>1</v>
      </c>
    </row>
    <row customHeight="1" ht="14.625" hidden="1">
      <c r="A47" s="1153"/>
      <c r="B47" s="1160"/>
      <c r="C47" s="1153"/>
      <c r="D47" s="1153"/>
      <c r="E47" s="597">
        <v>15</v>
      </c>
      <c r="F47" s="50" cm="1" t="str">
        <f t="array" ref="F47:F47">OFFSET(E47,-1,1)</f>
        <v>0</v>
      </c>
      <c r="G47" s="1153"/>
      <c r="H47" s="1153"/>
      <c r="I47" s="1153"/>
      <c r="J47" s="1153"/>
      <c r="K47" s="1153"/>
      <c r="L47" s="1153"/>
      <c r="M47" s="1153"/>
      <c r="N47" s="1153"/>
      <c r="O47" s="1153"/>
      <c r="P47" s="1153"/>
      <c r="Q47" s="1153"/>
      <c r="R47" s="1153"/>
      <c r="S47" s="1153"/>
      <c r="T47" s="1153"/>
      <c r="U47" s="439">
        <f>F47&gt;0</f>
        <v>0</v>
      </c>
      <c r="V47" s="1153"/>
      <c r="W47" s="1153"/>
      <c r="X47" s="738" t="s">
        <v>399</v>
      </c>
      <c r="Y47" s="1462"/>
      <c r="Z47" s="1484"/>
      <c r="AA47" s="1153"/>
      <c r="AB47" s="142"/>
      <c r="AC47" s="275" t="s">
        <v>177</v>
      </c>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153"/>
      <c r="BH47" s="1153"/>
      <c r="BI47" s="1253"/>
      <c r="BJ47" s="1253"/>
      <c r="BK47" s="1253"/>
      <c r="BL47" s="597" t="s">
        <v>481</v>
      </c>
      <c r="BM47" s="1161"/>
    </row>
    <row customHeight="1" ht="21.9375" hidden="1">
      <c r="A48" s="1153"/>
      <c r="B48" s="1160"/>
      <c r="C48" s="1153"/>
      <c r="D48" s="1153"/>
      <c r="E48" s="597">
        <v>22.5</v>
      </c>
      <c r="F48" s="50" cm="1" t="str">
        <f t="array" ref="F48:F48">OFFSET(E48,-1,1)</f>
        <v>0</v>
      </c>
      <c r="G48" s="1153"/>
      <c r="H48" s="88" t="s">
        <v>482</v>
      </c>
      <c r="I48" s="1153"/>
      <c r="J48" s="1153"/>
      <c r="K48" s="1153"/>
      <c r="L48" s="1153"/>
      <c r="M48" s="1153"/>
      <c r="N48" s="1153"/>
      <c r="O48" s="1153"/>
      <c r="P48" s="1153"/>
      <c r="Q48" s="1153"/>
      <c r="R48" s="1153"/>
      <c r="S48" s="1153"/>
      <c r="T48" s="1153"/>
      <c r="U48" s="439" cm="1" t="str">
        <f t="array" ref="U48:U48">U47</f>
        <v>false</v>
      </c>
      <c r="V48" s="1153"/>
      <c r="W48" s="1153"/>
      <c r="X48" s="1153"/>
      <c r="Y48" s="1462"/>
      <c r="Z48" s="1484"/>
      <c r="AA48" s="1153"/>
      <c r="AB48" s="89" t="s">
        <v>483</v>
      </c>
      <c r="AC48" s="159" t="s">
        <v>484</v>
      </c>
      <c r="AD48" s="58" t="s">
        <v>469</v>
      </c>
      <c r="AE48" s="1886"/>
      <c r="AF48" s="1899"/>
      <c r="AG48" s="1930"/>
      <c r="AH48" s="1887"/>
      <c r="AI48" s="1886"/>
      <c r="AJ48" s="1899"/>
      <c r="AK48" s="1899"/>
      <c r="AL48" s="248">
        <f>IF(AI48&lt;&gt;0,AK48/AI48,0)</f>
        <v>0</v>
      </c>
      <c r="AM48" s="247">
        <f>AK48-AJ48</f>
        <v>0</v>
      </c>
      <c r="AN48" s="1887"/>
      <c r="AO48" s="1886"/>
      <c r="AP48" s="1886"/>
      <c r="AQ48" s="1886"/>
      <c r="AR48" s="1886"/>
      <c r="AS48" s="1886"/>
      <c r="AT48" s="1886"/>
      <c r="AU48" s="1886"/>
      <c r="AV48" s="1886"/>
      <c r="AW48" s="1886"/>
      <c r="AX48" s="1886"/>
      <c r="AY48" s="1886"/>
      <c r="AZ48" s="1886"/>
      <c r="BA48" s="1886"/>
      <c r="BB48" s="1886"/>
      <c r="BC48" s="1886"/>
      <c r="BD48" s="1886"/>
      <c r="BE48" s="1886"/>
      <c r="BF48" s="1886"/>
      <c r="BG48" s="1153"/>
      <c r="BH48" s="1153"/>
      <c r="BI48" s="980" t="s">
        <v>485</v>
      </c>
      <c r="BJ48" s="1253"/>
      <c r="BK48" s="1253"/>
      <c r="BL48" s="1161"/>
      <c r="BM48" s="1161"/>
    </row>
    <row customHeight="1" ht="21.9375" hidden="1">
      <c r="A49" s="1153"/>
      <c r="B49" s="1160"/>
      <c r="C49" s="1153"/>
      <c r="D49" s="1153"/>
      <c r="E49" s="597">
        <v>22.5</v>
      </c>
      <c r="F49" s="50" cm="1" t="str">
        <f t="array" ref="F49:F49">OFFSET(E49,-1,1)</f>
        <v>0</v>
      </c>
      <c r="G49" s="1153"/>
      <c r="H49" s="1153"/>
      <c r="I49" s="88" cm="1" t="str">
        <f t="array" ref="I49:I49">AC49</f>
        <v>0</v>
      </c>
      <c r="J49" s="1153"/>
      <c r="K49" s="1153"/>
      <c r="L49" s="1153"/>
      <c r="M49" s="1153"/>
      <c r="N49" s="1153"/>
      <c r="O49" s="1153"/>
      <c r="P49" s="1153"/>
      <c r="Q49" s="1153"/>
      <c r="R49" s="1153"/>
      <c r="S49" s="1153"/>
      <c r="T49" s="1153"/>
      <c r="U49" s="439">
        <f>AND(F49&gt;0,--RIGHT(AB49,1)&gt;1)</f>
        <v>0</v>
      </c>
      <c r="V49" s="1153"/>
      <c r="W49" s="1153"/>
      <c r="X49" s="738" t="s">
        <v>173</v>
      </c>
      <c r="Y49" s="1462"/>
      <c r="Z49" s="1484"/>
      <c r="AA49" s="393" t="s">
        <v>174</v>
      </c>
      <c r="AB49" s="89" t="s">
        <v>483</v>
      </c>
      <c r="AC49" s="1931"/>
      <c r="AD49" s="58" t="s">
        <v>469</v>
      </c>
      <c r="AE49" s="1886"/>
      <c r="AF49" s="1899"/>
      <c r="AG49" s="1930"/>
      <c r="AH49" s="1887"/>
      <c r="AI49" s="1886"/>
      <c r="AJ49" s="1899"/>
      <c r="AK49" s="1899"/>
      <c r="AL49" s="248">
        <f>IF(AI49&lt;&gt;0,AK49/AI49,0)</f>
        <v>0</v>
      </c>
      <c r="AM49" s="247">
        <f>AK49-AJ49</f>
        <v>0</v>
      </c>
      <c r="AN49" s="1887"/>
      <c r="AO49" s="1886"/>
      <c r="AP49" s="1886"/>
      <c r="AQ49" s="1886"/>
      <c r="AR49" s="1886"/>
      <c r="AS49" s="1886"/>
      <c r="AT49" s="1886"/>
      <c r="AU49" s="1886"/>
      <c r="AV49" s="1886"/>
      <c r="AW49" s="1886"/>
      <c r="AX49" s="1886"/>
      <c r="AY49" s="1886"/>
      <c r="AZ49" s="1886"/>
      <c r="BA49" s="1886"/>
      <c r="BB49" s="1886"/>
      <c r="BC49" s="1886"/>
      <c r="BD49" s="1886"/>
      <c r="BE49" s="1886"/>
      <c r="BF49" s="1886"/>
      <c r="BG49" s="1153"/>
      <c r="BH49" s="1153"/>
      <c r="BI49" s="980" t="s">
        <v>485</v>
      </c>
      <c r="BJ49" s="980" t="s">
        <v>486</v>
      </c>
      <c r="BK49" s="980" cm="1" t="str">
        <f t="array" ref="BK49:BK49">AC49</f>
        <v>0</v>
      </c>
      <c r="BL49" s="1161"/>
      <c r="BM49" s="597" t="b">
        <v>1</v>
      </c>
    </row>
    <row customHeight="1" ht="14.625" hidden="1">
      <c r="A50" s="1153"/>
      <c r="B50" s="1160"/>
      <c r="C50" s="1153"/>
      <c r="D50" s="1153"/>
      <c r="E50" s="597">
        <v>15</v>
      </c>
      <c r="F50" s="50" cm="1" t="str">
        <f t="array" ref="F50:F50">OFFSET(E50,-1,1)</f>
        <v>0</v>
      </c>
      <c r="G50" s="1153"/>
      <c r="H50" s="1153"/>
      <c r="I50" s="1153"/>
      <c r="J50" s="1153"/>
      <c r="K50" s="1153"/>
      <c r="L50" s="1153"/>
      <c r="M50" s="1153"/>
      <c r="N50" s="1153"/>
      <c r="O50" s="1153"/>
      <c r="P50" s="1153"/>
      <c r="Q50" s="1153"/>
      <c r="R50" s="1153"/>
      <c r="S50" s="1153"/>
      <c r="T50" s="1153"/>
      <c r="U50" s="439">
        <f>F50&gt;0</f>
        <v>0</v>
      </c>
      <c r="V50" s="1153"/>
      <c r="W50" s="1153"/>
      <c r="X50" s="738" t="s">
        <v>399</v>
      </c>
      <c r="Y50" s="1462"/>
      <c r="Z50" s="1484"/>
      <c r="AA50" s="1153"/>
      <c r="AB50" s="142"/>
      <c r="AC50" s="275" t="s">
        <v>177</v>
      </c>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153"/>
      <c r="BH50" s="1153"/>
      <c r="BI50" s="1253"/>
      <c r="BJ50" s="1253"/>
      <c r="BK50" s="1253"/>
      <c r="BL50" s="597" t="s">
        <v>486</v>
      </c>
      <c r="BM50" s="1161"/>
    </row>
    <row customHeight="1" ht="14.625" hidden="1">
      <c r="A51" s="1153"/>
      <c r="B51" s="1160"/>
      <c r="C51" s="1153"/>
      <c r="D51" s="1153"/>
      <c r="E51" s="597">
        <v>15</v>
      </c>
      <c r="F51" s="50" cm="1" t="str">
        <f t="array" ref="F51:F51">OFFSET(E51,-1,1)</f>
        <v>0</v>
      </c>
      <c r="G51" s="1153"/>
      <c r="H51" s="88" t="s">
        <v>329</v>
      </c>
      <c r="I51" s="1153"/>
      <c r="J51" s="1153"/>
      <c r="K51" s="1153"/>
      <c r="L51" s="1153"/>
      <c r="M51" s="1153"/>
      <c r="N51" s="1153"/>
      <c r="O51" s="1153"/>
      <c r="P51" s="1153"/>
      <c r="Q51" s="1153"/>
      <c r="R51" s="1153"/>
      <c r="S51" s="1153"/>
      <c r="T51" s="1153"/>
      <c r="U51" s="439" cm="1" t="str">
        <f t="array" ref="U51:U51">U50</f>
        <v>false</v>
      </c>
      <c r="V51" s="1153"/>
      <c r="W51" s="1153"/>
      <c r="X51" s="1153"/>
      <c r="Y51" s="1462"/>
      <c r="Z51" s="1484"/>
      <c r="AA51" s="1153"/>
      <c r="AB51" s="99">
        <v>3</v>
      </c>
      <c r="AC51" s="105" t="s">
        <v>487</v>
      </c>
      <c r="AD51" s="102" t="s">
        <v>437</v>
      </c>
      <c r="AE51" s="1886"/>
      <c r="AF51" s="1899"/>
      <c r="AG51" s="1930"/>
      <c r="AH51" s="1887"/>
      <c r="AI51" s="1886"/>
      <c r="AJ51" s="1899"/>
      <c r="AK51" s="1899"/>
      <c r="AL51" s="248">
        <f>IF(AI51&lt;&gt;0,AK51/AI51,0)</f>
        <v>0</v>
      </c>
      <c r="AM51" s="247">
        <f>AK51-AJ51</f>
        <v>0</v>
      </c>
      <c r="AN51" s="1887"/>
      <c r="AO51" s="1886"/>
      <c r="AP51" s="1886"/>
      <c r="AQ51" s="1886"/>
      <c r="AR51" s="1886"/>
      <c r="AS51" s="1886"/>
      <c r="AT51" s="1886"/>
      <c r="AU51" s="1886"/>
      <c r="AV51" s="1886"/>
      <c r="AW51" s="1886"/>
      <c r="AX51" s="1886"/>
      <c r="AY51" s="1886"/>
      <c r="AZ51" s="1886"/>
      <c r="BA51" s="1886"/>
      <c r="BB51" s="1886"/>
      <c r="BC51" s="1886"/>
      <c r="BD51" s="1886"/>
      <c r="BE51" s="1886"/>
      <c r="BF51" s="1886"/>
      <c r="BG51" s="1153"/>
      <c r="BH51" s="1153"/>
      <c r="BI51" s="980" t="s">
        <v>488</v>
      </c>
      <c r="BJ51" s="1253"/>
      <c r="BK51" s="1253"/>
      <c r="BL51" s="1161"/>
      <c r="BM51" s="1161"/>
    </row>
    <row customHeight="1" ht="14.625" hidden="1">
      <c r="A52" s="1153"/>
      <c r="B52" s="1160"/>
      <c r="C52" s="1153"/>
      <c r="D52" s="1153"/>
      <c r="E52" s="597">
        <v>15</v>
      </c>
      <c r="F52" s="50" cm="1" t="str">
        <f t="array" ref="F52:F52">OFFSET(E52,-1,1)</f>
        <v>0</v>
      </c>
      <c r="G52" s="1153"/>
      <c r="H52" s="88" t="s">
        <v>328</v>
      </c>
      <c r="I52" s="1153"/>
      <c r="J52" s="1153"/>
      <c r="K52" s="1153"/>
      <c r="L52" s="1153"/>
      <c r="M52" s="1153"/>
      <c r="N52" s="1153"/>
      <c r="O52" s="1153"/>
      <c r="P52" s="1153"/>
      <c r="Q52" s="1153"/>
      <c r="R52" s="1153"/>
      <c r="S52" s="1153"/>
      <c r="T52" s="1153"/>
      <c r="U52" s="439" cm="1" t="str">
        <f t="array" ref="U52:U52">U51</f>
        <v>false</v>
      </c>
      <c r="V52" s="1153"/>
      <c r="W52" s="1153"/>
      <c r="X52" s="1153"/>
      <c r="Y52" s="1462"/>
      <c r="Z52" s="1484"/>
      <c r="AA52" s="1153"/>
      <c r="AB52" s="99">
        <v>4</v>
      </c>
      <c r="AC52" s="105" t="s">
        <v>489</v>
      </c>
      <c r="AD52" s="102" t="s">
        <v>437</v>
      </c>
      <c r="AE52" s="1886"/>
      <c r="AF52" s="1899"/>
      <c r="AG52" s="1930"/>
      <c r="AH52" s="1887"/>
      <c r="AI52" s="1886"/>
      <c r="AJ52" s="1899"/>
      <c r="AK52" s="1899"/>
      <c r="AL52" s="248">
        <f>IF(AI52&lt;&gt;0,AK52/AI52,0)</f>
        <v>0</v>
      </c>
      <c r="AM52" s="247">
        <f>AK52-AJ52</f>
        <v>0</v>
      </c>
      <c r="AN52" s="1887"/>
      <c r="AO52" s="1886"/>
      <c r="AP52" s="1886"/>
      <c r="AQ52" s="1886"/>
      <c r="AR52" s="1886"/>
      <c r="AS52" s="1886"/>
      <c r="AT52" s="1886"/>
      <c r="AU52" s="1886"/>
      <c r="AV52" s="1886"/>
      <c r="AW52" s="1886"/>
      <c r="AX52" s="1886"/>
      <c r="AY52" s="1886"/>
      <c r="AZ52" s="1886"/>
      <c r="BA52" s="1886"/>
      <c r="BB52" s="1886"/>
      <c r="BC52" s="1886"/>
      <c r="BD52" s="1886"/>
      <c r="BE52" s="1886"/>
      <c r="BF52" s="1886"/>
      <c r="BG52" s="1153"/>
      <c r="BH52" s="1153"/>
      <c r="BI52" s="980" t="s">
        <v>490</v>
      </c>
      <c r="BJ52" s="1253"/>
      <c r="BK52" s="1253"/>
      <c r="BL52" s="1161"/>
      <c r="BM52" s="1161"/>
    </row>
    <row customHeight="1" ht="14.625" hidden="1">
      <c r="A53" s="1153"/>
      <c r="B53" s="1160"/>
      <c r="C53" s="1153"/>
      <c r="D53" s="1153"/>
      <c r="E53" s="597">
        <v>15</v>
      </c>
      <c r="F53" s="50" cm="1" t="str">
        <f t="array" ref="F53:F53">OFFSET(E53,-1,1)</f>
        <v>0</v>
      </c>
      <c r="G53" s="1153"/>
      <c r="H53" s="88" t="s">
        <v>491</v>
      </c>
      <c r="I53" s="1153"/>
      <c r="J53" s="1153"/>
      <c r="K53" s="1153"/>
      <c r="L53" s="1153"/>
      <c r="M53" s="1153"/>
      <c r="N53" s="1153"/>
      <c r="O53" s="1153"/>
      <c r="P53" s="1153"/>
      <c r="Q53" s="1153"/>
      <c r="R53" s="1153"/>
      <c r="S53" s="1153"/>
      <c r="T53" s="1153"/>
      <c r="U53" s="439" cm="1" t="str">
        <f t="array" ref="U53:U53">U52</f>
        <v>false</v>
      </c>
      <c r="V53" s="1153"/>
      <c r="W53" s="1153"/>
      <c r="X53" s="1153"/>
      <c r="Y53" s="1462"/>
      <c r="Z53" s="1484"/>
      <c r="AA53" s="1153"/>
      <c r="AB53" s="89" t="s">
        <v>492</v>
      </c>
      <c r="AC53" s="104" t="s">
        <v>493</v>
      </c>
      <c r="AD53" s="102"/>
      <c r="AE53" s="1930"/>
      <c r="AF53" s="1930"/>
      <c r="AG53" s="1930"/>
      <c r="AH53" s="1934"/>
      <c r="AI53" s="1930"/>
      <c r="AJ53" s="1930"/>
      <c r="AK53" s="1930"/>
      <c r="AL53" s="248">
        <f>IF(AI53&lt;&gt;0,AK53/AI53,0)</f>
        <v>0</v>
      </c>
      <c r="AM53" s="247">
        <f>AK53-AJ53</f>
        <v>0</v>
      </c>
      <c r="AN53" s="1934"/>
      <c r="AO53" s="1930"/>
      <c r="AP53" s="1930"/>
      <c r="AQ53" s="1930"/>
      <c r="AR53" s="1930"/>
      <c r="AS53" s="1930"/>
      <c r="AT53" s="1930"/>
      <c r="AU53" s="1930"/>
      <c r="AV53" s="1930"/>
      <c r="AW53" s="1930"/>
      <c r="AX53" s="1930"/>
      <c r="AY53" s="1930"/>
      <c r="AZ53" s="1930"/>
      <c r="BA53" s="1930"/>
      <c r="BB53" s="1930"/>
      <c r="BC53" s="1930"/>
      <c r="BD53" s="1930"/>
      <c r="BE53" s="1930"/>
      <c r="BF53" s="1930"/>
      <c r="BG53" s="1153"/>
      <c r="BH53" s="1153"/>
      <c r="BI53" s="980" t="s">
        <v>494</v>
      </c>
      <c r="BJ53" s="1253"/>
      <c r="BK53" s="1253"/>
      <c r="BL53" s="1161"/>
      <c r="BM53" s="1161"/>
    </row>
    <row customHeight="1" ht="14.625" hidden="1">
      <c r="A54" s="1153"/>
      <c r="B54" s="1160"/>
      <c r="C54" s="1153"/>
      <c r="D54" s="1153"/>
      <c r="E54" s="597">
        <v>15</v>
      </c>
      <c r="F54" s="50" cm="1" t="str">
        <f t="array" ref="F54:F54">OFFSET(E54,-1,1)</f>
        <v>0</v>
      </c>
      <c r="G54" s="1153"/>
      <c r="H54" s="88" t="s">
        <v>495</v>
      </c>
      <c r="I54" s="1153"/>
      <c r="J54" s="1153"/>
      <c r="K54" s="1153"/>
      <c r="L54" s="1153"/>
      <c r="M54" s="1153"/>
      <c r="N54" s="1153"/>
      <c r="O54" s="1153"/>
      <c r="P54" s="1153"/>
      <c r="Q54" s="1153"/>
      <c r="R54" s="1153"/>
      <c r="S54" s="1153"/>
      <c r="T54" s="1153"/>
      <c r="U54" s="439" cm="1" t="str">
        <f t="array" ref="U54:U54">U53</f>
        <v>false</v>
      </c>
      <c r="V54" s="1153"/>
      <c r="W54" s="1153"/>
      <c r="X54" s="1153"/>
      <c r="Y54" s="1462"/>
      <c r="Z54" s="1484"/>
      <c r="AA54" s="1153"/>
      <c r="AB54" s="89" t="s">
        <v>496</v>
      </c>
      <c r="AC54" s="103" t="s">
        <v>497</v>
      </c>
      <c r="AD54" s="102"/>
      <c r="AE54" s="1930"/>
      <c r="AF54" s="1930"/>
      <c r="AG54" s="1930"/>
      <c r="AH54" s="1934"/>
      <c r="AI54" s="1930"/>
      <c r="AJ54" s="1930"/>
      <c r="AK54" s="1930"/>
      <c r="AL54" s="248">
        <f>IF(AI54&lt;&gt;0,AK54/AI54,0)</f>
        <v>0</v>
      </c>
      <c r="AM54" s="247">
        <f>AK54-AJ54</f>
        <v>0</v>
      </c>
      <c r="AN54" s="1934"/>
      <c r="AO54" s="1930"/>
      <c r="AP54" s="1930"/>
      <c r="AQ54" s="1930"/>
      <c r="AR54" s="1930"/>
      <c r="AS54" s="1930"/>
      <c r="AT54" s="1930"/>
      <c r="AU54" s="1930"/>
      <c r="AV54" s="1930"/>
      <c r="AW54" s="1930"/>
      <c r="AX54" s="1930"/>
      <c r="AY54" s="1930"/>
      <c r="AZ54" s="1930"/>
      <c r="BA54" s="1930"/>
      <c r="BB54" s="1930"/>
      <c r="BC54" s="1930"/>
      <c r="BD54" s="1930"/>
      <c r="BE54" s="1930"/>
      <c r="BF54" s="1930"/>
      <c r="BG54" s="1153"/>
      <c r="BH54" s="1153"/>
      <c r="BI54" s="980" t="s">
        <v>498</v>
      </c>
      <c r="BJ54" s="1253"/>
      <c r="BK54" s="1253"/>
      <c r="BL54" s="1161"/>
      <c r="BM54" s="1161"/>
    </row>
    <row s="1935" customFormat="1" customHeight="1" ht="14.25">
      <c r="A55" s="1187"/>
      <c r="B55" s="402"/>
      <c r="C55" s="1187"/>
      <c r="D55" s="1187"/>
      <c r="E55" s="609">
        <v>15</v>
      </c>
      <c r="F55" s="730" cm="1" t="str">
        <f t="array" ref="F55:F55">Y55</f>
        <v>1</v>
      </c>
      <c r="G55" s="1187"/>
      <c r="H55" s="1187"/>
      <c r="I55" s="1187"/>
      <c r="J55" s="1187"/>
      <c r="K55" s="1187"/>
      <c r="L55" s="1187"/>
      <c r="M55" s="1187"/>
      <c r="N55" s="1187"/>
      <c r="O55" s="1187"/>
      <c r="P55" s="1187"/>
      <c r="Q55" s="1187"/>
      <c r="R55" s="1187"/>
      <c r="S55" s="1187"/>
      <c r="T55" s="1187"/>
      <c r="U55" s="439">
        <f>Y55&gt;0</f>
        <v>1</v>
      </c>
      <c r="V55" s="1187"/>
      <c r="W55" s="110" cm="1" t="str">
        <f t="array" ref="W55:W55">'Список объектов'!$AB$30</f>
        <v>Тариф 1 (Водоснабжение) - тариф на техническую воду (Оказание услуг на территории: Прокопьевский муниципальный округ (ОКТМО: 32522000) - п Калачево)</v>
      </c>
      <c r="X55" s="1187"/>
      <c r="Y55" s="1462" t="s">
        <v>272</v>
      </c>
      <c r="Z55" s="1484"/>
      <c r="AA55" s="1187"/>
      <c r="AB55" s="150" cm="1" t="str">
        <f t="array" ref="AB55:AB55">'Список объектов'!$AB$30</f>
        <v>Тариф 1 (Водоснабжение) - тариф на техническую воду (Оказание услуг на территории: Прокопьевский муниципальный округ (ОКТМО: 32522000) - п Калачево)</v>
      </c>
      <c r="AC55" s="147"/>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187"/>
      <c r="BH55" s="1187"/>
      <c r="BI55" s="996"/>
      <c r="BJ55" s="996"/>
      <c r="BK55" s="996"/>
      <c r="BL55" s="609"/>
      <c r="BM55" s="609"/>
    </row>
    <row s="1621" customFormat="1" customHeight="1" ht="14.25">
      <c r="A56" s="1153"/>
      <c r="B56" s="1160"/>
      <c r="C56" s="1153"/>
      <c r="D56" s="1153"/>
      <c r="E56" s="597">
        <v>15</v>
      </c>
      <c r="F56" s="50" cm="1" t="str">
        <f t="array" ref="F56:F56">OFFSET(E56,-1,1)</f>
        <v>1</v>
      </c>
      <c r="G56" s="88" t="s">
        <v>438</v>
      </c>
      <c r="H56" s="1153"/>
      <c r="I56" s="1153"/>
      <c r="J56" s="1153"/>
      <c r="K56" s="1153"/>
      <c r="L56" s="1153"/>
      <c r="M56" s="1153"/>
      <c r="N56" s="1153"/>
      <c r="O56" s="1153"/>
      <c r="P56" s="1153"/>
      <c r="Q56" s="1153"/>
      <c r="R56" s="1153"/>
      <c r="S56" s="1153"/>
      <c r="T56" s="1153"/>
      <c r="U56" s="439" cm="1" t="str">
        <f t="array" ref="U56:U56">U55</f>
        <v>true</v>
      </c>
      <c r="V56" s="1153"/>
      <c r="W56" s="1153"/>
      <c r="X56" s="1153"/>
      <c r="Y56" s="1462"/>
      <c r="Z56" s="1484"/>
      <c r="AA56" s="1153"/>
      <c r="AB56" s="237"/>
      <c r="AC56" s="238" t="s">
        <v>439</v>
      </c>
      <c r="AD56" s="239"/>
      <c r="AE56" s="239"/>
      <c r="AF56" s="239"/>
      <c r="AG56" s="239"/>
      <c r="AH56" s="239"/>
      <c r="AI56" s="272">
        <f>(1-AI57/100)*(1+AI58/100)*(1+AI60/100)</f>
        <v>1.03158</v>
      </c>
      <c r="AJ56" s="272">
        <f>(1-AJ57/100)*(1+AJ58/100)*(1+AJ60/100)</f>
        <v>1.03407975</v>
      </c>
      <c r="AK56" s="272">
        <f>(1-AK57/100)*(1+AK58/100)*(1+AK60/100)</f>
        <v>1.03257</v>
      </c>
      <c r="AL56" s="239"/>
      <c r="AM56" s="239"/>
      <c r="AN56" s="239"/>
      <c r="AO56" s="272">
        <f>(1-AO57/100)*(1+AO58/100)*(1+AO60/100)</f>
        <v>1</v>
      </c>
      <c r="AP56" s="272">
        <f>(1-AP57/100)*(1+AP58/100)*(1+AP60/100)</f>
        <v>1</v>
      </c>
      <c r="AQ56" s="272">
        <f>(1-AQ57/100)*(1+AQ58/100)*(1+AQ60/100)</f>
        <v>1</v>
      </c>
      <c r="AR56" s="272">
        <f>(1-AR57/100)*(1+AR58/100)*(1+AR60/100)</f>
        <v>1</v>
      </c>
      <c r="AS56" s="272">
        <f>(1-AS57/100)*(1+AS58/100)*(1+AS60/100)</f>
        <v>1</v>
      </c>
      <c r="AT56" s="272">
        <f>(1-AT57/100)*(1+AT58/100)*(1+AT60/100)</f>
        <v>1</v>
      </c>
      <c r="AU56" s="272">
        <f>(1-AU57/100)*(1+AU58/100)*(1+AU60/100)</f>
        <v>1</v>
      </c>
      <c r="AV56" s="272">
        <f>(1-AV57/100)*(1+AV58/100)*(1+AV60/100)</f>
        <v>1</v>
      </c>
      <c r="AW56" s="272">
        <f>(1-AW57/100)*(1+AW58/100)*(1+AW60/100)</f>
        <v>1</v>
      </c>
      <c r="AX56" s="272">
        <f>(1-AX57/100)*(1+AX58/100)*(1+AX60/100)</f>
        <v>1</v>
      </c>
      <c r="AY56" s="272">
        <f>(1-AY57/100)*(1+AY58/100)*(1+AY60/100)</f>
        <v>1</v>
      </c>
      <c r="AZ56" s="272">
        <f>(1-AZ57/100)*(1+AZ58/100)*(1+AZ60/100)</f>
        <v>1</v>
      </c>
      <c r="BA56" s="272">
        <f>(1-BA57/100)*(1+BA58/100)*(1+BA60/100)</f>
        <v>1</v>
      </c>
      <c r="BB56" s="272">
        <f>(1-BB57/100)*(1+BB58/100)*(1+BB60/100)</f>
        <v>1</v>
      </c>
      <c r="BC56" s="272">
        <f>(1-BC57/100)*(1+BC58/100)*(1+BC60/100)</f>
        <v>1</v>
      </c>
      <c r="BD56" s="272">
        <f>(1-BD57/100)*(1+BD58/100)*(1+BD60/100)</f>
        <v>1</v>
      </c>
      <c r="BE56" s="272">
        <f>(1-BE57/100)*(1+BE58/100)*(1+BE60/100)</f>
        <v>1</v>
      </c>
      <c r="BF56" s="272">
        <f>(1-BF57/100)*(1+BF58/100)*(1+BF60/100)</f>
        <v>1</v>
      </c>
      <c r="BG56" s="1153"/>
      <c r="BH56" s="1153"/>
      <c r="BI56" s="1253"/>
      <c r="BJ56" s="1253"/>
      <c r="BK56" s="1253"/>
      <c r="BL56" s="1161"/>
      <c r="BM56" s="1161"/>
    </row>
    <row s="1621" customFormat="1" customHeight="1" ht="21.9375">
      <c r="A57" s="1153"/>
      <c r="B57" s="419">
        <f>method_reg&lt;&gt;"Метод экономически обоснованных расходов"</f>
        <v>1</v>
      </c>
      <c r="C57" s="1153"/>
      <c r="D57" s="1153"/>
      <c r="E57" s="597">
        <v>22.5</v>
      </c>
      <c r="F57" s="50" cm="1" t="str">
        <f t="array" ref="F57:F57">OFFSET(E57,-1,1)</f>
        <v>1</v>
      </c>
      <c r="G57" s="88" t="s">
        <v>440</v>
      </c>
      <c r="H57" s="88" t="s">
        <v>441</v>
      </c>
      <c r="I57" s="1153"/>
      <c r="J57" s="1153"/>
      <c r="K57" s="1153"/>
      <c r="L57" s="1153"/>
      <c r="M57" s="1153"/>
      <c r="N57" s="1153"/>
      <c r="O57" s="1153"/>
      <c r="P57" s="1153"/>
      <c r="Q57" s="1153"/>
      <c r="R57" s="1153"/>
      <c r="S57" s="1153"/>
      <c r="T57" s="1153"/>
      <c r="U57" s="439" cm="1" t="str">
        <f t="array" ref="U57:U57">U56</f>
        <v>true</v>
      </c>
      <c r="V57" s="1153"/>
      <c r="W57" s="1153"/>
      <c r="X57" s="1153"/>
      <c r="Y57" s="1462"/>
      <c r="Z57" s="1484"/>
      <c r="AA57" s="1153"/>
      <c r="AB57" s="99">
        <v>1</v>
      </c>
      <c r="AC57" s="100" t="s">
        <v>442</v>
      </c>
      <c r="AD57" s="102" t="s">
        <v>437</v>
      </c>
      <c r="AE57" s="243"/>
      <c r="AF57" s="243"/>
      <c r="AG57" s="243"/>
      <c r="AH57" s="167"/>
      <c r="AI57" s="243">
        <v>1</v>
      </c>
      <c r="AJ57" s="243">
        <v>1.045</v>
      </c>
      <c r="AK57" s="243">
        <v>1</v>
      </c>
      <c r="AL57" s="248">
        <f>IF(AI57&lt;&gt;0,AK57/AI57,0)</f>
        <v>1</v>
      </c>
      <c r="AM57" s="247">
        <f>AK57-AJ57</f>
        <v>-0.045</v>
      </c>
      <c r="AN57" s="167"/>
      <c r="AO57" s="1886"/>
      <c r="AP57" s="1886"/>
      <c r="AQ57" s="243"/>
      <c r="AR57" s="243"/>
      <c r="AS57" s="243"/>
      <c r="AT57" s="243"/>
      <c r="AU57" s="243"/>
      <c r="AV57" s="243"/>
      <c r="AW57" s="243"/>
      <c r="AX57" s="1886"/>
      <c r="AY57" s="1886"/>
      <c r="AZ57" s="243"/>
      <c r="BA57" s="243"/>
      <c r="BB57" s="243"/>
      <c r="BC57" s="243"/>
      <c r="BD57" s="243"/>
      <c r="BE57" s="243"/>
      <c r="BF57" s="243"/>
      <c r="BG57" s="1153"/>
      <c r="BH57" s="1153"/>
      <c r="BI57" s="980" t="s">
        <v>443</v>
      </c>
      <c r="BJ57" s="1253"/>
      <c r="BK57" s="1253"/>
      <c r="BL57" s="1161"/>
      <c r="BM57" s="1161"/>
    </row>
    <row s="1621" customFormat="1" customHeight="1" ht="14.625">
      <c r="A58" s="1153"/>
      <c r="B58" s="1160"/>
      <c r="C58" s="1153"/>
      <c r="D58" s="1153"/>
      <c r="E58" s="597">
        <v>15</v>
      </c>
      <c r="F58" s="50" cm="1" t="str">
        <f t="array" ref="F58:F58">OFFSET(E58,-1,1)</f>
        <v>1</v>
      </c>
      <c r="G58" s="88" t="s">
        <v>444</v>
      </c>
      <c r="H58" s="88" t="s">
        <v>445</v>
      </c>
      <c r="I58" s="1153"/>
      <c r="J58" s="1153"/>
      <c r="K58" s="1153"/>
      <c r="L58" s="1153"/>
      <c r="M58" s="1153"/>
      <c r="N58" s="1153"/>
      <c r="O58" s="1153"/>
      <c r="P58" s="1153"/>
      <c r="Q58" s="1153"/>
      <c r="R58" s="1153"/>
      <c r="S58" s="1153"/>
      <c r="T58" s="1153"/>
      <c r="U58" s="439" cm="1" t="str">
        <f t="array" ref="U58:U58">U57</f>
        <v>true</v>
      </c>
      <c r="V58" s="1153"/>
      <c r="W58" s="1153"/>
      <c r="X58" s="1153"/>
      <c r="Y58" s="1462"/>
      <c r="Z58" s="1484"/>
      <c r="AA58" s="1153"/>
      <c r="AB58" s="99">
        <f>IF(B57,2,1)</f>
        <v>2</v>
      </c>
      <c r="AC58" s="101" t="s">
        <v>446</v>
      </c>
      <c r="AD58" s="102" t="s">
        <v>437</v>
      </c>
      <c r="AE58" s="243">
        <v>7.2</v>
      </c>
      <c r="AF58" s="243"/>
      <c r="AG58" s="243"/>
      <c r="AH58" s="167"/>
      <c r="AI58" s="243">
        <v>4.2</v>
      </c>
      <c r="AJ58" s="243">
        <v>4.5</v>
      </c>
      <c r="AK58" s="243">
        <v>4.3</v>
      </c>
      <c r="AL58" s="248">
        <f>IF(AI58&lt;&gt;0,AK58/AI58,0)</f>
        <v>1.02380952380952</v>
      </c>
      <c r="AM58" s="247">
        <f>AK58-AJ58</f>
        <v>-0.2</v>
      </c>
      <c r="AN58" s="167"/>
      <c r="AO58" s="1886"/>
      <c r="AP58" s="1886"/>
      <c r="AQ58" s="243"/>
      <c r="AR58" s="243"/>
      <c r="AS58" s="243"/>
      <c r="AT58" s="243"/>
      <c r="AU58" s="243"/>
      <c r="AV58" s="243"/>
      <c r="AW58" s="243"/>
      <c r="AX58" s="1886"/>
      <c r="AY58" s="1886"/>
      <c r="AZ58" s="243"/>
      <c r="BA58" s="243"/>
      <c r="BB58" s="243"/>
      <c r="BC58" s="243"/>
      <c r="BD58" s="243"/>
      <c r="BE58" s="243"/>
      <c r="BF58" s="243"/>
      <c r="BG58" s="1153"/>
      <c r="BH58" s="1153"/>
      <c r="BI58" s="980" t="s">
        <v>447</v>
      </c>
      <c r="BJ58" s="1253"/>
      <c r="BK58" s="1253"/>
      <c r="BL58" s="1161"/>
      <c r="BM58" s="1161"/>
    </row>
    <row s="1621" customFormat="1" customHeight="1" ht="14.625">
      <c r="A59" s="1153"/>
      <c r="B59" s="1160"/>
      <c r="C59" s="1153"/>
      <c r="D59" s="1153"/>
      <c r="E59" s="597">
        <v>15</v>
      </c>
      <c r="F59" s="50" cm="1" t="str">
        <f t="array" ref="F59:F59">OFFSET(E59,-1,1)</f>
        <v>1</v>
      </c>
      <c r="G59" s="1153"/>
      <c r="H59" s="88" t="s">
        <v>448</v>
      </c>
      <c r="I59" s="1153"/>
      <c r="J59" s="1153"/>
      <c r="K59" s="1153"/>
      <c r="L59" s="1153"/>
      <c r="M59" s="1153"/>
      <c r="N59" s="1153"/>
      <c r="O59" s="1153"/>
      <c r="P59" s="1153"/>
      <c r="Q59" s="1153"/>
      <c r="R59" s="1153"/>
      <c r="S59" s="1153"/>
      <c r="T59" s="1153"/>
      <c r="U59" s="439" cm="1" t="str">
        <f t="array" ref="U59:U59">U58</f>
        <v>true</v>
      </c>
      <c r="V59" s="1153"/>
      <c r="W59" s="1153"/>
      <c r="X59" s="1153"/>
      <c r="Y59" s="1462"/>
      <c r="Z59" s="1484"/>
      <c r="AA59" s="1153"/>
      <c r="AB59" s="99">
        <f>AB58+1</f>
        <v>3</v>
      </c>
      <c r="AC59" s="103" t="s">
        <v>449</v>
      </c>
      <c r="AD59" s="102" t="s">
        <v>437</v>
      </c>
      <c r="AE59" s="243">
        <v>5.6</v>
      </c>
      <c r="AF59" s="243"/>
      <c r="AG59" s="243"/>
      <c r="AH59" s="167"/>
      <c r="AI59" s="243">
        <v>4.9</v>
      </c>
      <c r="AJ59" s="243">
        <v>4</v>
      </c>
      <c r="AK59" s="243">
        <v>4</v>
      </c>
      <c r="AL59" s="248">
        <f>IF(AI59&lt;&gt;0,AK59/AI59,0)</f>
        <v>0.816326530612245</v>
      </c>
      <c r="AM59" s="247">
        <f>AK59-AJ59</f>
        <v>0</v>
      </c>
      <c r="AN59" s="167"/>
      <c r="AO59" s="1886"/>
      <c r="AP59" s="1886"/>
      <c r="AQ59" s="243"/>
      <c r="AR59" s="243"/>
      <c r="AS59" s="243"/>
      <c r="AT59" s="243"/>
      <c r="AU59" s="243"/>
      <c r="AV59" s="243"/>
      <c r="AW59" s="243"/>
      <c r="AX59" s="1886"/>
      <c r="AY59" s="1886"/>
      <c r="AZ59" s="243"/>
      <c r="BA59" s="243"/>
      <c r="BB59" s="243"/>
      <c r="BC59" s="243"/>
      <c r="BD59" s="243"/>
      <c r="BE59" s="243"/>
      <c r="BF59" s="243"/>
      <c r="BG59" s="1153"/>
      <c r="BH59" s="1153"/>
      <c r="BI59" s="980" t="s">
        <v>450</v>
      </c>
      <c r="BJ59" s="1253"/>
      <c r="BK59" s="1253"/>
      <c r="BL59" s="1161"/>
      <c r="BM59" s="1161"/>
    </row>
    <row s="1621" customFormat="1" customHeight="1" ht="14.25">
      <c r="A60" s="1153"/>
      <c r="B60" s="419">
        <f>method_reg&lt;&gt;"Метод экономически обоснованных расходов"</f>
        <v>1</v>
      </c>
      <c r="C60" s="1153"/>
      <c r="D60" s="1153"/>
      <c r="E60" s="597">
        <v>15</v>
      </c>
      <c r="F60" s="50" cm="1" t="str">
        <f t="array" ref="F60:F60">OFFSET(E60,-1,1)</f>
        <v>1</v>
      </c>
      <c r="G60" s="88" t="s">
        <v>451</v>
      </c>
      <c r="H60" s="88" t="s">
        <v>452</v>
      </c>
      <c r="I60" s="1153"/>
      <c r="J60" s="1153"/>
      <c r="K60" s="1153"/>
      <c r="L60" s="1153"/>
      <c r="M60" s="1153"/>
      <c r="N60" s="1153"/>
      <c r="O60" s="1153"/>
      <c r="P60" s="1153"/>
      <c r="Q60" s="1153"/>
      <c r="R60" s="1153"/>
      <c r="S60" s="1153"/>
      <c r="T60" s="1153"/>
      <c r="U60" s="439" cm="1" t="str">
        <f t="array" ref="U60:U60">U59</f>
        <v>true</v>
      </c>
      <c r="V60" s="1153"/>
      <c r="W60" s="1153"/>
      <c r="X60" s="1153"/>
      <c r="Y60" s="1462"/>
      <c r="Z60" s="1484"/>
      <c r="AA60" s="1153"/>
      <c r="AB60" s="99">
        <v>4</v>
      </c>
      <c r="AC60" s="101" t="s">
        <v>453</v>
      </c>
      <c r="AD60" s="102" t="s">
        <v>437</v>
      </c>
      <c r="AE60" s="243"/>
      <c r="AF60" s="243"/>
      <c r="AG60" s="243"/>
      <c r="AH60" s="167"/>
      <c r="AI60" s="243"/>
      <c r="AJ60" s="243"/>
      <c r="AK60" s="243"/>
      <c r="AL60" s="248">
        <f>IF(AI60&lt;&gt;0,AK60/AI60,0)</f>
        <v>0</v>
      </c>
      <c r="AM60" s="247">
        <f>AK60-AJ60</f>
        <v>0</v>
      </c>
      <c r="AN60" s="167"/>
      <c r="AO60" s="1886"/>
      <c r="AP60" s="1886"/>
      <c r="AQ60" s="243"/>
      <c r="AR60" s="243"/>
      <c r="AS60" s="243"/>
      <c r="AT60" s="243"/>
      <c r="AU60" s="243"/>
      <c r="AV60" s="243"/>
      <c r="AW60" s="243"/>
      <c r="AX60" s="1886"/>
      <c r="AY60" s="1886"/>
      <c r="AZ60" s="243"/>
      <c r="BA60" s="243"/>
      <c r="BB60" s="243"/>
      <c r="BC60" s="243"/>
      <c r="BD60" s="243"/>
      <c r="BE60" s="243"/>
      <c r="BF60" s="243"/>
      <c r="BG60" s="1153"/>
      <c r="BH60" s="1153"/>
      <c r="BI60" s="980" t="s">
        <v>454</v>
      </c>
      <c r="BJ60" s="1253"/>
      <c r="BK60" s="1253"/>
      <c r="BL60" s="1161"/>
      <c r="BM60" s="1161"/>
    </row>
    <row s="1310" customFormat="1" customHeight="1" ht="14.25">
      <c r="A61" s="115"/>
      <c r="B61" s="420"/>
      <c r="C61" s="115"/>
      <c r="D61" s="115"/>
      <c r="E61" s="656">
        <v>15</v>
      </c>
      <c r="F61" s="341" cm="1" t="str">
        <f t="array" ref="F61:F61">OFFSET(E61,-1,1)</f>
        <v>1</v>
      </c>
      <c r="G61" s="115"/>
      <c r="H61" s="115"/>
      <c r="I61" s="115"/>
      <c r="J61" s="115"/>
      <c r="K61" s="115"/>
      <c r="L61" s="115"/>
      <c r="M61" s="115"/>
      <c r="N61" s="115"/>
      <c r="O61" s="115"/>
      <c r="P61" s="115"/>
      <c r="Q61" s="115"/>
      <c r="R61" s="115"/>
      <c r="S61" s="115"/>
      <c r="T61" s="115"/>
      <c r="U61" s="439" cm="1" t="str">
        <f t="array" ref="U61:U61">U60</f>
        <v>true</v>
      </c>
      <c r="V61" s="115"/>
      <c r="W61" s="115"/>
      <c r="X61" s="115"/>
      <c r="Y61" s="1462"/>
      <c r="Z61" s="1484"/>
      <c r="AA61" s="115"/>
      <c r="AB61" s="99">
        <v>5</v>
      </c>
      <c r="AC61" s="101" t="s">
        <v>455</v>
      </c>
      <c r="AD61" s="102" t="s">
        <v>437</v>
      </c>
      <c r="AE61" s="243"/>
      <c r="AF61" s="243"/>
      <c r="AG61" s="243"/>
      <c r="AH61" s="167"/>
      <c r="AI61" s="243"/>
      <c r="AJ61" s="243"/>
      <c r="AK61" s="243"/>
      <c r="AL61" s="248">
        <f>IF(AI61&lt;&gt;0,AK61/AI61,0)</f>
        <v>0</v>
      </c>
      <c r="AM61" s="247">
        <f>AK61-AJ61</f>
        <v>0</v>
      </c>
      <c r="AN61" s="167"/>
      <c r="AO61" s="1886"/>
      <c r="AP61" s="1886"/>
      <c r="AQ61" s="243"/>
      <c r="AR61" s="243"/>
      <c r="AS61" s="243"/>
      <c r="AT61" s="243"/>
      <c r="AU61" s="243"/>
      <c r="AV61" s="243"/>
      <c r="AW61" s="243"/>
      <c r="AX61" s="1886"/>
      <c r="AY61" s="1886"/>
      <c r="AZ61" s="243"/>
      <c r="BA61" s="243"/>
      <c r="BB61" s="243"/>
      <c r="BC61" s="243"/>
      <c r="BD61" s="243"/>
      <c r="BE61" s="243"/>
      <c r="BF61" s="243"/>
      <c r="BG61" s="115"/>
      <c r="BH61" s="115"/>
      <c r="BI61" s="1022" t="s">
        <v>456</v>
      </c>
      <c r="BJ61" s="1022"/>
      <c r="BK61" s="1022"/>
      <c r="BL61" s="656"/>
      <c r="BM61" s="656"/>
    </row>
    <row s="1621" customFormat="1" customHeight="1" ht="14.25">
      <c r="A62" s="1153"/>
      <c r="B62" s="1160"/>
      <c r="C62" s="1153"/>
      <c r="D62" s="1153"/>
      <c r="E62" s="597">
        <v>15</v>
      </c>
      <c r="F62" s="50" cm="1" t="str">
        <f t="array" ref="F62:F62">OFFSET(E62,-1,1)</f>
        <v>1</v>
      </c>
      <c r="G62" s="1153"/>
      <c r="H62" s="1153"/>
      <c r="I62" s="1153"/>
      <c r="J62" s="1153"/>
      <c r="K62" s="1153"/>
      <c r="L62" s="1153"/>
      <c r="M62" s="1153"/>
      <c r="N62" s="1153"/>
      <c r="O62" s="1153"/>
      <c r="P62" s="1153"/>
      <c r="Q62" s="1153"/>
      <c r="R62" s="1153"/>
      <c r="S62" s="1153"/>
      <c r="T62" s="1153"/>
      <c r="U62" s="439" cm="1" t="str">
        <f t="array" ref="U62:U62">U60</f>
        <v>true</v>
      </c>
      <c r="V62" s="1153"/>
      <c r="W62" s="1153"/>
      <c r="X62" s="1153"/>
      <c r="Y62" s="1462"/>
      <c r="Z62" s="1484"/>
      <c r="AA62" s="1153"/>
      <c r="AB62" s="237"/>
      <c r="AC62" s="238" t="s">
        <v>457</v>
      </c>
      <c r="AD62" s="239"/>
      <c r="AE62" s="244"/>
      <c r="AF62" s="244"/>
      <c r="AG62" s="244"/>
      <c r="AH62" s="239"/>
      <c r="AI62" s="244"/>
      <c r="AJ62" s="244"/>
      <c r="AK62" s="244"/>
      <c r="AL62" s="249"/>
      <c r="AM62" s="244"/>
      <c r="AN62" s="239"/>
      <c r="AO62" s="244"/>
      <c r="AP62" s="244"/>
      <c r="AQ62" s="244"/>
      <c r="AR62" s="244"/>
      <c r="AS62" s="244"/>
      <c r="AT62" s="244"/>
      <c r="AU62" s="244"/>
      <c r="AV62" s="244"/>
      <c r="AW62" s="244"/>
      <c r="AX62" s="244"/>
      <c r="AY62" s="244"/>
      <c r="AZ62" s="244"/>
      <c r="BA62" s="244"/>
      <c r="BB62" s="244"/>
      <c r="BC62" s="244"/>
      <c r="BD62" s="244"/>
      <c r="BE62" s="244"/>
      <c r="BF62" s="250"/>
      <c r="BG62" s="1153"/>
      <c r="BH62" s="1153"/>
      <c r="BI62" s="1253"/>
      <c r="BJ62" s="1253"/>
      <c r="BK62" s="1253"/>
      <c r="BL62" s="1161"/>
      <c r="BM62" s="1161"/>
    </row>
    <row s="1621" customFormat="1" customHeight="1" ht="14.625">
      <c r="A63" s="1153"/>
      <c r="B63" s="1160"/>
      <c r="C63" s="1153"/>
      <c r="D63" s="1153"/>
      <c r="E63" s="597">
        <v>15</v>
      </c>
      <c r="F63" s="50" cm="1" t="str">
        <f t="array" ref="F63:F63">OFFSET(E63,-1,1)</f>
        <v>1</v>
      </c>
      <c r="G63" s="88" t="s">
        <v>458</v>
      </c>
      <c r="H63" s="88" t="s">
        <v>459</v>
      </c>
      <c r="I63" s="1153"/>
      <c r="J63" s="1153"/>
      <c r="K63" s="1153"/>
      <c r="L63" s="1153"/>
      <c r="M63" s="1153"/>
      <c r="N63" s="1153"/>
      <c r="O63" s="1153"/>
      <c r="P63" s="1153"/>
      <c r="Q63" s="1153"/>
      <c r="R63" s="1153"/>
      <c r="S63" s="1153"/>
      <c r="T63" s="1153"/>
      <c r="U63" s="439" cm="1" t="str">
        <f t="array" ref="U63:U63">U62</f>
        <v>true</v>
      </c>
      <c r="V63" s="1153"/>
      <c r="W63" s="1153"/>
      <c r="X63" s="1153"/>
      <c r="Y63" s="1462"/>
      <c r="Z63" s="1484"/>
      <c r="AA63" s="1153"/>
      <c r="AB63" s="99">
        <v>1</v>
      </c>
      <c r="AC63" s="101" t="s">
        <v>460</v>
      </c>
      <c r="AD63" s="102" t="s">
        <v>437</v>
      </c>
      <c r="AE63" s="245">
        <v>30.67</v>
      </c>
      <c r="AF63" s="245">
        <v>32.3411826516</v>
      </c>
      <c r="AG63" s="245"/>
      <c r="AH63" s="167"/>
      <c r="AI63" s="245">
        <v>30.67</v>
      </c>
      <c r="AJ63" s="245">
        <v>32.3411826516</v>
      </c>
      <c r="AK63" s="245"/>
      <c r="AL63" s="248">
        <f>IF(AI63&lt;&gt;0,AK63/AI63,0)</f>
        <v>0</v>
      </c>
      <c r="AM63" s="247">
        <f>AK63-AJ63</f>
        <v>-32.3411826516</v>
      </c>
      <c r="AN63" s="167"/>
      <c r="AO63" s="1899"/>
      <c r="AP63" s="1899"/>
      <c r="AQ63" s="245"/>
      <c r="AR63" s="245"/>
      <c r="AS63" s="245"/>
      <c r="AT63" s="245"/>
      <c r="AU63" s="245"/>
      <c r="AV63" s="245"/>
      <c r="AW63" s="245"/>
      <c r="AX63" s="1899"/>
      <c r="AY63" s="1899"/>
      <c r="AZ63" s="245"/>
      <c r="BA63" s="245"/>
      <c r="BB63" s="245"/>
      <c r="BC63" s="245"/>
      <c r="BD63" s="245"/>
      <c r="BE63" s="245"/>
      <c r="BF63" s="245"/>
      <c r="BG63" s="1153"/>
      <c r="BH63" s="1153"/>
      <c r="BI63" s="980" t="s">
        <v>461</v>
      </c>
      <c r="BJ63" s="1253"/>
      <c r="BK63" s="1253"/>
      <c r="BL63" s="1161"/>
      <c r="BM63" s="1161"/>
    </row>
    <row s="1621" customFormat="1" customHeight="1" ht="15" hidden="1">
      <c r="A64" s="1153"/>
      <c r="B64" s="1160"/>
      <c r="C64" s="1153"/>
      <c r="D64" s="1153"/>
      <c r="E64" s="597">
        <v>0</v>
      </c>
      <c r="F64" s="50" cm="1" t="str">
        <f t="array" ref="F64:F64">OFFSET(E64,-1,1)</f>
        <v>1</v>
      </c>
      <c r="G64" s="1153"/>
      <c r="H64" s="88" t="s">
        <v>462</v>
      </c>
      <c r="I64" s="1153"/>
      <c r="J64" s="1153"/>
      <c r="K64" s="1153"/>
      <c r="L64" s="1153"/>
      <c r="M64" s="1153"/>
      <c r="N64" s="1153"/>
      <c r="O64" s="1153"/>
      <c r="P64" s="1153"/>
      <c r="Q64" s="1153"/>
      <c r="R64" s="1153"/>
      <c r="S64" s="1153"/>
      <c r="T64" s="1153"/>
      <c r="U64" s="439" cm="1" t="str">
        <f t="array" ref="U64:U64">U63</f>
        <v>true</v>
      </c>
      <c r="V64" s="1153"/>
      <c r="W64" s="1153"/>
      <c r="X64" s="1153"/>
      <c r="Y64" s="1462"/>
      <c r="Z64" s="1484"/>
      <c r="AA64" s="1153"/>
      <c r="AB64" s="99">
        <v>2</v>
      </c>
      <c r="AC64" s="101" t="s">
        <v>436</v>
      </c>
      <c r="AD64" s="102" t="s">
        <v>437</v>
      </c>
      <c r="AE64" s="1899"/>
      <c r="AF64" s="1886"/>
      <c r="AG64" s="1899"/>
      <c r="AH64" s="1887"/>
      <c r="AI64" s="1899"/>
      <c r="AJ64" s="1899"/>
      <c r="AK64" s="1899"/>
      <c r="AL64" s="248">
        <f>IF(AI64&lt;&gt;0,AK64/AI64,0)</f>
        <v>0</v>
      </c>
      <c r="AM64" s="247">
        <f>AK64-AJ64</f>
        <v>0</v>
      </c>
      <c r="AN64" s="1887"/>
      <c r="AO64" s="1899"/>
      <c r="AP64" s="1899"/>
      <c r="AQ64" s="1899"/>
      <c r="AR64" s="1899"/>
      <c r="AS64" s="1899"/>
      <c r="AT64" s="1899"/>
      <c r="AU64" s="1899"/>
      <c r="AV64" s="1899"/>
      <c r="AW64" s="1899"/>
      <c r="AX64" s="1899"/>
      <c r="AY64" s="1899"/>
      <c r="AZ64" s="1899"/>
      <c r="BA64" s="1899"/>
      <c r="BB64" s="1899"/>
      <c r="BC64" s="1899"/>
      <c r="BD64" s="1899"/>
      <c r="BE64" s="1899"/>
      <c r="BF64" s="1899"/>
      <c r="BG64" s="1153"/>
      <c r="BH64" s="1153"/>
      <c r="BI64" s="980" t="s">
        <v>463</v>
      </c>
      <c r="BJ64" s="1253"/>
      <c r="BK64" s="1253"/>
      <c r="BL64" s="1161"/>
      <c r="BM64" s="1161"/>
    </row>
    <row s="1621" customFormat="1" customHeight="1" ht="14.25">
      <c r="A65" s="1153"/>
      <c r="B65" s="1160"/>
      <c r="C65" s="1153"/>
      <c r="D65" s="1153"/>
      <c r="E65" s="597">
        <v>15</v>
      </c>
      <c r="F65" s="50" cm="1" t="str">
        <f t="array" ref="F65:F65">OFFSET(E65,-1,1)</f>
        <v>1</v>
      </c>
      <c r="G65" s="1153"/>
      <c r="H65" s="1153"/>
      <c r="I65" s="1153"/>
      <c r="J65" s="1153"/>
      <c r="K65" s="1153"/>
      <c r="L65" s="1153"/>
      <c r="M65" s="1153"/>
      <c r="N65" s="1153"/>
      <c r="O65" s="1153"/>
      <c r="P65" s="1153"/>
      <c r="Q65" s="1153"/>
      <c r="R65" s="1153"/>
      <c r="S65" s="1153"/>
      <c r="T65" s="1153"/>
      <c r="U65" s="439" cm="1" t="str">
        <f t="array" ref="U65:U65">U64</f>
        <v>true</v>
      </c>
      <c r="V65" s="1153"/>
      <c r="W65" s="1153"/>
      <c r="X65" s="1153"/>
      <c r="Y65" s="1462"/>
      <c r="Z65" s="1484"/>
      <c r="AA65" s="1153"/>
      <c r="AB65" s="585">
        <v>2</v>
      </c>
      <c r="AC65" s="586" t="s">
        <v>464</v>
      </c>
      <c r="AD65" s="60"/>
      <c r="AE65" s="587"/>
      <c r="AF65" s="588"/>
      <c r="AG65" s="589"/>
      <c r="AH65" s="590"/>
      <c r="AI65" s="587"/>
      <c r="AJ65" s="588"/>
      <c r="AK65" s="588"/>
      <c r="AL65" s="591"/>
      <c r="AM65" s="588"/>
      <c r="AN65" s="590"/>
      <c r="AO65" s="587"/>
      <c r="AP65" s="587"/>
      <c r="AQ65" s="587"/>
      <c r="AR65" s="587"/>
      <c r="AS65" s="587"/>
      <c r="AT65" s="587"/>
      <c r="AU65" s="587"/>
      <c r="AV65" s="587"/>
      <c r="AW65" s="587"/>
      <c r="AX65" s="587"/>
      <c r="AY65" s="587"/>
      <c r="AZ65" s="587"/>
      <c r="BA65" s="587"/>
      <c r="BB65" s="587"/>
      <c r="BC65" s="587"/>
      <c r="BD65" s="587"/>
      <c r="BE65" s="587"/>
      <c r="BF65" s="587"/>
      <c r="BG65" s="1153"/>
      <c r="BH65" s="1153"/>
      <c r="BI65" s="980" t="s">
        <v>465</v>
      </c>
      <c r="BJ65" s="1253"/>
      <c r="BK65" s="1253"/>
      <c r="BL65" s="1161"/>
      <c r="BM65" s="1161"/>
    </row>
    <row s="1621" customFormat="1" customHeight="1" ht="21.75">
      <c r="A66" s="1153"/>
      <c r="B66" s="1160"/>
      <c r="C66" s="1153"/>
      <c r="D66" s="1153"/>
      <c r="E66" s="597">
        <v>22.5</v>
      </c>
      <c r="F66" s="50" cm="1" t="str">
        <f t="array" ref="F66:F66">OFFSET(E66,-1,1)</f>
        <v>1</v>
      </c>
      <c r="G66" s="1153"/>
      <c r="H66" s="88" t="s">
        <v>466</v>
      </c>
      <c r="I66" s="1153"/>
      <c r="J66" s="1153"/>
      <c r="K66" s="1153"/>
      <c r="L66" s="1153"/>
      <c r="M66" s="1153"/>
      <c r="N66" s="1153"/>
      <c r="O66" s="1153"/>
      <c r="P66" s="1153"/>
      <c r="Q66" s="1153"/>
      <c r="R66" s="1153"/>
      <c r="S66" s="1153"/>
      <c r="T66" s="1153"/>
      <c r="U66" s="439" cm="1" t="str">
        <f t="array" ref="U66:U66">U65</f>
        <v>true</v>
      </c>
      <c r="V66" s="1153"/>
      <c r="W66" s="1153"/>
      <c r="X66" s="1153"/>
      <c r="Y66" s="1462"/>
      <c r="Z66" s="1484"/>
      <c r="AA66" s="1153"/>
      <c r="AB66" s="187" t="s">
        <v>467</v>
      </c>
      <c r="AC66" s="181" t="s">
        <v>468</v>
      </c>
      <c r="AD66" s="57" t="s">
        <v>469</v>
      </c>
      <c r="AE66" s="274"/>
      <c r="AF66" s="592"/>
      <c r="AG66" s="593"/>
      <c r="AH66" s="276"/>
      <c r="AI66" s="274"/>
      <c r="AJ66" s="592"/>
      <c r="AK66" s="592"/>
      <c r="AL66" s="594">
        <f>IF(AI66&lt;&gt;0,AK66/AI66,0)</f>
        <v>0</v>
      </c>
      <c r="AM66" s="595">
        <f>AK66-AJ66</f>
        <v>0</v>
      </c>
      <c r="AN66" s="276"/>
      <c r="AO66" s="1911"/>
      <c r="AP66" s="1911"/>
      <c r="AQ66" s="274"/>
      <c r="AR66" s="274"/>
      <c r="AS66" s="274"/>
      <c r="AT66" s="274"/>
      <c r="AU66" s="274"/>
      <c r="AV66" s="274"/>
      <c r="AW66" s="274"/>
      <c r="AX66" s="1911"/>
      <c r="AY66" s="1911"/>
      <c r="AZ66" s="274"/>
      <c r="BA66" s="274"/>
      <c r="BB66" s="274"/>
      <c r="BC66" s="274"/>
      <c r="BD66" s="274"/>
      <c r="BE66" s="274"/>
      <c r="BF66" s="274"/>
      <c r="BG66" s="1153"/>
      <c r="BH66" s="1153"/>
      <c r="BI66" s="980" t="s">
        <v>470</v>
      </c>
      <c r="BJ66" s="1253"/>
      <c r="BK66" s="1253"/>
      <c r="BL66" s="1161"/>
      <c r="BM66" s="1161"/>
    </row>
    <row s="1621" customFormat="1" customHeight="1" ht="21.75" hidden="1">
      <c r="A67" s="1153"/>
      <c r="B67" s="1160"/>
      <c r="C67" s="1153"/>
      <c r="D67" s="1153"/>
      <c r="E67" s="597">
        <v>22.5</v>
      </c>
      <c r="F67" s="50" cm="1" t="str">
        <f t="array" ref="F67:F67">OFFSET(E67,-1,1)</f>
        <v>1</v>
      </c>
      <c r="G67" s="1153"/>
      <c r="H67" s="1153"/>
      <c r="I67" s="88" cm="1" t="str">
        <f t="array" ref="I67:I67">AC67</f>
        <v>0</v>
      </c>
      <c r="J67" s="1153"/>
      <c r="K67" s="1153"/>
      <c r="L67" s="1153"/>
      <c r="M67" s="1153"/>
      <c r="N67" s="1153"/>
      <c r="O67" s="1153"/>
      <c r="P67" s="1153"/>
      <c r="Q67" s="1153"/>
      <c r="R67" s="1153"/>
      <c r="S67" s="1153"/>
      <c r="T67" s="1153"/>
      <c r="U67" s="439">
        <f>AND(F67&gt;0,--RIGHT(AB67,1)&gt;1)</f>
        <v>0</v>
      </c>
      <c r="V67" s="1153"/>
      <c r="W67" s="1153"/>
      <c r="X67" s="738" t="s">
        <v>173</v>
      </c>
      <c r="Y67" s="1462"/>
      <c r="Z67" s="1484"/>
      <c r="AA67" s="393" t="s">
        <v>174</v>
      </c>
      <c r="AB67" s="187" t="s">
        <v>467</v>
      </c>
      <c r="AC67" s="1917"/>
      <c r="AD67" s="57" t="s">
        <v>469</v>
      </c>
      <c r="AE67" s="1911"/>
      <c r="AF67" s="1912"/>
      <c r="AG67" s="1913"/>
      <c r="AH67" s="1914"/>
      <c r="AI67" s="1911"/>
      <c r="AJ67" s="1912"/>
      <c r="AK67" s="1912"/>
      <c r="AL67" s="594">
        <f>IF(AI67&lt;&gt;0,AK67/AI67,0)</f>
        <v>0</v>
      </c>
      <c r="AM67" s="595">
        <f>AK67-AJ67</f>
        <v>0</v>
      </c>
      <c r="AN67" s="1914"/>
      <c r="AO67" s="1911"/>
      <c r="AP67" s="1911"/>
      <c r="AQ67" s="1911"/>
      <c r="AR67" s="1911"/>
      <c r="AS67" s="1911"/>
      <c r="AT67" s="1911"/>
      <c r="AU67" s="1911"/>
      <c r="AV67" s="1911"/>
      <c r="AW67" s="1911"/>
      <c r="AX67" s="1911"/>
      <c r="AY67" s="1911"/>
      <c r="AZ67" s="1911"/>
      <c r="BA67" s="1911"/>
      <c r="BB67" s="1911"/>
      <c r="BC67" s="1911"/>
      <c r="BD67" s="1911"/>
      <c r="BE67" s="1911"/>
      <c r="BF67" s="1911"/>
      <c r="BG67" s="1153"/>
      <c r="BH67" s="1153"/>
      <c r="BI67" s="980" t="s">
        <v>470</v>
      </c>
      <c r="BJ67" s="980" t="s">
        <v>471</v>
      </c>
      <c r="BK67" s="980" cm="1" t="str">
        <f t="array" ref="BK67:BK67">AC67</f>
        <v>0</v>
      </c>
      <c r="BL67" s="1161"/>
      <c r="BM67" s="597" t="b">
        <v>1</v>
      </c>
    </row>
    <row s="1621" customFormat="1" customHeight="1" ht="14.25">
      <c r="A68" s="1153"/>
      <c r="B68" s="1160"/>
      <c r="C68" s="1153"/>
      <c r="D68" s="1153"/>
      <c r="E68" s="597">
        <v>15</v>
      </c>
      <c r="F68" s="50" cm="1" t="str">
        <f t="array" ref="F68:F68">OFFSET(E68,-1,1)</f>
        <v>1</v>
      </c>
      <c r="G68" s="1153"/>
      <c r="H68" s="1153"/>
      <c r="I68" s="1153"/>
      <c r="J68" s="1153"/>
      <c r="K68" s="1153"/>
      <c r="L68" s="1153"/>
      <c r="M68" s="1153"/>
      <c r="N68" s="1153"/>
      <c r="O68" s="1153"/>
      <c r="P68" s="1153"/>
      <c r="Q68" s="1153"/>
      <c r="R68" s="1153"/>
      <c r="S68" s="1153"/>
      <c r="T68" s="1153"/>
      <c r="U68" s="439">
        <f>F68&gt;0</f>
        <v>1</v>
      </c>
      <c r="V68" s="1153"/>
      <c r="W68" s="1153"/>
      <c r="X68" s="738" t="s">
        <v>399</v>
      </c>
      <c r="Y68" s="1462"/>
      <c r="Z68" s="1484"/>
      <c r="AA68" s="1153"/>
      <c r="AB68" s="142"/>
      <c r="AC68" s="275" t="s">
        <v>177</v>
      </c>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153"/>
      <c r="BH68" s="1153"/>
      <c r="BI68" s="1253"/>
      <c r="BJ68" s="1253"/>
      <c r="BK68" s="1253"/>
      <c r="BL68" s="597" t="s">
        <v>471</v>
      </c>
      <c r="BM68" s="1161"/>
    </row>
    <row s="1621" customFormat="1" customHeight="1" ht="21.75">
      <c r="A69" s="1153"/>
      <c r="B69" s="1160"/>
      <c r="C69" s="1153"/>
      <c r="D69" s="1153"/>
      <c r="E69" s="597">
        <v>22.5</v>
      </c>
      <c r="F69" s="50" cm="1" t="str">
        <f t="array" ref="F69:F69">OFFSET(E69,-1,1)</f>
        <v>1</v>
      </c>
      <c r="G69" s="1153"/>
      <c r="H69" s="88" t="s">
        <v>472</v>
      </c>
      <c r="I69" s="1153"/>
      <c r="J69" s="1153"/>
      <c r="K69" s="1153"/>
      <c r="L69" s="1153"/>
      <c r="M69" s="1153"/>
      <c r="N69" s="1153"/>
      <c r="O69" s="1153"/>
      <c r="P69" s="1153"/>
      <c r="Q69" s="1153"/>
      <c r="R69" s="1153"/>
      <c r="S69" s="1153"/>
      <c r="T69" s="1153"/>
      <c r="U69" s="439" cm="1" t="str">
        <f t="array" ref="U69:U69">U68</f>
        <v>true</v>
      </c>
      <c r="V69" s="1153"/>
      <c r="W69" s="1153"/>
      <c r="X69" s="1153"/>
      <c r="Y69" s="1462"/>
      <c r="Z69" s="1484"/>
      <c r="AA69" s="1153"/>
      <c r="AB69" s="577" t="s">
        <v>473</v>
      </c>
      <c r="AC69" s="578" t="s">
        <v>474</v>
      </c>
      <c r="AD69" s="574" t="s">
        <v>469</v>
      </c>
      <c r="AE69" s="579"/>
      <c r="AF69" s="580"/>
      <c r="AG69" s="581"/>
      <c r="AH69" s="582"/>
      <c r="AI69" s="579"/>
      <c r="AJ69" s="580"/>
      <c r="AK69" s="580"/>
      <c r="AL69" s="583">
        <f>IF(AI69&lt;&gt;0,AK69/AI69,0)</f>
        <v>0</v>
      </c>
      <c r="AM69" s="584">
        <f>AK69-AJ69</f>
        <v>0</v>
      </c>
      <c r="AN69" s="582"/>
      <c r="AO69" s="1921"/>
      <c r="AP69" s="1921"/>
      <c r="AQ69" s="579"/>
      <c r="AR69" s="579"/>
      <c r="AS69" s="579"/>
      <c r="AT69" s="579"/>
      <c r="AU69" s="579"/>
      <c r="AV69" s="579"/>
      <c r="AW69" s="579"/>
      <c r="AX69" s="1921"/>
      <c r="AY69" s="1921"/>
      <c r="AZ69" s="579"/>
      <c r="BA69" s="579"/>
      <c r="BB69" s="579"/>
      <c r="BC69" s="579"/>
      <c r="BD69" s="579"/>
      <c r="BE69" s="579"/>
      <c r="BF69" s="579"/>
      <c r="BG69" s="1153"/>
      <c r="BH69" s="1153"/>
      <c r="BI69" s="980" t="s">
        <v>475</v>
      </c>
      <c r="BJ69" s="1253"/>
      <c r="BK69" s="1253"/>
      <c r="BL69" s="1161"/>
      <c r="BM69" s="1161"/>
    </row>
    <row s="1621" customFormat="1" customHeight="1" ht="21.75" hidden="1">
      <c r="A70" s="1153"/>
      <c r="B70" s="1160"/>
      <c r="C70" s="1153"/>
      <c r="D70" s="1153"/>
      <c r="E70" s="597">
        <v>22.5</v>
      </c>
      <c r="F70" s="50" cm="1" t="str">
        <f t="array" ref="F70:F70">OFFSET(E70,-1,1)</f>
        <v>1</v>
      </c>
      <c r="G70" s="1153"/>
      <c r="H70" s="1153"/>
      <c r="I70" s="88" cm="1" t="str">
        <f t="array" ref="I70:I70">AC70</f>
        <v>0</v>
      </c>
      <c r="J70" s="1153"/>
      <c r="K70" s="1153"/>
      <c r="L70" s="1153"/>
      <c r="M70" s="1153"/>
      <c r="N70" s="1153"/>
      <c r="O70" s="1153"/>
      <c r="P70" s="1153"/>
      <c r="Q70" s="1153"/>
      <c r="R70" s="1153"/>
      <c r="S70" s="1153"/>
      <c r="T70" s="1153"/>
      <c r="U70" s="439">
        <f>AND(F70&gt;0,--RIGHT(AB70,1)&gt;1)</f>
        <v>0</v>
      </c>
      <c r="V70" s="1153"/>
      <c r="W70" s="1153"/>
      <c r="X70" s="738" t="s">
        <v>173</v>
      </c>
      <c r="Y70" s="1462"/>
      <c r="Z70" s="1484"/>
      <c r="AA70" s="393" t="s">
        <v>174</v>
      </c>
      <c r="AB70" s="577" t="s">
        <v>473</v>
      </c>
      <c r="AC70" s="1927"/>
      <c r="AD70" s="574" t="s">
        <v>469</v>
      </c>
      <c r="AE70" s="1921"/>
      <c r="AF70" s="1922"/>
      <c r="AG70" s="1923"/>
      <c r="AH70" s="1924"/>
      <c r="AI70" s="1921"/>
      <c r="AJ70" s="1922"/>
      <c r="AK70" s="1922"/>
      <c r="AL70" s="583">
        <f>IF(AI70&lt;&gt;0,AK70/AI70,0)</f>
        <v>0</v>
      </c>
      <c r="AM70" s="584">
        <f>AK70-AJ70</f>
        <v>0</v>
      </c>
      <c r="AN70" s="1924"/>
      <c r="AO70" s="1921"/>
      <c r="AP70" s="1921"/>
      <c r="AQ70" s="1921"/>
      <c r="AR70" s="1921"/>
      <c r="AS70" s="1921"/>
      <c r="AT70" s="1921"/>
      <c r="AU70" s="1921"/>
      <c r="AV70" s="1921"/>
      <c r="AW70" s="1921"/>
      <c r="AX70" s="1921"/>
      <c r="AY70" s="1921"/>
      <c r="AZ70" s="1921"/>
      <c r="BA70" s="1921"/>
      <c r="BB70" s="1921"/>
      <c r="BC70" s="1921"/>
      <c r="BD70" s="1921"/>
      <c r="BE70" s="1921"/>
      <c r="BF70" s="1921"/>
      <c r="BG70" s="1153"/>
      <c r="BH70" s="1153"/>
      <c r="BI70" s="980" t="s">
        <v>475</v>
      </c>
      <c r="BJ70" s="980" t="s">
        <v>476</v>
      </c>
      <c r="BK70" s="980" cm="1" t="str">
        <f t="array" ref="BK70:BK70">AC70</f>
        <v>0</v>
      </c>
      <c r="BL70" s="1161"/>
      <c r="BM70" s="597" t="b">
        <v>1</v>
      </c>
    </row>
    <row s="1621" customFormat="1" customHeight="1" ht="14.25">
      <c r="A71" s="1153"/>
      <c r="B71" s="1160"/>
      <c r="C71" s="1153"/>
      <c r="D71" s="1153"/>
      <c r="E71" s="597">
        <v>15</v>
      </c>
      <c r="F71" s="50" cm="1" t="str">
        <f t="array" ref="F71:F71">OFFSET(E71,-1,1)</f>
        <v>1</v>
      </c>
      <c r="G71" s="1153"/>
      <c r="H71" s="1153"/>
      <c r="I71" s="1153"/>
      <c r="J71" s="1153"/>
      <c r="K71" s="1153"/>
      <c r="L71" s="1153"/>
      <c r="M71" s="1153"/>
      <c r="N71" s="1153"/>
      <c r="O71" s="1153"/>
      <c r="P71" s="1153"/>
      <c r="Q71" s="1153"/>
      <c r="R71" s="1153"/>
      <c r="S71" s="1153"/>
      <c r="T71" s="1153"/>
      <c r="U71" s="439">
        <f>F71&gt;0</f>
        <v>1</v>
      </c>
      <c r="V71" s="1153"/>
      <c r="W71" s="1153"/>
      <c r="X71" s="738" t="s">
        <v>399</v>
      </c>
      <c r="Y71" s="1462"/>
      <c r="Z71" s="1484"/>
      <c r="AA71" s="1153"/>
      <c r="AB71" s="142"/>
      <c r="AC71" s="275" t="s">
        <v>177</v>
      </c>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153"/>
      <c r="BH71" s="1153"/>
      <c r="BI71" s="1253"/>
      <c r="BJ71" s="1253"/>
      <c r="BK71" s="1253"/>
      <c r="BL71" s="597" t="s">
        <v>476</v>
      </c>
      <c r="BM71" s="1161"/>
    </row>
    <row s="1621" customFormat="1" customHeight="1" ht="21.75">
      <c r="A72" s="1153"/>
      <c r="B72" s="1160"/>
      <c r="C72" s="1153"/>
      <c r="D72" s="1153"/>
      <c r="E72" s="597">
        <v>22.5</v>
      </c>
      <c r="F72" s="50" cm="1" t="str">
        <f t="array" ref="F72:F72">OFFSET(E72,-1,1)</f>
        <v>1</v>
      </c>
      <c r="G72" s="1153"/>
      <c r="H72" s="88" t="s">
        <v>477</v>
      </c>
      <c r="I72" s="1153"/>
      <c r="J72" s="1153"/>
      <c r="K72" s="1153"/>
      <c r="L72" s="1153"/>
      <c r="M72" s="1153"/>
      <c r="N72" s="1153"/>
      <c r="O72" s="1153"/>
      <c r="P72" s="1153"/>
      <c r="Q72" s="1153"/>
      <c r="R72" s="1153"/>
      <c r="S72" s="1153"/>
      <c r="T72" s="1153"/>
      <c r="U72" s="439" cm="1" t="str">
        <f t="array" ref="U72:U72">U71</f>
        <v>true</v>
      </c>
      <c r="V72" s="1153"/>
      <c r="W72" s="1153"/>
      <c r="X72" s="1153"/>
      <c r="Y72" s="1462"/>
      <c r="Z72" s="1484"/>
      <c r="AA72" s="1153"/>
      <c r="AB72" s="89" t="s">
        <v>478</v>
      </c>
      <c r="AC72" s="159" t="s">
        <v>479</v>
      </c>
      <c r="AD72" s="58" t="s">
        <v>469</v>
      </c>
      <c r="AE72" s="243"/>
      <c r="AF72" s="245"/>
      <c r="AG72" s="246"/>
      <c r="AH72" s="167"/>
      <c r="AI72" s="243"/>
      <c r="AJ72" s="245"/>
      <c r="AK72" s="245"/>
      <c r="AL72" s="248">
        <f>IF(AI72&lt;&gt;0,AK72/AI72,0)</f>
        <v>0</v>
      </c>
      <c r="AM72" s="247">
        <f>AK72-AJ72</f>
        <v>0</v>
      </c>
      <c r="AN72" s="167"/>
      <c r="AO72" s="1886"/>
      <c r="AP72" s="1886"/>
      <c r="AQ72" s="243"/>
      <c r="AR72" s="243"/>
      <c r="AS72" s="243"/>
      <c r="AT72" s="243"/>
      <c r="AU72" s="243"/>
      <c r="AV72" s="243"/>
      <c r="AW72" s="243"/>
      <c r="AX72" s="1886"/>
      <c r="AY72" s="1886"/>
      <c r="AZ72" s="243"/>
      <c r="BA72" s="243"/>
      <c r="BB72" s="243"/>
      <c r="BC72" s="243"/>
      <c r="BD72" s="243"/>
      <c r="BE72" s="243"/>
      <c r="BF72" s="243"/>
      <c r="BG72" s="1153"/>
      <c r="BH72" s="1153"/>
      <c r="BI72" s="980" t="s">
        <v>480</v>
      </c>
      <c r="BJ72" s="1253"/>
      <c r="BK72" s="1253"/>
      <c r="BL72" s="1161"/>
      <c r="BM72" s="1161"/>
    </row>
    <row s="1621" customFormat="1" customHeight="1" ht="21.75" hidden="1">
      <c r="A73" s="1153"/>
      <c r="B73" s="1160"/>
      <c r="C73" s="1153"/>
      <c r="D73" s="1153"/>
      <c r="E73" s="597">
        <v>22.5</v>
      </c>
      <c r="F73" s="50" cm="1" t="str">
        <f t="array" ref="F73:F73">OFFSET(E73,-1,1)</f>
        <v>1</v>
      </c>
      <c r="G73" s="1153"/>
      <c r="H73" s="1153"/>
      <c r="I73" s="88" cm="1" t="str">
        <f t="array" ref="I73:I73">AC73</f>
        <v>0</v>
      </c>
      <c r="J73" s="1153"/>
      <c r="K73" s="1153"/>
      <c r="L73" s="1153"/>
      <c r="M73" s="1153"/>
      <c r="N73" s="1153"/>
      <c r="O73" s="1153"/>
      <c r="P73" s="1153"/>
      <c r="Q73" s="1153"/>
      <c r="R73" s="1153"/>
      <c r="S73" s="1153"/>
      <c r="T73" s="1153"/>
      <c r="U73" s="439">
        <f>AND(F73&gt;0,--RIGHT(AB73,1)&gt;1)</f>
        <v>0</v>
      </c>
      <c r="V73" s="1153"/>
      <c r="W73" s="1153"/>
      <c r="X73" s="738" t="s">
        <v>173</v>
      </c>
      <c r="Y73" s="1462"/>
      <c r="Z73" s="1484"/>
      <c r="AA73" s="393" t="s">
        <v>174</v>
      </c>
      <c r="AB73" s="89" t="s">
        <v>478</v>
      </c>
      <c r="AC73" s="1931"/>
      <c r="AD73" s="58" t="s">
        <v>469</v>
      </c>
      <c r="AE73" s="1886"/>
      <c r="AF73" s="1899"/>
      <c r="AG73" s="1930"/>
      <c r="AH73" s="1887"/>
      <c r="AI73" s="1886"/>
      <c r="AJ73" s="1899"/>
      <c r="AK73" s="1899"/>
      <c r="AL73" s="248">
        <f>IF(AI73&lt;&gt;0,AK73/AI73,0)</f>
        <v>0</v>
      </c>
      <c r="AM73" s="247">
        <f>AK73-AJ73</f>
        <v>0</v>
      </c>
      <c r="AN73" s="1887"/>
      <c r="AO73" s="1886"/>
      <c r="AP73" s="1886"/>
      <c r="AQ73" s="1886"/>
      <c r="AR73" s="1886"/>
      <c r="AS73" s="1886"/>
      <c r="AT73" s="1886"/>
      <c r="AU73" s="1886"/>
      <c r="AV73" s="1886"/>
      <c r="AW73" s="1886"/>
      <c r="AX73" s="1886"/>
      <c r="AY73" s="1886"/>
      <c r="AZ73" s="1886"/>
      <c r="BA73" s="1886"/>
      <c r="BB73" s="1886"/>
      <c r="BC73" s="1886"/>
      <c r="BD73" s="1886"/>
      <c r="BE73" s="1886"/>
      <c r="BF73" s="1886"/>
      <c r="BG73" s="1153"/>
      <c r="BH73" s="1153"/>
      <c r="BI73" s="980" t="s">
        <v>480</v>
      </c>
      <c r="BJ73" s="980" t="s">
        <v>481</v>
      </c>
      <c r="BK73" s="980" cm="1" t="str">
        <f t="array" ref="BK73:BK73">AC73</f>
        <v>0</v>
      </c>
      <c r="BL73" s="1161"/>
      <c r="BM73" s="597" t="b">
        <v>1</v>
      </c>
    </row>
    <row s="1621" customFormat="1" customHeight="1" ht="14.25">
      <c r="A74" s="1153"/>
      <c r="B74" s="1160"/>
      <c r="C74" s="1153"/>
      <c r="D74" s="1153"/>
      <c r="E74" s="597">
        <v>15</v>
      </c>
      <c r="F74" s="50" cm="1" t="str">
        <f t="array" ref="F74:F74">OFFSET(E74,-1,1)</f>
        <v>1</v>
      </c>
      <c r="G74" s="1153"/>
      <c r="H74" s="1153"/>
      <c r="I74" s="1153"/>
      <c r="J74" s="1153"/>
      <c r="K74" s="1153"/>
      <c r="L74" s="1153"/>
      <c r="M74" s="1153"/>
      <c r="N74" s="1153"/>
      <c r="O74" s="1153"/>
      <c r="P74" s="1153"/>
      <c r="Q74" s="1153"/>
      <c r="R74" s="1153"/>
      <c r="S74" s="1153"/>
      <c r="T74" s="1153"/>
      <c r="U74" s="439">
        <f>F74&gt;0</f>
        <v>1</v>
      </c>
      <c r="V74" s="1153"/>
      <c r="W74" s="1153"/>
      <c r="X74" s="738" t="s">
        <v>399</v>
      </c>
      <c r="Y74" s="1462"/>
      <c r="Z74" s="1484"/>
      <c r="AA74" s="1153"/>
      <c r="AB74" s="142"/>
      <c r="AC74" s="275" t="s">
        <v>177</v>
      </c>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153"/>
      <c r="BH74" s="1153"/>
      <c r="BI74" s="1253"/>
      <c r="BJ74" s="1253"/>
      <c r="BK74" s="1253"/>
      <c r="BL74" s="597" t="s">
        <v>481</v>
      </c>
      <c r="BM74" s="1161"/>
    </row>
    <row s="1621" customFormat="1" customHeight="1" ht="23.25">
      <c r="A75" s="1153"/>
      <c r="B75" s="1160"/>
      <c r="C75" s="1153"/>
      <c r="D75" s="1153"/>
      <c r="E75" s="597">
        <v>22.5</v>
      </c>
      <c r="F75" s="50" cm="1" t="str">
        <f t="array" ref="F75:F75">OFFSET(E75,-1,1)</f>
        <v>1</v>
      </c>
      <c r="G75" s="1153"/>
      <c r="H75" s="88" t="s">
        <v>482</v>
      </c>
      <c r="I75" s="1153"/>
      <c r="J75" s="1153"/>
      <c r="K75" s="1153"/>
      <c r="L75" s="1153"/>
      <c r="M75" s="1153"/>
      <c r="N75" s="1153"/>
      <c r="O75" s="1153"/>
      <c r="P75" s="1153"/>
      <c r="Q75" s="1153"/>
      <c r="R75" s="1153"/>
      <c r="S75" s="1153"/>
      <c r="T75" s="1153"/>
      <c r="U75" s="439" cm="1" t="str">
        <f t="array" ref="U75:U75">U74</f>
        <v>true</v>
      </c>
      <c r="V75" s="1153"/>
      <c r="W75" s="1153"/>
      <c r="X75" s="1153"/>
      <c r="Y75" s="1462"/>
      <c r="Z75" s="1484"/>
      <c r="AA75" s="1153"/>
      <c r="AB75" s="89" t="s">
        <v>483</v>
      </c>
      <c r="AC75" s="159" t="s">
        <v>484</v>
      </c>
      <c r="AD75" s="58" t="s">
        <v>469</v>
      </c>
      <c r="AE75" s="243">
        <v>1337</v>
      </c>
      <c r="AF75" s="245"/>
      <c r="AG75" s="246">
        <v>1337</v>
      </c>
      <c r="AH75" s="167"/>
      <c r="AI75" s="243">
        <v>1535</v>
      </c>
      <c r="AJ75" s="245"/>
      <c r="AK75" s="245">
        <v>1658</v>
      </c>
      <c r="AL75" s="248">
        <f>IF(AI75&lt;&gt;0,AK75/AI75,0)</f>
        <v>1.08013029315961</v>
      </c>
      <c r="AM75" s="247">
        <f>AK75-AJ75</f>
        <v>1658</v>
      </c>
      <c r="AN75" s="167"/>
      <c r="AO75" s="1886"/>
      <c r="AP75" s="1886"/>
      <c r="AQ75" s="243"/>
      <c r="AR75" s="243"/>
      <c r="AS75" s="243"/>
      <c r="AT75" s="243"/>
      <c r="AU75" s="243"/>
      <c r="AV75" s="243"/>
      <c r="AW75" s="243"/>
      <c r="AX75" s="1886"/>
      <c r="AY75" s="1886"/>
      <c r="AZ75" s="243"/>
      <c r="BA75" s="243"/>
      <c r="BB75" s="243"/>
      <c r="BC75" s="243"/>
      <c r="BD75" s="243"/>
      <c r="BE75" s="243"/>
      <c r="BF75" s="243"/>
      <c r="BG75" s="1153"/>
      <c r="BH75" s="1153"/>
      <c r="BI75" s="980" t="s">
        <v>485</v>
      </c>
      <c r="BJ75" s="1253"/>
      <c r="BK75" s="1253"/>
      <c r="BL75" s="1161"/>
      <c r="BM75" s="1161"/>
    </row>
    <row s="1621" customFormat="1" customHeight="1" ht="21.75" hidden="1">
      <c r="A76" s="1153"/>
      <c r="B76" s="1160"/>
      <c r="C76" s="1153"/>
      <c r="D76" s="1153"/>
      <c r="E76" s="597">
        <v>22.5</v>
      </c>
      <c r="F76" s="50" cm="1" t="str">
        <f t="array" ref="F76:F76">OFFSET(E76,-1,1)</f>
        <v>1</v>
      </c>
      <c r="G76" s="1153"/>
      <c r="H76" s="1153"/>
      <c r="I76" s="88" cm="1" t="str">
        <f t="array" ref="I76:I76">AC76</f>
        <v>0</v>
      </c>
      <c r="J76" s="1153"/>
      <c r="K76" s="1153"/>
      <c r="L76" s="1153"/>
      <c r="M76" s="1153"/>
      <c r="N76" s="1153"/>
      <c r="O76" s="1153"/>
      <c r="P76" s="1153"/>
      <c r="Q76" s="1153"/>
      <c r="R76" s="1153"/>
      <c r="S76" s="1153"/>
      <c r="T76" s="1153"/>
      <c r="U76" s="439">
        <f>AND(F76&gt;0,--RIGHT(AB76,1)&gt;1)</f>
        <v>0</v>
      </c>
      <c r="V76" s="1153"/>
      <c r="W76" s="1153"/>
      <c r="X76" s="738" t="s">
        <v>173</v>
      </c>
      <c r="Y76" s="1462"/>
      <c r="Z76" s="1484"/>
      <c r="AA76" s="393" t="s">
        <v>174</v>
      </c>
      <c r="AB76" s="89" t="s">
        <v>483</v>
      </c>
      <c r="AC76" s="1931"/>
      <c r="AD76" s="58" t="s">
        <v>469</v>
      </c>
      <c r="AE76" s="1886"/>
      <c r="AF76" s="1899"/>
      <c r="AG76" s="1930"/>
      <c r="AH76" s="1887"/>
      <c r="AI76" s="1886"/>
      <c r="AJ76" s="1899"/>
      <c r="AK76" s="1899"/>
      <c r="AL76" s="248">
        <f>IF(AI76&lt;&gt;0,AK76/AI76,0)</f>
        <v>0</v>
      </c>
      <c r="AM76" s="247">
        <f>AK76-AJ76</f>
        <v>0</v>
      </c>
      <c r="AN76" s="1887"/>
      <c r="AO76" s="1886"/>
      <c r="AP76" s="1886"/>
      <c r="AQ76" s="1886"/>
      <c r="AR76" s="1886"/>
      <c r="AS76" s="1886"/>
      <c r="AT76" s="1886"/>
      <c r="AU76" s="1886"/>
      <c r="AV76" s="1886"/>
      <c r="AW76" s="1886"/>
      <c r="AX76" s="1886"/>
      <c r="AY76" s="1886"/>
      <c r="AZ76" s="1886"/>
      <c r="BA76" s="1886"/>
      <c r="BB76" s="1886"/>
      <c r="BC76" s="1886"/>
      <c r="BD76" s="1886"/>
      <c r="BE76" s="1886"/>
      <c r="BF76" s="1886"/>
      <c r="BG76" s="1153"/>
      <c r="BH76" s="1153"/>
      <c r="BI76" s="980" t="s">
        <v>485</v>
      </c>
      <c r="BJ76" s="980" t="s">
        <v>486</v>
      </c>
      <c r="BK76" s="980" cm="1" t="str">
        <f t="array" ref="BK76:BK76">AC76</f>
        <v>0</v>
      </c>
      <c r="BL76" s="1161"/>
      <c r="BM76" s="597" t="b">
        <v>1</v>
      </c>
    </row>
    <row s="1621" customFormat="1" customHeight="1" ht="14.25">
      <c r="A77" s="1153"/>
      <c r="B77" s="1160"/>
      <c r="C77" s="1153"/>
      <c r="D77" s="1153"/>
      <c r="E77" s="597">
        <v>15</v>
      </c>
      <c r="F77" s="50" cm="1" t="str">
        <f t="array" ref="F77:F77">OFFSET(E77,-1,1)</f>
        <v>1</v>
      </c>
      <c r="G77" s="1153"/>
      <c r="H77" s="1153"/>
      <c r="I77" s="1153"/>
      <c r="J77" s="1153"/>
      <c r="K77" s="1153"/>
      <c r="L77" s="1153"/>
      <c r="M77" s="1153"/>
      <c r="N77" s="1153"/>
      <c r="O77" s="1153"/>
      <c r="P77" s="1153"/>
      <c r="Q77" s="1153"/>
      <c r="R77" s="1153"/>
      <c r="S77" s="1153"/>
      <c r="T77" s="1153"/>
      <c r="U77" s="439">
        <f>F77&gt;0</f>
        <v>1</v>
      </c>
      <c r="V77" s="1153"/>
      <c r="W77" s="1153"/>
      <c r="X77" s="738" t="s">
        <v>399</v>
      </c>
      <c r="Y77" s="1462"/>
      <c r="Z77" s="1484"/>
      <c r="AA77" s="1153"/>
      <c r="AB77" s="142"/>
      <c r="AC77" s="275" t="s">
        <v>177</v>
      </c>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153"/>
      <c r="BH77" s="1153"/>
      <c r="BI77" s="1253"/>
      <c r="BJ77" s="1253"/>
      <c r="BK77" s="1253"/>
      <c r="BL77" s="597" t="s">
        <v>486</v>
      </c>
      <c r="BM77" s="1161"/>
    </row>
    <row s="1621" customFormat="1" customHeight="1" ht="14.625">
      <c r="A78" s="1153"/>
      <c r="B78" s="1160"/>
      <c r="C78" s="1153"/>
      <c r="D78" s="1153"/>
      <c r="E78" s="597">
        <v>15</v>
      </c>
      <c r="F78" s="50" cm="1" t="str">
        <f t="array" ref="F78:F78">OFFSET(E78,-1,1)</f>
        <v>1</v>
      </c>
      <c r="G78" s="1153"/>
      <c r="H78" s="88" t="s">
        <v>329</v>
      </c>
      <c r="I78" s="1153"/>
      <c r="J78" s="1153"/>
      <c r="K78" s="1153"/>
      <c r="L78" s="1153"/>
      <c r="M78" s="1153"/>
      <c r="N78" s="1153"/>
      <c r="O78" s="1153"/>
      <c r="P78" s="1153"/>
      <c r="Q78" s="1153"/>
      <c r="R78" s="1153"/>
      <c r="S78" s="1153"/>
      <c r="T78" s="1153"/>
      <c r="U78" s="439" cm="1" t="str">
        <f t="array" ref="U78:U78">U77</f>
        <v>true</v>
      </c>
      <c r="V78" s="1153"/>
      <c r="W78" s="1153"/>
      <c r="X78" s="1153"/>
      <c r="Y78" s="1462"/>
      <c r="Z78" s="1484"/>
      <c r="AA78" s="1153"/>
      <c r="AB78" s="99">
        <v>3</v>
      </c>
      <c r="AC78" s="105" t="s">
        <v>487</v>
      </c>
      <c r="AD78" s="102" t="s">
        <v>437</v>
      </c>
      <c r="AE78" s="243">
        <v>2.2</v>
      </c>
      <c r="AF78" s="245">
        <v>2.2</v>
      </c>
      <c r="AG78" s="246">
        <v>2.2</v>
      </c>
      <c r="AH78" s="167"/>
      <c r="AI78" s="243">
        <v>2.2</v>
      </c>
      <c r="AJ78" s="245">
        <v>2.2</v>
      </c>
      <c r="AK78" s="245">
        <v>2.2</v>
      </c>
      <c r="AL78" s="248">
        <f>IF(AI78&lt;&gt;0,AK78/AI78,0)</f>
        <v>1</v>
      </c>
      <c r="AM78" s="247">
        <f>AK78-AJ78</f>
        <v>0</v>
      </c>
      <c r="AN78" s="167"/>
      <c r="AO78" s="1886"/>
      <c r="AP78" s="1886"/>
      <c r="AQ78" s="243"/>
      <c r="AR78" s="243"/>
      <c r="AS78" s="243"/>
      <c r="AT78" s="243"/>
      <c r="AU78" s="243"/>
      <c r="AV78" s="243"/>
      <c r="AW78" s="243"/>
      <c r="AX78" s="1886"/>
      <c r="AY78" s="1886"/>
      <c r="AZ78" s="243"/>
      <c r="BA78" s="243"/>
      <c r="BB78" s="243"/>
      <c r="BC78" s="243"/>
      <c r="BD78" s="243"/>
      <c r="BE78" s="243"/>
      <c r="BF78" s="243"/>
      <c r="BG78" s="1153"/>
      <c r="BH78" s="1153"/>
      <c r="BI78" s="980" t="s">
        <v>488</v>
      </c>
      <c r="BJ78" s="1253"/>
      <c r="BK78" s="1253"/>
      <c r="BL78" s="1161"/>
      <c r="BM78" s="1161"/>
    </row>
    <row s="1621" customFormat="1" customHeight="1" ht="14.25">
      <c r="A79" s="1153"/>
      <c r="B79" s="1160"/>
      <c r="C79" s="1153"/>
      <c r="D79" s="1153"/>
      <c r="E79" s="597">
        <v>15</v>
      </c>
      <c r="F79" s="50" cm="1" t="str">
        <f t="array" ref="F79:F79">OFFSET(E79,-1,1)</f>
        <v>1</v>
      </c>
      <c r="G79" s="1153"/>
      <c r="H79" s="88" t="s">
        <v>328</v>
      </c>
      <c r="I79" s="1153"/>
      <c r="J79" s="1153"/>
      <c r="K79" s="1153"/>
      <c r="L79" s="1153"/>
      <c r="M79" s="1153"/>
      <c r="N79" s="1153"/>
      <c r="O79" s="1153"/>
      <c r="P79" s="1153"/>
      <c r="Q79" s="1153"/>
      <c r="R79" s="1153"/>
      <c r="S79" s="1153"/>
      <c r="T79" s="1153"/>
      <c r="U79" s="439" cm="1" t="str">
        <f t="array" ref="U79:U79">U78</f>
        <v>true</v>
      </c>
      <c r="V79" s="1153"/>
      <c r="W79" s="1153"/>
      <c r="X79" s="1153"/>
      <c r="Y79" s="1462"/>
      <c r="Z79" s="1484"/>
      <c r="AA79" s="1153"/>
      <c r="AB79" s="99">
        <v>4</v>
      </c>
      <c r="AC79" s="105" t="s">
        <v>489</v>
      </c>
      <c r="AD79" s="102" t="s">
        <v>437</v>
      </c>
      <c r="AE79" s="243"/>
      <c r="AF79" s="245"/>
      <c r="AG79" s="246"/>
      <c r="AH79" s="167"/>
      <c r="AI79" s="243"/>
      <c r="AJ79" s="245"/>
      <c r="AK79" s="245"/>
      <c r="AL79" s="248">
        <f>IF(AI79&lt;&gt;0,AK79/AI79,0)</f>
        <v>0</v>
      </c>
      <c r="AM79" s="247">
        <f>AK79-AJ79</f>
        <v>0</v>
      </c>
      <c r="AN79" s="167"/>
      <c r="AO79" s="1886"/>
      <c r="AP79" s="1886"/>
      <c r="AQ79" s="243"/>
      <c r="AR79" s="243"/>
      <c r="AS79" s="243"/>
      <c r="AT79" s="243"/>
      <c r="AU79" s="243"/>
      <c r="AV79" s="243"/>
      <c r="AW79" s="243"/>
      <c r="AX79" s="1886"/>
      <c r="AY79" s="1886"/>
      <c r="AZ79" s="243"/>
      <c r="BA79" s="243"/>
      <c r="BB79" s="243"/>
      <c r="BC79" s="243"/>
      <c r="BD79" s="243"/>
      <c r="BE79" s="243"/>
      <c r="BF79" s="243"/>
      <c r="BG79" s="1153"/>
      <c r="BH79" s="1153"/>
      <c r="BI79" s="980" t="s">
        <v>490</v>
      </c>
      <c r="BJ79" s="1253"/>
      <c r="BK79" s="1253"/>
      <c r="BL79" s="1161"/>
      <c r="BM79" s="1161"/>
    </row>
    <row s="1621" customFormat="1" customHeight="1" ht="14.25">
      <c r="A80" s="1153"/>
      <c r="B80" s="1160"/>
      <c r="C80" s="1153"/>
      <c r="D80" s="1153"/>
      <c r="E80" s="597">
        <v>15</v>
      </c>
      <c r="F80" s="50" cm="1" t="str">
        <f t="array" ref="F80:F80">OFFSET(E80,-1,1)</f>
        <v>1</v>
      </c>
      <c r="G80" s="1153"/>
      <c r="H80" s="88" t="s">
        <v>491</v>
      </c>
      <c r="I80" s="1153"/>
      <c r="J80" s="1153"/>
      <c r="K80" s="1153"/>
      <c r="L80" s="1153"/>
      <c r="M80" s="1153"/>
      <c r="N80" s="1153"/>
      <c r="O80" s="1153"/>
      <c r="P80" s="1153"/>
      <c r="Q80" s="1153"/>
      <c r="R80" s="1153"/>
      <c r="S80" s="1153"/>
      <c r="T80" s="1153"/>
      <c r="U80" s="439" cm="1" t="str">
        <f t="array" ref="U80:U80">U79</f>
        <v>true</v>
      </c>
      <c r="V80" s="1153"/>
      <c r="W80" s="1153"/>
      <c r="X80" s="1153"/>
      <c r="Y80" s="1462"/>
      <c r="Z80" s="1484"/>
      <c r="AA80" s="1153"/>
      <c r="AB80" s="89" t="s">
        <v>492</v>
      </c>
      <c r="AC80" s="104" t="s">
        <v>493</v>
      </c>
      <c r="AD80" s="102"/>
      <c r="AE80" s="246"/>
      <c r="AF80" s="246"/>
      <c r="AG80" s="246"/>
      <c r="AH80" s="251"/>
      <c r="AI80" s="246"/>
      <c r="AJ80" s="246"/>
      <c r="AK80" s="246"/>
      <c r="AL80" s="248">
        <f>IF(AI80&lt;&gt;0,AK80/AI80,0)</f>
        <v>0</v>
      </c>
      <c r="AM80" s="247">
        <f>AK80-AJ80</f>
        <v>0</v>
      </c>
      <c r="AN80" s="251"/>
      <c r="AO80" s="1930"/>
      <c r="AP80" s="1930"/>
      <c r="AQ80" s="246"/>
      <c r="AR80" s="246"/>
      <c r="AS80" s="246"/>
      <c r="AT80" s="246"/>
      <c r="AU80" s="246"/>
      <c r="AV80" s="246"/>
      <c r="AW80" s="246"/>
      <c r="AX80" s="1930"/>
      <c r="AY80" s="1930"/>
      <c r="AZ80" s="246"/>
      <c r="BA80" s="246"/>
      <c r="BB80" s="246"/>
      <c r="BC80" s="246"/>
      <c r="BD80" s="246"/>
      <c r="BE80" s="246"/>
      <c r="BF80" s="246"/>
      <c r="BG80" s="1153"/>
      <c r="BH80" s="1153"/>
      <c r="BI80" s="980" t="s">
        <v>494</v>
      </c>
      <c r="BJ80" s="1253"/>
      <c r="BK80" s="1253"/>
      <c r="BL80" s="1161"/>
      <c r="BM80" s="1161"/>
    </row>
    <row s="1621" customFormat="1" customHeight="1" ht="14.25">
      <c r="A81" s="1153"/>
      <c r="B81" s="1160"/>
      <c r="C81" s="1153"/>
      <c r="D81" s="1153"/>
      <c r="E81" s="597">
        <v>15</v>
      </c>
      <c r="F81" s="50" cm="1" t="str">
        <f t="array" ref="F81:F81">OFFSET(E81,-1,1)</f>
        <v>1</v>
      </c>
      <c r="G81" s="1153"/>
      <c r="H81" s="88" t="s">
        <v>495</v>
      </c>
      <c r="I81" s="1153"/>
      <c r="J81" s="1153"/>
      <c r="K81" s="1153"/>
      <c r="L81" s="1153"/>
      <c r="M81" s="1153"/>
      <c r="N81" s="1153"/>
      <c r="O81" s="1153"/>
      <c r="P81" s="1153"/>
      <c r="Q81" s="1153"/>
      <c r="R81" s="1153"/>
      <c r="S81" s="1153"/>
      <c r="T81" s="1153"/>
      <c r="U81" s="439" cm="1" t="str">
        <f t="array" ref="U81:U81">U80</f>
        <v>true</v>
      </c>
      <c r="V81" s="1153"/>
      <c r="W81" s="1153"/>
      <c r="X81" s="1153"/>
      <c r="Y81" s="1462"/>
      <c r="Z81" s="1484"/>
      <c r="AA81" s="1153"/>
      <c r="AB81" s="89" t="s">
        <v>496</v>
      </c>
      <c r="AC81" s="103" t="s">
        <v>497</v>
      </c>
      <c r="AD81" s="102"/>
      <c r="AE81" s="246"/>
      <c r="AF81" s="246"/>
      <c r="AG81" s="246"/>
      <c r="AH81" s="251"/>
      <c r="AI81" s="246"/>
      <c r="AJ81" s="246"/>
      <c r="AK81" s="246"/>
      <c r="AL81" s="248">
        <f>IF(AI81&lt;&gt;0,AK81/AI81,0)</f>
        <v>0</v>
      </c>
      <c r="AM81" s="247">
        <f>AK81-AJ81</f>
        <v>0</v>
      </c>
      <c r="AN81" s="251"/>
      <c r="AO81" s="1930"/>
      <c r="AP81" s="1930"/>
      <c r="AQ81" s="246"/>
      <c r="AR81" s="246"/>
      <c r="AS81" s="246"/>
      <c r="AT81" s="246"/>
      <c r="AU81" s="246"/>
      <c r="AV81" s="246"/>
      <c r="AW81" s="246"/>
      <c r="AX81" s="1930"/>
      <c r="AY81" s="1930"/>
      <c r="AZ81" s="246"/>
      <c r="BA81" s="246"/>
      <c r="BB81" s="246"/>
      <c r="BC81" s="246"/>
      <c r="BD81" s="246"/>
      <c r="BE81" s="246"/>
      <c r="BF81" s="246"/>
      <c r="BG81" s="1153"/>
      <c r="BH81" s="1153"/>
      <c r="BI81" s="980" t="s">
        <v>498</v>
      </c>
      <c r="BJ81" s="1253"/>
      <c r="BK81" s="1253"/>
      <c r="BL81" s="1161"/>
      <c r="BM81" s="1161"/>
    </row>
    <row s="2073" customFormat="1" customHeight="1" ht="14.25">
      <c r="A82" s="1187"/>
      <c r="B82" s="402"/>
      <c r="C82" s="1187"/>
      <c r="D82" s="1187"/>
      <c r="E82" s="609">
        <v>15</v>
      </c>
      <c r="F82" s="730" cm="1" t="str">
        <f t="array" ref="F82:F82">Y82</f>
        <v>2</v>
      </c>
      <c r="G82" s="1187"/>
      <c r="H82" s="1187"/>
      <c r="I82" s="1187"/>
      <c r="J82" s="1187"/>
      <c r="K82" s="1187"/>
      <c r="L82" s="1187"/>
      <c r="M82" s="1187"/>
      <c r="N82" s="1187"/>
      <c r="O82" s="1187"/>
      <c r="P82" s="1187"/>
      <c r="Q82" s="1187"/>
      <c r="R82" s="1187"/>
      <c r="S82" s="1187"/>
      <c r="T82" s="1187"/>
      <c r="U82" s="439">
        <f>Y82&gt;0</f>
        <v>1</v>
      </c>
      <c r="V82" s="1187"/>
      <c r="W82" s="110" cm="1" t="str">
        <f t="array" ref="W82:W82">'Список объектов'!$AB$35</f>
        <v>Тариф 2 (Водоотведение) - тариф на водоотведение (Оказание услуг на территории: Прокопьевский муниципальный округ (ОКТМО: 32522000) - п Калачево)</v>
      </c>
      <c r="X82" s="1187"/>
      <c r="Y82" s="1462" t="s">
        <v>283</v>
      </c>
      <c r="Z82" s="1484"/>
      <c r="AA82" s="1187"/>
      <c r="AB82" s="150" cm="1" t="str">
        <f t="array" ref="AB82:AB82">'Список объектов'!$AB$35</f>
        <v>Тариф 2 (Водоотведение) - тариф на водоотведение (Оказание услуг на территории: Прокопьевский муниципальный округ (ОКТМО: 32522000) - п Калачево)</v>
      </c>
      <c r="AC82" s="147"/>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187"/>
      <c r="BH82" s="1187"/>
      <c r="BI82" s="996"/>
      <c r="BJ82" s="996"/>
      <c r="BK82" s="996"/>
      <c r="BL82" s="609"/>
      <c r="BM82" s="609"/>
    </row>
    <row s="1621" customFormat="1" customHeight="1" ht="14.25">
      <c r="A83" s="1153"/>
      <c r="B83" s="1160"/>
      <c r="C83" s="1153"/>
      <c r="D83" s="1153"/>
      <c r="E83" s="597">
        <v>15</v>
      </c>
      <c r="F83" s="50" cm="1" t="str">
        <f t="array" ref="F83:F83">OFFSET(E83,-1,1)</f>
        <v>2</v>
      </c>
      <c r="G83" s="88" t="s">
        <v>438</v>
      </c>
      <c r="H83" s="1153"/>
      <c r="I83" s="1153"/>
      <c r="J83" s="1153"/>
      <c r="K83" s="1153"/>
      <c r="L83" s="1153"/>
      <c r="M83" s="1153"/>
      <c r="N83" s="1153"/>
      <c r="O83" s="1153"/>
      <c r="P83" s="1153"/>
      <c r="Q83" s="1153"/>
      <c r="R83" s="1153"/>
      <c r="S83" s="1153"/>
      <c r="T83" s="1153"/>
      <c r="U83" s="439" cm="1" t="str">
        <f t="array" ref="U83:U83">U82</f>
        <v>true</v>
      </c>
      <c r="V83" s="1153"/>
      <c r="W83" s="1153"/>
      <c r="X83" s="1153"/>
      <c r="Y83" s="1462"/>
      <c r="Z83" s="1484"/>
      <c r="AA83" s="1153"/>
      <c r="AB83" s="237"/>
      <c r="AC83" s="238" t="s">
        <v>439</v>
      </c>
      <c r="AD83" s="239"/>
      <c r="AE83" s="239"/>
      <c r="AF83" s="239"/>
      <c r="AG83" s="239"/>
      <c r="AH83" s="239"/>
      <c r="AI83" s="272">
        <f>(1-AI84/100)*(1+AI85/100)*(1+AI87/100)</f>
        <v>1.03158</v>
      </c>
      <c r="AJ83" s="272">
        <f>(1-AJ84/100)*(1+AJ85/100)*(1+AJ87/100)</f>
        <v>1.03407975</v>
      </c>
      <c r="AK83" s="272">
        <f>(1-AK84/100)*(1+AK85/100)*(1+AK87/100)</f>
        <v>1.03257</v>
      </c>
      <c r="AL83" s="239"/>
      <c r="AM83" s="239"/>
      <c r="AN83" s="239"/>
      <c r="AO83" s="272">
        <f>(1-AO84/100)*(1+AO85/100)*(1+AO87/100)</f>
        <v>1</v>
      </c>
      <c r="AP83" s="272">
        <f>(1-AP84/100)*(1+AP85/100)*(1+AP87/100)</f>
        <v>1</v>
      </c>
      <c r="AQ83" s="272">
        <f>(1-AQ84/100)*(1+AQ85/100)*(1+AQ87/100)</f>
        <v>1</v>
      </c>
      <c r="AR83" s="272">
        <f>(1-AR84/100)*(1+AR85/100)*(1+AR87/100)</f>
        <v>1</v>
      </c>
      <c r="AS83" s="272">
        <f>(1-AS84/100)*(1+AS85/100)*(1+AS87/100)</f>
        <v>1</v>
      </c>
      <c r="AT83" s="272">
        <f>(1-AT84/100)*(1+AT85/100)*(1+AT87/100)</f>
        <v>1</v>
      </c>
      <c r="AU83" s="272">
        <f>(1-AU84/100)*(1+AU85/100)*(1+AU87/100)</f>
        <v>1</v>
      </c>
      <c r="AV83" s="272">
        <f>(1-AV84/100)*(1+AV85/100)*(1+AV87/100)</f>
        <v>1</v>
      </c>
      <c r="AW83" s="272">
        <f>(1-AW84/100)*(1+AW85/100)*(1+AW87/100)</f>
        <v>1</v>
      </c>
      <c r="AX83" s="272">
        <f>(1-AX84/100)*(1+AX85/100)*(1+AX87/100)</f>
        <v>1</v>
      </c>
      <c r="AY83" s="272">
        <f>(1-AY84/100)*(1+AY85/100)*(1+AY87/100)</f>
        <v>1</v>
      </c>
      <c r="AZ83" s="272">
        <f>(1-AZ84/100)*(1+AZ85/100)*(1+AZ87/100)</f>
        <v>1</v>
      </c>
      <c r="BA83" s="272">
        <f>(1-BA84/100)*(1+BA85/100)*(1+BA87/100)</f>
        <v>1</v>
      </c>
      <c r="BB83" s="272">
        <f>(1-BB84/100)*(1+BB85/100)*(1+BB87/100)</f>
        <v>1</v>
      </c>
      <c r="BC83" s="272">
        <f>(1-BC84/100)*(1+BC85/100)*(1+BC87/100)</f>
        <v>1</v>
      </c>
      <c r="BD83" s="272">
        <f>(1-BD84/100)*(1+BD85/100)*(1+BD87/100)</f>
        <v>1</v>
      </c>
      <c r="BE83" s="272">
        <f>(1-BE84/100)*(1+BE85/100)*(1+BE87/100)</f>
        <v>1</v>
      </c>
      <c r="BF83" s="272">
        <f>(1-BF84/100)*(1+BF85/100)*(1+BF87/100)</f>
        <v>1</v>
      </c>
      <c r="BG83" s="1153"/>
      <c r="BH83" s="1153"/>
      <c r="BI83" s="1253"/>
      <c r="BJ83" s="1253"/>
      <c r="BK83" s="1253"/>
      <c r="BL83" s="1161"/>
      <c r="BM83" s="1161"/>
    </row>
    <row s="1621" customFormat="1" customHeight="1" ht="21.9375">
      <c r="A84" s="1153"/>
      <c r="B84" s="419">
        <f>method_reg&lt;&gt;"Метод экономически обоснованных расходов"</f>
        <v>1</v>
      </c>
      <c r="C84" s="1153"/>
      <c r="D84" s="1153"/>
      <c r="E84" s="597">
        <v>22.5</v>
      </c>
      <c r="F84" s="50" cm="1" t="str">
        <f t="array" ref="F84:F84">OFFSET(E84,-1,1)</f>
        <v>2</v>
      </c>
      <c r="G84" s="88" t="s">
        <v>440</v>
      </c>
      <c r="H84" s="88" t="s">
        <v>441</v>
      </c>
      <c r="I84" s="1153"/>
      <c r="J84" s="1153"/>
      <c r="K84" s="1153"/>
      <c r="L84" s="1153"/>
      <c r="M84" s="1153"/>
      <c r="N84" s="1153"/>
      <c r="O84" s="1153"/>
      <c r="P84" s="1153"/>
      <c r="Q84" s="1153"/>
      <c r="R84" s="1153"/>
      <c r="S84" s="1153"/>
      <c r="T84" s="1153"/>
      <c r="U84" s="439" cm="1" t="str">
        <f t="array" ref="U84:U84">U83</f>
        <v>true</v>
      </c>
      <c r="V84" s="1153"/>
      <c r="W84" s="1153"/>
      <c r="X84" s="1153"/>
      <c r="Y84" s="1462"/>
      <c r="Z84" s="1484"/>
      <c r="AA84" s="1153"/>
      <c r="AB84" s="99">
        <v>1</v>
      </c>
      <c r="AC84" s="100" t="s">
        <v>442</v>
      </c>
      <c r="AD84" s="102" t="s">
        <v>437</v>
      </c>
      <c r="AE84" s="243"/>
      <c r="AF84" s="243"/>
      <c r="AG84" s="243"/>
      <c r="AH84" s="167"/>
      <c r="AI84" s="243">
        <v>1</v>
      </c>
      <c r="AJ84" s="243">
        <v>1.045</v>
      </c>
      <c r="AK84" s="243">
        <v>1</v>
      </c>
      <c r="AL84" s="248">
        <f>IF(AI84&lt;&gt;0,AK84/AI84,0)</f>
        <v>1</v>
      </c>
      <c r="AM84" s="247">
        <f>AK84-AJ84</f>
        <v>-0.045</v>
      </c>
      <c r="AN84" s="167"/>
      <c r="AO84" s="1886"/>
      <c r="AP84" s="1886"/>
      <c r="AQ84" s="243"/>
      <c r="AR84" s="243"/>
      <c r="AS84" s="243"/>
      <c r="AT84" s="243"/>
      <c r="AU84" s="243"/>
      <c r="AV84" s="243"/>
      <c r="AW84" s="243"/>
      <c r="AX84" s="1886"/>
      <c r="AY84" s="1886"/>
      <c r="AZ84" s="243"/>
      <c r="BA84" s="243"/>
      <c r="BB84" s="243"/>
      <c r="BC84" s="243"/>
      <c r="BD84" s="243"/>
      <c r="BE84" s="243"/>
      <c r="BF84" s="243"/>
      <c r="BG84" s="1153"/>
      <c r="BH84" s="1153"/>
      <c r="BI84" s="980" t="s">
        <v>443</v>
      </c>
      <c r="BJ84" s="1253"/>
      <c r="BK84" s="1253"/>
      <c r="BL84" s="1161"/>
      <c r="BM84" s="1161"/>
    </row>
    <row s="1621" customFormat="1" customHeight="1" ht="14.625">
      <c r="A85" s="1153"/>
      <c r="B85" s="1160"/>
      <c r="C85" s="1153"/>
      <c r="D85" s="1153"/>
      <c r="E85" s="597">
        <v>15</v>
      </c>
      <c r="F85" s="50" cm="1" t="str">
        <f t="array" ref="F85:F85">OFFSET(E85,-1,1)</f>
        <v>2</v>
      </c>
      <c r="G85" s="88" t="s">
        <v>444</v>
      </c>
      <c r="H85" s="88" t="s">
        <v>445</v>
      </c>
      <c r="I85" s="1153"/>
      <c r="J85" s="1153"/>
      <c r="K85" s="1153"/>
      <c r="L85" s="1153"/>
      <c r="M85" s="1153"/>
      <c r="N85" s="1153"/>
      <c r="O85" s="1153"/>
      <c r="P85" s="1153"/>
      <c r="Q85" s="1153"/>
      <c r="R85" s="1153"/>
      <c r="S85" s="1153"/>
      <c r="T85" s="1153"/>
      <c r="U85" s="439" cm="1" t="str">
        <f t="array" ref="U85:U85">U84</f>
        <v>true</v>
      </c>
      <c r="V85" s="1153"/>
      <c r="W85" s="1153"/>
      <c r="X85" s="1153"/>
      <c r="Y85" s="1462"/>
      <c r="Z85" s="1484"/>
      <c r="AA85" s="1153"/>
      <c r="AB85" s="99">
        <f>IF(B84,2,1)</f>
        <v>2</v>
      </c>
      <c r="AC85" s="101" t="s">
        <v>446</v>
      </c>
      <c r="AD85" s="102" t="s">
        <v>437</v>
      </c>
      <c r="AE85" s="243">
        <v>7.2</v>
      </c>
      <c r="AF85" s="243"/>
      <c r="AG85" s="243"/>
      <c r="AH85" s="167"/>
      <c r="AI85" s="243">
        <v>4.2</v>
      </c>
      <c r="AJ85" s="243">
        <v>4.5</v>
      </c>
      <c r="AK85" s="243">
        <v>4.3</v>
      </c>
      <c r="AL85" s="248">
        <f>IF(AI85&lt;&gt;0,AK85/AI85,0)</f>
        <v>1.02380952380952</v>
      </c>
      <c r="AM85" s="247">
        <f>AK85-AJ85</f>
        <v>-0.2</v>
      </c>
      <c r="AN85" s="167"/>
      <c r="AO85" s="1886"/>
      <c r="AP85" s="1886"/>
      <c r="AQ85" s="243"/>
      <c r="AR85" s="243"/>
      <c r="AS85" s="243"/>
      <c r="AT85" s="243"/>
      <c r="AU85" s="243"/>
      <c r="AV85" s="243"/>
      <c r="AW85" s="243"/>
      <c r="AX85" s="1886"/>
      <c r="AY85" s="1886"/>
      <c r="AZ85" s="243"/>
      <c r="BA85" s="243"/>
      <c r="BB85" s="243"/>
      <c r="BC85" s="243"/>
      <c r="BD85" s="243"/>
      <c r="BE85" s="243"/>
      <c r="BF85" s="243"/>
      <c r="BG85" s="1153"/>
      <c r="BH85" s="1153"/>
      <c r="BI85" s="980" t="s">
        <v>447</v>
      </c>
      <c r="BJ85" s="1253"/>
      <c r="BK85" s="1253"/>
      <c r="BL85" s="1161"/>
      <c r="BM85" s="1161"/>
    </row>
    <row s="1621" customFormat="1" customHeight="1" ht="14.625">
      <c r="A86" s="1153"/>
      <c r="B86" s="1160"/>
      <c r="C86" s="1153"/>
      <c r="D86" s="1153"/>
      <c r="E86" s="597">
        <v>15</v>
      </c>
      <c r="F86" s="50" cm="1" t="str">
        <f t="array" ref="F86:F86">OFFSET(E86,-1,1)</f>
        <v>2</v>
      </c>
      <c r="G86" s="1153"/>
      <c r="H86" s="88" t="s">
        <v>448</v>
      </c>
      <c r="I86" s="1153"/>
      <c r="J86" s="1153"/>
      <c r="K86" s="1153"/>
      <c r="L86" s="1153"/>
      <c r="M86" s="1153"/>
      <c r="N86" s="1153"/>
      <c r="O86" s="1153"/>
      <c r="P86" s="1153"/>
      <c r="Q86" s="1153"/>
      <c r="R86" s="1153"/>
      <c r="S86" s="1153"/>
      <c r="T86" s="1153"/>
      <c r="U86" s="439" cm="1" t="str">
        <f t="array" ref="U86:U86">U85</f>
        <v>true</v>
      </c>
      <c r="V86" s="1153"/>
      <c r="W86" s="1153"/>
      <c r="X86" s="1153"/>
      <c r="Y86" s="1462"/>
      <c r="Z86" s="1484"/>
      <c r="AA86" s="1153"/>
      <c r="AB86" s="99">
        <f>AB85+1</f>
        <v>3</v>
      </c>
      <c r="AC86" s="103" t="s">
        <v>449</v>
      </c>
      <c r="AD86" s="102" t="s">
        <v>437</v>
      </c>
      <c r="AE86" s="243">
        <v>5.6</v>
      </c>
      <c r="AF86" s="243"/>
      <c r="AG86" s="243"/>
      <c r="AH86" s="167"/>
      <c r="AI86" s="243">
        <v>4.9</v>
      </c>
      <c r="AJ86" s="243">
        <v>4</v>
      </c>
      <c r="AK86" s="243">
        <v>4</v>
      </c>
      <c r="AL86" s="248">
        <f>IF(AI86&lt;&gt;0,AK86/AI86,0)</f>
        <v>0.816326530612245</v>
      </c>
      <c r="AM86" s="247">
        <f>AK86-AJ86</f>
        <v>0</v>
      </c>
      <c r="AN86" s="167"/>
      <c r="AO86" s="1886"/>
      <c r="AP86" s="1886"/>
      <c r="AQ86" s="243"/>
      <c r="AR86" s="243"/>
      <c r="AS86" s="243"/>
      <c r="AT86" s="243"/>
      <c r="AU86" s="243"/>
      <c r="AV86" s="243"/>
      <c r="AW86" s="243"/>
      <c r="AX86" s="1886"/>
      <c r="AY86" s="1886"/>
      <c r="AZ86" s="243"/>
      <c r="BA86" s="243"/>
      <c r="BB86" s="243"/>
      <c r="BC86" s="243"/>
      <c r="BD86" s="243"/>
      <c r="BE86" s="243"/>
      <c r="BF86" s="243"/>
      <c r="BG86" s="1153"/>
      <c r="BH86" s="1153"/>
      <c r="BI86" s="980" t="s">
        <v>450</v>
      </c>
      <c r="BJ86" s="1253"/>
      <c r="BK86" s="1253"/>
      <c r="BL86" s="1161"/>
      <c r="BM86" s="1161"/>
    </row>
    <row s="1621" customFormat="1" customHeight="1" ht="14.25">
      <c r="A87" s="1153"/>
      <c r="B87" s="419">
        <f>method_reg&lt;&gt;"Метод экономически обоснованных расходов"</f>
        <v>1</v>
      </c>
      <c r="C87" s="1153"/>
      <c r="D87" s="1153"/>
      <c r="E87" s="597">
        <v>15</v>
      </c>
      <c r="F87" s="50" cm="1" t="str">
        <f t="array" ref="F87:F87">OFFSET(E87,-1,1)</f>
        <v>2</v>
      </c>
      <c r="G87" s="88" t="s">
        <v>451</v>
      </c>
      <c r="H87" s="88" t="s">
        <v>452</v>
      </c>
      <c r="I87" s="1153"/>
      <c r="J87" s="1153"/>
      <c r="K87" s="1153"/>
      <c r="L87" s="1153"/>
      <c r="M87" s="1153"/>
      <c r="N87" s="1153"/>
      <c r="O87" s="1153"/>
      <c r="P87" s="1153"/>
      <c r="Q87" s="1153"/>
      <c r="R87" s="1153"/>
      <c r="S87" s="1153"/>
      <c r="T87" s="1153"/>
      <c r="U87" s="439" cm="1" t="str">
        <f t="array" ref="U87:U87">U86</f>
        <v>true</v>
      </c>
      <c r="V87" s="1153"/>
      <c r="W87" s="1153"/>
      <c r="X87" s="1153"/>
      <c r="Y87" s="1462"/>
      <c r="Z87" s="1484"/>
      <c r="AA87" s="1153"/>
      <c r="AB87" s="99">
        <v>4</v>
      </c>
      <c r="AC87" s="101" t="s">
        <v>453</v>
      </c>
      <c r="AD87" s="102" t="s">
        <v>437</v>
      </c>
      <c r="AE87" s="243"/>
      <c r="AF87" s="243"/>
      <c r="AG87" s="243"/>
      <c r="AH87" s="167"/>
      <c r="AI87" s="243"/>
      <c r="AJ87" s="243"/>
      <c r="AK87" s="243"/>
      <c r="AL87" s="248">
        <f>IF(AI87&lt;&gt;0,AK87/AI87,0)</f>
        <v>0</v>
      </c>
      <c r="AM87" s="247">
        <f>AK87-AJ87</f>
        <v>0</v>
      </c>
      <c r="AN87" s="167"/>
      <c r="AO87" s="1886"/>
      <c r="AP87" s="1886"/>
      <c r="AQ87" s="243"/>
      <c r="AR87" s="243"/>
      <c r="AS87" s="243"/>
      <c r="AT87" s="243"/>
      <c r="AU87" s="243"/>
      <c r="AV87" s="243"/>
      <c r="AW87" s="243"/>
      <c r="AX87" s="1886"/>
      <c r="AY87" s="1886"/>
      <c r="AZ87" s="243"/>
      <c r="BA87" s="243"/>
      <c r="BB87" s="243"/>
      <c r="BC87" s="243"/>
      <c r="BD87" s="243"/>
      <c r="BE87" s="243"/>
      <c r="BF87" s="243"/>
      <c r="BG87" s="1153"/>
      <c r="BH87" s="1153"/>
      <c r="BI87" s="980" t="s">
        <v>454</v>
      </c>
      <c r="BJ87" s="1253"/>
      <c r="BK87" s="1253"/>
      <c r="BL87" s="1161"/>
      <c r="BM87" s="1161"/>
    </row>
    <row s="1310" customFormat="1" customHeight="1" ht="14.25">
      <c r="A88" s="115"/>
      <c r="B88" s="420"/>
      <c r="C88" s="115"/>
      <c r="D88" s="115"/>
      <c r="E88" s="656">
        <v>15</v>
      </c>
      <c r="F88" s="341" cm="1" t="str">
        <f t="array" ref="F88:F88">OFFSET(E88,-1,1)</f>
        <v>2</v>
      </c>
      <c r="G88" s="115"/>
      <c r="H88" s="115"/>
      <c r="I88" s="115"/>
      <c r="J88" s="115"/>
      <c r="K88" s="115"/>
      <c r="L88" s="115"/>
      <c r="M88" s="115"/>
      <c r="N88" s="115"/>
      <c r="O88" s="115"/>
      <c r="P88" s="115"/>
      <c r="Q88" s="115"/>
      <c r="R88" s="115"/>
      <c r="S88" s="115"/>
      <c r="T88" s="115"/>
      <c r="U88" s="439" cm="1" t="str">
        <f t="array" ref="U88:U88">U87</f>
        <v>true</v>
      </c>
      <c r="V88" s="115"/>
      <c r="W88" s="115"/>
      <c r="X88" s="115"/>
      <c r="Y88" s="1462"/>
      <c r="Z88" s="1484"/>
      <c r="AA88" s="115"/>
      <c r="AB88" s="99">
        <v>5</v>
      </c>
      <c r="AC88" s="101" t="s">
        <v>455</v>
      </c>
      <c r="AD88" s="102" t="s">
        <v>437</v>
      </c>
      <c r="AE88" s="243"/>
      <c r="AF88" s="243"/>
      <c r="AG88" s="243"/>
      <c r="AH88" s="167"/>
      <c r="AI88" s="243"/>
      <c r="AJ88" s="243"/>
      <c r="AK88" s="243"/>
      <c r="AL88" s="248">
        <f>IF(AI88&lt;&gt;0,AK88/AI88,0)</f>
        <v>0</v>
      </c>
      <c r="AM88" s="247">
        <f>AK88-AJ88</f>
        <v>0</v>
      </c>
      <c r="AN88" s="167"/>
      <c r="AO88" s="1886"/>
      <c r="AP88" s="1886"/>
      <c r="AQ88" s="243"/>
      <c r="AR88" s="243"/>
      <c r="AS88" s="243"/>
      <c r="AT88" s="243"/>
      <c r="AU88" s="243"/>
      <c r="AV88" s="243"/>
      <c r="AW88" s="243"/>
      <c r="AX88" s="1886"/>
      <c r="AY88" s="1886"/>
      <c r="AZ88" s="243"/>
      <c r="BA88" s="243"/>
      <c r="BB88" s="243"/>
      <c r="BC88" s="243"/>
      <c r="BD88" s="243"/>
      <c r="BE88" s="243"/>
      <c r="BF88" s="243"/>
      <c r="BG88" s="115"/>
      <c r="BH88" s="115"/>
      <c r="BI88" s="1022" t="s">
        <v>456</v>
      </c>
      <c r="BJ88" s="1022"/>
      <c r="BK88" s="1022"/>
      <c r="BL88" s="656"/>
      <c r="BM88" s="656"/>
    </row>
    <row s="1621" customFormat="1" customHeight="1" ht="14.25">
      <c r="A89" s="1153"/>
      <c r="B89" s="1160"/>
      <c r="C89" s="1153"/>
      <c r="D89" s="1153"/>
      <c r="E89" s="597">
        <v>15</v>
      </c>
      <c r="F89" s="50" cm="1" t="str">
        <f t="array" ref="F89:F89">OFFSET(E89,-1,1)</f>
        <v>2</v>
      </c>
      <c r="G89" s="1153"/>
      <c r="H89" s="1153"/>
      <c r="I89" s="1153"/>
      <c r="J89" s="1153"/>
      <c r="K89" s="1153"/>
      <c r="L89" s="1153"/>
      <c r="M89" s="1153"/>
      <c r="N89" s="1153"/>
      <c r="O89" s="1153"/>
      <c r="P89" s="1153"/>
      <c r="Q89" s="1153"/>
      <c r="R89" s="1153"/>
      <c r="S89" s="1153"/>
      <c r="T89" s="1153"/>
      <c r="U89" s="439" cm="1" t="str">
        <f t="array" ref="U89:U89">U87</f>
        <v>true</v>
      </c>
      <c r="V89" s="1153"/>
      <c r="W89" s="1153"/>
      <c r="X89" s="1153"/>
      <c r="Y89" s="1462"/>
      <c r="Z89" s="1484"/>
      <c r="AA89" s="1153"/>
      <c r="AB89" s="237"/>
      <c r="AC89" s="238" t="s">
        <v>457</v>
      </c>
      <c r="AD89" s="239"/>
      <c r="AE89" s="244"/>
      <c r="AF89" s="244"/>
      <c r="AG89" s="244"/>
      <c r="AH89" s="239"/>
      <c r="AI89" s="244"/>
      <c r="AJ89" s="244"/>
      <c r="AK89" s="244"/>
      <c r="AL89" s="249"/>
      <c r="AM89" s="244"/>
      <c r="AN89" s="239"/>
      <c r="AO89" s="244"/>
      <c r="AP89" s="244"/>
      <c r="AQ89" s="244"/>
      <c r="AR89" s="244"/>
      <c r="AS89" s="244"/>
      <c r="AT89" s="244"/>
      <c r="AU89" s="244"/>
      <c r="AV89" s="244"/>
      <c r="AW89" s="244"/>
      <c r="AX89" s="244"/>
      <c r="AY89" s="244"/>
      <c r="AZ89" s="244"/>
      <c r="BA89" s="244"/>
      <c r="BB89" s="244"/>
      <c r="BC89" s="244"/>
      <c r="BD89" s="244"/>
      <c r="BE89" s="244"/>
      <c r="BF89" s="250"/>
      <c r="BG89" s="1153"/>
      <c r="BH89" s="1153"/>
      <c r="BI89" s="1253"/>
      <c r="BJ89" s="1253"/>
      <c r="BK89" s="1253"/>
      <c r="BL89" s="1161"/>
      <c r="BM89" s="1161"/>
    </row>
    <row s="1621" customFormat="1" customHeight="1" ht="14.625">
      <c r="A90" s="1153"/>
      <c r="B90" s="1160"/>
      <c r="C90" s="1153"/>
      <c r="D90" s="1153"/>
      <c r="E90" s="597">
        <v>15</v>
      </c>
      <c r="F90" s="50" cm="1" t="str">
        <f t="array" ref="F90:F90">OFFSET(E90,-1,1)</f>
        <v>2</v>
      </c>
      <c r="G90" s="88" t="s">
        <v>458</v>
      </c>
      <c r="H90" s="88" t="s">
        <v>459</v>
      </c>
      <c r="I90" s="1153"/>
      <c r="J90" s="1153"/>
      <c r="K90" s="1153"/>
      <c r="L90" s="1153"/>
      <c r="M90" s="1153"/>
      <c r="N90" s="1153"/>
      <c r="O90" s="1153"/>
      <c r="P90" s="1153"/>
      <c r="Q90" s="1153"/>
      <c r="R90" s="1153"/>
      <c r="S90" s="1153"/>
      <c r="T90" s="1153"/>
      <c r="U90" s="439" cm="1" t="str">
        <f t="array" ref="U90:U90">U89</f>
        <v>true</v>
      </c>
      <c r="V90" s="1153"/>
      <c r="W90" s="1153"/>
      <c r="X90" s="1153"/>
      <c r="Y90" s="1462"/>
      <c r="Z90" s="1484"/>
      <c r="AA90" s="1153"/>
      <c r="AB90" s="99">
        <v>1</v>
      </c>
      <c r="AC90" s="101" t="s">
        <v>460</v>
      </c>
      <c r="AD90" s="102" t="s">
        <v>437</v>
      </c>
      <c r="AE90" s="245">
        <v>30.67</v>
      </c>
      <c r="AF90" s="245">
        <v>32.3411826516</v>
      </c>
      <c r="AG90" s="245"/>
      <c r="AH90" s="167"/>
      <c r="AI90" s="245">
        <v>30.67</v>
      </c>
      <c r="AJ90" s="245">
        <v>32.3411826516</v>
      </c>
      <c r="AK90" s="245"/>
      <c r="AL90" s="248">
        <f>IF(AI90&lt;&gt;0,AK90/AI90,0)</f>
        <v>0</v>
      </c>
      <c r="AM90" s="247">
        <f>AK90-AJ90</f>
        <v>-32.3411826516</v>
      </c>
      <c r="AN90" s="167"/>
      <c r="AO90" s="1899"/>
      <c r="AP90" s="1899"/>
      <c r="AQ90" s="245"/>
      <c r="AR90" s="245"/>
      <c r="AS90" s="245"/>
      <c r="AT90" s="245"/>
      <c r="AU90" s="245"/>
      <c r="AV90" s="245"/>
      <c r="AW90" s="245"/>
      <c r="AX90" s="1899"/>
      <c r="AY90" s="1899"/>
      <c r="AZ90" s="245"/>
      <c r="BA90" s="245"/>
      <c r="BB90" s="245"/>
      <c r="BC90" s="245"/>
      <c r="BD90" s="245"/>
      <c r="BE90" s="245"/>
      <c r="BF90" s="245"/>
      <c r="BG90" s="1153"/>
      <c r="BH90" s="1153"/>
      <c r="BI90" s="980" t="s">
        <v>461</v>
      </c>
      <c r="BJ90" s="1253"/>
      <c r="BK90" s="1253"/>
      <c r="BL90" s="1161"/>
      <c r="BM90" s="1161"/>
    </row>
    <row s="1621" customFormat="1" customHeight="1" ht="15" hidden="1">
      <c r="A91" s="1153"/>
      <c r="B91" s="1160"/>
      <c r="C91" s="1153"/>
      <c r="D91" s="1153"/>
      <c r="E91" s="597">
        <v>0</v>
      </c>
      <c r="F91" s="50" cm="1" t="str">
        <f t="array" ref="F91:F91">OFFSET(E91,-1,1)</f>
        <v>2</v>
      </c>
      <c r="G91" s="1153"/>
      <c r="H91" s="88" t="s">
        <v>462</v>
      </c>
      <c r="I91" s="1153"/>
      <c r="J91" s="1153"/>
      <c r="K91" s="1153"/>
      <c r="L91" s="1153"/>
      <c r="M91" s="1153"/>
      <c r="N91" s="1153"/>
      <c r="O91" s="1153"/>
      <c r="P91" s="1153"/>
      <c r="Q91" s="1153"/>
      <c r="R91" s="1153"/>
      <c r="S91" s="1153"/>
      <c r="T91" s="1153"/>
      <c r="U91" s="439" cm="1" t="str">
        <f t="array" ref="U91:U91">U90</f>
        <v>true</v>
      </c>
      <c r="V91" s="1153"/>
      <c r="W91" s="1153"/>
      <c r="X91" s="1153"/>
      <c r="Y91" s="1462"/>
      <c r="Z91" s="1484"/>
      <c r="AA91" s="1153"/>
      <c r="AB91" s="99">
        <v>2</v>
      </c>
      <c r="AC91" s="101" t="s">
        <v>436</v>
      </c>
      <c r="AD91" s="102" t="s">
        <v>437</v>
      </c>
      <c r="AE91" s="1899"/>
      <c r="AF91" s="1886"/>
      <c r="AG91" s="1899"/>
      <c r="AH91" s="1887"/>
      <c r="AI91" s="1899"/>
      <c r="AJ91" s="1899"/>
      <c r="AK91" s="1899"/>
      <c r="AL91" s="248">
        <f>IF(AI91&lt;&gt;0,AK91/AI91,0)</f>
        <v>0</v>
      </c>
      <c r="AM91" s="247">
        <f>AK91-AJ91</f>
        <v>0</v>
      </c>
      <c r="AN91" s="1887"/>
      <c r="AO91" s="1899"/>
      <c r="AP91" s="1899"/>
      <c r="AQ91" s="1899"/>
      <c r="AR91" s="1899"/>
      <c r="AS91" s="1899"/>
      <c r="AT91" s="1899"/>
      <c r="AU91" s="1899"/>
      <c r="AV91" s="1899"/>
      <c r="AW91" s="1899"/>
      <c r="AX91" s="1899"/>
      <c r="AY91" s="1899"/>
      <c r="AZ91" s="1899"/>
      <c r="BA91" s="1899"/>
      <c r="BB91" s="1899"/>
      <c r="BC91" s="1899"/>
      <c r="BD91" s="1899"/>
      <c r="BE91" s="1899"/>
      <c r="BF91" s="1899"/>
      <c r="BG91" s="1153"/>
      <c r="BH91" s="1153"/>
      <c r="BI91" s="980" t="s">
        <v>463</v>
      </c>
      <c r="BJ91" s="1253"/>
      <c r="BK91" s="1253"/>
      <c r="BL91" s="1161"/>
      <c r="BM91" s="1161"/>
    </row>
    <row s="1621" customFormat="1" customHeight="1" ht="14.25">
      <c r="A92" s="1153"/>
      <c r="B92" s="1160"/>
      <c r="C92" s="1153"/>
      <c r="D92" s="1153"/>
      <c r="E92" s="597">
        <v>15</v>
      </c>
      <c r="F92" s="50" cm="1" t="str">
        <f t="array" ref="F92:F92">OFFSET(E92,-1,1)</f>
        <v>2</v>
      </c>
      <c r="G92" s="1153"/>
      <c r="H92" s="1153"/>
      <c r="I92" s="1153"/>
      <c r="J92" s="1153"/>
      <c r="K92" s="1153"/>
      <c r="L92" s="1153"/>
      <c r="M92" s="1153"/>
      <c r="N92" s="1153"/>
      <c r="O92" s="1153"/>
      <c r="P92" s="1153"/>
      <c r="Q92" s="1153"/>
      <c r="R92" s="1153"/>
      <c r="S92" s="1153"/>
      <c r="T92" s="1153"/>
      <c r="U92" s="439" cm="1" t="str">
        <f t="array" ref="U92:U92">U91</f>
        <v>true</v>
      </c>
      <c r="V92" s="1153"/>
      <c r="W92" s="1153"/>
      <c r="X92" s="1153"/>
      <c r="Y92" s="1462"/>
      <c r="Z92" s="1484"/>
      <c r="AA92" s="1153"/>
      <c r="AB92" s="585">
        <v>2</v>
      </c>
      <c r="AC92" s="586" t="s">
        <v>464</v>
      </c>
      <c r="AD92" s="60"/>
      <c r="AE92" s="587"/>
      <c r="AF92" s="588"/>
      <c r="AG92" s="589"/>
      <c r="AH92" s="590"/>
      <c r="AI92" s="587"/>
      <c r="AJ92" s="588"/>
      <c r="AK92" s="588"/>
      <c r="AL92" s="591"/>
      <c r="AM92" s="588"/>
      <c r="AN92" s="590"/>
      <c r="AO92" s="587"/>
      <c r="AP92" s="587"/>
      <c r="AQ92" s="587"/>
      <c r="AR92" s="587"/>
      <c r="AS92" s="587"/>
      <c r="AT92" s="587"/>
      <c r="AU92" s="587"/>
      <c r="AV92" s="587"/>
      <c r="AW92" s="587"/>
      <c r="AX92" s="587"/>
      <c r="AY92" s="587"/>
      <c r="AZ92" s="587"/>
      <c r="BA92" s="587"/>
      <c r="BB92" s="587"/>
      <c r="BC92" s="587"/>
      <c r="BD92" s="587"/>
      <c r="BE92" s="587"/>
      <c r="BF92" s="587"/>
      <c r="BG92" s="1153"/>
      <c r="BH92" s="1153"/>
      <c r="BI92" s="980" t="s">
        <v>465</v>
      </c>
      <c r="BJ92" s="1253"/>
      <c r="BK92" s="1253"/>
      <c r="BL92" s="1161"/>
      <c r="BM92" s="1161"/>
    </row>
    <row s="1621" customFormat="1" customHeight="1" ht="21.75">
      <c r="A93" s="1153"/>
      <c r="B93" s="1160"/>
      <c r="C93" s="1153"/>
      <c r="D93" s="1153"/>
      <c r="E93" s="597">
        <v>22.5</v>
      </c>
      <c r="F93" s="50" cm="1" t="str">
        <f t="array" ref="F93:F93">OFFSET(E93,-1,1)</f>
        <v>2</v>
      </c>
      <c r="G93" s="1153"/>
      <c r="H93" s="88" t="s">
        <v>466</v>
      </c>
      <c r="I93" s="1153"/>
      <c r="J93" s="1153"/>
      <c r="K93" s="1153"/>
      <c r="L93" s="1153"/>
      <c r="M93" s="1153"/>
      <c r="N93" s="1153"/>
      <c r="O93" s="1153"/>
      <c r="P93" s="1153"/>
      <c r="Q93" s="1153"/>
      <c r="R93" s="1153"/>
      <c r="S93" s="1153"/>
      <c r="T93" s="1153"/>
      <c r="U93" s="439" cm="1" t="str">
        <f t="array" ref="U93:U93">U92</f>
        <v>true</v>
      </c>
      <c r="V93" s="1153"/>
      <c r="W93" s="1153"/>
      <c r="X93" s="1153"/>
      <c r="Y93" s="1462"/>
      <c r="Z93" s="1484"/>
      <c r="AA93" s="1153"/>
      <c r="AB93" s="187" t="s">
        <v>467</v>
      </c>
      <c r="AC93" s="181" t="s">
        <v>468</v>
      </c>
      <c r="AD93" s="57" t="s">
        <v>469</v>
      </c>
      <c r="AE93" s="274"/>
      <c r="AF93" s="592"/>
      <c r="AG93" s="593"/>
      <c r="AH93" s="276"/>
      <c r="AI93" s="274"/>
      <c r="AJ93" s="592"/>
      <c r="AK93" s="592"/>
      <c r="AL93" s="594">
        <f>IF(AI93&lt;&gt;0,AK93/AI93,0)</f>
        <v>0</v>
      </c>
      <c r="AM93" s="595">
        <f>AK93-AJ93</f>
        <v>0</v>
      </c>
      <c r="AN93" s="276"/>
      <c r="AO93" s="1911"/>
      <c r="AP93" s="1911"/>
      <c r="AQ93" s="274"/>
      <c r="AR93" s="274"/>
      <c r="AS93" s="274"/>
      <c r="AT93" s="274"/>
      <c r="AU93" s="274"/>
      <c r="AV93" s="274"/>
      <c r="AW93" s="274"/>
      <c r="AX93" s="1911"/>
      <c r="AY93" s="1911"/>
      <c r="AZ93" s="274"/>
      <c r="BA93" s="274"/>
      <c r="BB93" s="274"/>
      <c r="BC93" s="274"/>
      <c r="BD93" s="274"/>
      <c r="BE93" s="274"/>
      <c r="BF93" s="274"/>
      <c r="BG93" s="1153"/>
      <c r="BH93" s="1153"/>
      <c r="BI93" s="980" t="s">
        <v>470</v>
      </c>
      <c r="BJ93" s="1253"/>
      <c r="BK93" s="1253"/>
      <c r="BL93" s="1161"/>
      <c r="BM93" s="1161"/>
    </row>
    <row s="1621" customFormat="1" customHeight="1" ht="21.75" hidden="1">
      <c r="A94" s="1153"/>
      <c r="B94" s="1160"/>
      <c r="C94" s="1153"/>
      <c r="D94" s="1153"/>
      <c r="E94" s="597">
        <v>22.5</v>
      </c>
      <c r="F94" s="50" cm="1" t="str">
        <f t="array" ref="F94:F94">OFFSET(E94,-1,1)</f>
        <v>2</v>
      </c>
      <c r="G94" s="1153"/>
      <c r="H94" s="1153"/>
      <c r="I94" s="88" cm="1" t="str">
        <f t="array" ref="I94:I94">AC94</f>
        <v>0</v>
      </c>
      <c r="J94" s="1153"/>
      <c r="K94" s="1153"/>
      <c r="L94" s="1153"/>
      <c r="M94" s="1153"/>
      <c r="N94" s="1153"/>
      <c r="O94" s="1153"/>
      <c r="P94" s="1153"/>
      <c r="Q94" s="1153"/>
      <c r="R94" s="1153"/>
      <c r="S94" s="1153"/>
      <c r="T94" s="1153"/>
      <c r="U94" s="439">
        <f>AND(F94&gt;0,--RIGHT(AB94,1)&gt;1)</f>
        <v>0</v>
      </c>
      <c r="V94" s="1153"/>
      <c r="W94" s="1153"/>
      <c r="X94" s="738" t="s">
        <v>173</v>
      </c>
      <c r="Y94" s="1462"/>
      <c r="Z94" s="1484"/>
      <c r="AA94" s="393" t="s">
        <v>174</v>
      </c>
      <c r="AB94" s="187" t="s">
        <v>467</v>
      </c>
      <c r="AC94" s="1917"/>
      <c r="AD94" s="57" t="s">
        <v>469</v>
      </c>
      <c r="AE94" s="1911"/>
      <c r="AF94" s="1912"/>
      <c r="AG94" s="1913"/>
      <c r="AH94" s="1914"/>
      <c r="AI94" s="1911"/>
      <c r="AJ94" s="1912"/>
      <c r="AK94" s="1912"/>
      <c r="AL94" s="594">
        <f>IF(AI94&lt;&gt;0,AK94/AI94,0)</f>
        <v>0</v>
      </c>
      <c r="AM94" s="595">
        <f>AK94-AJ94</f>
        <v>0</v>
      </c>
      <c r="AN94" s="1914"/>
      <c r="AO94" s="1911"/>
      <c r="AP94" s="1911"/>
      <c r="AQ94" s="1911"/>
      <c r="AR94" s="1911"/>
      <c r="AS94" s="1911"/>
      <c r="AT94" s="1911"/>
      <c r="AU94" s="1911"/>
      <c r="AV94" s="1911"/>
      <c r="AW94" s="1911"/>
      <c r="AX94" s="1911"/>
      <c r="AY94" s="1911"/>
      <c r="AZ94" s="1911"/>
      <c r="BA94" s="1911"/>
      <c r="BB94" s="1911"/>
      <c r="BC94" s="1911"/>
      <c r="BD94" s="1911"/>
      <c r="BE94" s="1911"/>
      <c r="BF94" s="1911"/>
      <c r="BG94" s="1153"/>
      <c r="BH94" s="1153"/>
      <c r="BI94" s="980" t="s">
        <v>470</v>
      </c>
      <c r="BJ94" s="980" t="s">
        <v>471</v>
      </c>
      <c r="BK94" s="980" cm="1" t="str">
        <f t="array" ref="BK94:BK94">AC94</f>
        <v>0</v>
      </c>
      <c r="BL94" s="1161"/>
      <c r="BM94" s="597" t="b">
        <v>1</v>
      </c>
    </row>
    <row s="1621" customFormat="1" customHeight="1" ht="14.25">
      <c r="A95" s="1153"/>
      <c r="B95" s="1160"/>
      <c r="C95" s="1153"/>
      <c r="D95" s="1153"/>
      <c r="E95" s="597">
        <v>15</v>
      </c>
      <c r="F95" s="50" cm="1" t="str">
        <f t="array" ref="F95:F95">OFFSET(E95,-1,1)</f>
        <v>2</v>
      </c>
      <c r="G95" s="1153"/>
      <c r="H95" s="1153"/>
      <c r="I95" s="1153"/>
      <c r="J95" s="1153"/>
      <c r="K95" s="1153"/>
      <c r="L95" s="1153"/>
      <c r="M95" s="1153"/>
      <c r="N95" s="1153"/>
      <c r="O95" s="1153"/>
      <c r="P95" s="1153"/>
      <c r="Q95" s="1153"/>
      <c r="R95" s="1153"/>
      <c r="S95" s="1153"/>
      <c r="T95" s="1153"/>
      <c r="U95" s="439">
        <f>F95&gt;0</f>
        <v>1</v>
      </c>
      <c r="V95" s="1153"/>
      <c r="W95" s="1153"/>
      <c r="X95" s="738" t="s">
        <v>399</v>
      </c>
      <c r="Y95" s="1462"/>
      <c r="Z95" s="1484"/>
      <c r="AA95" s="1153"/>
      <c r="AB95" s="142"/>
      <c r="AC95" s="275" t="s">
        <v>177</v>
      </c>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153"/>
      <c r="BH95" s="1153"/>
      <c r="BI95" s="1253"/>
      <c r="BJ95" s="1253"/>
      <c r="BK95" s="1253"/>
      <c r="BL95" s="597" t="s">
        <v>471</v>
      </c>
      <c r="BM95" s="1161"/>
    </row>
    <row s="1621" customFormat="1" customHeight="1" ht="21.75">
      <c r="A96" s="1153"/>
      <c r="B96" s="1160"/>
      <c r="C96" s="1153"/>
      <c r="D96" s="1153"/>
      <c r="E96" s="597">
        <v>22.5</v>
      </c>
      <c r="F96" s="50" cm="1" t="str">
        <f t="array" ref="F96:F96">OFFSET(E96,-1,1)</f>
        <v>2</v>
      </c>
      <c r="G96" s="1153"/>
      <c r="H96" s="88" t="s">
        <v>472</v>
      </c>
      <c r="I96" s="1153"/>
      <c r="J96" s="1153"/>
      <c r="K96" s="1153"/>
      <c r="L96" s="1153"/>
      <c r="M96" s="1153"/>
      <c r="N96" s="1153"/>
      <c r="O96" s="1153"/>
      <c r="P96" s="1153"/>
      <c r="Q96" s="1153"/>
      <c r="R96" s="1153"/>
      <c r="S96" s="1153"/>
      <c r="T96" s="1153"/>
      <c r="U96" s="439" cm="1" t="str">
        <f t="array" ref="U96:U96">U95</f>
        <v>true</v>
      </c>
      <c r="V96" s="1153"/>
      <c r="W96" s="1153"/>
      <c r="X96" s="1153"/>
      <c r="Y96" s="1462"/>
      <c r="Z96" s="1484"/>
      <c r="AA96" s="1153"/>
      <c r="AB96" s="577" t="s">
        <v>473</v>
      </c>
      <c r="AC96" s="578" t="s">
        <v>474</v>
      </c>
      <c r="AD96" s="574" t="s">
        <v>469</v>
      </c>
      <c r="AE96" s="579"/>
      <c r="AF96" s="580"/>
      <c r="AG96" s="581"/>
      <c r="AH96" s="582"/>
      <c r="AI96" s="579"/>
      <c r="AJ96" s="580"/>
      <c r="AK96" s="580"/>
      <c r="AL96" s="583">
        <f>IF(AI96&lt;&gt;0,AK96/AI96,0)</f>
        <v>0</v>
      </c>
      <c r="AM96" s="584">
        <f>AK96-AJ96</f>
        <v>0</v>
      </c>
      <c r="AN96" s="582"/>
      <c r="AO96" s="1921"/>
      <c r="AP96" s="1921"/>
      <c r="AQ96" s="579"/>
      <c r="AR96" s="579"/>
      <c r="AS96" s="579"/>
      <c r="AT96" s="579"/>
      <c r="AU96" s="579"/>
      <c r="AV96" s="579"/>
      <c r="AW96" s="579"/>
      <c r="AX96" s="1921"/>
      <c r="AY96" s="1921"/>
      <c r="AZ96" s="579"/>
      <c r="BA96" s="579"/>
      <c r="BB96" s="579"/>
      <c r="BC96" s="579"/>
      <c r="BD96" s="579"/>
      <c r="BE96" s="579"/>
      <c r="BF96" s="579"/>
      <c r="BG96" s="1153"/>
      <c r="BH96" s="1153"/>
      <c r="BI96" s="980" t="s">
        <v>475</v>
      </c>
      <c r="BJ96" s="1253"/>
      <c r="BK96" s="1253"/>
      <c r="BL96" s="1161"/>
      <c r="BM96" s="1161"/>
    </row>
    <row s="1621" customFormat="1" customHeight="1" ht="21.75" hidden="1">
      <c r="A97" s="1153"/>
      <c r="B97" s="1160"/>
      <c r="C97" s="1153"/>
      <c r="D97" s="1153"/>
      <c r="E97" s="597">
        <v>22.5</v>
      </c>
      <c r="F97" s="50" cm="1" t="str">
        <f t="array" ref="F97:F97">OFFSET(E97,-1,1)</f>
        <v>2</v>
      </c>
      <c r="G97" s="1153"/>
      <c r="H97" s="1153"/>
      <c r="I97" s="88" cm="1" t="str">
        <f t="array" ref="I97:I97">AC97</f>
        <v>0</v>
      </c>
      <c r="J97" s="1153"/>
      <c r="K97" s="1153"/>
      <c r="L97" s="1153"/>
      <c r="M97" s="1153"/>
      <c r="N97" s="1153"/>
      <c r="O97" s="1153"/>
      <c r="P97" s="1153"/>
      <c r="Q97" s="1153"/>
      <c r="R97" s="1153"/>
      <c r="S97" s="1153"/>
      <c r="T97" s="1153"/>
      <c r="U97" s="439">
        <f>AND(F97&gt;0,--RIGHT(AB97,1)&gt;1)</f>
        <v>0</v>
      </c>
      <c r="V97" s="1153"/>
      <c r="W97" s="1153"/>
      <c r="X97" s="738" t="s">
        <v>173</v>
      </c>
      <c r="Y97" s="1462"/>
      <c r="Z97" s="1484"/>
      <c r="AA97" s="393" t="s">
        <v>174</v>
      </c>
      <c r="AB97" s="577" t="s">
        <v>473</v>
      </c>
      <c r="AC97" s="1927"/>
      <c r="AD97" s="574" t="s">
        <v>469</v>
      </c>
      <c r="AE97" s="1921"/>
      <c r="AF97" s="1922"/>
      <c r="AG97" s="1923"/>
      <c r="AH97" s="1924"/>
      <c r="AI97" s="1921"/>
      <c r="AJ97" s="1922"/>
      <c r="AK97" s="1922"/>
      <c r="AL97" s="583">
        <f>IF(AI97&lt;&gt;0,AK97/AI97,0)</f>
        <v>0</v>
      </c>
      <c r="AM97" s="584">
        <f>AK97-AJ97</f>
        <v>0</v>
      </c>
      <c r="AN97" s="1924"/>
      <c r="AO97" s="1921"/>
      <c r="AP97" s="1921"/>
      <c r="AQ97" s="1921"/>
      <c r="AR97" s="1921"/>
      <c r="AS97" s="1921"/>
      <c r="AT97" s="1921"/>
      <c r="AU97" s="1921"/>
      <c r="AV97" s="1921"/>
      <c r="AW97" s="1921"/>
      <c r="AX97" s="1921"/>
      <c r="AY97" s="1921"/>
      <c r="AZ97" s="1921"/>
      <c r="BA97" s="1921"/>
      <c r="BB97" s="1921"/>
      <c r="BC97" s="1921"/>
      <c r="BD97" s="1921"/>
      <c r="BE97" s="1921"/>
      <c r="BF97" s="1921"/>
      <c r="BG97" s="1153"/>
      <c r="BH97" s="1153"/>
      <c r="BI97" s="980" t="s">
        <v>475</v>
      </c>
      <c r="BJ97" s="980" t="s">
        <v>476</v>
      </c>
      <c r="BK97" s="980" cm="1" t="str">
        <f t="array" ref="BK97:BK97">AC97</f>
        <v>0</v>
      </c>
      <c r="BL97" s="1161"/>
      <c r="BM97" s="597" t="b">
        <v>1</v>
      </c>
    </row>
    <row s="1621" customFormat="1" customHeight="1" ht="14.25">
      <c r="A98" s="1153"/>
      <c r="B98" s="1160"/>
      <c r="C98" s="1153"/>
      <c r="D98" s="1153"/>
      <c r="E98" s="597">
        <v>15</v>
      </c>
      <c r="F98" s="50" cm="1" t="str">
        <f t="array" ref="F98:F98">OFFSET(E98,-1,1)</f>
        <v>2</v>
      </c>
      <c r="G98" s="1153"/>
      <c r="H98" s="1153"/>
      <c r="I98" s="1153"/>
      <c r="J98" s="1153"/>
      <c r="K98" s="1153"/>
      <c r="L98" s="1153"/>
      <c r="M98" s="1153"/>
      <c r="N98" s="1153"/>
      <c r="O98" s="1153"/>
      <c r="P98" s="1153"/>
      <c r="Q98" s="1153"/>
      <c r="R98" s="1153"/>
      <c r="S98" s="1153"/>
      <c r="T98" s="1153"/>
      <c r="U98" s="439">
        <f>F98&gt;0</f>
        <v>1</v>
      </c>
      <c r="V98" s="1153"/>
      <c r="W98" s="1153"/>
      <c r="X98" s="738" t="s">
        <v>399</v>
      </c>
      <c r="Y98" s="1462"/>
      <c r="Z98" s="1484"/>
      <c r="AA98" s="1153"/>
      <c r="AB98" s="142"/>
      <c r="AC98" s="275" t="s">
        <v>177</v>
      </c>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153"/>
      <c r="BH98" s="1153"/>
      <c r="BI98" s="1253"/>
      <c r="BJ98" s="1253"/>
      <c r="BK98" s="1253"/>
      <c r="BL98" s="597" t="s">
        <v>476</v>
      </c>
      <c r="BM98" s="1161"/>
    </row>
    <row s="1621" customFormat="1" customHeight="1" ht="21.75">
      <c r="A99" s="1153"/>
      <c r="B99" s="1160"/>
      <c r="C99" s="1153"/>
      <c r="D99" s="1153"/>
      <c r="E99" s="597">
        <v>22.5</v>
      </c>
      <c r="F99" s="50" cm="1" t="str">
        <f t="array" ref="F99:F99">OFFSET(E99,-1,1)</f>
        <v>2</v>
      </c>
      <c r="G99" s="1153"/>
      <c r="H99" s="88" t="s">
        <v>477</v>
      </c>
      <c r="I99" s="1153"/>
      <c r="J99" s="1153"/>
      <c r="K99" s="1153"/>
      <c r="L99" s="1153"/>
      <c r="M99" s="1153"/>
      <c r="N99" s="1153"/>
      <c r="O99" s="1153"/>
      <c r="P99" s="1153"/>
      <c r="Q99" s="1153"/>
      <c r="R99" s="1153"/>
      <c r="S99" s="1153"/>
      <c r="T99" s="1153"/>
      <c r="U99" s="439" cm="1" t="str">
        <f t="array" ref="U99:U99">U98</f>
        <v>true</v>
      </c>
      <c r="V99" s="1153"/>
      <c r="W99" s="1153"/>
      <c r="X99" s="1153"/>
      <c r="Y99" s="1462"/>
      <c r="Z99" s="1484"/>
      <c r="AA99" s="1153"/>
      <c r="AB99" s="89" t="s">
        <v>478</v>
      </c>
      <c r="AC99" s="159" t="s">
        <v>479</v>
      </c>
      <c r="AD99" s="58" t="s">
        <v>469</v>
      </c>
      <c r="AE99" s="243"/>
      <c r="AF99" s="245"/>
      <c r="AG99" s="246"/>
      <c r="AH99" s="167"/>
      <c r="AI99" s="243"/>
      <c r="AJ99" s="245"/>
      <c r="AK99" s="245"/>
      <c r="AL99" s="248">
        <f>IF(AI99&lt;&gt;0,AK99/AI99,0)</f>
        <v>0</v>
      </c>
      <c r="AM99" s="247">
        <f>AK99-AJ99</f>
        <v>0</v>
      </c>
      <c r="AN99" s="167"/>
      <c r="AO99" s="1886"/>
      <c r="AP99" s="1886"/>
      <c r="AQ99" s="243"/>
      <c r="AR99" s="243"/>
      <c r="AS99" s="243"/>
      <c r="AT99" s="243"/>
      <c r="AU99" s="243"/>
      <c r="AV99" s="243"/>
      <c r="AW99" s="243"/>
      <c r="AX99" s="1886"/>
      <c r="AY99" s="1886"/>
      <c r="AZ99" s="243"/>
      <c r="BA99" s="243"/>
      <c r="BB99" s="243"/>
      <c r="BC99" s="243"/>
      <c r="BD99" s="243"/>
      <c r="BE99" s="243"/>
      <c r="BF99" s="243"/>
      <c r="BG99" s="1153"/>
      <c r="BH99" s="1153"/>
      <c r="BI99" s="980" t="s">
        <v>480</v>
      </c>
      <c r="BJ99" s="1253"/>
      <c r="BK99" s="1253"/>
      <c r="BL99" s="1161"/>
      <c r="BM99" s="1161"/>
    </row>
    <row s="1621" customFormat="1" customHeight="1" ht="21.75" hidden="1">
      <c r="A100" s="1153"/>
      <c r="B100" s="1160"/>
      <c r="C100" s="1153"/>
      <c r="D100" s="1153"/>
      <c r="E100" s="597">
        <v>22.5</v>
      </c>
      <c r="F100" s="50" cm="1" t="str">
        <f t="array" ref="F100:F100">OFFSET(E100,-1,1)</f>
        <v>2</v>
      </c>
      <c r="G100" s="1153"/>
      <c r="H100" s="1153"/>
      <c r="I100" s="88" cm="1" t="str">
        <f t="array" ref="I100:I100">AC100</f>
        <v>0</v>
      </c>
      <c r="J100" s="1153"/>
      <c r="K100" s="1153"/>
      <c r="L100" s="1153"/>
      <c r="M100" s="1153"/>
      <c r="N100" s="1153"/>
      <c r="O100" s="1153"/>
      <c r="P100" s="1153"/>
      <c r="Q100" s="1153"/>
      <c r="R100" s="1153"/>
      <c r="S100" s="1153"/>
      <c r="T100" s="1153"/>
      <c r="U100" s="439">
        <f>AND(F100&gt;0,--RIGHT(AB100,1)&gt;1)</f>
        <v>0</v>
      </c>
      <c r="V100" s="1153"/>
      <c r="W100" s="1153"/>
      <c r="X100" s="738" t="s">
        <v>173</v>
      </c>
      <c r="Y100" s="1462"/>
      <c r="Z100" s="1484"/>
      <c r="AA100" s="393" t="s">
        <v>174</v>
      </c>
      <c r="AB100" s="89" t="s">
        <v>478</v>
      </c>
      <c r="AC100" s="1931"/>
      <c r="AD100" s="58" t="s">
        <v>469</v>
      </c>
      <c r="AE100" s="1886"/>
      <c r="AF100" s="1899"/>
      <c r="AG100" s="1930"/>
      <c r="AH100" s="1887"/>
      <c r="AI100" s="1886"/>
      <c r="AJ100" s="1899"/>
      <c r="AK100" s="1899"/>
      <c r="AL100" s="248">
        <f>IF(AI100&lt;&gt;0,AK100/AI100,0)</f>
        <v>0</v>
      </c>
      <c r="AM100" s="247">
        <f>AK100-AJ100</f>
        <v>0</v>
      </c>
      <c r="AN100" s="1887"/>
      <c r="AO100" s="1886"/>
      <c r="AP100" s="1886"/>
      <c r="AQ100" s="1886"/>
      <c r="AR100" s="1886"/>
      <c r="AS100" s="1886"/>
      <c r="AT100" s="1886"/>
      <c r="AU100" s="1886"/>
      <c r="AV100" s="1886"/>
      <c r="AW100" s="1886"/>
      <c r="AX100" s="1886"/>
      <c r="AY100" s="1886"/>
      <c r="AZ100" s="1886"/>
      <c r="BA100" s="1886"/>
      <c r="BB100" s="1886"/>
      <c r="BC100" s="1886"/>
      <c r="BD100" s="1886"/>
      <c r="BE100" s="1886"/>
      <c r="BF100" s="1886"/>
      <c r="BG100" s="1153"/>
      <c r="BH100" s="1153"/>
      <c r="BI100" s="980" t="s">
        <v>480</v>
      </c>
      <c r="BJ100" s="980" t="s">
        <v>481</v>
      </c>
      <c r="BK100" s="980" cm="1" t="str">
        <f t="array" ref="BK100:BK100">AC100</f>
        <v>0</v>
      </c>
      <c r="BL100" s="1161"/>
      <c r="BM100" s="597" t="b">
        <v>1</v>
      </c>
    </row>
    <row s="1621" customFormat="1" customHeight="1" ht="14.25">
      <c r="A101" s="1153"/>
      <c r="B101" s="1160"/>
      <c r="C101" s="1153"/>
      <c r="D101" s="1153"/>
      <c r="E101" s="597">
        <v>15</v>
      </c>
      <c r="F101" s="50" cm="1" t="str">
        <f t="array" ref="F101:F101">OFFSET(E101,-1,1)</f>
        <v>2</v>
      </c>
      <c r="G101" s="1153"/>
      <c r="H101" s="1153"/>
      <c r="I101" s="1153"/>
      <c r="J101" s="1153"/>
      <c r="K101" s="1153"/>
      <c r="L101" s="1153"/>
      <c r="M101" s="1153"/>
      <c r="N101" s="1153"/>
      <c r="O101" s="1153"/>
      <c r="P101" s="1153"/>
      <c r="Q101" s="1153"/>
      <c r="R101" s="1153"/>
      <c r="S101" s="1153"/>
      <c r="T101" s="1153"/>
      <c r="U101" s="439">
        <f>F101&gt;0</f>
        <v>1</v>
      </c>
      <c r="V101" s="1153"/>
      <c r="W101" s="1153"/>
      <c r="X101" s="738" t="s">
        <v>399</v>
      </c>
      <c r="Y101" s="1462"/>
      <c r="Z101" s="1484"/>
      <c r="AA101" s="1153"/>
      <c r="AB101" s="142"/>
      <c r="AC101" s="275" t="s">
        <v>177</v>
      </c>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153"/>
      <c r="BH101" s="1153"/>
      <c r="BI101" s="1253"/>
      <c r="BJ101" s="1253"/>
      <c r="BK101" s="1253"/>
      <c r="BL101" s="597" t="s">
        <v>481</v>
      </c>
      <c r="BM101" s="1161"/>
    </row>
    <row s="1621" customFormat="1" customHeight="1" ht="21.75">
      <c r="A102" s="1153"/>
      <c r="B102" s="1160"/>
      <c r="C102" s="1153"/>
      <c r="D102" s="1153"/>
      <c r="E102" s="597">
        <v>22.5</v>
      </c>
      <c r="F102" s="50" cm="1" t="str">
        <f t="array" ref="F102:F102">OFFSET(E102,-1,1)</f>
        <v>2</v>
      </c>
      <c r="G102" s="1153"/>
      <c r="H102" s="88" t="s">
        <v>482</v>
      </c>
      <c r="I102" s="1153"/>
      <c r="J102" s="1153"/>
      <c r="K102" s="1153"/>
      <c r="L102" s="1153"/>
      <c r="M102" s="1153"/>
      <c r="N102" s="1153"/>
      <c r="O102" s="1153"/>
      <c r="P102" s="1153"/>
      <c r="Q102" s="1153"/>
      <c r="R102" s="1153"/>
      <c r="S102" s="1153"/>
      <c r="T102" s="1153"/>
      <c r="U102" s="439" cm="1" t="str">
        <f t="array" ref="U102:U102">U101</f>
        <v>true</v>
      </c>
      <c r="V102" s="1153"/>
      <c r="W102" s="1153"/>
      <c r="X102" s="1153"/>
      <c r="Y102" s="1462"/>
      <c r="Z102" s="1484"/>
      <c r="AA102" s="1153"/>
      <c r="AB102" s="89" t="s">
        <v>483</v>
      </c>
      <c r="AC102" s="159" t="s">
        <v>484</v>
      </c>
      <c r="AD102" s="58" t="s">
        <v>469</v>
      </c>
      <c r="AE102" s="243"/>
      <c r="AF102" s="245"/>
      <c r="AG102" s="246"/>
      <c r="AH102" s="167"/>
      <c r="AI102" s="243"/>
      <c r="AJ102" s="245"/>
      <c r="AK102" s="245"/>
      <c r="AL102" s="248">
        <f>IF(AI102&lt;&gt;0,AK102/AI102,0)</f>
        <v>0</v>
      </c>
      <c r="AM102" s="247">
        <f>AK102-AJ102</f>
        <v>0</v>
      </c>
      <c r="AN102" s="167"/>
      <c r="AO102" s="1886"/>
      <c r="AP102" s="1886"/>
      <c r="AQ102" s="243"/>
      <c r="AR102" s="243"/>
      <c r="AS102" s="243"/>
      <c r="AT102" s="243"/>
      <c r="AU102" s="243"/>
      <c r="AV102" s="243"/>
      <c r="AW102" s="243"/>
      <c r="AX102" s="1886"/>
      <c r="AY102" s="1886"/>
      <c r="AZ102" s="243"/>
      <c r="BA102" s="243"/>
      <c r="BB102" s="243"/>
      <c r="BC102" s="243"/>
      <c r="BD102" s="243"/>
      <c r="BE102" s="243"/>
      <c r="BF102" s="243"/>
      <c r="BG102" s="1153"/>
      <c r="BH102" s="1153"/>
      <c r="BI102" s="980" t="s">
        <v>485</v>
      </c>
      <c r="BJ102" s="1253"/>
      <c r="BK102" s="1253"/>
      <c r="BL102" s="1161"/>
      <c r="BM102" s="1161"/>
    </row>
    <row s="1621" customFormat="1" customHeight="1" ht="21.75" hidden="1">
      <c r="A103" s="1153"/>
      <c r="B103" s="1160"/>
      <c r="C103" s="1153"/>
      <c r="D103" s="1153"/>
      <c r="E103" s="597">
        <v>22.5</v>
      </c>
      <c r="F103" s="50" cm="1" t="str">
        <f t="array" ref="F103:F103">OFFSET(E103,-1,1)</f>
        <v>2</v>
      </c>
      <c r="G103" s="1153"/>
      <c r="H103" s="1153"/>
      <c r="I103" s="88" cm="1" t="str">
        <f t="array" ref="I103:I103">AC103</f>
        <v>0</v>
      </c>
      <c r="J103" s="1153"/>
      <c r="K103" s="1153"/>
      <c r="L103" s="1153"/>
      <c r="M103" s="1153"/>
      <c r="N103" s="1153"/>
      <c r="O103" s="1153"/>
      <c r="P103" s="1153"/>
      <c r="Q103" s="1153"/>
      <c r="R103" s="1153"/>
      <c r="S103" s="1153"/>
      <c r="T103" s="1153"/>
      <c r="U103" s="439">
        <f>AND(F103&gt;0,--RIGHT(AB103,1)&gt;1)</f>
        <v>0</v>
      </c>
      <c r="V103" s="1153"/>
      <c r="W103" s="1153"/>
      <c r="X103" s="738" t="s">
        <v>173</v>
      </c>
      <c r="Y103" s="1462"/>
      <c r="Z103" s="1484"/>
      <c r="AA103" s="393" t="s">
        <v>174</v>
      </c>
      <c r="AB103" s="89" t="s">
        <v>483</v>
      </c>
      <c r="AC103" s="1931"/>
      <c r="AD103" s="58" t="s">
        <v>469</v>
      </c>
      <c r="AE103" s="1886"/>
      <c r="AF103" s="1899"/>
      <c r="AG103" s="1930"/>
      <c r="AH103" s="1887"/>
      <c r="AI103" s="1886"/>
      <c r="AJ103" s="1899"/>
      <c r="AK103" s="1899"/>
      <c r="AL103" s="248">
        <f>IF(AI103&lt;&gt;0,AK103/AI103,0)</f>
        <v>0</v>
      </c>
      <c r="AM103" s="247">
        <f>AK103-AJ103</f>
        <v>0</v>
      </c>
      <c r="AN103" s="1887"/>
      <c r="AO103" s="1886"/>
      <c r="AP103" s="1886"/>
      <c r="AQ103" s="1886"/>
      <c r="AR103" s="1886"/>
      <c r="AS103" s="1886"/>
      <c r="AT103" s="1886"/>
      <c r="AU103" s="1886"/>
      <c r="AV103" s="1886"/>
      <c r="AW103" s="1886"/>
      <c r="AX103" s="1886"/>
      <c r="AY103" s="1886"/>
      <c r="AZ103" s="1886"/>
      <c r="BA103" s="1886"/>
      <c r="BB103" s="1886"/>
      <c r="BC103" s="1886"/>
      <c r="BD103" s="1886"/>
      <c r="BE103" s="1886"/>
      <c r="BF103" s="1886"/>
      <c r="BG103" s="1153"/>
      <c r="BH103" s="1153"/>
      <c r="BI103" s="980" t="s">
        <v>485</v>
      </c>
      <c r="BJ103" s="980" t="s">
        <v>486</v>
      </c>
      <c r="BK103" s="980" cm="1" t="str">
        <f t="array" ref="BK103:BK103">AC103</f>
        <v>0</v>
      </c>
      <c r="BL103" s="1161"/>
      <c r="BM103" s="597" t="b">
        <v>1</v>
      </c>
    </row>
    <row s="1621" customFormat="1" customHeight="1" ht="14.25">
      <c r="A104" s="1153"/>
      <c r="B104" s="1160"/>
      <c r="C104" s="1153"/>
      <c r="D104" s="1153"/>
      <c r="E104" s="597">
        <v>15</v>
      </c>
      <c r="F104" s="50" cm="1" t="str">
        <f t="array" ref="F104:F104">OFFSET(E104,-1,1)</f>
        <v>2</v>
      </c>
      <c r="G104" s="1153"/>
      <c r="H104" s="1153"/>
      <c r="I104" s="1153"/>
      <c r="J104" s="1153"/>
      <c r="K104" s="1153"/>
      <c r="L104" s="1153"/>
      <c r="M104" s="1153"/>
      <c r="N104" s="1153"/>
      <c r="O104" s="1153"/>
      <c r="P104" s="1153"/>
      <c r="Q104" s="1153"/>
      <c r="R104" s="1153"/>
      <c r="S104" s="1153"/>
      <c r="T104" s="1153"/>
      <c r="U104" s="439">
        <f>F104&gt;0</f>
        <v>1</v>
      </c>
      <c r="V104" s="1153"/>
      <c r="W104" s="1153"/>
      <c r="X104" s="738" t="s">
        <v>399</v>
      </c>
      <c r="Y104" s="1462"/>
      <c r="Z104" s="1484"/>
      <c r="AA104" s="1153"/>
      <c r="AB104" s="142"/>
      <c r="AC104" s="275" t="s">
        <v>177</v>
      </c>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153"/>
      <c r="BH104" s="1153"/>
      <c r="BI104" s="1253"/>
      <c r="BJ104" s="1253"/>
      <c r="BK104" s="1253"/>
      <c r="BL104" s="597" t="s">
        <v>486</v>
      </c>
      <c r="BM104" s="1161"/>
    </row>
    <row s="1621" customFormat="1" customHeight="1" ht="14.625">
      <c r="A105" s="1153"/>
      <c r="B105" s="1160"/>
      <c r="C105" s="1153"/>
      <c r="D105" s="1153"/>
      <c r="E105" s="597">
        <v>15</v>
      </c>
      <c r="F105" s="50" cm="1" t="str">
        <f t="array" ref="F105:F105">OFFSET(E105,-1,1)</f>
        <v>2</v>
      </c>
      <c r="G105" s="1153"/>
      <c r="H105" s="88" t="s">
        <v>329</v>
      </c>
      <c r="I105" s="1153"/>
      <c r="J105" s="1153"/>
      <c r="K105" s="1153"/>
      <c r="L105" s="1153"/>
      <c r="M105" s="1153"/>
      <c r="N105" s="1153"/>
      <c r="O105" s="1153"/>
      <c r="P105" s="1153"/>
      <c r="Q105" s="1153"/>
      <c r="R105" s="1153"/>
      <c r="S105" s="1153"/>
      <c r="T105" s="1153"/>
      <c r="U105" s="439" cm="1" t="str">
        <f t="array" ref="U105:U105">U104</f>
        <v>true</v>
      </c>
      <c r="V105" s="1153"/>
      <c r="W105" s="1153"/>
      <c r="X105" s="1153"/>
      <c r="Y105" s="1462"/>
      <c r="Z105" s="1484"/>
      <c r="AA105" s="1153"/>
      <c r="AB105" s="99">
        <v>3</v>
      </c>
      <c r="AC105" s="105" t="s">
        <v>487</v>
      </c>
      <c r="AD105" s="102" t="s">
        <v>437</v>
      </c>
      <c r="AE105" s="243">
        <v>2.2</v>
      </c>
      <c r="AF105" s="245">
        <v>2.2</v>
      </c>
      <c r="AG105" s="246"/>
      <c r="AH105" s="167"/>
      <c r="AI105" s="243">
        <v>2.2</v>
      </c>
      <c r="AJ105" s="245">
        <v>2.2</v>
      </c>
      <c r="AK105" s="245">
        <v>2.2</v>
      </c>
      <c r="AL105" s="248">
        <f>IF(AI105&lt;&gt;0,AK105/AI105,0)</f>
        <v>1</v>
      </c>
      <c r="AM105" s="247">
        <f>AK105-AJ105</f>
        <v>0</v>
      </c>
      <c r="AN105" s="167"/>
      <c r="AO105" s="1886"/>
      <c r="AP105" s="1886"/>
      <c r="AQ105" s="243"/>
      <c r="AR105" s="243"/>
      <c r="AS105" s="243"/>
      <c r="AT105" s="243"/>
      <c r="AU105" s="243"/>
      <c r="AV105" s="243"/>
      <c r="AW105" s="243"/>
      <c r="AX105" s="1886"/>
      <c r="AY105" s="1886"/>
      <c r="AZ105" s="243"/>
      <c r="BA105" s="243"/>
      <c r="BB105" s="243"/>
      <c r="BC105" s="243"/>
      <c r="BD105" s="243"/>
      <c r="BE105" s="243"/>
      <c r="BF105" s="243"/>
      <c r="BG105" s="1153"/>
      <c r="BH105" s="1153"/>
      <c r="BI105" s="980" t="s">
        <v>488</v>
      </c>
      <c r="BJ105" s="1253"/>
      <c r="BK105" s="1253"/>
      <c r="BL105" s="1161"/>
      <c r="BM105" s="1161"/>
    </row>
    <row s="1621" customFormat="1" customHeight="1" ht="14.25">
      <c r="A106" s="1153"/>
      <c r="B106" s="1160"/>
      <c r="C106" s="1153"/>
      <c r="D106" s="1153"/>
      <c r="E106" s="597">
        <v>15</v>
      </c>
      <c r="F106" s="50" cm="1" t="str">
        <f t="array" ref="F106:F106">OFFSET(E106,-1,1)</f>
        <v>2</v>
      </c>
      <c r="G106" s="1153"/>
      <c r="H106" s="88" t="s">
        <v>328</v>
      </c>
      <c r="I106" s="1153"/>
      <c r="J106" s="1153"/>
      <c r="K106" s="1153"/>
      <c r="L106" s="1153"/>
      <c r="M106" s="1153"/>
      <c r="N106" s="1153"/>
      <c r="O106" s="1153"/>
      <c r="P106" s="1153"/>
      <c r="Q106" s="1153"/>
      <c r="R106" s="1153"/>
      <c r="S106" s="1153"/>
      <c r="T106" s="1153"/>
      <c r="U106" s="439" cm="1" t="str">
        <f t="array" ref="U106:U106">U105</f>
        <v>true</v>
      </c>
      <c r="V106" s="1153"/>
      <c r="W106" s="1153"/>
      <c r="X106" s="1153"/>
      <c r="Y106" s="1462"/>
      <c r="Z106" s="1484"/>
      <c r="AA106" s="1153"/>
      <c r="AB106" s="99">
        <v>4</v>
      </c>
      <c r="AC106" s="105" t="s">
        <v>489</v>
      </c>
      <c r="AD106" s="102" t="s">
        <v>437</v>
      </c>
      <c r="AE106" s="243"/>
      <c r="AF106" s="245"/>
      <c r="AG106" s="246"/>
      <c r="AH106" s="167"/>
      <c r="AI106" s="243"/>
      <c r="AJ106" s="245"/>
      <c r="AK106" s="245"/>
      <c r="AL106" s="248">
        <f>IF(AI106&lt;&gt;0,AK106/AI106,0)</f>
        <v>0</v>
      </c>
      <c r="AM106" s="247">
        <f>AK106-AJ106</f>
        <v>0</v>
      </c>
      <c r="AN106" s="167"/>
      <c r="AO106" s="1886"/>
      <c r="AP106" s="1886"/>
      <c r="AQ106" s="243"/>
      <c r="AR106" s="243"/>
      <c r="AS106" s="243"/>
      <c r="AT106" s="243"/>
      <c r="AU106" s="243"/>
      <c r="AV106" s="243"/>
      <c r="AW106" s="243"/>
      <c r="AX106" s="1886"/>
      <c r="AY106" s="1886"/>
      <c r="AZ106" s="243"/>
      <c r="BA106" s="243"/>
      <c r="BB106" s="243"/>
      <c r="BC106" s="243"/>
      <c r="BD106" s="243"/>
      <c r="BE106" s="243"/>
      <c r="BF106" s="243"/>
      <c r="BG106" s="1153"/>
      <c r="BH106" s="1153"/>
      <c r="BI106" s="980" t="s">
        <v>490</v>
      </c>
      <c r="BJ106" s="1253"/>
      <c r="BK106" s="1253"/>
      <c r="BL106" s="1161"/>
      <c r="BM106" s="1161"/>
    </row>
    <row s="1621" customFormat="1" customHeight="1" ht="14.25">
      <c r="A107" s="1153"/>
      <c r="B107" s="1160"/>
      <c r="C107" s="1153"/>
      <c r="D107" s="1153"/>
      <c r="E107" s="597">
        <v>15</v>
      </c>
      <c r="F107" s="50" cm="1" t="str">
        <f t="array" ref="F107:F107">OFFSET(E107,-1,1)</f>
        <v>2</v>
      </c>
      <c r="G107" s="1153"/>
      <c r="H107" s="88" t="s">
        <v>491</v>
      </c>
      <c r="I107" s="1153"/>
      <c r="J107" s="1153"/>
      <c r="K107" s="1153"/>
      <c r="L107" s="1153"/>
      <c r="M107" s="1153"/>
      <c r="N107" s="1153"/>
      <c r="O107" s="1153"/>
      <c r="P107" s="1153"/>
      <c r="Q107" s="1153"/>
      <c r="R107" s="1153"/>
      <c r="S107" s="1153"/>
      <c r="T107" s="1153"/>
      <c r="U107" s="439" cm="1" t="str">
        <f t="array" ref="U107:U107">U106</f>
        <v>true</v>
      </c>
      <c r="V107" s="1153"/>
      <c r="W107" s="1153"/>
      <c r="X107" s="1153"/>
      <c r="Y107" s="1462"/>
      <c r="Z107" s="1484"/>
      <c r="AA107" s="1153"/>
      <c r="AB107" s="89" t="s">
        <v>492</v>
      </c>
      <c r="AC107" s="104" t="s">
        <v>493</v>
      </c>
      <c r="AD107" s="102"/>
      <c r="AE107" s="246"/>
      <c r="AF107" s="246"/>
      <c r="AG107" s="246"/>
      <c r="AH107" s="251"/>
      <c r="AI107" s="246"/>
      <c r="AJ107" s="246"/>
      <c r="AK107" s="246"/>
      <c r="AL107" s="248">
        <f>IF(AI107&lt;&gt;0,AK107/AI107,0)</f>
        <v>0</v>
      </c>
      <c r="AM107" s="247">
        <f>AK107-AJ107</f>
        <v>0</v>
      </c>
      <c r="AN107" s="251"/>
      <c r="AO107" s="1930"/>
      <c r="AP107" s="1930"/>
      <c r="AQ107" s="246"/>
      <c r="AR107" s="246"/>
      <c r="AS107" s="246"/>
      <c r="AT107" s="246"/>
      <c r="AU107" s="246"/>
      <c r="AV107" s="246"/>
      <c r="AW107" s="246"/>
      <c r="AX107" s="1930"/>
      <c r="AY107" s="1930"/>
      <c r="AZ107" s="246"/>
      <c r="BA107" s="246"/>
      <c r="BB107" s="246"/>
      <c r="BC107" s="246"/>
      <c r="BD107" s="246"/>
      <c r="BE107" s="246"/>
      <c r="BF107" s="246"/>
      <c r="BG107" s="1153"/>
      <c r="BH107" s="1153"/>
      <c r="BI107" s="980" t="s">
        <v>494</v>
      </c>
      <c r="BJ107" s="1253"/>
      <c r="BK107" s="1253"/>
      <c r="BL107" s="1161"/>
      <c r="BM107" s="1161"/>
    </row>
    <row s="1621" customFormat="1" customHeight="1" ht="14.25">
      <c r="A108" s="1153"/>
      <c r="B108" s="1160"/>
      <c r="C108" s="1153"/>
      <c r="D108" s="1153"/>
      <c r="E108" s="597">
        <v>15</v>
      </c>
      <c r="F108" s="50" cm="1" t="str">
        <f t="array" ref="F108:F108">OFFSET(E108,-1,1)</f>
        <v>2</v>
      </c>
      <c r="G108" s="1153"/>
      <c r="H108" s="88" t="s">
        <v>495</v>
      </c>
      <c r="I108" s="1153"/>
      <c r="J108" s="1153"/>
      <c r="K108" s="1153"/>
      <c r="L108" s="1153"/>
      <c r="M108" s="1153"/>
      <c r="N108" s="1153"/>
      <c r="O108" s="1153"/>
      <c r="P108" s="1153"/>
      <c r="Q108" s="1153"/>
      <c r="R108" s="1153"/>
      <c r="S108" s="1153"/>
      <c r="T108" s="1153"/>
      <c r="U108" s="439" cm="1" t="str">
        <f t="array" ref="U108:U108">U107</f>
        <v>true</v>
      </c>
      <c r="V108" s="1153"/>
      <c r="W108" s="1153"/>
      <c r="X108" s="1153"/>
      <c r="Y108" s="1462"/>
      <c r="Z108" s="1484"/>
      <c r="AA108" s="1153"/>
      <c r="AB108" s="89" t="s">
        <v>496</v>
      </c>
      <c r="AC108" s="103" t="s">
        <v>497</v>
      </c>
      <c r="AD108" s="102"/>
      <c r="AE108" s="246"/>
      <c r="AF108" s="246"/>
      <c r="AG108" s="246"/>
      <c r="AH108" s="251"/>
      <c r="AI108" s="246"/>
      <c r="AJ108" s="246"/>
      <c r="AK108" s="246"/>
      <c r="AL108" s="248">
        <f>IF(AI108&lt;&gt;0,AK108/AI108,0)</f>
        <v>0</v>
      </c>
      <c r="AM108" s="247">
        <f>AK108-AJ108</f>
        <v>0</v>
      </c>
      <c r="AN108" s="251"/>
      <c r="AO108" s="1930"/>
      <c r="AP108" s="1930"/>
      <c r="AQ108" s="246"/>
      <c r="AR108" s="246"/>
      <c r="AS108" s="246"/>
      <c r="AT108" s="246"/>
      <c r="AU108" s="246"/>
      <c r="AV108" s="246"/>
      <c r="AW108" s="246"/>
      <c r="AX108" s="1930"/>
      <c r="AY108" s="1930"/>
      <c r="AZ108" s="246"/>
      <c r="BA108" s="246"/>
      <c r="BB108" s="246"/>
      <c r="BC108" s="246"/>
      <c r="BD108" s="246"/>
      <c r="BE108" s="246"/>
      <c r="BF108" s="246"/>
      <c r="BG108" s="1153"/>
      <c r="BH108" s="1153"/>
      <c r="BI108" s="980" t="s">
        <v>498</v>
      </c>
      <c r="BJ108" s="1253"/>
      <c r="BK108" s="1253"/>
      <c r="BL108" s="1161"/>
      <c r="BM108" s="1161"/>
    </row>
    <row customHeight="1" ht="10.96875">
      <c r="E109" s="597">
        <v>11.25</v>
      </c>
      <c r="V109" s="88" t="s">
        <v>177</v>
      </c>
      <c r="W109" s="106" t="s">
        <v>499</v>
      </c>
      <c r="AO109" s="1153"/>
      <c r="AP109" s="1153"/>
      <c r="AQ109" s="1153"/>
      <c r="AR109" s="1153"/>
      <c r="AS109" s="1153"/>
      <c r="AT109" s="1153"/>
      <c r="AU109" s="1153"/>
      <c r="AV109" s="1153"/>
      <c r="AW109" s="1153"/>
      <c r="AX109" s="1153"/>
      <c r="AY109" s="1153"/>
      <c r="AZ109" s="1153"/>
      <c r="BA109" s="1153"/>
      <c r="BB109" s="1153"/>
      <c r="BC109" s="1153"/>
      <c r="BD109" s="1153"/>
      <c r="BE109" s="1153"/>
      <c r="BF109" s="1153"/>
      <c r="BG109" s="88"/>
    </row>
  </sheetData>
  <sheetProtection formatColumns="0" formatRows="0" insertRows="0" deleteColumns="0" deleteRows="0" sort="0" autoFilter="0" insertColumns="1"/>
  <mergeCells count="9">
    <mergeCell ref="AB24:AB25"/>
    <mergeCell ref="AC24:AC25"/>
    <mergeCell ref="AD24:AD25"/>
    <mergeCell ref="Y28:Y54"/>
    <mergeCell ref="Z28:Z54"/>
    <mergeCell ref="Y55:Y81"/>
    <mergeCell ref="Z55:Z81"/>
    <mergeCell ref="Y82:Y108"/>
    <mergeCell ref="Z82:Z108"/>
  </mergeCells>
  <dataValidations count="2">
    <dataValidation allowBlank="1" showErrorMessage="1" errorTitle="Ошибка" error="Допускается ввод только неотрицательных чисел!" sqref="AH26 AN26 AE27:BF27"/>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E45:BE54 BE57:BE61 BE63:BE64 BE66:BE67 BE69:BE70 BE72:BE81 BE84:BE88 BE90:BE91 BE93:BE94 BE96:BE97 BE99:BE108 BD45:BD54 BD57:BD61 BD63:BD64 BD66:BD67 BD69:BD70 BD72:BD81 BD84:BD88 BD90:BD91 BD93:BD94 BD96:BD97 BD99:BD108 BC45:BC54 BC57:BC61 BC63:BC64 BC66:BC67 BC69:BC70 BC72:BC81 BC84:BC88 BC90:BC91 BC93:BC94 BC96:BC97 BC99:BC108 BB45:BB54 BB57:BB61 BB63:BB64 BB66:BB67 BB69:BB70 BB72:BB81 BB84:BB88 BB90:BB91 BB93:BB94 BB96:BB97 BB99:BB108 BA45:BA54 BA57:BA61 BA63:BA64 BA66:BA67 BA69:BA70 BA72:BA81 BA84:BA88 BA90:BA91 BA93:BA94 BA96:BA97 BA99:BA108 AZ45:AZ54 AZ57:AZ61 AZ63:AZ64 AZ66:AZ67 AZ69:AZ70 AZ72:AZ81 AZ84:AZ88 AZ90:AZ91 AZ93:AZ94 AZ96:AZ97 AZ99:AZ108 AY45:AY54 AY57:AY61 AY63:AY64 AY66:AY67 AY69:AY70 AY72:AY81 AY84:AY88 AY90:AY91 AY93:AY94 AY96:AY97 AY99:AY108 AX45:AX54 AX57:AX61 AX63:AX64 AX66:AX67 AX69:AX70 AX72:AX81 AX84:AX88 AX90:AX91 AX93:AX94 AX96:AX97 AX99:AX108 AW45:AW54 AW57:AW61 AW63:AW64 AW66:AW67 AW69:AW70 AW72:AW81 AW84:AW88 AW90:AW91 AW93:AW94 AW96:AW97 AW99:AW108 AV45:AV54 AV57:AV61 AV63:AV64 AV66:AV67 AV69:AV70 AV72:AV81 AV84:AV88 AV90:AV91 AV93:AV94 AV96:AV97 AV99:AV108 AU45:AU54 AU57:AU61 AU63:AU64 AU66:AU67 AU69:AU70 AU72:AU81 AU84:AU88 AU90:AU91 AU93:AU94 AU96:AU97 AU99:AU108 AT45:AT54 AT57:AT61 AT63:AT64 AT66:AT67 AT69:AT70 AT72:AT81 AT84:AT88 AT90:AT91 AT93:AT94 AT96:AT97 AT99:AT108 AS45:AS54 AS57:AS61 AS63:AS64 AS66:AS67 AS69:AS70 AS72:AS81 AS84:AS88 AS90:AS91 AS93:AS94 AS96:AS97 AS99:AS108 AR45:AR54 AR57:AR61 AR63:AR64 AR66:AR67 AR69:AR70 AR72:AR81 AR84:AR88 AR90:AR91 AR93:AR94 AR96:AR97 AR99:AR108 AQ45:AQ54 AQ57:AQ61 AQ63:AQ64 AQ66:AQ67 AQ69:AQ70 AQ72:AQ81 AQ84:AQ88 AQ90:AQ91 AQ93:AQ94 AQ96:AQ97 AQ99:AQ108 AP45:AP54 AP57:AP61 AP63:AP64 AP66:AP67 AP69:AP70 AP72:AP81 AP84:AP88 AP90:AP91 AP93:AP94 AP96:AP97 AP99:AP108 AO45:AO54 AO57:AO61 AO63:AO64 AO66:AO67 AO69:AO70 AO72:AO81 AO84:AO88 AO90:AO91 AO93:AO94 AO96:AO97 AO99:AO108 AG45:AG54 AG57:AG61 AG63:AG64 AG66:AG67 AG69:AG70 AG72:AG81 AG84:AG88 AG90:AG91 AG93:AG94 AG96:AG97 AG99:AG108 AF45:AF54 AF57:AF61 AF63:AF64 AF66:AF67 AF69:AF70 AF72:AF81 AF84:AF88 AF90:AF91 AF93:AF94 AF96:AF97 AF99:AF108 AE45:AE54 AE57:AE61 AE63:AE64 AE66:AE67 AE69:AE70 AE72:AE81 AE84:AE88 AE90:AE91 AE93:AE94 AE96:AE97 AE99:AE108 AK45:AK54 AK57:AK61 AK63:AK64 AK66:AK67 AK69:AK70 AK72:AK81 AK84:AK88 AK90:AK91 AK93:AK94 AK96:AK97 AK99:AK108 AJ45:AJ54 AJ57:AJ61 AJ63:AJ64 AJ66:AJ67 AJ69:AJ70 AJ72:AJ81 AJ84:AJ88 AJ90:AJ91 AJ93:AJ94 AJ96:AJ97 AJ99:AJ108 AI45:AI54 AI57:AI61 AI63:AI64 AI66:AI67 AI69:AI70 AI72:AI81 AI84:AI88 AI90:AI91 AI93:AI94 AI96:AI97 AI99:AI108 AE39:AG40 AE30:AG34 AI30:AK34 AO30:BF34">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569</vt:i4>
      </vt:variant>
    </vt:vector>
  </HeadingPairs>
  <TitlesOfParts>
    <vt:vector size="611"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2025-11-17T15:27:28Z</dcterms:modified>
</cp:coreProperties>
</file>

<file path=docProps/custom.xml><?xml version="1.0" encoding="utf-8"?>
<Properties xmlns="http://schemas.openxmlformats.org/officeDocument/2006/custom-properties" xmlns:vt="http://schemas.openxmlformats.org/officeDocument/2006/docPropsVTypes"/>
</file>